
<file path=[Content_Types].xml><?xml version="1.0" encoding="utf-8"?>
<Types xmlns="http://schemas.openxmlformats.org/package/2006/content-types">
  <Default Extension="bin" ContentType="application/vnd.openxmlformats-officedocument.spreadsheetml.printerSettings"/>
  <Default Extension="png" ContentType="image/png"/>
  <Default Extension="svg" ContentType="image/svg+xml"/>
  <Default Extension="rels" ContentType="application/vnd.openxmlformats-package.relationships+xml"/>
  <Default Extension="xml" ContentType="application/xml"/>
  <Default Extension="data" ContentType="application/vnd.openxmlformats-officedocument.model+data"/>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theme/themeOverride1.xml" ContentType="application/vnd.openxmlformats-officedocument.themeOverride+xml"/>
  <Override PartName="/xl/drawings/drawing3.xml" ContentType="application/vnd.openxmlformats-officedocument.drawingml.chartshapes+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theme/themeOverride2.xml" ContentType="application/vnd.openxmlformats-officedocument.themeOverride+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drawings/drawing4.xml" ContentType="application/vnd.openxmlformats-officedocument.drawing+xml"/>
  <Override PartName="/xl/tables/table1.xml" ContentType="application/vnd.openxmlformats-officedocument.spreadsheetml.table+xml"/>
  <Override PartName="/xl/drawings/drawing5.xml" ContentType="application/vnd.openxmlformats-officedocument.drawing+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persons/person.xml" ContentType="application/vnd.ms-excel.person+xml"/>
  <Override PartName="/xl/threadedComments/threadedComment1.xml" ContentType="application/vnd.ms-excel.threaded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hidePivotFieldList="1"/>
  <mc:AlternateContent xmlns:mc="http://schemas.openxmlformats.org/markup-compatibility/2006">
    <mc:Choice Requires="x15">
      <x15ac:absPath xmlns:x15ac="http://schemas.microsoft.com/office/spreadsheetml/2010/11/ac" url="https://santandernet.sharepoint.com/sites/TestesGDPilar3ESG/Shared Documents/General/00. Gestão/04. Plano Testes/"/>
    </mc:Choice>
  </mc:AlternateContent>
  <bookViews>
    <workbookView xWindow="0" yWindow="0" windowWidth="19200" windowHeight="3290" firstSheet="1" activeTab="1"/>
  </bookViews>
  <sheets>
    <sheet name="Plano_V1" sheetId="19" state="hidden" r:id="rId1"/>
    <sheet name="1. Status Resumo FY24" sheetId="15" r:id="rId2"/>
    <sheet name="Auxiliar" sheetId="3" state="hidden" r:id="rId3"/>
    <sheet name="2. Status Detalhe Campos FY24" sheetId="17" r:id="rId4"/>
    <sheet name="Caderno Testes FY24" sheetId="1" r:id="rId5"/>
    <sheet name="Aux - Pivots2" sheetId="18" state="hidden" r:id="rId6"/>
    <sheet name="Sheet1" sheetId="23" state="hidden" r:id="rId7"/>
    <sheet name="Aux - pivots1" sheetId="14" state="hidden" r:id="rId8"/>
    <sheet name="2. Controlos Corporativos - GD" sheetId="4" state="hidden" r:id="rId9"/>
    <sheet name="Plano Campos" sheetId="21" state="hidden" r:id="rId10"/>
    <sheet name="Plano_V3" sheetId="20" r:id="rId11"/>
    <sheet name="Plano de Testes" sheetId="22" state="hidden" r:id="rId12"/>
  </sheets>
  <definedNames>
    <definedName name="_xlnm._FilterDatabase" localSheetId="8" hidden="1">'2. Controlos Corporativos - GD'!$A$1:$K$222</definedName>
    <definedName name="_xlnm._FilterDatabase" localSheetId="3" hidden="1">'2. Status Detalhe Campos FY24'!$Z$6:$Z$269</definedName>
    <definedName name="_xlnm._FilterDatabase" localSheetId="4" hidden="1">'Caderno Testes FY24'!$B$925:$M$1148</definedName>
    <definedName name="_xlnm._FilterDatabase" localSheetId="9" hidden="1">'Plano Campos'!$A$16:$CO$257</definedName>
    <definedName name="_xlnm._FilterDatabase" localSheetId="11" hidden="1">'Plano de Testes'!$B$11:$BB$37</definedName>
    <definedName name="_xlnm._FilterDatabase" localSheetId="0" hidden="1">Plano_V1!$B$13:$K$636</definedName>
    <definedName name="_xlnm._FilterDatabase" localSheetId="10" hidden="1">Plano_V3!$13:$13</definedName>
    <definedName name="_xlcn.WorksheetConnection_2.StatusDetalheCamposB6G6051" hidden="1">'2. Status Detalhe Campos FY24'!$B$6:$G$740</definedName>
    <definedName name="_xlcn.WorksheetConnection_Sheet2B2G5451" hidden="1">'2. Status Detalhe Campos FY24'!$B$6:$G$703</definedName>
    <definedName name="_xlcn.WorksheetConnection_TestesGDPilar3Plano_versãotrabalho_V1.2.xlsxTable41" hidden="1">Table4[]</definedName>
    <definedName name="_xlcn.WorksheetConnection_TipologiasdeTestesGDModeloVerdeBensImov_V0.11.xlsxTable11" hidden="1">Table1[]</definedName>
  </definedNames>
  <calcPr calcId="162913"/>
  <pivotCaches>
    <pivotCache cacheId="38" r:id="rId13"/>
    <pivotCache cacheId="41" r:id="rId14"/>
    <pivotCache cacheId="44" r:id="rId15"/>
    <pivotCache cacheId="47" r:id="rId16"/>
    <pivotCache cacheId="50" r:id="rId17"/>
    <pivotCache cacheId="53" r:id="rId18"/>
    <pivotCache cacheId="56" r:id="rId19"/>
    <pivotCache cacheId="63" r:id="rId20"/>
  </pivotCaches>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1" name="Table1" connection="WorksheetConnection_Tipologias de Testes GD &amp; ModeloVerde &amp; BensImov_V0.11.xlsx!Table1"/>
          <x15:modelTable id="Table4" name="Table4" connection="WorksheetConnection_Testes GD Pilar 3 - Plano_versão trabalho_V1.2.xlsx!Table4"/>
          <x15:modelTable id="Range" name="Range" connection="WorksheetConnection_Sheet2!$B$2:$G$545"/>
          <x15:modelTable id="Range 2" name="Range 2" connection="WorksheetConnection_2. Status Detalhe Campos!$B$6:$G$605"/>
        </x15:modelTables>
      </x15:dataModel>
    </ext>
  </extLst>
</workbook>
</file>

<file path=xl/calcChain.xml><?xml version="1.0" encoding="utf-8"?>
<calcChain xmlns="http://schemas.openxmlformats.org/spreadsheetml/2006/main">
  <c r="L35" i="15" l="1"/>
  <c r="L34" i="15" s="1"/>
  <c r="L37" i="15" s="1"/>
  <c r="N35" i="15"/>
  <c r="N34" i="15"/>
  <c r="N37" i="15" s="1"/>
  <c r="M37" i="15"/>
  <c r="P36" i="15"/>
  <c r="K37" i="15"/>
  <c r="J37" i="15"/>
  <c r="M34" i="15"/>
  <c r="M36" i="15"/>
  <c r="L36" i="15"/>
  <c r="K36" i="15"/>
  <c r="H37" i="15"/>
  <c r="G37" i="15"/>
  <c r="F37" i="15"/>
  <c r="E37" i="15"/>
  <c r="U45" i="15" l="1"/>
  <c r="Q34" i="15" l="1"/>
  <c r="P34" i="15"/>
  <c r="P35" i="15" l="1"/>
  <c r="Q33" i="15"/>
  <c r="E32" i="15"/>
  <c r="E31" i="15"/>
  <c r="P37" i="15" l="1"/>
  <c r="Q31" i="15"/>
  <c r="Q32" i="15"/>
  <c r="A1532" i="1" l="1"/>
  <c r="Y1532" i="1" s="1"/>
  <c r="A1531" i="1"/>
  <c r="Y1531" i="1" s="1"/>
  <c r="A1530" i="1"/>
  <c r="Y1530" i="1" s="1"/>
  <c r="A1529" i="1"/>
  <c r="Y1529" i="1" s="1"/>
  <c r="A1528" i="1"/>
  <c r="Y1528" i="1" s="1"/>
  <c r="A1527" i="1"/>
  <c r="Y1527" i="1" s="1"/>
  <c r="A1526" i="1"/>
  <c r="Y1526" i="1" s="1"/>
  <c r="A1525" i="1"/>
  <c r="Y1525" i="1" s="1"/>
  <c r="A1524" i="1"/>
  <c r="Y1524" i="1" s="1"/>
  <c r="A1523" i="1"/>
  <c r="Y1523" i="1" s="1"/>
  <c r="A1522" i="1"/>
  <c r="Y1522" i="1" s="1"/>
  <c r="A1521" i="1"/>
  <c r="Y1521" i="1" s="1"/>
  <c r="A1520" i="1"/>
  <c r="Y1520" i="1" s="1"/>
  <c r="A1519" i="1"/>
  <c r="Y1519" i="1" s="1"/>
  <c r="A1518" i="1"/>
  <c r="Y1518" i="1" s="1"/>
  <c r="A1517" i="1"/>
  <c r="Y1517" i="1" s="1"/>
  <c r="A1516" i="1"/>
  <c r="Y1516" i="1" s="1"/>
  <c r="A1515" i="1"/>
  <c r="Y1515" i="1" s="1"/>
  <c r="A1514" i="1"/>
  <c r="Y1514" i="1" s="1"/>
  <c r="A1513" i="1"/>
  <c r="Y1513" i="1" s="1"/>
  <c r="A1512" i="1"/>
  <c r="Y1512" i="1" s="1"/>
  <c r="A1511" i="1"/>
  <c r="Y1511" i="1" s="1"/>
  <c r="A1510" i="1"/>
  <c r="Y1510" i="1" s="1"/>
  <c r="A1509" i="1"/>
  <c r="Y1509" i="1" s="1"/>
  <c r="A1508" i="1"/>
  <c r="Y1508" i="1" s="1"/>
  <c r="A1507" i="1"/>
  <c r="Y1507" i="1" s="1"/>
  <c r="A1506" i="1"/>
  <c r="Y1506" i="1" s="1"/>
  <c r="A1505" i="1"/>
  <c r="Y1505" i="1" s="1"/>
  <c r="A1504" i="1"/>
  <c r="Y1504" i="1" s="1"/>
  <c r="A1503" i="1"/>
  <c r="Y1503" i="1" s="1"/>
  <c r="A1502" i="1"/>
  <c r="Y1502" i="1" s="1"/>
  <c r="A1501" i="1"/>
  <c r="Y1501" i="1" s="1"/>
  <c r="A1500" i="1"/>
  <c r="Y1500" i="1" s="1"/>
  <c r="A1499" i="1"/>
  <c r="Y1499" i="1" s="1"/>
  <c r="A1498" i="1"/>
  <c r="Y1498" i="1" s="1"/>
  <c r="A1497" i="1"/>
  <c r="Y1497" i="1" s="1"/>
  <c r="A1496" i="1"/>
  <c r="Y1496" i="1" s="1"/>
  <c r="A1495" i="1"/>
  <c r="Y1495" i="1" s="1"/>
  <c r="A1494" i="1"/>
  <c r="Y1494" i="1" s="1"/>
  <c r="A1493" i="1"/>
  <c r="Y1493" i="1" s="1"/>
  <c r="A1492" i="1"/>
  <c r="Y1492" i="1" s="1"/>
  <c r="A1491" i="1"/>
  <c r="Y1491" i="1" s="1"/>
  <c r="A1490" i="1"/>
  <c r="Y1490" i="1" s="1"/>
  <c r="A1489" i="1"/>
  <c r="Y1489" i="1" s="1"/>
  <c r="A1488" i="1"/>
  <c r="Y1488" i="1" s="1"/>
  <c r="A1487" i="1"/>
  <c r="Y1487" i="1" s="1"/>
  <c r="A1486" i="1"/>
  <c r="Y1486" i="1" s="1"/>
  <c r="A1485" i="1"/>
  <c r="Y1485" i="1" s="1"/>
  <c r="A1484" i="1"/>
  <c r="Y1484" i="1" s="1"/>
  <c r="A1483" i="1"/>
  <c r="Y1483" i="1" s="1"/>
  <c r="A1482" i="1"/>
  <c r="Y1482" i="1" s="1"/>
  <c r="A1481" i="1"/>
  <c r="Y1481" i="1" s="1"/>
  <c r="A1480" i="1"/>
  <c r="Y1480" i="1" s="1"/>
  <c r="A1479" i="1"/>
  <c r="Y1479" i="1" s="1"/>
  <c r="A1478" i="1"/>
  <c r="Y1478" i="1" s="1"/>
  <c r="A1477" i="1"/>
  <c r="Y1477" i="1" s="1"/>
  <c r="A1476" i="1"/>
  <c r="Y1476" i="1" s="1"/>
  <c r="A1475" i="1"/>
  <c r="Y1475" i="1" s="1"/>
  <c r="A1474" i="1"/>
  <c r="Y1474" i="1" s="1"/>
  <c r="A1473" i="1"/>
  <c r="Y1473" i="1" s="1"/>
  <c r="A1472" i="1"/>
  <c r="Y1472" i="1" s="1"/>
  <c r="A1471" i="1"/>
  <c r="Y1471" i="1" s="1"/>
  <c r="A1470" i="1"/>
  <c r="Y1470" i="1" s="1"/>
  <c r="A1469" i="1"/>
  <c r="Y1469" i="1" s="1"/>
  <c r="A1468" i="1"/>
  <c r="Y1468" i="1" s="1"/>
  <c r="A1467" i="1"/>
  <c r="Y1467" i="1" s="1"/>
  <c r="A1466" i="1"/>
  <c r="Y1466" i="1" s="1"/>
  <c r="A1465" i="1"/>
  <c r="Y1465" i="1" s="1"/>
  <c r="A1464" i="1"/>
  <c r="Y1464" i="1" s="1"/>
  <c r="A1463" i="1"/>
  <c r="Y1463" i="1" s="1"/>
  <c r="A1462" i="1"/>
  <c r="Y1462" i="1" s="1"/>
  <c r="A1461" i="1"/>
  <c r="Y1461" i="1" s="1"/>
  <c r="A1460" i="1"/>
  <c r="Y1460" i="1" s="1"/>
  <c r="A1459" i="1"/>
  <c r="Y1459" i="1" s="1"/>
  <c r="A1458" i="1"/>
  <c r="Y1458" i="1" s="1"/>
  <c r="A1457" i="1"/>
  <c r="Y1457" i="1" s="1"/>
  <c r="A1456" i="1"/>
  <c r="Y1456" i="1" s="1"/>
  <c r="A1455" i="1"/>
  <c r="Y1455" i="1" s="1"/>
  <c r="A1454" i="1"/>
  <c r="Y1454" i="1" s="1"/>
  <c r="A1453" i="1"/>
  <c r="Y1453" i="1" s="1"/>
  <c r="A1452" i="1"/>
  <c r="Y1452" i="1" s="1"/>
  <c r="A1451" i="1"/>
  <c r="Y1451" i="1" s="1"/>
  <c r="A1450" i="1"/>
  <c r="Y1450" i="1" s="1"/>
  <c r="A1449" i="1"/>
  <c r="Y1449" i="1" s="1"/>
  <c r="A1448" i="1"/>
  <c r="Y1448" i="1" s="1"/>
  <c r="A1447" i="1"/>
  <c r="Y1447" i="1" s="1"/>
  <c r="A1446" i="1"/>
  <c r="Y1446" i="1" s="1"/>
  <c r="A1445" i="1"/>
  <c r="Y1445" i="1" s="1"/>
  <c r="A1444" i="1"/>
  <c r="Y1444" i="1" s="1"/>
  <c r="A1443" i="1"/>
  <c r="Y1443" i="1" s="1"/>
  <c r="A1442" i="1"/>
  <c r="Y1442" i="1" s="1"/>
  <c r="A1441" i="1"/>
  <c r="Y1441" i="1" s="1"/>
  <c r="A1440" i="1"/>
  <c r="Y1440" i="1" s="1"/>
  <c r="A1439" i="1"/>
  <c r="Y1439" i="1" s="1"/>
  <c r="A1438" i="1"/>
  <c r="Y1438" i="1" s="1"/>
  <c r="A1437" i="1"/>
  <c r="Y1437" i="1" s="1"/>
  <c r="A1436" i="1"/>
  <c r="Y1436" i="1" s="1"/>
  <c r="A1435" i="1"/>
  <c r="Y1435" i="1" s="1"/>
  <c r="A1434" i="1"/>
  <c r="Y1434" i="1" s="1"/>
  <c r="A1433" i="1"/>
  <c r="Y1433" i="1" s="1"/>
  <c r="A1432" i="1"/>
  <c r="Y1432" i="1" s="1"/>
  <c r="A1431" i="1"/>
  <c r="Y1431" i="1" s="1"/>
  <c r="A1430" i="1"/>
  <c r="Y1430" i="1" s="1"/>
  <c r="A1429" i="1"/>
  <c r="Y1429" i="1" s="1"/>
  <c r="A1428" i="1"/>
  <c r="Y1428" i="1" s="1"/>
  <c r="A1427" i="1"/>
  <c r="Y1427" i="1" s="1"/>
  <c r="A1426" i="1"/>
  <c r="Y1426" i="1" s="1"/>
  <c r="A1425" i="1"/>
  <c r="Y1425" i="1" s="1"/>
  <c r="A1424" i="1"/>
  <c r="Y1424" i="1" s="1"/>
  <c r="A1423" i="1"/>
  <c r="Y1423" i="1" s="1"/>
  <c r="A1422" i="1"/>
  <c r="Y1422" i="1" s="1"/>
  <c r="A1421" i="1"/>
  <c r="Y1421" i="1" s="1"/>
  <c r="A1420" i="1"/>
  <c r="Y1420" i="1" s="1"/>
  <c r="A1419" i="1"/>
  <c r="Y1419" i="1" s="1"/>
  <c r="A1418" i="1"/>
  <c r="Y1418" i="1" s="1"/>
  <c r="A1417" i="1"/>
  <c r="Y1417" i="1" s="1"/>
  <c r="A1416" i="1"/>
  <c r="Y1416" i="1" s="1"/>
  <c r="A1415" i="1"/>
  <c r="Y1415" i="1" s="1"/>
  <c r="A1414" i="1"/>
  <c r="Y1414" i="1" s="1"/>
  <c r="A1413" i="1"/>
  <c r="Y1413" i="1" s="1"/>
  <c r="A1412" i="1"/>
  <c r="Y1412" i="1" s="1"/>
  <c r="A1411" i="1"/>
  <c r="Y1411" i="1" s="1"/>
  <c r="A1410" i="1"/>
  <c r="Y1410" i="1" s="1"/>
  <c r="A1409" i="1"/>
  <c r="Y1409" i="1" s="1"/>
  <c r="A1408" i="1"/>
  <c r="Y1408" i="1" s="1"/>
  <c r="A1407" i="1"/>
  <c r="Y1407" i="1" s="1"/>
  <c r="A1406" i="1"/>
  <c r="Y1406" i="1" s="1"/>
  <c r="A1405" i="1"/>
  <c r="Y1405" i="1" s="1"/>
  <c r="A1404" i="1"/>
  <c r="Y1404" i="1" s="1"/>
  <c r="A1403" i="1"/>
  <c r="Y1403" i="1" s="1"/>
  <c r="A1402" i="1"/>
  <c r="Y1402" i="1" s="1"/>
  <c r="A1401" i="1"/>
  <c r="Y1401" i="1" s="1"/>
  <c r="A1400" i="1"/>
  <c r="Y1400" i="1" s="1"/>
  <c r="A1399" i="1"/>
  <c r="Y1399" i="1" s="1"/>
  <c r="A1398" i="1"/>
  <c r="Y1398" i="1" s="1"/>
  <c r="A1397" i="1"/>
  <c r="Y1397" i="1" s="1"/>
  <c r="A1396" i="1"/>
  <c r="Y1396" i="1" s="1"/>
  <c r="A1395" i="1"/>
  <c r="Y1395" i="1" s="1"/>
  <c r="A1394" i="1"/>
  <c r="Y1394" i="1" s="1"/>
  <c r="A1393" i="1"/>
  <c r="Y1393" i="1" s="1"/>
  <c r="A1392" i="1"/>
  <c r="Y1392" i="1" s="1"/>
  <c r="A1391" i="1"/>
  <c r="Y1391" i="1" s="1"/>
  <c r="A1390" i="1"/>
  <c r="Y1390" i="1" s="1"/>
  <c r="A1389" i="1"/>
  <c r="Y1389" i="1" s="1"/>
  <c r="A1388" i="1"/>
  <c r="Y1388" i="1" s="1"/>
  <c r="A1387" i="1"/>
  <c r="Y1387" i="1" s="1"/>
  <c r="A1386" i="1"/>
  <c r="Y1386" i="1" s="1"/>
  <c r="A1385" i="1"/>
  <c r="Y1385" i="1" s="1"/>
  <c r="A1384" i="1"/>
  <c r="Y1384" i="1" s="1"/>
  <c r="A1383" i="1"/>
  <c r="Y1383" i="1" s="1"/>
  <c r="A1382" i="1"/>
  <c r="Y1382" i="1" s="1"/>
  <c r="A1381" i="1"/>
  <c r="Y1381" i="1" s="1"/>
  <c r="A1380" i="1"/>
  <c r="Y1380" i="1" s="1"/>
  <c r="A1379" i="1"/>
  <c r="Y1379" i="1" s="1"/>
  <c r="A1378" i="1"/>
  <c r="Y1378" i="1" s="1"/>
  <c r="A1377" i="1"/>
  <c r="Y1377" i="1" s="1"/>
  <c r="A1376" i="1"/>
  <c r="Y1376" i="1" s="1"/>
  <c r="A1375" i="1"/>
  <c r="Y1375" i="1" s="1"/>
  <c r="A1374" i="1"/>
  <c r="Y1374" i="1" s="1"/>
  <c r="A1373" i="1"/>
  <c r="Y1373" i="1" s="1"/>
  <c r="A1372" i="1"/>
  <c r="Y1372" i="1" s="1"/>
  <c r="A1371" i="1"/>
  <c r="Y1371" i="1" s="1"/>
  <c r="A1370" i="1"/>
  <c r="Y1370" i="1" s="1"/>
  <c r="A1369" i="1"/>
  <c r="Y1369" i="1" s="1"/>
  <c r="A1368" i="1"/>
  <c r="Y1368" i="1" s="1"/>
  <c r="A1367" i="1"/>
  <c r="Y1367" i="1" s="1"/>
  <c r="A1366" i="1"/>
  <c r="Y1366" i="1" s="1"/>
  <c r="A1365" i="1"/>
  <c r="Y1365" i="1" s="1"/>
  <c r="A1364" i="1"/>
  <c r="Y1364" i="1" s="1"/>
  <c r="A1363" i="1"/>
  <c r="Y1363" i="1" s="1"/>
  <c r="A1362" i="1"/>
  <c r="Y1362" i="1" s="1"/>
  <c r="A1361" i="1"/>
  <c r="Y1361" i="1" s="1"/>
  <c r="A1360" i="1"/>
  <c r="Y1360" i="1" s="1"/>
  <c r="A1359" i="1"/>
  <c r="Y1359" i="1" s="1"/>
  <c r="A1358" i="1"/>
  <c r="Y1358" i="1" s="1"/>
  <c r="A1357" i="1"/>
  <c r="Y1357" i="1" s="1"/>
  <c r="A1356" i="1"/>
  <c r="Y1356" i="1" s="1"/>
  <c r="A1355" i="1"/>
  <c r="Y1355" i="1" s="1"/>
  <c r="A1354" i="1"/>
  <c r="Y1354" i="1" s="1"/>
  <c r="A1353" i="1"/>
  <c r="Y1353" i="1" s="1"/>
  <c r="A1352" i="1"/>
  <c r="Y1352" i="1" s="1"/>
  <c r="A1351" i="1"/>
  <c r="Y1351" i="1" s="1"/>
  <c r="A1350" i="1"/>
  <c r="Y1350" i="1" s="1"/>
  <c r="A1349" i="1"/>
  <c r="Y1349" i="1" s="1"/>
  <c r="A1348" i="1"/>
  <c r="Y1348" i="1" s="1"/>
  <c r="A1347" i="1"/>
  <c r="Y1347" i="1" s="1"/>
  <c r="A1346" i="1"/>
  <c r="Y1346" i="1" s="1"/>
  <c r="A1345" i="1"/>
  <c r="Y1345" i="1" s="1"/>
  <c r="A1344" i="1"/>
  <c r="Y1344" i="1" s="1"/>
  <c r="A1343" i="1"/>
  <c r="Y1343" i="1" s="1"/>
  <c r="A1342" i="1"/>
  <c r="Y1342" i="1" s="1"/>
  <c r="A1341" i="1"/>
  <c r="Y1341" i="1" s="1"/>
  <c r="A1340" i="1"/>
  <c r="Y1340" i="1" s="1"/>
  <c r="A1339" i="1"/>
  <c r="Y1339" i="1" s="1"/>
  <c r="A1338" i="1"/>
  <c r="Y1338" i="1" s="1"/>
  <c r="A1337" i="1"/>
  <c r="Y1337" i="1" s="1"/>
  <c r="A1336" i="1"/>
  <c r="Y1336" i="1" s="1"/>
  <c r="A1335" i="1"/>
  <c r="Y1335" i="1" s="1"/>
  <c r="A1334" i="1"/>
  <c r="Y1334" i="1" s="1"/>
  <c r="A1333" i="1"/>
  <c r="Y1333" i="1" s="1"/>
  <c r="A1332" i="1"/>
  <c r="Y1332" i="1" s="1"/>
  <c r="A1331" i="1"/>
  <c r="Y1331" i="1" s="1"/>
  <c r="A1330" i="1"/>
  <c r="Y1330" i="1" s="1"/>
  <c r="A1329" i="1"/>
  <c r="Y1329" i="1" s="1"/>
  <c r="A1328" i="1"/>
  <c r="Y1328" i="1" s="1"/>
  <c r="A1327" i="1"/>
  <c r="Y1327" i="1" s="1"/>
  <c r="A1326" i="1"/>
  <c r="Y1326" i="1" s="1"/>
  <c r="A1325" i="1"/>
  <c r="Y1325" i="1" s="1"/>
  <c r="A1324" i="1"/>
  <c r="Y1324" i="1" s="1"/>
  <c r="A1323" i="1"/>
  <c r="Y1323" i="1" s="1"/>
  <c r="A1322" i="1"/>
  <c r="Y1322" i="1" s="1"/>
  <c r="A1321" i="1"/>
  <c r="Y1321" i="1" s="1"/>
  <c r="A1320" i="1"/>
  <c r="Y1320" i="1" s="1"/>
  <c r="A1319" i="1"/>
  <c r="Y1319" i="1" s="1"/>
  <c r="A1318" i="1"/>
  <c r="Y1318" i="1" s="1"/>
  <c r="A1317" i="1"/>
  <c r="Y1317" i="1" s="1"/>
  <c r="A1316" i="1"/>
  <c r="Y1316" i="1" s="1"/>
  <c r="A1315" i="1"/>
  <c r="Y1315" i="1" s="1"/>
  <c r="A1314" i="1"/>
  <c r="Y1314" i="1" s="1"/>
  <c r="A1313" i="1"/>
  <c r="Y1313" i="1" s="1"/>
  <c r="A1312" i="1"/>
  <c r="Y1312" i="1" s="1"/>
  <c r="A1311" i="1"/>
  <c r="Y1311" i="1" s="1"/>
  <c r="A1310" i="1"/>
  <c r="Y1310" i="1" s="1"/>
  <c r="A1309" i="1"/>
  <c r="Y1309" i="1" s="1"/>
  <c r="A1308" i="1"/>
  <c r="Y1308" i="1" s="1"/>
  <c r="A1307" i="1"/>
  <c r="Y1307" i="1" s="1"/>
  <c r="A1306" i="1"/>
  <c r="Y1306" i="1" s="1"/>
  <c r="A1305" i="1"/>
  <c r="Y1305" i="1" s="1"/>
  <c r="A1304" i="1"/>
  <c r="Y1304" i="1" s="1"/>
  <c r="A1303" i="1"/>
  <c r="Y1303" i="1" s="1"/>
  <c r="A1302" i="1"/>
  <c r="Y1302" i="1" s="1"/>
  <c r="A1301" i="1"/>
  <c r="Y1301" i="1" s="1"/>
  <c r="A1300" i="1"/>
  <c r="Y1300" i="1" s="1"/>
  <c r="A1299" i="1"/>
  <c r="Y1299" i="1" s="1"/>
  <c r="A1298" i="1"/>
  <c r="Y1298" i="1" s="1"/>
  <c r="A1297" i="1"/>
  <c r="Y1297" i="1" s="1"/>
  <c r="A1296" i="1"/>
  <c r="Y1296" i="1" s="1"/>
  <c r="A1295" i="1"/>
  <c r="Y1295" i="1" s="1"/>
  <c r="A1294" i="1"/>
  <c r="Y1294" i="1" s="1"/>
  <c r="A1293" i="1"/>
  <c r="Y1293" i="1" s="1"/>
  <c r="A1292" i="1"/>
  <c r="Y1292" i="1" s="1"/>
  <c r="A1291" i="1"/>
  <c r="Y1291" i="1" s="1"/>
  <c r="A1290" i="1"/>
  <c r="Y1290" i="1" s="1"/>
  <c r="A1289" i="1"/>
  <c r="Y1289" i="1" s="1"/>
  <c r="A1288" i="1"/>
  <c r="Y1288" i="1" s="1"/>
  <c r="A1287" i="1"/>
  <c r="Y1287" i="1" s="1"/>
  <c r="A1286" i="1"/>
  <c r="Y1286" i="1" s="1"/>
  <c r="A1285" i="1"/>
  <c r="Y1285" i="1" s="1"/>
  <c r="A1284" i="1"/>
  <c r="Y1284" i="1" s="1"/>
  <c r="A1283" i="1"/>
  <c r="Y1283" i="1" s="1"/>
  <c r="A1282" i="1"/>
  <c r="Y1282" i="1" s="1"/>
  <c r="A1281" i="1"/>
  <c r="Y1281" i="1" s="1"/>
  <c r="A1280" i="1"/>
  <c r="Y1280" i="1" s="1"/>
  <c r="A1279" i="1"/>
  <c r="Y1279" i="1" s="1"/>
  <c r="A1278" i="1"/>
  <c r="Y1278" i="1" s="1"/>
  <c r="A1277" i="1"/>
  <c r="Y1277" i="1" s="1"/>
  <c r="A1276" i="1"/>
  <c r="Y1276" i="1" s="1"/>
  <c r="A1275" i="1"/>
  <c r="Y1275" i="1" s="1"/>
  <c r="A1274" i="1"/>
  <c r="Y1274" i="1" s="1"/>
  <c r="A1273" i="1"/>
  <c r="Y1273" i="1" s="1"/>
  <c r="A1272" i="1"/>
  <c r="Y1272" i="1" s="1"/>
  <c r="A1271" i="1"/>
  <c r="Y1271" i="1" s="1"/>
  <c r="A1270" i="1"/>
  <c r="Y1270" i="1" s="1"/>
  <c r="A1269" i="1"/>
  <c r="Y1269" i="1" s="1"/>
  <c r="A1268" i="1"/>
  <c r="Y1268" i="1" s="1"/>
  <c r="A1267" i="1"/>
  <c r="Y1267" i="1" s="1"/>
  <c r="A1266" i="1"/>
  <c r="Y1266" i="1" s="1"/>
  <c r="A1265" i="1"/>
  <c r="Y1265" i="1" s="1"/>
  <c r="A1264" i="1"/>
  <c r="Y1264" i="1" s="1"/>
  <c r="A1263" i="1"/>
  <c r="Y1263" i="1" s="1"/>
  <c r="A1262" i="1"/>
  <c r="Y1262" i="1" s="1"/>
  <c r="A1261" i="1"/>
  <c r="Y1261" i="1" s="1"/>
  <c r="A1260" i="1"/>
  <c r="Y1260" i="1" s="1"/>
  <c r="A1259" i="1"/>
  <c r="Y1259" i="1" s="1"/>
  <c r="A1258" i="1"/>
  <c r="Y1258" i="1" s="1"/>
  <c r="A1257" i="1"/>
  <c r="Y1257" i="1" s="1"/>
  <c r="A1256" i="1"/>
  <c r="Y1256" i="1" s="1"/>
  <c r="A1255" i="1"/>
  <c r="Y1255" i="1" s="1"/>
  <c r="A1254" i="1"/>
  <c r="Y1254" i="1" s="1"/>
  <c r="A1253" i="1"/>
  <c r="Y1253" i="1" s="1"/>
  <c r="A1252" i="1"/>
  <c r="Y1252" i="1" s="1"/>
  <c r="A1251" i="1"/>
  <c r="Y1251" i="1" s="1"/>
  <c r="A1250" i="1"/>
  <c r="Y1250" i="1" s="1"/>
  <c r="A1249" i="1"/>
  <c r="Y1249" i="1" s="1"/>
  <c r="A1248" i="1"/>
  <c r="Y1248" i="1" s="1"/>
  <c r="A1247" i="1"/>
  <c r="Y1247" i="1" s="1"/>
  <c r="A1246" i="1"/>
  <c r="Y1246" i="1" s="1"/>
  <c r="A1245" i="1"/>
  <c r="Y1245" i="1" s="1"/>
  <c r="A1244" i="1"/>
  <c r="Y1244" i="1" s="1"/>
  <c r="A1243" i="1"/>
  <c r="Y1243" i="1" s="1"/>
  <c r="A1242" i="1"/>
  <c r="Y1242" i="1" s="1"/>
  <c r="A1241" i="1"/>
  <c r="Y1241" i="1" s="1"/>
  <c r="A1240" i="1"/>
  <c r="Y1240" i="1" s="1"/>
  <c r="A1239" i="1"/>
  <c r="Y1239" i="1" s="1"/>
  <c r="A1238" i="1"/>
  <c r="Y1238" i="1" s="1"/>
  <c r="A1237" i="1"/>
  <c r="Y1237" i="1" s="1"/>
  <c r="A1236" i="1"/>
  <c r="Y1236" i="1" s="1"/>
  <c r="A1235" i="1"/>
  <c r="Y1235" i="1" s="1"/>
  <c r="A1234" i="1"/>
  <c r="Y1234" i="1" s="1"/>
  <c r="A1233" i="1"/>
  <c r="Y1233" i="1" s="1"/>
  <c r="A1232" i="1"/>
  <c r="Y1232" i="1" s="1"/>
  <c r="A1231" i="1"/>
  <c r="Y1231" i="1" s="1"/>
  <c r="A1230" i="1"/>
  <c r="Y1230" i="1" s="1"/>
  <c r="A1229" i="1"/>
  <c r="Y1229" i="1" s="1"/>
  <c r="A1228" i="1"/>
  <c r="Y1228" i="1" s="1"/>
  <c r="A1227" i="1"/>
  <c r="Y1227" i="1" s="1"/>
  <c r="A1226" i="1"/>
  <c r="Y1226" i="1" s="1"/>
  <c r="A1225" i="1"/>
  <c r="Y1225" i="1" s="1"/>
  <c r="A1224" i="1"/>
  <c r="Y1224" i="1" s="1"/>
  <c r="A1223" i="1"/>
  <c r="Y1223" i="1" s="1"/>
  <c r="A1222" i="1"/>
  <c r="Y1222" i="1" s="1"/>
  <c r="A1221" i="1"/>
  <c r="Y1221" i="1" s="1"/>
  <c r="A1220" i="1"/>
  <c r="Y1220" i="1" s="1"/>
  <c r="A1219" i="1"/>
  <c r="Y1219" i="1" s="1"/>
  <c r="A1218" i="1"/>
  <c r="Y1218" i="1" s="1"/>
  <c r="A1217" i="1"/>
  <c r="Y1217" i="1" s="1"/>
  <c r="A1216" i="1"/>
  <c r="Y1216" i="1" s="1"/>
  <c r="A1215" i="1"/>
  <c r="Y1215" i="1" s="1"/>
  <c r="A1214" i="1"/>
  <c r="Y1214" i="1" s="1"/>
  <c r="A1213" i="1"/>
  <c r="Y1213" i="1" s="1"/>
  <c r="A1212" i="1"/>
  <c r="Y1212" i="1" s="1"/>
  <c r="A1211" i="1"/>
  <c r="Y1211" i="1" s="1"/>
  <c r="A1210" i="1"/>
  <c r="Y1210" i="1" s="1"/>
  <c r="A1209" i="1"/>
  <c r="Y1209" i="1" s="1"/>
  <c r="A1208" i="1"/>
  <c r="Y1208" i="1" s="1"/>
  <c r="A1207" i="1"/>
  <c r="Y1207" i="1" s="1"/>
  <c r="A1206" i="1"/>
  <c r="Y1206" i="1" s="1"/>
  <c r="A1205" i="1"/>
  <c r="Y1205" i="1" s="1"/>
  <c r="A1204" i="1"/>
  <c r="Y1204" i="1" s="1"/>
  <c r="A1203" i="1"/>
  <c r="Y1203" i="1" s="1"/>
  <c r="A1202" i="1"/>
  <c r="Y1202" i="1" s="1"/>
  <c r="A1201" i="1"/>
  <c r="Y1201" i="1" s="1"/>
  <c r="A1200" i="1"/>
  <c r="Y1200" i="1" s="1"/>
  <c r="A1199" i="1"/>
  <c r="Y1199" i="1" s="1"/>
  <c r="A1198" i="1"/>
  <c r="Y1198" i="1" s="1"/>
  <c r="A1197" i="1"/>
  <c r="Y1197" i="1" s="1"/>
  <c r="A1196" i="1"/>
  <c r="Y1196" i="1" s="1"/>
  <c r="A1195" i="1"/>
  <c r="Y1195" i="1" s="1"/>
  <c r="A1194" i="1"/>
  <c r="Y1194" i="1" s="1"/>
  <c r="A1193" i="1"/>
  <c r="Y1193" i="1" s="1"/>
  <c r="A1192" i="1"/>
  <c r="Y1192" i="1" s="1"/>
  <c r="A1191" i="1"/>
  <c r="Y1191" i="1" s="1"/>
  <c r="A1190" i="1"/>
  <c r="Y1190" i="1" s="1"/>
  <c r="A1189" i="1"/>
  <c r="Y1189" i="1" s="1"/>
  <c r="A1188" i="1"/>
  <c r="Y1188" i="1" s="1"/>
  <c r="A1187" i="1"/>
  <c r="Y1187" i="1" s="1"/>
  <c r="A1186" i="1"/>
  <c r="Y1186" i="1" s="1"/>
  <c r="A1185" i="1"/>
  <c r="Y1185" i="1" s="1"/>
  <c r="A1184" i="1"/>
  <c r="Y1184" i="1" s="1"/>
  <c r="A1183" i="1"/>
  <c r="Y1183" i="1" s="1"/>
  <c r="A1182" i="1"/>
  <c r="Y1182" i="1" s="1"/>
  <c r="A1181" i="1"/>
  <c r="Y1181" i="1" s="1"/>
  <c r="A1180" i="1"/>
  <c r="Y1180" i="1" s="1"/>
  <c r="A1179" i="1"/>
  <c r="Y1179" i="1" s="1"/>
  <c r="A1178" i="1"/>
  <c r="Y1178" i="1" s="1"/>
  <c r="A1177" i="1"/>
  <c r="Y1177" i="1" s="1"/>
  <c r="A1176" i="1"/>
  <c r="Y1176" i="1" s="1"/>
  <c r="A1175" i="1"/>
  <c r="Y1175" i="1" s="1"/>
  <c r="A1174" i="1"/>
  <c r="Y1174" i="1" s="1"/>
  <c r="A1173" i="1"/>
  <c r="Y1173" i="1" s="1"/>
  <c r="A1172" i="1"/>
  <c r="Y1172" i="1" s="1"/>
  <c r="A1171" i="1"/>
  <c r="Y1171" i="1" s="1"/>
  <c r="A1170" i="1"/>
  <c r="Y1170" i="1" s="1"/>
  <c r="A1169" i="1"/>
  <c r="Y1169" i="1" s="1"/>
  <c r="A1168" i="1"/>
  <c r="Y1168" i="1" s="1"/>
  <c r="A1167" i="1"/>
  <c r="Y1167" i="1" s="1"/>
  <c r="A1166" i="1"/>
  <c r="Y1166" i="1" s="1"/>
  <c r="A1165" i="1"/>
  <c r="Y1165" i="1" s="1"/>
  <c r="A1164" i="1"/>
  <c r="Y1164" i="1" s="1"/>
  <c r="A1163" i="1"/>
  <c r="Y1163" i="1" s="1"/>
  <c r="A1162" i="1"/>
  <c r="Y1162" i="1" s="1"/>
  <c r="A1161" i="1"/>
  <c r="Y1161" i="1" s="1"/>
  <c r="A1160" i="1"/>
  <c r="Y1160" i="1" s="1"/>
  <c r="A1159" i="1"/>
  <c r="Y1159" i="1" s="1"/>
  <c r="A1158" i="1"/>
  <c r="Y1158" i="1" s="1"/>
  <c r="A1157" i="1"/>
  <c r="Y1157" i="1" s="1"/>
  <c r="A1156" i="1"/>
  <c r="Y1156" i="1" s="1"/>
  <c r="A1155" i="1"/>
  <c r="Y1155" i="1" s="1"/>
  <c r="A1154" i="1"/>
  <c r="Y1154" i="1" s="1"/>
  <c r="A1153" i="1"/>
  <c r="Y1153" i="1" s="1"/>
  <c r="A1152" i="1"/>
  <c r="Y1152" i="1" s="1"/>
  <c r="A1151" i="1"/>
  <c r="Y1151" i="1" s="1"/>
  <c r="A1150" i="1"/>
  <c r="Y1150" i="1" s="1"/>
  <c r="A1149" i="1"/>
  <c r="Y1149" i="1" s="1"/>
  <c r="A1148" i="1"/>
  <c r="Y1148" i="1" s="1"/>
  <c r="A1147" i="1"/>
  <c r="Y1147" i="1" s="1"/>
  <c r="A1146" i="1"/>
  <c r="Y1146" i="1" s="1"/>
  <c r="A1145" i="1"/>
  <c r="Y1145" i="1" s="1"/>
  <c r="A1144" i="1"/>
  <c r="Y1144" i="1" s="1"/>
  <c r="A1143" i="1"/>
  <c r="Y1143" i="1" s="1"/>
  <c r="A1142" i="1"/>
  <c r="Y1142" i="1" s="1"/>
  <c r="A1141" i="1"/>
  <c r="Y1141" i="1" s="1"/>
  <c r="A1140" i="1"/>
  <c r="Y1140" i="1" s="1"/>
  <c r="A1139" i="1"/>
  <c r="Y1139" i="1" s="1"/>
  <c r="A1138" i="1"/>
  <c r="Y1138" i="1" s="1"/>
  <c r="A1137" i="1"/>
  <c r="Y1137" i="1" s="1"/>
  <c r="A1136" i="1"/>
  <c r="Y1136" i="1" s="1"/>
  <c r="A1135" i="1"/>
  <c r="Y1135" i="1" s="1"/>
  <c r="A1134" i="1"/>
  <c r="Y1134" i="1" s="1"/>
  <c r="A1133" i="1"/>
  <c r="Y1133" i="1" s="1"/>
  <c r="A1132" i="1"/>
  <c r="Y1132" i="1" s="1"/>
  <c r="A1131" i="1"/>
  <c r="Y1131" i="1" s="1"/>
  <c r="A1130" i="1"/>
  <c r="Y1130" i="1" s="1"/>
  <c r="A1129" i="1"/>
  <c r="Y1129" i="1" s="1"/>
  <c r="A1128" i="1"/>
  <c r="Y1128" i="1" s="1"/>
  <c r="A1127" i="1"/>
  <c r="Y1127" i="1" s="1"/>
  <c r="A1126" i="1"/>
  <c r="Y1126" i="1" s="1"/>
  <c r="A1125" i="1"/>
  <c r="Y1125" i="1" s="1"/>
  <c r="A1124" i="1"/>
  <c r="Y1124" i="1" s="1"/>
  <c r="A1123" i="1"/>
  <c r="Y1123" i="1" s="1"/>
  <c r="A1122" i="1"/>
  <c r="Y1122" i="1" s="1"/>
  <c r="A1121" i="1"/>
  <c r="Y1121" i="1" s="1"/>
  <c r="A1120" i="1"/>
  <c r="Y1120" i="1" s="1"/>
  <c r="A1119" i="1"/>
  <c r="Y1119" i="1" s="1"/>
  <c r="A1118" i="1"/>
  <c r="Y1118" i="1" s="1"/>
  <c r="A1117" i="1"/>
  <c r="Y1117" i="1" s="1"/>
  <c r="A1116" i="1"/>
  <c r="Y1116" i="1" s="1"/>
  <c r="A1115" i="1"/>
  <c r="Y1115" i="1" s="1"/>
  <c r="A1114" i="1"/>
  <c r="Y1114" i="1" s="1"/>
  <c r="A1113" i="1"/>
  <c r="Y1113" i="1" s="1"/>
  <c r="A1112" i="1"/>
  <c r="Y1112" i="1" s="1"/>
  <c r="A1111" i="1"/>
  <c r="Y1111" i="1" s="1"/>
  <c r="A1110" i="1"/>
  <c r="Y1110" i="1" s="1"/>
  <c r="A1109" i="1"/>
  <c r="Y1109" i="1" s="1"/>
  <c r="A1108" i="1"/>
  <c r="Y1108" i="1" s="1"/>
  <c r="A1107" i="1"/>
  <c r="Y1107" i="1" s="1"/>
  <c r="A1106" i="1"/>
  <c r="Y1106" i="1" s="1"/>
  <c r="A1105" i="1"/>
  <c r="Y1105" i="1" s="1"/>
  <c r="A1104" i="1"/>
  <c r="Y1104" i="1" s="1"/>
  <c r="A1103" i="1"/>
  <c r="Y1103" i="1" s="1"/>
  <c r="A1102" i="1"/>
  <c r="Y1102" i="1" s="1"/>
  <c r="A1101" i="1"/>
  <c r="Y1101" i="1" s="1"/>
  <c r="A1100" i="1"/>
  <c r="Y1100" i="1" s="1"/>
  <c r="A1099" i="1"/>
  <c r="Y1099" i="1" s="1"/>
  <c r="A1098" i="1"/>
  <c r="Y1098" i="1" s="1"/>
  <c r="A1097" i="1"/>
  <c r="Y1097" i="1" s="1"/>
  <c r="A1096" i="1"/>
  <c r="Y1096" i="1" s="1"/>
  <c r="A1095" i="1"/>
  <c r="Y1095" i="1" s="1"/>
  <c r="A1094" i="1"/>
  <c r="Y1094" i="1" s="1"/>
  <c r="A1093" i="1"/>
  <c r="Y1093" i="1" s="1"/>
  <c r="A1092" i="1"/>
  <c r="Y1092" i="1" s="1"/>
  <c r="A1091" i="1"/>
  <c r="Y1091" i="1" s="1"/>
  <c r="A1090" i="1"/>
  <c r="Y1090" i="1" s="1"/>
  <c r="A1089" i="1"/>
  <c r="Y1089" i="1" s="1"/>
  <c r="A1088" i="1"/>
  <c r="Y1088" i="1" s="1"/>
  <c r="A1087" i="1"/>
  <c r="Y1087" i="1" s="1"/>
  <c r="A1086" i="1"/>
  <c r="Y1086" i="1" s="1"/>
  <c r="A1085" i="1"/>
  <c r="Y1085" i="1" s="1"/>
  <c r="A1084" i="1"/>
  <c r="Y1084" i="1" s="1"/>
  <c r="A1083" i="1"/>
  <c r="Y1083" i="1" s="1"/>
  <c r="A1082" i="1"/>
  <c r="Y1082" i="1" s="1"/>
  <c r="A1081" i="1"/>
  <c r="Y1081" i="1" s="1"/>
  <c r="A1080" i="1"/>
  <c r="Y1080" i="1" s="1"/>
  <c r="A1079" i="1"/>
  <c r="Y1079" i="1" s="1"/>
  <c r="A1078" i="1"/>
  <c r="Y1078" i="1" s="1"/>
  <c r="A1077" i="1"/>
  <c r="Y1077" i="1" s="1"/>
  <c r="A1076" i="1"/>
  <c r="Y1076" i="1" s="1"/>
  <c r="A1075" i="1"/>
  <c r="Y1075" i="1" s="1"/>
  <c r="A1074" i="1"/>
  <c r="Y1074" i="1" s="1"/>
  <c r="A1073" i="1"/>
  <c r="Y1073" i="1" s="1"/>
  <c r="A1072" i="1"/>
  <c r="Y1072" i="1" s="1"/>
  <c r="A1071" i="1"/>
  <c r="Y1071" i="1" s="1"/>
  <c r="A1070" i="1"/>
  <c r="Y1070" i="1" s="1"/>
  <c r="A1069" i="1"/>
  <c r="Y1069" i="1" s="1"/>
  <c r="A1068" i="1"/>
  <c r="Y1068" i="1" s="1"/>
  <c r="A1067" i="1"/>
  <c r="Y1067" i="1" s="1"/>
  <c r="A1066" i="1"/>
  <c r="Y1066" i="1" s="1"/>
  <c r="A1065" i="1"/>
  <c r="Y1065" i="1" s="1"/>
  <c r="A1064" i="1"/>
  <c r="Y1064" i="1" s="1"/>
  <c r="A1063" i="1"/>
  <c r="Y1063" i="1" s="1"/>
  <c r="A1062" i="1"/>
  <c r="Y1062" i="1" s="1"/>
  <c r="A1061" i="1"/>
  <c r="Y1061" i="1" s="1"/>
  <c r="A1060" i="1"/>
  <c r="Y1060" i="1" s="1"/>
  <c r="A1059" i="1"/>
  <c r="Y1059" i="1" s="1"/>
  <c r="A1058" i="1"/>
  <c r="Y1058" i="1" s="1"/>
  <c r="A1057" i="1"/>
  <c r="Y1057" i="1" s="1"/>
  <c r="A1056" i="1"/>
  <c r="Y1056" i="1" s="1"/>
  <c r="A1055" i="1"/>
  <c r="Y1055" i="1" s="1"/>
  <c r="A1054" i="1"/>
  <c r="Y1054" i="1" s="1"/>
  <c r="A1053" i="1"/>
  <c r="Y1053" i="1" s="1"/>
  <c r="A1052" i="1"/>
  <c r="Y1052" i="1" s="1"/>
  <c r="A1051" i="1"/>
  <c r="Y1051" i="1" s="1"/>
  <c r="A1050" i="1"/>
  <c r="Y1050" i="1" s="1"/>
  <c r="A1049" i="1"/>
  <c r="Y1049" i="1" s="1"/>
  <c r="A1048" i="1"/>
  <c r="Y1048" i="1" s="1"/>
  <c r="A1047" i="1"/>
  <c r="Y1047" i="1" s="1"/>
  <c r="A1046" i="1"/>
  <c r="Y1046" i="1" s="1"/>
  <c r="A1045" i="1"/>
  <c r="Y1045" i="1" s="1"/>
  <c r="A1044" i="1"/>
  <c r="Y1044" i="1" s="1"/>
  <c r="A1043" i="1"/>
  <c r="Y1043" i="1" s="1"/>
  <c r="A1042" i="1"/>
  <c r="Y1042" i="1" s="1"/>
  <c r="A1041" i="1"/>
  <c r="Y1041" i="1" s="1"/>
  <c r="A1040" i="1"/>
  <c r="Y1040" i="1" s="1"/>
  <c r="A1039" i="1"/>
  <c r="Y1039" i="1" s="1"/>
  <c r="A1038" i="1"/>
  <c r="Y1038" i="1" s="1"/>
  <c r="A1037" i="1"/>
  <c r="Y1037" i="1" s="1"/>
  <c r="A1036" i="1"/>
  <c r="Y1036" i="1" s="1"/>
  <c r="A1035" i="1"/>
  <c r="Y1035" i="1" s="1"/>
  <c r="A1034" i="1"/>
  <c r="Y1034" i="1" s="1"/>
  <c r="A1033" i="1"/>
  <c r="Y1033" i="1" s="1"/>
  <c r="A1032" i="1"/>
  <c r="Y1032" i="1" s="1"/>
  <c r="A1031" i="1"/>
  <c r="Y1031" i="1" s="1"/>
  <c r="A1030" i="1"/>
  <c r="Y1030" i="1" s="1"/>
  <c r="A1029" i="1"/>
  <c r="Y1029" i="1" s="1"/>
  <c r="A1028" i="1"/>
  <c r="Y1028" i="1" s="1"/>
  <c r="A1027" i="1"/>
  <c r="Y1027" i="1" s="1"/>
  <c r="A1026" i="1"/>
  <c r="Y1026" i="1" s="1"/>
  <c r="A1025" i="1"/>
  <c r="Y1025" i="1" s="1"/>
  <c r="A1024" i="1"/>
  <c r="Y1024" i="1" s="1"/>
  <c r="A1023" i="1"/>
  <c r="Y1023" i="1" s="1"/>
  <c r="A1022" i="1"/>
  <c r="Y1022" i="1" s="1"/>
  <c r="A1021" i="1"/>
  <c r="Y1021" i="1" s="1"/>
  <c r="A1020" i="1"/>
  <c r="Y1020" i="1" s="1"/>
  <c r="A1019" i="1"/>
  <c r="Y1019" i="1" s="1"/>
  <c r="A1018" i="1"/>
  <c r="Y1018" i="1" s="1"/>
  <c r="A1017" i="1"/>
  <c r="Y1017" i="1" s="1"/>
  <c r="A1016" i="1"/>
  <c r="Y1016" i="1" s="1"/>
  <c r="A1015" i="1"/>
  <c r="Y1015" i="1" s="1"/>
  <c r="A1014" i="1"/>
  <c r="Y1014" i="1" s="1"/>
  <c r="A1013" i="1"/>
  <c r="Y1013" i="1" s="1"/>
  <c r="A1012" i="1"/>
  <c r="Y1012" i="1" s="1"/>
  <c r="A1011" i="1"/>
  <c r="Y1011" i="1" s="1"/>
  <c r="A1010" i="1"/>
  <c r="Y1010" i="1" s="1"/>
  <c r="A1009" i="1"/>
  <c r="Y1009" i="1" s="1"/>
  <c r="A1008" i="1"/>
  <c r="Y1008" i="1" s="1"/>
  <c r="A1007" i="1"/>
  <c r="Y1007" i="1" s="1"/>
  <c r="A1006" i="1"/>
  <c r="Y1006" i="1" s="1"/>
  <c r="A1005" i="1"/>
  <c r="Y1005" i="1" s="1"/>
  <c r="A1004" i="1"/>
  <c r="Y1004" i="1" s="1"/>
  <c r="A1003" i="1"/>
  <c r="Y1003" i="1" s="1"/>
  <c r="A1002" i="1"/>
  <c r="Y1002" i="1" s="1"/>
  <c r="A1001" i="1"/>
  <c r="Y1001" i="1" s="1"/>
  <c r="A1000" i="1"/>
  <c r="Y1000" i="1" s="1"/>
  <c r="A999" i="1"/>
  <c r="Y999" i="1" s="1"/>
  <c r="A998" i="1"/>
  <c r="Y998" i="1" s="1"/>
  <c r="A997" i="1"/>
  <c r="Y997" i="1" s="1"/>
  <c r="A996" i="1"/>
  <c r="Y996" i="1" s="1"/>
  <c r="A995" i="1"/>
  <c r="Y995" i="1" s="1"/>
  <c r="A994" i="1"/>
  <c r="Y994" i="1" s="1"/>
  <c r="A993" i="1"/>
  <c r="Y993" i="1" s="1"/>
  <c r="A992" i="1"/>
  <c r="Y992" i="1" s="1"/>
  <c r="A991" i="1"/>
  <c r="Y991" i="1" s="1"/>
  <c r="A990" i="1"/>
  <c r="Y990" i="1" s="1"/>
  <c r="A989" i="1"/>
  <c r="Y989" i="1" s="1"/>
  <c r="A988" i="1"/>
  <c r="Y988" i="1" s="1"/>
  <c r="A987" i="1"/>
  <c r="Y987" i="1" s="1"/>
  <c r="A986" i="1"/>
  <c r="Y986" i="1" s="1"/>
  <c r="A985" i="1"/>
  <c r="Y985" i="1" s="1"/>
  <c r="A984" i="1"/>
  <c r="Y984" i="1" s="1"/>
  <c r="A983" i="1"/>
  <c r="Y983" i="1" s="1"/>
  <c r="A982" i="1"/>
  <c r="Y982" i="1" s="1"/>
  <c r="A981" i="1"/>
  <c r="Y981" i="1" s="1"/>
  <c r="A980" i="1"/>
  <c r="Y980" i="1" s="1"/>
  <c r="A979" i="1"/>
  <c r="Y979" i="1" s="1"/>
  <c r="A978" i="1"/>
  <c r="Y978" i="1" s="1"/>
  <c r="A977" i="1"/>
  <c r="Y977" i="1" s="1"/>
  <c r="A976" i="1"/>
  <c r="Y976" i="1" s="1"/>
  <c r="A975" i="1"/>
  <c r="Y975" i="1" s="1"/>
  <c r="A974" i="1"/>
  <c r="Y974" i="1" s="1"/>
  <c r="A973" i="1"/>
  <c r="Y973" i="1" s="1"/>
  <c r="A972" i="1"/>
  <c r="Y972" i="1" s="1"/>
  <c r="A971" i="1"/>
  <c r="Y971" i="1" s="1"/>
  <c r="A970" i="1"/>
  <c r="Y970" i="1" s="1"/>
  <c r="A969" i="1"/>
  <c r="Y969" i="1" s="1"/>
  <c r="A968" i="1"/>
  <c r="Y968" i="1" s="1"/>
  <c r="A967" i="1"/>
  <c r="Y967" i="1" s="1"/>
  <c r="A966" i="1"/>
  <c r="Y966" i="1" s="1"/>
  <c r="A965" i="1"/>
  <c r="Y965" i="1" s="1"/>
  <c r="A964" i="1"/>
  <c r="Y964" i="1" s="1"/>
  <c r="A963" i="1"/>
  <c r="Y963" i="1" s="1"/>
  <c r="A962" i="1"/>
  <c r="Y962" i="1" s="1"/>
  <c r="A961" i="1"/>
  <c r="Y961" i="1" s="1"/>
  <c r="A960" i="1"/>
  <c r="Y960" i="1" s="1"/>
  <c r="A959" i="1"/>
  <c r="Y959" i="1" s="1"/>
  <c r="A958" i="1"/>
  <c r="Y958" i="1" s="1"/>
  <c r="A957" i="1"/>
  <c r="Y957" i="1" s="1"/>
  <c r="A956" i="1"/>
  <c r="Y956" i="1" s="1"/>
  <c r="A955" i="1"/>
  <c r="Y955" i="1" s="1"/>
  <c r="A954" i="1"/>
  <c r="Y954" i="1" s="1"/>
  <c r="A953" i="1"/>
  <c r="Y953" i="1" s="1"/>
  <c r="A952" i="1"/>
  <c r="Y952" i="1" s="1"/>
  <c r="A951" i="1"/>
  <c r="Y951" i="1" s="1"/>
  <c r="A950" i="1"/>
  <c r="Y950" i="1" s="1"/>
  <c r="A949" i="1"/>
  <c r="Y949" i="1" s="1"/>
  <c r="A948" i="1"/>
  <c r="Y948" i="1" s="1"/>
  <c r="A947" i="1"/>
  <c r="Y947" i="1" s="1"/>
  <c r="A946" i="1"/>
  <c r="Y946" i="1" s="1"/>
  <c r="A945" i="1"/>
  <c r="Y945" i="1" s="1"/>
  <c r="A944" i="1"/>
  <c r="Y944" i="1" s="1"/>
  <c r="A943" i="1"/>
  <c r="Y943" i="1" s="1"/>
  <c r="A942" i="1"/>
  <c r="Y942" i="1" s="1"/>
  <c r="A941" i="1"/>
  <c r="Y941" i="1" s="1"/>
  <c r="A940" i="1"/>
  <c r="Y940" i="1" s="1"/>
  <c r="A939" i="1"/>
  <c r="Y939" i="1" s="1"/>
  <c r="A938" i="1"/>
  <c r="Y938" i="1" s="1"/>
  <c r="A937" i="1"/>
  <c r="Y937" i="1" s="1"/>
  <c r="A936" i="1"/>
  <c r="Y936" i="1" s="1"/>
  <c r="A935" i="1"/>
  <c r="Y935" i="1" s="1"/>
  <c r="A934" i="1"/>
  <c r="Y934" i="1" s="1"/>
  <c r="A933" i="1"/>
  <c r="Y933" i="1" s="1"/>
  <c r="A932" i="1"/>
  <c r="Y932" i="1" s="1"/>
  <c r="A931" i="1"/>
  <c r="Y931" i="1" s="1"/>
  <c r="A930" i="1"/>
  <c r="Y930" i="1" s="1"/>
  <c r="A929" i="1"/>
  <c r="Y929" i="1" s="1"/>
  <c r="A928" i="1"/>
  <c r="Y928" i="1" s="1"/>
  <c r="A927" i="1"/>
  <c r="Y927" i="1" s="1"/>
  <c r="A926" i="1"/>
  <c r="Y926" i="1" s="1"/>
  <c r="A925" i="1"/>
  <c r="Y925" i="1" s="1"/>
  <c r="A924" i="1"/>
  <c r="Y924" i="1" s="1"/>
  <c r="A923" i="1"/>
  <c r="Y923" i="1" s="1"/>
  <c r="A922" i="1"/>
  <c r="Y922" i="1" s="1"/>
  <c r="A921" i="1"/>
  <c r="Y921" i="1" s="1"/>
  <c r="A920" i="1"/>
  <c r="Y920" i="1" s="1"/>
  <c r="A919" i="1"/>
  <c r="Y919" i="1" s="1"/>
  <c r="A918" i="1"/>
  <c r="Y918" i="1" s="1"/>
  <c r="A917" i="1"/>
  <c r="Y917" i="1" s="1"/>
  <c r="A916" i="1"/>
  <c r="Y916" i="1" s="1"/>
  <c r="A915" i="1"/>
  <c r="Y915" i="1" s="1"/>
  <c r="A914" i="1"/>
  <c r="Y914" i="1" s="1"/>
  <c r="A913" i="1"/>
  <c r="Y913" i="1" s="1"/>
  <c r="A912" i="1"/>
  <c r="Y912" i="1" s="1"/>
  <c r="A911" i="1"/>
  <c r="Y911" i="1" s="1"/>
  <c r="A910" i="1"/>
  <c r="Y910" i="1" s="1"/>
  <c r="A909" i="1"/>
  <c r="Y909" i="1" s="1"/>
  <c r="A908" i="1"/>
  <c r="Y908" i="1" s="1"/>
  <c r="A907" i="1"/>
  <c r="Y907" i="1" s="1"/>
  <c r="A906" i="1"/>
  <c r="Y906" i="1" s="1"/>
  <c r="A905" i="1"/>
  <c r="Y905" i="1" s="1"/>
  <c r="A904" i="1"/>
  <c r="Y904" i="1" s="1"/>
  <c r="A903" i="1"/>
  <c r="Y903" i="1" s="1"/>
  <c r="A902" i="1"/>
  <c r="Y902" i="1" s="1"/>
  <c r="A901" i="1"/>
  <c r="Y901" i="1" s="1"/>
  <c r="A900" i="1"/>
  <c r="Y900" i="1" s="1"/>
  <c r="A899" i="1"/>
  <c r="Y899" i="1" s="1"/>
  <c r="A898" i="1"/>
  <c r="Y898" i="1" s="1"/>
  <c r="A897" i="1"/>
  <c r="Y897" i="1" s="1"/>
  <c r="A896" i="1"/>
  <c r="Y896" i="1" s="1"/>
  <c r="A895" i="1"/>
  <c r="Y895" i="1" s="1"/>
  <c r="A894" i="1"/>
  <c r="Y894" i="1" s="1"/>
  <c r="A893" i="1"/>
  <c r="Y893" i="1" s="1"/>
  <c r="A892" i="1"/>
  <c r="Y892" i="1" s="1"/>
  <c r="A891" i="1"/>
  <c r="Y891" i="1" s="1"/>
  <c r="A890" i="1"/>
  <c r="Y890" i="1" s="1"/>
  <c r="A889" i="1"/>
  <c r="Y889" i="1" s="1"/>
  <c r="A888" i="1"/>
  <c r="Y888" i="1" s="1"/>
  <c r="A887" i="1"/>
  <c r="Y887" i="1" s="1"/>
  <c r="A886" i="1"/>
  <c r="Y886" i="1" s="1"/>
  <c r="A885" i="1"/>
  <c r="Y885" i="1" s="1"/>
  <c r="A884" i="1"/>
  <c r="Y884" i="1" s="1"/>
  <c r="A883" i="1"/>
  <c r="Y883" i="1" s="1"/>
  <c r="A882" i="1"/>
  <c r="Y882" i="1" s="1"/>
  <c r="A881" i="1"/>
  <c r="Y881" i="1" s="1"/>
  <c r="A880" i="1"/>
  <c r="Y880" i="1" s="1"/>
  <c r="A879" i="1"/>
  <c r="Y879" i="1" s="1"/>
  <c r="A878" i="1"/>
  <c r="Y878" i="1" s="1"/>
  <c r="A877" i="1"/>
  <c r="Y877" i="1" s="1"/>
  <c r="A876" i="1"/>
  <c r="Y876" i="1" s="1"/>
  <c r="A875" i="1"/>
  <c r="Y875" i="1" s="1"/>
  <c r="A874" i="1"/>
  <c r="Y874" i="1" s="1"/>
  <c r="A873" i="1"/>
  <c r="Y873" i="1" s="1"/>
  <c r="A872" i="1"/>
  <c r="Y872" i="1" s="1"/>
  <c r="A871" i="1"/>
  <c r="Y871" i="1" s="1"/>
  <c r="A870" i="1"/>
  <c r="Y870" i="1" s="1"/>
  <c r="A869" i="1"/>
  <c r="Y869" i="1" s="1"/>
  <c r="A868" i="1"/>
  <c r="Y868" i="1" s="1"/>
  <c r="A867" i="1"/>
  <c r="Y867" i="1" s="1"/>
  <c r="A866" i="1"/>
  <c r="Y866" i="1" s="1"/>
  <c r="A865" i="1"/>
  <c r="Y865" i="1" s="1"/>
  <c r="A864" i="1"/>
  <c r="Y864" i="1" s="1"/>
  <c r="A863" i="1"/>
  <c r="Y863" i="1" s="1"/>
  <c r="A862" i="1"/>
  <c r="Y862" i="1" s="1"/>
  <c r="A861" i="1"/>
  <c r="Y861" i="1" s="1"/>
  <c r="A860" i="1"/>
  <c r="Y860" i="1" s="1"/>
  <c r="A859" i="1"/>
  <c r="Y859" i="1" s="1"/>
  <c r="A858" i="1"/>
  <c r="Y858" i="1" s="1"/>
  <c r="A857" i="1"/>
  <c r="Y857" i="1" s="1"/>
  <c r="A856" i="1"/>
  <c r="Y856" i="1" s="1"/>
  <c r="A855" i="1"/>
  <c r="Y855" i="1" s="1"/>
  <c r="A854" i="1"/>
  <c r="Y854" i="1" s="1"/>
  <c r="A853" i="1"/>
  <c r="Y853" i="1" s="1"/>
  <c r="A852" i="1"/>
  <c r="Y852" i="1" s="1"/>
  <c r="A851" i="1"/>
  <c r="Y851" i="1" s="1"/>
  <c r="A850" i="1"/>
  <c r="Y850" i="1" s="1"/>
  <c r="A849" i="1"/>
  <c r="Y849" i="1" s="1"/>
  <c r="A848" i="1"/>
  <c r="Y848" i="1" s="1"/>
  <c r="A847" i="1"/>
  <c r="Y847" i="1" s="1"/>
  <c r="A846" i="1"/>
  <c r="Y846" i="1" s="1"/>
  <c r="A845" i="1"/>
  <c r="Y845" i="1" s="1"/>
  <c r="A844" i="1"/>
  <c r="Y844" i="1" s="1"/>
  <c r="A843" i="1"/>
  <c r="Y843" i="1" s="1"/>
  <c r="A842" i="1"/>
  <c r="Y842" i="1" s="1"/>
  <c r="A841" i="1"/>
  <c r="Y841" i="1" s="1"/>
  <c r="A840" i="1"/>
  <c r="Y840" i="1" s="1"/>
  <c r="A839" i="1"/>
  <c r="Y839" i="1" s="1"/>
  <c r="A838" i="1"/>
  <c r="Y838" i="1" s="1"/>
  <c r="A837" i="1"/>
  <c r="Y837" i="1" s="1"/>
  <c r="A836" i="1"/>
  <c r="Y836" i="1" s="1"/>
  <c r="A835" i="1"/>
  <c r="Y835" i="1" s="1"/>
  <c r="A834" i="1"/>
  <c r="Y834" i="1" s="1"/>
  <c r="A833" i="1"/>
  <c r="Y833" i="1" s="1"/>
  <c r="A832" i="1"/>
  <c r="Y832" i="1" s="1"/>
  <c r="A831" i="1"/>
  <c r="Y831" i="1" s="1"/>
  <c r="A830" i="1"/>
  <c r="Y830" i="1" s="1"/>
  <c r="A829" i="1"/>
  <c r="Y829" i="1" s="1"/>
  <c r="A828" i="1"/>
  <c r="Y828" i="1" s="1"/>
  <c r="A827" i="1"/>
  <c r="Y827" i="1" s="1"/>
  <c r="A826" i="1"/>
  <c r="Y826" i="1" s="1"/>
  <c r="A825" i="1"/>
  <c r="Y825" i="1" s="1"/>
  <c r="A824" i="1"/>
  <c r="Y824" i="1" s="1"/>
  <c r="A823" i="1"/>
  <c r="Y823" i="1" s="1"/>
  <c r="A822" i="1"/>
  <c r="Y822" i="1" s="1"/>
  <c r="A821" i="1"/>
  <c r="Y821" i="1" s="1"/>
  <c r="A820" i="1"/>
  <c r="Y820" i="1" s="1"/>
  <c r="A819" i="1"/>
  <c r="Y819" i="1" s="1"/>
  <c r="A818" i="1"/>
  <c r="Y818" i="1" s="1"/>
  <c r="A817" i="1"/>
  <c r="Y817" i="1" s="1"/>
  <c r="A816" i="1"/>
  <c r="Y816" i="1" s="1"/>
  <c r="A815" i="1"/>
  <c r="Y815" i="1" s="1"/>
  <c r="A814" i="1"/>
  <c r="Y814" i="1" s="1"/>
  <c r="A813" i="1"/>
  <c r="Y813" i="1" s="1"/>
  <c r="A812" i="1"/>
  <c r="Y812" i="1" s="1"/>
  <c r="A811" i="1"/>
  <c r="Y811" i="1" s="1"/>
  <c r="A810" i="1"/>
  <c r="Y810" i="1" s="1"/>
  <c r="A809" i="1"/>
  <c r="Y809" i="1" s="1"/>
  <c r="A808" i="1"/>
  <c r="Y808" i="1" s="1"/>
  <c r="A807" i="1"/>
  <c r="Y807" i="1" s="1"/>
  <c r="A806" i="1"/>
  <c r="Y806" i="1" s="1"/>
  <c r="A805" i="1"/>
  <c r="Y805" i="1" s="1"/>
  <c r="A804" i="1"/>
  <c r="Y804" i="1" s="1"/>
  <c r="A803" i="1"/>
  <c r="Y803" i="1" s="1"/>
  <c r="A802" i="1"/>
  <c r="Y802" i="1" s="1"/>
  <c r="A801" i="1"/>
  <c r="Y801" i="1" s="1"/>
  <c r="A800" i="1"/>
  <c r="Y800" i="1" s="1"/>
  <c r="A799" i="1"/>
  <c r="Y799" i="1" s="1"/>
  <c r="A798" i="1"/>
  <c r="Y798" i="1" s="1"/>
  <c r="A797" i="1"/>
  <c r="Y797" i="1" s="1"/>
  <c r="A796" i="1"/>
  <c r="Y796" i="1" s="1"/>
  <c r="A795" i="1"/>
  <c r="Y795" i="1" s="1"/>
  <c r="A794" i="1"/>
  <c r="Y794" i="1" s="1"/>
  <c r="A793" i="1"/>
  <c r="Y793" i="1" s="1"/>
  <c r="A792" i="1"/>
  <c r="Y792" i="1" s="1"/>
  <c r="A791" i="1"/>
  <c r="Y791" i="1" s="1"/>
  <c r="A790" i="1"/>
  <c r="Y790" i="1" s="1"/>
  <c r="A789" i="1"/>
  <c r="Y789" i="1" s="1"/>
  <c r="A788" i="1"/>
  <c r="Y788" i="1" s="1"/>
  <c r="A787" i="1"/>
  <c r="Y787" i="1" s="1"/>
  <c r="A786" i="1"/>
  <c r="Y786" i="1" s="1"/>
  <c r="A785" i="1"/>
  <c r="Y785" i="1" s="1"/>
  <c r="A784" i="1"/>
  <c r="Y784" i="1" s="1"/>
  <c r="A783" i="1"/>
  <c r="Y783" i="1" s="1"/>
  <c r="A782" i="1"/>
  <c r="Y782" i="1" s="1"/>
  <c r="A781" i="1"/>
  <c r="Y781" i="1" s="1"/>
  <c r="A780" i="1"/>
  <c r="Y780" i="1" s="1"/>
  <c r="A779" i="1"/>
  <c r="Y779" i="1" s="1"/>
  <c r="A778" i="1"/>
  <c r="Y778" i="1" s="1"/>
  <c r="A777" i="1"/>
  <c r="Y777" i="1" s="1"/>
  <c r="A776" i="1"/>
  <c r="Y776" i="1" s="1"/>
  <c r="A775" i="1"/>
  <c r="Y775" i="1" s="1"/>
  <c r="A774" i="1"/>
  <c r="Y774" i="1" s="1"/>
  <c r="A773" i="1"/>
  <c r="Y773" i="1" s="1"/>
  <c r="A772" i="1"/>
  <c r="Y772" i="1" s="1"/>
  <c r="A771" i="1"/>
  <c r="Y771" i="1" s="1"/>
  <c r="A770" i="1"/>
  <c r="Y770" i="1" s="1"/>
  <c r="A769" i="1"/>
  <c r="Y769" i="1" s="1"/>
  <c r="A768" i="1"/>
  <c r="Y768" i="1" s="1"/>
  <c r="A767" i="1"/>
  <c r="Y767" i="1" s="1"/>
  <c r="A766" i="1"/>
  <c r="Y766" i="1" s="1"/>
  <c r="A765" i="1"/>
  <c r="Y765" i="1" s="1"/>
  <c r="A764" i="1"/>
  <c r="Y764" i="1" s="1"/>
  <c r="A763" i="1"/>
  <c r="Y763" i="1" s="1"/>
  <c r="A762" i="1"/>
  <c r="Y762" i="1" s="1"/>
  <c r="A761" i="1"/>
  <c r="Y761" i="1" s="1"/>
  <c r="A760" i="1"/>
  <c r="Y760" i="1" s="1"/>
  <c r="A759" i="1"/>
  <c r="Y759" i="1" s="1"/>
  <c r="A758" i="1"/>
  <c r="Y758" i="1" s="1"/>
  <c r="A757" i="1"/>
  <c r="Y757" i="1" s="1"/>
  <c r="A756" i="1"/>
  <c r="Y756" i="1" s="1"/>
  <c r="A755" i="1"/>
  <c r="Y755" i="1" s="1"/>
  <c r="A754" i="1"/>
  <c r="Y754" i="1" s="1"/>
  <c r="A753" i="1"/>
  <c r="Y753" i="1" s="1"/>
  <c r="A752" i="1"/>
  <c r="Y752" i="1" s="1"/>
  <c r="A751" i="1"/>
  <c r="Y751" i="1" s="1"/>
  <c r="A750" i="1"/>
  <c r="Y750" i="1" s="1"/>
  <c r="A749" i="1"/>
  <c r="Y749" i="1" s="1"/>
  <c r="A748" i="1"/>
  <c r="Y748" i="1" s="1"/>
  <c r="A747" i="1"/>
  <c r="Y747" i="1" s="1"/>
  <c r="A746" i="1"/>
  <c r="Y746" i="1" s="1"/>
  <c r="A745" i="1"/>
  <c r="Y745" i="1" s="1"/>
  <c r="A744" i="1"/>
  <c r="Y744" i="1" s="1"/>
  <c r="A743" i="1"/>
  <c r="Y743" i="1" s="1"/>
  <c r="A742" i="1"/>
  <c r="Y742" i="1" s="1"/>
  <c r="A741" i="1"/>
  <c r="Y741" i="1" s="1"/>
  <c r="A740" i="1"/>
  <c r="Y740" i="1" s="1"/>
  <c r="A739" i="1"/>
  <c r="Y739" i="1" s="1"/>
  <c r="A738" i="1"/>
  <c r="Y738" i="1" s="1"/>
  <c r="A737" i="1"/>
  <c r="Y737" i="1" s="1"/>
  <c r="A736" i="1"/>
  <c r="Y736" i="1" s="1"/>
  <c r="A735" i="1"/>
  <c r="Y735" i="1" s="1"/>
  <c r="A734" i="1"/>
  <c r="Y734" i="1" s="1"/>
  <c r="A733" i="1"/>
  <c r="Y733" i="1" s="1"/>
  <c r="A732" i="1"/>
  <c r="Y732" i="1" s="1"/>
  <c r="A731" i="1"/>
  <c r="Y731" i="1" s="1"/>
  <c r="A730" i="1"/>
  <c r="Y730" i="1" s="1"/>
  <c r="A729" i="1"/>
  <c r="Y729" i="1" s="1"/>
  <c r="A728" i="1"/>
  <c r="Y728" i="1" s="1"/>
  <c r="A727" i="1"/>
  <c r="Y727" i="1" s="1"/>
  <c r="A726" i="1"/>
  <c r="Y726" i="1" s="1"/>
  <c r="A725" i="1"/>
  <c r="Y725" i="1" s="1"/>
  <c r="A724" i="1"/>
  <c r="Y724" i="1" s="1"/>
  <c r="A723" i="1"/>
  <c r="Y723" i="1" s="1"/>
  <c r="A722" i="1"/>
  <c r="Y722" i="1" s="1"/>
  <c r="A721" i="1"/>
  <c r="Y721" i="1" s="1"/>
  <c r="A720" i="1"/>
  <c r="Y720" i="1" s="1"/>
  <c r="A719" i="1"/>
  <c r="Y719" i="1" s="1"/>
  <c r="A718" i="1"/>
  <c r="Y718" i="1" s="1"/>
  <c r="A717" i="1"/>
  <c r="Y717" i="1" s="1"/>
  <c r="A716" i="1"/>
  <c r="Y716" i="1" s="1"/>
  <c r="A715" i="1"/>
  <c r="Y715" i="1" s="1"/>
  <c r="A714" i="1"/>
  <c r="Y714" i="1" s="1"/>
  <c r="A713" i="1"/>
  <c r="Y713" i="1" s="1"/>
  <c r="A712" i="1"/>
  <c r="Y712" i="1" s="1"/>
  <c r="A711" i="1"/>
  <c r="Y711" i="1" s="1"/>
  <c r="A710" i="1"/>
  <c r="Y710" i="1" s="1"/>
  <c r="A709" i="1"/>
  <c r="Y709" i="1" s="1"/>
  <c r="A708" i="1"/>
  <c r="Y708" i="1" s="1"/>
  <c r="A707" i="1"/>
  <c r="Y707" i="1" s="1"/>
  <c r="A706" i="1"/>
  <c r="Y706" i="1" s="1"/>
  <c r="A705" i="1"/>
  <c r="Y705" i="1" s="1"/>
  <c r="A704" i="1"/>
  <c r="Y704" i="1" s="1"/>
  <c r="A703" i="1"/>
  <c r="Y703" i="1" s="1"/>
  <c r="A702" i="1"/>
  <c r="Y702" i="1" s="1"/>
  <c r="A701" i="1"/>
  <c r="Y701" i="1" s="1"/>
  <c r="A700" i="1"/>
  <c r="Y700" i="1" s="1"/>
  <c r="A699" i="1"/>
  <c r="Y699" i="1" s="1"/>
  <c r="A698" i="1"/>
  <c r="Y698" i="1" s="1"/>
  <c r="A697" i="1"/>
  <c r="Y697" i="1" s="1"/>
  <c r="A696" i="1"/>
  <c r="Y696" i="1" s="1"/>
  <c r="A695" i="1"/>
  <c r="Y695" i="1" s="1"/>
  <c r="A694" i="1"/>
  <c r="Y694" i="1" s="1"/>
  <c r="A693" i="1"/>
  <c r="Y693" i="1" s="1"/>
  <c r="A692" i="1"/>
  <c r="Y692" i="1" s="1"/>
  <c r="A691" i="1"/>
  <c r="Y691" i="1" s="1"/>
  <c r="A690" i="1"/>
  <c r="Y690" i="1" s="1"/>
  <c r="A689" i="1"/>
  <c r="Y689" i="1" s="1"/>
  <c r="A688" i="1"/>
  <c r="Y688" i="1" s="1"/>
  <c r="A687" i="1"/>
  <c r="Y687" i="1" s="1"/>
  <c r="A686" i="1"/>
  <c r="Y686" i="1" s="1"/>
  <c r="A685" i="1"/>
  <c r="Y685" i="1" s="1"/>
  <c r="A684" i="1"/>
  <c r="Y684" i="1" s="1"/>
  <c r="A683" i="1"/>
  <c r="Y683" i="1" s="1"/>
  <c r="A682" i="1"/>
  <c r="Y682" i="1" s="1"/>
  <c r="A681" i="1"/>
  <c r="Y681" i="1" s="1"/>
  <c r="A680" i="1"/>
  <c r="Y680" i="1" s="1"/>
  <c r="A679" i="1"/>
  <c r="Y679" i="1" s="1"/>
  <c r="A678" i="1"/>
  <c r="Y678" i="1" s="1"/>
  <c r="A677" i="1"/>
  <c r="Y677" i="1" s="1"/>
  <c r="A676" i="1"/>
  <c r="Y676" i="1" s="1"/>
  <c r="A675" i="1"/>
  <c r="Y675" i="1" s="1"/>
  <c r="A674" i="1"/>
  <c r="Y674" i="1" s="1"/>
  <c r="A673" i="1"/>
  <c r="Y673" i="1" s="1"/>
  <c r="A672" i="1"/>
  <c r="Y672" i="1" s="1"/>
  <c r="A671" i="1"/>
  <c r="Y671" i="1" s="1"/>
  <c r="A670" i="1"/>
  <c r="Y670" i="1" s="1"/>
  <c r="A669" i="1"/>
  <c r="Y669" i="1" s="1"/>
  <c r="A668" i="1"/>
  <c r="Y668" i="1" s="1"/>
  <c r="A667" i="1"/>
  <c r="Y667" i="1" s="1"/>
  <c r="A666" i="1"/>
  <c r="Y666" i="1" s="1"/>
  <c r="A665" i="1"/>
  <c r="Y665" i="1" s="1"/>
  <c r="A664" i="1"/>
  <c r="Y664" i="1" s="1"/>
  <c r="A663" i="1"/>
  <c r="Y663" i="1" s="1"/>
  <c r="A662" i="1"/>
  <c r="Y662" i="1" s="1"/>
  <c r="A661" i="1"/>
  <c r="Y661" i="1" s="1"/>
  <c r="A660" i="1"/>
  <c r="Y660" i="1" s="1"/>
  <c r="A659" i="1"/>
  <c r="Y659" i="1" s="1"/>
  <c r="A658" i="1"/>
  <c r="Y658" i="1" s="1"/>
  <c r="A657" i="1"/>
  <c r="Y657" i="1" s="1"/>
  <c r="A656" i="1"/>
  <c r="Y656" i="1" s="1"/>
  <c r="A655" i="1"/>
  <c r="Y655" i="1" s="1"/>
  <c r="A654" i="1"/>
  <c r="Y654" i="1" s="1"/>
  <c r="A653" i="1"/>
  <c r="Y653" i="1" s="1"/>
  <c r="A652" i="1"/>
  <c r="Y652" i="1" s="1"/>
  <c r="A651" i="1"/>
  <c r="Y651" i="1" s="1"/>
  <c r="A650" i="1"/>
  <c r="Y650" i="1" s="1"/>
  <c r="A649" i="1"/>
  <c r="Y649" i="1" s="1"/>
  <c r="A648" i="1"/>
  <c r="Y648" i="1" s="1"/>
  <c r="A647" i="1"/>
  <c r="Y647" i="1" s="1"/>
  <c r="A646" i="1"/>
  <c r="Y646" i="1" s="1"/>
  <c r="A645" i="1"/>
  <c r="Y645" i="1" s="1"/>
  <c r="A644" i="1"/>
  <c r="Y644" i="1" s="1"/>
  <c r="A643" i="1"/>
  <c r="Y643" i="1" s="1"/>
  <c r="A642" i="1"/>
  <c r="Y642" i="1" s="1"/>
  <c r="A641" i="1"/>
  <c r="Y641" i="1" s="1"/>
  <c r="A640" i="1"/>
  <c r="Y640" i="1" s="1"/>
  <c r="A639" i="1"/>
  <c r="Y639" i="1" s="1"/>
  <c r="A638" i="1"/>
  <c r="Y638" i="1" s="1"/>
  <c r="A637" i="1"/>
  <c r="Y637" i="1" s="1"/>
  <c r="A636" i="1"/>
  <c r="Y636" i="1" s="1"/>
  <c r="A635" i="1"/>
  <c r="Y635" i="1" s="1"/>
  <c r="A634" i="1"/>
  <c r="Y634" i="1" s="1"/>
  <c r="A633" i="1"/>
  <c r="Y633" i="1" s="1"/>
  <c r="A632" i="1"/>
  <c r="Y632" i="1" s="1"/>
  <c r="A631" i="1"/>
  <c r="Y631" i="1" s="1"/>
  <c r="A630" i="1"/>
  <c r="Y630" i="1" s="1"/>
  <c r="A629" i="1"/>
  <c r="Y629" i="1" s="1"/>
  <c r="A628" i="1"/>
  <c r="Y628" i="1" s="1"/>
  <c r="A627" i="1"/>
  <c r="Y627" i="1" s="1"/>
  <c r="A626" i="1"/>
  <c r="Y626" i="1" s="1"/>
  <c r="A625" i="1"/>
  <c r="Y625" i="1" s="1"/>
  <c r="A624" i="1"/>
  <c r="Y624" i="1" s="1"/>
  <c r="A623" i="1"/>
  <c r="Y623" i="1" s="1"/>
  <c r="A622" i="1"/>
  <c r="Y622" i="1" s="1"/>
  <c r="A621" i="1"/>
  <c r="Y621" i="1" s="1"/>
  <c r="A620" i="1"/>
  <c r="Y620" i="1" s="1"/>
  <c r="A619" i="1"/>
  <c r="Y619" i="1" s="1"/>
  <c r="A618" i="1"/>
  <c r="Y618" i="1" s="1"/>
  <c r="A617" i="1"/>
  <c r="Y617" i="1" s="1"/>
  <c r="A616" i="1"/>
  <c r="Y616" i="1" s="1"/>
  <c r="A615" i="1"/>
  <c r="Y615" i="1" s="1"/>
  <c r="A614" i="1"/>
  <c r="Y614" i="1" s="1"/>
  <c r="A613" i="1"/>
  <c r="Y613" i="1" s="1"/>
  <c r="A612" i="1"/>
  <c r="Y612" i="1" s="1"/>
  <c r="A611" i="1"/>
  <c r="Y611" i="1" s="1"/>
  <c r="A610" i="1"/>
  <c r="Y610" i="1" s="1"/>
  <c r="A609" i="1"/>
  <c r="Y609" i="1" s="1"/>
  <c r="A608" i="1"/>
  <c r="Y608" i="1" s="1"/>
  <c r="A607" i="1"/>
  <c r="Y607" i="1" s="1"/>
  <c r="A606" i="1"/>
  <c r="Y606" i="1" s="1"/>
  <c r="A605" i="1"/>
  <c r="Y605" i="1" s="1"/>
  <c r="A604" i="1"/>
  <c r="Y604" i="1" s="1"/>
  <c r="A603" i="1"/>
  <c r="Y603" i="1" s="1"/>
  <c r="A602" i="1"/>
  <c r="Y602" i="1" s="1"/>
  <c r="A601" i="1"/>
  <c r="Y601" i="1" s="1"/>
  <c r="A600" i="1"/>
  <c r="Y600" i="1" s="1"/>
  <c r="A599" i="1"/>
  <c r="Y599" i="1" s="1"/>
  <c r="A598" i="1"/>
  <c r="Y598" i="1" s="1"/>
  <c r="A597" i="1"/>
  <c r="Y597" i="1" s="1"/>
  <c r="A596" i="1"/>
  <c r="Y596" i="1" s="1"/>
  <c r="A595" i="1"/>
  <c r="Y595" i="1" s="1"/>
  <c r="A594" i="1"/>
  <c r="Y594" i="1" s="1"/>
  <c r="A593" i="1"/>
  <c r="Y593" i="1" s="1"/>
  <c r="A592" i="1"/>
  <c r="Y592" i="1" s="1"/>
  <c r="A591" i="1"/>
  <c r="Y591" i="1" s="1"/>
  <c r="A590" i="1"/>
  <c r="Y590" i="1" s="1"/>
  <c r="A589" i="1"/>
  <c r="Y589" i="1" s="1"/>
  <c r="A588" i="1"/>
  <c r="Y588" i="1" s="1"/>
  <c r="A587" i="1"/>
  <c r="Y587" i="1" s="1"/>
  <c r="A586" i="1"/>
  <c r="Y586" i="1" s="1"/>
  <c r="A585" i="1"/>
  <c r="Y585" i="1" s="1"/>
  <c r="A584" i="1"/>
  <c r="Y584" i="1" s="1"/>
  <c r="A583" i="1"/>
  <c r="Y583" i="1" s="1"/>
  <c r="A582" i="1"/>
  <c r="Y582" i="1" s="1"/>
  <c r="A581" i="1"/>
  <c r="Y581" i="1" s="1"/>
  <c r="A580" i="1"/>
  <c r="Y580" i="1" s="1"/>
  <c r="A579" i="1"/>
  <c r="Y579" i="1" s="1"/>
  <c r="A578" i="1"/>
  <c r="Y578" i="1" s="1"/>
  <c r="A577" i="1"/>
  <c r="Y577" i="1" s="1"/>
  <c r="A576" i="1"/>
  <c r="Y576" i="1" s="1"/>
  <c r="A575" i="1"/>
  <c r="Y575" i="1" s="1"/>
  <c r="A574" i="1"/>
  <c r="Y574" i="1" s="1"/>
  <c r="A573" i="1"/>
  <c r="Y573" i="1" s="1"/>
  <c r="A572" i="1"/>
  <c r="Y572" i="1" s="1"/>
  <c r="A571" i="1"/>
  <c r="Y571" i="1" s="1"/>
  <c r="A570" i="1"/>
  <c r="Y570" i="1" s="1"/>
  <c r="A569" i="1"/>
  <c r="Y569" i="1" s="1"/>
  <c r="A568" i="1"/>
  <c r="Y568" i="1" s="1"/>
  <c r="A567" i="1"/>
  <c r="Y567" i="1" s="1"/>
  <c r="A566" i="1"/>
  <c r="Y566" i="1" s="1"/>
  <c r="A565" i="1"/>
  <c r="Y565" i="1" s="1"/>
  <c r="A564" i="1"/>
  <c r="Y564" i="1" s="1"/>
  <c r="A563" i="1"/>
  <c r="Y563" i="1" s="1"/>
  <c r="A562" i="1"/>
  <c r="Y562" i="1" s="1"/>
  <c r="A561" i="1"/>
  <c r="Y561" i="1" s="1"/>
  <c r="A560" i="1"/>
  <c r="Y560" i="1" s="1"/>
  <c r="A559" i="1"/>
  <c r="Y559" i="1" s="1"/>
  <c r="A558" i="1"/>
  <c r="Y558" i="1" s="1"/>
  <c r="A557" i="1"/>
  <c r="Y557" i="1" s="1"/>
  <c r="A556" i="1"/>
  <c r="Y556" i="1" s="1"/>
  <c r="A555" i="1"/>
  <c r="Y555" i="1" s="1"/>
  <c r="A554" i="1"/>
  <c r="Y554" i="1" s="1"/>
  <c r="A553" i="1"/>
  <c r="Y553" i="1" s="1"/>
  <c r="A552" i="1"/>
  <c r="Y552" i="1" s="1"/>
  <c r="A551" i="1"/>
  <c r="Y551" i="1" s="1"/>
  <c r="A550" i="1"/>
  <c r="Y550" i="1" s="1"/>
  <c r="A549" i="1"/>
  <c r="Y549" i="1" s="1"/>
  <c r="A548" i="1"/>
  <c r="Y548" i="1" s="1"/>
  <c r="A547" i="1"/>
  <c r="Y547" i="1" s="1"/>
  <c r="A546" i="1"/>
  <c r="Y546" i="1" s="1"/>
  <c r="A545" i="1"/>
  <c r="Y545" i="1" s="1"/>
  <c r="A544" i="1"/>
  <c r="Y544" i="1" s="1"/>
  <c r="A543" i="1"/>
  <c r="Y543" i="1" s="1"/>
  <c r="A542" i="1"/>
  <c r="Y542" i="1" s="1"/>
  <c r="A541" i="1"/>
  <c r="Y541" i="1" s="1"/>
  <c r="A540" i="1"/>
  <c r="Y540" i="1" s="1"/>
  <c r="A539" i="1"/>
  <c r="Y539" i="1" s="1"/>
  <c r="A538" i="1"/>
  <c r="Y538" i="1" s="1"/>
  <c r="A537" i="1"/>
  <c r="Y537" i="1" s="1"/>
  <c r="A536" i="1"/>
  <c r="Y536" i="1" s="1"/>
  <c r="A535" i="1"/>
  <c r="Y535" i="1" s="1"/>
  <c r="A534" i="1"/>
  <c r="Y534" i="1" s="1"/>
  <c r="A533" i="1"/>
  <c r="Y533" i="1" s="1"/>
  <c r="A532" i="1"/>
  <c r="Y532" i="1" s="1"/>
  <c r="A531" i="1"/>
  <c r="Y531" i="1" s="1"/>
  <c r="A530" i="1"/>
  <c r="Y530" i="1" s="1"/>
  <c r="A529" i="1"/>
  <c r="Y529" i="1" s="1"/>
  <c r="A528" i="1"/>
  <c r="Y528" i="1" s="1"/>
  <c r="A527" i="1"/>
  <c r="Y527" i="1" s="1"/>
  <c r="A526" i="1"/>
  <c r="Y526" i="1" s="1"/>
  <c r="A525" i="1"/>
  <c r="Y525" i="1" s="1"/>
  <c r="A524" i="1"/>
  <c r="Y524" i="1" s="1"/>
  <c r="A523" i="1"/>
  <c r="Y523" i="1" s="1"/>
  <c r="A522" i="1"/>
  <c r="Y522" i="1" s="1"/>
  <c r="A521" i="1"/>
  <c r="Y521" i="1" s="1"/>
  <c r="A520" i="1"/>
  <c r="Y520" i="1" s="1"/>
  <c r="A519" i="1"/>
  <c r="Y519" i="1" s="1"/>
  <c r="A518" i="1"/>
  <c r="Y518" i="1" s="1"/>
  <c r="A517" i="1"/>
  <c r="Y517" i="1" s="1"/>
  <c r="A516" i="1"/>
  <c r="Y516" i="1" s="1"/>
  <c r="A515" i="1"/>
  <c r="Y515" i="1" s="1"/>
  <c r="A514" i="1"/>
  <c r="Y514" i="1" s="1"/>
  <c r="A513" i="1"/>
  <c r="Y513" i="1" s="1"/>
  <c r="A512" i="1"/>
  <c r="Y512" i="1" s="1"/>
  <c r="A511" i="1"/>
  <c r="Y511" i="1" s="1"/>
  <c r="A510" i="1"/>
  <c r="Y510" i="1" s="1"/>
  <c r="A509" i="1"/>
  <c r="Y509" i="1" s="1"/>
  <c r="A508" i="1"/>
  <c r="Y508" i="1" s="1"/>
  <c r="A507" i="1"/>
  <c r="Y507" i="1" s="1"/>
  <c r="A506" i="1"/>
  <c r="Y506" i="1" s="1"/>
  <c r="A505" i="1"/>
  <c r="Y505" i="1" s="1"/>
  <c r="A504" i="1"/>
  <c r="Y504" i="1" s="1"/>
  <c r="A503" i="1"/>
  <c r="Y503" i="1" s="1"/>
  <c r="A502" i="1"/>
  <c r="Y502" i="1" s="1"/>
  <c r="A501" i="1"/>
  <c r="Y501" i="1" s="1"/>
  <c r="A500" i="1"/>
  <c r="Y500" i="1" s="1"/>
  <c r="A499" i="1"/>
  <c r="Y499" i="1" s="1"/>
  <c r="A498" i="1"/>
  <c r="Y498" i="1" s="1"/>
  <c r="A497" i="1"/>
  <c r="Y497" i="1" s="1"/>
  <c r="A496" i="1"/>
  <c r="Y496" i="1" s="1"/>
  <c r="A495" i="1"/>
  <c r="Y495" i="1" s="1"/>
  <c r="A494" i="1"/>
  <c r="Y494" i="1" s="1"/>
  <c r="A493" i="1"/>
  <c r="Y493" i="1" s="1"/>
  <c r="A492" i="1"/>
  <c r="Y492" i="1" s="1"/>
  <c r="A491" i="1"/>
  <c r="Y491" i="1" s="1"/>
  <c r="A490" i="1"/>
  <c r="Y490" i="1" s="1"/>
  <c r="A489" i="1"/>
  <c r="Y489" i="1" s="1"/>
  <c r="A488" i="1"/>
  <c r="Y488" i="1" s="1"/>
  <c r="A487" i="1"/>
  <c r="Y487" i="1" s="1"/>
  <c r="A486" i="1"/>
  <c r="Y486" i="1" s="1"/>
  <c r="A485" i="1"/>
  <c r="Y485" i="1" s="1"/>
  <c r="A484" i="1"/>
  <c r="Y484" i="1" s="1"/>
  <c r="A483" i="1"/>
  <c r="Y483" i="1" s="1"/>
  <c r="A482" i="1"/>
  <c r="Y482" i="1" s="1"/>
  <c r="A481" i="1"/>
  <c r="Y481" i="1" s="1"/>
  <c r="A480" i="1"/>
  <c r="Y480" i="1" s="1"/>
  <c r="A479" i="1"/>
  <c r="Y479" i="1" s="1"/>
  <c r="A478" i="1"/>
  <c r="Y478" i="1" s="1"/>
  <c r="A477" i="1"/>
  <c r="Y477" i="1" s="1"/>
  <c r="A476" i="1"/>
  <c r="Y476" i="1" s="1"/>
  <c r="A475" i="1"/>
  <c r="Y475" i="1" s="1"/>
  <c r="A474" i="1"/>
  <c r="Y474" i="1" s="1"/>
  <c r="A473" i="1"/>
  <c r="Y473" i="1" s="1"/>
  <c r="A472" i="1"/>
  <c r="Y472" i="1" s="1"/>
  <c r="A471" i="1"/>
  <c r="Y471" i="1" s="1"/>
  <c r="A470" i="1"/>
  <c r="Y470" i="1" s="1"/>
  <c r="A469" i="1"/>
  <c r="Y469" i="1" s="1"/>
  <c r="A468" i="1"/>
  <c r="Y468" i="1" s="1"/>
  <c r="A467" i="1"/>
  <c r="Y467" i="1" s="1"/>
  <c r="A466" i="1"/>
  <c r="Y466" i="1" s="1"/>
  <c r="A465" i="1"/>
  <c r="Y465" i="1" s="1"/>
  <c r="A464" i="1"/>
  <c r="Y464" i="1" s="1"/>
  <c r="A463" i="1"/>
  <c r="Y463" i="1" s="1"/>
  <c r="A462" i="1"/>
  <c r="Y462" i="1" s="1"/>
  <c r="A461" i="1"/>
  <c r="Y461" i="1" s="1"/>
  <c r="A460" i="1"/>
  <c r="Y460" i="1" s="1"/>
  <c r="A459" i="1"/>
  <c r="Y459" i="1" s="1"/>
  <c r="A458" i="1"/>
  <c r="Y458" i="1" s="1"/>
  <c r="A457" i="1"/>
  <c r="Y457" i="1" s="1"/>
  <c r="A456" i="1"/>
  <c r="Y456" i="1" s="1"/>
  <c r="A455" i="1"/>
  <c r="Y455" i="1" s="1"/>
  <c r="A454" i="1"/>
  <c r="Y454" i="1" s="1"/>
  <c r="A453" i="1"/>
  <c r="Y453" i="1" s="1"/>
  <c r="A452" i="1"/>
  <c r="Y452" i="1" s="1"/>
  <c r="A451" i="1"/>
  <c r="Y451" i="1" s="1"/>
  <c r="A450" i="1"/>
  <c r="Y450" i="1" s="1"/>
  <c r="A449" i="1"/>
  <c r="Y449" i="1" s="1"/>
  <c r="A448" i="1"/>
  <c r="Y448" i="1" s="1"/>
  <c r="A447" i="1"/>
  <c r="Y447" i="1" s="1"/>
  <c r="A446" i="1"/>
  <c r="Y446" i="1" s="1"/>
  <c r="A445" i="1"/>
  <c r="Y445" i="1" s="1"/>
  <c r="A444" i="1"/>
  <c r="Y444" i="1" s="1"/>
  <c r="A443" i="1"/>
  <c r="Y443" i="1" s="1"/>
  <c r="A442" i="1"/>
  <c r="Y442" i="1" s="1"/>
  <c r="A441" i="1"/>
  <c r="Y441" i="1" s="1"/>
  <c r="A440" i="1"/>
  <c r="Y440" i="1" s="1"/>
  <c r="A439" i="1"/>
  <c r="Y439" i="1" s="1"/>
  <c r="A438" i="1"/>
  <c r="Y438" i="1" s="1"/>
  <c r="A437" i="1"/>
  <c r="Y437" i="1" s="1"/>
  <c r="A436" i="1"/>
  <c r="Y436" i="1" s="1"/>
  <c r="A435" i="1"/>
  <c r="Y435" i="1" s="1"/>
  <c r="A434" i="1"/>
  <c r="Y434" i="1" s="1"/>
  <c r="A433" i="1"/>
  <c r="Y433" i="1" s="1"/>
  <c r="A432" i="1"/>
  <c r="Y432" i="1" s="1"/>
  <c r="A431" i="1"/>
  <c r="Y431" i="1" s="1"/>
  <c r="A430" i="1"/>
  <c r="Y430" i="1" s="1"/>
  <c r="A429" i="1"/>
  <c r="Y429" i="1" s="1"/>
  <c r="A428" i="1"/>
  <c r="Y428" i="1" s="1"/>
  <c r="A427" i="1"/>
  <c r="Y427" i="1" s="1"/>
  <c r="A426" i="1"/>
  <c r="Y426" i="1" s="1"/>
  <c r="A425" i="1"/>
  <c r="Y425" i="1" s="1"/>
  <c r="A424" i="1"/>
  <c r="Y424" i="1" s="1"/>
  <c r="A423" i="1"/>
  <c r="Y423" i="1" s="1"/>
  <c r="A422" i="1"/>
  <c r="Y422" i="1" s="1"/>
  <c r="A421" i="1"/>
  <c r="Y421" i="1" s="1"/>
  <c r="A420" i="1"/>
  <c r="Y420" i="1" s="1"/>
  <c r="A419" i="1"/>
  <c r="Y419" i="1" s="1"/>
  <c r="A418" i="1"/>
  <c r="Y418" i="1" s="1"/>
  <c r="A417" i="1"/>
  <c r="Y417" i="1" s="1"/>
  <c r="A416" i="1"/>
  <c r="Y416" i="1" s="1"/>
  <c r="A415" i="1"/>
  <c r="Y415" i="1" s="1"/>
  <c r="A414" i="1"/>
  <c r="Y414" i="1" s="1"/>
  <c r="A413" i="1"/>
  <c r="Y413" i="1" s="1"/>
  <c r="A412" i="1"/>
  <c r="Y412" i="1" s="1"/>
  <c r="A411" i="1"/>
  <c r="Y411" i="1" s="1"/>
  <c r="A410" i="1"/>
  <c r="Y410" i="1" s="1"/>
  <c r="A409" i="1"/>
  <c r="Y409" i="1" s="1"/>
  <c r="A408" i="1"/>
  <c r="Y408" i="1" s="1"/>
  <c r="A407" i="1"/>
  <c r="Y407" i="1" s="1"/>
  <c r="A406" i="1"/>
  <c r="Y406" i="1" s="1"/>
  <c r="A405" i="1"/>
  <c r="Y405" i="1" s="1"/>
  <c r="A404" i="1"/>
  <c r="Y404" i="1" s="1"/>
  <c r="A403" i="1"/>
  <c r="Y403" i="1" s="1"/>
  <c r="A402" i="1"/>
  <c r="Y402" i="1" s="1"/>
  <c r="A401" i="1"/>
  <c r="Y401" i="1" s="1"/>
  <c r="A400" i="1"/>
  <c r="Y400" i="1" s="1"/>
  <c r="A399" i="1"/>
  <c r="Y399" i="1" s="1"/>
  <c r="A398" i="1"/>
  <c r="Y398" i="1" s="1"/>
  <c r="A397" i="1"/>
  <c r="Y397" i="1" s="1"/>
  <c r="A396" i="1"/>
  <c r="Y396" i="1" s="1"/>
  <c r="A395" i="1"/>
  <c r="Y395" i="1" s="1"/>
  <c r="A394" i="1"/>
  <c r="Y394" i="1" s="1"/>
  <c r="A393" i="1"/>
  <c r="Y393" i="1" s="1"/>
  <c r="A392" i="1"/>
  <c r="Y392" i="1" s="1"/>
  <c r="A391" i="1"/>
  <c r="Y391" i="1" s="1"/>
  <c r="A390" i="1"/>
  <c r="Y390" i="1" s="1"/>
  <c r="A389" i="1"/>
  <c r="Y389" i="1" s="1"/>
  <c r="A388" i="1"/>
  <c r="Y388" i="1" s="1"/>
  <c r="A387" i="1"/>
  <c r="Y387" i="1" s="1"/>
  <c r="A386" i="1"/>
  <c r="Y386" i="1" s="1"/>
  <c r="A385" i="1"/>
  <c r="Y385" i="1" s="1"/>
  <c r="A384" i="1"/>
  <c r="Y384" i="1" s="1"/>
  <c r="A383" i="1"/>
  <c r="Y383" i="1" s="1"/>
  <c r="A382" i="1"/>
  <c r="Y382" i="1" s="1"/>
  <c r="A381" i="1"/>
  <c r="Y381" i="1" s="1"/>
  <c r="A380" i="1"/>
  <c r="Y380" i="1" s="1"/>
  <c r="A379" i="1"/>
  <c r="Y379" i="1" s="1"/>
  <c r="A378" i="1"/>
  <c r="Y378" i="1" s="1"/>
  <c r="A377" i="1"/>
  <c r="Y377" i="1" s="1"/>
  <c r="A376" i="1"/>
  <c r="Y376" i="1" s="1"/>
  <c r="A375" i="1"/>
  <c r="Y375" i="1" s="1"/>
  <c r="A374" i="1"/>
  <c r="Y374" i="1" s="1"/>
  <c r="A373" i="1"/>
  <c r="Y373" i="1" s="1"/>
  <c r="A372" i="1"/>
  <c r="Y372" i="1" s="1"/>
  <c r="A371" i="1"/>
  <c r="Y371" i="1" s="1"/>
  <c r="A370" i="1"/>
  <c r="Y370" i="1" s="1"/>
  <c r="A369" i="1"/>
  <c r="Y369" i="1" s="1"/>
  <c r="A368" i="1"/>
  <c r="Y368" i="1" s="1"/>
  <c r="A367" i="1"/>
  <c r="Y367" i="1" s="1"/>
  <c r="A366" i="1"/>
  <c r="Y366" i="1" s="1"/>
  <c r="A365" i="1"/>
  <c r="Y365" i="1" s="1"/>
  <c r="A364" i="1"/>
  <c r="Y364" i="1" s="1"/>
  <c r="A363" i="1"/>
  <c r="Y363" i="1" s="1"/>
  <c r="A362" i="1"/>
  <c r="Y362" i="1" s="1"/>
  <c r="A361" i="1"/>
  <c r="Y361" i="1" s="1"/>
  <c r="A360" i="1"/>
  <c r="Y360" i="1" s="1"/>
  <c r="A359" i="1"/>
  <c r="Y359" i="1" s="1"/>
  <c r="A358" i="1"/>
  <c r="Y358" i="1" s="1"/>
  <c r="A357" i="1"/>
  <c r="Y357" i="1" s="1"/>
  <c r="A356" i="1"/>
  <c r="Y356" i="1" s="1"/>
  <c r="A355" i="1"/>
  <c r="Y355" i="1" s="1"/>
  <c r="A354" i="1"/>
  <c r="Y354" i="1" s="1"/>
  <c r="A353" i="1"/>
  <c r="Y353" i="1" s="1"/>
  <c r="A352" i="1"/>
  <c r="Y352" i="1" s="1"/>
  <c r="A351" i="1"/>
  <c r="Y351" i="1" s="1"/>
  <c r="A350" i="1"/>
  <c r="Y350" i="1" s="1"/>
  <c r="A349" i="1"/>
  <c r="Y349" i="1" s="1"/>
  <c r="A348" i="1"/>
  <c r="Y348" i="1" s="1"/>
  <c r="A347" i="1"/>
  <c r="Y347" i="1" s="1"/>
  <c r="A346" i="1"/>
  <c r="Y346" i="1" s="1"/>
  <c r="A345" i="1"/>
  <c r="Y345" i="1" s="1"/>
  <c r="A344" i="1"/>
  <c r="Y344" i="1" s="1"/>
  <c r="A343" i="1"/>
  <c r="Y343" i="1" s="1"/>
  <c r="A342" i="1"/>
  <c r="Y342" i="1" s="1"/>
  <c r="A341" i="1"/>
  <c r="Y341" i="1" s="1"/>
  <c r="A340" i="1"/>
  <c r="Y340" i="1" s="1"/>
  <c r="A339" i="1"/>
  <c r="Y339" i="1" s="1"/>
  <c r="A338" i="1"/>
  <c r="Y338" i="1" s="1"/>
  <c r="A337" i="1"/>
  <c r="Y337" i="1" s="1"/>
  <c r="A336" i="1"/>
  <c r="Y336" i="1" s="1"/>
  <c r="A335" i="1"/>
  <c r="Y335" i="1" s="1"/>
  <c r="A334" i="1"/>
  <c r="Y334" i="1" s="1"/>
  <c r="A333" i="1"/>
  <c r="Y333" i="1" s="1"/>
  <c r="A332" i="1"/>
  <c r="Y332" i="1" s="1"/>
  <c r="A331" i="1"/>
  <c r="Y331" i="1" s="1"/>
  <c r="A330" i="1"/>
  <c r="Y330" i="1" s="1"/>
  <c r="A329" i="1"/>
  <c r="Y329" i="1" s="1"/>
  <c r="A328" i="1"/>
  <c r="Y328" i="1" s="1"/>
  <c r="A327" i="1"/>
  <c r="Y327" i="1" s="1"/>
  <c r="A326" i="1"/>
  <c r="Y326" i="1" s="1"/>
  <c r="A325" i="1"/>
  <c r="Y325" i="1" s="1"/>
  <c r="A324" i="1"/>
  <c r="Y324" i="1" s="1"/>
  <c r="A323" i="1"/>
  <c r="Y323" i="1" s="1"/>
  <c r="A322" i="1"/>
  <c r="Y322" i="1" s="1"/>
  <c r="A321" i="1"/>
  <c r="Y321" i="1" s="1"/>
  <c r="A320" i="1"/>
  <c r="Y320" i="1" s="1"/>
  <c r="A319" i="1"/>
  <c r="Y319" i="1" s="1"/>
  <c r="A318" i="1"/>
  <c r="Y318" i="1" s="1"/>
  <c r="A317" i="1"/>
  <c r="Y317" i="1" s="1"/>
  <c r="A316" i="1"/>
  <c r="Y316" i="1" s="1"/>
  <c r="A315" i="1"/>
  <c r="Y315" i="1" s="1"/>
  <c r="A314" i="1"/>
  <c r="Y314" i="1" s="1"/>
  <c r="A313" i="1"/>
  <c r="Y313" i="1" s="1"/>
  <c r="A312" i="1"/>
  <c r="Y312" i="1" s="1"/>
  <c r="A311" i="1"/>
  <c r="Y311" i="1" s="1"/>
  <c r="A310" i="1"/>
  <c r="Y310" i="1" s="1"/>
  <c r="A309" i="1"/>
  <c r="Y309" i="1" s="1"/>
  <c r="A308" i="1"/>
  <c r="Y308" i="1" s="1"/>
  <c r="A307" i="1"/>
  <c r="Y307" i="1" s="1"/>
  <c r="A306" i="1"/>
  <c r="Y306" i="1" s="1"/>
  <c r="A305" i="1"/>
  <c r="Y305" i="1" s="1"/>
  <c r="A304" i="1"/>
  <c r="Y304" i="1" s="1"/>
  <c r="A303" i="1"/>
  <c r="Y303" i="1" s="1"/>
  <c r="A302" i="1"/>
  <c r="Y302" i="1" s="1"/>
  <c r="A301" i="1"/>
  <c r="Y301" i="1" s="1"/>
  <c r="A300" i="1"/>
  <c r="Y300" i="1" s="1"/>
  <c r="A299" i="1"/>
  <c r="Y299" i="1" s="1"/>
  <c r="A298" i="1"/>
  <c r="Y298" i="1" s="1"/>
  <c r="A297" i="1"/>
  <c r="Y297" i="1" s="1"/>
  <c r="A296" i="1"/>
  <c r="Y296" i="1" s="1"/>
  <c r="A295" i="1"/>
  <c r="Y295" i="1" s="1"/>
  <c r="A294" i="1"/>
  <c r="Y294" i="1" s="1"/>
  <c r="A293" i="1"/>
  <c r="Y293" i="1" s="1"/>
  <c r="A292" i="1"/>
  <c r="Y292" i="1" s="1"/>
  <c r="A291" i="1"/>
  <c r="Y291" i="1" s="1"/>
  <c r="A290" i="1"/>
  <c r="Y290" i="1" s="1"/>
  <c r="A289" i="1"/>
  <c r="Y289" i="1" s="1"/>
  <c r="A288" i="1"/>
  <c r="Y288" i="1" s="1"/>
  <c r="A287" i="1"/>
  <c r="Y287" i="1" s="1"/>
  <c r="A286" i="1"/>
  <c r="Y286" i="1" s="1"/>
  <c r="A285" i="1"/>
  <c r="Y285" i="1" s="1"/>
  <c r="A284" i="1"/>
  <c r="Y284" i="1" s="1"/>
  <c r="A283" i="1"/>
  <c r="Y283" i="1" s="1"/>
  <c r="A282" i="1"/>
  <c r="Y282" i="1" s="1"/>
  <c r="A281" i="1"/>
  <c r="Y281" i="1" s="1"/>
  <c r="A280" i="1"/>
  <c r="Y280" i="1" s="1"/>
  <c r="A279" i="1"/>
  <c r="Y279" i="1" s="1"/>
  <c r="A278" i="1"/>
  <c r="Y278" i="1" s="1"/>
  <c r="A277" i="1"/>
  <c r="Y277" i="1" s="1"/>
  <c r="A276" i="1"/>
  <c r="Y276" i="1" s="1"/>
  <c r="A275" i="1"/>
  <c r="Y275" i="1" s="1"/>
  <c r="A274" i="1"/>
  <c r="Y274" i="1" s="1"/>
  <c r="A273" i="1"/>
  <c r="Y273" i="1" s="1"/>
  <c r="A272" i="1"/>
  <c r="Y272" i="1" s="1"/>
  <c r="A271" i="1"/>
  <c r="Y271" i="1" s="1"/>
  <c r="A270" i="1"/>
  <c r="Y270" i="1" s="1"/>
  <c r="A269" i="1"/>
  <c r="Y269" i="1" s="1"/>
  <c r="A268" i="1"/>
  <c r="Y268" i="1" s="1"/>
  <c r="A267" i="1"/>
  <c r="Y267" i="1" s="1"/>
  <c r="A266" i="1"/>
  <c r="Y266" i="1" s="1"/>
  <c r="A265" i="1"/>
  <c r="Y265" i="1" s="1"/>
  <c r="A264" i="1"/>
  <c r="Y264" i="1" s="1"/>
  <c r="A263" i="1"/>
  <c r="Y263" i="1" s="1"/>
  <c r="A262" i="1"/>
  <c r="Y262" i="1" s="1"/>
  <c r="A261" i="1"/>
  <c r="Y261" i="1" s="1"/>
  <c r="A260" i="1"/>
  <c r="Y260" i="1" s="1"/>
  <c r="A259" i="1"/>
  <c r="Y259" i="1" s="1"/>
  <c r="A258" i="1"/>
  <c r="Y258" i="1" s="1"/>
  <c r="A257" i="1"/>
  <c r="Y257" i="1" s="1"/>
  <c r="A256" i="1"/>
  <c r="Y256" i="1" s="1"/>
  <c r="A255" i="1"/>
  <c r="Y255" i="1" s="1"/>
  <c r="A254" i="1"/>
  <c r="Y254" i="1" s="1"/>
  <c r="A253" i="1"/>
  <c r="Y253" i="1" s="1"/>
  <c r="A252" i="1"/>
  <c r="Y252" i="1" s="1"/>
  <c r="A251" i="1"/>
  <c r="Y251" i="1" s="1"/>
  <c r="A250" i="1"/>
  <c r="Y250" i="1" s="1"/>
  <c r="A249" i="1"/>
  <c r="Y249" i="1" s="1"/>
  <c r="A248" i="1"/>
  <c r="Y248" i="1" s="1"/>
  <c r="A247" i="1"/>
  <c r="Y247" i="1" s="1"/>
  <c r="A246" i="1"/>
  <c r="Y246" i="1" s="1"/>
  <c r="A245" i="1"/>
  <c r="Y245" i="1" s="1"/>
  <c r="A244" i="1"/>
  <c r="Y244" i="1" s="1"/>
  <c r="A243" i="1"/>
  <c r="Y243" i="1" s="1"/>
  <c r="A242" i="1"/>
  <c r="Y242" i="1" s="1"/>
  <c r="A241" i="1"/>
  <c r="Y241" i="1" s="1"/>
  <c r="A240" i="1"/>
  <c r="Y240" i="1" s="1"/>
  <c r="A239" i="1"/>
  <c r="Y239" i="1" s="1"/>
  <c r="A238" i="1"/>
  <c r="Y238" i="1" s="1"/>
  <c r="A237" i="1"/>
  <c r="Y237" i="1" s="1"/>
  <c r="A236" i="1"/>
  <c r="Y236" i="1" s="1"/>
  <c r="A235" i="1"/>
  <c r="Y235" i="1" s="1"/>
  <c r="A234" i="1"/>
  <c r="Y234" i="1" s="1"/>
  <c r="A233" i="1"/>
  <c r="Y233" i="1" s="1"/>
  <c r="A232" i="1"/>
  <c r="Y232" i="1" s="1"/>
  <c r="A231" i="1"/>
  <c r="Y231" i="1" s="1"/>
  <c r="A230" i="1"/>
  <c r="Y230" i="1" s="1"/>
  <c r="A229" i="1"/>
  <c r="Y229" i="1" s="1"/>
  <c r="A228" i="1"/>
  <c r="Y228" i="1" s="1"/>
  <c r="A227" i="1"/>
  <c r="Y227" i="1" s="1"/>
  <c r="A226" i="1"/>
  <c r="Y226" i="1" s="1"/>
  <c r="A225" i="1"/>
  <c r="Y225" i="1" s="1"/>
  <c r="A224" i="1"/>
  <c r="Y224" i="1" s="1"/>
  <c r="A223" i="1"/>
  <c r="Y223" i="1" s="1"/>
  <c r="A222" i="1"/>
  <c r="Y222" i="1" s="1"/>
  <c r="A221" i="1"/>
  <c r="Y221" i="1" s="1"/>
  <c r="A220" i="1"/>
  <c r="Y220" i="1" s="1"/>
  <c r="A219" i="1"/>
  <c r="Y219" i="1" s="1"/>
  <c r="A218" i="1"/>
  <c r="Y218" i="1" s="1"/>
  <c r="A217" i="1"/>
  <c r="Y217" i="1" s="1"/>
  <c r="A216" i="1"/>
  <c r="Y216" i="1" s="1"/>
  <c r="A215" i="1"/>
  <c r="Y215" i="1" s="1"/>
  <c r="A214" i="1"/>
  <c r="Y214" i="1" s="1"/>
  <c r="A213" i="1"/>
  <c r="Y213" i="1" s="1"/>
  <c r="A212" i="1"/>
  <c r="Y212" i="1" s="1"/>
  <c r="A211" i="1"/>
  <c r="Y211" i="1" s="1"/>
  <c r="A210" i="1"/>
  <c r="Y210" i="1" s="1"/>
  <c r="A209" i="1"/>
  <c r="Y209" i="1" s="1"/>
  <c r="A208" i="1"/>
  <c r="Y208" i="1" s="1"/>
  <c r="A207" i="1"/>
  <c r="Y207" i="1" s="1"/>
  <c r="A206" i="1"/>
  <c r="Y206" i="1" s="1"/>
  <c r="A205" i="1"/>
  <c r="Y205" i="1" s="1"/>
  <c r="A204" i="1"/>
  <c r="Y204" i="1" s="1"/>
  <c r="A203" i="1"/>
  <c r="Y203" i="1" s="1"/>
  <c r="A202" i="1"/>
  <c r="Y202" i="1" s="1"/>
  <c r="A201" i="1"/>
  <c r="Y201" i="1" s="1"/>
  <c r="A200" i="1"/>
  <c r="Y200" i="1" s="1"/>
  <c r="A199" i="1"/>
  <c r="Y199" i="1" s="1"/>
  <c r="A198" i="1"/>
  <c r="Y198" i="1" s="1"/>
  <c r="A197" i="1"/>
  <c r="Y197" i="1" s="1"/>
  <c r="A196" i="1"/>
  <c r="Y196" i="1" s="1"/>
  <c r="A195" i="1"/>
  <c r="Y195" i="1" s="1"/>
  <c r="A194" i="1"/>
  <c r="Y194" i="1" s="1"/>
  <c r="A193" i="1"/>
  <c r="Y193" i="1" s="1"/>
  <c r="A192" i="1"/>
  <c r="Y192" i="1" s="1"/>
  <c r="A191" i="1"/>
  <c r="Y191" i="1" s="1"/>
  <c r="A190" i="1"/>
  <c r="Y190" i="1" s="1"/>
  <c r="A189" i="1"/>
  <c r="Y189" i="1" s="1"/>
  <c r="A188" i="1"/>
  <c r="Y188" i="1" s="1"/>
  <c r="A187" i="1"/>
  <c r="Y187" i="1" s="1"/>
  <c r="A186" i="1"/>
  <c r="Y186" i="1" s="1"/>
  <c r="A185" i="1"/>
  <c r="Y185" i="1" s="1"/>
  <c r="A184" i="1"/>
  <c r="Y184" i="1" s="1"/>
  <c r="A183" i="1"/>
  <c r="Y183" i="1" s="1"/>
  <c r="A182" i="1"/>
  <c r="Y182" i="1" s="1"/>
  <c r="A181" i="1"/>
  <c r="Y181" i="1" s="1"/>
  <c r="A180" i="1"/>
  <c r="Y180" i="1" s="1"/>
  <c r="A179" i="1"/>
  <c r="Y179" i="1" s="1"/>
  <c r="A178" i="1"/>
  <c r="Y178" i="1" s="1"/>
  <c r="A177" i="1"/>
  <c r="Y177" i="1" s="1"/>
  <c r="A176" i="1"/>
  <c r="Y176" i="1" s="1"/>
  <c r="A175" i="1"/>
  <c r="Y175" i="1" s="1"/>
  <c r="A174" i="1"/>
  <c r="Y174" i="1" s="1"/>
  <c r="A173" i="1"/>
  <c r="Y173" i="1" s="1"/>
  <c r="A172" i="1"/>
  <c r="Y172" i="1" s="1"/>
  <c r="A171" i="1"/>
  <c r="Y171" i="1" s="1"/>
  <c r="A170" i="1"/>
  <c r="Y170" i="1" s="1"/>
  <c r="A169" i="1"/>
  <c r="Y169" i="1" s="1"/>
  <c r="A168" i="1"/>
  <c r="Y168" i="1" s="1"/>
  <c r="A167" i="1"/>
  <c r="Y167" i="1" s="1"/>
  <c r="A166" i="1"/>
  <c r="Y166" i="1" s="1"/>
  <c r="A165" i="1"/>
  <c r="Y165" i="1" s="1"/>
  <c r="A164" i="1"/>
  <c r="Y164" i="1" s="1"/>
  <c r="A163" i="1"/>
  <c r="Y163" i="1" s="1"/>
  <c r="A162" i="1"/>
  <c r="Y162" i="1" s="1"/>
  <c r="A161" i="1"/>
  <c r="Y161" i="1" s="1"/>
  <c r="A160" i="1"/>
  <c r="Y160" i="1" s="1"/>
  <c r="A159" i="1"/>
  <c r="Y159" i="1" s="1"/>
  <c r="A158" i="1"/>
  <c r="Y158" i="1" s="1"/>
  <c r="A157" i="1"/>
  <c r="Y157" i="1" s="1"/>
  <c r="A156" i="1"/>
  <c r="Y156" i="1" s="1"/>
  <c r="A155" i="1"/>
  <c r="Y155" i="1" s="1"/>
  <c r="A154" i="1"/>
  <c r="Y154" i="1" s="1"/>
  <c r="A153" i="1"/>
  <c r="Y153" i="1" s="1"/>
  <c r="A152" i="1"/>
  <c r="Y152" i="1" s="1"/>
  <c r="A151" i="1"/>
  <c r="Y151" i="1" s="1"/>
  <c r="A150" i="1"/>
  <c r="Y150" i="1" s="1"/>
  <c r="A149" i="1"/>
  <c r="Y149" i="1" s="1"/>
  <c r="A148" i="1"/>
  <c r="Y148" i="1" s="1"/>
  <c r="A147" i="1"/>
  <c r="Y147" i="1" s="1"/>
  <c r="A146" i="1"/>
  <c r="Y146" i="1" s="1"/>
  <c r="A145" i="1"/>
  <c r="Y145" i="1" s="1"/>
  <c r="A144" i="1"/>
  <c r="Y144" i="1" s="1"/>
  <c r="A143" i="1"/>
  <c r="Y143" i="1" s="1"/>
  <c r="A142" i="1"/>
  <c r="Y142" i="1" s="1"/>
  <c r="A141" i="1"/>
  <c r="Y141" i="1" s="1"/>
  <c r="A140" i="1"/>
  <c r="Y140" i="1" s="1"/>
  <c r="A139" i="1"/>
  <c r="Y139" i="1" s="1"/>
  <c r="A138" i="1"/>
  <c r="Y138" i="1" s="1"/>
  <c r="A137" i="1"/>
  <c r="Y137" i="1" s="1"/>
  <c r="A136" i="1"/>
  <c r="Y136" i="1" s="1"/>
  <c r="A135" i="1"/>
  <c r="Y135" i="1" s="1"/>
  <c r="A134" i="1"/>
  <c r="Y134" i="1" s="1"/>
  <c r="A133" i="1"/>
  <c r="Y133" i="1" s="1"/>
  <c r="A132" i="1"/>
  <c r="Y132" i="1" s="1"/>
  <c r="A131" i="1"/>
  <c r="Y131" i="1" s="1"/>
  <c r="A130" i="1"/>
  <c r="Y130" i="1" s="1"/>
  <c r="A129" i="1"/>
  <c r="Y129" i="1" s="1"/>
  <c r="A128" i="1"/>
  <c r="Y128" i="1" s="1"/>
  <c r="A127" i="1"/>
  <c r="Y127" i="1" s="1"/>
  <c r="A126" i="1"/>
  <c r="Y126" i="1" s="1"/>
  <c r="A125" i="1"/>
  <c r="Y125" i="1" s="1"/>
  <c r="A124" i="1"/>
  <c r="Y124" i="1" s="1"/>
  <c r="A123" i="1"/>
  <c r="Y123" i="1" s="1"/>
  <c r="A122" i="1"/>
  <c r="Y122" i="1" s="1"/>
  <c r="A121" i="1"/>
  <c r="Y121" i="1" s="1"/>
  <c r="A120" i="1"/>
  <c r="Y120" i="1" s="1"/>
  <c r="A119" i="1"/>
  <c r="Y119" i="1" s="1"/>
  <c r="A118" i="1"/>
  <c r="Y118" i="1" s="1"/>
  <c r="A117" i="1"/>
  <c r="Y117" i="1" s="1"/>
  <c r="A116" i="1"/>
  <c r="Y116" i="1" s="1"/>
  <c r="A115" i="1"/>
  <c r="Y115" i="1" s="1"/>
  <c r="A114" i="1"/>
  <c r="Y114" i="1" s="1"/>
  <c r="A113" i="1"/>
  <c r="Y113" i="1" s="1"/>
  <c r="A112" i="1"/>
  <c r="Y112" i="1" s="1"/>
  <c r="A111" i="1"/>
  <c r="Y111" i="1" s="1"/>
  <c r="A110" i="1"/>
  <c r="Y110" i="1" s="1"/>
  <c r="A109" i="1"/>
  <c r="Y109" i="1" s="1"/>
  <c r="A108" i="1"/>
  <c r="Y108" i="1" s="1"/>
  <c r="A107" i="1"/>
  <c r="Y107" i="1" s="1"/>
  <c r="A106" i="1"/>
  <c r="Y106" i="1" s="1"/>
  <c r="A105" i="1"/>
  <c r="Y105" i="1" s="1"/>
  <c r="A104" i="1"/>
  <c r="Y104" i="1" s="1"/>
  <c r="A103" i="1"/>
  <c r="Y103" i="1" s="1"/>
  <c r="A102" i="1"/>
  <c r="Y102" i="1" s="1"/>
  <c r="A101" i="1"/>
  <c r="Y101" i="1" s="1"/>
  <c r="A100" i="1"/>
  <c r="Y100" i="1" s="1"/>
  <c r="A99" i="1"/>
  <c r="Y99" i="1" s="1"/>
  <c r="A98" i="1"/>
  <c r="Y98" i="1" s="1"/>
  <c r="A97" i="1"/>
  <c r="Y97" i="1" s="1"/>
  <c r="A96" i="1"/>
  <c r="Y96" i="1" s="1"/>
  <c r="A95" i="1"/>
  <c r="Y95" i="1" s="1"/>
  <c r="A94" i="1"/>
  <c r="Y94" i="1" s="1"/>
  <c r="A93" i="1"/>
  <c r="Y93" i="1" s="1"/>
  <c r="A92" i="1"/>
  <c r="Y92" i="1" s="1"/>
  <c r="A91" i="1"/>
  <c r="Y91" i="1" s="1"/>
  <c r="A90" i="1"/>
  <c r="Y90" i="1" s="1"/>
  <c r="A89" i="1"/>
  <c r="Y89" i="1" s="1"/>
  <c r="A88" i="1"/>
  <c r="Y88" i="1" s="1"/>
  <c r="A87" i="1"/>
  <c r="Y87" i="1" s="1"/>
  <c r="A86" i="1"/>
  <c r="Y86" i="1" s="1"/>
  <c r="A85" i="1"/>
  <c r="Y85" i="1" s="1"/>
  <c r="A84" i="1"/>
  <c r="Y84" i="1" s="1"/>
  <c r="A83" i="1"/>
  <c r="Y83" i="1" s="1"/>
  <c r="A82" i="1"/>
  <c r="Y82" i="1" s="1"/>
  <c r="A81" i="1"/>
  <c r="Y81" i="1" s="1"/>
  <c r="A80" i="1"/>
  <c r="Y80" i="1" s="1"/>
  <c r="A79" i="1"/>
  <c r="Y79" i="1" s="1"/>
  <c r="A78" i="1"/>
  <c r="Y78" i="1" s="1"/>
  <c r="A77" i="1"/>
  <c r="Y77" i="1" s="1"/>
  <c r="A76" i="1"/>
  <c r="Y76" i="1" s="1"/>
  <c r="A75" i="1"/>
  <c r="Y75" i="1" s="1"/>
  <c r="A74" i="1"/>
  <c r="Y74" i="1" s="1"/>
  <c r="A73" i="1"/>
  <c r="Y73" i="1" s="1"/>
  <c r="A72" i="1"/>
  <c r="Y72" i="1" s="1"/>
  <c r="A71" i="1"/>
  <c r="Y71" i="1" s="1"/>
  <c r="A70" i="1"/>
  <c r="Y70" i="1" s="1"/>
  <c r="A69" i="1"/>
  <c r="Y69" i="1" s="1"/>
  <c r="A68" i="1"/>
  <c r="Y68" i="1" s="1"/>
  <c r="A67" i="1"/>
  <c r="Y67" i="1" s="1"/>
  <c r="A66" i="1"/>
  <c r="Y66" i="1" s="1"/>
  <c r="A65" i="1"/>
  <c r="Y65" i="1" s="1"/>
  <c r="A64" i="1"/>
  <c r="Y64" i="1" s="1"/>
  <c r="A63" i="1"/>
  <c r="Y63" i="1" s="1"/>
  <c r="A62" i="1"/>
  <c r="Y62" i="1" s="1"/>
  <c r="A61" i="1"/>
  <c r="Y61" i="1" s="1"/>
  <c r="A60" i="1"/>
  <c r="Y60" i="1" s="1"/>
  <c r="A59" i="1"/>
  <c r="Y59" i="1" s="1"/>
  <c r="A58" i="1"/>
  <c r="Y58" i="1" s="1"/>
  <c r="A57" i="1"/>
  <c r="Y57" i="1" s="1"/>
  <c r="A56" i="1"/>
  <c r="Y56" i="1" s="1"/>
  <c r="A55" i="1"/>
  <c r="Y55" i="1" s="1"/>
  <c r="A54" i="1"/>
  <c r="Y54" i="1" s="1"/>
  <c r="A53" i="1"/>
  <c r="Y53" i="1" s="1"/>
  <c r="A52" i="1"/>
  <c r="Y52" i="1" s="1"/>
  <c r="A51" i="1"/>
  <c r="Y51" i="1" s="1"/>
  <c r="A50" i="1"/>
  <c r="Y50" i="1" s="1"/>
  <c r="A49" i="1"/>
  <c r="Y49" i="1" s="1"/>
  <c r="A48" i="1"/>
  <c r="Y48" i="1" s="1"/>
  <c r="A47" i="1"/>
  <c r="Y47" i="1" s="1"/>
  <c r="A46" i="1"/>
  <c r="Y46" i="1" s="1"/>
  <c r="A45" i="1"/>
  <c r="Y45" i="1" s="1"/>
  <c r="A44" i="1"/>
  <c r="Y44" i="1" s="1"/>
  <c r="A43" i="1"/>
  <c r="Y43" i="1" s="1"/>
  <c r="A42" i="1"/>
  <c r="Y42" i="1" s="1"/>
  <c r="A41" i="1"/>
  <c r="Y41" i="1" s="1"/>
  <c r="A40" i="1"/>
  <c r="Y40" i="1" s="1"/>
  <c r="A39" i="1"/>
  <c r="Y39" i="1" s="1"/>
  <c r="A38" i="1"/>
  <c r="Y38" i="1" s="1"/>
  <c r="A37" i="1"/>
  <c r="Y37" i="1" s="1"/>
  <c r="A36" i="1"/>
  <c r="Y36" i="1" s="1"/>
  <c r="A35" i="1"/>
  <c r="Y35" i="1" s="1"/>
  <c r="A34" i="1"/>
  <c r="Y34" i="1" s="1"/>
  <c r="A33" i="1"/>
  <c r="Y33" i="1" s="1"/>
  <c r="A32" i="1"/>
  <c r="Y32" i="1" s="1"/>
  <c r="A31" i="1"/>
  <c r="Y31" i="1" s="1"/>
  <c r="A30" i="1"/>
  <c r="Y30" i="1" s="1"/>
  <c r="A29" i="1"/>
  <c r="Y29" i="1" s="1"/>
  <c r="A28" i="1"/>
  <c r="Y28" i="1" s="1"/>
  <c r="A27" i="1"/>
  <c r="Y27" i="1" s="1"/>
  <c r="A26" i="1"/>
  <c r="Y26" i="1" s="1"/>
  <c r="A25" i="1"/>
  <c r="Y25" i="1" s="1"/>
  <c r="A24" i="1"/>
  <c r="Y24" i="1" s="1"/>
  <c r="A23" i="1"/>
  <c r="Y23" i="1" s="1"/>
  <c r="A22" i="1"/>
  <c r="Y22" i="1" s="1"/>
  <c r="A21" i="1"/>
  <c r="Y21" i="1" s="1"/>
  <c r="A20" i="1"/>
  <c r="Y20" i="1" s="1"/>
  <c r="A19" i="1"/>
  <c r="Y19" i="1" s="1"/>
  <c r="A18" i="1"/>
  <c r="Y18" i="1" s="1"/>
  <c r="A17" i="1"/>
  <c r="Y17" i="1" s="1"/>
  <c r="A16" i="1"/>
  <c r="Y16" i="1" s="1"/>
  <c r="A15" i="1"/>
  <c r="Y15" i="1" s="1"/>
  <c r="A14" i="1"/>
  <c r="Y14" i="1" s="1"/>
  <c r="A13" i="1"/>
  <c r="Y13" i="1" s="1"/>
  <c r="A12" i="1"/>
  <c r="Y12" i="1" s="1"/>
  <c r="A11" i="1"/>
  <c r="Y11" i="1" s="1"/>
  <c r="A10" i="1"/>
  <c r="Y10" i="1" s="1"/>
  <c r="A9" i="1"/>
  <c r="Y9" i="1" s="1"/>
  <c r="P30" i="15" l="1"/>
  <c r="P29" i="15"/>
  <c r="P33" i="15"/>
  <c r="Q28" i="15" l="1"/>
  <c r="R28" i="15" s="1"/>
  <c r="Q29" i="15"/>
  <c r="R29" i="15" s="1"/>
  <c r="Q30" i="15"/>
  <c r="R30" i="15" s="1"/>
  <c r="R31" i="15"/>
  <c r="R32" i="15"/>
  <c r="R33" i="15"/>
  <c r="R34" i="15"/>
  <c r="Q35" i="15"/>
  <c r="R35" i="15" s="1"/>
  <c r="R36" i="15"/>
  <c r="M19" i="15" l="1"/>
  <c r="M20" i="15"/>
  <c r="A490" i="17" l="1"/>
  <c r="A489" i="17"/>
  <c r="A488" i="17"/>
  <c r="A526" i="20"/>
  <c r="H526" i="20" s="1"/>
  <c r="A525" i="20"/>
  <c r="H525" i="20" s="1"/>
  <c r="A524" i="20"/>
  <c r="H734" i="1"/>
  <c r="O734" i="1"/>
  <c r="W734" i="1" s="1"/>
  <c r="K525" i="20" s="1"/>
  <c r="L525" i="20" s="1"/>
  <c r="H735" i="1"/>
  <c r="O735" i="1"/>
  <c r="W735" i="1" s="1"/>
  <c r="K526" i="20" s="1"/>
  <c r="L526" i="20" s="1"/>
  <c r="A220" i="17"/>
  <c r="A219" i="17"/>
  <c r="A218" i="17"/>
  <c r="H416" i="1"/>
  <c r="O416" i="1"/>
  <c r="I240" i="20" s="1"/>
  <c r="J240" i="20" s="1"/>
  <c r="H417" i="1"/>
  <c r="O417" i="1"/>
  <c r="W417" i="1" s="1"/>
  <c r="K241" i="20" s="1"/>
  <c r="A242" i="20"/>
  <c r="A241" i="20"/>
  <c r="A240" i="20"/>
  <c r="H240" i="20" s="1"/>
  <c r="A239" i="20"/>
  <c r="H241" i="20"/>
  <c r="I525" i="20" l="1"/>
  <c r="J525" i="20" s="1"/>
  <c r="I526" i="20"/>
  <c r="J526" i="20" s="1"/>
  <c r="W416" i="1"/>
  <c r="K240" i="20" s="1"/>
  <c r="I241" i="20"/>
  <c r="J241" i="20" s="1"/>
  <c r="A93" i="20" l="1"/>
  <c r="H93" i="20" s="1"/>
  <c r="A71" i="17"/>
  <c r="H464" i="1"/>
  <c r="O464" i="1"/>
  <c r="W464" i="1" s="1"/>
  <c r="K93" i="20" s="1"/>
  <c r="L93" i="20" s="1"/>
  <c r="I93" i="20"/>
  <c r="J93" i="20" s="1"/>
  <c r="A740" i="17" l="1"/>
  <c r="A739" i="17"/>
  <c r="A738" i="17"/>
  <c r="A737" i="17"/>
  <c r="A736" i="17"/>
  <c r="A735" i="17"/>
  <c r="A734" i="17"/>
  <c r="A733" i="17"/>
  <c r="A732" i="17"/>
  <c r="A731" i="17"/>
  <c r="A730" i="17"/>
  <c r="A729" i="17"/>
  <c r="A728" i="17"/>
  <c r="A727" i="17"/>
  <c r="A726" i="17"/>
  <c r="A725" i="17"/>
  <c r="A724" i="17"/>
  <c r="A723" i="17"/>
  <c r="A722" i="17"/>
  <c r="A721" i="17"/>
  <c r="A720" i="17"/>
  <c r="A719" i="17"/>
  <c r="A718" i="17"/>
  <c r="A717" i="17"/>
  <c r="A716" i="17"/>
  <c r="A715" i="17"/>
  <c r="A714" i="17"/>
  <c r="A713" i="17"/>
  <c r="A712" i="17"/>
  <c r="A711" i="17"/>
  <c r="A710" i="17"/>
  <c r="A709" i="17"/>
  <c r="A708" i="17"/>
  <c r="A707" i="17"/>
  <c r="A706" i="17"/>
  <c r="A705" i="17"/>
  <c r="A704" i="17"/>
  <c r="A703" i="17"/>
  <c r="A702" i="17"/>
  <c r="A701" i="17"/>
  <c r="A700" i="17"/>
  <c r="A699" i="17"/>
  <c r="A698" i="17"/>
  <c r="A697" i="17"/>
  <c r="A696" i="17"/>
  <c r="A695" i="17"/>
  <c r="A694" i="17"/>
  <c r="A693" i="17"/>
  <c r="A692" i="17"/>
  <c r="A691" i="17"/>
  <c r="A690" i="17"/>
  <c r="A689" i="17"/>
  <c r="A688" i="17"/>
  <c r="A687" i="17"/>
  <c r="A686" i="17"/>
  <c r="A685" i="17"/>
  <c r="A684" i="17"/>
  <c r="A683" i="17"/>
  <c r="A682" i="17"/>
  <c r="A681" i="17"/>
  <c r="A680" i="17"/>
  <c r="A679" i="17"/>
  <c r="A678" i="17"/>
  <c r="A677" i="17"/>
  <c r="A676" i="17"/>
  <c r="A675" i="17"/>
  <c r="A674" i="17"/>
  <c r="A673" i="17"/>
  <c r="A672" i="17"/>
  <c r="A671" i="17"/>
  <c r="A670" i="17"/>
  <c r="A669" i="17"/>
  <c r="A668" i="17"/>
  <c r="A667" i="17"/>
  <c r="A666" i="17"/>
  <c r="A665" i="17"/>
  <c r="A664" i="17"/>
  <c r="A663" i="17"/>
  <c r="A662" i="17"/>
  <c r="A661" i="17"/>
  <c r="A660" i="17"/>
  <c r="A659" i="17"/>
  <c r="A658" i="17"/>
  <c r="A657" i="17"/>
  <c r="A656" i="17"/>
  <c r="A655" i="17"/>
  <c r="A654" i="17"/>
  <c r="A653" i="17"/>
  <c r="A652" i="17"/>
  <c r="A651" i="17"/>
  <c r="A650" i="17"/>
  <c r="A649" i="17"/>
  <c r="A648" i="17"/>
  <c r="A647" i="17"/>
  <c r="A646" i="17"/>
  <c r="A645" i="17"/>
  <c r="A644" i="17"/>
  <c r="A643" i="17"/>
  <c r="A642" i="17"/>
  <c r="A641" i="17"/>
  <c r="A640" i="17"/>
  <c r="A639" i="17"/>
  <c r="A638" i="17"/>
  <c r="A637" i="17"/>
  <c r="A636" i="17"/>
  <c r="A635" i="17"/>
  <c r="A634" i="17"/>
  <c r="A633" i="17"/>
  <c r="A632" i="17"/>
  <c r="A631" i="17"/>
  <c r="A630" i="17"/>
  <c r="A629" i="17"/>
  <c r="A628" i="17"/>
  <c r="A627" i="17"/>
  <c r="A626" i="17"/>
  <c r="A625" i="17"/>
  <c r="A624" i="17"/>
  <c r="A623" i="17"/>
  <c r="A622" i="17"/>
  <c r="A621" i="17"/>
  <c r="A620" i="17"/>
  <c r="A619" i="17"/>
  <c r="A618" i="17"/>
  <c r="A617" i="17"/>
  <c r="A616" i="17"/>
  <c r="A615" i="17"/>
  <c r="A614" i="17"/>
  <c r="A613" i="17"/>
  <c r="A612" i="17"/>
  <c r="A611" i="17"/>
  <c r="A610" i="17"/>
  <c r="A609" i="17"/>
  <c r="A608" i="17"/>
  <c r="A607" i="17"/>
  <c r="A606" i="17"/>
  <c r="A605" i="17"/>
  <c r="A604" i="17"/>
  <c r="A603" i="17"/>
  <c r="A602" i="17"/>
  <c r="A601" i="17"/>
  <c r="A600" i="17"/>
  <c r="A599" i="17"/>
  <c r="A598" i="17"/>
  <c r="A597" i="17"/>
  <c r="A596" i="17"/>
  <c r="A595" i="17"/>
  <c r="A594" i="17"/>
  <c r="A593" i="17"/>
  <c r="A592" i="17"/>
  <c r="A591" i="17"/>
  <c r="A590" i="17"/>
  <c r="A589" i="17"/>
  <c r="A588" i="17"/>
  <c r="A587" i="17"/>
  <c r="A586" i="17"/>
  <c r="A585" i="17"/>
  <c r="A584" i="17"/>
  <c r="A583" i="17"/>
  <c r="A582" i="17"/>
  <c r="A581" i="17"/>
  <c r="A580" i="17"/>
  <c r="A579" i="17"/>
  <c r="A578" i="17"/>
  <c r="A577" i="17"/>
  <c r="A576" i="17"/>
  <c r="A575" i="17"/>
  <c r="A574" i="17"/>
  <c r="A573" i="17"/>
  <c r="A572" i="17"/>
  <c r="A571" i="17"/>
  <c r="A570" i="17"/>
  <c r="A569" i="17"/>
  <c r="A568" i="17"/>
  <c r="A567" i="17"/>
  <c r="A566" i="17"/>
  <c r="A565" i="17"/>
  <c r="A564" i="17"/>
  <c r="A563" i="17"/>
  <c r="A562" i="17"/>
  <c r="A561" i="17"/>
  <c r="A560" i="17"/>
  <c r="A559" i="17"/>
  <c r="A558" i="17"/>
  <c r="A557" i="17"/>
  <c r="A556" i="17"/>
  <c r="A555" i="17"/>
  <c r="A554" i="17"/>
  <c r="A553" i="17"/>
  <c r="A552" i="17"/>
  <c r="A551" i="17"/>
  <c r="A550" i="17"/>
  <c r="A549" i="17"/>
  <c r="A548" i="17"/>
  <c r="A547" i="17"/>
  <c r="A546" i="17"/>
  <c r="A545" i="17"/>
  <c r="A544" i="17"/>
  <c r="A543" i="17"/>
  <c r="A542" i="17"/>
  <c r="A541" i="17"/>
  <c r="A540" i="17"/>
  <c r="A539" i="17"/>
  <c r="A538" i="17"/>
  <c r="A537" i="17"/>
  <c r="A536" i="17"/>
  <c r="A535" i="17"/>
  <c r="A534" i="17"/>
  <c r="A533" i="17"/>
  <c r="A532" i="17"/>
  <c r="A531" i="17"/>
  <c r="A530" i="17"/>
  <c r="A529" i="17"/>
  <c r="A528" i="17"/>
  <c r="A527" i="17"/>
  <c r="A526" i="17"/>
  <c r="A525" i="17"/>
  <c r="A524" i="17"/>
  <c r="A523" i="17"/>
  <c r="A522" i="17"/>
  <c r="A521" i="17"/>
  <c r="A520" i="17"/>
  <c r="A519" i="17"/>
  <c r="A518" i="17"/>
  <c r="A517" i="17"/>
  <c r="A516" i="17"/>
  <c r="A515" i="17"/>
  <c r="A514" i="17"/>
  <c r="A513" i="17"/>
  <c r="A512" i="17"/>
  <c r="A511" i="17"/>
  <c r="A510" i="17"/>
  <c r="A509" i="17"/>
  <c r="A508" i="17"/>
  <c r="A507" i="17"/>
  <c r="A506" i="17"/>
  <c r="A505" i="17"/>
  <c r="A504" i="17"/>
  <c r="A503" i="17"/>
  <c r="A502" i="17"/>
  <c r="A501" i="17"/>
  <c r="A500" i="17"/>
  <c r="A499" i="17"/>
  <c r="A498" i="17"/>
  <c r="A497" i="17"/>
  <c r="A496" i="17"/>
  <c r="A495" i="17"/>
  <c r="A494" i="17"/>
  <c r="A493" i="17"/>
  <c r="A492" i="17"/>
  <c r="A491" i="17"/>
  <c r="A487" i="17"/>
  <c r="A486" i="17"/>
  <c r="A485" i="17"/>
  <c r="A484" i="17"/>
  <c r="A483" i="17"/>
  <c r="A482" i="17"/>
  <c r="A481" i="17"/>
  <c r="A480" i="17"/>
  <c r="A479" i="17"/>
  <c r="A478" i="17"/>
  <c r="A477" i="17"/>
  <c r="A476" i="17"/>
  <c r="A475" i="17"/>
  <c r="A474" i="17"/>
  <c r="A473" i="17"/>
  <c r="A472" i="17"/>
  <c r="A471" i="17"/>
  <c r="A470" i="17"/>
  <c r="A469" i="17"/>
  <c r="A468" i="17"/>
  <c r="A467" i="17"/>
  <c r="A466" i="17"/>
  <c r="A465" i="17"/>
  <c r="A464" i="17"/>
  <c r="A463" i="17"/>
  <c r="A462" i="17"/>
  <c r="A461" i="17"/>
  <c r="A460" i="17"/>
  <c r="A459" i="17"/>
  <c r="A458" i="17"/>
  <c r="A457" i="17"/>
  <c r="A456" i="17"/>
  <c r="A455" i="17"/>
  <c r="A454" i="17"/>
  <c r="A453" i="17"/>
  <c r="A452" i="17"/>
  <c r="A451" i="17"/>
  <c r="A450" i="17"/>
  <c r="A449" i="17"/>
  <c r="A448" i="17"/>
  <c r="A447" i="17"/>
  <c r="A446" i="17"/>
  <c r="A445" i="17"/>
  <c r="A444" i="17"/>
  <c r="A443" i="17"/>
  <c r="A442" i="17"/>
  <c r="A441" i="17"/>
  <c r="A440" i="17"/>
  <c r="A439" i="17"/>
  <c r="A438" i="17"/>
  <c r="A437" i="17"/>
  <c r="A436" i="17"/>
  <c r="A435" i="17"/>
  <c r="A434" i="17"/>
  <c r="A433" i="17"/>
  <c r="A432" i="17"/>
  <c r="A431" i="17"/>
  <c r="A430" i="17"/>
  <c r="A429" i="17"/>
  <c r="A428" i="17"/>
  <c r="A427" i="17"/>
  <c r="A426" i="17"/>
  <c r="A425" i="17"/>
  <c r="A424" i="17"/>
  <c r="A423" i="17"/>
  <c r="A422" i="17"/>
  <c r="A421" i="17"/>
  <c r="A420" i="17"/>
  <c r="A419" i="17"/>
  <c r="A418" i="17"/>
  <c r="A417" i="17"/>
  <c r="A416" i="17"/>
  <c r="A415" i="17"/>
  <c r="A414" i="17"/>
  <c r="A413" i="17"/>
  <c r="A412" i="17"/>
  <c r="A411" i="17"/>
  <c r="A410" i="17"/>
  <c r="A409" i="17"/>
  <c r="A408" i="17"/>
  <c r="A407" i="17"/>
  <c r="A406" i="17"/>
  <c r="A405" i="17"/>
  <c r="A404" i="17"/>
  <c r="A403" i="17"/>
  <c r="A402" i="17"/>
  <c r="A401" i="17"/>
  <c r="A400" i="17"/>
  <c r="A399" i="17"/>
  <c r="A398" i="17"/>
  <c r="A397" i="17"/>
  <c r="A396" i="17"/>
  <c r="A395" i="17"/>
  <c r="A394" i="17"/>
  <c r="A393" i="17"/>
  <c r="A392" i="17"/>
  <c r="A391" i="17"/>
  <c r="A390" i="17"/>
  <c r="A389" i="17"/>
  <c r="A388" i="17"/>
  <c r="A387" i="17"/>
  <c r="A386" i="17"/>
  <c r="A385" i="17"/>
  <c r="A384" i="17"/>
  <c r="A383" i="17"/>
  <c r="A382" i="17"/>
  <c r="A381" i="17"/>
  <c r="A380" i="17"/>
  <c r="A379" i="17"/>
  <c r="A378" i="17"/>
  <c r="A377" i="17"/>
  <c r="A376" i="17"/>
  <c r="A375" i="17"/>
  <c r="A374" i="17"/>
  <c r="A373" i="17"/>
  <c r="A372" i="17"/>
  <c r="A371" i="17"/>
  <c r="A370" i="17"/>
  <c r="A369" i="17"/>
  <c r="A368" i="17"/>
  <c r="A367" i="17"/>
  <c r="A366" i="17"/>
  <c r="A365" i="17"/>
  <c r="A364" i="17"/>
  <c r="A363" i="17"/>
  <c r="A362" i="17"/>
  <c r="A361" i="17"/>
  <c r="A360" i="17"/>
  <c r="A359" i="17"/>
  <c r="A358" i="17"/>
  <c r="A357" i="17"/>
  <c r="A356" i="17"/>
  <c r="A355" i="17"/>
  <c r="A354" i="17"/>
  <c r="A353" i="17"/>
  <c r="A352" i="17"/>
  <c r="A351" i="17"/>
  <c r="A350" i="17"/>
  <c r="A349" i="17"/>
  <c r="A348" i="17"/>
  <c r="A347" i="17"/>
  <c r="A346" i="17"/>
  <c r="A345" i="17"/>
  <c r="A344" i="17"/>
  <c r="A343" i="17"/>
  <c r="A342" i="17"/>
  <c r="A341" i="17"/>
  <c r="A340" i="17"/>
  <c r="A339" i="17"/>
  <c r="A338" i="17"/>
  <c r="A337" i="17"/>
  <c r="A336" i="17"/>
  <c r="A335" i="17"/>
  <c r="A334" i="17"/>
  <c r="A333" i="17"/>
  <c r="A332" i="17"/>
  <c r="A331" i="17"/>
  <c r="A330" i="17"/>
  <c r="A329" i="17"/>
  <c r="A328" i="17"/>
  <c r="A327" i="17"/>
  <c r="A326" i="17"/>
  <c r="A325" i="17"/>
  <c r="A324" i="17"/>
  <c r="A323" i="17"/>
  <c r="A322" i="17"/>
  <c r="A321" i="17"/>
  <c r="A320" i="17"/>
  <c r="A319" i="17"/>
  <c r="A318" i="17"/>
  <c r="A317" i="17"/>
  <c r="A316" i="17"/>
  <c r="A315" i="17"/>
  <c r="A314" i="17"/>
  <c r="A313" i="17"/>
  <c r="A312" i="17"/>
  <c r="A311" i="17"/>
  <c r="A310" i="17"/>
  <c r="A309" i="17"/>
  <c r="A308" i="17"/>
  <c r="A307" i="17"/>
  <c r="A306" i="17"/>
  <c r="A305" i="17"/>
  <c r="A304" i="17"/>
  <c r="A303" i="17"/>
  <c r="A302" i="17"/>
  <c r="A301" i="17"/>
  <c r="A300" i="17"/>
  <c r="A299" i="17"/>
  <c r="A298" i="17"/>
  <c r="A297" i="17"/>
  <c r="A296" i="17"/>
  <c r="A295" i="17"/>
  <c r="A294" i="17"/>
  <c r="A293" i="17"/>
  <c r="A292" i="17"/>
  <c r="A291" i="17"/>
  <c r="A290" i="17"/>
  <c r="A289" i="17"/>
  <c r="A288" i="17"/>
  <c r="A287" i="17"/>
  <c r="A286" i="17"/>
  <c r="A285" i="17"/>
  <c r="A284" i="17"/>
  <c r="A283" i="17"/>
  <c r="A282" i="17"/>
  <c r="A281" i="17"/>
  <c r="A280" i="17"/>
  <c r="A279" i="17"/>
  <c r="A278" i="17"/>
  <c r="A277" i="17"/>
  <c r="A276" i="17"/>
  <c r="A275" i="17"/>
  <c r="A274" i="17"/>
  <c r="A273" i="17"/>
  <c r="A272" i="17"/>
  <c r="A271" i="17"/>
  <c r="A270" i="17"/>
  <c r="A269" i="17"/>
  <c r="A268" i="17"/>
  <c r="A267" i="17"/>
  <c r="A266" i="17"/>
  <c r="A265" i="17"/>
  <c r="A264" i="17"/>
  <c r="A263" i="17"/>
  <c r="A262" i="17"/>
  <c r="A261" i="17"/>
  <c r="A260" i="17"/>
  <c r="A259" i="17"/>
  <c r="A258" i="17"/>
  <c r="A257" i="17"/>
  <c r="A256" i="17"/>
  <c r="A255" i="17"/>
  <c r="A254" i="17"/>
  <c r="A253" i="17"/>
  <c r="A252" i="17"/>
  <c r="A251" i="17"/>
  <c r="A250" i="17"/>
  <c r="A249" i="17"/>
  <c r="A248" i="17"/>
  <c r="A247" i="17"/>
  <c r="A246" i="17"/>
  <c r="A245" i="17"/>
  <c r="A244" i="17"/>
  <c r="A243" i="17"/>
  <c r="A242" i="17"/>
  <c r="A241" i="17"/>
  <c r="A240" i="17"/>
  <c r="A239" i="17"/>
  <c r="A238" i="17"/>
  <c r="A237" i="17"/>
  <c r="A236" i="17"/>
  <c r="A235" i="17"/>
  <c r="A234" i="17"/>
  <c r="A233" i="17"/>
  <c r="A232" i="17"/>
  <c r="A231" i="17"/>
  <c r="A230" i="17"/>
  <c r="A229" i="17"/>
  <c r="A228" i="17"/>
  <c r="A227" i="17"/>
  <c r="A226" i="17"/>
  <c r="A225" i="17"/>
  <c r="A224" i="17"/>
  <c r="A223" i="17"/>
  <c r="A222" i="17"/>
  <c r="A221" i="17"/>
  <c r="A217" i="17"/>
  <c r="A216" i="17"/>
  <c r="A215" i="17"/>
  <c r="A214" i="17"/>
  <c r="A213" i="17"/>
  <c r="A212" i="17"/>
  <c r="A211" i="17"/>
  <c r="A210" i="17"/>
  <c r="A209" i="17"/>
  <c r="A208" i="17"/>
  <c r="A207" i="17"/>
  <c r="A206" i="17"/>
  <c r="A205" i="17"/>
  <c r="A204" i="17"/>
  <c r="A203" i="17"/>
  <c r="A202" i="17"/>
  <c r="A201" i="17"/>
  <c r="A200" i="17"/>
  <c r="A199" i="17"/>
  <c r="A198" i="17"/>
  <c r="A197" i="17"/>
  <c r="A196" i="17"/>
  <c r="A195" i="17"/>
  <c r="A194" i="17"/>
  <c r="A193" i="17"/>
  <c r="A192" i="17"/>
  <c r="A191" i="17"/>
  <c r="A190" i="17"/>
  <c r="A189" i="17"/>
  <c r="A188" i="17"/>
  <c r="A187" i="17"/>
  <c r="A186" i="17"/>
  <c r="A185" i="17"/>
  <c r="A184" i="17"/>
  <c r="A183" i="17"/>
  <c r="A182" i="17"/>
  <c r="A181" i="17"/>
  <c r="A180" i="17"/>
  <c r="A179" i="17"/>
  <c r="A178" i="17"/>
  <c r="A177" i="17"/>
  <c r="A176" i="17"/>
  <c r="A175" i="17"/>
  <c r="A174" i="17"/>
  <c r="A173" i="17"/>
  <c r="A172" i="17"/>
  <c r="A171" i="17"/>
  <c r="A170" i="17"/>
  <c r="A169" i="17"/>
  <c r="A168" i="17"/>
  <c r="A167" i="17"/>
  <c r="A166" i="17"/>
  <c r="A165" i="17"/>
  <c r="A164" i="17"/>
  <c r="A163" i="17"/>
  <c r="A162" i="17"/>
  <c r="A161" i="17"/>
  <c r="A160" i="17"/>
  <c r="A159" i="17"/>
  <c r="A158" i="17"/>
  <c r="A157" i="17"/>
  <c r="A156" i="17"/>
  <c r="A155" i="17"/>
  <c r="A154" i="17"/>
  <c r="A153" i="17"/>
  <c r="A152" i="17"/>
  <c r="A151" i="17"/>
  <c r="A150" i="17"/>
  <c r="A149" i="17"/>
  <c r="A148" i="17"/>
  <c r="A147" i="17"/>
  <c r="A146" i="17"/>
  <c r="A145" i="17"/>
  <c r="A144" i="17"/>
  <c r="A143" i="17"/>
  <c r="A142" i="17"/>
  <c r="A141" i="17"/>
  <c r="A140" i="17"/>
  <c r="A139" i="17"/>
  <c r="A138" i="17"/>
  <c r="A137" i="17"/>
  <c r="A136" i="17"/>
  <c r="A135" i="17"/>
  <c r="A134" i="17"/>
  <c r="A133" i="17"/>
  <c r="A132" i="17"/>
  <c r="A131" i="17"/>
  <c r="A130" i="17"/>
  <c r="A129" i="17"/>
  <c r="A128" i="17"/>
  <c r="A127" i="17"/>
  <c r="A126" i="17"/>
  <c r="A125" i="17"/>
  <c r="A124" i="17"/>
  <c r="A123" i="17"/>
  <c r="A122" i="17"/>
  <c r="A121" i="17"/>
  <c r="A120" i="17"/>
  <c r="A119" i="17"/>
  <c r="A118" i="17"/>
  <c r="A117" i="17"/>
  <c r="A116" i="17"/>
  <c r="A115" i="17"/>
  <c r="A114" i="17"/>
  <c r="A113" i="17"/>
  <c r="A112" i="17"/>
  <c r="A111" i="17"/>
  <c r="A110" i="17"/>
  <c r="A109" i="17"/>
  <c r="A108" i="17"/>
  <c r="A107" i="17"/>
  <c r="A106" i="17"/>
  <c r="A105" i="17"/>
  <c r="A104" i="17"/>
  <c r="A103" i="17"/>
  <c r="A102" i="17"/>
  <c r="A101" i="17"/>
  <c r="A100" i="17"/>
  <c r="A99" i="17"/>
  <c r="A98" i="17"/>
  <c r="A97" i="17"/>
  <c r="A96" i="17"/>
  <c r="A95" i="17"/>
  <c r="A94" i="17"/>
  <c r="A93" i="17"/>
  <c r="A92" i="17"/>
  <c r="A91" i="17"/>
  <c r="A90" i="17"/>
  <c r="A89" i="17"/>
  <c r="A88" i="17"/>
  <c r="A87" i="17"/>
  <c r="A86" i="17"/>
  <c r="A85" i="17"/>
  <c r="A84" i="17"/>
  <c r="A83" i="17"/>
  <c r="A82" i="17"/>
  <c r="A81" i="17"/>
  <c r="A80" i="17"/>
  <c r="A79" i="17"/>
  <c r="A78" i="17"/>
  <c r="A77" i="17"/>
  <c r="A76" i="17"/>
  <c r="A75" i="17"/>
  <c r="A74" i="17"/>
  <c r="A73" i="17"/>
  <c r="A72" i="17"/>
  <c r="A70" i="17"/>
  <c r="A69" i="17"/>
  <c r="A68" i="17"/>
  <c r="A67" i="17"/>
  <c r="A66" i="17"/>
  <c r="A65" i="17"/>
  <c r="A64" i="17"/>
  <c r="A63" i="17"/>
  <c r="A62" i="17"/>
  <c r="A61" i="17"/>
  <c r="A60" i="17"/>
  <c r="A59" i="17"/>
  <c r="A58" i="17"/>
  <c r="A57" i="17"/>
  <c r="A56" i="17"/>
  <c r="A55" i="17"/>
  <c r="A54" i="17"/>
  <c r="A53" i="17"/>
  <c r="A52" i="17"/>
  <c r="A51" i="17"/>
  <c r="A50" i="17"/>
  <c r="A49" i="17"/>
  <c r="A48" i="17"/>
  <c r="A47" i="17"/>
  <c r="A46" i="17"/>
  <c r="A45" i="17"/>
  <c r="A44" i="17"/>
  <c r="A43" i="17"/>
  <c r="A42" i="17"/>
  <c r="A41" i="17"/>
  <c r="A40" i="17"/>
  <c r="A39" i="17"/>
  <c r="A38" i="17"/>
  <c r="A37" i="17"/>
  <c r="A36" i="17"/>
  <c r="A35" i="17"/>
  <c r="A34" i="17"/>
  <c r="A33" i="17"/>
  <c r="A32" i="17"/>
  <c r="A31" i="17"/>
  <c r="A30" i="17"/>
  <c r="A29" i="17"/>
  <c r="A28" i="17"/>
  <c r="A27" i="17"/>
  <c r="A26" i="17"/>
  <c r="A25" i="17"/>
  <c r="A24" i="17"/>
  <c r="A23" i="17"/>
  <c r="A22" i="17"/>
  <c r="A21" i="17"/>
  <c r="A20" i="17"/>
  <c r="A19" i="17"/>
  <c r="A18" i="17"/>
  <c r="A17" i="17"/>
  <c r="A16" i="17"/>
  <c r="A15" i="17"/>
  <c r="A14" i="17"/>
  <c r="A13" i="17"/>
  <c r="A12" i="17"/>
  <c r="A11" i="17"/>
  <c r="A10" i="17"/>
  <c r="A9" i="17"/>
  <c r="A8" i="17"/>
  <c r="R271" i="17" l="1"/>
  <c r="Q271" i="17"/>
  <c r="P271" i="17"/>
  <c r="P413" i="17"/>
  <c r="Q413" i="17"/>
  <c r="R413" i="17"/>
  <c r="Q112" i="17"/>
  <c r="P111" i="17"/>
  <c r="P112" i="17"/>
  <c r="Q111" i="17"/>
  <c r="R111" i="17"/>
  <c r="R112" i="17"/>
  <c r="Q37" i="15" l="1"/>
  <c r="K22" i="15"/>
  <c r="K21" i="15"/>
  <c r="K20" i="15"/>
  <c r="K19" i="15"/>
  <c r="K18" i="15"/>
  <c r="K17" i="15"/>
  <c r="K16" i="15"/>
  <c r="K15" i="15"/>
  <c r="K14" i="15"/>
  <c r="K13" i="15"/>
  <c r="H266" i="1" l="1"/>
  <c r="O266" i="1"/>
  <c r="W266" i="1" s="1"/>
  <c r="K238" i="20" s="1"/>
  <c r="L238" i="20" s="1"/>
  <c r="A238" i="20"/>
  <c r="H238" i="20" s="1"/>
  <c r="A76" i="23"/>
  <c r="A75" i="23"/>
  <c r="A74" i="23"/>
  <c r="A73" i="23"/>
  <c r="A72" i="23"/>
  <c r="A71" i="23"/>
  <c r="A70" i="23"/>
  <c r="A69" i="23"/>
  <c r="A68" i="23"/>
  <c r="A67" i="23"/>
  <c r="A66" i="23"/>
  <c r="A65" i="23"/>
  <c r="A64" i="23"/>
  <c r="A63" i="23"/>
  <c r="A62" i="23"/>
  <c r="A61" i="23"/>
  <c r="A60" i="23"/>
  <c r="A59" i="23"/>
  <c r="A58" i="23"/>
  <c r="A57" i="23"/>
  <c r="A56" i="23"/>
  <c r="A55" i="23"/>
  <c r="A54" i="23"/>
  <c r="A53" i="23"/>
  <c r="A52" i="23"/>
  <c r="A51" i="23"/>
  <c r="A50" i="23"/>
  <c r="A49" i="23"/>
  <c r="A48" i="23"/>
  <c r="A47" i="23"/>
  <c r="A46" i="23"/>
  <c r="A45" i="23"/>
  <c r="A44" i="23"/>
  <c r="A43" i="23"/>
  <c r="A42" i="23"/>
  <c r="A41" i="23"/>
  <c r="A40" i="23"/>
  <c r="A39" i="23"/>
  <c r="A38" i="23"/>
  <c r="A37" i="23"/>
  <c r="A36" i="23"/>
  <c r="A35" i="23"/>
  <c r="A34" i="23"/>
  <c r="A33" i="23"/>
  <c r="A32" i="23"/>
  <c r="A31" i="23"/>
  <c r="A30" i="23"/>
  <c r="A29" i="23"/>
  <c r="A28" i="23"/>
  <c r="A27" i="23"/>
  <c r="A26" i="23"/>
  <c r="A25" i="23"/>
  <c r="A24" i="23"/>
  <c r="A23" i="23"/>
  <c r="A22" i="23"/>
  <c r="A21" i="23"/>
  <c r="A20" i="23"/>
  <c r="A19" i="23"/>
  <c r="A18" i="23"/>
  <c r="A17" i="23"/>
  <c r="A16" i="23"/>
  <c r="A15" i="23"/>
  <c r="A14" i="23"/>
  <c r="A13" i="23"/>
  <c r="A12" i="23"/>
  <c r="A11" i="23"/>
  <c r="A10" i="23"/>
  <c r="A9" i="23"/>
  <c r="A8" i="23"/>
  <c r="A7" i="23"/>
  <c r="A6" i="23"/>
  <c r="A5" i="23"/>
  <c r="A4" i="23"/>
  <c r="A3" i="23"/>
  <c r="A2" i="23"/>
  <c r="I238" i="20" l="1"/>
  <c r="J238" i="20" s="1"/>
  <c r="Q238" i="20" s="1"/>
  <c r="R95" i="17"/>
  <c r="Q95" i="17"/>
  <c r="P95" i="17"/>
  <c r="N238" i="20" l="1"/>
  <c r="O238" i="20" s="1"/>
  <c r="R240" i="17"/>
  <c r="O801" i="1"/>
  <c r="W801" i="1" s="1"/>
  <c r="K549" i="20" s="1"/>
  <c r="L549" i="20" s="1"/>
  <c r="H801" i="1"/>
  <c r="A549" i="20"/>
  <c r="H549" i="20" s="1"/>
  <c r="I549" i="20" l="1"/>
  <c r="J549" i="20" s="1"/>
  <c r="Q549" i="20" s="1"/>
  <c r="Q240" i="17"/>
  <c r="P240" i="17"/>
  <c r="N549" i="20" l="1"/>
  <c r="O549" i="20" s="1"/>
  <c r="H823" i="1"/>
  <c r="O823" i="1"/>
  <c r="W823" i="1" s="1"/>
  <c r="K557" i="20" s="1"/>
  <c r="L557" i="20" s="1"/>
  <c r="A557" i="20"/>
  <c r="H557" i="20" s="1"/>
  <c r="O874" i="1"/>
  <c r="W874" i="1" s="1"/>
  <c r="K286" i="20" s="1"/>
  <c r="L286" i="20" s="1"/>
  <c r="H874" i="1"/>
  <c r="O837" i="1"/>
  <c r="W837" i="1" s="1"/>
  <c r="K247" i="20" s="1"/>
  <c r="L247" i="20" s="1"/>
  <c r="H837" i="1"/>
  <c r="A247" i="20"/>
  <c r="H247" i="20" s="1"/>
  <c r="XFD247" i="20"/>
  <c r="XEZ247" i="20" s="1"/>
  <c r="XFC247" i="20"/>
  <c r="XFB247" i="20"/>
  <c r="XFA247" i="20"/>
  <c r="A286" i="20"/>
  <c r="H286" i="20" s="1"/>
  <c r="A288" i="20"/>
  <c r="H288" i="20" s="1"/>
  <c r="A292" i="20"/>
  <c r="H292" i="20" s="1"/>
  <c r="A291" i="20"/>
  <c r="H291" i="20" s="1"/>
  <c r="A290" i="20"/>
  <c r="H290" i="20" s="1"/>
  <c r="A289" i="20"/>
  <c r="H289" i="20" s="1"/>
  <c r="XEX247" i="20" l="1"/>
  <c r="XEY247" i="20"/>
  <c r="I247" i="20"/>
  <c r="J247" i="20" s="1"/>
  <c r="N247" i="20" s="1"/>
  <c r="O247" i="20" s="1"/>
  <c r="I557" i="20"/>
  <c r="J557" i="20" s="1"/>
  <c r="XEW247" i="20"/>
  <c r="I286" i="20"/>
  <c r="J286" i="20" s="1"/>
  <c r="N286" i="20" s="1"/>
  <c r="O286" i="20" s="1"/>
  <c r="XEV247" i="20"/>
  <c r="XEU247" i="20"/>
  <c r="XER247" i="20" l="1"/>
  <c r="XES247" i="20"/>
  <c r="XEQ247" i="20"/>
  <c r="XET247" i="20"/>
  <c r="XEP247" i="20" s="1"/>
  <c r="A29" i="20"/>
  <c r="H29" i="20" s="1"/>
  <c r="A28" i="20"/>
  <c r="H28" i="20" s="1"/>
  <c r="H11" i="1"/>
  <c r="H10" i="1"/>
  <c r="O10" i="1"/>
  <c r="W10" i="1" s="1"/>
  <c r="O11" i="1"/>
  <c r="W11" i="1" s="1"/>
  <c r="A261" i="20"/>
  <c r="A260" i="20"/>
  <c r="H260" i="20" s="1"/>
  <c r="A259" i="20"/>
  <c r="H259" i="20" s="1"/>
  <c r="A258" i="20"/>
  <c r="H258" i="20" s="1"/>
  <c r="A257" i="20"/>
  <c r="H257" i="20" s="1"/>
  <c r="H836" i="1"/>
  <c r="O836" i="1"/>
  <c r="H838" i="1"/>
  <c r="O838" i="1"/>
  <c r="H839" i="1"/>
  <c r="O839" i="1"/>
  <c r="H840" i="1"/>
  <c r="O840" i="1"/>
  <c r="XEM247" i="20" l="1"/>
  <c r="XEN247" i="20"/>
  <c r="XEO247" i="20"/>
  <c r="XEL247" i="20"/>
  <c r="XEH247" i="20" s="1"/>
  <c r="W838" i="1"/>
  <c r="K290" i="20" s="1"/>
  <c r="L290" i="20" s="1"/>
  <c r="I290" i="20"/>
  <c r="J290" i="20" s="1"/>
  <c r="W839" i="1"/>
  <c r="K291" i="20" s="1"/>
  <c r="L291" i="20" s="1"/>
  <c r="I291" i="20"/>
  <c r="J291" i="20" s="1"/>
  <c r="W840" i="1"/>
  <c r="K292" i="20" s="1"/>
  <c r="L292" i="20" s="1"/>
  <c r="I292" i="20"/>
  <c r="J292" i="20" s="1"/>
  <c r="W836" i="1"/>
  <c r="K289" i="20" s="1"/>
  <c r="L289" i="20" s="1"/>
  <c r="I289" i="20"/>
  <c r="J289" i="20" s="1"/>
  <c r="XEI247" i="20" l="1"/>
  <c r="XED247" i="20"/>
  <c r="XEJ247" i="20"/>
  <c r="XEE247" i="20" s="1"/>
  <c r="XEK247" i="20"/>
  <c r="XEF247" i="20" s="1"/>
  <c r="N289" i="20"/>
  <c r="O289" i="20" s="1"/>
  <c r="N292" i="20"/>
  <c r="O292" i="20" s="1"/>
  <c r="N291" i="20"/>
  <c r="O291" i="20" s="1"/>
  <c r="N290" i="20"/>
  <c r="O290" i="20" s="1"/>
  <c r="R17" i="15"/>
  <c r="XDZ247" i="20" l="1"/>
  <c r="XEG247" i="20"/>
  <c r="XEC247" i="20" s="1"/>
  <c r="XDY247" i="20" s="1"/>
  <c r="XDU247" i="20" s="1"/>
  <c r="XEA247" i="20"/>
  <c r="L21" i="15"/>
  <c r="L20" i="15"/>
  <c r="L18" i="15"/>
  <c r="L17" i="15"/>
  <c r="L15" i="15"/>
  <c r="L14" i="15"/>
  <c r="L16" i="15"/>
  <c r="XEB247" i="20" l="1"/>
  <c r="XDX247" i="20" s="1"/>
  <c r="XDT247" i="20" s="1"/>
  <c r="XDP247" i="20" s="1"/>
  <c r="XDV247" i="20"/>
  <c r="L13" i="15"/>
  <c r="XDW247" i="20" l="1"/>
  <c r="XDS247" i="20" s="1"/>
  <c r="XDO247" i="20" s="1"/>
  <c r="XDK247" i="20" s="1"/>
  <c r="XDQ247" i="20"/>
  <c r="L22" i="15"/>
  <c r="XDR247" i="20" l="1"/>
  <c r="XDN247" i="20" s="1"/>
  <c r="XDJ247" i="20" s="1"/>
  <c r="XDF247" i="20" s="1"/>
  <c r="XDL247" i="20"/>
  <c r="XDM247" i="20" l="1"/>
  <c r="XDI247" i="20" s="1"/>
  <c r="XDE247" i="20" s="1"/>
  <c r="XDA247" i="20" s="1"/>
  <c r="XDG247" i="20"/>
  <c r="XDH247" i="20" l="1"/>
  <c r="XDD247" i="20" s="1"/>
  <c r="XCZ247" i="20" s="1"/>
  <c r="XCV247" i="20" s="1"/>
  <c r="XDB247" i="20"/>
  <c r="H1424" i="1"/>
  <c r="O1424" i="1"/>
  <c r="W1424" i="1" s="1"/>
  <c r="K723" i="20" s="1"/>
  <c r="L723" i="20" s="1"/>
  <c r="H1425" i="1"/>
  <c r="O1425" i="1"/>
  <c r="W1425" i="1" s="1"/>
  <c r="K724" i="20" s="1"/>
  <c r="L724" i="20" s="1"/>
  <c r="H1426" i="1"/>
  <c r="O1426" i="1"/>
  <c r="W1426" i="1" s="1"/>
  <c r="K725" i="20" s="1"/>
  <c r="L725" i="20" s="1"/>
  <c r="H1427" i="1"/>
  <c r="J1427" i="1"/>
  <c r="O1427" i="1"/>
  <c r="W1427" i="1" s="1"/>
  <c r="K726" i="20" s="1"/>
  <c r="L726" i="20" s="1"/>
  <c r="H1428" i="1"/>
  <c r="J1428" i="1"/>
  <c r="O1428" i="1"/>
  <c r="W1428" i="1" s="1"/>
  <c r="K727" i="20" s="1"/>
  <c r="L727" i="20" s="1"/>
  <c r="H1429" i="1"/>
  <c r="O1429" i="1"/>
  <c r="W1429" i="1" s="1"/>
  <c r="K728" i="20" s="1"/>
  <c r="L728" i="20" s="1"/>
  <c r="H1430" i="1"/>
  <c r="O1430" i="1"/>
  <c r="W1430" i="1" s="1"/>
  <c r="K729" i="20" s="1"/>
  <c r="L729" i="20" s="1"/>
  <c r="A729" i="20"/>
  <c r="H729" i="20" s="1"/>
  <c r="A728" i="20"/>
  <c r="H728" i="20" s="1"/>
  <c r="A727" i="20"/>
  <c r="H727" i="20" s="1"/>
  <c r="A726" i="20"/>
  <c r="H726" i="20" s="1"/>
  <c r="A725" i="20"/>
  <c r="H725" i="20" s="1"/>
  <c r="A724" i="20"/>
  <c r="H724" i="20" s="1"/>
  <c r="A723" i="20"/>
  <c r="H723" i="20" s="1"/>
  <c r="A763" i="20"/>
  <c r="H763" i="20" s="1"/>
  <c r="W1512" i="1"/>
  <c r="K763" i="20" s="1"/>
  <c r="L763" i="20" s="1"/>
  <c r="J1512" i="1"/>
  <c r="H1512" i="1"/>
  <c r="I763" i="20"/>
  <c r="J763" i="20" s="1"/>
  <c r="H1478" i="1"/>
  <c r="J1478" i="1"/>
  <c r="O1478" i="1"/>
  <c r="W1478" i="1" s="1"/>
  <c r="K631" i="20" s="1"/>
  <c r="L631" i="20" s="1"/>
  <c r="H1479" i="1"/>
  <c r="O1479" i="1"/>
  <c r="W1479" i="1" s="1"/>
  <c r="K632" i="20" s="1"/>
  <c r="L632" i="20" s="1"/>
  <c r="H1480" i="1"/>
  <c r="O1480" i="1"/>
  <c r="W1480" i="1" s="1"/>
  <c r="K633" i="20" s="1"/>
  <c r="L633" i="20" s="1"/>
  <c r="H1481" i="1"/>
  <c r="O1481" i="1"/>
  <c r="W1481" i="1" s="1"/>
  <c r="K634" i="20" s="1"/>
  <c r="L634" i="20" s="1"/>
  <c r="H1482" i="1"/>
  <c r="O1482" i="1"/>
  <c r="W1482" i="1" s="1"/>
  <c r="K635" i="20" s="1"/>
  <c r="L635" i="20" s="1"/>
  <c r="H1483" i="1"/>
  <c r="O1483" i="1"/>
  <c r="W1483" i="1" s="1"/>
  <c r="K636" i="20" s="1"/>
  <c r="L636" i="20" s="1"/>
  <c r="H1484" i="1"/>
  <c r="O1484" i="1"/>
  <c r="W1484" i="1" s="1"/>
  <c r="K637" i="20" s="1"/>
  <c r="L637" i="20" s="1"/>
  <c r="H1485" i="1"/>
  <c r="O1485" i="1"/>
  <c r="W1485" i="1" s="1"/>
  <c r="K638" i="20" s="1"/>
  <c r="L638" i="20" s="1"/>
  <c r="H1486" i="1"/>
  <c r="O1486" i="1"/>
  <c r="W1486" i="1" s="1"/>
  <c r="K639" i="20" s="1"/>
  <c r="L639" i="20" s="1"/>
  <c r="H1487" i="1"/>
  <c r="O1487" i="1"/>
  <c r="W1487" i="1" s="1"/>
  <c r="K640" i="20" s="1"/>
  <c r="L640" i="20" s="1"/>
  <c r="H1488" i="1"/>
  <c r="O1488" i="1"/>
  <c r="W1488" i="1" s="1"/>
  <c r="K641" i="20" s="1"/>
  <c r="L641" i="20" s="1"/>
  <c r="H1489" i="1"/>
  <c r="O1489" i="1"/>
  <c r="W1489" i="1" s="1"/>
  <c r="K642" i="20" s="1"/>
  <c r="L642" i="20" s="1"/>
  <c r="H1490" i="1"/>
  <c r="O1490" i="1"/>
  <c r="W1490" i="1" s="1"/>
  <c r="K643" i="20" s="1"/>
  <c r="L643" i="20" s="1"/>
  <c r="H1491" i="1"/>
  <c r="O1491" i="1"/>
  <c r="W1491" i="1" s="1"/>
  <c r="K644" i="20" s="1"/>
  <c r="L644" i="20" s="1"/>
  <c r="H1492" i="1"/>
  <c r="J1492" i="1"/>
  <c r="O1492" i="1"/>
  <c r="W1492" i="1" s="1"/>
  <c r="K645" i="20" s="1"/>
  <c r="L645" i="20" s="1"/>
  <c r="H1493" i="1"/>
  <c r="O1493" i="1"/>
  <c r="W1493" i="1" s="1"/>
  <c r="K646" i="20" s="1"/>
  <c r="L646" i="20" s="1"/>
  <c r="H1494" i="1"/>
  <c r="O1494" i="1"/>
  <c r="W1494" i="1" s="1"/>
  <c r="K647" i="20" s="1"/>
  <c r="L647" i="20" s="1"/>
  <c r="H1495" i="1"/>
  <c r="J1495" i="1"/>
  <c r="O1495" i="1"/>
  <c r="W1495" i="1" s="1"/>
  <c r="K648" i="20" s="1"/>
  <c r="L648" i="20" s="1"/>
  <c r="H1496" i="1"/>
  <c r="O1496" i="1"/>
  <c r="W1496" i="1" s="1"/>
  <c r="K649" i="20" s="1"/>
  <c r="L649" i="20" s="1"/>
  <c r="H1497" i="1"/>
  <c r="O1497" i="1"/>
  <c r="W1497" i="1" s="1"/>
  <c r="K650" i="20" s="1"/>
  <c r="L650" i="20" s="1"/>
  <c r="H1498" i="1"/>
  <c r="O1498" i="1"/>
  <c r="W1498" i="1" s="1"/>
  <c r="K651" i="20" s="1"/>
  <c r="L651" i="20" s="1"/>
  <c r="H1499" i="1"/>
  <c r="O1499" i="1"/>
  <c r="W1499" i="1" s="1"/>
  <c r="K652" i="20" s="1"/>
  <c r="L652" i="20" s="1"/>
  <c r="H1500" i="1"/>
  <c r="O1500" i="1"/>
  <c r="W1500" i="1" s="1"/>
  <c r="K653" i="20" s="1"/>
  <c r="L653" i="20" s="1"/>
  <c r="A653" i="20"/>
  <c r="H653" i="20" s="1"/>
  <c r="A652" i="20"/>
  <c r="H652" i="20" s="1"/>
  <c r="A651" i="20"/>
  <c r="H651" i="20" s="1"/>
  <c r="A650" i="20"/>
  <c r="H650" i="20" s="1"/>
  <c r="A649" i="20"/>
  <c r="H649" i="20" s="1"/>
  <c r="A648" i="20"/>
  <c r="H648" i="20" s="1"/>
  <c r="A647" i="20"/>
  <c r="H647" i="20" s="1"/>
  <c r="A646" i="20"/>
  <c r="H646" i="20" s="1"/>
  <c r="A645" i="20"/>
  <c r="H645" i="20" s="1"/>
  <c r="A644" i="20"/>
  <c r="H644" i="20" s="1"/>
  <c r="A643" i="20"/>
  <c r="H643" i="20" s="1"/>
  <c r="A642" i="20"/>
  <c r="H642" i="20" s="1"/>
  <c r="A641" i="20"/>
  <c r="H641" i="20" s="1"/>
  <c r="A640" i="20"/>
  <c r="H640" i="20" s="1"/>
  <c r="A639" i="20"/>
  <c r="H639" i="20" s="1"/>
  <c r="A638" i="20"/>
  <c r="H638" i="20" s="1"/>
  <c r="A637" i="20"/>
  <c r="H637" i="20" s="1"/>
  <c r="A636" i="20"/>
  <c r="H636" i="20" s="1"/>
  <c r="A635" i="20"/>
  <c r="H635" i="20" s="1"/>
  <c r="A634" i="20"/>
  <c r="H634" i="20" s="1"/>
  <c r="A633" i="20"/>
  <c r="H633" i="20" s="1"/>
  <c r="A632" i="20"/>
  <c r="H632" i="20" s="1"/>
  <c r="A631" i="20"/>
  <c r="H631" i="20" s="1"/>
  <c r="XDC247" i="20" l="1"/>
  <c r="XCY247" i="20" s="1"/>
  <c r="XCU247" i="20" s="1"/>
  <c r="XCQ247" i="20" s="1"/>
  <c r="XCW247" i="20"/>
  <c r="I651" i="20"/>
  <c r="J651" i="20" s="1"/>
  <c r="N651" i="20" s="1"/>
  <c r="I728" i="20"/>
  <c r="J728" i="20" s="1"/>
  <c r="N728" i="20" s="1"/>
  <c r="I725" i="20"/>
  <c r="J725" i="20" s="1"/>
  <c r="N725" i="20" s="1"/>
  <c r="I726" i="20"/>
  <c r="J726" i="20" s="1"/>
  <c r="N726" i="20" s="1"/>
  <c r="I723" i="20"/>
  <c r="J723" i="20" s="1"/>
  <c r="N723" i="20" s="1"/>
  <c r="I631" i="20"/>
  <c r="J631" i="20" s="1"/>
  <c r="N631" i="20" s="1"/>
  <c r="I729" i="20"/>
  <c r="J729" i="20" s="1"/>
  <c r="N729" i="20" s="1"/>
  <c r="I724" i="20"/>
  <c r="J724" i="20" s="1"/>
  <c r="N724" i="20" s="1"/>
  <c r="I727" i="20"/>
  <c r="J727" i="20" s="1"/>
  <c r="N727" i="20" s="1"/>
  <c r="I647" i="20"/>
  <c r="J647" i="20" s="1"/>
  <c r="N647" i="20" s="1"/>
  <c r="I635" i="20"/>
  <c r="J635" i="20" s="1"/>
  <c r="N635" i="20" s="1"/>
  <c r="I643" i="20"/>
  <c r="J643" i="20" s="1"/>
  <c r="N643" i="20" s="1"/>
  <c r="I642" i="20"/>
  <c r="J642" i="20" s="1"/>
  <c r="N642" i="20" s="1"/>
  <c r="I636" i="20"/>
  <c r="J636" i="20" s="1"/>
  <c r="N636" i="20" s="1"/>
  <c r="I641" i="20"/>
  <c r="J641" i="20" s="1"/>
  <c r="N641" i="20" s="1"/>
  <c r="I633" i="20"/>
  <c r="J633" i="20" s="1"/>
  <c r="N633" i="20" s="1"/>
  <c r="I644" i="20"/>
  <c r="J644" i="20" s="1"/>
  <c r="N644" i="20" s="1"/>
  <c r="I649" i="20"/>
  <c r="J649" i="20" s="1"/>
  <c r="N649" i="20" s="1"/>
  <c r="I634" i="20"/>
  <c r="J634" i="20" s="1"/>
  <c r="N634" i="20" s="1"/>
  <c r="I632" i="20"/>
  <c r="J632" i="20" s="1"/>
  <c r="N632" i="20" s="1"/>
  <c r="I648" i="20"/>
  <c r="J648" i="20" s="1"/>
  <c r="N648" i="20" s="1"/>
  <c r="I640" i="20"/>
  <c r="J640" i="20" s="1"/>
  <c r="N640" i="20" s="1"/>
  <c r="I639" i="20"/>
  <c r="J639" i="20" s="1"/>
  <c r="N639" i="20" s="1"/>
  <c r="I645" i="20"/>
  <c r="J645" i="20" s="1"/>
  <c r="N645" i="20" s="1"/>
  <c r="I637" i="20"/>
  <c r="J637" i="20" s="1"/>
  <c r="N637" i="20" s="1"/>
  <c r="I652" i="20"/>
  <c r="J652" i="20" s="1"/>
  <c r="N652" i="20" s="1"/>
  <c r="I653" i="20"/>
  <c r="J653" i="20" s="1"/>
  <c r="N653" i="20" s="1"/>
  <c r="I650" i="20"/>
  <c r="J650" i="20" s="1"/>
  <c r="N650" i="20" s="1"/>
  <c r="I638" i="20"/>
  <c r="J638" i="20" s="1"/>
  <c r="N638" i="20" s="1"/>
  <c r="I646" i="20"/>
  <c r="J646" i="20" s="1"/>
  <c r="N646" i="20" s="1"/>
  <c r="N763" i="20"/>
  <c r="XCX247" i="20" l="1"/>
  <c r="XCT247" i="20" s="1"/>
  <c r="XCP247" i="20" s="1"/>
  <c r="XCL247" i="20" s="1"/>
  <c r="XCR247" i="20"/>
  <c r="A619" i="20"/>
  <c r="A618" i="20"/>
  <c r="A617" i="20"/>
  <c r="H617" i="20" s="1"/>
  <c r="A616" i="20"/>
  <c r="H616" i="20" s="1"/>
  <c r="A615" i="20"/>
  <c r="H615" i="20" s="1"/>
  <c r="A614" i="20"/>
  <c r="H614" i="20" s="1"/>
  <c r="A613" i="20"/>
  <c r="H613" i="20" s="1"/>
  <c r="A612" i="20"/>
  <c r="H612" i="20" s="1"/>
  <c r="A611" i="20"/>
  <c r="A610" i="20"/>
  <c r="H610" i="20" s="1"/>
  <c r="A609" i="20"/>
  <c r="H609" i="20" s="1"/>
  <c r="A608" i="20"/>
  <c r="H608" i="20" s="1"/>
  <c r="A607" i="20"/>
  <c r="H607" i="20" s="1"/>
  <c r="A606" i="20"/>
  <c r="H606" i="20" s="1"/>
  <c r="A605" i="20"/>
  <c r="H605" i="20" s="1"/>
  <c r="A604" i="20"/>
  <c r="H604" i="20" s="1"/>
  <c r="A603" i="20"/>
  <c r="H603" i="20" s="1"/>
  <c r="A602" i="20"/>
  <c r="H602" i="20" s="1"/>
  <c r="A601" i="20"/>
  <c r="H601" i="20" s="1"/>
  <c r="A600" i="20"/>
  <c r="H600" i="20" s="1"/>
  <c r="A599" i="20"/>
  <c r="H599" i="20" s="1"/>
  <c r="A598" i="20"/>
  <c r="H598" i="20" s="1"/>
  <c r="A597" i="20"/>
  <c r="H597" i="20" s="1"/>
  <c r="A596" i="20"/>
  <c r="H596" i="20" s="1"/>
  <c r="A595" i="20"/>
  <c r="H595" i="20" s="1"/>
  <c r="H618" i="20"/>
  <c r="H611" i="20"/>
  <c r="H1449" i="1"/>
  <c r="O1449" i="1"/>
  <c r="I596" i="20" s="1"/>
  <c r="J596" i="20" s="1"/>
  <c r="H1450" i="1"/>
  <c r="O1450" i="1"/>
  <c r="I597" i="20" s="1"/>
  <c r="J597" i="20" s="1"/>
  <c r="H1451" i="1"/>
  <c r="O1451" i="1"/>
  <c r="I598" i="20" s="1"/>
  <c r="J598" i="20" s="1"/>
  <c r="H1452" i="1"/>
  <c r="O1452" i="1"/>
  <c r="W1452" i="1" s="1"/>
  <c r="K599" i="20" s="1"/>
  <c r="L599" i="20" s="1"/>
  <c r="H1453" i="1"/>
  <c r="O1453" i="1"/>
  <c r="W1453" i="1" s="1"/>
  <c r="K600" i="20" s="1"/>
  <c r="L600" i="20" s="1"/>
  <c r="H1454" i="1"/>
  <c r="O1454" i="1"/>
  <c r="W1454" i="1" s="1"/>
  <c r="K601" i="20" s="1"/>
  <c r="L601" i="20" s="1"/>
  <c r="H1455" i="1"/>
  <c r="O1455" i="1"/>
  <c r="W1455" i="1" s="1"/>
  <c r="K602" i="20" s="1"/>
  <c r="L602" i="20" s="1"/>
  <c r="H1456" i="1"/>
  <c r="O1456" i="1"/>
  <c r="W1456" i="1" s="1"/>
  <c r="K603" i="20" s="1"/>
  <c r="L603" i="20" s="1"/>
  <c r="H1457" i="1"/>
  <c r="O1457" i="1"/>
  <c r="W1457" i="1" s="1"/>
  <c r="K604" i="20" s="1"/>
  <c r="L604" i="20" s="1"/>
  <c r="H1458" i="1"/>
  <c r="O1458" i="1"/>
  <c r="W1458" i="1" s="1"/>
  <c r="K605" i="20" s="1"/>
  <c r="L605" i="20" s="1"/>
  <c r="H1448" i="1"/>
  <c r="O1448" i="1"/>
  <c r="W1448" i="1" s="1"/>
  <c r="K595" i="20" s="1"/>
  <c r="L595" i="20" s="1"/>
  <c r="H1459" i="1"/>
  <c r="O1459" i="1"/>
  <c r="W1459" i="1" s="1"/>
  <c r="K606" i="20" s="1"/>
  <c r="L606" i="20" s="1"/>
  <c r="H1460" i="1"/>
  <c r="O1460" i="1"/>
  <c r="W1460" i="1" s="1"/>
  <c r="K607" i="20" s="1"/>
  <c r="L607" i="20" s="1"/>
  <c r="H1461" i="1"/>
  <c r="O1461" i="1"/>
  <c r="W1461" i="1" s="1"/>
  <c r="K608" i="20" s="1"/>
  <c r="L608" i="20" s="1"/>
  <c r="H1462" i="1"/>
  <c r="O1462" i="1"/>
  <c r="W1462" i="1" s="1"/>
  <c r="K609" i="20" s="1"/>
  <c r="L609" i="20" s="1"/>
  <c r="H1463" i="1"/>
  <c r="O1463" i="1"/>
  <c r="W1463" i="1" s="1"/>
  <c r="K610" i="20" s="1"/>
  <c r="L610" i="20" s="1"/>
  <c r="H1464" i="1"/>
  <c r="O1464" i="1"/>
  <c r="W1464" i="1" s="1"/>
  <c r="K611" i="20" s="1"/>
  <c r="L611" i="20" s="1"/>
  <c r="H1465" i="1"/>
  <c r="O1465" i="1"/>
  <c r="W1465" i="1" s="1"/>
  <c r="K612" i="20" s="1"/>
  <c r="L612" i="20" s="1"/>
  <c r="H1466" i="1"/>
  <c r="O1466" i="1"/>
  <c r="W1466" i="1" s="1"/>
  <c r="K613" i="20" s="1"/>
  <c r="L613" i="20" s="1"/>
  <c r="H1467" i="1"/>
  <c r="O1467" i="1"/>
  <c r="W1467" i="1" s="1"/>
  <c r="K614" i="20" s="1"/>
  <c r="L614" i="20" s="1"/>
  <c r="H1468" i="1"/>
  <c r="O1468" i="1"/>
  <c r="W1468" i="1" s="1"/>
  <c r="K615" i="20" s="1"/>
  <c r="L615" i="20" s="1"/>
  <c r="H1469" i="1"/>
  <c r="O1469" i="1"/>
  <c r="W1469" i="1" s="1"/>
  <c r="K616" i="20" s="1"/>
  <c r="L616" i="20" s="1"/>
  <c r="H1470" i="1"/>
  <c r="O1470" i="1"/>
  <c r="W1470" i="1" s="1"/>
  <c r="K617" i="20" s="1"/>
  <c r="L617" i="20" s="1"/>
  <c r="H1471" i="1"/>
  <c r="O1471" i="1"/>
  <c r="W1471" i="1" s="1"/>
  <c r="K618" i="20" s="1"/>
  <c r="L618" i="20" s="1"/>
  <c r="XCS247" i="20" l="1"/>
  <c r="XCO247" i="20" s="1"/>
  <c r="XCK247" i="20" s="1"/>
  <c r="XCG247" i="20" s="1"/>
  <c r="XCM247" i="20"/>
  <c r="I599" i="20"/>
  <c r="J599" i="20" s="1"/>
  <c r="N599" i="20" s="1"/>
  <c r="W1451" i="1"/>
  <c r="K598" i="20" s="1"/>
  <c r="L598" i="20" s="1"/>
  <c r="N598" i="20" s="1"/>
  <c r="W1449" i="1"/>
  <c r="K596" i="20" s="1"/>
  <c r="L596" i="20" s="1"/>
  <c r="N596" i="20" s="1"/>
  <c r="I611" i="20"/>
  <c r="J611" i="20" s="1"/>
  <c r="N611" i="20" s="1"/>
  <c r="I605" i="20"/>
  <c r="J605" i="20" s="1"/>
  <c r="N605" i="20" s="1"/>
  <c r="I616" i="20"/>
  <c r="J616" i="20" s="1"/>
  <c r="N616" i="20" s="1"/>
  <c r="W1450" i="1"/>
  <c r="K597" i="20" s="1"/>
  <c r="L597" i="20" s="1"/>
  <c r="N597" i="20" s="1"/>
  <c r="I608" i="20"/>
  <c r="J608" i="20" s="1"/>
  <c r="N608" i="20" s="1"/>
  <c r="I602" i="20"/>
  <c r="J602" i="20" s="1"/>
  <c r="N602" i="20" s="1"/>
  <c r="I601" i="20"/>
  <c r="J601" i="20" s="1"/>
  <c r="N601" i="20" s="1"/>
  <c r="I604" i="20"/>
  <c r="J604" i="20" s="1"/>
  <c r="N604" i="20" s="1"/>
  <c r="I610" i="20"/>
  <c r="J610" i="20" s="1"/>
  <c r="N610" i="20" s="1"/>
  <c r="I618" i="20"/>
  <c r="J618" i="20" s="1"/>
  <c r="N618" i="20" s="1"/>
  <c r="I613" i="20"/>
  <c r="J613" i="20" s="1"/>
  <c r="N613" i="20" s="1"/>
  <c r="I600" i="20"/>
  <c r="J600" i="20" s="1"/>
  <c r="N600" i="20" s="1"/>
  <c r="I607" i="20"/>
  <c r="J607" i="20" s="1"/>
  <c r="N607" i="20" s="1"/>
  <c r="I609" i="20"/>
  <c r="J609" i="20" s="1"/>
  <c r="N609" i="20" s="1"/>
  <c r="I612" i="20"/>
  <c r="J612" i="20" s="1"/>
  <c r="N612" i="20" s="1"/>
  <c r="I615" i="20"/>
  <c r="J615" i="20" s="1"/>
  <c r="N615" i="20" s="1"/>
  <c r="I617" i="20"/>
  <c r="J617" i="20" s="1"/>
  <c r="N617" i="20" s="1"/>
  <c r="I595" i="20"/>
  <c r="J595" i="20" s="1"/>
  <c r="N595" i="20" s="1"/>
  <c r="I603" i="20"/>
  <c r="J603" i="20" s="1"/>
  <c r="N603" i="20" s="1"/>
  <c r="I606" i="20"/>
  <c r="J606" i="20" s="1"/>
  <c r="N606" i="20" s="1"/>
  <c r="I614" i="20"/>
  <c r="J614" i="20" s="1"/>
  <c r="N614" i="20" s="1"/>
  <c r="H1308" i="1"/>
  <c r="O1308" i="1"/>
  <c r="W1308" i="1" s="1"/>
  <c r="K662" i="20" s="1"/>
  <c r="L662" i="20" s="1"/>
  <c r="H1309" i="1"/>
  <c r="O1309" i="1"/>
  <c r="W1309" i="1" s="1"/>
  <c r="K663" i="20" s="1"/>
  <c r="L663" i="20" s="1"/>
  <c r="H1310" i="1"/>
  <c r="O1310" i="1"/>
  <c r="W1310" i="1" s="1"/>
  <c r="K664" i="20" s="1"/>
  <c r="L664" i="20" s="1"/>
  <c r="H1311" i="1"/>
  <c r="O1311" i="1"/>
  <c r="W1311" i="1" s="1"/>
  <c r="K665" i="20" s="1"/>
  <c r="L665" i="20" s="1"/>
  <c r="H1312" i="1"/>
  <c r="O1312" i="1"/>
  <c r="W1312" i="1" s="1"/>
  <c r="K666" i="20" s="1"/>
  <c r="L666" i="20" s="1"/>
  <c r="H1313" i="1"/>
  <c r="O1313" i="1"/>
  <c r="W1313" i="1" s="1"/>
  <c r="K667" i="20" s="1"/>
  <c r="L667" i="20" s="1"/>
  <c r="H1314" i="1"/>
  <c r="O1314" i="1"/>
  <c r="W1314" i="1" s="1"/>
  <c r="K668" i="20" s="1"/>
  <c r="L668" i="20" s="1"/>
  <c r="H1315" i="1"/>
  <c r="O1315" i="1"/>
  <c r="W1315" i="1" s="1"/>
  <c r="K669" i="20" s="1"/>
  <c r="L669" i="20" s="1"/>
  <c r="H1316" i="1"/>
  <c r="O1316" i="1"/>
  <c r="W1316" i="1" s="1"/>
  <c r="K670" i="20" s="1"/>
  <c r="L670" i="20" s="1"/>
  <c r="H1317" i="1"/>
  <c r="O1317" i="1"/>
  <c r="W1317" i="1" s="1"/>
  <c r="K671" i="20" s="1"/>
  <c r="L671" i="20" s="1"/>
  <c r="H1318" i="1"/>
  <c r="O1318" i="1"/>
  <c r="W1318" i="1" s="1"/>
  <c r="K672" i="20" s="1"/>
  <c r="L672" i="20" s="1"/>
  <c r="H1319" i="1"/>
  <c r="O1319" i="1"/>
  <c r="W1319" i="1" s="1"/>
  <c r="K673" i="20" s="1"/>
  <c r="L673" i="20" s="1"/>
  <c r="H1320" i="1"/>
  <c r="J1320" i="1"/>
  <c r="O1320" i="1"/>
  <c r="W1320" i="1" s="1"/>
  <c r="K674" i="20" s="1"/>
  <c r="L674" i="20" s="1"/>
  <c r="H1321" i="1"/>
  <c r="J1321" i="1"/>
  <c r="O1321" i="1"/>
  <c r="W1321" i="1" s="1"/>
  <c r="K675" i="20" s="1"/>
  <c r="L675" i="20" s="1"/>
  <c r="H1322" i="1"/>
  <c r="J1322" i="1"/>
  <c r="O1322" i="1"/>
  <c r="W1322" i="1" s="1"/>
  <c r="K676" i="20" s="1"/>
  <c r="L676" i="20" s="1"/>
  <c r="H1323" i="1"/>
  <c r="O1323" i="1"/>
  <c r="W1323" i="1" s="1"/>
  <c r="K677" i="20" s="1"/>
  <c r="L677" i="20" s="1"/>
  <c r="A677" i="20"/>
  <c r="H677" i="20" s="1"/>
  <c r="A676" i="20"/>
  <c r="H676" i="20" s="1"/>
  <c r="A675" i="20"/>
  <c r="H675" i="20" s="1"/>
  <c r="A674" i="20"/>
  <c r="H674" i="20" s="1"/>
  <c r="A673" i="20"/>
  <c r="H673" i="20" s="1"/>
  <c r="A672" i="20"/>
  <c r="H672" i="20" s="1"/>
  <c r="A671" i="20"/>
  <c r="H671" i="20" s="1"/>
  <c r="A670" i="20"/>
  <c r="H670" i="20" s="1"/>
  <c r="A669" i="20"/>
  <c r="H669" i="20" s="1"/>
  <c r="A668" i="20"/>
  <c r="H668" i="20" s="1"/>
  <c r="A667" i="20"/>
  <c r="H667" i="20" s="1"/>
  <c r="A666" i="20"/>
  <c r="H666" i="20" s="1"/>
  <c r="A665" i="20"/>
  <c r="H665" i="20" s="1"/>
  <c r="A664" i="20"/>
  <c r="H664" i="20" s="1"/>
  <c r="A663" i="20"/>
  <c r="H663" i="20" s="1"/>
  <c r="A662" i="20"/>
  <c r="H662" i="20" s="1"/>
  <c r="XCN247" i="20" l="1"/>
  <c r="XCJ247" i="20" s="1"/>
  <c r="XCF247" i="20" s="1"/>
  <c r="XCB247" i="20" s="1"/>
  <c r="XCH247" i="20"/>
  <c r="I663" i="20"/>
  <c r="J663" i="20" s="1"/>
  <c r="N663" i="20" s="1"/>
  <c r="I666" i="20"/>
  <c r="J666" i="20" s="1"/>
  <c r="N666" i="20" s="1"/>
  <c r="I671" i="20"/>
  <c r="J671" i="20" s="1"/>
  <c r="N671" i="20" s="1"/>
  <c r="I662" i="20"/>
  <c r="J662" i="20" s="1"/>
  <c r="N662" i="20" s="1"/>
  <c r="I667" i="20"/>
  <c r="J667" i="20" s="1"/>
  <c r="N667" i="20" s="1"/>
  <c r="I675" i="20"/>
  <c r="J675" i="20" s="1"/>
  <c r="N675" i="20" s="1"/>
  <c r="I664" i="20"/>
  <c r="J664" i="20" s="1"/>
  <c r="N664" i="20" s="1"/>
  <c r="I670" i="20"/>
  <c r="J670" i="20" s="1"/>
  <c r="N670" i="20" s="1"/>
  <c r="I673" i="20"/>
  <c r="J673" i="20" s="1"/>
  <c r="N673" i="20" s="1"/>
  <c r="I672" i="20"/>
  <c r="J672" i="20" s="1"/>
  <c r="N672" i="20" s="1"/>
  <c r="I665" i="20"/>
  <c r="J665" i="20" s="1"/>
  <c r="N665" i="20" s="1"/>
  <c r="I676" i="20"/>
  <c r="J676" i="20" s="1"/>
  <c r="N676" i="20" s="1"/>
  <c r="I668" i="20"/>
  <c r="J668" i="20" s="1"/>
  <c r="N668" i="20" s="1"/>
  <c r="I674" i="20"/>
  <c r="J674" i="20" s="1"/>
  <c r="N674" i="20" s="1"/>
  <c r="I669" i="20"/>
  <c r="J669" i="20" s="1"/>
  <c r="N669" i="20" s="1"/>
  <c r="I677" i="20"/>
  <c r="J677" i="20" s="1"/>
  <c r="N677" i="20" s="1"/>
  <c r="XCI247" i="20" l="1"/>
  <c r="XCE247" i="20" s="1"/>
  <c r="XCA247" i="20" s="1"/>
  <c r="XBW247" i="20" s="1"/>
  <c r="XCC247" i="20"/>
  <c r="H1085" i="1"/>
  <c r="H1084" i="1"/>
  <c r="H1083" i="1"/>
  <c r="H1082" i="1"/>
  <c r="H1081" i="1"/>
  <c r="O1081" i="1"/>
  <c r="W1081" i="1" s="1"/>
  <c r="K381" i="20" s="1"/>
  <c r="L381" i="20" s="1"/>
  <c r="O1082" i="1"/>
  <c r="W1082" i="1" s="1"/>
  <c r="K382" i="20" s="1"/>
  <c r="L382" i="20" s="1"/>
  <c r="O1083" i="1"/>
  <c r="W1083" i="1" s="1"/>
  <c r="K383" i="20" s="1"/>
  <c r="L383" i="20" s="1"/>
  <c r="O1084" i="1"/>
  <c r="W1084" i="1" s="1"/>
  <c r="K384" i="20" s="1"/>
  <c r="L384" i="20" s="1"/>
  <c r="O1085" i="1"/>
  <c r="W1085" i="1" s="1"/>
  <c r="K385" i="20" s="1"/>
  <c r="L385" i="20" s="1"/>
  <c r="A385" i="20"/>
  <c r="H385" i="20" s="1"/>
  <c r="A384" i="20"/>
  <c r="H384" i="20" s="1"/>
  <c r="A383" i="20"/>
  <c r="H383" i="20" s="1"/>
  <c r="A382" i="20"/>
  <c r="H382" i="20" s="1"/>
  <c r="A381" i="20"/>
  <c r="H381" i="20" s="1"/>
  <c r="A423" i="20"/>
  <c r="H423" i="20" s="1"/>
  <c r="A422" i="20"/>
  <c r="H422" i="20" s="1"/>
  <c r="A421" i="20"/>
  <c r="H421" i="20" s="1"/>
  <c r="A420" i="20"/>
  <c r="H420" i="20" s="1"/>
  <c r="A419" i="20"/>
  <c r="H419" i="20" s="1"/>
  <c r="A418" i="20"/>
  <c r="H418" i="20" s="1"/>
  <c r="A417" i="20"/>
  <c r="H417" i="20" s="1"/>
  <c r="A326" i="20"/>
  <c r="H326" i="20" s="1"/>
  <c r="A325" i="20"/>
  <c r="H325" i="20" s="1"/>
  <c r="A324" i="20"/>
  <c r="H324" i="20" s="1"/>
  <c r="H682" i="1"/>
  <c r="H681" i="1"/>
  <c r="H680" i="1"/>
  <c r="H679" i="1"/>
  <c r="H678" i="1"/>
  <c r="H677" i="1"/>
  <c r="H676" i="1"/>
  <c r="H675" i="1"/>
  <c r="H674" i="1"/>
  <c r="H673" i="1"/>
  <c r="H672" i="1"/>
  <c r="H671" i="1"/>
  <c r="H670" i="1"/>
  <c r="H669" i="1"/>
  <c r="H668" i="1"/>
  <c r="H667" i="1"/>
  <c r="H666" i="1"/>
  <c r="H665" i="1"/>
  <c r="H664" i="1"/>
  <c r="H663" i="1"/>
  <c r="O663" i="1"/>
  <c r="W663" i="1" s="1"/>
  <c r="K487" i="20" s="1"/>
  <c r="L487" i="20" s="1"/>
  <c r="O664" i="1"/>
  <c r="W664" i="1" s="1"/>
  <c r="K488" i="20" s="1"/>
  <c r="L488" i="20" s="1"/>
  <c r="O665" i="1"/>
  <c r="W665" i="1" s="1"/>
  <c r="K489" i="20" s="1"/>
  <c r="L489" i="20" s="1"/>
  <c r="O666" i="1"/>
  <c r="W666" i="1" s="1"/>
  <c r="K490" i="20" s="1"/>
  <c r="L490" i="20" s="1"/>
  <c r="O667" i="1"/>
  <c r="W667" i="1" s="1"/>
  <c r="K491" i="20" s="1"/>
  <c r="L491" i="20" s="1"/>
  <c r="O668" i="1"/>
  <c r="W668" i="1" s="1"/>
  <c r="K492" i="20" s="1"/>
  <c r="L492" i="20" s="1"/>
  <c r="O669" i="1"/>
  <c r="W669" i="1" s="1"/>
  <c r="K493" i="20" s="1"/>
  <c r="L493" i="20" s="1"/>
  <c r="O670" i="1"/>
  <c r="W670" i="1" s="1"/>
  <c r="K494" i="20" s="1"/>
  <c r="L494" i="20" s="1"/>
  <c r="O671" i="1"/>
  <c r="W671" i="1" s="1"/>
  <c r="K495" i="20" s="1"/>
  <c r="L495" i="20" s="1"/>
  <c r="O672" i="1"/>
  <c r="W672" i="1" s="1"/>
  <c r="K496" i="20" s="1"/>
  <c r="L496" i="20" s="1"/>
  <c r="O673" i="1"/>
  <c r="W673" i="1" s="1"/>
  <c r="K497" i="20" s="1"/>
  <c r="L497" i="20" s="1"/>
  <c r="O674" i="1"/>
  <c r="W674" i="1" s="1"/>
  <c r="K498" i="20" s="1"/>
  <c r="L498" i="20" s="1"/>
  <c r="O675" i="1"/>
  <c r="W675" i="1" s="1"/>
  <c r="K499" i="20" s="1"/>
  <c r="L499" i="20" s="1"/>
  <c r="O676" i="1"/>
  <c r="W676" i="1" s="1"/>
  <c r="K500" i="20" s="1"/>
  <c r="L500" i="20" s="1"/>
  <c r="O677" i="1"/>
  <c r="W677" i="1" s="1"/>
  <c r="K501" i="20" s="1"/>
  <c r="L501" i="20" s="1"/>
  <c r="O678" i="1"/>
  <c r="W678" i="1" s="1"/>
  <c r="K502" i="20" s="1"/>
  <c r="L502" i="20" s="1"/>
  <c r="O679" i="1"/>
  <c r="W679" i="1" s="1"/>
  <c r="K503" i="20" s="1"/>
  <c r="L503" i="20" s="1"/>
  <c r="O680" i="1"/>
  <c r="W680" i="1" s="1"/>
  <c r="K504" i="20" s="1"/>
  <c r="L504" i="20" s="1"/>
  <c r="O681" i="1"/>
  <c r="W681" i="1" s="1"/>
  <c r="K505" i="20" s="1"/>
  <c r="L505" i="20" s="1"/>
  <c r="O682" i="1"/>
  <c r="W682" i="1" s="1"/>
  <c r="K506" i="20" s="1"/>
  <c r="L506" i="20" s="1"/>
  <c r="A506" i="20"/>
  <c r="H506" i="20" s="1"/>
  <c r="A505" i="20"/>
  <c r="H505" i="20" s="1"/>
  <c r="A504" i="20"/>
  <c r="H504" i="20" s="1"/>
  <c r="A503" i="20"/>
  <c r="H503" i="20" s="1"/>
  <c r="A502" i="20"/>
  <c r="H502" i="20" s="1"/>
  <c r="A501" i="20"/>
  <c r="H501" i="20" s="1"/>
  <c r="A500" i="20"/>
  <c r="H500" i="20" s="1"/>
  <c r="A499" i="20"/>
  <c r="H499" i="20" s="1"/>
  <c r="A498" i="20"/>
  <c r="H498" i="20" s="1"/>
  <c r="A497" i="20"/>
  <c r="H497" i="20" s="1"/>
  <c r="A496" i="20"/>
  <c r="H496" i="20" s="1"/>
  <c r="A495" i="20"/>
  <c r="H495" i="20" s="1"/>
  <c r="A494" i="20"/>
  <c r="H494" i="20" s="1"/>
  <c r="A493" i="20"/>
  <c r="H493" i="20" s="1"/>
  <c r="A492" i="20"/>
  <c r="H492" i="20" s="1"/>
  <c r="A491" i="20"/>
  <c r="H491" i="20" s="1"/>
  <c r="A490" i="20"/>
  <c r="H490" i="20" s="1"/>
  <c r="A489" i="20"/>
  <c r="H489" i="20" s="1"/>
  <c r="A488" i="20"/>
  <c r="H488" i="20" s="1"/>
  <c r="A487" i="20"/>
  <c r="H487" i="20" s="1"/>
  <c r="A486" i="20"/>
  <c r="H486" i="20" s="1"/>
  <c r="A768" i="20"/>
  <c r="A767" i="20"/>
  <c r="A766" i="20"/>
  <c r="A765" i="20"/>
  <c r="A764" i="20"/>
  <c r="A762" i="20"/>
  <c r="A761" i="20"/>
  <c r="A760" i="20"/>
  <c r="A759" i="20"/>
  <c r="A758" i="20"/>
  <c r="A757" i="20"/>
  <c r="A756" i="20"/>
  <c r="A755" i="20"/>
  <c r="A754" i="20"/>
  <c r="A753" i="20"/>
  <c r="A752" i="20"/>
  <c r="A751" i="20"/>
  <c r="A750" i="20"/>
  <c r="A749" i="20"/>
  <c r="A748" i="20"/>
  <c r="A747" i="20"/>
  <c r="A746" i="20"/>
  <c r="A745" i="20"/>
  <c r="A744" i="20"/>
  <c r="A743" i="20"/>
  <c r="A742" i="20"/>
  <c r="A741" i="20"/>
  <c r="A740" i="20"/>
  <c r="A739" i="20"/>
  <c r="A738" i="20"/>
  <c r="A737" i="20"/>
  <c r="A736" i="20"/>
  <c r="A735" i="20"/>
  <c r="A734" i="20"/>
  <c r="A733" i="20"/>
  <c r="A732" i="20"/>
  <c r="A731" i="20"/>
  <c r="A730" i="20"/>
  <c r="A722" i="20"/>
  <c r="A721" i="20"/>
  <c r="A720" i="20"/>
  <c r="A719" i="20"/>
  <c r="A718" i="20"/>
  <c r="A717" i="20"/>
  <c r="A716" i="20"/>
  <c r="A715" i="20"/>
  <c r="A714" i="20"/>
  <c r="A713" i="20"/>
  <c r="A712" i="20"/>
  <c r="A711" i="20"/>
  <c r="A710" i="20"/>
  <c r="A709" i="20"/>
  <c r="A708" i="20"/>
  <c r="A707" i="20"/>
  <c r="A706" i="20"/>
  <c r="A705" i="20"/>
  <c r="A704" i="20"/>
  <c r="A703" i="20"/>
  <c r="A702" i="20"/>
  <c r="A701" i="20"/>
  <c r="A700" i="20"/>
  <c r="A699" i="20"/>
  <c r="A698" i="20"/>
  <c r="A697" i="20"/>
  <c r="A696" i="20"/>
  <c r="A695" i="20"/>
  <c r="A694" i="20"/>
  <c r="A693" i="20"/>
  <c r="A692" i="20"/>
  <c r="A691" i="20"/>
  <c r="A690" i="20"/>
  <c r="A689" i="20"/>
  <c r="A688" i="20"/>
  <c r="A687" i="20"/>
  <c r="A686" i="20"/>
  <c r="A685" i="20"/>
  <c r="A684" i="20"/>
  <c r="A683" i="20"/>
  <c r="A682" i="20"/>
  <c r="A681" i="20"/>
  <c r="A680" i="20"/>
  <c r="A679" i="20"/>
  <c r="A678" i="20"/>
  <c r="A661" i="20"/>
  <c r="A660" i="20"/>
  <c r="A659" i="20"/>
  <c r="A658" i="20"/>
  <c r="A657" i="20"/>
  <c r="A656" i="20"/>
  <c r="A655" i="20"/>
  <c r="A654" i="20"/>
  <c r="A630" i="20"/>
  <c r="A629" i="20"/>
  <c r="A628" i="20"/>
  <c r="A627" i="20"/>
  <c r="A626" i="20"/>
  <c r="A625" i="20"/>
  <c r="A624" i="20"/>
  <c r="A623" i="20"/>
  <c r="A622" i="20"/>
  <c r="A621" i="20"/>
  <c r="A620" i="20"/>
  <c r="A594" i="20"/>
  <c r="A593" i="20"/>
  <c r="A592" i="20"/>
  <c r="A591" i="20"/>
  <c r="A590" i="20"/>
  <c r="A589" i="20"/>
  <c r="A588" i="20"/>
  <c r="A587" i="20"/>
  <c r="A586" i="20"/>
  <c r="A585" i="20"/>
  <c r="A584" i="20"/>
  <c r="A583" i="20"/>
  <c r="A582" i="20"/>
  <c r="A581" i="20"/>
  <c r="A580" i="20"/>
  <c r="A579" i="20"/>
  <c r="A578" i="20"/>
  <c r="A577" i="20"/>
  <c r="A576" i="20"/>
  <c r="A575" i="20"/>
  <c r="A574" i="20"/>
  <c r="A573" i="20"/>
  <c r="A572" i="20"/>
  <c r="A571" i="20"/>
  <c r="A570" i="20"/>
  <c r="A569" i="20"/>
  <c r="A568" i="20"/>
  <c r="A567" i="20"/>
  <c r="A566" i="20"/>
  <c r="A565" i="20"/>
  <c r="A564" i="20"/>
  <c r="A561" i="20"/>
  <c r="A560" i="20"/>
  <c r="A559" i="20"/>
  <c r="A558" i="20"/>
  <c r="A556" i="20"/>
  <c r="A555" i="20"/>
  <c r="A554" i="20"/>
  <c r="A553" i="20"/>
  <c r="A552" i="20"/>
  <c r="A551" i="20"/>
  <c r="A550" i="20"/>
  <c r="A548" i="20"/>
  <c r="A547" i="20"/>
  <c r="A546" i="20"/>
  <c r="A545" i="20"/>
  <c r="A544" i="20"/>
  <c r="A543" i="20"/>
  <c r="A542" i="20"/>
  <c r="A541" i="20"/>
  <c r="A540" i="20"/>
  <c r="A539" i="20"/>
  <c r="A538" i="20"/>
  <c r="A537" i="20"/>
  <c r="A536" i="20"/>
  <c r="A535" i="20"/>
  <c r="A534" i="20"/>
  <c r="A533" i="20"/>
  <c r="A532" i="20"/>
  <c r="A531" i="20"/>
  <c r="A530" i="20"/>
  <c r="A529" i="20"/>
  <c r="A528" i="20"/>
  <c r="A527" i="20"/>
  <c r="A523" i="20"/>
  <c r="A522" i="20"/>
  <c r="A521" i="20"/>
  <c r="A520" i="20"/>
  <c r="A519" i="20"/>
  <c r="A518" i="20"/>
  <c r="A517" i="20"/>
  <c r="A516" i="20"/>
  <c r="A515" i="20"/>
  <c r="A514" i="20"/>
  <c r="A513" i="20"/>
  <c r="A512" i="20"/>
  <c r="A511" i="20"/>
  <c r="A510" i="20"/>
  <c r="A509" i="20"/>
  <c r="A508" i="20"/>
  <c r="A507" i="20"/>
  <c r="A485" i="20"/>
  <c r="A484" i="20"/>
  <c r="A483" i="20"/>
  <c r="A482" i="20"/>
  <c r="A481" i="20"/>
  <c r="A480" i="20"/>
  <c r="A479" i="20"/>
  <c r="A478" i="20"/>
  <c r="A477" i="20"/>
  <c r="A476" i="20"/>
  <c r="A475" i="20"/>
  <c r="A474" i="20"/>
  <c r="A473" i="20"/>
  <c r="A472" i="20"/>
  <c r="A471" i="20"/>
  <c r="A470" i="20"/>
  <c r="A469" i="20"/>
  <c r="A468" i="20"/>
  <c r="A467" i="20"/>
  <c r="A466" i="20"/>
  <c r="A465" i="20"/>
  <c r="A464" i="20"/>
  <c r="A463" i="20"/>
  <c r="A462" i="20"/>
  <c r="A461" i="20"/>
  <c r="A460" i="20"/>
  <c r="A459" i="20"/>
  <c r="A458" i="20"/>
  <c r="A457" i="20"/>
  <c r="A456" i="20"/>
  <c r="A455" i="20"/>
  <c r="A454" i="20"/>
  <c r="A451" i="20"/>
  <c r="A450" i="20"/>
  <c r="A449" i="20"/>
  <c r="A448" i="20"/>
  <c r="A447" i="20"/>
  <c r="A446" i="20"/>
  <c r="A445" i="20"/>
  <c r="A444" i="20"/>
  <c r="A443" i="20"/>
  <c r="A442" i="20"/>
  <c r="A441" i="20"/>
  <c r="A440" i="20"/>
  <c r="A439" i="20"/>
  <c r="A438" i="20"/>
  <c r="A437" i="20"/>
  <c r="A436" i="20"/>
  <c r="A435" i="20"/>
  <c r="A434" i="20"/>
  <c r="A433" i="20"/>
  <c r="A432" i="20"/>
  <c r="A431" i="20"/>
  <c r="A430" i="20"/>
  <c r="A429" i="20"/>
  <c r="A428" i="20"/>
  <c r="A427" i="20"/>
  <c r="A426" i="20"/>
  <c r="A425" i="20"/>
  <c r="A424" i="20"/>
  <c r="A416" i="20"/>
  <c r="A415" i="20"/>
  <c r="A414" i="20"/>
  <c r="A413" i="20"/>
  <c r="A412" i="20"/>
  <c r="A411" i="20"/>
  <c r="A410" i="20"/>
  <c r="A409" i="20"/>
  <c r="A408" i="20"/>
  <c r="A407" i="20"/>
  <c r="A406" i="20"/>
  <c r="A405" i="20"/>
  <c r="A404" i="20"/>
  <c r="A403" i="20"/>
  <c r="A402" i="20"/>
  <c r="A401" i="20"/>
  <c r="A400" i="20"/>
  <c r="A399" i="20"/>
  <c r="A398" i="20"/>
  <c r="A397" i="20"/>
  <c r="A396" i="20"/>
  <c r="A395" i="20"/>
  <c r="A394" i="20"/>
  <c r="A393" i="20"/>
  <c r="A392" i="20"/>
  <c r="A391" i="20"/>
  <c r="A390" i="20"/>
  <c r="A389" i="20"/>
  <c r="A388" i="20"/>
  <c r="A387" i="20"/>
  <c r="A386" i="20"/>
  <c r="A380" i="20"/>
  <c r="A379" i="20"/>
  <c r="A378" i="20"/>
  <c r="A377" i="20"/>
  <c r="A376" i="20"/>
  <c r="A375" i="20"/>
  <c r="A374" i="20"/>
  <c r="A373" i="20"/>
  <c r="A372" i="20"/>
  <c r="A371" i="20"/>
  <c r="A370" i="20"/>
  <c r="A369" i="20"/>
  <c r="A368" i="20"/>
  <c r="A367" i="20"/>
  <c r="A366" i="20"/>
  <c r="A365" i="20"/>
  <c r="A364" i="20"/>
  <c r="A363" i="20"/>
  <c r="A362" i="20"/>
  <c r="A361" i="20"/>
  <c r="A360" i="20"/>
  <c r="A359" i="20"/>
  <c r="A358" i="20"/>
  <c r="A357" i="20"/>
  <c r="A356" i="20"/>
  <c r="A355" i="20"/>
  <c r="A354" i="20"/>
  <c r="A353" i="20"/>
  <c r="A352" i="20"/>
  <c r="A351" i="20"/>
  <c r="A350" i="20"/>
  <c r="A349" i="20"/>
  <c r="A348" i="20"/>
  <c r="A347" i="20"/>
  <c r="A346" i="20"/>
  <c r="A345" i="20"/>
  <c r="A344" i="20"/>
  <c r="A343" i="20"/>
  <c r="A342" i="20"/>
  <c r="A341" i="20"/>
  <c r="A340" i="20"/>
  <c r="A339" i="20"/>
  <c r="A338" i="20"/>
  <c r="A337" i="20"/>
  <c r="A336" i="20"/>
  <c r="A335" i="20"/>
  <c r="A334" i="20"/>
  <c r="A333" i="20"/>
  <c r="A332" i="20"/>
  <c r="A331" i="20"/>
  <c r="A330" i="20"/>
  <c r="A329" i="20"/>
  <c r="A328" i="20"/>
  <c r="A327" i="20"/>
  <c r="A323" i="20"/>
  <c r="A322" i="20"/>
  <c r="A321" i="20"/>
  <c r="A320" i="20"/>
  <c r="A319" i="20"/>
  <c r="A318" i="20"/>
  <c r="A317" i="20"/>
  <c r="A316" i="20"/>
  <c r="A315" i="20"/>
  <c r="A314" i="20"/>
  <c r="A313" i="20"/>
  <c r="A312" i="20"/>
  <c r="A311" i="20"/>
  <c r="A310" i="20"/>
  <c r="A309" i="20"/>
  <c r="A308" i="20"/>
  <c r="A307" i="20"/>
  <c r="A306" i="20"/>
  <c r="A305" i="20"/>
  <c r="A304" i="20"/>
  <c r="A303" i="20"/>
  <c r="A302" i="20"/>
  <c r="A301" i="20"/>
  <c r="A300" i="20"/>
  <c r="A299" i="20"/>
  <c r="A298" i="20"/>
  <c r="A297" i="20"/>
  <c r="A296" i="20"/>
  <c r="A295" i="20"/>
  <c r="A294" i="20"/>
  <c r="A293" i="20"/>
  <c r="A287" i="20"/>
  <c r="A285" i="20"/>
  <c r="A284" i="20"/>
  <c r="A283" i="20"/>
  <c r="A282" i="20"/>
  <c r="A281" i="20"/>
  <c r="A280" i="20"/>
  <c r="A279" i="20"/>
  <c r="A278" i="20"/>
  <c r="A277" i="20"/>
  <c r="A276" i="20"/>
  <c r="A275" i="20"/>
  <c r="A274" i="20"/>
  <c r="A273" i="20"/>
  <c r="A272" i="20"/>
  <c r="A271" i="20"/>
  <c r="A270" i="20"/>
  <c r="A269" i="20"/>
  <c r="A268" i="20"/>
  <c r="A267" i="20"/>
  <c r="A266" i="20"/>
  <c r="A265" i="20"/>
  <c r="A264" i="20"/>
  <c r="A263" i="20"/>
  <c r="A262" i="20"/>
  <c r="A256" i="20"/>
  <c r="A255" i="20"/>
  <c r="A254" i="20"/>
  <c r="A253" i="20"/>
  <c r="A252" i="20"/>
  <c r="A251" i="20"/>
  <c r="A250" i="20"/>
  <c r="A249" i="20"/>
  <c r="A248" i="20"/>
  <c r="A246" i="20"/>
  <c r="A245" i="20"/>
  <c r="A237" i="20"/>
  <c r="A236" i="20"/>
  <c r="A235" i="20"/>
  <c r="A234" i="20"/>
  <c r="A233" i="20"/>
  <c r="A232" i="20"/>
  <c r="A231" i="20"/>
  <c r="A230" i="20"/>
  <c r="A229" i="20"/>
  <c r="A228" i="20"/>
  <c r="A227" i="20"/>
  <c r="A226" i="20"/>
  <c r="A225" i="20"/>
  <c r="A224" i="20"/>
  <c r="A223" i="20"/>
  <c r="A222" i="20"/>
  <c r="A221" i="20"/>
  <c r="A220" i="20"/>
  <c r="A219" i="20"/>
  <c r="A218" i="20"/>
  <c r="A217" i="20"/>
  <c r="A216" i="20"/>
  <c r="A215" i="20"/>
  <c r="A214" i="20"/>
  <c r="A213" i="20"/>
  <c r="A212" i="20"/>
  <c r="A211" i="20"/>
  <c r="A210" i="20"/>
  <c r="A209" i="20"/>
  <c r="A208" i="20"/>
  <c r="A207" i="20"/>
  <c r="A206" i="20"/>
  <c r="A205" i="20"/>
  <c r="A204" i="20"/>
  <c r="A203" i="20"/>
  <c r="A202" i="20"/>
  <c r="A201" i="20"/>
  <c r="A200" i="20"/>
  <c r="A199" i="20"/>
  <c r="A198" i="20"/>
  <c r="A197" i="20"/>
  <c r="A196" i="20"/>
  <c r="A195" i="20"/>
  <c r="A194" i="20"/>
  <c r="A193" i="20"/>
  <c r="A192" i="20"/>
  <c r="A191" i="20"/>
  <c r="A190" i="20"/>
  <c r="A189" i="20"/>
  <c r="A188" i="20"/>
  <c r="A187" i="20"/>
  <c r="A186" i="20"/>
  <c r="A185" i="20"/>
  <c r="A184" i="20"/>
  <c r="A183" i="20"/>
  <c r="A182" i="20"/>
  <c r="A181" i="20"/>
  <c r="A180" i="20"/>
  <c r="A179" i="20"/>
  <c r="A178" i="20"/>
  <c r="A177" i="20"/>
  <c r="A176" i="20"/>
  <c r="A175" i="20"/>
  <c r="A174" i="20"/>
  <c r="A173" i="20"/>
  <c r="A172" i="20"/>
  <c r="A171" i="20"/>
  <c r="A170" i="20"/>
  <c r="A169" i="20"/>
  <c r="A168" i="20"/>
  <c r="A167" i="20"/>
  <c r="A166" i="20"/>
  <c r="A165" i="20"/>
  <c r="A163" i="20"/>
  <c r="A162" i="20"/>
  <c r="A161" i="20"/>
  <c r="A160" i="20"/>
  <c r="A159" i="20"/>
  <c r="A158" i="20"/>
  <c r="A157" i="20"/>
  <c r="A156" i="20"/>
  <c r="A155" i="20"/>
  <c r="A154" i="20"/>
  <c r="A153" i="20"/>
  <c r="A152" i="20"/>
  <c r="A151" i="20"/>
  <c r="A150" i="20"/>
  <c r="A149" i="20"/>
  <c r="A148" i="20"/>
  <c r="A147" i="20"/>
  <c r="A146" i="20"/>
  <c r="A145" i="20"/>
  <c r="A144" i="20"/>
  <c r="A143" i="20"/>
  <c r="A142" i="20"/>
  <c r="A141" i="20"/>
  <c r="A140" i="20"/>
  <c r="A139" i="20"/>
  <c r="A138" i="20"/>
  <c r="A137" i="20"/>
  <c r="A136" i="20"/>
  <c r="A135" i="20"/>
  <c r="A134" i="20"/>
  <c r="A133" i="20"/>
  <c r="A132" i="20"/>
  <c r="A131" i="20"/>
  <c r="A130" i="20"/>
  <c r="A129" i="20"/>
  <c r="A128" i="20"/>
  <c r="A127" i="20"/>
  <c r="A126" i="20"/>
  <c r="A125" i="20"/>
  <c r="A124" i="20"/>
  <c r="A123" i="20"/>
  <c r="A122" i="20"/>
  <c r="A121" i="20"/>
  <c r="A120" i="20"/>
  <c r="A119" i="20"/>
  <c r="A118" i="20"/>
  <c r="A117" i="20"/>
  <c r="A116" i="20"/>
  <c r="A115" i="20"/>
  <c r="A114" i="20"/>
  <c r="A113" i="20"/>
  <c r="A112" i="20"/>
  <c r="A111" i="20"/>
  <c r="A110" i="20"/>
  <c r="A109" i="20"/>
  <c r="A108" i="20"/>
  <c r="A107" i="20"/>
  <c r="A106" i="20"/>
  <c r="A105" i="20"/>
  <c r="A104" i="20"/>
  <c r="A103" i="20"/>
  <c r="A102" i="20"/>
  <c r="A101" i="20"/>
  <c r="A100" i="20"/>
  <c r="A99" i="20"/>
  <c r="A98" i="20"/>
  <c r="A97" i="20"/>
  <c r="A96" i="20"/>
  <c r="A95" i="20"/>
  <c r="A94" i="20"/>
  <c r="A92" i="20"/>
  <c r="A91" i="20"/>
  <c r="A90" i="20"/>
  <c r="A89" i="20"/>
  <c r="A88" i="20"/>
  <c r="A87" i="20"/>
  <c r="A86" i="20"/>
  <c r="A85" i="20"/>
  <c r="A84" i="20"/>
  <c r="A83" i="20"/>
  <c r="A82" i="20"/>
  <c r="A81" i="20"/>
  <c r="A80" i="20"/>
  <c r="A79" i="20"/>
  <c r="A78" i="20"/>
  <c r="A77" i="20"/>
  <c r="A76" i="20"/>
  <c r="A75" i="20"/>
  <c r="A73" i="20"/>
  <c r="A72" i="20"/>
  <c r="A71" i="20"/>
  <c r="A70" i="20"/>
  <c r="A69" i="20"/>
  <c r="A68" i="20"/>
  <c r="A67" i="20"/>
  <c r="A66" i="20"/>
  <c r="A65" i="20"/>
  <c r="A64" i="20"/>
  <c r="A63" i="20"/>
  <c r="A62" i="20"/>
  <c r="A61" i="20"/>
  <c r="A60" i="20"/>
  <c r="A59" i="20"/>
  <c r="A58" i="20"/>
  <c r="A57" i="20"/>
  <c r="A56" i="20"/>
  <c r="A55" i="20"/>
  <c r="A54" i="20"/>
  <c r="A53" i="20"/>
  <c r="A52" i="20"/>
  <c r="A51" i="20"/>
  <c r="A50" i="20"/>
  <c r="A49" i="20"/>
  <c r="A48" i="20"/>
  <c r="A47" i="20"/>
  <c r="A46" i="20"/>
  <c r="A45" i="20"/>
  <c r="A44" i="20"/>
  <c r="A43" i="20"/>
  <c r="A42" i="20"/>
  <c r="A41" i="20"/>
  <c r="A40" i="20"/>
  <c r="A39" i="20"/>
  <c r="A38" i="20"/>
  <c r="A37" i="20"/>
  <c r="A36" i="20"/>
  <c r="A35" i="20"/>
  <c r="A34" i="20"/>
  <c r="A33" i="20"/>
  <c r="A32" i="20"/>
  <c r="A31" i="20"/>
  <c r="A30" i="20"/>
  <c r="A27" i="20"/>
  <c r="XCD247" i="20" l="1"/>
  <c r="XBZ247" i="20" s="1"/>
  <c r="XBV247" i="20" s="1"/>
  <c r="XBR247" i="20" s="1"/>
  <c r="P226" i="17"/>
  <c r="R226" i="17"/>
  <c r="Q226" i="17"/>
  <c r="Q195" i="17"/>
  <c r="P195" i="17"/>
  <c r="R195" i="17"/>
  <c r="R15" i="17"/>
  <c r="Q15" i="17"/>
  <c r="P15" i="17"/>
  <c r="Q227" i="17"/>
  <c r="R227" i="17"/>
  <c r="P227" i="17"/>
  <c r="R196" i="17"/>
  <c r="Q196" i="17"/>
  <c r="P196" i="17"/>
  <c r="Q11" i="17"/>
  <c r="R11" i="17"/>
  <c r="P11" i="17"/>
  <c r="R218" i="17"/>
  <c r="Q218" i="17"/>
  <c r="P218" i="17"/>
  <c r="P225" i="17"/>
  <c r="Q225" i="17"/>
  <c r="R225" i="17"/>
  <c r="R184" i="17"/>
  <c r="Q184" i="17"/>
  <c r="P184" i="17"/>
  <c r="P8" i="17"/>
  <c r="R8" i="17"/>
  <c r="Q8" i="17"/>
  <c r="P197" i="17"/>
  <c r="Q197" i="17"/>
  <c r="R197" i="17"/>
  <c r="R12" i="17"/>
  <c r="P12" i="17"/>
  <c r="Q12" i="17"/>
  <c r="R46" i="17"/>
  <c r="P46" i="17"/>
  <c r="Q46" i="17"/>
  <c r="Q193" i="17"/>
  <c r="P193" i="17"/>
  <c r="R193" i="17"/>
  <c r="P14" i="17"/>
  <c r="Q14" i="17"/>
  <c r="R14" i="17"/>
  <c r="R228" i="17"/>
  <c r="P228" i="17"/>
  <c r="Q228" i="17"/>
  <c r="R198" i="17"/>
  <c r="Q198" i="17"/>
  <c r="P198" i="17"/>
  <c r="P13" i="17"/>
  <c r="Q13" i="17"/>
  <c r="R13" i="17"/>
  <c r="R219" i="17"/>
  <c r="Q219" i="17"/>
  <c r="P219" i="17"/>
  <c r="P217" i="17"/>
  <c r="R217" i="17"/>
  <c r="Q217" i="17"/>
  <c r="R186" i="17"/>
  <c r="Q186" i="17"/>
  <c r="P186" i="17"/>
  <c r="Q229" i="17"/>
  <c r="P229" i="17"/>
  <c r="R229" i="17"/>
  <c r="Q199" i="17"/>
  <c r="P199" i="17"/>
  <c r="R199" i="17"/>
  <c r="P210" i="17"/>
  <c r="Q210" i="17"/>
  <c r="R210" i="17"/>
  <c r="P220" i="17"/>
  <c r="R220" i="17"/>
  <c r="Q220" i="17"/>
  <c r="R224" i="17"/>
  <c r="P709" i="17"/>
  <c r="P224" i="17"/>
  <c r="R709" i="17"/>
  <c r="Q224" i="17"/>
  <c r="Q709" i="17"/>
  <c r="Q194" i="17"/>
  <c r="R194" i="17"/>
  <c r="P194" i="17"/>
  <c r="R185" i="17"/>
  <c r="Q185" i="17"/>
  <c r="P185" i="17"/>
  <c r="R39" i="17"/>
  <c r="P39" i="17"/>
  <c r="Q39" i="17"/>
  <c r="Q230" i="17"/>
  <c r="P230" i="17"/>
  <c r="R230" i="17"/>
  <c r="Q200" i="17"/>
  <c r="P200" i="17"/>
  <c r="R200" i="17"/>
  <c r="R43" i="17"/>
  <c r="Q43" i="17"/>
  <c r="P43" i="17"/>
  <c r="R47" i="17"/>
  <c r="Q47" i="17"/>
  <c r="P47" i="17"/>
  <c r="R40" i="17"/>
  <c r="Q40" i="17"/>
  <c r="P40" i="17"/>
  <c r="R201" i="17"/>
  <c r="Q201" i="17"/>
  <c r="P201" i="17"/>
  <c r="R211" i="17"/>
  <c r="Q211" i="17"/>
  <c r="P211" i="17"/>
  <c r="Q48" i="17"/>
  <c r="P48" i="17"/>
  <c r="R48" i="17"/>
  <c r="R187" i="17"/>
  <c r="Q187" i="17"/>
  <c r="P187" i="17"/>
  <c r="R235" i="17"/>
  <c r="Q235" i="17"/>
  <c r="P235" i="17"/>
  <c r="R202" i="17"/>
  <c r="Q202" i="17"/>
  <c r="P202" i="17"/>
  <c r="R44" i="17"/>
  <c r="P44" i="17"/>
  <c r="Q44" i="17"/>
  <c r="R49" i="17"/>
  <c r="Q49" i="17"/>
  <c r="P49" i="17"/>
  <c r="P125" i="17"/>
  <c r="Q125" i="17"/>
  <c r="R125" i="17"/>
  <c r="Q232" i="17"/>
  <c r="P232" i="17"/>
  <c r="R232" i="17"/>
  <c r="P188" i="17"/>
  <c r="Q188" i="17"/>
  <c r="R188" i="17"/>
  <c r="P233" i="17"/>
  <c r="Q233" i="17"/>
  <c r="R233" i="17"/>
  <c r="R203" i="17"/>
  <c r="Q203" i="17"/>
  <c r="P203" i="17"/>
  <c r="R45" i="17"/>
  <c r="Q45" i="17"/>
  <c r="P45" i="17"/>
  <c r="P234" i="17"/>
  <c r="R234" i="17"/>
  <c r="Q234" i="17"/>
  <c r="Q10" i="17"/>
  <c r="P10" i="17"/>
  <c r="R10" i="17"/>
  <c r="P204" i="17"/>
  <c r="R204" i="17"/>
  <c r="Q204" i="17"/>
  <c r="R212" i="17"/>
  <c r="Q212" i="17"/>
  <c r="P212" i="17"/>
  <c r="R159" i="17"/>
  <c r="P159" i="17"/>
  <c r="Q159" i="17"/>
  <c r="Q231" i="17"/>
  <c r="R231" i="17"/>
  <c r="P231" i="17"/>
  <c r="Q16" i="17"/>
  <c r="P16" i="17"/>
  <c r="R16" i="17"/>
  <c r="P41" i="17"/>
  <c r="Q41" i="17"/>
  <c r="R41" i="17"/>
  <c r="P205" i="17"/>
  <c r="Q205" i="17"/>
  <c r="R205" i="17"/>
  <c r="P213" i="17"/>
  <c r="Q213" i="17"/>
  <c r="R213" i="17"/>
  <c r="R17" i="17"/>
  <c r="P17" i="17"/>
  <c r="Q17" i="17"/>
  <c r="P190" i="17"/>
  <c r="R190" i="17"/>
  <c r="Q190" i="17"/>
  <c r="Q206" i="17"/>
  <c r="P206" i="17"/>
  <c r="R206" i="17"/>
  <c r="R214" i="17"/>
  <c r="Q214" i="17"/>
  <c r="P214" i="17"/>
  <c r="P252" i="17"/>
  <c r="R252" i="17"/>
  <c r="Q252" i="17"/>
  <c r="Q18" i="17"/>
  <c r="R18" i="17"/>
  <c r="P18" i="17"/>
  <c r="P191" i="17"/>
  <c r="Q191" i="17"/>
  <c r="R191" i="17"/>
  <c r="R207" i="17"/>
  <c r="Q207" i="17"/>
  <c r="P207" i="17"/>
  <c r="R215" i="17"/>
  <c r="P215" i="17"/>
  <c r="Q215" i="17"/>
  <c r="R253" i="17"/>
  <c r="Q253" i="17"/>
  <c r="P253" i="17"/>
  <c r="R248" i="17"/>
  <c r="P248" i="17"/>
  <c r="Q248" i="17"/>
  <c r="P708" i="17"/>
  <c r="R708" i="17"/>
  <c r="Q708" i="17"/>
  <c r="P189" i="17"/>
  <c r="Q189" i="17"/>
  <c r="R189" i="17"/>
  <c r="P192" i="17"/>
  <c r="R192" i="17"/>
  <c r="Q192" i="17"/>
  <c r="P216" i="17"/>
  <c r="R216" i="17"/>
  <c r="Q216" i="17"/>
  <c r="XBY247" i="20"/>
  <c r="XBU247" i="20" s="1"/>
  <c r="XBQ247" i="20" s="1"/>
  <c r="XBM247" i="20" s="1"/>
  <c r="XBX247" i="20"/>
  <c r="I382" i="20"/>
  <c r="J382" i="20" s="1"/>
  <c r="N382" i="20" s="1"/>
  <c r="O382" i="20" s="1"/>
  <c r="Q19" i="17"/>
  <c r="R27" i="17"/>
  <c r="P35" i="17"/>
  <c r="Q20" i="17"/>
  <c r="Q28" i="17"/>
  <c r="P36" i="17"/>
  <c r="P21" i="17"/>
  <c r="Q29" i="17"/>
  <c r="P37" i="17"/>
  <c r="P22" i="17"/>
  <c r="P30" i="17"/>
  <c r="Q38" i="17"/>
  <c r="P100" i="17"/>
  <c r="P23" i="17"/>
  <c r="Q31" i="17"/>
  <c r="P24" i="17"/>
  <c r="P32" i="17"/>
  <c r="Q101" i="17"/>
  <c r="Q25" i="17"/>
  <c r="Q33" i="17"/>
  <c r="P34" i="17"/>
  <c r="R42" i="17"/>
  <c r="Q42" i="17"/>
  <c r="P42" i="17"/>
  <c r="I383" i="20"/>
  <c r="J383" i="20" s="1"/>
  <c r="N383" i="20" s="1"/>
  <c r="O383" i="20" s="1"/>
  <c r="I384" i="20"/>
  <c r="J384" i="20" s="1"/>
  <c r="N384" i="20" s="1"/>
  <c r="O384" i="20" s="1"/>
  <c r="R698" i="17"/>
  <c r="Q698" i="17"/>
  <c r="P698" i="17"/>
  <c r="I489" i="20"/>
  <c r="J489" i="20" s="1"/>
  <c r="N489" i="20" s="1"/>
  <c r="O489" i="20" s="1"/>
  <c r="I493" i="20"/>
  <c r="J493" i="20" s="1"/>
  <c r="N493" i="20" s="1"/>
  <c r="O493" i="20" s="1"/>
  <c r="R37" i="17"/>
  <c r="I381" i="20"/>
  <c r="J381" i="20" s="1"/>
  <c r="N381" i="20" s="1"/>
  <c r="O381" i="20" s="1"/>
  <c r="R101" i="17"/>
  <c r="R100" i="17"/>
  <c r="Q100" i="17"/>
  <c r="R98" i="17"/>
  <c r="Q98" i="17"/>
  <c r="P101" i="17"/>
  <c r="P98" i="17"/>
  <c r="R99" i="17"/>
  <c r="R97" i="17"/>
  <c r="Q99" i="17"/>
  <c r="Q97" i="17"/>
  <c r="P99" i="17"/>
  <c r="P97" i="17"/>
  <c r="I385" i="20"/>
  <c r="J385" i="20" s="1"/>
  <c r="N385" i="20" s="1"/>
  <c r="O385" i="20" s="1"/>
  <c r="I490" i="20"/>
  <c r="J490" i="20" s="1"/>
  <c r="N490" i="20" s="1"/>
  <c r="O490" i="20" s="1"/>
  <c r="I499" i="20"/>
  <c r="J499" i="20" s="1"/>
  <c r="N499" i="20" s="1"/>
  <c r="O499" i="20" s="1"/>
  <c r="I505" i="20"/>
  <c r="J505" i="20" s="1"/>
  <c r="N505" i="20" s="1"/>
  <c r="O505" i="20" s="1"/>
  <c r="I487" i="20"/>
  <c r="J487" i="20" s="1"/>
  <c r="N487" i="20" s="1"/>
  <c r="O487" i="20" s="1"/>
  <c r="I491" i="20"/>
  <c r="J491" i="20" s="1"/>
  <c r="N491" i="20" s="1"/>
  <c r="O491" i="20" s="1"/>
  <c r="Q37" i="17"/>
  <c r="R24" i="17"/>
  <c r="R32" i="17"/>
  <c r="I498" i="20"/>
  <c r="J498" i="20" s="1"/>
  <c r="N498" i="20" s="1"/>
  <c r="O498" i="20" s="1"/>
  <c r="I494" i="20"/>
  <c r="J494" i="20" s="1"/>
  <c r="N494" i="20" s="1"/>
  <c r="O494" i="20" s="1"/>
  <c r="I497" i="20"/>
  <c r="J497" i="20" s="1"/>
  <c r="N497" i="20" s="1"/>
  <c r="O497" i="20" s="1"/>
  <c r="I506" i="20"/>
  <c r="J506" i="20" s="1"/>
  <c r="N506" i="20" s="1"/>
  <c r="O506" i="20" s="1"/>
  <c r="Q32" i="17"/>
  <c r="Q24" i="17"/>
  <c r="I500" i="20"/>
  <c r="J500" i="20" s="1"/>
  <c r="N500" i="20" s="1"/>
  <c r="O500" i="20" s="1"/>
  <c r="I492" i="20"/>
  <c r="J492" i="20" s="1"/>
  <c r="N492" i="20" s="1"/>
  <c r="O492" i="20" s="1"/>
  <c r="I503" i="20"/>
  <c r="J503" i="20" s="1"/>
  <c r="N503" i="20" s="1"/>
  <c r="O503" i="20" s="1"/>
  <c r="I496" i="20"/>
  <c r="J496" i="20" s="1"/>
  <c r="N496" i="20" s="1"/>
  <c r="O496" i="20" s="1"/>
  <c r="P29" i="17"/>
  <c r="P31" i="17"/>
  <c r="R31" i="17"/>
  <c r="P19" i="17"/>
  <c r="R36" i="17"/>
  <c r="P28" i="17"/>
  <c r="R21" i="17"/>
  <c r="Q36" i="17"/>
  <c r="R29" i="17"/>
  <c r="Q21" i="17"/>
  <c r="I495" i="20"/>
  <c r="J495" i="20" s="1"/>
  <c r="N495" i="20" s="1"/>
  <c r="O495" i="20" s="1"/>
  <c r="I502" i="20"/>
  <c r="J502" i="20" s="1"/>
  <c r="N502" i="20" s="1"/>
  <c r="O502" i="20" s="1"/>
  <c r="I501" i="20"/>
  <c r="J501" i="20" s="1"/>
  <c r="N501" i="20" s="1"/>
  <c r="O501" i="20" s="1"/>
  <c r="I504" i="20"/>
  <c r="J504" i="20" s="1"/>
  <c r="N504" i="20" s="1"/>
  <c r="O504" i="20" s="1"/>
  <c r="I488" i="20"/>
  <c r="J488" i="20" s="1"/>
  <c r="N488" i="20" s="1"/>
  <c r="O488" i="20" s="1"/>
  <c r="P33" i="17"/>
  <c r="R23" i="17"/>
  <c r="R28" i="17"/>
  <c r="Q23" i="17"/>
  <c r="Q27" i="17"/>
  <c r="R30" i="17"/>
  <c r="R38" i="17"/>
  <c r="P38" i="17"/>
  <c r="Q30" i="17"/>
  <c r="R22" i="17"/>
  <c r="P27" i="17"/>
  <c r="Q22" i="17"/>
  <c r="P25" i="17"/>
  <c r="R35" i="17"/>
  <c r="Q35" i="17"/>
  <c r="R20" i="17"/>
  <c r="P20" i="17"/>
  <c r="R19" i="17"/>
  <c r="R34" i="17"/>
  <c r="R26" i="17"/>
  <c r="Q34" i="17"/>
  <c r="Q26" i="17"/>
  <c r="P26" i="17"/>
  <c r="R33" i="17"/>
  <c r="R25" i="17"/>
  <c r="O816" i="1"/>
  <c r="W816" i="1" s="1"/>
  <c r="H816" i="1"/>
  <c r="O815" i="1"/>
  <c r="W815" i="1" s="1"/>
  <c r="H815" i="1"/>
  <c r="O814" i="1"/>
  <c r="W814" i="1" s="1"/>
  <c r="H814" i="1"/>
  <c r="H553" i="20"/>
  <c r="H449" i="20"/>
  <c r="H448" i="20"/>
  <c r="H447" i="20"/>
  <c r="H446" i="20"/>
  <c r="H444" i="20"/>
  <c r="H442" i="20"/>
  <c r="O1532" i="1"/>
  <c r="I450" i="20" s="1"/>
  <c r="J450" i="20" s="1"/>
  <c r="H1532" i="1"/>
  <c r="H1524" i="1"/>
  <c r="O1524" i="1"/>
  <c r="W1524" i="1" s="1"/>
  <c r="K442" i="20" s="1"/>
  <c r="L442" i="20" s="1"/>
  <c r="H1525" i="1"/>
  <c r="O1525" i="1"/>
  <c r="W1525" i="1" s="1"/>
  <c r="K443" i="20" s="1"/>
  <c r="L443" i="20" s="1"/>
  <c r="H1526" i="1"/>
  <c r="O1526" i="1"/>
  <c r="W1526" i="1" s="1"/>
  <c r="K444" i="20" s="1"/>
  <c r="L444" i="20" s="1"/>
  <c r="H1527" i="1"/>
  <c r="O1527" i="1"/>
  <c r="W1527" i="1" s="1"/>
  <c r="K445" i="20" s="1"/>
  <c r="L445" i="20" s="1"/>
  <c r="H1528" i="1"/>
  <c r="O1528" i="1"/>
  <c r="W1528" i="1" s="1"/>
  <c r="K446" i="20" s="1"/>
  <c r="L446" i="20" s="1"/>
  <c r="H1529" i="1"/>
  <c r="O1529" i="1"/>
  <c r="W1529" i="1" s="1"/>
  <c r="K447" i="20" s="1"/>
  <c r="L447" i="20" s="1"/>
  <c r="H1530" i="1"/>
  <c r="O1530" i="1"/>
  <c r="W1530" i="1" s="1"/>
  <c r="K448" i="20" s="1"/>
  <c r="L448" i="20" s="1"/>
  <c r="H1531" i="1"/>
  <c r="O1531" i="1"/>
  <c r="W1531" i="1" s="1"/>
  <c r="K449" i="20" s="1"/>
  <c r="L449" i="20" s="1"/>
  <c r="O1523" i="1"/>
  <c r="H1523" i="1"/>
  <c r="K450" i="20"/>
  <c r="L450" i="20" s="1"/>
  <c r="H450" i="20"/>
  <c r="H445" i="20"/>
  <c r="H443" i="20"/>
  <c r="Q167" i="17"/>
  <c r="R166" i="17"/>
  <c r="P165" i="17"/>
  <c r="P164" i="17"/>
  <c r="R163" i="17"/>
  <c r="P162" i="17"/>
  <c r="Q161" i="17"/>
  <c r="Q160" i="17"/>
  <c r="Q157" i="17"/>
  <c r="R156" i="17"/>
  <c r="R155" i="17"/>
  <c r="P154" i="17"/>
  <c r="P153" i="17"/>
  <c r="R152" i="17"/>
  <c r="Q151" i="17"/>
  <c r="Q150" i="17"/>
  <c r="Q149" i="17"/>
  <c r="R148" i="17"/>
  <c r="R147" i="17"/>
  <c r="P146" i="17"/>
  <c r="R145" i="17"/>
  <c r="Q143" i="17"/>
  <c r="Q142" i="17"/>
  <c r="R141" i="17"/>
  <c r="R140" i="17"/>
  <c r="R139" i="17"/>
  <c r="P138" i="17"/>
  <c r="P137" i="17"/>
  <c r="Q136" i="17"/>
  <c r="Q135" i="17"/>
  <c r="Q134" i="17"/>
  <c r="P133" i="17"/>
  <c r="R132" i="17"/>
  <c r="P131" i="17"/>
  <c r="P130" i="17"/>
  <c r="P129" i="17"/>
  <c r="R128" i="17"/>
  <c r="Q127" i="17"/>
  <c r="Q126" i="17"/>
  <c r="R124" i="17"/>
  <c r="R123" i="17"/>
  <c r="R143" i="17"/>
  <c r="H879" i="1"/>
  <c r="O879" i="1"/>
  <c r="W879" i="1" s="1"/>
  <c r="H864" i="1"/>
  <c r="O864" i="1"/>
  <c r="W864" i="1" s="1"/>
  <c r="H872" i="1"/>
  <c r="O872" i="1"/>
  <c r="W872" i="1" s="1"/>
  <c r="H877" i="1"/>
  <c r="O877" i="1"/>
  <c r="W877" i="1" s="1"/>
  <c r="H875" i="1"/>
  <c r="O875" i="1"/>
  <c r="W875" i="1" s="1"/>
  <c r="H922" i="1"/>
  <c r="O922" i="1"/>
  <c r="W922" i="1" s="1"/>
  <c r="H868" i="1"/>
  <c r="O868" i="1"/>
  <c r="W868" i="1" s="1"/>
  <c r="H841" i="1"/>
  <c r="O841" i="1"/>
  <c r="W841" i="1" s="1"/>
  <c r="H834" i="1"/>
  <c r="O834" i="1"/>
  <c r="W834" i="1" s="1"/>
  <c r="H853" i="1"/>
  <c r="O853" i="1"/>
  <c r="W853" i="1" s="1"/>
  <c r="H924" i="1"/>
  <c r="O924" i="1"/>
  <c r="W924" i="1" s="1"/>
  <c r="H847" i="1"/>
  <c r="O847" i="1"/>
  <c r="W847" i="1" s="1"/>
  <c r="H849" i="1"/>
  <c r="O849" i="1"/>
  <c r="W849" i="1" s="1"/>
  <c r="H910" i="1"/>
  <c r="O910" i="1"/>
  <c r="W910" i="1" s="1"/>
  <c r="H851" i="1"/>
  <c r="O851" i="1"/>
  <c r="W851" i="1" s="1"/>
  <c r="H881" i="1"/>
  <c r="O881" i="1"/>
  <c r="W881" i="1" s="1"/>
  <c r="H914" i="1"/>
  <c r="O914" i="1"/>
  <c r="W914" i="1" s="1"/>
  <c r="H908" i="1"/>
  <c r="O908" i="1"/>
  <c r="W908" i="1" s="1"/>
  <c r="H918" i="1"/>
  <c r="O918" i="1"/>
  <c r="W918" i="1" s="1"/>
  <c r="H904" i="1"/>
  <c r="O904" i="1"/>
  <c r="W904" i="1" s="1"/>
  <c r="H889" i="1"/>
  <c r="O889" i="1"/>
  <c r="W889" i="1" s="1"/>
  <c r="H887" i="1"/>
  <c r="O887" i="1"/>
  <c r="W887" i="1" s="1"/>
  <c r="H866" i="1"/>
  <c r="O866" i="1"/>
  <c r="W866" i="1" s="1"/>
  <c r="H912" i="1"/>
  <c r="O912" i="1"/>
  <c r="W912" i="1" s="1"/>
  <c r="H287" i="20"/>
  <c r="H285" i="20"/>
  <c r="H284" i="20"/>
  <c r="H282" i="20"/>
  <c r="H281" i="20"/>
  <c r="H280" i="20"/>
  <c r="H279" i="20"/>
  <c r="H283" i="20"/>
  <c r="XBT247" i="20" l="1"/>
  <c r="XBP247" i="20" s="1"/>
  <c r="XBL247" i="20" s="1"/>
  <c r="XBH247" i="20" s="1"/>
  <c r="XBS247" i="20"/>
  <c r="I449" i="20"/>
  <c r="J449" i="20" s="1"/>
  <c r="N449" i="20" s="1"/>
  <c r="O449" i="20" s="1"/>
  <c r="I442" i="20"/>
  <c r="J442" i="20" s="1"/>
  <c r="N442" i="20" s="1"/>
  <c r="O442" i="20" s="1"/>
  <c r="W1523" i="1"/>
  <c r="K326" i="20" s="1"/>
  <c r="L326" i="20" s="1"/>
  <c r="I326" i="20"/>
  <c r="J326" i="20" s="1"/>
  <c r="I444" i="20"/>
  <c r="J444" i="20" s="1"/>
  <c r="N444" i="20" s="1"/>
  <c r="O444" i="20" s="1"/>
  <c r="I445" i="20"/>
  <c r="J445" i="20" s="1"/>
  <c r="N445" i="20" s="1"/>
  <c r="O445" i="20" s="1"/>
  <c r="Q164" i="17"/>
  <c r="R164" i="17"/>
  <c r="Q154" i="17"/>
  <c r="R154" i="17"/>
  <c r="P123" i="17"/>
  <c r="R149" i="17"/>
  <c r="I446" i="20"/>
  <c r="J446" i="20" s="1"/>
  <c r="N446" i="20" s="1"/>
  <c r="O446" i="20" s="1"/>
  <c r="I447" i="20"/>
  <c r="J447" i="20" s="1"/>
  <c r="N447" i="20" s="1"/>
  <c r="O447" i="20" s="1"/>
  <c r="I448" i="20"/>
  <c r="J448" i="20" s="1"/>
  <c r="N448" i="20" s="1"/>
  <c r="O448" i="20" s="1"/>
  <c r="Q130" i="17"/>
  <c r="Q146" i="17"/>
  <c r="Q166" i="17"/>
  <c r="P132" i="17"/>
  <c r="P157" i="17"/>
  <c r="Q123" i="17"/>
  <c r="Q132" i="17"/>
  <c r="Q140" i="17"/>
  <c r="P166" i="17"/>
  <c r="R130" i="17"/>
  <c r="R153" i="17"/>
  <c r="Q133" i="17"/>
  <c r="Q138" i="17"/>
  <c r="Q139" i="17"/>
  <c r="Q131" i="17"/>
  <c r="R131" i="17"/>
  <c r="P147" i="17"/>
  <c r="Q165" i="17"/>
  <c r="Q129" i="17"/>
  <c r="R129" i="17"/>
  <c r="Q137" i="17"/>
  <c r="R146" i="17"/>
  <c r="P156" i="17"/>
  <c r="R137" i="17"/>
  <c r="P148" i="17"/>
  <c r="P163" i="17"/>
  <c r="R138" i="17"/>
  <c r="Q148" i="17"/>
  <c r="Q163" i="17"/>
  <c r="Q162" i="17"/>
  <c r="R165" i="17"/>
  <c r="P139" i="17"/>
  <c r="R162" i="17"/>
  <c r="Q147" i="17"/>
  <c r="P155" i="17"/>
  <c r="R136" i="17"/>
  <c r="Q155" i="17"/>
  <c r="R133" i="17"/>
  <c r="R157" i="17"/>
  <c r="P124" i="17"/>
  <c r="P141" i="17"/>
  <c r="Q124" i="17"/>
  <c r="P149" i="17"/>
  <c r="P167" i="17"/>
  <c r="I443" i="20"/>
  <c r="J443" i="20" s="1"/>
  <c r="N443" i="20" s="1"/>
  <c r="O443" i="20" s="1"/>
  <c r="N450" i="20"/>
  <c r="O450" i="20" s="1"/>
  <c r="P140" i="17"/>
  <c r="Q153" i="17"/>
  <c r="Q156" i="17"/>
  <c r="R167" i="17"/>
  <c r="R126" i="17"/>
  <c r="P127" i="17"/>
  <c r="R150" i="17"/>
  <c r="P128" i="17"/>
  <c r="Q128" i="17"/>
  <c r="P135" i="17"/>
  <c r="Q141" i="17"/>
  <c r="P145" i="17"/>
  <c r="P152" i="17"/>
  <c r="R160" i="17"/>
  <c r="P151" i="17"/>
  <c r="R134" i="17"/>
  <c r="R151" i="17"/>
  <c r="R135" i="17"/>
  <c r="Q145" i="17"/>
  <c r="Q152" i="17"/>
  <c r="P161" i="17"/>
  <c r="R127" i="17"/>
  <c r="P136" i="17"/>
  <c r="R142" i="17"/>
  <c r="R161" i="17"/>
  <c r="P143" i="17"/>
  <c r="P126" i="17"/>
  <c r="P134" i="17"/>
  <c r="P142" i="17"/>
  <c r="P150" i="17"/>
  <c r="P160" i="17"/>
  <c r="R93" i="17"/>
  <c r="R92" i="17"/>
  <c r="P91" i="17"/>
  <c r="R90" i="17"/>
  <c r="R89" i="17"/>
  <c r="Q88" i="17"/>
  <c r="R87" i="17"/>
  <c r="P86" i="17"/>
  <c r="R85" i="17"/>
  <c r="R84" i="17"/>
  <c r="P83" i="17"/>
  <c r="R82" i="17"/>
  <c r="R81" i="17"/>
  <c r="Q80" i="17"/>
  <c r="R79" i="17"/>
  <c r="P78" i="17"/>
  <c r="R77" i="17"/>
  <c r="R76" i="17"/>
  <c r="P75" i="17"/>
  <c r="R74" i="17"/>
  <c r="R73" i="17"/>
  <c r="Q72" i="17"/>
  <c r="R71" i="17"/>
  <c r="P70" i="17"/>
  <c r="R69" i="17"/>
  <c r="R68" i="17"/>
  <c r="P67" i="17"/>
  <c r="R66" i="17"/>
  <c r="R65" i="17"/>
  <c r="Q64" i="17"/>
  <c r="R63" i="17"/>
  <c r="P62" i="17"/>
  <c r="R61" i="17"/>
  <c r="R60" i="17"/>
  <c r="P59" i="17"/>
  <c r="R58" i="17"/>
  <c r="R57" i="17"/>
  <c r="Q56" i="17"/>
  <c r="R55" i="17"/>
  <c r="H31" i="20"/>
  <c r="H32" i="20"/>
  <c r="H33" i="20"/>
  <c r="H34" i="20"/>
  <c r="H35" i="20"/>
  <c r="H36" i="20"/>
  <c r="H37" i="20"/>
  <c r="H38" i="20"/>
  <c r="H39" i="20"/>
  <c r="H40" i="20"/>
  <c r="H41" i="20"/>
  <c r="H42" i="20"/>
  <c r="H43" i="20"/>
  <c r="H44" i="20"/>
  <c r="H45" i="20"/>
  <c r="H46" i="20"/>
  <c r="H47" i="20"/>
  <c r="H48" i="20"/>
  <c r="H49" i="20"/>
  <c r="H51" i="20"/>
  <c r="H52" i="20"/>
  <c r="H53" i="20"/>
  <c r="H54" i="20"/>
  <c r="H67" i="20"/>
  <c r="H68" i="20"/>
  <c r="H69" i="20"/>
  <c r="H70" i="20"/>
  <c r="H71" i="20"/>
  <c r="H72" i="20"/>
  <c r="H50" i="20"/>
  <c r="H30" i="20"/>
  <c r="H96" i="1"/>
  <c r="O96" i="1"/>
  <c r="W96" i="1" s="1"/>
  <c r="H97" i="1"/>
  <c r="O97" i="1"/>
  <c r="W97" i="1" s="1"/>
  <c r="H98" i="1"/>
  <c r="O98" i="1"/>
  <c r="W98" i="1" s="1"/>
  <c r="H99" i="1"/>
  <c r="O99" i="1"/>
  <c r="W99" i="1" s="1"/>
  <c r="H31" i="1"/>
  <c r="H32" i="1"/>
  <c r="H33" i="1"/>
  <c r="H34" i="1"/>
  <c r="H35" i="1"/>
  <c r="O31" i="1"/>
  <c r="W31" i="1" s="1"/>
  <c r="O32" i="1"/>
  <c r="W32" i="1" s="1"/>
  <c r="O33" i="1"/>
  <c r="W33" i="1" s="1"/>
  <c r="O34" i="1"/>
  <c r="W34" i="1" s="1"/>
  <c r="O35" i="1"/>
  <c r="W35" i="1" s="1"/>
  <c r="H36" i="1"/>
  <c r="H37" i="1"/>
  <c r="H38" i="1"/>
  <c r="H39" i="1"/>
  <c r="H40" i="1"/>
  <c r="O36" i="1"/>
  <c r="W36" i="1" s="1"/>
  <c r="O37" i="1"/>
  <c r="W37" i="1" s="1"/>
  <c r="O38" i="1"/>
  <c r="W38" i="1" s="1"/>
  <c r="O39" i="1"/>
  <c r="W39" i="1" s="1"/>
  <c r="O40" i="1"/>
  <c r="W40" i="1" s="1"/>
  <c r="H41" i="1"/>
  <c r="H42" i="1"/>
  <c r="H43" i="1"/>
  <c r="H44" i="1"/>
  <c r="H45" i="1"/>
  <c r="O41" i="1"/>
  <c r="W41" i="1" s="1"/>
  <c r="O42" i="1"/>
  <c r="W42" i="1" s="1"/>
  <c r="O43" i="1"/>
  <c r="W43" i="1" s="1"/>
  <c r="O44" i="1"/>
  <c r="W44" i="1" s="1"/>
  <c r="O45" i="1"/>
  <c r="W45" i="1" s="1"/>
  <c r="H46" i="1"/>
  <c r="H47" i="1"/>
  <c r="H48" i="1"/>
  <c r="H49" i="1"/>
  <c r="H50" i="1"/>
  <c r="O46" i="1"/>
  <c r="W46" i="1" s="1"/>
  <c r="O47" i="1"/>
  <c r="W47" i="1" s="1"/>
  <c r="O48" i="1"/>
  <c r="W48" i="1" s="1"/>
  <c r="O49" i="1"/>
  <c r="W49" i="1" s="1"/>
  <c r="O50" i="1"/>
  <c r="W50" i="1" s="1"/>
  <c r="H56" i="1"/>
  <c r="H57" i="1"/>
  <c r="H58" i="1"/>
  <c r="H59" i="1"/>
  <c r="H60" i="1"/>
  <c r="H61" i="1"/>
  <c r="H62" i="1"/>
  <c r="H63" i="1"/>
  <c r="H64" i="1"/>
  <c r="H65" i="1"/>
  <c r="H66" i="1"/>
  <c r="H67" i="1"/>
  <c r="H68" i="1"/>
  <c r="H69" i="1"/>
  <c r="H70" i="1"/>
  <c r="H71" i="1"/>
  <c r="H72" i="1"/>
  <c r="H73" i="1"/>
  <c r="H74" i="1"/>
  <c r="H75" i="1"/>
  <c r="O56" i="1"/>
  <c r="W56" i="1" s="1"/>
  <c r="O57" i="1"/>
  <c r="W57" i="1" s="1"/>
  <c r="O58" i="1"/>
  <c r="W58" i="1" s="1"/>
  <c r="O59" i="1"/>
  <c r="W59" i="1" s="1"/>
  <c r="O60" i="1"/>
  <c r="W60" i="1" s="1"/>
  <c r="O61" i="1"/>
  <c r="W61" i="1" s="1"/>
  <c r="O62" i="1"/>
  <c r="W62" i="1" s="1"/>
  <c r="O63" i="1"/>
  <c r="W63" i="1" s="1"/>
  <c r="O64" i="1"/>
  <c r="W64" i="1" s="1"/>
  <c r="O65" i="1"/>
  <c r="W65" i="1" s="1"/>
  <c r="O66" i="1"/>
  <c r="W66" i="1" s="1"/>
  <c r="O67" i="1"/>
  <c r="W67" i="1" s="1"/>
  <c r="O68" i="1"/>
  <c r="W68" i="1" s="1"/>
  <c r="O69" i="1"/>
  <c r="W69" i="1" s="1"/>
  <c r="O70" i="1"/>
  <c r="W70" i="1" s="1"/>
  <c r="O71" i="1"/>
  <c r="W71" i="1" s="1"/>
  <c r="O72" i="1"/>
  <c r="W72" i="1" s="1"/>
  <c r="O73" i="1"/>
  <c r="W73" i="1" s="1"/>
  <c r="O74" i="1"/>
  <c r="W74" i="1" s="1"/>
  <c r="O75" i="1"/>
  <c r="W75" i="1" s="1"/>
  <c r="H93" i="1"/>
  <c r="O93" i="1"/>
  <c r="W93" i="1" s="1"/>
  <c r="H94" i="1"/>
  <c r="O94" i="1"/>
  <c r="W94" i="1" s="1"/>
  <c r="H95" i="1"/>
  <c r="O95" i="1"/>
  <c r="W95" i="1" s="1"/>
  <c r="H76" i="1"/>
  <c r="O76" i="1"/>
  <c r="W76" i="1" s="1"/>
  <c r="H77" i="1"/>
  <c r="O77" i="1"/>
  <c r="W77" i="1" s="1"/>
  <c r="H78" i="1"/>
  <c r="O78" i="1"/>
  <c r="W78" i="1" s="1"/>
  <c r="H79" i="1"/>
  <c r="O79" i="1"/>
  <c r="W79" i="1" s="1"/>
  <c r="H80" i="1"/>
  <c r="O80" i="1"/>
  <c r="W80" i="1" s="1"/>
  <c r="H81" i="1"/>
  <c r="O81" i="1"/>
  <c r="W81" i="1" s="1"/>
  <c r="H82" i="1"/>
  <c r="O82" i="1"/>
  <c r="W82" i="1" s="1"/>
  <c r="H83" i="1"/>
  <c r="O83" i="1"/>
  <c r="W83" i="1" s="1"/>
  <c r="H84" i="1"/>
  <c r="O84" i="1"/>
  <c r="W84" i="1" s="1"/>
  <c r="H85" i="1"/>
  <c r="O85" i="1"/>
  <c r="W85" i="1" s="1"/>
  <c r="H86" i="1"/>
  <c r="O86" i="1"/>
  <c r="W86" i="1" s="1"/>
  <c r="H87" i="1"/>
  <c r="O87" i="1"/>
  <c r="W87" i="1" s="1"/>
  <c r="H88" i="1"/>
  <c r="O88" i="1"/>
  <c r="W88" i="1" s="1"/>
  <c r="H89" i="1"/>
  <c r="O89" i="1"/>
  <c r="W89" i="1" s="1"/>
  <c r="H90" i="1"/>
  <c r="O90" i="1"/>
  <c r="W90" i="1" s="1"/>
  <c r="H91" i="1"/>
  <c r="O91" i="1"/>
  <c r="W91" i="1" s="1"/>
  <c r="H92" i="1"/>
  <c r="O92" i="1"/>
  <c r="W92" i="1" s="1"/>
  <c r="K54" i="20" l="1"/>
  <c r="L54" i="20" s="1"/>
  <c r="XBO247" i="20"/>
  <c r="XBK247" i="20" s="1"/>
  <c r="XBG247" i="20" s="1"/>
  <c r="XBC247" i="20" s="1"/>
  <c r="XBN247" i="20"/>
  <c r="N326" i="20"/>
  <c r="O326" i="20" s="1"/>
  <c r="K50" i="20"/>
  <c r="L50" i="20" s="1"/>
  <c r="K53" i="20"/>
  <c r="L53" i="20" s="1"/>
  <c r="H27" i="20"/>
  <c r="K51" i="20"/>
  <c r="L51" i="20" s="1"/>
  <c r="K48" i="20"/>
  <c r="L48" i="20" s="1"/>
  <c r="Q86" i="17"/>
  <c r="K52" i="20"/>
  <c r="L52" i="20" s="1"/>
  <c r="K67" i="20"/>
  <c r="L67" i="20" s="1"/>
  <c r="K49" i="20"/>
  <c r="L49" i="20" s="1"/>
  <c r="I50" i="20"/>
  <c r="J50" i="20" s="1"/>
  <c r="P73" i="17"/>
  <c r="R59" i="17"/>
  <c r="R67" i="17"/>
  <c r="P81" i="17"/>
  <c r="P57" i="17"/>
  <c r="Q70" i="17"/>
  <c r="Q81" i="17"/>
  <c r="Q57" i="17"/>
  <c r="R70" i="17"/>
  <c r="R83" i="17"/>
  <c r="Q73" i="17"/>
  <c r="R62" i="17"/>
  <c r="R75" i="17"/>
  <c r="P89" i="17"/>
  <c r="R86" i="17"/>
  <c r="P65" i="17"/>
  <c r="Q78" i="17"/>
  <c r="Q89" i="17"/>
  <c r="Q62" i="17"/>
  <c r="Q65" i="17"/>
  <c r="R78" i="17"/>
  <c r="R91" i="17"/>
  <c r="R56" i="17"/>
  <c r="Q59" i="17"/>
  <c r="R64" i="17"/>
  <c r="Q67" i="17"/>
  <c r="R72" i="17"/>
  <c r="Q75" i="17"/>
  <c r="R80" i="17"/>
  <c r="Q83" i="17"/>
  <c r="R88" i="17"/>
  <c r="Q91" i="17"/>
  <c r="P60" i="17"/>
  <c r="P68" i="17"/>
  <c r="P76" i="17"/>
  <c r="P84" i="17"/>
  <c r="P92" i="17"/>
  <c r="P55" i="17"/>
  <c r="Q60" i="17"/>
  <c r="P63" i="17"/>
  <c r="Q68" i="17"/>
  <c r="P71" i="17"/>
  <c r="Q76" i="17"/>
  <c r="P79" i="17"/>
  <c r="Q84" i="17"/>
  <c r="P87" i="17"/>
  <c r="Q92" i="17"/>
  <c r="Q55" i="17"/>
  <c r="P58" i="17"/>
  <c r="Q63" i="17"/>
  <c r="P66" i="17"/>
  <c r="Q71" i="17"/>
  <c r="P74" i="17"/>
  <c r="Q79" i="17"/>
  <c r="P82" i="17"/>
  <c r="Q87" i="17"/>
  <c r="P90" i="17"/>
  <c r="Q58" i="17"/>
  <c r="P61" i="17"/>
  <c r="Q66" i="17"/>
  <c r="P69" i="17"/>
  <c r="Q74" i="17"/>
  <c r="P77" i="17"/>
  <c r="Q82" i="17"/>
  <c r="P85" i="17"/>
  <c r="Q90" i="17"/>
  <c r="P93" i="17"/>
  <c r="P56" i="17"/>
  <c r="Q61" i="17"/>
  <c r="P64" i="17"/>
  <c r="Q69" i="17"/>
  <c r="P72" i="17"/>
  <c r="Q77" i="17"/>
  <c r="P80" i="17"/>
  <c r="Q85" i="17"/>
  <c r="P88" i="17"/>
  <c r="Q93" i="17"/>
  <c r="I53" i="20"/>
  <c r="J53" i="20" s="1"/>
  <c r="I51" i="20"/>
  <c r="J51" i="20" s="1"/>
  <c r="I48" i="20"/>
  <c r="J48" i="20" s="1"/>
  <c r="I54" i="20"/>
  <c r="J54" i="20" s="1"/>
  <c r="I49" i="20"/>
  <c r="J49" i="20" s="1"/>
  <c r="I52" i="20"/>
  <c r="J52" i="20" s="1"/>
  <c r="I67" i="20"/>
  <c r="J67" i="20" s="1"/>
  <c r="G249" i="21"/>
  <c r="K249" i="21"/>
  <c r="J249" i="21"/>
  <c r="P251" i="21"/>
  <c r="A251" i="21"/>
  <c r="U254" i="21"/>
  <c r="V254" i="21" s="1"/>
  <c r="A254" i="21"/>
  <c r="U253" i="21"/>
  <c r="V253" i="21" s="1"/>
  <c r="A253" i="21"/>
  <c r="U252" i="21"/>
  <c r="V252" i="21" s="1"/>
  <c r="A252" i="21"/>
  <c r="U250" i="21"/>
  <c r="V250" i="21" s="1"/>
  <c r="A250" i="21"/>
  <c r="U171" i="21"/>
  <c r="V171" i="21" s="1"/>
  <c r="A171" i="21"/>
  <c r="U248" i="21"/>
  <c r="V248" i="21" s="1"/>
  <c r="A248" i="21"/>
  <c r="P414" i="17"/>
  <c r="O413" i="1"/>
  <c r="W413" i="1" s="1"/>
  <c r="H413" i="1"/>
  <c r="O412" i="1"/>
  <c r="W412" i="1" s="1"/>
  <c r="H412" i="1"/>
  <c r="O411" i="1"/>
  <c r="W411" i="1" s="1"/>
  <c r="H411" i="1"/>
  <c r="H239" i="20"/>
  <c r="XBJ247" i="20" l="1"/>
  <c r="XBF247" i="20" s="1"/>
  <c r="XBB247" i="20" s="1"/>
  <c r="XAX247" i="20" s="1"/>
  <c r="XBI247" i="20"/>
  <c r="R414" i="17"/>
  <c r="Q414" i="17"/>
  <c r="G130" i="21"/>
  <c r="U131" i="21"/>
  <c r="V131" i="21" s="1"/>
  <c r="A131" i="21"/>
  <c r="G144" i="21"/>
  <c r="U147" i="21"/>
  <c r="V147" i="21" s="1"/>
  <c r="A147" i="21"/>
  <c r="U146" i="21"/>
  <c r="V146" i="21" s="1"/>
  <c r="A146" i="21"/>
  <c r="U145" i="21"/>
  <c r="V145" i="21" s="1"/>
  <c r="A145" i="21"/>
  <c r="XBE247" i="20" l="1"/>
  <c r="XBA247" i="20" s="1"/>
  <c r="XAW247" i="20" s="1"/>
  <c r="XAS247" i="20" s="1"/>
  <c r="XBD247" i="20"/>
  <c r="G167" i="21"/>
  <c r="G169" i="21"/>
  <c r="G139" i="21"/>
  <c r="G141" i="21"/>
  <c r="G161" i="21"/>
  <c r="G165" i="21"/>
  <c r="XAZ247" i="20" l="1"/>
  <c r="XAV247" i="20" s="1"/>
  <c r="XAR247" i="20" s="1"/>
  <c r="XAN247" i="20" s="1"/>
  <c r="XAY247" i="20"/>
  <c r="K229" i="21"/>
  <c r="XAU247" i="20" l="1"/>
  <c r="XAQ247" i="20" s="1"/>
  <c r="XAM247" i="20" s="1"/>
  <c r="XAI247" i="20" s="1"/>
  <c r="XAT247" i="20"/>
  <c r="G132" i="21"/>
  <c r="G128" i="21"/>
  <c r="U134" i="21"/>
  <c r="V134" i="21" s="1"/>
  <c r="A134" i="21"/>
  <c r="U133" i="21"/>
  <c r="V133" i="21" s="1"/>
  <c r="A133" i="21"/>
  <c r="XAP247" i="20" l="1"/>
  <c r="XAL247" i="20" s="1"/>
  <c r="XAH247" i="20" s="1"/>
  <c r="XAD247" i="20" s="1"/>
  <c r="XAO247" i="20"/>
  <c r="T146" i="15"/>
  <c r="T90" i="15"/>
  <c r="U146" i="15"/>
  <c r="XAK247" i="20" l="1"/>
  <c r="XAG247" i="20" s="1"/>
  <c r="XAC247" i="20" s="1"/>
  <c r="WZY247" i="20" s="1"/>
  <c r="XAJ247" i="20"/>
  <c r="U90" i="15"/>
  <c r="K136" i="21"/>
  <c r="J136" i="21"/>
  <c r="I136" i="21"/>
  <c r="I132" i="21" s="1"/>
  <c r="I130" i="21" s="1"/>
  <c r="G136" i="21"/>
  <c r="U138" i="21"/>
  <c r="V138" i="21" s="1"/>
  <c r="A138" i="21"/>
  <c r="U137" i="21"/>
  <c r="V137" i="21" s="1"/>
  <c r="A137" i="21"/>
  <c r="K104" i="21"/>
  <c r="K102" i="21"/>
  <c r="J104" i="21"/>
  <c r="J102" i="21"/>
  <c r="G104" i="21"/>
  <c r="G102" i="21"/>
  <c r="V105" i="21"/>
  <c r="A105" i="21"/>
  <c r="V103" i="21"/>
  <c r="A103" i="21"/>
  <c r="K220" i="21"/>
  <c r="K205" i="21"/>
  <c r="K198" i="21"/>
  <c r="K225" i="21"/>
  <c r="K189" i="21"/>
  <c r="K176" i="21"/>
  <c r="K106" i="21"/>
  <c r="K94" i="21"/>
  <c r="K92" i="21"/>
  <c r="K86" i="21"/>
  <c r="K83" i="21"/>
  <c r="J83" i="21"/>
  <c r="J86" i="21"/>
  <c r="J94" i="21"/>
  <c r="J92" i="21" s="1"/>
  <c r="G94" i="21"/>
  <c r="G92" i="21"/>
  <c r="U95" i="21"/>
  <c r="V95" i="21" s="1"/>
  <c r="A95" i="21"/>
  <c r="U93" i="21"/>
  <c r="V93" i="21" s="1"/>
  <c r="A93" i="21"/>
  <c r="I83" i="21"/>
  <c r="G86" i="21"/>
  <c r="G83" i="21"/>
  <c r="U85" i="21"/>
  <c r="V85" i="21" s="1"/>
  <c r="A85" i="21"/>
  <c r="U87" i="21"/>
  <c r="V87" i="21" s="1"/>
  <c r="A87" i="21"/>
  <c r="U84" i="21"/>
  <c r="V84" i="21" s="1"/>
  <c r="A84" i="21"/>
  <c r="XAF247" i="20" l="1"/>
  <c r="XAB247" i="20" s="1"/>
  <c r="WZX247" i="20" s="1"/>
  <c r="WZT247" i="20" s="1"/>
  <c r="XAE247" i="20"/>
  <c r="K174" i="21"/>
  <c r="K169" i="21" s="1"/>
  <c r="K167" i="21" s="1"/>
  <c r="K165" i="21" s="1"/>
  <c r="K161" i="21" s="1"/>
  <c r="K121" i="21"/>
  <c r="K159" i="21"/>
  <c r="XAA247" i="20" l="1"/>
  <c r="WZW247" i="20" s="1"/>
  <c r="WZS247" i="20" s="1"/>
  <c r="WZO247" i="20" s="1"/>
  <c r="WZZ247" i="20"/>
  <c r="J106" i="21"/>
  <c r="G106" i="21"/>
  <c r="CI7" i="21"/>
  <c r="CH7" i="21"/>
  <c r="CG7" i="21"/>
  <c r="CF7" i="21"/>
  <c r="CE7" i="21"/>
  <c r="CD7" i="21"/>
  <c r="CC7" i="21"/>
  <c r="CB7" i="21"/>
  <c r="CA7" i="21"/>
  <c r="BZ7" i="21"/>
  <c r="BY7" i="21"/>
  <c r="BX7" i="21"/>
  <c r="BW7" i="21"/>
  <c r="BV7" i="21"/>
  <c r="BU7" i="21"/>
  <c r="BT7" i="21"/>
  <c r="BS7" i="21"/>
  <c r="BR7" i="21"/>
  <c r="BQ7" i="21"/>
  <c r="BP7" i="21"/>
  <c r="BO7" i="21"/>
  <c r="BN7" i="21"/>
  <c r="BM7" i="21"/>
  <c r="BL7" i="21"/>
  <c r="BK7" i="21"/>
  <c r="BJ7" i="21"/>
  <c r="BI7" i="21"/>
  <c r="BH7" i="21"/>
  <c r="BG7" i="21"/>
  <c r="BF7" i="21"/>
  <c r="BE7" i="21"/>
  <c r="BD7" i="21"/>
  <c r="BC7" i="21"/>
  <c r="BB7" i="21"/>
  <c r="BA7" i="21"/>
  <c r="AZ7" i="21"/>
  <c r="AY7" i="21"/>
  <c r="AD7" i="21"/>
  <c r="AC7" i="21"/>
  <c r="AB7" i="21"/>
  <c r="AA7" i="21"/>
  <c r="Z7" i="21"/>
  <c r="Y7" i="21"/>
  <c r="K77" i="21"/>
  <c r="K44" i="21"/>
  <c r="J44" i="21"/>
  <c r="G44" i="21"/>
  <c r="U76" i="21"/>
  <c r="V76" i="21" s="1"/>
  <c r="A76" i="21"/>
  <c r="U75" i="21"/>
  <c r="V75" i="21" s="1"/>
  <c r="A75" i="21"/>
  <c r="U74" i="21"/>
  <c r="V74" i="21" s="1"/>
  <c r="A74" i="21"/>
  <c r="U73" i="21"/>
  <c r="V73" i="21" s="1"/>
  <c r="A73" i="21"/>
  <c r="U72" i="21"/>
  <c r="V72" i="21" s="1"/>
  <c r="A72" i="21"/>
  <c r="U71" i="21"/>
  <c r="V71" i="21" s="1"/>
  <c r="A71" i="21"/>
  <c r="U70" i="21"/>
  <c r="V70" i="21" s="1"/>
  <c r="A70" i="21"/>
  <c r="U69" i="21"/>
  <c r="V69" i="21" s="1"/>
  <c r="A69" i="21"/>
  <c r="U68" i="21"/>
  <c r="V68" i="21" s="1"/>
  <c r="A68" i="21"/>
  <c r="U67" i="21"/>
  <c r="V67" i="21" s="1"/>
  <c r="A67" i="21"/>
  <c r="U66" i="21"/>
  <c r="V66" i="21" s="1"/>
  <c r="A66" i="21"/>
  <c r="U65" i="21"/>
  <c r="V65" i="21" s="1"/>
  <c r="A65" i="21"/>
  <c r="U64" i="21"/>
  <c r="V64" i="21" s="1"/>
  <c r="A64" i="21"/>
  <c r="U63" i="21"/>
  <c r="V63" i="21" s="1"/>
  <c r="A63" i="21"/>
  <c r="U62" i="21"/>
  <c r="V62" i="21" s="1"/>
  <c r="A62" i="21"/>
  <c r="K61" i="21"/>
  <c r="J61" i="21"/>
  <c r="I61" i="21"/>
  <c r="G61" i="21"/>
  <c r="U49" i="21"/>
  <c r="V49" i="21" s="1"/>
  <c r="A49" i="21"/>
  <c r="U48" i="21"/>
  <c r="V48" i="21" s="1"/>
  <c r="A48" i="21"/>
  <c r="U47" i="21"/>
  <c r="V47" i="21" s="1"/>
  <c r="A47" i="21"/>
  <c r="K46" i="21"/>
  <c r="J46" i="21"/>
  <c r="G46" i="21"/>
  <c r="J189" i="21"/>
  <c r="J225" i="21"/>
  <c r="K152" i="21"/>
  <c r="WZV247" i="20" l="1"/>
  <c r="WZR247" i="20" s="1"/>
  <c r="WZN247" i="20" s="1"/>
  <c r="WZJ247" i="20" s="1"/>
  <c r="WZU247" i="20"/>
  <c r="J174" i="21"/>
  <c r="WZQ247" i="20" l="1"/>
  <c r="WZM247" i="20" s="1"/>
  <c r="WZI247" i="20" s="1"/>
  <c r="WZE247" i="20" s="1"/>
  <c r="WZP247" i="20"/>
  <c r="G98" i="21"/>
  <c r="WZL247" i="20" l="1"/>
  <c r="WZH247" i="20" s="1"/>
  <c r="WZD247" i="20" s="1"/>
  <c r="WYZ247" i="20" s="1"/>
  <c r="WZK247" i="20"/>
  <c r="U228" i="21"/>
  <c r="V228" i="21" s="1"/>
  <c r="U227" i="21"/>
  <c r="V227" i="21" s="1"/>
  <c r="U226" i="21"/>
  <c r="V226" i="21" s="1"/>
  <c r="V101" i="21"/>
  <c r="I98" i="21"/>
  <c r="J98" i="21"/>
  <c r="K98" i="21"/>
  <c r="K96" i="21"/>
  <c r="J96" i="21"/>
  <c r="K28" i="21"/>
  <c r="Q255" i="21"/>
  <c r="K88" i="21"/>
  <c r="A225" i="21"/>
  <c r="A228" i="21"/>
  <c r="A227" i="21"/>
  <c r="A226" i="21"/>
  <c r="K50" i="21"/>
  <c r="WZG247" i="20" l="1"/>
  <c r="WZC247" i="20" s="1"/>
  <c r="WYY247" i="20" s="1"/>
  <c r="WYU247" i="20" s="1"/>
  <c r="WZF247" i="20"/>
  <c r="A101" i="21"/>
  <c r="WZB247" i="20" l="1"/>
  <c r="WYX247" i="20" s="1"/>
  <c r="WYT247" i="20" s="1"/>
  <c r="WYP247" i="20" s="1"/>
  <c r="WZA247" i="20"/>
  <c r="I198" i="21"/>
  <c r="G198" i="21"/>
  <c r="WYW247" i="20" l="1"/>
  <c r="WYS247" i="20" s="1"/>
  <c r="WYO247" i="20" s="1"/>
  <c r="WYK247" i="20" s="1"/>
  <c r="WYV247" i="20"/>
  <c r="Q218" i="21"/>
  <c r="Q219" i="21"/>
  <c r="J50" i="21"/>
  <c r="I50" i="21"/>
  <c r="J159" i="21"/>
  <c r="I159" i="21"/>
  <c r="I189" i="21"/>
  <c r="J77" i="21"/>
  <c r="I77" i="21"/>
  <c r="J17" i="21"/>
  <c r="I17" i="21"/>
  <c r="I174" i="21"/>
  <c r="J198" i="21"/>
  <c r="J80" i="21"/>
  <c r="I96" i="21"/>
  <c r="J121" i="21"/>
  <c r="I121" i="21"/>
  <c r="J148" i="21"/>
  <c r="J88" i="21"/>
  <c r="I88" i="21"/>
  <c r="I128" i="21"/>
  <c r="J176" i="21"/>
  <c r="J169" i="21" s="1"/>
  <c r="J167" i="21" s="1"/>
  <c r="J165" i="21" s="1"/>
  <c r="J161" i="21" s="1"/>
  <c r="J123" i="21"/>
  <c r="J193" i="21"/>
  <c r="J152" i="21"/>
  <c r="J220" i="21"/>
  <c r="J19" i="21"/>
  <c r="J28" i="21"/>
  <c r="J229" i="21"/>
  <c r="J205" i="21"/>
  <c r="WYR247" i="20" l="1"/>
  <c r="WYN247" i="20" s="1"/>
  <c r="WYJ247" i="20" s="1"/>
  <c r="WYF247" i="20" s="1"/>
  <c r="WYQ247" i="20"/>
  <c r="J144" i="21"/>
  <c r="J141" i="21" s="1"/>
  <c r="J139" i="21" s="1"/>
  <c r="J132" i="21" s="1"/>
  <c r="BU16" i="21"/>
  <c r="G50" i="21"/>
  <c r="K17" i="21"/>
  <c r="G159" i="21"/>
  <c r="G189" i="21"/>
  <c r="G77" i="21"/>
  <c r="G17" i="21"/>
  <c r="K80" i="21"/>
  <c r="G174" i="21"/>
  <c r="G80" i="21"/>
  <c r="K148" i="21"/>
  <c r="K144" i="21" s="1"/>
  <c r="G96" i="21"/>
  <c r="G121" i="21"/>
  <c r="G148" i="21"/>
  <c r="G88" i="21"/>
  <c r="G176" i="21"/>
  <c r="G123" i="21"/>
  <c r="G193" i="21"/>
  <c r="G152" i="21"/>
  <c r="G220" i="21"/>
  <c r="K19" i="21"/>
  <c r="G19" i="21"/>
  <c r="G28" i="21"/>
  <c r="G229" i="21"/>
  <c r="G205" i="21"/>
  <c r="T257" i="21"/>
  <c r="U257" i="21" s="1"/>
  <c r="A256" i="21"/>
  <c r="U173" i="21"/>
  <c r="V173" i="21" s="1"/>
  <c r="A173" i="21"/>
  <c r="U172" i="21"/>
  <c r="V172" i="21" s="1"/>
  <c r="A172" i="21"/>
  <c r="U170" i="21"/>
  <c r="V170" i="21" s="1"/>
  <c r="A170" i="21"/>
  <c r="U168" i="21"/>
  <c r="V168" i="21" s="1"/>
  <c r="A168" i="21"/>
  <c r="U175" i="21"/>
  <c r="V175" i="21" s="1"/>
  <c r="A175" i="21"/>
  <c r="V100" i="21"/>
  <c r="A100" i="21"/>
  <c r="V99" i="21"/>
  <c r="A99" i="21"/>
  <c r="U166" i="21"/>
  <c r="V166" i="21" s="1"/>
  <c r="A166" i="21"/>
  <c r="U164" i="21"/>
  <c r="V164" i="21" s="1"/>
  <c r="A164" i="21"/>
  <c r="U60" i="21"/>
  <c r="V60" i="21" s="1"/>
  <c r="A60" i="21"/>
  <c r="U59" i="21"/>
  <c r="V59" i="21" s="1"/>
  <c r="A59" i="21"/>
  <c r="U58" i="21"/>
  <c r="V58" i="21" s="1"/>
  <c r="A58" i="21"/>
  <c r="U57" i="21"/>
  <c r="V57" i="21" s="1"/>
  <c r="A57" i="21"/>
  <c r="U56" i="21"/>
  <c r="V56" i="21" s="1"/>
  <c r="A56" i="21"/>
  <c r="U55" i="21"/>
  <c r="V55" i="21" s="1"/>
  <c r="A55" i="21"/>
  <c r="U54" i="21"/>
  <c r="V54" i="21" s="1"/>
  <c r="A54" i="21"/>
  <c r="U53" i="21"/>
  <c r="V53" i="21" s="1"/>
  <c r="A53" i="21"/>
  <c r="U52" i="21"/>
  <c r="V52" i="21" s="1"/>
  <c r="A52" i="21"/>
  <c r="U51" i="21"/>
  <c r="V51" i="21" s="1"/>
  <c r="A51" i="21"/>
  <c r="U79" i="21"/>
  <c r="V79" i="21" s="1"/>
  <c r="A79" i="21"/>
  <c r="U192" i="21"/>
  <c r="V192" i="21" s="1"/>
  <c r="A192" i="21"/>
  <c r="U191" i="21"/>
  <c r="V191" i="21" s="1"/>
  <c r="A191" i="21"/>
  <c r="U190" i="21"/>
  <c r="V190" i="21" s="1"/>
  <c r="A190" i="21"/>
  <c r="U18" i="21"/>
  <c r="V18" i="21" s="1"/>
  <c r="A18" i="21"/>
  <c r="U163" i="21"/>
  <c r="V163" i="21" s="1"/>
  <c r="A163" i="21"/>
  <c r="U162" i="21"/>
  <c r="V162" i="21" s="1"/>
  <c r="A162" i="21"/>
  <c r="U160" i="21"/>
  <c r="V160" i="21" s="1"/>
  <c r="A160" i="21"/>
  <c r="U78" i="21"/>
  <c r="V78" i="21" s="1"/>
  <c r="A78" i="21"/>
  <c r="U82" i="21"/>
  <c r="V82" i="21" s="1"/>
  <c r="A82" i="21"/>
  <c r="U81" i="21"/>
  <c r="V81" i="21" s="1"/>
  <c r="A81" i="21"/>
  <c r="U204" i="21"/>
  <c r="V204" i="21" s="1"/>
  <c r="A204" i="21"/>
  <c r="U203" i="21"/>
  <c r="V203" i="21" s="1"/>
  <c r="A203" i="21"/>
  <c r="U202" i="21"/>
  <c r="V202" i="21" s="1"/>
  <c r="A202" i="21"/>
  <c r="U201" i="21"/>
  <c r="V201" i="21" s="1"/>
  <c r="A201" i="21"/>
  <c r="U200" i="21"/>
  <c r="V200" i="21" s="1"/>
  <c r="A200" i="21"/>
  <c r="U199" i="21"/>
  <c r="V199" i="21" s="1"/>
  <c r="A199" i="21"/>
  <c r="U135" i="21"/>
  <c r="V135" i="21" s="1"/>
  <c r="A135" i="21"/>
  <c r="U129" i="21"/>
  <c r="V129" i="21" s="1"/>
  <c r="A129" i="21"/>
  <c r="U91" i="21"/>
  <c r="V91" i="21" s="1"/>
  <c r="A91" i="21"/>
  <c r="U97" i="21"/>
  <c r="V97" i="21" s="1"/>
  <c r="A97" i="21"/>
  <c r="U122" i="21"/>
  <c r="V122" i="21" s="1"/>
  <c r="A122" i="21"/>
  <c r="U151" i="21"/>
  <c r="V151" i="21" s="1"/>
  <c r="A151" i="21"/>
  <c r="U150" i="21"/>
  <c r="V150" i="21" s="1"/>
  <c r="A150" i="21"/>
  <c r="U149" i="21"/>
  <c r="V149" i="21" s="1"/>
  <c r="A149" i="21"/>
  <c r="U89" i="21"/>
  <c r="V89" i="21" s="1"/>
  <c r="A89" i="21"/>
  <c r="U90" i="21"/>
  <c r="V90" i="21" s="1"/>
  <c r="A90" i="21"/>
  <c r="U188" i="21"/>
  <c r="V188" i="21" s="1"/>
  <c r="A188" i="21"/>
  <c r="U187" i="21"/>
  <c r="V187" i="21" s="1"/>
  <c r="A187" i="21"/>
  <c r="U186" i="21"/>
  <c r="V186" i="21" s="1"/>
  <c r="A186" i="21"/>
  <c r="U185" i="21"/>
  <c r="V185" i="21" s="1"/>
  <c r="A185" i="21"/>
  <c r="U184" i="21"/>
  <c r="V184" i="21" s="1"/>
  <c r="A184" i="21"/>
  <c r="U183" i="21"/>
  <c r="V183" i="21" s="1"/>
  <c r="A183" i="21"/>
  <c r="U182" i="21"/>
  <c r="V182" i="21" s="1"/>
  <c r="A182" i="21"/>
  <c r="U181" i="21"/>
  <c r="V181" i="21" s="1"/>
  <c r="A181" i="21"/>
  <c r="U180" i="21"/>
  <c r="V180" i="21" s="1"/>
  <c r="A180" i="21"/>
  <c r="U179" i="21"/>
  <c r="V179" i="21" s="1"/>
  <c r="A179" i="21"/>
  <c r="U178" i="21"/>
  <c r="V178" i="21" s="1"/>
  <c r="A178" i="21"/>
  <c r="U177" i="21"/>
  <c r="V177" i="21" s="1"/>
  <c r="A177" i="21"/>
  <c r="V127" i="21"/>
  <c r="A127" i="21"/>
  <c r="V126" i="21"/>
  <c r="A126" i="21"/>
  <c r="U125" i="21"/>
  <c r="V125" i="21" s="1"/>
  <c r="A125" i="21"/>
  <c r="U124" i="21"/>
  <c r="V124" i="21" s="1"/>
  <c r="A124" i="21"/>
  <c r="U158" i="21"/>
  <c r="V158" i="21" s="1"/>
  <c r="A158" i="21"/>
  <c r="U157" i="21"/>
  <c r="V157" i="21" s="1"/>
  <c r="A157" i="21"/>
  <c r="U156" i="21"/>
  <c r="V156" i="21" s="1"/>
  <c r="A156" i="21"/>
  <c r="U155" i="21"/>
  <c r="V155" i="21" s="1"/>
  <c r="A155" i="21"/>
  <c r="U154" i="21"/>
  <c r="V154" i="21" s="1"/>
  <c r="A154" i="21"/>
  <c r="U153" i="21"/>
  <c r="V153" i="21" s="1"/>
  <c r="A153" i="21"/>
  <c r="U197" i="21"/>
  <c r="V197" i="21" s="1"/>
  <c r="A197" i="21"/>
  <c r="U196" i="21"/>
  <c r="V196" i="21" s="1"/>
  <c r="A196" i="21"/>
  <c r="U143" i="21"/>
  <c r="V143" i="21" s="1"/>
  <c r="A143" i="21"/>
  <c r="U142" i="21"/>
  <c r="V142" i="21" s="1"/>
  <c r="A142" i="21"/>
  <c r="U195" i="21"/>
  <c r="V195" i="21" s="1"/>
  <c r="A195" i="21"/>
  <c r="U194" i="21"/>
  <c r="V194" i="21" s="1"/>
  <c r="A194" i="21"/>
  <c r="U140" i="21"/>
  <c r="V140" i="21" s="1"/>
  <c r="A140" i="21"/>
  <c r="U120" i="21"/>
  <c r="V120" i="21" s="1"/>
  <c r="A120" i="21"/>
  <c r="U119" i="21"/>
  <c r="V119" i="21" s="1"/>
  <c r="A119" i="21"/>
  <c r="U118" i="21"/>
  <c r="V118" i="21" s="1"/>
  <c r="A118" i="21"/>
  <c r="U117" i="21"/>
  <c r="V117" i="21" s="1"/>
  <c r="A117" i="21"/>
  <c r="U116" i="21"/>
  <c r="V116" i="21" s="1"/>
  <c r="A116" i="21"/>
  <c r="U115" i="21"/>
  <c r="V115" i="21" s="1"/>
  <c r="A115" i="21"/>
  <c r="U114" i="21"/>
  <c r="V114" i="21" s="1"/>
  <c r="A114" i="21"/>
  <c r="U113" i="21"/>
  <c r="V113" i="21" s="1"/>
  <c r="A113" i="21"/>
  <c r="U112" i="21"/>
  <c r="V112" i="21" s="1"/>
  <c r="A112" i="21"/>
  <c r="U111" i="21"/>
  <c r="V111" i="21" s="1"/>
  <c r="A111" i="21"/>
  <c r="U110" i="21"/>
  <c r="V110" i="21" s="1"/>
  <c r="A110" i="21"/>
  <c r="V109" i="21"/>
  <c r="A109" i="21"/>
  <c r="V108" i="21"/>
  <c r="A108" i="21"/>
  <c r="V107" i="21"/>
  <c r="A107" i="21"/>
  <c r="U27" i="21"/>
  <c r="V27" i="21" s="1"/>
  <c r="A27" i="21"/>
  <c r="U26" i="21"/>
  <c r="V26" i="21" s="1"/>
  <c r="A26" i="21"/>
  <c r="U25" i="21"/>
  <c r="V25" i="21" s="1"/>
  <c r="A25" i="21"/>
  <c r="U24" i="21"/>
  <c r="V24" i="21" s="1"/>
  <c r="A24" i="21"/>
  <c r="U23" i="21"/>
  <c r="V23" i="21" s="1"/>
  <c r="A23" i="21"/>
  <c r="U22" i="21"/>
  <c r="V22" i="21" s="1"/>
  <c r="A22" i="21"/>
  <c r="U21" i="21"/>
  <c r="V21" i="21" s="1"/>
  <c r="A21" i="21"/>
  <c r="U20" i="21"/>
  <c r="V20" i="21" s="1"/>
  <c r="A20" i="21"/>
  <c r="U224" i="21"/>
  <c r="V224" i="21" s="1"/>
  <c r="A224" i="21"/>
  <c r="U223" i="21"/>
  <c r="V223" i="21" s="1"/>
  <c r="A223" i="21"/>
  <c r="U222" i="21"/>
  <c r="V222" i="21" s="1"/>
  <c r="A222" i="21"/>
  <c r="U221" i="21"/>
  <c r="V221" i="21" s="1"/>
  <c r="A221" i="21"/>
  <c r="U43" i="21"/>
  <c r="V43" i="21" s="1"/>
  <c r="A43" i="21"/>
  <c r="U42" i="21"/>
  <c r="V42" i="21" s="1"/>
  <c r="A42" i="21"/>
  <c r="U41" i="21"/>
  <c r="V41" i="21" s="1"/>
  <c r="A41" i="21"/>
  <c r="U40" i="21"/>
  <c r="V40" i="21" s="1"/>
  <c r="A40" i="21"/>
  <c r="U39" i="21"/>
  <c r="V39" i="21" s="1"/>
  <c r="A39" i="21"/>
  <c r="U38" i="21"/>
  <c r="V38" i="21" s="1"/>
  <c r="A38" i="21"/>
  <c r="U45" i="21"/>
  <c r="V45" i="21" s="1"/>
  <c r="A45" i="21"/>
  <c r="U37" i="21"/>
  <c r="V37" i="21" s="1"/>
  <c r="A37" i="21"/>
  <c r="U36" i="21"/>
  <c r="V36" i="21" s="1"/>
  <c r="A36" i="21"/>
  <c r="U35" i="21"/>
  <c r="V35" i="21" s="1"/>
  <c r="A35" i="21"/>
  <c r="U34" i="21"/>
  <c r="V34" i="21" s="1"/>
  <c r="A34" i="21"/>
  <c r="U33" i="21"/>
  <c r="V33" i="21" s="1"/>
  <c r="A33" i="21"/>
  <c r="U32" i="21"/>
  <c r="V32" i="21" s="1"/>
  <c r="A32" i="21"/>
  <c r="U31" i="21"/>
  <c r="V31" i="21" s="1"/>
  <c r="A31" i="21"/>
  <c r="U30" i="21"/>
  <c r="V30" i="21" s="1"/>
  <c r="A30" i="21"/>
  <c r="U29" i="21"/>
  <c r="V29" i="21" s="1"/>
  <c r="A29" i="21"/>
  <c r="U247" i="21"/>
  <c r="V247" i="21" s="1"/>
  <c r="A247" i="21"/>
  <c r="U246" i="21"/>
  <c r="V246" i="21" s="1"/>
  <c r="A246" i="21"/>
  <c r="U245" i="21"/>
  <c r="V245" i="21" s="1"/>
  <c r="A245" i="21"/>
  <c r="U244" i="21"/>
  <c r="V244" i="21" s="1"/>
  <c r="A244" i="21"/>
  <c r="U243" i="21"/>
  <c r="V243" i="21" s="1"/>
  <c r="A243" i="21"/>
  <c r="U242" i="21"/>
  <c r="V242" i="21" s="1"/>
  <c r="A242" i="21"/>
  <c r="U241" i="21"/>
  <c r="V241" i="21" s="1"/>
  <c r="A241" i="21"/>
  <c r="U240" i="21"/>
  <c r="V240" i="21" s="1"/>
  <c r="A240" i="21"/>
  <c r="U239" i="21"/>
  <c r="V239" i="21" s="1"/>
  <c r="A239" i="21"/>
  <c r="U238" i="21"/>
  <c r="V238" i="21" s="1"/>
  <c r="A238" i="21"/>
  <c r="U237" i="21"/>
  <c r="V237" i="21" s="1"/>
  <c r="A237" i="21"/>
  <c r="U236" i="21"/>
  <c r="V236" i="21" s="1"/>
  <c r="A236" i="21"/>
  <c r="U235" i="21"/>
  <c r="V235" i="21" s="1"/>
  <c r="A235" i="21"/>
  <c r="U234" i="21"/>
  <c r="V234" i="21" s="1"/>
  <c r="A234" i="21"/>
  <c r="U233" i="21"/>
  <c r="V233" i="21" s="1"/>
  <c r="A233" i="21"/>
  <c r="U232" i="21"/>
  <c r="V232" i="21" s="1"/>
  <c r="A232" i="21"/>
  <c r="U231" i="21"/>
  <c r="V231" i="21" s="1"/>
  <c r="A231" i="21"/>
  <c r="U230" i="21"/>
  <c r="V230" i="21" s="1"/>
  <c r="A230" i="21"/>
  <c r="U217" i="21"/>
  <c r="V217" i="21" s="1"/>
  <c r="A217" i="21"/>
  <c r="U216" i="21"/>
  <c r="V216" i="21" s="1"/>
  <c r="A216" i="21"/>
  <c r="U215" i="21"/>
  <c r="V215" i="21" s="1"/>
  <c r="A215" i="21"/>
  <c r="U214" i="21"/>
  <c r="V214" i="21" s="1"/>
  <c r="A214" i="21"/>
  <c r="U213" i="21"/>
  <c r="V213" i="21" s="1"/>
  <c r="A213" i="21"/>
  <c r="U212" i="21"/>
  <c r="V212" i="21" s="1"/>
  <c r="A212" i="21"/>
  <c r="U211" i="21"/>
  <c r="V211" i="21" s="1"/>
  <c r="A211" i="21"/>
  <c r="U210" i="21"/>
  <c r="V210" i="21" s="1"/>
  <c r="A210" i="21"/>
  <c r="U209" i="21"/>
  <c r="V209" i="21" s="1"/>
  <c r="A209" i="21"/>
  <c r="U208" i="21"/>
  <c r="V208" i="21" s="1"/>
  <c r="A208" i="21"/>
  <c r="U207" i="21"/>
  <c r="V207" i="21" s="1"/>
  <c r="A207" i="21"/>
  <c r="U206" i="21"/>
  <c r="V206" i="21" s="1"/>
  <c r="A206" i="21"/>
  <c r="CI6" i="21"/>
  <c r="CH6" i="21"/>
  <c r="CG6" i="21"/>
  <c r="CF6" i="21"/>
  <c r="CE6" i="21"/>
  <c r="CD6" i="21"/>
  <c r="CC6" i="21"/>
  <c r="CB6" i="21"/>
  <c r="CA6" i="21"/>
  <c r="BZ6" i="21"/>
  <c r="BY6" i="21"/>
  <c r="BX6" i="21"/>
  <c r="BW6" i="21"/>
  <c r="BV6" i="21"/>
  <c r="BN6" i="21"/>
  <c r="BM6" i="21"/>
  <c r="BL6" i="21"/>
  <c r="BK6" i="21"/>
  <c r="BJ6" i="21"/>
  <c r="BI6" i="21"/>
  <c r="BH6" i="21"/>
  <c r="BG6" i="21"/>
  <c r="BF6" i="21"/>
  <c r="BE6" i="21"/>
  <c r="BD6" i="21"/>
  <c r="BC6" i="21"/>
  <c r="BB6" i="21"/>
  <c r="BA6" i="21"/>
  <c r="AZ6" i="21"/>
  <c r="AY6" i="21"/>
  <c r="AC6" i="21"/>
  <c r="AB6" i="21"/>
  <c r="AA6" i="21"/>
  <c r="Z6" i="21"/>
  <c r="Y6" i="21"/>
  <c r="H1193" i="1"/>
  <c r="WYM247" i="20" l="1"/>
  <c r="WYI247" i="20" s="1"/>
  <c r="WYE247" i="20" s="1"/>
  <c r="WYA247" i="20" s="1"/>
  <c r="WYL247" i="20"/>
  <c r="J130" i="21"/>
  <c r="J128" i="21" s="1"/>
  <c r="K141" i="21"/>
  <c r="K139" i="21" s="1"/>
  <c r="K132" i="21" s="1"/>
  <c r="BU15" i="21"/>
  <c r="O194" i="1"/>
  <c r="W194" i="1" s="1"/>
  <c r="H194" i="1"/>
  <c r="O193" i="1"/>
  <c r="W193" i="1" s="1"/>
  <c r="H193" i="1"/>
  <c r="WYH247" i="20" l="1"/>
  <c r="WYD247" i="20" s="1"/>
  <c r="WXZ247" i="20" s="1"/>
  <c r="WXV247" i="20" s="1"/>
  <c r="WYG247" i="20"/>
  <c r="K130" i="21"/>
  <c r="K128" i="21" s="1"/>
  <c r="A164" i="20"/>
  <c r="Q342" i="17"/>
  <c r="O195" i="1"/>
  <c r="W195" i="1" s="1"/>
  <c r="K164" i="20" s="1"/>
  <c r="L164" i="20" s="1"/>
  <c r="H195" i="1"/>
  <c r="O192" i="1"/>
  <c r="W192" i="1" s="1"/>
  <c r="H192" i="1"/>
  <c r="WYC247" i="20" l="1"/>
  <c r="WXY247" i="20" s="1"/>
  <c r="WXU247" i="20" s="1"/>
  <c r="WXQ247" i="20" s="1"/>
  <c r="WYB247" i="20"/>
  <c r="H164" i="20"/>
  <c r="I164" i="20"/>
  <c r="J164" i="20" s="1"/>
  <c r="N164" i="20" s="1"/>
  <c r="O164" i="20" s="1"/>
  <c r="P342" i="17"/>
  <c r="R342" i="17"/>
  <c r="WXX247" i="20" l="1"/>
  <c r="WXT247" i="20" s="1"/>
  <c r="WXP247" i="20" s="1"/>
  <c r="WXL247" i="20" s="1"/>
  <c r="WXW247" i="20"/>
  <c r="Q669" i="17"/>
  <c r="Q668" i="17"/>
  <c r="P667" i="17"/>
  <c r="P666" i="17"/>
  <c r="Q665" i="17"/>
  <c r="H692" i="20"/>
  <c r="H691" i="20"/>
  <c r="H690" i="20"/>
  <c r="H689" i="20"/>
  <c r="H1365" i="1"/>
  <c r="H1364" i="1"/>
  <c r="H1368" i="1"/>
  <c r="H1367" i="1"/>
  <c r="H1371" i="1"/>
  <c r="H1370" i="1"/>
  <c r="H1374" i="1"/>
  <c r="H1373" i="1"/>
  <c r="H1377" i="1"/>
  <c r="H1376" i="1"/>
  <c r="O1376" i="1"/>
  <c r="W1376" i="1" s="1"/>
  <c r="O1377" i="1"/>
  <c r="W1377" i="1" s="1"/>
  <c r="O1373" i="1"/>
  <c r="W1373" i="1" s="1"/>
  <c r="O1374" i="1"/>
  <c r="W1374" i="1" s="1"/>
  <c r="O1370" i="1"/>
  <c r="W1370" i="1" s="1"/>
  <c r="O1371" i="1"/>
  <c r="W1371" i="1" s="1"/>
  <c r="O1367" i="1"/>
  <c r="W1367" i="1" s="1"/>
  <c r="O1368" i="1"/>
  <c r="W1368" i="1" s="1"/>
  <c r="O1364" i="1"/>
  <c r="W1364" i="1" s="1"/>
  <c r="O1365" i="1"/>
  <c r="W1365" i="1" s="1"/>
  <c r="O1363" i="1"/>
  <c r="W1363" i="1" s="1"/>
  <c r="H1363" i="1"/>
  <c r="O1366" i="1"/>
  <c r="W1366" i="1" s="1"/>
  <c r="H1366" i="1"/>
  <c r="O1369" i="1"/>
  <c r="W1369" i="1" s="1"/>
  <c r="H1369" i="1"/>
  <c r="O1372" i="1"/>
  <c r="W1372" i="1" s="1"/>
  <c r="H1372" i="1"/>
  <c r="O1375" i="1"/>
  <c r="W1375" i="1" s="1"/>
  <c r="H1375" i="1"/>
  <c r="WXS247" i="20" l="1"/>
  <c r="WXO247" i="20" s="1"/>
  <c r="WXK247" i="20" s="1"/>
  <c r="WXG247" i="20" s="1"/>
  <c r="WXR247" i="20"/>
  <c r="P669" i="17"/>
  <c r="R666" i="17"/>
  <c r="Q666" i="17"/>
  <c r="P665" i="17"/>
  <c r="P668" i="17"/>
  <c r="R665" i="17"/>
  <c r="R669" i="17"/>
  <c r="R667" i="17"/>
  <c r="R668" i="17"/>
  <c r="I688" i="20"/>
  <c r="J688" i="20" s="1"/>
  <c r="I692" i="20"/>
  <c r="J692" i="20" s="1"/>
  <c r="K691" i="20"/>
  <c r="L691" i="20" s="1"/>
  <c r="K689" i="20"/>
  <c r="L689" i="20" s="1"/>
  <c r="K688" i="20"/>
  <c r="L688" i="20" s="1"/>
  <c r="I691" i="20"/>
  <c r="J691" i="20" s="1"/>
  <c r="K690" i="20"/>
  <c r="L690" i="20" s="1"/>
  <c r="Q667" i="17"/>
  <c r="H688" i="20"/>
  <c r="K692" i="20"/>
  <c r="L692" i="20" s="1"/>
  <c r="I690" i="20"/>
  <c r="J690" i="20" s="1"/>
  <c r="I689" i="20"/>
  <c r="J689" i="20" s="1"/>
  <c r="WXN247" i="20" l="1"/>
  <c r="WXJ247" i="20" s="1"/>
  <c r="WXF247" i="20" s="1"/>
  <c r="WXB247" i="20" s="1"/>
  <c r="WXM247" i="20"/>
  <c r="N692" i="20"/>
  <c r="N688" i="20"/>
  <c r="N691" i="20"/>
  <c r="N689" i="20"/>
  <c r="N690" i="20"/>
  <c r="Q730" i="17"/>
  <c r="P729" i="17"/>
  <c r="Q727" i="17"/>
  <c r="WXI247" i="20" l="1"/>
  <c r="WXE247" i="20" s="1"/>
  <c r="WXA247" i="20" s="1"/>
  <c r="WWW247" i="20" s="1"/>
  <c r="WXH247" i="20"/>
  <c r="Q728" i="17"/>
  <c r="P730" i="17"/>
  <c r="P728" i="17"/>
  <c r="R728" i="17"/>
  <c r="P727" i="17"/>
  <c r="R730" i="17"/>
  <c r="Q729" i="17"/>
  <c r="R729" i="17"/>
  <c r="R727" i="17"/>
  <c r="H767" i="20"/>
  <c r="H766" i="20"/>
  <c r="H765" i="20"/>
  <c r="H764" i="20"/>
  <c r="WXD247" i="20" l="1"/>
  <c r="WWZ247" i="20" s="1"/>
  <c r="WWV247" i="20" s="1"/>
  <c r="WWR247" i="20" s="1"/>
  <c r="WXC247" i="20"/>
  <c r="O451" i="20"/>
  <c r="O339" i="20"/>
  <c r="N20" i="20"/>
  <c r="J14" i="20"/>
  <c r="L14" i="20" s="1"/>
  <c r="WWY247" i="20" l="1"/>
  <c r="WWU247" i="20" s="1"/>
  <c r="WWQ247" i="20" s="1"/>
  <c r="WWM247" i="20" s="1"/>
  <c r="WWX247" i="20"/>
  <c r="N15" i="20"/>
  <c r="N16" i="20"/>
  <c r="N17" i="20"/>
  <c r="M17" i="20"/>
  <c r="M16" i="20"/>
  <c r="M15" i="20"/>
  <c r="R9" i="20"/>
  <c r="WWT247" i="20" l="1"/>
  <c r="WWP247" i="20" s="1"/>
  <c r="WWL247" i="20" s="1"/>
  <c r="WWH247" i="20" s="1"/>
  <c r="WWS247" i="20"/>
  <c r="O17" i="20"/>
  <c r="O16" i="20"/>
  <c r="O15" i="20"/>
  <c r="N14" i="20"/>
  <c r="H56" i="20"/>
  <c r="WWO247" i="20" l="1"/>
  <c r="WWK247" i="20" s="1"/>
  <c r="WWG247" i="20" s="1"/>
  <c r="WWC247" i="20" s="1"/>
  <c r="WWN247" i="20"/>
  <c r="Q405" i="17"/>
  <c r="P407" i="17"/>
  <c r="P410" i="17"/>
  <c r="P406" i="17"/>
  <c r="P408" i="17"/>
  <c r="R409" i="17"/>
  <c r="P411" i="17"/>
  <c r="R411" i="17"/>
  <c r="Q411" i="17"/>
  <c r="Q409" i="17"/>
  <c r="P409" i="17"/>
  <c r="R407" i="17"/>
  <c r="Q407" i="17"/>
  <c r="R410" i="17"/>
  <c r="R406" i="17"/>
  <c r="Q410" i="17"/>
  <c r="Q406" i="17"/>
  <c r="P405" i="17"/>
  <c r="R408" i="17"/>
  <c r="Q408" i="17"/>
  <c r="R405" i="17"/>
  <c r="WWJ247" i="20" l="1"/>
  <c r="WWF247" i="20" s="1"/>
  <c r="WWB247" i="20" s="1"/>
  <c r="WVX247" i="20" s="1"/>
  <c r="WWI247" i="20"/>
  <c r="O418" i="1"/>
  <c r="W418" i="1" s="1"/>
  <c r="H418" i="1"/>
  <c r="O415" i="1"/>
  <c r="W415" i="1" s="1"/>
  <c r="H415" i="1"/>
  <c r="O414" i="1"/>
  <c r="H414" i="1"/>
  <c r="O410" i="1"/>
  <c r="W410" i="1" s="1"/>
  <c r="H410" i="1"/>
  <c r="O409" i="1"/>
  <c r="W409" i="1" s="1"/>
  <c r="H409" i="1"/>
  <c r="O408" i="1"/>
  <c r="W408" i="1" s="1"/>
  <c r="H408" i="1"/>
  <c r="O407" i="1"/>
  <c r="W407" i="1" s="1"/>
  <c r="H407" i="1"/>
  <c r="O406" i="1"/>
  <c r="W406" i="1" s="1"/>
  <c r="H406" i="1"/>
  <c r="O405" i="1"/>
  <c r="W405" i="1" s="1"/>
  <c r="H405" i="1"/>
  <c r="O404" i="1"/>
  <c r="W404" i="1" s="1"/>
  <c r="H404" i="1"/>
  <c r="O403" i="1"/>
  <c r="W403" i="1" s="1"/>
  <c r="H403" i="1"/>
  <c r="O402" i="1"/>
  <c r="W402" i="1" s="1"/>
  <c r="H402" i="1"/>
  <c r="O401" i="1"/>
  <c r="W401" i="1" s="1"/>
  <c r="H401" i="1"/>
  <c r="O400" i="1"/>
  <c r="W400" i="1" s="1"/>
  <c r="H400" i="1"/>
  <c r="O399" i="1"/>
  <c r="W399" i="1" s="1"/>
  <c r="H399" i="1"/>
  <c r="O398" i="1"/>
  <c r="W398" i="1" s="1"/>
  <c r="H398" i="1"/>
  <c r="O397" i="1"/>
  <c r="W397" i="1" s="1"/>
  <c r="H397" i="1"/>
  <c r="O396" i="1"/>
  <c r="W396" i="1" s="1"/>
  <c r="H396" i="1"/>
  <c r="O395" i="1"/>
  <c r="W395" i="1" s="1"/>
  <c r="H395" i="1"/>
  <c r="O394" i="1"/>
  <c r="W394" i="1" s="1"/>
  <c r="H394" i="1"/>
  <c r="O393" i="1"/>
  <c r="W393" i="1" s="1"/>
  <c r="H393" i="1"/>
  <c r="H236" i="20"/>
  <c r="H235" i="20"/>
  <c r="H234" i="20"/>
  <c r="H233" i="20"/>
  <c r="H232" i="20"/>
  <c r="H231" i="20"/>
  <c r="H230" i="20"/>
  <c r="WWE247" i="20" l="1"/>
  <c r="WWA247" i="20" s="1"/>
  <c r="WVW247" i="20" s="1"/>
  <c r="WVS247" i="20" s="1"/>
  <c r="WWD247" i="20"/>
  <c r="W414" i="1"/>
  <c r="K239" i="20" s="1"/>
  <c r="L239" i="20" s="1"/>
  <c r="I239" i="20"/>
  <c r="J239" i="20" s="1"/>
  <c r="K230" i="20"/>
  <c r="L230" i="20" s="1"/>
  <c r="I234" i="20"/>
  <c r="J234" i="20" s="1"/>
  <c r="Q234" i="20" s="1"/>
  <c r="K236" i="20"/>
  <c r="L236" i="20" s="1"/>
  <c r="K234" i="20"/>
  <c r="L234" i="20" s="1"/>
  <c r="K232" i="20"/>
  <c r="L232" i="20" s="1"/>
  <c r="K231" i="20"/>
  <c r="L231" i="20" s="1"/>
  <c r="I231" i="20"/>
  <c r="J231" i="20" s="1"/>
  <c r="Q231" i="20" s="1"/>
  <c r="K235" i="20"/>
  <c r="L235" i="20" s="1"/>
  <c r="I233" i="20"/>
  <c r="J233" i="20" s="1"/>
  <c r="Q233" i="20" s="1"/>
  <c r="K233" i="20"/>
  <c r="L233" i="20" s="1"/>
  <c r="I232" i="20"/>
  <c r="J232" i="20" s="1"/>
  <c r="Q232" i="20" s="1"/>
  <c r="I235" i="20"/>
  <c r="J235" i="20" s="1"/>
  <c r="Q235" i="20" s="1"/>
  <c r="I230" i="20"/>
  <c r="J230" i="20" s="1"/>
  <c r="Q230" i="20" s="1"/>
  <c r="I236" i="20"/>
  <c r="J236" i="20" s="1"/>
  <c r="Q236" i="20" s="1"/>
  <c r="WVZ247" i="20" l="1"/>
  <c r="WVV247" i="20" s="1"/>
  <c r="WVR247" i="20" s="1"/>
  <c r="WVN247" i="20" s="1"/>
  <c r="WVY247" i="20"/>
  <c r="N239" i="20"/>
  <c r="O239" i="20" s="1"/>
  <c r="N234" i="20"/>
  <c r="O234" i="20" s="1"/>
  <c r="N233" i="20"/>
  <c r="O233" i="20" s="1"/>
  <c r="N231" i="20"/>
  <c r="O231" i="20" s="1"/>
  <c r="N236" i="20"/>
  <c r="O236" i="20" s="1"/>
  <c r="N232" i="20"/>
  <c r="O232" i="20" s="1"/>
  <c r="N230" i="20"/>
  <c r="O230" i="20" s="1"/>
  <c r="N235" i="20"/>
  <c r="O235" i="20" s="1"/>
  <c r="H278" i="20"/>
  <c r="O926" i="1"/>
  <c r="O925" i="1"/>
  <c r="O906" i="1"/>
  <c r="W906" i="1" s="1"/>
  <c r="O903" i="1"/>
  <c r="W903" i="1" s="1"/>
  <c r="O897" i="1"/>
  <c r="W897" i="1" s="1"/>
  <c r="O901" i="1"/>
  <c r="W901" i="1" s="1"/>
  <c r="H903" i="1"/>
  <c r="H901" i="1"/>
  <c r="H906" i="1"/>
  <c r="H897" i="1"/>
  <c r="WVU247" i="20" l="1"/>
  <c r="WVQ247" i="20" s="1"/>
  <c r="WVM247" i="20" s="1"/>
  <c r="WVI247" i="20" s="1"/>
  <c r="WVT247" i="20"/>
  <c r="H861" i="1"/>
  <c r="WVP247" i="20" l="1"/>
  <c r="WVL247" i="20" s="1"/>
  <c r="WVH247" i="20" s="1"/>
  <c r="WVD247" i="20" s="1"/>
  <c r="WVO247" i="20"/>
  <c r="H689" i="1"/>
  <c r="WVK247" i="20" l="1"/>
  <c r="WVG247" i="20" s="1"/>
  <c r="WVC247" i="20" s="1"/>
  <c r="WUY247" i="20" s="1"/>
  <c r="WVJ247" i="20"/>
  <c r="H339" i="20"/>
  <c r="O1001" i="1"/>
  <c r="W1001" i="1" s="1"/>
  <c r="H1001" i="1"/>
  <c r="WVF247" i="20" l="1"/>
  <c r="WVB247" i="20" s="1"/>
  <c r="WUX247" i="20" s="1"/>
  <c r="WUT247" i="20" s="1"/>
  <c r="WVE247" i="20"/>
  <c r="P461" i="17"/>
  <c r="R461" i="17"/>
  <c r="Q461" i="17"/>
  <c r="WVA247" i="20" l="1"/>
  <c r="WUW247" i="20" s="1"/>
  <c r="WUS247" i="20" s="1"/>
  <c r="WUO247" i="20" s="1"/>
  <c r="WUZ247" i="20"/>
  <c r="O1522" i="1"/>
  <c r="O1521" i="1"/>
  <c r="O1520" i="1"/>
  <c r="O1519" i="1"/>
  <c r="O1518" i="1"/>
  <c r="O1517" i="1"/>
  <c r="O1516" i="1"/>
  <c r="O1515" i="1"/>
  <c r="O1514" i="1"/>
  <c r="W1513" i="1"/>
  <c r="K762" i="20" s="1"/>
  <c r="L762" i="20" s="1"/>
  <c r="W1511" i="1"/>
  <c r="K761" i="20" s="1"/>
  <c r="L761" i="20" s="1"/>
  <c r="W1510" i="1"/>
  <c r="K760" i="20" s="1"/>
  <c r="L760" i="20" s="1"/>
  <c r="W1509" i="1"/>
  <c r="K759" i="20" s="1"/>
  <c r="L759" i="20" s="1"/>
  <c r="W1508" i="1"/>
  <c r="K758" i="20" s="1"/>
  <c r="L758" i="20" s="1"/>
  <c r="W1507" i="1"/>
  <c r="K757" i="20" s="1"/>
  <c r="L757" i="20" s="1"/>
  <c r="W1506" i="1"/>
  <c r="K756" i="20" s="1"/>
  <c r="L756" i="20" s="1"/>
  <c r="W1505" i="1"/>
  <c r="K755" i="20" s="1"/>
  <c r="L755" i="20" s="1"/>
  <c r="W1504" i="1"/>
  <c r="K754" i="20" s="1"/>
  <c r="L754" i="20" s="1"/>
  <c r="W1503" i="1"/>
  <c r="K753" i="20" s="1"/>
  <c r="L753" i="20" s="1"/>
  <c r="W1502" i="1"/>
  <c r="K752" i="20" s="1"/>
  <c r="L752" i="20" s="1"/>
  <c r="W1254" i="1"/>
  <c r="K751" i="20" s="1"/>
  <c r="L751" i="20" s="1"/>
  <c r="W1256" i="1"/>
  <c r="K750" i="20" s="1"/>
  <c r="L750" i="20" s="1"/>
  <c r="W1245" i="1"/>
  <c r="K749" i="20" s="1"/>
  <c r="L749" i="20" s="1"/>
  <c r="W1252" i="1"/>
  <c r="K748" i="20" s="1"/>
  <c r="L748" i="20" s="1"/>
  <c r="W1253" i="1"/>
  <c r="K747" i="20" s="1"/>
  <c r="L747" i="20" s="1"/>
  <c r="W1255" i="1"/>
  <c r="K746" i="20" s="1"/>
  <c r="L746" i="20" s="1"/>
  <c r="W1501" i="1"/>
  <c r="K745" i="20" s="1"/>
  <c r="L745" i="20" s="1"/>
  <c r="W1447" i="1"/>
  <c r="K744" i="20" s="1"/>
  <c r="L744" i="20" s="1"/>
  <c r="W1446" i="1"/>
  <c r="K743" i="20" s="1"/>
  <c r="L743" i="20" s="1"/>
  <c r="W1445" i="1"/>
  <c r="K742" i="20" s="1"/>
  <c r="L742" i="20" s="1"/>
  <c r="W1444" i="1"/>
  <c r="K741" i="20" s="1"/>
  <c r="L741" i="20" s="1"/>
  <c r="W1443" i="1"/>
  <c r="K740" i="20" s="1"/>
  <c r="L740" i="20" s="1"/>
  <c r="W1442" i="1"/>
  <c r="K739" i="20" s="1"/>
  <c r="L739" i="20" s="1"/>
  <c r="W1441" i="1"/>
  <c r="K738" i="20" s="1"/>
  <c r="L738" i="20" s="1"/>
  <c r="W1440" i="1"/>
  <c r="K737" i="20" s="1"/>
  <c r="L737" i="20" s="1"/>
  <c r="W1439" i="1"/>
  <c r="K736" i="20" s="1"/>
  <c r="L736" i="20" s="1"/>
  <c r="W1438" i="1"/>
  <c r="K735" i="20" s="1"/>
  <c r="L735" i="20" s="1"/>
  <c r="W1437" i="1"/>
  <c r="K734" i="20" s="1"/>
  <c r="L734" i="20" s="1"/>
  <c r="W1436" i="1"/>
  <c r="K733" i="20" s="1"/>
  <c r="L733" i="20" s="1"/>
  <c r="W1435" i="1"/>
  <c r="K732" i="20" s="1"/>
  <c r="L732" i="20" s="1"/>
  <c r="W1434" i="1"/>
  <c r="K731" i="20" s="1"/>
  <c r="L731" i="20" s="1"/>
  <c r="W1433" i="1"/>
  <c r="K730" i="20" s="1"/>
  <c r="L730" i="20" s="1"/>
  <c r="W1432" i="1"/>
  <c r="K722" i="20" s="1"/>
  <c r="L722" i="20" s="1"/>
  <c r="W1431" i="1"/>
  <c r="K721" i="20" s="1"/>
  <c r="L721" i="20" s="1"/>
  <c r="W1423" i="1"/>
  <c r="K720" i="20" s="1"/>
  <c r="L720" i="20" s="1"/>
  <c r="W1422" i="1"/>
  <c r="K719" i="20" s="1"/>
  <c r="L719" i="20" s="1"/>
  <c r="W1421" i="1"/>
  <c r="K718" i="20" s="1"/>
  <c r="L718" i="20" s="1"/>
  <c r="W1420" i="1"/>
  <c r="K717" i="20" s="1"/>
  <c r="L717" i="20" s="1"/>
  <c r="W1419" i="1"/>
  <c r="K716" i="20" s="1"/>
  <c r="L716" i="20" s="1"/>
  <c r="W1418" i="1"/>
  <c r="K715" i="20" s="1"/>
  <c r="L715" i="20" s="1"/>
  <c r="W1417" i="1"/>
  <c r="K714" i="20" s="1"/>
  <c r="L714" i="20" s="1"/>
  <c r="W1416" i="1"/>
  <c r="K713" i="20" s="1"/>
  <c r="L713" i="20" s="1"/>
  <c r="W1415" i="1"/>
  <c r="K712" i="20" s="1"/>
  <c r="L712" i="20" s="1"/>
  <c r="W1414" i="1"/>
  <c r="K711" i="20" s="1"/>
  <c r="L711" i="20" s="1"/>
  <c r="W1413" i="1"/>
  <c r="K710" i="20" s="1"/>
  <c r="L710" i="20" s="1"/>
  <c r="W1412" i="1"/>
  <c r="K709" i="20" s="1"/>
  <c r="L709" i="20" s="1"/>
  <c r="W1411" i="1"/>
  <c r="K708" i="20" s="1"/>
  <c r="L708" i="20" s="1"/>
  <c r="W1410" i="1"/>
  <c r="K707" i="20" s="1"/>
  <c r="L707" i="20" s="1"/>
  <c r="W1409" i="1"/>
  <c r="K706" i="20" s="1"/>
  <c r="L706" i="20" s="1"/>
  <c r="W1408" i="1"/>
  <c r="K705" i="20" s="1"/>
  <c r="L705" i="20" s="1"/>
  <c r="W1407" i="1"/>
  <c r="K704" i="20" s="1"/>
  <c r="L704" i="20" s="1"/>
  <c r="W1406" i="1"/>
  <c r="K703" i="20" s="1"/>
  <c r="L703" i="20" s="1"/>
  <c r="W1405" i="1"/>
  <c r="K702" i="20" s="1"/>
  <c r="L702" i="20" s="1"/>
  <c r="H1514" i="1"/>
  <c r="H1515" i="1"/>
  <c r="H1516" i="1"/>
  <c r="H1517" i="1"/>
  <c r="H1518" i="1"/>
  <c r="H1519" i="1"/>
  <c r="H1520" i="1"/>
  <c r="H1521" i="1"/>
  <c r="H1522" i="1"/>
  <c r="R419" i="17"/>
  <c r="WUV247" i="20" l="1"/>
  <c r="WUR247" i="20" s="1"/>
  <c r="WUN247" i="20" s="1"/>
  <c r="WUJ247" i="20" s="1"/>
  <c r="WUU247" i="20"/>
  <c r="W1516" i="1"/>
  <c r="K419" i="20" s="1"/>
  <c r="L419" i="20" s="1"/>
  <c r="I419" i="20"/>
  <c r="J419" i="20" s="1"/>
  <c r="Q419" i="20" s="1"/>
  <c r="W1515" i="1"/>
  <c r="K418" i="20" s="1"/>
  <c r="L418" i="20" s="1"/>
  <c r="I418" i="20"/>
  <c r="J418" i="20" s="1"/>
  <c r="Q418" i="20" s="1"/>
  <c r="W1517" i="1"/>
  <c r="K420" i="20" s="1"/>
  <c r="L420" i="20" s="1"/>
  <c r="I420" i="20"/>
  <c r="J420" i="20" s="1"/>
  <c r="Q420" i="20" s="1"/>
  <c r="W1518" i="1"/>
  <c r="K421" i="20" s="1"/>
  <c r="L421" i="20" s="1"/>
  <c r="I421" i="20"/>
  <c r="J421" i="20" s="1"/>
  <c r="Q421" i="20" s="1"/>
  <c r="W1519" i="1"/>
  <c r="K422" i="20" s="1"/>
  <c r="L422" i="20" s="1"/>
  <c r="I422" i="20"/>
  <c r="J422" i="20" s="1"/>
  <c r="Q422" i="20" s="1"/>
  <c r="W1520" i="1"/>
  <c r="K423" i="20" s="1"/>
  <c r="L423" i="20" s="1"/>
  <c r="I423" i="20"/>
  <c r="J423" i="20" s="1"/>
  <c r="Q423" i="20" s="1"/>
  <c r="W1514" i="1"/>
  <c r="K417" i="20" s="1"/>
  <c r="L417" i="20" s="1"/>
  <c r="I417" i="20"/>
  <c r="J417" i="20" s="1"/>
  <c r="Q417" i="20" s="1"/>
  <c r="W1521" i="1"/>
  <c r="K324" i="20" s="1"/>
  <c r="L324" i="20" s="1"/>
  <c r="I324" i="20"/>
  <c r="J324" i="20" s="1"/>
  <c r="W1522" i="1"/>
  <c r="K325" i="20" s="1"/>
  <c r="L325" i="20" s="1"/>
  <c r="I325" i="20"/>
  <c r="J325" i="20" s="1"/>
  <c r="R245" i="17"/>
  <c r="Q245" i="17"/>
  <c r="P245" i="17"/>
  <c r="P552" i="17"/>
  <c r="Q552" i="17"/>
  <c r="R552" i="17"/>
  <c r="P553" i="17"/>
  <c r="Q553" i="17"/>
  <c r="R553" i="17"/>
  <c r="P554" i="17"/>
  <c r="Q554" i="17"/>
  <c r="R554" i="17"/>
  <c r="P555" i="17"/>
  <c r="Q555" i="17"/>
  <c r="R555" i="17"/>
  <c r="P556" i="17"/>
  <c r="Q556" i="17"/>
  <c r="R556" i="17"/>
  <c r="P557" i="17"/>
  <c r="Q557" i="17"/>
  <c r="R557" i="17"/>
  <c r="P558" i="17"/>
  <c r="Q558" i="17"/>
  <c r="R558" i="17"/>
  <c r="P559" i="17"/>
  <c r="Q559" i="17"/>
  <c r="R559" i="17"/>
  <c r="P560" i="17"/>
  <c r="Q560" i="17"/>
  <c r="R560" i="17"/>
  <c r="R265" i="17"/>
  <c r="R354" i="17"/>
  <c r="R447" i="17"/>
  <c r="R496" i="17"/>
  <c r="R544" i="17"/>
  <c r="R589" i="17"/>
  <c r="R258" i="17"/>
  <c r="R266" i="17"/>
  <c r="R275" i="17"/>
  <c r="R283" i="17"/>
  <c r="R291" i="17"/>
  <c r="R299" i="17"/>
  <c r="R307" i="17"/>
  <c r="R315" i="17"/>
  <c r="R323" i="17"/>
  <c r="R331" i="17"/>
  <c r="R339" i="17"/>
  <c r="R348" i="17"/>
  <c r="R355" i="17"/>
  <c r="R362" i="17"/>
  <c r="R370" i="17"/>
  <c r="R377" i="17"/>
  <c r="R384" i="17"/>
  <c r="R392" i="17"/>
  <c r="R400" i="17"/>
  <c r="R424" i="17"/>
  <c r="R432" i="17"/>
  <c r="R440" i="17"/>
  <c r="R448" i="17"/>
  <c r="R456" i="17"/>
  <c r="R465" i="17"/>
  <c r="R473" i="17"/>
  <c r="R481" i="17"/>
  <c r="R489" i="17"/>
  <c r="R497" i="17"/>
  <c r="R505" i="17"/>
  <c r="R513" i="17"/>
  <c r="R521" i="17"/>
  <c r="R529" i="17"/>
  <c r="R537" i="17"/>
  <c r="R545" i="17"/>
  <c r="R562" i="17"/>
  <c r="R566" i="17"/>
  <c r="R574" i="17"/>
  <c r="R582" i="17"/>
  <c r="R590" i="17"/>
  <c r="R595" i="17"/>
  <c r="R110" i="17"/>
  <c r="R603" i="17"/>
  <c r="R611" i="17"/>
  <c r="R614" i="17"/>
  <c r="R249" i="17"/>
  <c r="R268" i="17"/>
  <c r="R309" i="17"/>
  <c r="R341" i="17"/>
  <c r="R364" i="17"/>
  <c r="R394" i="17"/>
  <c r="R434" i="17"/>
  <c r="R450" i="17"/>
  <c r="R467" i="17"/>
  <c r="R499" i="17"/>
  <c r="R515" i="17"/>
  <c r="R531" i="17"/>
  <c r="R539" i="17"/>
  <c r="R568" i="17"/>
  <c r="R584" i="17"/>
  <c r="R120" i="17"/>
  <c r="R613" i="17"/>
  <c r="R286" i="17"/>
  <c r="R302" i="17"/>
  <c r="R334" i="17"/>
  <c r="R358" i="17"/>
  <c r="R380" i="17"/>
  <c r="R387" i="17"/>
  <c r="R403" i="17"/>
  <c r="R257" i="17"/>
  <c r="R306" i="17"/>
  <c r="R347" i="17"/>
  <c r="R376" i="17"/>
  <c r="R399" i="17"/>
  <c r="R423" i="17"/>
  <c r="R464" i="17"/>
  <c r="R488" i="17"/>
  <c r="R536" i="17"/>
  <c r="R581" i="17"/>
  <c r="R51" i="17"/>
  <c r="R276" i="17"/>
  <c r="R332" i="17"/>
  <c r="R385" i="17"/>
  <c r="R449" i="17"/>
  <c r="R260" i="17"/>
  <c r="R293" i="17"/>
  <c r="R317" i="17"/>
  <c r="R333" i="17"/>
  <c r="R350" i="17"/>
  <c r="R357" i="17"/>
  <c r="R386" i="17"/>
  <c r="R402" i="17"/>
  <c r="R426" i="17"/>
  <c r="R442" i="17"/>
  <c r="R458" i="17"/>
  <c r="R475" i="17"/>
  <c r="R483" i="17"/>
  <c r="R491" i="17"/>
  <c r="R507" i="17"/>
  <c r="R523" i="17"/>
  <c r="R547" i="17"/>
  <c r="R564" i="17"/>
  <c r="R576" i="17"/>
  <c r="R591" i="17"/>
  <c r="R597" i="17"/>
  <c r="R605" i="17"/>
  <c r="R242" i="17"/>
  <c r="R261" i="17"/>
  <c r="R278" i="17"/>
  <c r="R294" i="17"/>
  <c r="R318" i="17"/>
  <c r="R343" i="17"/>
  <c r="R365" i="17"/>
  <c r="R254" i="17"/>
  <c r="R262" i="17"/>
  <c r="R270" i="17"/>
  <c r="R279" i="17"/>
  <c r="R287" i="17"/>
  <c r="R295" i="17"/>
  <c r="R303" i="17"/>
  <c r="R311" i="17"/>
  <c r="R319" i="17"/>
  <c r="R327" i="17"/>
  <c r="R335" i="17"/>
  <c r="R344" i="17"/>
  <c r="R352" i="17"/>
  <c r="R359" i="17"/>
  <c r="R366" i="17"/>
  <c r="R122" i="17"/>
  <c r="R381" i="17"/>
  <c r="R388" i="17"/>
  <c r="R396" i="17"/>
  <c r="R404" i="17"/>
  <c r="R420" i="17"/>
  <c r="R428" i="17"/>
  <c r="R436" i="17"/>
  <c r="R444" i="17"/>
  <c r="R452" i="17"/>
  <c r="R460" i="17"/>
  <c r="R469" i="17"/>
  <c r="R477" i="17"/>
  <c r="R485" i="17"/>
  <c r="R493" i="17"/>
  <c r="R501" i="17"/>
  <c r="R509" i="17"/>
  <c r="R517" i="17"/>
  <c r="R525" i="17"/>
  <c r="R533" i="17"/>
  <c r="R541" i="17"/>
  <c r="R549" i="17"/>
  <c r="R102" i="17"/>
  <c r="R570" i="17"/>
  <c r="R578" i="17"/>
  <c r="R586" i="17"/>
  <c r="R117" i="17"/>
  <c r="R107" i="17"/>
  <c r="R599" i="17"/>
  <c r="R607" i="17"/>
  <c r="R244" i="17"/>
  <c r="R282" i="17"/>
  <c r="R298" i="17"/>
  <c r="R314" i="17"/>
  <c r="R338" i="17"/>
  <c r="R361" i="17"/>
  <c r="R391" i="17"/>
  <c r="R439" i="17"/>
  <c r="R472" i="17"/>
  <c r="R504" i="17"/>
  <c r="R528" i="17"/>
  <c r="R573" i="17"/>
  <c r="R109" i="17"/>
  <c r="R602" i="17"/>
  <c r="R239" i="17"/>
  <c r="R179" i="17"/>
  <c r="R267" i="17"/>
  <c r="R284" i="17"/>
  <c r="R308" i="17"/>
  <c r="R324" i="17"/>
  <c r="R349" i="17"/>
  <c r="R363" i="17"/>
  <c r="R378" i="17"/>
  <c r="R401" i="17"/>
  <c r="R441" i="17"/>
  <c r="R466" i="17"/>
  <c r="R482" i="17"/>
  <c r="R498" i="17"/>
  <c r="R514" i="17"/>
  <c r="R530" i="17"/>
  <c r="R563" i="17"/>
  <c r="R567" i="17"/>
  <c r="R583" i="17"/>
  <c r="R119" i="17"/>
  <c r="R113" i="17"/>
  <c r="R612" i="17"/>
  <c r="R250" i="17"/>
  <c r="R285" i="17"/>
  <c r="R301" i="17"/>
  <c r="R379" i="17"/>
  <c r="R427" i="17"/>
  <c r="R435" i="17"/>
  <c r="R443" i="17"/>
  <c r="R451" i="17"/>
  <c r="R459" i="17"/>
  <c r="R468" i="17"/>
  <c r="R476" i="17"/>
  <c r="R484" i="17"/>
  <c r="R492" i="17"/>
  <c r="R500" i="17"/>
  <c r="R508" i="17"/>
  <c r="R516" i="17"/>
  <c r="R524" i="17"/>
  <c r="R532" i="17"/>
  <c r="R540" i="17"/>
  <c r="R548" i="17"/>
  <c r="R565" i="17"/>
  <c r="R569" i="17"/>
  <c r="R577" i="17"/>
  <c r="R585" i="17"/>
  <c r="R592" i="17"/>
  <c r="R106" i="17"/>
  <c r="R598" i="17"/>
  <c r="R606" i="17"/>
  <c r="R178" i="17"/>
  <c r="R243" i="17"/>
  <c r="R255" i="17"/>
  <c r="R263" i="17"/>
  <c r="R272" i="17"/>
  <c r="R280" i="17"/>
  <c r="R288" i="17"/>
  <c r="R296" i="17"/>
  <c r="R304" i="17"/>
  <c r="R312" i="17"/>
  <c r="R320" i="17"/>
  <c r="R328" i="17"/>
  <c r="R336" i="17"/>
  <c r="R345" i="17"/>
  <c r="R353" i="17"/>
  <c r="R121" i="17"/>
  <c r="R367" i="17"/>
  <c r="R374" i="17"/>
  <c r="R96" i="17"/>
  <c r="R389" i="17"/>
  <c r="R397" i="17"/>
  <c r="R412" i="17"/>
  <c r="R421" i="17"/>
  <c r="R429" i="17"/>
  <c r="R437" i="17"/>
  <c r="R445" i="17"/>
  <c r="R453" i="17"/>
  <c r="R462" i="17"/>
  <c r="R470" i="17"/>
  <c r="R478" i="17"/>
  <c r="R486" i="17"/>
  <c r="R494" i="17"/>
  <c r="R502" i="17"/>
  <c r="R510" i="17"/>
  <c r="R518" i="17"/>
  <c r="R526" i="17"/>
  <c r="R534" i="17"/>
  <c r="R542" i="17"/>
  <c r="R550" i="17"/>
  <c r="R103" i="17"/>
  <c r="R571" i="17"/>
  <c r="R579" i="17"/>
  <c r="R587" i="17"/>
  <c r="R118" i="17"/>
  <c r="R108" i="17"/>
  <c r="R600" i="17"/>
  <c r="R608" i="17"/>
  <c r="R237" i="17"/>
  <c r="R246" i="17"/>
  <c r="R274" i="17"/>
  <c r="R290" i="17"/>
  <c r="R322" i="17"/>
  <c r="R330" i="17"/>
  <c r="R369" i="17"/>
  <c r="R383" i="17"/>
  <c r="R431" i="17"/>
  <c r="R455" i="17"/>
  <c r="R480" i="17"/>
  <c r="R512" i="17"/>
  <c r="R520" i="17"/>
  <c r="R561" i="17"/>
  <c r="R105" i="17"/>
  <c r="R594" i="17"/>
  <c r="R610" i="17"/>
  <c r="R259" i="17"/>
  <c r="R292" i="17"/>
  <c r="R300" i="17"/>
  <c r="R316" i="17"/>
  <c r="R340" i="17"/>
  <c r="R356" i="17"/>
  <c r="R371" i="17"/>
  <c r="R393" i="17"/>
  <c r="R425" i="17"/>
  <c r="R433" i="17"/>
  <c r="R457" i="17"/>
  <c r="R474" i="17"/>
  <c r="R490" i="17"/>
  <c r="R506" i="17"/>
  <c r="R522" i="17"/>
  <c r="R538" i="17"/>
  <c r="R546" i="17"/>
  <c r="R575" i="17"/>
  <c r="R116" i="17"/>
  <c r="R604" i="17"/>
  <c r="R241" i="17"/>
  <c r="R52" i="17"/>
  <c r="R277" i="17"/>
  <c r="R325" i="17"/>
  <c r="R372" i="17"/>
  <c r="R53" i="17"/>
  <c r="R269" i="17"/>
  <c r="R310" i="17"/>
  <c r="R326" i="17"/>
  <c r="R351" i="17"/>
  <c r="R373" i="17"/>
  <c r="R395" i="17"/>
  <c r="R256" i="17"/>
  <c r="R264" i="17"/>
  <c r="R273" i="17"/>
  <c r="R281" i="17"/>
  <c r="R289" i="17"/>
  <c r="R297" i="17"/>
  <c r="R305" i="17"/>
  <c r="R313" i="17"/>
  <c r="R321" i="17"/>
  <c r="R329" i="17"/>
  <c r="R337" i="17"/>
  <c r="R346" i="17"/>
  <c r="R94" i="17"/>
  <c r="R360" i="17"/>
  <c r="R368" i="17"/>
  <c r="R375" i="17"/>
  <c r="R382" i="17"/>
  <c r="R390" i="17"/>
  <c r="R398" i="17"/>
  <c r="R177" i="17"/>
  <c r="R422" i="17"/>
  <c r="R430" i="17"/>
  <c r="R438" i="17"/>
  <c r="R446" i="17"/>
  <c r="R454" i="17"/>
  <c r="R463" i="17"/>
  <c r="R471" i="17"/>
  <c r="R479" i="17"/>
  <c r="R487" i="17"/>
  <c r="R495" i="17"/>
  <c r="R503" i="17"/>
  <c r="R511" i="17"/>
  <c r="R519" i="17"/>
  <c r="R527" i="17"/>
  <c r="R535" i="17"/>
  <c r="R543" i="17"/>
  <c r="R551" i="17"/>
  <c r="R104" i="17"/>
  <c r="R572" i="17"/>
  <c r="R580" i="17"/>
  <c r="R588" i="17"/>
  <c r="R593" i="17"/>
  <c r="R596" i="17"/>
  <c r="R601" i="17"/>
  <c r="R609" i="17"/>
  <c r="R238" i="17"/>
  <c r="R247" i="17"/>
  <c r="P615" i="17"/>
  <c r="R615" i="17"/>
  <c r="Q615" i="17"/>
  <c r="P627" i="17"/>
  <c r="R627" i="17"/>
  <c r="Q627" i="17"/>
  <c r="P182" i="17"/>
  <c r="R182" i="17"/>
  <c r="Q182" i="17"/>
  <c r="P636" i="17"/>
  <c r="R636" i="17"/>
  <c r="Q636" i="17"/>
  <c r="R171" i="17"/>
  <c r="P171" i="17"/>
  <c r="Q171" i="17"/>
  <c r="R650" i="17"/>
  <c r="Q650" i="17"/>
  <c r="P650" i="17"/>
  <c r="R172" i="17"/>
  <c r="P172" i="17"/>
  <c r="Q172" i="17"/>
  <c r="R659" i="17"/>
  <c r="Q659" i="17"/>
  <c r="P659" i="17"/>
  <c r="R672" i="17"/>
  <c r="Q672" i="17"/>
  <c r="P672" i="17"/>
  <c r="R680" i="17"/>
  <c r="P680" i="17"/>
  <c r="Q680" i="17"/>
  <c r="P688" i="17"/>
  <c r="Q688" i="17"/>
  <c r="R688" i="17"/>
  <c r="P696" i="17"/>
  <c r="R696" i="17"/>
  <c r="Q696" i="17"/>
  <c r="P699" i="17"/>
  <c r="Q699" i="17"/>
  <c r="R699" i="17"/>
  <c r="P707" i="17"/>
  <c r="R707" i="17"/>
  <c r="Q707" i="17"/>
  <c r="P711" i="17"/>
  <c r="R711" i="17"/>
  <c r="Q711" i="17"/>
  <c r="P719" i="17"/>
  <c r="R719" i="17"/>
  <c r="Q719" i="17"/>
  <c r="P726" i="17"/>
  <c r="R726" i="17"/>
  <c r="Q726" i="17"/>
  <c r="P731" i="17"/>
  <c r="Q731" i="17"/>
  <c r="R731" i="17"/>
  <c r="P735" i="17"/>
  <c r="R735" i="17"/>
  <c r="Q735" i="17"/>
  <c r="Q616" i="17"/>
  <c r="P616" i="17"/>
  <c r="R616" i="17"/>
  <c r="Q620" i="17"/>
  <c r="P620" i="17"/>
  <c r="R620" i="17"/>
  <c r="Q628" i="17"/>
  <c r="P628" i="17"/>
  <c r="R628" i="17"/>
  <c r="Q632" i="17"/>
  <c r="R632" i="17"/>
  <c r="P632" i="17"/>
  <c r="Q634" i="17"/>
  <c r="R634" i="17"/>
  <c r="P634" i="17"/>
  <c r="Q641" i="17"/>
  <c r="R641" i="17"/>
  <c r="P641" i="17"/>
  <c r="Q647" i="17"/>
  <c r="R647" i="17"/>
  <c r="P647" i="17"/>
  <c r="P652" i="17"/>
  <c r="R652" i="17"/>
  <c r="Q652" i="17"/>
  <c r="P656" i="17"/>
  <c r="Q656" i="17"/>
  <c r="R656" i="17"/>
  <c r="P664" i="17"/>
  <c r="R664" i="17"/>
  <c r="Q664" i="17"/>
  <c r="P677" i="17"/>
  <c r="R677" i="17"/>
  <c r="Q677" i="17"/>
  <c r="Q685" i="17"/>
  <c r="R685" i="17"/>
  <c r="P685" i="17"/>
  <c r="Q693" i="17"/>
  <c r="R693" i="17"/>
  <c r="P693" i="17"/>
  <c r="Q222" i="17"/>
  <c r="R222" i="17"/>
  <c r="P222" i="17"/>
  <c r="Q704" i="17"/>
  <c r="R704" i="17"/>
  <c r="P704" i="17"/>
  <c r="Q716" i="17"/>
  <c r="R716" i="17"/>
  <c r="P716" i="17"/>
  <c r="Q724" i="17"/>
  <c r="P724" i="17"/>
  <c r="R724" i="17"/>
  <c r="Q736" i="17"/>
  <c r="R736" i="17"/>
  <c r="P736" i="17"/>
  <c r="P619" i="17"/>
  <c r="R619" i="17"/>
  <c r="Q619" i="17"/>
  <c r="P623" i="17"/>
  <c r="R623" i="17"/>
  <c r="Q623" i="17"/>
  <c r="P631" i="17"/>
  <c r="R631" i="17"/>
  <c r="Q631" i="17"/>
  <c r="P640" i="17"/>
  <c r="R640" i="17"/>
  <c r="Q640" i="17"/>
  <c r="R646" i="17"/>
  <c r="Q646" i="17"/>
  <c r="P646" i="17"/>
  <c r="R183" i="17"/>
  <c r="Q183" i="17"/>
  <c r="P183" i="17"/>
  <c r="R655" i="17"/>
  <c r="Q655" i="17"/>
  <c r="P655" i="17"/>
  <c r="R663" i="17"/>
  <c r="Q663" i="17"/>
  <c r="P663" i="17"/>
  <c r="R676" i="17"/>
  <c r="Q676" i="17"/>
  <c r="P676" i="17"/>
  <c r="P684" i="17"/>
  <c r="R684" i="17"/>
  <c r="Q684" i="17"/>
  <c r="P692" i="17"/>
  <c r="R692" i="17"/>
  <c r="Q692" i="17"/>
  <c r="P221" i="17"/>
  <c r="R221" i="17"/>
  <c r="Q221" i="17"/>
  <c r="P703" i="17"/>
  <c r="R703" i="17"/>
  <c r="Q703" i="17"/>
  <c r="P715" i="17"/>
  <c r="Q715" i="17"/>
  <c r="R715" i="17"/>
  <c r="P723" i="17"/>
  <c r="R723" i="17"/>
  <c r="Q723" i="17"/>
  <c r="P739" i="17"/>
  <c r="R739" i="17"/>
  <c r="Q739" i="17"/>
  <c r="Q624" i="17"/>
  <c r="P624" i="17"/>
  <c r="R624" i="17"/>
  <c r="Q637" i="17"/>
  <c r="P637" i="17"/>
  <c r="R637" i="17"/>
  <c r="R643" i="17"/>
  <c r="Q643" i="17"/>
  <c r="P643" i="17"/>
  <c r="P114" i="17"/>
  <c r="R114" i="17"/>
  <c r="Q114" i="17"/>
  <c r="P173" i="17"/>
  <c r="R173" i="17"/>
  <c r="Q173" i="17"/>
  <c r="P660" i="17"/>
  <c r="R660" i="17"/>
  <c r="Q660" i="17"/>
  <c r="P673" i="17"/>
  <c r="R673" i="17"/>
  <c r="Q673" i="17"/>
  <c r="Q681" i="17"/>
  <c r="P681" i="17"/>
  <c r="R681" i="17"/>
  <c r="Q689" i="17"/>
  <c r="R689" i="17"/>
  <c r="P689" i="17"/>
  <c r="Q697" i="17"/>
  <c r="P697" i="17"/>
  <c r="R697" i="17"/>
  <c r="Q208" i="17"/>
  <c r="P208" i="17"/>
  <c r="R208" i="17"/>
  <c r="Q712" i="17"/>
  <c r="R712" i="17"/>
  <c r="P712" i="17"/>
  <c r="Q720" i="17"/>
  <c r="R720" i="17"/>
  <c r="P720" i="17"/>
  <c r="Q732" i="17"/>
  <c r="R732" i="17"/>
  <c r="P732" i="17"/>
  <c r="R740" i="17"/>
  <c r="Q740" i="17"/>
  <c r="P740" i="17"/>
  <c r="R617" i="17"/>
  <c r="Q617" i="17"/>
  <c r="P617" i="17"/>
  <c r="R621" i="17"/>
  <c r="Q621" i="17"/>
  <c r="P621" i="17"/>
  <c r="R625" i="17"/>
  <c r="Q625" i="17"/>
  <c r="P625" i="17"/>
  <c r="R629" i="17"/>
  <c r="P629" i="17"/>
  <c r="Q629" i="17"/>
  <c r="R633" i="17"/>
  <c r="Q633" i="17"/>
  <c r="P633" i="17"/>
  <c r="R169" i="17"/>
  <c r="P169" i="17"/>
  <c r="Q169" i="17"/>
  <c r="R638" i="17"/>
  <c r="Q638" i="17"/>
  <c r="P638" i="17"/>
  <c r="R642" i="17"/>
  <c r="Q642" i="17"/>
  <c r="P642" i="17"/>
  <c r="P644" i="17"/>
  <c r="Q644" i="17"/>
  <c r="R644" i="17"/>
  <c r="P648" i="17"/>
  <c r="R648" i="17"/>
  <c r="Q648" i="17"/>
  <c r="P115" i="17"/>
  <c r="R115" i="17"/>
  <c r="Q115" i="17"/>
  <c r="Q653" i="17"/>
  <c r="P653" i="17"/>
  <c r="R653" i="17"/>
  <c r="Q174" i="17"/>
  <c r="P174" i="17"/>
  <c r="R174" i="17"/>
  <c r="Q657" i="17"/>
  <c r="P657" i="17"/>
  <c r="R657" i="17"/>
  <c r="Q661" i="17"/>
  <c r="P661" i="17"/>
  <c r="R661" i="17"/>
  <c r="Q670" i="17"/>
  <c r="P670" i="17"/>
  <c r="R670" i="17"/>
  <c r="Q674" i="17"/>
  <c r="P674" i="17"/>
  <c r="R674" i="17"/>
  <c r="Q678" i="17"/>
  <c r="P678" i="17"/>
  <c r="R678" i="17"/>
  <c r="R682" i="17"/>
  <c r="Q682" i="17"/>
  <c r="P682" i="17"/>
  <c r="R686" i="17"/>
  <c r="Q686" i="17"/>
  <c r="P686" i="17"/>
  <c r="R690" i="17"/>
  <c r="P690" i="17"/>
  <c r="Q690" i="17"/>
  <c r="R694" i="17"/>
  <c r="Q694" i="17"/>
  <c r="P694" i="17"/>
  <c r="R175" i="17"/>
  <c r="Q175" i="17"/>
  <c r="P175" i="17"/>
  <c r="R223" i="17"/>
  <c r="Q223" i="17"/>
  <c r="P223" i="17"/>
  <c r="R701" i="17"/>
  <c r="P701" i="17"/>
  <c r="Q701" i="17"/>
  <c r="R705" i="17"/>
  <c r="Q705" i="17"/>
  <c r="P705" i="17"/>
  <c r="R209" i="17"/>
  <c r="Q209" i="17"/>
  <c r="P209" i="17"/>
  <c r="R713" i="17"/>
  <c r="Q713" i="17"/>
  <c r="P713" i="17"/>
  <c r="R717" i="17"/>
  <c r="P717" i="17"/>
  <c r="Q717" i="17"/>
  <c r="R721" i="17"/>
  <c r="Q721" i="17"/>
  <c r="P721" i="17"/>
  <c r="R725" i="17"/>
  <c r="Q725" i="17"/>
  <c r="P725" i="17"/>
  <c r="R733" i="17"/>
  <c r="P733" i="17"/>
  <c r="Q733" i="17"/>
  <c r="R737" i="17"/>
  <c r="P737" i="17"/>
  <c r="Q737" i="17"/>
  <c r="R180" i="17"/>
  <c r="Q180" i="17"/>
  <c r="P180" i="17"/>
  <c r="Q618" i="17"/>
  <c r="R618" i="17"/>
  <c r="P618" i="17"/>
  <c r="Q622" i="17"/>
  <c r="R622" i="17"/>
  <c r="P622" i="17"/>
  <c r="Q626" i="17"/>
  <c r="R626" i="17"/>
  <c r="P626" i="17"/>
  <c r="R630" i="17"/>
  <c r="Q630" i="17"/>
  <c r="P630" i="17"/>
  <c r="Q181" i="17"/>
  <c r="R181" i="17"/>
  <c r="P181" i="17"/>
  <c r="R635" i="17"/>
  <c r="Q635" i="17"/>
  <c r="P635" i="17"/>
  <c r="Q639" i="17"/>
  <c r="P639" i="17"/>
  <c r="R639" i="17"/>
  <c r="Q170" i="17"/>
  <c r="R170" i="17"/>
  <c r="P170" i="17"/>
  <c r="Q645" i="17"/>
  <c r="R645" i="17"/>
  <c r="P645" i="17"/>
  <c r="Q649" i="17"/>
  <c r="P649" i="17"/>
  <c r="R649" i="17"/>
  <c r="Q651" i="17"/>
  <c r="R651" i="17"/>
  <c r="P651" i="17"/>
  <c r="R654" i="17"/>
  <c r="Q654" i="17"/>
  <c r="P654" i="17"/>
  <c r="R658" i="17"/>
  <c r="Q658" i="17"/>
  <c r="P658" i="17"/>
  <c r="R662" i="17"/>
  <c r="Q662" i="17"/>
  <c r="P662" i="17"/>
  <c r="R671" i="17"/>
  <c r="Q671" i="17"/>
  <c r="P671" i="17"/>
  <c r="R675" i="17"/>
  <c r="Q675" i="17"/>
  <c r="P675" i="17"/>
  <c r="R679" i="17"/>
  <c r="Q679" i="17"/>
  <c r="P679" i="17"/>
  <c r="P683" i="17"/>
  <c r="R683" i="17"/>
  <c r="Q683" i="17"/>
  <c r="R687" i="17"/>
  <c r="P687" i="17"/>
  <c r="Q687" i="17"/>
  <c r="R691" i="17"/>
  <c r="Q691" i="17"/>
  <c r="P691" i="17"/>
  <c r="Q695" i="17"/>
  <c r="P695" i="17"/>
  <c r="R695" i="17"/>
  <c r="P176" i="17"/>
  <c r="R176" i="17"/>
  <c r="Q176" i="17"/>
  <c r="R702" i="17"/>
  <c r="Q702" i="17"/>
  <c r="P702" i="17"/>
  <c r="Q706" i="17"/>
  <c r="P706" i="17"/>
  <c r="R706" i="17"/>
  <c r="P710" i="17"/>
  <c r="R710" i="17"/>
  <c r="Q710" i="17"/>
  <c r="R714" i="17"/>
  <c r="Q714" i="17"/>
  <c r="P714" i="17"/>
  <c r="R718" i="17"/>
  <c r="Q718" i="17"/>
  <c r="P718" i="17"/>
  <c r="Q722" i="17"/>
  <c r="P722" i="17"/>
  <c r="R722" i="17"/>
  <c r="P168" i="17"/>
  <c r="R168" i="17"/>
  <c r="Q168" i="17"/>
  <c r="R734" i="17"/>
  <c r="Q734" i="17"/>
  <c r="P734" i="17"/>
  <c r="Q738" i="17"/>
  <c r="P738" i="17"/>
  <c r="R738" i="17"/>
  <c r="R418" i="17"/>
  <c r="R54" i="17"/>
  <c r="P54" i="17"/>
  <c r="Q257" i="17"/>
  <c r="Q322" i="17"/>
  <c r="Q383" i="17"/>
  <c r="Q422" i="17"/>
  <c r="Q479" i="17"/>
  <c r="Q543" i="17"/>
  <c r="Q238" i="17"/>
  <c r="Q347" i="17"/>
  <c r="Q399" i="17"/>
  <c r="Q446" i="17"/>
  <c r="Q503" i="17"/>
  <c r="Q535" i="17"/>
  <c r="Q580" i="17"/>
  <c r="Q609" i="17"/>
  <c r="Q259" i="17"/>
  <c r="Q338" i="17"/>
  <c r="Q391" i="17"/>
  <c r="Q495" i="17"/>
  <c r="Q551" i="17"/>
  <c r="Q247" i="17"/>
  <c r="Q282" i="17"/>
  <c r="Q330" i="17"/>
  <c r="Q376" i="17"/>
  <c r="Q438" i="17"/>
  <c r="Q463" i="17"/>
  <c r="Q511" i="17"/>
  <c r="Q104" i="17"/>
  <c r="Q593" i="17"/>
  <c r="Q284" i="17"/>
  <c r="Q300" i="17"/>
  <c r="P605" i="17"/>
  <c r="Q369" i="17"/>
  <c r="Q487" i="17"/>
  <c r="Q601" i="17"/>
  <c r="Q361" i="17"/>
  <c r="Q430" i="17"/>
  <c r="Q471" i="17"/>
  <c r="Q519" i="17"/>
  <c r="Q572" i="17"/>
  <c r="Q596" i="17"/>
  <c r="Q244" i="17"/>
  <c r="Q306" i="17"/>
  <c r="Q354" i="17"/>
  <c r="Q454" i="17"/>
  <c r="Q527" i="17"/>
  <c r="Q588" i="17"/>
  <c r="P273" i="17"/>
  <c r="P281" i="17"/>
  <c r="P305" i="17"/>
  <c r="P313" i="17"/>
  <c r="Q321" i="17"/>
  <c r="Q329" i="17"/>
  <c r="P337" i="17"/>
  <c r="Q346" i="17"/>
  <c r="Q94" i="17"/>
  <c r="Q360" i="17"/>
  <c r="Q368" i="17"/>
  <c r="P375" i="17"/>
  <c r="Q382" i="17"/>
  <c r="Q390" i="17"/>
  <c r="P398" i="17"/>
  <c r="P177" i="17"/>
  <c r="P421" i="17"/>
  <c r="Q429" i="17"/>
  <c r="Q437" i="17"/>
  <c r="P445" i="17"/>
  <c r="Q453" i="17"/>
  <c r="Q462" i="17"/>
  <c r="Q470" i="17"/>
  <c r="Q478" i="17"/>
  <c r="P486" i="17"/>
  <c r="Q494" i="17"/>
  <c r="Q502" i="17"/>
  <c r="Q510" i="17"/>
  <c r="Q518" i="17"/>
  <c r="Q526" i="17"/>
  <c r="Q534" i="17"/>
  <c r="Q542" i="17"/>
  <c r="P550" i="17"/>
  <c r="Q103" i="17"/>
  <c r="Q571" i="17"/>
  <c r="P579" i="17"/>
  <c r="Q587" i="17"/>
  <c r="Q118" i="17"/>
  <c r="Q108" i="17"/>
  <c r="Q600" i="17"/>
  <c r="P608" i="17"/>
  <c r="Q237" i="17"/>
  <c r="Q246" i="17"/>
  <c r="P310" i="17"/>
  <c r="P343" i="17"/>
  <c r="P373" i="17"/>
  <c r="Q279" i="17"/>
  <c r="Q303" i="17"/>
  <c r="Q320" i="17"/>
  <c r="Q328" i="17"/>
  <c r="Q336" i="17"/>
  <c r="Q345" i="17"/>
  <c r="Q353" i="17"/>
  <c r="Q121" i="17"/>
  <c r="Q367" i="17"/>
  <c r="Q374" i="17"/>
  <c r="Q96" i="17"/>
  <c r="Q389" i="17"/>
  <c r="Q397" i="17"/>
  <c r="Q412" i="17"/>
  <c r="Q420" i="17"/>
  <c r="Q428" i="17"/>
  <c r="Q436" i="17"/>
  <c r="Q444" i="17"/>
  <c r="Q452" i="17"/>
  <c r="Q460" i="17"/>
  <c r="Q469" i="17"/>
  <c r="Q477" i="17"/>
  <c r="Q485" i="17"/>
  <c r="Q493" i="17"/>
  <c r="Q501" i="17"/>
  <c r="Q509" i="17"/>
  <c r="Q517" i="17"/>
  <c r="Q525" i="17"/>
  <c r="Q533" i="17"/>
  <c r="Q541" i="17"/>
  <c r="Q549" i="17"/>
  <c r="Q102" i="17"/>
  <c r="Q570" i="17"/>
  <c r="Q578" i="17"/>
  <c r="Q586" i="17"/>
  <c r="Q117" i="17"/>
  <c r="Q107" i="17"/>
  <c r="Q599" i="17"/>
  <c r="Q607" i="17"/>
  <c r="P278" i="17"/>
  <c r="P403" i="17"/>
  <c r="P418" i="17"/>
  <c r="P450" i="17"/>
  <c r="P483" i="17"/>
  <c r="P515" i="17"/>
  <c r="P547" i="17"/>
  <c r="P584" i="17"/>
  <c r="Q262" i="17"/>
  <c r="P53" i="17"/>
  <c r="P247" i="17"/>
  <c r="P543" i="17"/>
  <c r="P437" i="17"/>
  <c r="P94" i="17"/>
  <c r="Q337" i="17"/>
  <c r="P246" i="17"/>
  <c r="P526" i="17"/>
  <c r="P420" i="17"/>
  <c r="P330" i="17"/>
  <c r="P607" i="17"/>
  <c r="P503" i="17"/>
  <c r="P329" i="17"/>
  <c r="P601" i="17"/>
  <c r="P502" i="17"/>
  <c r="P300" i="17"/>
  <c r="P118" i="17"/>
  <c r="P485" i="17"/>
  <c r="P391" i="17"/>
  <c r="P284" i="17"/>
  <c r="Q579" i="17"/>
  <c r="P572" i="17"/>
  <c r="P479" i="17"/>
  <c r="P390" i="17"/>
  <c r="Q486" i="17"/>
  <c r="P571" i="17"/>
  <c r="P462" i="17"/>
  <c r="P374" i="17"/>
  <c r="P549" i="17"/>
  <c r="P438" i="17"/>
  <c r="P369" i="17"/>
  <c r="Q177" i="17"/>
  <c r="Q584" i="17"/>
  <c r="P272" i="17"/>
  <c r="Q272" i="17"/>
  <c r="P353" i="17"/>
  <c r="Q483" i="17"/>
  <c r="P256" i="17"/>
  <c r="Q256" i="17"/>
  <c r="P244" i="17"/>
  <c r="P600" i="17"/>
  <c r="P588" i="17"/>
  <c r="P570" i="17"/>
  <c r="P542" i="17"/>
  <c r="P519" i="17"/>
  <c r="P501" i="17"/>
  <c r="P478" i="17"/>
  <c r="P454" i="17"/>
  <c r="P436" i="17"/>
  <c r="P389" i="17"/>
  <c r="P368" i="17"/>
  <c r="P347" i="17"/>
  <c r="P328" i="17"/>
  <c r="P282" i="17"/>
  <c r="Q550" i="17"/>
  <c r="Q403" i="17"/>
  <c r="Q313" i="17"/>
  <c r="Q351" i="17"/>
  <c r="P351" i="17"/>
  <c r="Q358" i="17"/>
  <c r="P358" i="17"/>
  <c r="P365" i="17"/>
  <c r="Q365" i="17"/>
  <c r="Q458" i="17"/>
  <c r="P458" i="17"/>
  <c r="P475" i="17"/>
  <c r="Q475" i="17"/>
  <c r="Q120" i="17"/>
  <c r="P120" i="17"/>
  <c r="Q295" i="17"/>
  <c r="P295" i="17"/>
  <c r="Q327" i="17"/>
  <c r="P327" i="17"/>
  <c r="Q359" i="17"/>
  <c r="P359" i="17"/>
  <c r="Q396" i="17"/>
  <c r="P396" i="17"/>
  <c r="Q435" i="17"/>
  <c r="P435" i="17"/>
  <c r="Q468" i="17"/>
  <c r="P468" i="17"/>
  <c r="Q508" i="17"/>
  <c r="P508" i="17"/>
  <c r="Q540" i="17"/>
  <c r="P540" i="17"/>
  <c r="Q569" i="17"/>
  <c r="P569" i="17"/>
  <c r="Q106" i="17"/>
  <c r="P106" i="17"/>
  <c r="Q178" i="17"/>
  <c r="P178" i="17"/>
  <c r="P263" i="17"/>
  <c r="Q263" i="17"/>
  <c r="P288" i="17"/>
  <c r="Q288" i="17"/>
  <c r="P312" i="17"/>
  <c r="Q312" i="17"/>
  <c r="Q290" i="17"/>
  <c r="P290" i="17"/>
  <c r="Q298" i="17"/>
  <c r="P298" i="17"/>
  <c r="P238" i="17"/>
  <c r="P599" i="17"/>
  <c r="P587" i="17"/>
  <c r="P104" i="17"/>
  <c r="P541" i="17"/>
  <c r="P518" i="17"/>
  <c r="P495" i="17"/>
  <c r="P477" i="17"/>
  <c r="P453" i="17"/>
  <c r="P430" i="17"/>
  <c r="P383" i="17"/>
  <c r="P367" i="17"/>
  <c r="P346" i="17"/>
  <c r="P322" i="17"/>
  <c r="P279" i="17"/>
  <c r="Q547" i="17"/>
  <c r="Q398" i="17"/>
  <c r="Q310" i="17"/>
  <c r="P334" i="17"/>
  <c r="Q334" i="17"/>
  <c r="Q287" i="17"/>
  <c r="P287" i="17"/>
  <c r="Q319" i="17"/>
  <c r="P319" i="17"/>
  <c r="Q344" i="17"/>
  <c r="P344" i="17"/>
  <c r="Q122" i="17"/>
  <c r="P122" i="17"/>
  <c r="Q404" i="17"/>
  <c r="P404" i="17"/>
  <c r="Q427" i="17"/>
  <c r="P427" i="17"/>
  <c r="Q476" i="17"/>
  <c r="P476" i="17"/>
  <c r="Q500" i="17"/>
  <c r="P500" i="17"/>
  <c r="Q532" i="17"/>
  <c r="P532" i="17"/>
  <c r="Q577" i="17"/>
  <c r="P577" i="17"/>
  <c r="Q598" i="17"/>
  <c r="P598" i="17"/>
  <c r="Q243" i="17"/>
  <c r="P243" i="17"/>
  <c r="P296" i="17"/>
  <c r="Q296" i="17"/>
  <c r="P117" i="17"/>
  <c r="P264" i="17"/>
  <c r="Q264" i="17"/>
  <c r="P289" i="17"/>
  <c r="Q289" i="17"/>
  <c r="Q274" i="17"/>
  <c r="P274" i="17"/>
  <c r="P258" i="17"/>
  <c r="Q258" i="17"/>
  <c r="P266" i="17"/>
  <c r="Q266" i="17"/>
  <c r="P275" i="17"/>
  <c r="Q275" i="17"/>
  <c r="P283" i="17"/>
  <c r="Q283" i="17"/>
  <c r="P291" i="17"/>
  <c r="Q291" i="17"/>
  <c r="P299" i="17"/>
  <c r="Q299" i="17"/>
  <c r="P307" i="17"/>
  <c r="Q307" i="17"/>
  <c r="P315" i="17"/>
  <c r="Q315" i="17"/>
  <c r="Q323" i="17"/>
  <c r="P323" i="17"/>
  <c r="Q331" i="17"/>
  <c r="P331" i="17"/>
  <c r="Q339" i="17"/>
  <c r="P339" i="17"/>
  <c r="Q348" i="17"/>
  <c r="P348" i="17"/>
  <c r="Q355" i="17"/>
  <c r="P355" i="17"/>
  <c r="Q362" i="17"/>
  <c r="P362" i="17"/>
  <c r="Q370" i="17"/>
  <c r="P370" i="17"/>
  <c r="Q377" i="17"/>
  <c r="P377" i="17"/>
  <c r="Q384" i="17"/>
  <c r="P384" i="17"/>
  <c r="Q392" i="17"/>
  <c r="P392" i="17"/>
  <c r="Q400" i="17"/>
  <c r="P400" i="17"/>
  <c r="Q423" i="17"/>
  <c r="P423" i="17"/>
  <c r="Q431" i="17"/>
  <c r="P431" i="17"/>
  <c r="Q439" i="17"/>
  <c r="P439" i="17"/>
  <c r="Q447" i="17"/>
  <c r="P447" i="17"/>
  <c r="Q455" i="17"/>
  <c r="P455" i="17"/>
  <c r="Q464" i="17"/>
  <c r="P464" i="17"/>
  <c r="Q472" i="17"/>
  <c r="P472" i="17"/>
  <c r="Q480" i="17"/>
  <c r="P480" i="17"/>
  <c r="Q488" i="17"/>
  <c r="P488" i="17"/>
  <c r="Q496" i="17"/>
  <c r="P496" i="17"/>
  <c r="Q504" i="17"/>
  <c r="P504" i="17"/>
  <c r="Q512" i="17"/>
  <c r="P512" i="17"/>
  <c r="Q520" i="17"/>
  <c r="P520" i="17"/>
  <c r="Q528" i="17"/>
  <c r="P528" i="17"/>
  <c r="Q536" i="17"/>
  <c r="P536" i="17"/>
  <c r="Q544" i="17"/>
  <c r="P544" i="17"/>
  <c r="Q561" i="17"/>
  <c r="P561" i="17"/>
  <c r="Q105" i="17"/>
  <c r="P105" i="17"/>
  <c r="Q573" i="17"/>
  <c r="P573" i="17"/>
  <c r="Q581" i="17"/>
  <c r="P581" i="17"/>
  <c r="Q589" i="17"/>
  <c r="P589" i="17"/>
  <c r="Q594" i="17"/>
  <c r="P594" i="17"/>
  <c r="Q109" i="17"/>
  <c r="P109" i="17"/>
  <c r="Q602" i="17"/>
  <c r="P602" i="17"/>
  <c r="Q610" i="17"/>
  <c r="P610" i="17"/>
  <c r="Q239" i="17"/>
  <c r="P239" i="17"/>
  <c r="Q179" i="17"/>
  <c r="P179" i="17"/>
  <c r="P237" i="17"/>
  <c r="P596" i="17"/>
  <c r="P586" i="17"/>
  <c r="P103" i="17"/>
  <c r="P535" i="17"/>
  <c r="P517" i="17"/>
  <c r="P494" i="17"/>
  <c r="P471" i="17"/>
  <c r="P452" i="17"/>
  <c r="P429" i="17"/>
  <c r="P412" i="17"/>
  <c r="P382" i="17"/>
  <c r="P361" i="17"/>
  <c r="P345" i="17"/>
  <c r="P321" i="17"/>
  <c r="P262" i="17"/>
  <c r="Q608" i="17"/>
  <c r="Q450" i="17"/>
  <c r="Q375" i="17"/>
  <c r="Q305" i="17"/>
  <c r="Q491" i="17"/>
  <c r="P491" i="17"/>
  <c r="Q499" i="17"/>
  <c r="P499" i="17"/>
  <c r="P507" i="17"/>
  <c r="Q507" i="17"/>
  <c r="Q523" i="17"/>
  <c r="P523" i="17"/>
  <c r="P539" i="17"/>
  <c r="Q539" i="17"/>
  <c r="Q568" i="17"/>
  <c r="P568" i="17"/>
  <c r="P576" i="17"/>
  <c r="Q576" i="17"/>
  <c r="P597" i="17"/>
  <c r="Q597" i="17"/>
  <c r="Q54" i="17"/>
  <c r="Q254" i="17"/>
  <c r="P254" i="17"/>
  <c r="Q270" i="17"/>
  <c r="P270" i="17"/>
  <c r="Q311" i="17"/>
  <c r="P311" i="17"/>
  <c r="Q352" i="17"/>
  <c r="P352" i="17"/>
  <c r="Q381" i="17"/>
  <c r="P381" i="17"/>
  <c r="Q451" i="17"/>
  <c r="P451" i="17"/>
  <c r="Q484" i="17"/>
  <c r="P484" i="17"/>
  <c r="Q524" i="17"/>
  <c r="P524" i="17"/>
  <c r="Q565" i="17"/>
  <c r="P565" i="17"/>
  <c r="Q592" i="17"/>
  <c r="P592" i="17"/>
  <c r="Q343" i="17"/>
  <c r="P460" i="17"/>
  <c r="Q267" i="17"/>
  <c r="P267" i="17"/>
  <c r="Q276" i="17"/>
  <c r="P276" i="17"/>
  <c r="Q308" i="17"/>
  <c r="P308" i="17"/>
  <c r="Q316" i="17"/>
  <c r="P316" i="17"/>
  <c r="Q324" i="17"/>
  <c r="P324" i="17"/>
  <c r="Q332" i="17"/>
  <c r="P332" i="17"/>
  <c r="Q340" i="17"/>
  <c r="P340" i="17"/>
  <c r="Q349" i="17"/>
  <c r="P349" i="17"/>
  <c r="Q356" i="17"/>
  <c r="P356" i="17"/>
  <c r="Q363" i="17"/>
  <c r="P363" i="17"/>
  <c r="Q371" i="17"/>
  <c r="P371" i="17"/>
  <c r="Q378" i="17"/>
  <c r="P378" i="17"/>
  <c r="Q385" i="17"/>
  <c r="P385" i="17"/>
  <c r="Q393" i="17"/>
  <c r="P393" i="17"/>
  <c r="Q401" i="17"/>
  <c r="P401" i="17"/>
  <c r="Q424" i="17"/>
  <c r="P424" i="17"/>
  <c r="Q432" i="17"/>
  <c r="P432" i="17"/>
  <c r="Q440" i="17"/>
  <c r="P440" i="17"/>
  <c r="Q448" i="17"/>
  <c r="P448" i="17"/>
  <c r="Q456" i="17"/>
  <c r="P456" i="17"/>
  <c r="Q465" i="17"/>
  <c r="P465" i="17"/>
  <c r="Q473" i="17"/>
  <c r="P473" i="17"/>
  <c r="Q481" i="17"/>
  <c r="P481" i="17"/>
  <c r="Q489" i="17"/>
  <c r="P489" i="17"/>
  <c r="Q497" i="17"/>
  <c r="P497" i="17"/>
  <c r="Q505" i="17"/>
  <c r="P505" i="17"/>
  <c r="Q513" i="17"/>
  <c r="P513" i="17"/>
  <c r="Q521" i="17"/>
  <c r="P521" i="17"/>
  <c r="Q529" i="17"/>
  <c r="P529" i="17"/>
  <c r="Q537" i="17"/>
  <c r="P537" i="17"/>
  <c r="Q545" i="17"/>
  <c r="P545" i="17"/>
  <c r="Q562" i="17"/>
  <c r="P562" i="17"/>
  <c r="Q566" i="17"/>
  <c r="P566" i="17"/>
  <c r="Q574" i="17"/>
  <c r="P574" i="17"/>
  <c r="Q582" i="17"/>
  <c r="P582" i="17"/>
  <c r="Q590" i="17"/>
  <c r="P590" i="17"/>
  <c r="Q595" i="17"/>
  <c r="P595" i="17"/>
  <c r="Q110" i="17"/>
  <c r="P110" i="17"/>
  <c r="Q603" i="17"/>
  <c r="P603" i="17"/>
  <c r="Q611" i="17"/>
  <c r="P611" i="17"/>
  <c r="Q614" i="17"/>
  <c r="P614" i="17"/>
  <c r="Q249" i="17"/>
  <c r="P249" i="17"/>
  <c r="P108" i="17"/>
  <c r="P580" i="17"/>
  <c r="P102" i="17"/>
  <c r="P534" i="17"/>
  <c r="P511" i="17"/>
  <c r="P493" i="17"/>
  <c r="P470" i="17"/>
  <c r="P446" i="17"/>
  <c r="P428" i="17"/>
  <c r="P399" i="17"/>
  <c r="P96" i="17"/>
  <c r="P360" i="17"/>
  <c r="P338" i="17"/>
  <c r="P320" i="17"/>
  <c r="P259" i="17"/>
  <c r="Q605" i="17"/>
  <c r="Q445" i="17"/>
  <c r="Q373" i="17"/>
  <c r="Q281" i="17"/>
  <c r="P261" i="17"/>
  <c r="Q261" i="17"/>
  <c r="P269" i="17"/>
  <c r="Q269" i="17"/>
  <c r="P286" i="17"/>
  <c r="Q286" i="17"/>
  <c r="P294" i="17"/>
  <c r="Q294" i="17"/>
  <c r="P302" i="17"/>
  <c r="Q302" i="17"/>
  <c r="P318" i="17"/>
  <c r="Q318" i="17"/>
  <c r="Q326" i="17"/>
  <c r="P326" i="17"/>
  <c r="Q380" i="17"/>
  <c r="P380" i="17"/>
  <c r="Q387" i="17"/>
  <c r="P387" i="17"/>
  <c r="P395" i="17"/>
  <c r="Q395" i="17"/>
  <c r="Q426" i="17"/>
  <c r="P426" i="17"/>
  <c r="Q434" i="17"/>
  <c r="P434" i="17"/>
  <c r="P442" i="17"/>
  <c r="Q442" i="17"/>
  <c r="Q467" i="17"/>
  <c r="P467" i="17"/>
  <c r="Q531" i="17"/>
  <c r="P531" i="17"/>
  <c r="Q564" i="17"/>
  <c r="P564" i="17"/>
  <c r="Q591" i="17"/>
  <c r="P591" i="17"/>
  <c r="Q335" i="17"/>
  <c r="P335" i="17"/>
  <c r="Q366" i="17"/>
  <c r="P366" i="17"/>
  <c r="Q388" i="17"/>
  <c r="P388" i="17"/>
  <c r="Q419" i="17"/>
  <c r="P419" i="17"/>
  <c r="Q443" i="17"/>
  <c r="P443" i="17"/>
  <c r="Q459" i="17"/>
  <c r="P459" i="17"/>
  <c r="Q492" i="17"/>
  <c r="P492" i="17"/>
  <c r="Q516" i="17"/>
  <c r="P516" i="17"/>
  <c r="Q548" i="17"/>
  <c r="P548" i="17"/>
  <c r="Q585" i="17"/>
  <c r="P585" i="17"/>
  <c r="Q606" i="17"/>
  <c r="P606" i="17"/>
  <c r="P255" i="17"/>
  <c r="Q255" i="17"/>
  <c r="P280" i="17"/>
  <c r="Q280" i="17"/>
  <c r="P304" i="17"/>
  <c r="Q304" i="17"/>
  <c r="P525" i="17"/>
  <c r="Q53" i="17"/>
  <c r="P297" i="17"/>
  <c r="Q297" i="17"/>
  <c r="Q265" i="17"/>
  <c r="P265" i="17"/>
  <c r="Q314" i="17"/>
  <c r="P314" i="17"/>
  <c r="Q51" i="17"/>
  <c r="P51" i="17"/>
  <c r="Q292" i="17"/>
  <c r="P292" i="17"/>
  <c r="P52" i="17"/>
  <c r="Q52" i="17"/>
  <c r="P260" i="17"/>
  <c r="Q260" i="17"/>
  <c r="P268" i="17"/>
  <c r="Q268" i="17"/>
  <c r="P277" i="17"/>
  <c r="Q277" i="17"/>
  <c r="P285" i="17"/>
  <c r="Q285" i="17"/>
  <c r="P293" i="17"/>
  <c r="Q293" i="17"/>
  <c r="P301" i="17"/>
  <c r="Q301" i="17"/>
  <c r="P309" i="17"/>
  <c r="Q309" i="17"/>
  <c r="P317" i="17"/>
  <c r="Q317" i="17"/>
  <c r="Q325" i="17"/>
  <c r="P325" i="17"/>
  <c r="Q333" i="17"/>
  <c r="P333" i="17"/>
  <c r="Q341" i="17"/>
  <c r="P341" i="17"/>
  <c r="Q350" i="17"/>
  <c r="P350" i="17"/>
  <c r="Q357" i="17"/>
  <c r="P357" i="17"/>
  <c r="Q364" i="17"/>
  <c r="P364" i="17"/>
  <c r="Q372" i="17"/>
  <c r="P372" i="17"/>
  <c r="Q379" i="17"/>
  <c r="P379" i="17"/>
  <c r="Q386" i="17"/>
  <c r="P386" i="17"/>
  <c r="Q394" i="17"/>
  <c r="P394" i="17"/>
  <c r="Q402" i="17"/>
  <c r="P402" i="17"/>
  <c r="Q425" i="17"/>
  <c r="P425" i="17"/>
  <c r="Q433" i="17"/>
  <c r="P433" i="17"/>
  <c r="Q441" i="17"/>
  <c r="P441" i="17"/>
  <c r="Q449" i="17"/>
  <c r="P449" i="17"/>
  <c r="Q457" i="17"/>
  <c r="P457" i="17"/>
  <c r="Q466" i="17"/>
  <c r="P466" i="17"/>
  <c r="Q474" i="17"/>
  <c r="P474" i="17"/>
  <c r="Q482" i="17"/>
  <c r="P482" i="17"/>
  <c r="Q490" i="17"/>
  <c r="P490" i="17"/>
  <c r="Q498" i="17"/>
  <c r="P498" i="17"/>
  <c r="Q506" i="17"/>
  <c r="P506" i="17"/>
  <c r="Q514" i="17"/>
  <c r="P514" i="17"/>
  <c r="Q522" i="17"/>
  <c r="P522" i="17"/>
  <c r="Q530" i="17"/>
  <c r="P530" i="17"/>
  <c r="Q538" i="17"/>
  <c r="P538" i="17"/>
  <c r="Q546" i="17"/>
  <c r="P546" i="17"/>
  <c r="Q563" i="17"/>
  <c r="P563" i="17"/>
  <c r="Q567" i="17"/>
  <c r="P567" i="17"/>
  <c r="Q575" i="17"/>
  <c r="P575" i="17"/>
  <c r="Q583" i="17"/>
  <c r="P583" i="17"/>
  <c r="Q116" i="17"/>
  <c r="P116" i="17"/>
  <c r="Q119" i="17"/>
  <c r="P119" i="17"/>
  <c r="Q113" i="17"/>
  <c r="P113" i="17"/>
  <c r="Q604" i="17"/>
  <c r="P604" i="17"/>
  <c r="Q612" i="17"/>
  <c r="P612" i="17"/>
  <c r="Q241" i="17"/>
  <c r="P241" i="17"/>
  <c r="Q250" i="17"/>
  <c r="P250" i="17"/>
  <c r="P609" i="17"/>
  <c r="P107" i="17"/>
  <c r="P551" i="17"/>
  <c r="P533" i="17"/>
  <c r="P510" i="17"/>
  <c r="P487" i="17"/>
  <c r="P469" i="17"/>
  <c r="P422" i="17"/>
  <c r="P376" i="17"/>
  <c r="P121" i="17"/>
  <c r="P306" i="17"/>
  <c r="P257" i="17"/>
  <c r="Q515" i="17"/>
  <c r="Q421" i="17"/>
  <c r="Q278" i="17"/>
  <c r="Q613" i="17"/>
  <c r="P613" i="17"/>
  <c r="Q242" i="17"/>
  <c r="P242" i="17"/>
  <c r="P593" i="17"/>
  <c r="P578" i="17"/>
  <c r="P527" i="17"/>
  <c r="P509" i="17"/>
  <c r="P463" i="17"/>
  <c r="P444" i="17"/>
  <c r="P397" i="17"/>
  <c r="P354" i="17"/>
  <c r="P336" i="17"/>
  <c r="P303" i="17"/>
  <c r="Q418" i="17"/>
  <c r="Q273" i="17"/>
  <c r="WUQ247" i="20" l="1"/>
  <c r="WUM247" i="20" s="1"/>
  <c r="WUI247" i="20" s="1"/>
  <c r="WUE247" i="20" s="1"/>
  <c r="WUP247" i="20"/>
  <c r="N422" i="20"/>
  <c r="O422" i="20" s="1"/>
  <c r="N419" i="20"/>
  <c r="O419" i="20" s="1"/>
  <c r="N420" i="20"/>
  <c r="O420" i="20" s="1"/>
  <c r="N423" i="20"/>
  <c r="O423" i="20" s="1"/>
  <c r="N418" i="20"/>
  <c r="O418" i="20" s="1"/>
  <c r="N421" i="20"/>
  <c r="O421" i="20" s="1"/>
  <c r="N417" i="20"/>
  <c r="O417" i="20" s="1"/>
  <c r="N325" i="20"/>
  <c r="O325" i="20" s="1"/>
  <c r="N324" i="20"/>
  <c r="O324" i="20" s="1"/>
  <c r="I762" i="20"/>
  <c r="J762" i="20" s="1"/>
  <c r="N762" i="20" s="1"/>
  <c r="H762" i="20"/>
  <c r="I761" i="20"/>
  <c r="J761" i="20" s="1"/>
  <c r="N761" i="20" s="1"/>
  <c r="H761" i="20"/>
  <c r="I760" i="20"/>
  <c r="J760" i="20" s="1"/>
  <c r="N760" i="20" s="1"/>
  <c r="H760" i="20"/>
  <c r="I759" i="20"/>
  <c r="J759" i="20" s="1"/>
  <c r="N759" i="20" s="1"/>
  <c r="H759" i="20"/>
  <c r="I758" i="20"/>
  <c r="J758" i="20" s="1"/>
  <c r="N758" i="20" s="1"/>
  <c r="H758" i="20"/>
  <c r="I757" i="20"/>
  <c r="J757" i="20" s="1"/>
  <c r="N757" i="20" s="1"/>
  <c r="H757" i="20"/>
  <c r="I756" i="20"/>
  <c r="J756" i="20" s="1"/>
  <c r="N756" i="20" s="1"/>
  <c r="H756" i="20"/>
  <c r="I755" i="20"/>
  <c r="J755" i="20" s="1"/>
  <c r="N755" i="20" s="1"/>
  <c r="H755" i="20"/>
  <c r="I754" i="20"/>
  <c r="J754" i="20" s="1"/>
  <c r="N754" i="20" s="1"/>
  <c r="H754" i="20"/>
  <c r="I753" i="20"/>
  <c r="J753" i="20" s="1"/>
  <c r="N753" i="20" s="1"/>
  <c r="H753" i="20"/>
  <c r="I752" i="20"/>
  <c r="J752" i="20" s="1"/>
  <c r="N752" i="20" s="1"/>
  <c r="H752" i="20"/>
  <c r="I751" i="20"/>
  <c r="J751" i="20" s="1"/>
  <c r="N751" i="20" s="1"/>
  <c r="H751" i="20"/>
  <c r="I750" i="20"/>
  <c r="J750" i="20" s="1"/>
  <c r="N750" i="20" s="1"/>
  <c r="H750" i="20"/>
  <c r="I749" i="20"/>
  <c r="J749" i="20" s="1"/>
  <c r="N749" i="20" s="1"/>
  <c r="H749" i="20"/>
  <c r="I748" i="20"/>
  <c r="J748" i="20" s="1"/>
  <c r="N748" i="20" s="1"/>
  <c r="H748" i="20"/>
  <c r="I747" i="20"/>
  <c r="J747" i="20" s="1"/>
  <c r="N747" i="20" s="1"/>
  <c r="H747" i="20"/>
  <c r="I746" i="20"/>
  <c r="J746" i="20" s="1"/>
  <c r="N746" i="20" s="1"/>
  <c r="H746" i="20"/>
  <c r="I745" i="20"/>
  <c r="J745" i="20" s="1"/>
  <c r="N745" i="20" s="1"/>
  <c r="H745" i="20"/>
  <c r="I744" i="20"/>
  <c r="J744" i="20" s="1"/>
  <c r="N744" i="20" s="1"/>
  <c r="H744" i="20"/>
  <c r="I743" i="20"/>
  <c r="J743" i="20" s="1"/>
  <c r="N743" i="20" s="1"/>
  <c r="H743" i="20"/>
  <c r="I742" i="20"/>
  <c r="J742" i="20" s="1"/>
  <c r="N742" i="20" s="1"/>
  <c r="H742" i="20"/>
  <c r="I741" i="20"/>
  <c r="J741" i="20" s="1"/>
  <c r="N741" i="20" s="1"/>
  <c r="H741" i="20"/>
  <c r="I740" i="20"/>
  <c r="J740" i="20" s="1"/>
  <c r="N740" i="20" s="1"/>
  <c r="H740" i="20"/>
  <c r="I739" i="20"/>
  <c r="J739" i="20" s="1"/>
  <c r="N739" i="20" s="1"/>
  <c r="H739" i="20"/>
  <c r="I738" i="20"/>
  <c r="J738" i="20" s="1"/>
  <c r="N738" i="20" s="1"/>
  <c r="H738" i="20"/>
  <c r="I737" i="20"/>
  <c r="J737" i="20" s="1"/>
  <c r="N737" i="20" s="1"/>
  <c r="H737" i="20"/>
  <c r="I736" i="20"/>
  <c r="J736" i="20" s="1"/>
  <c r="N736" i="20" s="1"/>
  <c r="H736" i="20"/>
  <c r="I735" i="20"/>
  <c r="J735" i="20" s="1"/>
  <c r="N735" i="20" s="1"/>
  <c r="H735" i="20"/>
  <c r="I734" i="20"/>
  <c r="J734" i="20" s="1"/>
  <c r="N734" i="20" s="1"/>
  <c r="H734" i="20"/>
  <c r="I733" i="20"/>
  <c r="J733" i="20" s="1"/>
  <c r="N733" i="20" s="1"/>
  <c r="H733" i="20"/>
  <c r="I732" i="20"/>
  <c r="J732" i="20" s="1"/>
  <c r="N732" i="20" s="1"/>
  <c r="H732" i="20"/>
  <c r="I731" i="20"/>
  <c r="J731" i="20" s="1"/>
  <c r="N731" i="20" s="1"/>
  <c r="H731" i="20"/>
  <c r="I730" i="20"/>
  <c r="J730" i="20" s="1"/>
  <c r="N730" i="20" s="1"/>
  <c r="H730" i="20"/>
  <c r="I722" i="20"/>
  <c r="J722" i="20" s="1"/>
  <c r="N722" i="20" s="1"/>
  <c r="H722" i="20"/>
  <c r="I721" i="20"/>
  <c r="J721" i="20" s="1"/>
  <c r="N721" i="20" s="1"/>
  <c r="H721" i="20"/>
  <c r="I720" i="20"/>
  <c r="J720" i="20" s="1"/>
  <c r="N720" i="20" s="1"/>
  <c r="H720" i="20"/>
  <c r="I719" i="20"/>
  <c r="J719" i="20" s="1"/>
  <c r="N719" i="20" s="1"/>
  <c r="H719" i="20"/>
  <c r="I718" i="20"/>
  <c r="J718" i="20" s="1"/>
  <c r="N718" i="20" s="1"/>
  <c r="H718" i="20"/>
  <c r="I717" i="20"/>
  <c r="J717" i="20" s="1"/>
  <c r="N717" i="20" s="1"/>
  <c r="H717" i="20"/>
  <c r="I716" i="20"/>
  <c r="J716" i="20" s="1"/>
  <c r="N716" i="20" s="1"/>
  <c r="H716" i="20"/>
  <c r="I715" i="20"/>
  <c r="J715" i="20" s="1"/>
  <c r="N715" i="20" s="1"/>
  <c r="H715" i="20"/>
  <c r="I714" i="20"/>
  <c r="J714" i="20" s="1"/>
  <c r="N714" i="20" s="1"/>
  <c r="H714" i="20"/>
  <c r="I713" i="20"/>
  <c r="J713" i="20" s="1"/>
  <c r="N713" i="20" s="1"/>
  <c r="H713" i="20"/>
  <c r="I712" i="20"/>
  <c r="J712" i="20" s="1"/>
  <c r="N712" i="20" s="1"/>
  <c r="H712" i="20"/>
  <c r="I711" i="20"/>
  <c r="J711" i="20" s="1"/>
  <c r="N711" i="20" s="1"/>
  <c r="H711" i="20"/>
  <c r="I710" i="20"/>
  <c r="J710" i="20" s="1"/>
  <c r="N710" i="20" s="1"/>
  <c r="H710" i="20"/>
  <c r="I709" i="20"/>
  <c r="J709" i="20" s="1"/>
  <c r="N709" i="20" s="1"/>
  <c r="H709" i="20"/>
  <c r="I708" i="20"/>
  <c r="J708" i="20" s="1"/>
  <c r="N708" i="20" s="1"/>
  <c r="H708" i="20"/>
  <c r="I707" i="20"/>
  <c r="J707" i="20" s="1"/>
  <c r="N707" i="20" s="1"/>
  <c r="H707" i="20"/>
  <c r="I706" i="20"/>
  <c r="J706" i="20" s="1"/>
  <c r="N706" i="20" s="1"/>
  <c r="H706" i="20"/>
  <c r="I705" i="20"/>
  <c r="J705" i="20" s="1"/>
  <c r="N705" i="20" s="1"/>
  <c r="H705" i="20"/>
  <c r="I704" i="20"/>
  <c r="J704" i="20" s="1"/>
  <c r="N704" i="20" s="1"/>
  <c r="H704" i="20"/>
  <c r="I703" i="20"/>
  <c r="J703" i="20" s="1"/>
  <c r="N703" i="20" s="1"/>
  <c r="H703" i="20"/>
  <c r="I702" i="20"/>
  <c r="J702" i="20" s="1"/>
  <c r="N702" i="20" s="1"/>
  <c r="H702" i="20"/>
  <c r="H701" i="20"/>
  <c r="H700" i="20"/>
  <c r="H699" i="20"/>
  <c r="H698" i="20"/>
  <c r="H697" i="20"/>
  <c r="H696" i="20"/>
  <c r="H695" i="20"/>
  <c r="H694" i="20"/>
  <c r="H693" i="20"/>
  <c r="H687" i="20"/>
  <c r="H686" i="20"/>
  <c r="H685" i="20"/>
  <c r="H684" i="20"/>
  <c r="H683" i="20"/>
  <c r="H682" i="20"/>
  <c r="H681" i="20"/>
  <c r="H680" i="20"/>
  <c r="H679" i="20"/>
  <c r="H678" i="20"/>
  <c r="H661" i="20"/>
  <c r="H660" i="20"/>
  <c r="H659" i="20"/>
  <c r="H658" i="20"/>
  <c r="H657" i="20"/>
  <c r="H656" i="20"/>
  <c r="H655" i="20"/>
  <c r="H654" i="20"/>
  <c r="H630" i="20"/>
  <c r="H629" i="20"/>
  <c r="H628" i="20"/>
  <c r="H627" i="20"/>
  <c r="H626" i="20"/>
  <c r="H625" i="20"/>
  <c r="H624" i="20"/>
  <c r="H623" i="20"/>
  <c r="H622" i="20"/>
  <c r="H621" i="20"/>
  <c r="H620" i="20"/>
  <c r="H619" i="20"/>
  <c r="H594" i="20"/>
  <c r="H593" i="20"/>
  <c r="H592" i="20"/>
  <c r="H591" i="20"/>
  <c r="H590" i="20"/>
  <c r="H589" i="20"/>
  <c r="H588" i="20"/>
  <c r="H587" i="20"/>
  <c r="H586" i="20"/>
  <c r="H585" i="20"/>
  <c r="H584" i="20"/>
  <c r="H583" i="20"/>
  <c r="H582" i="20"/>
  <c r="H581" i="20"/>
  <c r="H580" i="20"/>
  <c r="H579" i="20"/>
  <c r="H578" i="20"/>
  <c r="H577" i="20"/>
  <c r="H576" i="20"/>
  <c r="H575" i="20"/>
  <c r="H574" i="20"/>
  <c r="H573" i="20"/>
  <c r="H572" i="20"/>
  <c r="H571" i="20"/>
  <c r="H570" i="20"/>
  <c r="H569" i="20"/>
  <c r="H568" i="20"/>
  <c r="H567" i="20"/>
  <c r="H566" i="20"/>
  <c r="H565" i="20"/>
  <c r="H564" i="20"/>
  <c r="A563" i="20"/>
  <c r="H563" i="20" s="1"/>
  <c r="A562" i="20"/>
  <c r="H560" i="20"/>
  <c r="H559" i="20"/>
  <c r="H558" i="20"/>
  <c r="H556" i="20"/>
  <c r="H555" i="20"/>
  <c r="H554" i="20"/>
  <c r="H552" i="20"/>
  <c r="H551" i="20"/>
  <c r="H550" i="20"/>
  <c r="H548" i="20"/>
  <c r="H547" i="20"/>
  <c r="H546" i="20"/>
  <c r="H545" i="20"/>
  <c r="H544" i="20"/>
  <c r="H543" i="20"/>
  <c r="H542" i="20"/>
  <c r="H541" i="20"/>
  <c r="H540" i="20"/>
  <c r="H539" i="20"/>
  <c r="H538" i="20"/>
  <c r="H537" i="20"/>
  <c r="H536" i="20"/>
  <c r="H535" i="20"/>
  <c r="H534" i="20"/>
  <c r="H533" i="20"/>
  <c r="H532" i="20"/>
  <c r="H531" i="20"/>
  <c r="H530" i="20"/>
  <c r="H529" i="20"/>
  <c r="H528" i="20"/>
  <c r="H527" i="20"/>
  <c r="H524" i="20"/>
  <c r="H523" i="20"/>
  <c r="H522" i="20"/>
  <c r="H521" i="20"/>
  <c r="H520" i="20"/>
  <c r="H519" i="20"/>
  <c r="H518" i="20"/>
  <c r="H517" i="20"/>
  <c r="H516" i="20"/>
  <c r="H515" i="20"/>
  <c r="H514" i="20"/>
  <c r="H513" i="20"/>
  <c r="H512" i="20"/>
  <c r="H511" i="20"/>
  <c r="H510" i="20"/>
  <c r="H509" i="20"/>
  <c r="H508" i="20"/>
  <c r="H507" i="20"/>
  <c r="H485" i="20"/>
  <c r="H484" i="20"/>
  <c r="H483" i="20"/>
  <c r="H482" i="20"/>
  <c r="H481" i="20"/>
  <c r="H480" i="20"/>
  <c r="H479" i="20"/>
  <c r="H478" i="20"/>
  <c r="H477" i="20"/>
  <c r="H476" i="20"/>
  <c r="H475" i="20"/>
  <c r="H474" i="20"/>
  <c r="H473" i="20"/>
  <c r="H472" i="20"/>
  <c r="H471" i="20"/>
  <c r="H470" i="20"/>
  <c r="H469" i="20"/>
  <c r="H468" i="20"/>
  <c r="H467" i="20"/>
  <c r="H466" i="20"/>
  <c r="H465" i="20"/>
  <c r="H464" i="20"/>
  <c r="H463" i="20"/>
  <c r="H462" i="20"/>
  <c r="H461" i="20"/>
  <c r="H460" i="20"/>
  <c r="H459" i="20"/>
  <c r="H458" i="20"/>
  <c r="H457" i="20"/>
  <c r="H456" i="20"/>
  <c r="H455" i="20"/>
  <c r="H454" i="20"/>
  <c r="A453" i="20"/>
  <c r="A452" i="20"/>
  <c r="Q451" i="20"/>
  <c r="I451" i="20"/>
  <c r="H441" i="20"/>
  <c r="H440" i="20"/>
  <c r="H439" i="20"/>
  <c r="H438" i="20"/>
  <c r="H437" i="20"/>
  <c r="H436" i="20"/>
  <c r="H435" i="20"/>
  <c r="H434" i="20"/>
  <c r="H433" i="20"/>
  <c r="H432" i="20"/>
  <c r="H431" i="20"/>
  <c r="H430" i="20"/>
  <c r="H429" i="20"/>
  <c r="H428" i="20"/>
  <c r="H427" i="20"/>
  <c r="H426" i="20"/>
  <c r="H425" i="20"/>
  <c r="H424" i="20"/>
  <c r="H416" i="20"/>
  <c r="H415" i="20"/>
  <c r="H414" i="20"/>
  <c r="H413" i="20"/>
  <c r="H412" i="20"/>
  <c r="H411" i="20"/>
  <c r="H410" i="20"/>
  <c r="H409" i="20"/>
  <c r="H408" i="20"/>
  <c r="H407" i="20"/>
  <c r="H406" i="20"/>
  <c r="H405" i="20"/>
  <c r="H404" i="20"/>
  <c r="H403" i="20"/>
  <c r="H402" i="20"/>
  <c r="H401" i="20"/>
  <c r="H400" i="20"/>
  <c r="H399" i="20"/>
  <c r="H398" i="20"/>
  <c r="H397" i="20"/>
  <c r="H396" i="20"/>
  <c r="H395" i="20"/>
  <c r="H394" i="20"/>
  <c r="H393" i="20"/>
  <c r="H392" i="20"/>
  <c r="H391" i="20"/>
  <c r="H390" i="20"/>
  <c r="H389" i="20"/>
  <c r="H388" i="20"/>
  <c r="H387" i="20"/>
  <c r="H386" i="20"/>
  <c r="H380" i="20"/>
  <c r="H379" i="20"/>
  <c r="H378" i="20"/>
  <c r="H377" i="20"/>
  <c r="H376" i="20"/>
  <c r="H375" i="20"/>
  <c r="H374" i="20"/>
  <c r="H373" i="20"/>
  <c r="H372" i="20"/>
  <c r="H371" i="20"/>
  <c r="H370" i="20"/>
  <c r="H369" i="20"/>
  <c r="H368" i="20"/>
  <c r="H367" i="20"/>
  <c r="H366" i="20"/>
  <c r="H365" i="20"/>
  <c r="H364" i="20"/>
  <c r="H363" i="20"/>
  <c r="H362" i="20"/>
  <c r="H361" i="20"/>
  <c r="H360" i="20"/>
  <c r="H359" i="20"/>
  <c r="H358" i="20"/>
  <c r="H357" i="20"/>
  <c r="H356" i="20"/>
  <c r="H355" i="20"/>
  <c r="H354" i="20"/>
  <c r="H353" i="20"/>
  <c r="H352" i="20"/>
  <c r="H351" i="20"/>
  <c r="H350" i="20"/>
  <c r="H349" i="20"/>
  <c r="H348" i="20"/>
  <c r="H347" i="20"/>
  <c r="H346" i="20"/>
  <c r="H345" i="20"/>
  <c r="H344" i="20"/>
  <c r="H343" i="20"/>
  <c r="H342" i="20"/>
  <c r="H341" i="20"/>
  <c r="H340" i="20"/>
  <c r="H338" i="20"/>
  <c r="H337" i="20"/>
  <c r="H336" i="20"/>
  <c r="H335" i="20"/>
  <c r="H334" i="20"/>
  <c r="H333" i="20"/>
  <c r="H332" i="20"/>
  <c r="H331" i="20"/>
  <c r="H330" i="20"/>
  <c r="H329" i="20"/>
  <c r="H328" i="20"/>
  <c r="H327" i="20"/>
  <c r="H323" i="20"/>
  <c r="H322" i="20"/>
  <c r="H321" i="20"/>
  <c r="H320" i="20"/>
  <c r="H319" i="20"/>
  <c r="H318" i="20"/>
  <c r="H317" i="20"/>
  <c r="H316" i="20"/>
  <c r="H315" i="20"/>
  <c r="H314" i="20"/>
  <c r="H313" i="20"/>
  <c r="H312" i="20"/>
  <c r="H311" i="20"/>
  <c r="H310" i="20"/>
  <c r="H309" i="20"/>
  <c r="H308" i="20"/>
  <c r="H307" i="20"/>
  <c r="H306" i="20"/>
  <c r="H305" i="20"/>
  <c r="H304" i="20"/>
  <c r="H303" i="20"/>
  <c r="H302" i="20"/>
  <c r="H301" i="20"/>
  <c r="H300" i="20"/>
  <c r="H299" i="20"/>
  <c r="H298" i="20"/>
  <c r="H297" i="20"/>
  <c r="H296" i="20"/>
  <c r="H295" i="20"/>
  <c r="H294" i="20"/>
  <c r="H293" i="20"/>
  <c r="H277" i="20"/>
  <c r="H276" i="20"/>
  <c r="H275" i="20"/>
  <c r="H274" i="20"/>
  <c r="H273" i="20"/>
  <c r="H272" i="20"/>
  <c r="H271" i="20"/>
  <c r="H270" i="20"/>
  <c r="H269" i="20"/>
  <c r="H268" i="20"/>
  <c r="H267" i="20"/>
  <c r="H266" i="20"/>
  <c r="H265" i="20"/>
  <c r="H264" i="20"/>
  <c r="H263" i="20"/>
  <c r="H262" i="20"/>
  <c r="H261" i="20"/>
  <c r="H256" i="20"/>
  <c r="H255" i="20"/>
  <c r="H254" i="20"/>
  <c r="H253" i="20"/>
  <c r="H252" i="20"/>
  <c r="H251" i="20"/>
  <c r="H250" i="20"/>
  <c r="H249" i="20"/>
  <c r="H248" i="20"/>
  <c r="H246" i="20"/>
  <c r="H245" i="20"/>
  <c r="A244" i="20"/>
  <c r="A243" i="20"/>
  <c r="H229" i="20"/>
  <c r="H228" i="20"/>
  <c r="H227" i="20"/>
  <c r="H226" i="20"/>
  <c r="H225" i="20"/>
  <c r="H224" i="20"/>
  <c r="H223" i="20"/>
  <c r="H222" i="20"/>
  <c r="H221" i="20"/>
  <c r="H220" i="20"/>
  <c r="H219" i="20"/>
  <c r="H218" i="20"/>
  <c r="H217" i="20"/>
  <c r="H216" i="20"/>
  <c r="H215" i="20"/>
  <c r="H214" i="20"/>
  <c r="H213" i="20"/>
  <c r="H212" i="20"/>
  <c r="H211" i="20"/>
  <c r="H210" i="20"/>
  <c r="H209" i="20"/>
  <c r="H208" i="20"/>
  <c r="H207" i="20"/>
  <c r="H206" i="20"/>
  <c r="H205" i="20"/>
  <c r="H204" i="20"/>
  <c r="H202" i="20"/>
  <c r="H201" i="20"/>
  <c r="H200" i="20"/>
  <c r="H199" i="20"/>
  <c r="H198" i="20"/>
  <c r="H197" i="20"/>
  <c r="H196" i="20"/>
  <c r="H195" i="20"/>
  <c r="H194" i="20"/>
  <c r="H193" i="20"/>
  <c r="H192" i="20"/>
  <c r="H191" i="20"/>
  <c r="H190" i="20"/>
  <c r="H189" i="20"/>
  <c r="H188" i="20"/>
  <c r="H187" i="20"/>
  <c r="H186" i="20"/>
  <c r="H185" i="20"/>
  <c r="H184" i="20"/>
  <c r="H183" i="20"/>
  <c r="H182" i="20"/>
  <c r="H181" i="20"/>
  <c r="H180" i="20"/>
  <c r="H179" i="20"/>
  <c r="H178" i="20"/>
  <c r="H177" i="20"/>
  <c r="H176" i="20"/>
  <c r="H175" i="20"/>
  <c r="H174" i="20"/>
  <c r="H173" i="20"/>
  <c r="H172" i="20"/>
  <c r="H171" i="20"/>
  <c r="H170" i="20"/>
  <c r="H169" i="20"/>
  <c r="H168" i="20"/>
  <c r="H167" i="20"/>
  <c r="H166" i="20"/>
  <c r="H165" i="20"/>
  <c r="H163" i="20"/>
  <c r="H162" i="20"/>
  <c r="H161" i="20"/>
  <c r="H160" i="20"/>
  <c r="H159" i="20"/>
  <c r="H158" i="20"/>
  <c r="H157" i="20"/>
  <c r="H156" i="20"/>
  <c r="H155" i="20"/>
  <c r="H154" i="20"/>
  <c r="H153" i="20"/>
  <c r="H152" i="20"/>
  <c r="H151" i="20"/>
  <c r="H150" i="20"/>
  <c r="H149" i="20"/>
  <c r="H148" i="20"/>
  <c r="H147" i="20"/>
  <c r="H146" i="20"/>
  <c r="H145" i="20"/>
  <c r="H144" i="20"/>
  <c r="H143" i="20"/>
  <c r="H142" i="20"/>
  <c r="H141" i="20"/>
  <c r="J140" i="20"/>
  <c r="H140" i="20"/>
  <c r="H139" i="20"/>
  <c r="H138" i="20"/>
  <c r="H137" i="20"/>
  <c r="H136" i="20"/>
  <c r="H135" i="20"/>
  <c r="H134" i="20"/>
  <c r="H133" i="20"/>
  <c r="J132" i="20"/>
  <c r="H132" i="20"/>
  <c r="H131" i="20"/>
  <c r="H130" i="20"/>
  <c r="H129" i="20"/>
  <c r="H128" i="20"/>
  <c r="H127" i="20"/>
  <c r="H126" i="20"/>
  <c r="H125" i="20"/>
  <c r="J124" i="20"/>
  <c r="H124" i="20"/>
  <c r="H123" i="20"/>
  <c r="H122" i="20"/>
  <c r="H121" i="20"/>
  <c r="H120" i="20"/>
  <c r="H119" i="20"/>
  <c r="H118" i="20"/>
  <c r="H117" i="20"/>
  <c r="H116" i="20"/>
  <c r="H115" i="20"/>
  <c r="H114" i="20"/>
  <c r="H113" i="20"/>
  <c r="J112" i="20"/>
  <c r="H112" i="20"/>
  <c r="J111" i="20"/>
  <c r="H111" i="20"/>
  <c r="H110" i="20"/>
  <c r="H109" i="20"/>
  <c r="H108" i="20"/>
  <c r="H107" i="20"/>
  <c r="H106" i="20"/>
  <c r="J105" i="20"/>
  <c r="H105" i="20"/>
  <c r="H104" i="20"/>
  <c r="H103" i="20"/>
  <c r="H102" i="20"/>
  <c r="H101" i="20"/>
  <c r="H100" i="20"/>
  <c r="H99" i="20"/>
  <c r="H98" i="20"/>
  <c r="H97" i="20"/>
  <c r="H96" i="20"/>
  <c r="H95" i="20"/>
  <c r="H94" i="20"/>
  <c r="H92" i="20"/>
  <c r="J90" i="20"/>
  <c r="H90" i="20"/>
  <c r="J89" i="20"/>
  <c r="H89" i="20"/>
  <c r="H88" i="20"/>
  <c r="H87" i="20"/>
  <c r="H86" i="20"/>
  <c r="H85" i="20"/>
  <c r="H84" i="20"/>
  <c r="H83" i="20"/>
  <c r="H82" i="20"/>
  <c r="H81" i="20"/>
  <c r="H80" i="20"/>
  <c r="J79" i="20"/>
  <c r="H79" i="20"/>
  <c r="H78" i="20"/>
  <c r="H77" i="20"/>
  <c r="H76" i="20"/>
  <c r="A74" i="20"/>
  <c r="H66" i="20"/>
  <c r="H65" i="20"/>
  <c r="H64" i="20"/>
  <c r="H63" i="20"/>
  <c r="H62" i="20"/>
  <c r="H61" i="20"/>
  <c r="H60" i="20"/>
  <c r="H59" i="20"/>
  <c r="H58" i="20"/>
  <c r="H55" i="20"/>
  <c r="A26" i="20"/>
  <c r="Q22" i="20"/>
  <c r="I22" i="20"/>
  <c r="Q21" i="20"/>
  <c r="I21" i="20"/>
  <c r="Q20" i="20"/>
  <c r="I20" i="20"/>
  <c r="J19" i="20"/>
  <c r="N19" i="20" s="1"/>
  <c r="Q17" i="20"/>
  <c r="I17" i="20"/>
  <c r="Q16" i="20"/>
  <c r="I16" i="20"/>
  <c r="Q15" i="20"/>
  <c r="I15" i="20"/>
  <c r="S13" i="20"/>
  <c r="R12" i="20"/>
  <c r="Q7" i="20"/>
  <c r="D7" i="20"/>
  <c r="A41" i="19"/>
  <c r="A197" i="19"/>
  <c r="A361" i="19"/>
  <c r="I361" i="19"/>
  <c r="L361" i="19"/>
  <c r="A446" i="19"/>
  <c r="A574" i="19"/>
  <c r="I582" i="19"/>
  <c r="L582" i="19"/>
  <c r="A583" i="19"/>
  <c r="A584" i="19"/>
  <c r="H584" i="19" s="1"/>
  <c r="A585" i="19"/>
  <c r="H585" i="19" s="1"/>
  <c r="A586" i="19"/>
  <c r="H586" i="19" s="1"/>
  <c r="A587" i="19"/>
  <c r="H587" i="19" s="1"/>
  <c r="A588" i="19"/>
  <c r="H588" i="19" s="1"/>
  <c r="A589" i="19"/>
  <c r="H589" i="19" s="1"/>
  <c r="A590" i="19"/>
  <c r="H590" i="19" s="1"/>
  <c r="A591" i="19"/>
  <c r="H591" i="19" s="1"/>
  <c r="A592" i="19"/>
  <c r="H592" i="19" s="1"/>
  <c r="A593" i="19"/>
  <c r="H593" i="19" s="1"/>
  <c r="A594" i="19"/>
  <c r="H594" i="19" s="1"/>
  <c r="A595" i="19"/>
  <c r="H595" i="19" s="1"/>
  <c r="A596" i="19"/>
  <c r="H596" i="19" s="1"/>
  <c r="A597" i="19"/>
  <c r="H597" i="19" s="1"/>
  <c r="A598" i="19"/>
  <c r="H598" i="19" s="1"/>
  <c r="A599" i="19"/>
  <c r="H599" i="19" s="1"/>
  <c r="A600" i="19"/>
  <c r="H600" i="19" s="1"/>
  <c r="A601" i="19"/>
  <c r="H601" i="19" s="1"/>
  <c r="A602" i="19"/>
  <c r="H602" i="19" s="1"/>
  <c r="A603" i="19"/>
  <c r="H603" i="19" s="1"/>
  <c r="A604" i="19"/>
  <c r="H604" i="19" s="1"/>
  <c r="A605" i="19"/>
  <c r="H605" i="19" s="1"/>
  <c r="A606" i="19"/>
  <c r="H606" i="19" s="1"/>
  <c r="A607" i="19"/>
  <c r="H607" i="19" s="1"/>
  <c r="A608" i="19"/>
  <c r="H608" i="19" s="1"/>
  <c r="A609" i="19"/>
  <c r="H609" i="19" s="1"/>
  <c r="A610" i="19"/>
  <c r="H610" i="19" s="1"/>
  <c r="A611" i="19"/>
  <c r="H611" i="19" s="1"/>
  <c r="A612" i="19"/>
  <c r="H612" i="19" s="1"/>
  <c r="A613" i="19"/>
  <c r="H613" i="19" s="1"/>
  <c r="A614" i="19"/>
  <c r="H614" i="19" s="1"/>
  <c r="A615" i="19"/>
  <c r="H615" i="19" s="1"/>
  <c r="I615" i="19"/>
  <c r="J615" i="19" s="1"/>
  <c r="L615" i="19" s="1"/>
  <c r="A616" i="19"/>
  <c r="H616" i="19" s="1"/>
  <c r="A617" i="19"/>
  <c r="H617" i="19" s="1"/>
  <c r="A618" i="19"/>
  <c r="H618" i="19" s="1"/>
  <c r="I618" i="19"/>
  <c r="J618" i="19" s="1"/>
  <c r="L618" i="19" s="1"/>
  <c r="A619" i="19"/>
  <c r="H619" i="19" s="1"/>
  <c r="A620" i="19"/>
  <c r="H620" i="19" s="1"/>
  <c r="I620" i="19"/>
  <c r="J620" i="19" s="1"/>
  <c r="L620" i="19" s="1"/>
  <c r="A621" i="19"/>
  <c r="H621" i="19" s="1"/>
  <c r="A622" i="19"/>
  <c r="H622" i="19" s="1"/>
  <c r="I622" i="19"/>
  <c r="J622" i="19" s="1"/>
  <c r="L622" i="19" s="1"/>
  <c r="A623" i="19"/>
  <c r="H623" i="19" s="1"/>
  <c r="A624" i="19"/>
  <c r="H624" i="19" s="1"/>
  <c r="A625" i="19"/>
  <c r="H625" i="19" s="1"/>
  <c r="I625" i="19"/>
  <c r="J625" i="19" s="1"/>
  <c r="L625" i="19" s="1"/>
  <c r="A626" i="19"/>
  <c r="H626" i="19" s="1"/>
  <c r="A627" i="19"/>
  <c r="H627" i="19" s="1"/>
  <c r="A628" i="19"/>
  <c r="H628" i="19" s="1"/>
  <c r="I628" i="19"/>
  <c r="J628" i="19" s="1"/>
  <c r="L628" i="19" s="1"/>
  <c r="A629" i="19"/>
  <c r="H629" i="19" s="1"/>
  <c r="A630" i="19"/>
  <c r="H630" i="19" s="1"/>
  <c r="I630" i="19"/>
  <c r="J630" i="19" s="1"/>
  <c r="L630" i="19" s="1"/>
  <c r="A631" i="19"/>
  <c r="H631" i="19" s="1"/>
  <c r="A632" i="19"/>
  <c r="H632" i="19" s="1"/>
  <c r="I632" i="19"/>
  <c r="J632" i="19" s="1"/>
  <c r="L632" i="19" s="1"/>
  <c r="A633" i="19"/>
  <c r="H633" i="19" s="1"/>
  <c r="A634" i="19"/>
  <c r="H634" i="19" s="1"/>
  <c r="A635" i="19"/>
  <c r="A636" i="19"/>
  <c r="I636" i="19"/>
  <c r="L636" i="19"/>
  <c r="L579" i="19"/>
  <c r="I579" i="19"/>
  <c r="A579" i="19"/>
  <c r="L578" i="19"/>
  <c r="I578" i="19"/>
  <c r="A578" i="19"/>
  <c r="L577" i="19"/>
  <c r="I577" i="19"/>
  <c r="A577" i="19"/>
  <c r="A576" i="19"/>
  <c r="I573" i="19"/>
  <c r="J573" i="19" s="1"/>
  <c r="A573" i="19"/>
  <c r="H573" i="19" s="1"/>
  <c r="I572" i="19"/>
  <c r="J572" i="19" s="1"/>
  <c r="A572" i="19"/>
  <c r="H572" i="19" s="1"/>
  <c r="I571" i="19"/>
  <c r="J571" i="19" s="1"/>
  <c r="A571" i="19"/>
  <c r="H571" i="19" s="1"/>
  <c r="I570" i="19"/>
  <c r="J570" i="19" s="1"/>
  <c r="A570" i="19"/>
  <c r="H570" i="19" s="1"/>
  <c r="I569" i="19"/>
  <c r="J569" i="19" s="1"/>
  <c r="A569" i="19"/>
  <c r="H569" i="19" s="1"/>
  <c r="I568" i="19"/>
  <c r="J568" i="19" s="1"/>
  <c r="A568" i="19"/>
  <c r="H568" i="19" s="1"/>
  <c r="I567" i="19"/>
  <c r="J567" i="19" s="1"/>
  <c r="A567" i="19"/>
  <c r="H567" i="19" s="1"/>
  <c r="I566" i="19"/>
  <c r="J566" i="19" s="1"/>
  <c r="A566" i="19"/>
  <c r="H566" i="19" s="1"/>
  <c r="I565" i="19"/>
  <c r="J565" i="19" s="1"/>
  <c r="A565" i="19"/>
  <c r="H565" i="19" s="1"/>
  <c r="I564" i="19"/>
  <c r="J564" i="19" s="1"/>
  <c r="A564" i="19"/>
  <c r="H564" i="19" s="1"/>
  <c r="I563" i="19"/>
  <c r="J563" i="19" s="1"/>
  <c r="A563" i="19"/>
  <c r="H563" i="19" s="1"/>
  <c r="I562" i="19"/>
  <c r="J562" i="19" s="1"/>
  <c r="A562" i="19"/>
  <c r="H562" i="19" s="1"/>
  <c r="I561" i="19"/>
  <c r="J561" i="19" s="1"/>
  <c r="A561" i="19"/>
  <c r="H561" i="19" s="1"/>
  <c r="I560" i="19"/>
  <c r="J560" i="19" s="1"/>
  <c r="A560" i="19"/>
  <c r="H560" i="19" s="1"/>
  <c r="I559" i="19"/>
  <c r="J559" i="19" s="1"/>
  <c r="A559" i="19"/>
  <c r="H559" i="19" s="1"/>
  <c r="I558" i="19"/>
  <c r="J558" i="19" s="1"/>
  <c r="A558" i="19"/>
  <c r="H558" i="19" s="1"/>
  <c r="I557" i="19"/>
  <c r="J557" i="19" s="1"/>
  <c r="A557" i="19"/>
  <c r="H557" i="19" s="1"/>
  <c r="I556" i="19"/>
  <c r="J556" i="19" s="1"/>
  <c r="A556" i="19"/>
  <c r="H556" i="19" s="1"/>
  <c r="I555" i="19"/>
  <c r="J555" i="19" s="1"/>
  <c r="A555" i="19"/>
  <c r="H555" i="19" s="1"/>
  <c r="I554" i="19"/>
  <c r="J554" i="19" s="1"/>
  <c r="A554" i="19"/>
  <c r="H554" i="19" s="1"/>
  <c r="I553" i="19"/>
  <c r="J553" i="19" s="1"/>
  <c r="A553" i="19"/>
  <c r="H553" i="19" s="1"/>
  <c r="I552" i="19"/>
  <c r="J552" i="19" s="1"/>
  <c r="A552" i="19"/>
  <c r="H552" i="19" s="1"/>
  <c r="I551" i="19"/>
  <c r="J551" i="19" s="1"/>
  <c r="A551" i="19"/>
  <c r="H551" i="19" s="1"/>
  <c r="I550" i="19"/>
  <c r="J550" i="19" s="1"/>
  <c r="A550" i="19"/>
  <c r="H550" i="19" s="1"/>
  <c r="I549" i="19"/>
  <c r="J549" i="19" s="1"/>
  <c r="A549" i="19"/>
  <c r="H549" i="19" s="1"/>
  <c r="I548" i="19"/>
  <c r="J548" i="19" s="1"/>
  <c r="A548" i="19"/>
  <c r="H548" i="19" s="1"/>
  <c r="I547" i="19"/>
  <c r="J547" i="19" s="1"/>
  <c r="A547" i="19"/>
  <c r="H547" i="19" s="1"/>
  <c r="I546" i="19"/>
  <c r="J546" i="19" s="1"/>
  <c r="A546" i="19"/>
  <c r="H546" i="19" s="1"/>
  <c r="I545" i="19"/>
  <c r="J545" i="19" s="1"/>
  <c r="A545" i="19"/>
  <c r="H545" i="19" s="1"/>
  <c r="I544" i="19"/>
  <c r="J544" i="19" s="1"/>
  <c r="A544" i="19"/>
  <c r="H544" i="19" s="1"/>
  <c r="I543" i="19"/>
  <c r="J543" i="19" s="1"/>
  <c r="A543" i="19"/>
  <c r="H543" i="19" s="1"/>
  <c r="I542" i="19"/>
  <c r="J542" i="19" s="1"/>
  <c r="A542" i="19"/>
  <c r="H542" i="19" s="1"/>
  <c r="I541" i="19"/>
  <c r="J541" i="19" s="1"/>
  <c r="A541" i="19"/>
  <c r="H541" i="19" s="1"/>
  <c r="I540" i="19"/>
  <c r="J540" i="19" s="1"/>
  <c r="A540" i="19"/>
  <c r="H540" i="19" s="1"/>
  <c r="I539" i="19"/>
  <c r="J539" i="19" s="1"/>
  <c r="A539" i="19"/>
  <c r="H539" i="19" s="1"/>
  <c r="I538" i="19"/>
  <c r="J538" i="19" s="1"/>
  <c r="A538" i="19"/>
  <c r="H538" i="19" s="1"/>
  <c r="I537" i="19"/>
  <c r="J537" i="19" s="1"/>
  <c r="A537" i="19"/>
  <c r="H537" i="19" s="1"/>
  <c r="I536" i="19"/>
  <c r="J536" i="19" s="1"/>
  <c r="A536" i="19"/>
  <c r="H536" i="19" s="1"/>
  <c r="I535" i="19"/>
  <c r="J535" i="19" s="1"/>
  <c r="A535" i="19"/>
  <c r="H535" i="19" s="1"/>
  <c r="I534" i="19"/>
  <c r="J534" i="19" s="1"/>
  <c r="A534" i="19"/>
  <c r="H534" i="19" s="1"/>
  <c r="I533" i="19"/>
  <c r="J533" i="19" s="1"/>
  <c r="A533" i="19"/>
  <c r="H533" i="19" s="1"/>
  <c r="I532" i="19"/>
  <c r="J532" i="19" s="1"/>
  <c r="A532" i="19"/>
  <c r="H532" i="19" s="1"/>
  <c r="I531" i="19"/>
  <c r="J531" i="19" s="1"/>
  <c r="A531" i="19"/>
  <c r="H531" i="19" s="1"/>
  <c r="I530" i="19"/>
  <c r="J530" i="19" s="1"/>
  <c r="A530" i="19"/>
  <c r="H530" i="19" s="1"/>
  <c r="I529" i="19"/>
  <c r="J529" i="19" s="1"/>
  <c r="A529" i="19"/>
  <c r="H529" i="19" s="1"/>
  <c r="I528" i="19"/>
  <c r="J528" i="19" s="1"/>
  <c r="A528" i="19"/>
  <c r="H528" i="19" s="1"/>
  <c r="I527" i="19"/>
  <c r="J527" i="19" s="1"/>
  <c r="A527" i="19"/>
  <c r="H527" i="19" s="1"/>
  <c r="I526" i="19"/>
  <c r="J526" i="19" s="1"/>
  <c r="A526" i="19"/>
  <c r="H526" i="19" s="1"/>
  <c r="I525" i="19"/>
  <c r="J525" i="19" s="1"/>
  <c r="A525" i="19"/>
  <c r="H525" i="19" s="1"/>
  <c r="I524" i="19"/>
  <c r="J524" i="19" s="1"/>
  <c r="A524" i="19"/>
  <c r="H524" i="19" s="1"/>
  <c r="I523" i="19"/>
  <c r="J523" i="19" s="1"/>
  <c r="A523" i="19"/>
  <c r="H523" i="19" s="1"/>
  <c r="I522" i="19"/>
  <c r="J522" i="19" s="1"/>
  <c r="A522" i="19"/>
  <c r="H522" i="19" s="1"/>
  <c r="I521" i="19"/>
  <c r="J521" i="19" s="1"/>
  <c r="A521" i="19"/>
  <c r="H521" i="19" s="1"/>
  <c r="I520" i="19"/>
  <c r="J520" i="19" s="1"/>
  <c r="A520" i="19"/>
  <c r="H520" i="19" s="1"/>
  <c r="A519" i="19"/>
  <c r="H519" i="19" s="1"/>
  <c r="A518" i="19"/>
  <c r="H518" i="19" s="1"/>
  <c r="A517" i="19"/>
  <c r="H517" i="19" s="1"/>
  <c r="A516" i="19"/>
  <c r="H516" i="19" s="1"/>
  <c r="A515" i="19"/>
  <c r="H515" i="19" s="1"/>
  <c r="A514" i="19"/>
  <c r="H514" i="19" s="1"/>
  <c r="A513" i="19"/>
  <c r="H513" i="19" s="1"/>
  <c r="A512" i="19"/>
  <c r="H512" i="19" s="1"/>
  <c r="A511" i="19"/>
  <c r="H511" i="19" s="1"/>
  <c r="A510" i="19"/>
  <c r="H510" i="19" s="1"/>
  <c r="A509" i="19"/>
  <c r="H509" i="19" s="1"/>
  <c r="A508" i="19"/>
  <c r="H508" i="19" s="1"/>
  <c r="A507" i="19"/>
  <c r="H507" i="19" s="1"/>
  <c r="A506" i="19"/>
  <c r="H506" i="19" s="1"/>
  <c r="A505" i="19"/>
  <c r="H505" i="19" s="1"/>
  <c r="A504" i="19"/>
  <c r="H504" i="19" s="1"/>
  <c r="A503" i="19"/>
  <c r="H503" i="19" s="1"/>
  <c r="A502" i="19"/>
  <c r="H502" i="19" s="1"/>
  <c r="A501" i="19"/>
  <c r="H501" i="19" s="1"/>
  <c r="A500" i="19"/>
  <c r="H500" i="19" s="1"/>
  <c r="A499" i="19"/>
  <c r="H499" i="19" s="1"/>
  <c r="A498" i="19"/>
  <c r="H498" i="19" s="1"/>
  <c r="A497" i="19"/>
  <c r="H497" i="19" s="1"/>
  <c r="A496" i="19"/>
  <c r="H496" i="19" s="1"/>
  <c r="A495" i="19"/>
  <c r="H495" i="19" s="1"/>
  <c r="A494" i="19"/>
  <c r="H494" i="19" s="1"/>
  <c r="A493" i="19"/>
  <c r="H493" i="19" s="1"/>
  <c r="A492" i="19"/>
  <c r="H492" i="19" s="1"/>
  <c r="A491" i="19"/>
  <c r="H491" i="19" s="1"/>
  <c r="A490" i="19"/>
  <c r="H490" i="19" s="1"/>
  <c r="A489" i="19"/>
  <c r="H489" i="19" s="1"/>
  <c r="A488" i="19"/>
  <c r="H488" i="19" s="1"/>
  <c r="A487" i="19"/>
  <c r="H487" i="19" s="1"/>
  <c r="A486" i="19"/>
  <c r="H486" i="19" s="1"/>
  <c r="A485" i="19"/>
  <c r="H485" i="19" s="1"/>
  <c r="A484" i="19"/>
  <c r="H484" i="19" s="1"/>
  <c r="A483" i="19"/>
  <c r="H483" i="19" s="1"/>
  <c r="A482" i="19"/>
  <c r="H482" i="19" s="1"/>
  <c r="A481" i="19"/>
  <c r="H481" i="19" s="1"/>
  <c r="A480" i="19"/>
  <c r="H480" i="19" s="1"/>
  <c r="A479" i="19"/>
  <c r="H479" i="19" s="1"/>
  <c r="A478" i="19"/>
  <c r="H478" i="19" s="1"/>
  <c r="A477" i="19"/>
  <c r="H477" i="19" s="1"/>
  <c r="A476" i="19"/>
  <c r="H476" i="19" s="1"/>
  <c r="A475" i="19"/>
  <c r="H475" i="19" s="1"/>
  <c r="A474" i="19"/>
  <c r="H474" i="19" s="1"/>
  <c r="A473" i="19"/>
  <c r="H473" i="19" s="1"/>
  <c r="A472" i="19"/>
  <c r="H472" i="19" s="1"/>
  <c r="A471" i="19"/>
  <c r="H471" i="19" s="1"/>
  <c r="A470" i="19"/>
  <c r="H470" i="19" s="1"/>
  <c r="A469" i="19"/>
  <c r="H469" i="19" s="1"/>
  <c r="A468" i="19"/>
  <c r="H468" i="19" s="1"/>
  <c r="A467" i="19"/>
  <c r="H467" i="19" s="1"/>
  <c r="A466" i="19"/>
  <c r="H466" i="19" s="1"/>
  <c r="A465" i="19"/>
  <c r="H465" i="19" s="1"/>
  <c r="A464" i="19"/>
  <c r="H464" i="19" s="1"/>
  <c r="A463" i="19"/>
  <c r="H463" i="19" s="1"/>
  <c r="A462" i="19"/>
  <c r="H462" i="19" s="1"/>
  <c r="A461" i="19"/>
  <c r="H461" i="19" s="1"/>
  <c r="A460" i="19"/>
  <c r="H460" i="19" s="1"/>
  <c r="A459" i="19"/>
  <c r="H459" i="19" s="1"/>
  <c r="A458" i="19"/>
  <c r="H458" i="19" s="1"/>
  <c r="A457" i="19"/>
  <c r="H457" i="19" s="1"/>
  <c r="A456" i="19"/>
  <c r="H456" i="19" s="1"/>
  <c r="A455" i="19"/>
  <c r="H455" i="19" s="1"/>
  <c r="A454" i="19"/>
  <c r="H454" i="19" s="1"/>
  <c r="A453" i="19"/>
  <c r="H453" i="19" s="1"/>
  <c r="A452" i="19"/>
  <c r="H452" i="19" s="1"/>
  <c r="A451" i="19"/>
  <c r="H451" i="19" s="1"/>
  <c r="A450" i="19"/>
  <c r="H450" i="19" s="1"/>
  <c r="A449" i="19"/>
  <c r="H449" i="19" s="1"/>
  <c r="A448" i="19"/>
  <c r="H448" i="19" s="1"/>
  <c r="A447" i="19"/>
  <c r="A445" i="19"/>
  <c r="H445" i="19" s="1"/>
  <c r="A444" i="19"/>
  <c r="H444" i="19" s="1"/>
  <c r="A443" i="19"/>
  <c r="H443" i="19" s="1"/>
  <c r="A442" i="19"/>
  <c r="H442" i="19" s="1"/>
  <c r="A441" i="19"/>
  <c r="H441" i="19" s="1"/>
  <c r="A440" i="19"/>
  <c r="H440" i="19" s="1"/>
  <c r="A439" i="19"/>
  <c r="H439" i="19" s="1"/>
  <c r="A438" i="19"/>
  <c r="H438" i="19" s="1"/>
  <c r="A437" i="19"/>
  <c r="H437" i="19" s="1"/>
  <c r="A436" i="19"/>
  <c r="H436" i="19" s="1"/>
  <c r="A435" i="19"/>
  <c r="H435" i="19" s="1"/>
  <c r="A434" i="19"/>
  <c r="H434" i="19" s="1"/>
  <c r="A433" i="19"/>
  <c r="H433" i="19" s="1"/>
  <c r="A432" i="19"/>
  <c r="H432" i="19" s="1"/>
  <c r="A431" i="19"/>
  <c r="H431" i="19" s="1"/>
  <c r="A430" i="19"/>
  <c r="H430" i="19" s="1"/>
  <c r="A429" i="19"/>
  <c r="H429" i="19" s="1"/>
  <c r="A428" i="19"/>
  <c r="H428" i="19" s="1"/>
  <c r="A427" i="19"/>
  <c r="H427" i="19" s="1"/>
  <c r="A426" i="19"/>
  <c r="H426" i="19" s="1"/>
  <c r="A425" i="19"/>
  <c r="H425" i="19" s="1"/>
  <c r="A424" i="19"/>
  <c r="H424" i="19" s="1"/>
  <c r="A423" i="19"/>
  <c r="H423" i="19" s="1"/>
  <c r="A422" i="19"/>
  <c r="H422" i="19" s="1"/>
  <c r="A421" i="19"/>
  <c r="H421" i="19" s="1"/>
  <c r="A420" i="19"/>
  <c r="H420" i="19" s="1"/>
  <c r="A419" i="19"/>
  <c r="H419" i="19" s="1"/>
  <c r="A418" i="19"/>
  <c r="H418" i="19" s="1"/>
  <c r="A417" i="19"/>
  <c r="H417" i="19" s="1"/>
  <c r="A416" i="19"/>
  <c r="H416" i="19" s="1"/>
  <c r="A415" i="19"/>
  <c r="H415" i="19" s="1"/>
  <c r="A414" i="19"/>
  <c r="H414" i="19" s="1"/>
  <c r="A413" i="19"/>
  <c r="H413" i="19" s="1"/>
  <c r="A412" i="19"/>
  <c r="H412" i="19" s="1"/>
  <c r="A411" i="19"/>
  <c r="H411" i="19" s="1"/>
  <c r="A410" i="19"/>
  <c r="H410" i="19" s="1"/>
  <c r="A409" i="19"/>
  <c r="H409" i="19" s="1"/>
  <c r="A408" i="19"/>
  <c r="H408" i="19" s="1"/>
  <c r="A407" i="19"/>
  <c r="H407" i="19" s="1"/>
  <c r="A406" i="19"/>
  <c r="H406" i="19" s="1"/>
  <c r="A405" i="19"/>
  <c r="H405" i="19" s="1"/>
  <c r="A404" i="19"/>
  <c r="H404" i="19" s="1"/>
  <c r="A403" i="19"/>
  <c r="H403" i="19" s="1"/>
  <c r="A402" i="19"/>
  <c r="H402" i="19" s="1"/>
  <c r="A401" i="19"/>
  <c r="H401" i="19" s="1"/>
  <c r="A400" i="19"/>
  <c r="H400" i="19" s="1"/>
  <c r="A399" i="19"/>
  <c r="H399" i="19" s="1"/>
  <c r="A398" i="19"/>
  <c r="H398" i="19" s="1"/>
  <c r="A397" i="19"/>
  <c r="H397" i="19" s="1"/>
  <c r="A396" i="19"/>
  <c r="H396" i="19" s="1"/>
  <c r="A395" i="19"/>
  <c r="H395" i="19" s="1"/>
  <c r="A394" i="19"/>
  <c r="H394" i="19" s="1"/>
  <c r="A393" i="19"/>
  <c r="H393" i="19" s="1"/>
  <c r="A392" i="19"/>
  <c r="H392" i="19" s="1"/>
  <c r="A391" i="19"/>
  <c r="H391" i="19" s="1"/>
  <c r="A390" i="19"/>
  <c r="H390" i="19" s="1"/>
  <c r="A389" i="19"/>
  <c r="H389" i="19" s="1"/>
  <c r="A388" i="19"/>
  <c r="H388" i="19" s="1"/>
  <c r="A387" i="19"/>
  <c r="H387" i="19" s="1"/>
  <c r="A386" i="19"/>
  <c r="H386" i="19" s="1"/>
  <c r="A385" i="19"/>
  <c r="H385" i="19" s="1"/>
  <c r="A384" i="19"/>
  <c r="H384" i="19" s="1"/>
  <c r="A383" i="19"/>
  <c r="H383" i="19" s="1"/>
  <c r="A382" i="19"/>
  <c r="H382" i="19" s="1"/>
  <c r="A381" i="19"/>
  <c r="H381" i="19" s="1"/>
  <c r="A380" i="19"/>
  <c r="H380" i="19" s="1"/>
  <c r="A379" i="19"/>
  <c r="H379" i="19" s="1"/>
  <c r="A378" i="19"/>
  <c r="H378" i="19" s="1"/>
  <c r="A377" i="19"/>
  <c r="H377" i="19" s="1"/>
  <c r="A376" i="19"/>
  <c r="H376" i="19" s="1"/>
  <c r="A375" i="19"/>
  <c r="H375" i="19" s="1"/>
  <c r="A374" i="19"/>
  <c r="H374" i="19" s="1"/>
  <c r="A373" i="19"/>
  <c r="H373" i="19" s="1"/>
  <c r="A372" i="19"/>
  <c r="H372" i="19" s="1"/>
  <c r="A371" i="19"/>
  <c r="H371" i="19" s="1"/>
  <c r="A370" i="19"/>
  <c r="H370" i="19" s="1"/>
  <c r="A369" i="19"/>
  <c r="H369" i="19" s="1"/>
  <c r="A368" i="19"/>
  <c r="H368" i="19" s="1"/>
  <c r="A367" i="19"/>
  <c r="H367" i="19" s="1"/>
  <c r="A366" i="19"/>
  <c r="H366" i="19" s="1"/>
  <c r="A365" i="19"/>
  <c r="H365" i="19" s="1"/>
  <c r="A364" i="19"/>
  <c r="H364" i="19" s="1"/>
  <c r="A363" i="19"/>
  <c r="H363" i="19" s="1"/>
  <c r="A362" i="19"/>
  <c r="A360" i="19"/>
  <c r="H360" i="19" s="1"/>
  <c r="A359" i="19"/>
  <c r="H359" i="19" s="1"/>
  <c r="A358" i="19"/>
  <c r="H358" i="19" s="1"/>
  <c r="A357" i="19"/>
  <c r="H357" i="19" s="1"/>
  <c r="A356" i="19"/>
  <c r="H356" i="19" s="1"/>
  <c r="A355" i="19"/>
  <c r="H355" i="19" s="1"/>
  <c r="A354" i="19"/>
  <c r="H354" i="19" s="1"/>
  <c r="A353" i="19"/>
  <c r="H353" i="19" s="1"/>
  <c r="A352" i="19"/>
  <c r="H352" i="19" s="1"/>
  <c r="A351" i="19"/>
  <c r="H351" i="19" s="1"/>
  <c r="A350" i="19"/>
  <c r="H350" i="19" s="1"/>
  <c r="A349" i="19"/>
  <c r="H349" i="19" s="1"/>
  <c r="A348" i="19"/>
  <c r="H348" i="19" s="1"/>
  <c r="A347" i="19"/>
  <c r="H347" i="19" s="1"/>
  <c r="A346" i="19"/>
  <c r="H346" i="19" s="1"/>
  <c r="A345" i="19"/>
  <c r="H345" i="19" s="1"/>
  <c r="A344" i="19"/>
  <c r="H344" i="19" s="1"/>
  <c r="A343" i="19"/>
  <c r="H343" i="19" s="1"/>
  <c r="A342" i="19"/>
  <c r="H342" i="19" s="1"/>
  <c r="A341" i="19"/>
  <c r="H341" i="19" s="1"/>
  <c r="A340" i="19"/>
  <c r="H340" i="19" s="1"/>
  <c r="A339" i="19"/>
  <c r="H339" i="19" s="1"/>
  <c r="A338" i="19"/>
  <c r="H338" i="19" s="1"/>
  <c r="A337" i="19"/>
  <c r="H337" i="19" s="1"/>
  <c r="A336" i="19"/>
  <c r="H336" i="19" s="1"/>
  <c r="A335" i="19"/>
  <c r="H335" i="19" s="1"/>
  <c r="A334" i="19"/>
  <c r="H334" i="19" s="1"/>
  <c r="A333" i="19"/>
  <c r="H333" i="19" s="1"/>
  <c r="A332" i="19"/>
  <c r="H332" i="19" s="1"/>
  <c r="A331" i="19"/>
  <c r="H331" i="19" s="1"/>
  <c r="A330" i="19"/>
  <c r="H330" i="19" s="1"/>
  <c r="A329" i="19"/>
  <c r="H329" i="19" s="1"/>
  <c r="A328" i="19"/>
  <c r="H328" i="19" s="1"/>
  <c r="A327" i="19"/>
  <c r="H327" i="19" s="1"/>
  <c r="A326" i="19"/>
  <c r="H326" i="19" s="1"/>
  <c r="A325" i="19"/>
  <c r="H325" i="19" s="1"/>
  <c r="A324" i="19"/>
  <c r="H324" i="19" s="1"/>
  <c r="A323" i="19"/>
  <c r="H323" i="19" s="1"/>
  <c r="A322" i="19"/>
  <c r="H322" i="19" s="1"/>
  <c r="A321" i="19"/>
  <c r="H321" i="19" s="1"/>
  <c r="A320" i="19"/>
  <c r="H320" i="19" s="1"/>
  <c r="A319" i="19"/>
  <c r="H319" i="19" s="1"/>
  <c r="A318" i="19"/>
  <c r="H318" i="19" s="1"/>
  <c r="A317" i="19"/>
  <c r="H317" i="19" s="1"/>
  <c r="A316" i="19"/>
  <c r="H316" i="19" s="1"/>
  <c r="A315" i="19"/>
  <c r="H315" i="19" s="1"/>
  <c r="A314" i="19"/>
  <c r="H314" i="19" s="1"/>
  <c r="A313" i="19"/>
  <c r="H313" i="19" s="1"/>
  <c r="A312" i="19"/>
  <c r="H312" i="19" s="1"/>
  <c r="A311" i="19"/>
  <c r="H311" i="19" s="1"/>
  <c r="A310" i="19"/>
  <c r="H310" i="19" s="1"/>
  <c r="A309" i="19"/>
  <c r="H309" i="19" s="1"/>
  <c r="A308" i="19"/>
  <c r="H308" i="19" s="1"/>
  <c r="A307" i="19"/>
  <c r="H307" i="19" s="1"/>
  <c r="A306" i="19"/>
  <c r="H306" i="19" s="1"/>
  <c r="A305" i="19"/>
  <c r="H305" i="19" s="1"/>
  <c r="A304" i="19"/>
  <c r="H304" i="19" s="1"/>
  <c r="A303" i="19"/>
  <c r="H303" i="19" s="1"/>
  <c r="A302" i="19"/>
  <c r="H302" i="19" s="1"/>
  <c r="A301" i="19"/>
  <c r="H301" i="19" s="1"/>
  <c r="A300" i="19"/>
  <c r="H300" i="19" s="1"/>
  <c r="A299" i="19"/>
  <c r="H299" i="19" s="1"/>
  <c r="A298" i="19"/>
  <c r="H298" i="19" s="1"/>
  <c r="A297" i="19"/>
  <c r="H297" i="19" s="1"/>
  <c r="A296" i="19"/>
  <c r="H296" i="19" s="1"/>
  <c r="A295" i="19"/>
  <c r="H295" i="19" s="1"/>
  <c r="A294" i="19"/>
  <c r="H294" i="19" s="1"/>
  <c r="A293" i="19"/>
  <c r="H293" i="19" s="1"/>
  <c r="A292" i="19"/>
  <c r="H292" i="19" s="1"/>
  <c r="A291" i="19"/>
  <c r="H291" i="19" s="1"/>
  <c r="A290" i="19"/>
  <c r="H290" i="19" s="1"/>
  <c r="A289" i="19"/>
  <c r="H289" i="19" s="1"/>
  <c r="A288" i="19"/>
  <c r="H288" i="19" s="1"/>
  <c r="A287" i="19"/>
  <c r="H287" i="19" s="1"/>
  <c r="A286" i="19"/>
  <c r="H286" i="19" s="1"/>
  <c r="A285" i="19"/>
  <c r="H285" i="19" s="1"/>
  <c r="A284" i="19"/>
  <c r="H284" i="19" s="1"/>
  <c r="A283" i="19"/>
  <c r="H283" i="19" s="1"/>
  <c r="A282" i="19"/>
  <c r="H282" i="19" s="1"/>
  <c r="A281" i="19"/>
  <c r="H281" i="19" s="1"/>
  <c r="A280" i="19"/>
  <c r="H280" i="19" s="1"/>
  <c r="A279" i="19"/>
  <c r="H279" i="19" s="1"/>
  <c r="A278" i="19"/>
  <c r="H278" i="19" s="1"/>
  <c r="A277" i="19"/>
  <c r="H277" i="19" s="1"/>
  <c r="A276" i="19"/>
  <c r="H276" i="19" s="1"/>
  <c r="A275" i="19"/>
  <c r="H275" i="19" s="1"/>
  <c r="A274" i="19"/>
  <c r="H274" i="19" s="1"/>
  <c r="A273" i="19"/>
  <c r="H273" i="19" s="1"/>
  <c r="A272" i="19"/>
  <c r="H272" i="19" s="1"/>
  <c r="A271" i="19"/>
  <c r="H271" i="19" s="1"/>
  <c r="A270" i="19"/>
  <c r="H270" i="19" s="1"/>
  <c r="A269" i="19"/>
  <c r="H269" i="19" s="1"/>
  <c r="A268" i="19"/>
  <c r="H268" i="19" s="1"/>
  <c r="A267" i="19"/>
  <c r="H267" i="19" s="1"/>
  <c r="A266" i="19"/>
  <c r="H266" i="19" s="1"/>
  <c r="A265" i="19"/>
  <c r="H265" i="19" s="1"/>
  <c r="A264" i="19"/>
  <c r="H264" i="19" s="1"/>
  <c r="A263" i="19"/>
  <c r="H263" i="19" s="1"/>
  <c r="A262" i="19"/>
  <c r="H262" i="19" s="1"/>
  <c r="A261" i="19"/>
  <c r="H261" i="19" s="1"/>
  <c r="A260" i="19"/>
  <c r="H260" i="19" s="1"/>
  <c r="A259" i="19"/>
  <c r="H259" i="19" s="1"/>
  <c r="A258" i="19"/>
  <c r="H258" i="19" s="1"/>
  <c r="A257" i="19"/>
  <c r="H257" i="19" s="1"/>
  <c r="A256" i="19"/>
  <c r="H256" i="19" s="1"/>
  <c r="A255" i="19"/>
  <c r="H255" i="19" s="1"/>
  <c r="A254" i="19"/>
  <c r="H254" i="19" s="1"/>
  <c r="A253" i="19"/>
  <c r="H253" i="19" s="1"/>
  <c r="A252" i="19"/>
  <c r="H252" i="19" s="1"/>
  <c r="A251" i="19"/>
  <c r="H251" i="19" s="1"/>
  <c r="A250" i="19"/>
  <c r="H250" i="19" s="1"/>
  <c r="A249" i="19"/>
  <c r="H249" i="19" s="1"/>
  <c r="A248" i="19"/>
  <c r="H248" i="19" s="1"/>
  <c r="A247" i="19"/>
  <c r="H247" i="19" s="1"/>
  <c r="A246" i="19"/>
  <c r="H246" i="19" s="1"/>
  <c r="A245" i="19"/>
  <c r="H245" i="19" s="1"/>
  <c r="A244" i="19"/>
  <c r="H244" i="19" s="1"/>
  <c r="A243" i="19"/>
  <c r="H243" i="19" s="1"/>
  <c r="A242" i="19"/>
  <c r="H242" i="19" s="1"/>
  <c r="A241" i="19"/>
  <c r="H241" i="19" s="1"/>
  <c r="A240" i="19"/>
  <c r="H240" i="19" s="1"/>
  <c r="A239" i="19"/>
  <c r="H239" i="19" s="1"/>
  <c r="A238" i="19"/>
  <c r="H238" i="19" s="1"/>
  <c r="A237" i="19"/>
  <c r="H237" i="19" s="1"/>
  <c r="A236" i="19"/>
  <c r="H236" i="19" s="1"/>
  <c r="A235" i="19"/>
  <c r="H235" i="19" s="1"/>
  <c r="A234" i="19"/>
  <c r="H234" i="19" s="1"/>
  <c r="A233" i="19"/>
  <c r="H233" i="19" s="1"/>
  <c r="A232" i="19"/>
  <c r="H232" i="19" s="1"/>
  <c r="A231" i="19"/>
  <c r="H231" i="19" s="1"/>
  <c r="A230" i="19"/>
  <c r="H230" i="19" s="1"/>
  <c r="A229" i="19"/>
  <c r="H229" i="19" s="1"/>
  <c r="A228" i="19"/>
  <c r="H228" i="19" s="1"/>
  <c r="A227" i="19"/>
  <c r="H227" i="19" s="1"/>
  <c r="A226" i="19"/>
  <c r="H226" i="19" s="1"/>
  <c r="A225" i="19"/>
  <c r="H225" i="19" s="1"/>
  <c r="A224" i="19"/>
  <c r="H224" i="19" s="1"/>
  <c r="A223" i="19"/>
  <c r="H223" i="19" s="1"/>
  <c r="A222" i="19"/>
  <c r="H222" i="19" s="1"/>
  <c r="A221" i="19"/>
  <c r="H221" i="19" s="1"/>
  <c r="A220" i="19"/>
  <c r="H220" i="19" s="1"/>
  <c r="A219" i="19"/>
  <c r="H219" i="19" s="1"/>
  <c r="A218" i="19"/>
  <c r="H218" i="19" s="1"/>
  <c r="A217" i="19"/>
  <c r="H217" i="19" s="1"/>
  <c r="A216" i="19"/>
  <c r="H216" i="19" s="1"/>
  <c r="A215" i="19"/>
  <c r="H215" i="19" s="1"/>
  <c r="A214" i="19"/>
  <c r="H214" i="19" s="1"/>
  <c r="A213" i="19"/>
  <c r="H213" i="19" s="1"/>
  <c r="A212" i="19"/>
  <c r="H212" i="19" s="1"/>
  <c r="A211" i="19"/>
  <c r="H211" i="19" s="1"/>
  <c r="A210" i="19"/>
  <c r="H210" i="19" s="1"/>
  <c r="A209" i="19"/>
  <c r="H209" i="19" s="1"/>
  <c r="A208" i="19"/>
  <c r="H208" i="19" s="1"/>
  <c r="A207" i="19"/>
  <c r="H207" i="19" s="1"/>
  <c r="A206" i="19"/>
  <c r="H206" i="19" s="1"/>
  <c r="A205" i="19"/>
  <c r="H205" i="19" s="1"/>
  <c r="A204" i="19"/>
  <c r="H204" i="19" s="1"/>
  <c r="A203" i="19"/>
  <c r="H203" i="19" s="1"/>
  <c r="A202" i="19"/>
  <c r="H202" i="19" s="1"/>
  <c r="A201" i="19"/>
  <c r="H201" i="19" s="1"/>
  <c r="A200" i="19"/>
  <c r="H200" i="19" s="1"/>
  <c r="A199" i="19"/>
  <c r="H199" i="19" s="1"/>
  <c r="A198" i="19"/>
  <c r="A196" i="19"/>
  <c r="H196" i="19" s="1"/>
  <c r="A195" i="19"/>
  <c r="H195" i="19" s="1"/>
  <c r="A194" i="19"/>
  <c r="H194" i="19" s="1"/>
  <c r="A193" i="19"/>
  <c r="H193" i="19" s="1"/>
  <c r="A192" i="19"/>
  <c r="H192" i="19" s="1"/>
  <c r="A191" i="19"/>
  <c r="H191" i="19" s="1"/>
  <c r="A190" i="19"/>
  <c r="H190" i="19" s="1"/>
  <c r="A189" i="19"/>
  <c r="H189" i="19" s="1"/>
  <c r="A188" i="19"/>
  <c r="H188" i="19" s="1"/>
  <c r="A187" i="19"/>
  <c r="H187" i="19" s="1"/>
  <c r="A186" i="19"/>
  <c r="H186" i="19" s="1"/>
  <c r="A185" i="19"/>
  <c r="H185" i="19" s="1"/>
  <c r="A184" i="19"/>
  <c r="H184" i="19" s="1"/>
  <c r="A183" i="19"/>
  <c r="H183" i="19" s="1"/>
  <c r="A182" i="19"/>
  <c r="H182" i="19" s="1"/>
  <c r="A181" i="19"/>
  <c r="H181" i="19" s="1"/>
  <c r="A180" i="19"/>
  <c r="H180" i="19" s="1"/>
  <c r="A179" i="19"/>
  <c r="H179" i="19" s="1"/>
  <c r="A178" i="19"/>
  <c r="H178" i="19" s="1"/>
  <c r="A177" i="19"/>
  <c r="H177" i="19" s="1"/>
  <c r="A176" i="19"/>
  <c r="H176" i="19" s="1"/>
  <c r="A175" i="19"/>
  <c r="H175" i="19" s="1"/>
  <c r="A174" i="19"/>
  <c r="H174" i="19" s="1"/>
  <c r="A173" i="19"/>
  <c r="H173" i="19" s="1"/>
  <c r="A172" i="19"/>
  <c r="H172" i="19" s="1"/>
  <c r="A171" i="19"/>
  <c r="H171" i="19" s="1"/>
  <c r="A170" i="19"/>
  <c r="H170" i="19" s="1"/>
  <c r="A169" i="19"/>
  <c r="H169" i="19" s="1"/>
  <c r="A168" i="19"/>
  <c r="H168" i="19" s="1"/>
  <c r="A167" i="19"/>
  <c r="H167" i="19" s="1"/>
  <c r="A166" i="19"/>
  <c r="H166" i="19" s="1"/>
  <c r="A165" i="19"/>
  <c r="H165" i="19" s="1"/>
  <c r="A164" i="19"/>
  <c r="H164" i="19" s="1"/>
  <c r="A163" i="19"/>
  <c r="H163" i="19" s="1"/>
  <c r="A162" i="19"/>
  <c r="H162" i="19" s="1"/>
  <c r="A161" i="19"/>
  <c r="H161" i="19" s="1"/>
  <c r="A160" i="19"/>
  <c r="H160" i="19" s="1"/>
  <c r="A159" i="19"/>
  <c r="H159" i="19" s="1"/>
  <c r="A158" i="19"/>
  <c r="H158" i="19" s="1"/>
  <c r="A157" i="19"/>
  <c r="H157" i="19" s="1"/>
  <c r="A156" i="19"/>
  <c r="H156" i="19" s="1"/>
  <c r="A155" i="19"/>
  <c r="H155" i="19" s="1"/>
  <c r="A154" i="19"/>
  <c r="H154" i="19" s="1"/>
  <c r="A153" i="19"/>
  <c r="H153" i="19" s="1"/>
  <c r="A152" i="19"/>
  <c r="H152" i="19" s="1"/>
  <c r="A151" i="19"/>
  <c r="H151" i="19" s="1"/>
  <c r="A150" i="19"/>
  <c r="H150" i="19" s="1"/>
  <c r="A149" i="19"/>
  <c r="H149" i="19" s="1"/>
  <c r="A148" i="19"/>
  <c r="H148" i="19" s="1"/>
  <c r="A147" i="19"/>
  <c r="H147" i="19" s="1"/>
  <c r="A146" i="19"/>
  <c r="H146" i="19" s="1"/>
  <c r="A145" i="19"/>
  <c r="H145" i="19" s="1"/>
  <c r="A144" i="19"/>
  <c r="H144" i="19" s="1"/>
  <c r="A143" i="19"/>
  <c r="H143" i="19" s="1"/>
  <c r="A142" i="19"/>
  <c r="H142" i="19" s="1"/>
  <c r="A141" i="19"/>
  <c r="H141" i="19" s="1"/>
  <c r="A140" i="19"/>
  <c r="H140" i="19" s="1"/>
  <c r="A139" i="19"/>
  <c r="H139" i="19" s="1"/>
  <c r="A138" i="19"/>
  <c r="H138" i="19" s="1"/>
  <c r="A137" i="19"/>
  <c r="H137" i="19" s="1"/>
  <c r="A136" i="19"/>
  <c r="H136" i="19" s="1"/>
  <c r="A135" i="19"/>
  <c r="H135" i="19" s="1"/>
  <c r="A134" i="19"/>
  <c r="H134" i="19" s="1"/>
  <c r="A133" i="19"/>
  <c r="H133" i="19" s="1"/>
  <c r="A132" i="19"/>
  <c r="H132" i="19" s="1"/>
  <c r="A131" i="19"/>
  <c r="H131" i="19" s="1"/>
  <c r="A130" i="19"/>
  <c r="H130" i="19" s="1"/>
  <c r="A129" i="19"/>
  <c r="H129" i="19" s="1"/>
  <c r="A128" i="19"/>
  <c r="H128" i="19" s="1"/>
  <c r="A127" i="19"/>
  <c r="H127" i="19" s="1"/>
  <c r="A126" i="19"/>
  <c r="H126" i="19" s="1"/>
  <c r="A125" i="19"/>
  <c r="H125" i="19" s="1"/>
  <c r="A124" i="19"/>
  <c r="H124" i="19" s="1"/>
  <c r="A123" i="19"/>
  <c r="H123" i="19" s="1"/>
  <c r="A122" i="19"/>
  <c r="H122" i="19" s="1"/>
  <c r="A121" i="19"/>
  <c r="H121" i="19" s="1"/>
  <c r="A120" i="19"/>
  <c r="H120" i="19" s="1"/>
  <c r="A119" i="19"/>
  <c r="H119" i="19" s="1"/>
  <c r="A118" i="19"/>
  <c r="H118" i="19" s="1"/>
  <c r="A117" i="19"/>
  <c r="H117" i="19" s="1"/>
  <c r="A116" i="19"/>
  <c r="H116" i="19" s="1"/>
  <c r="A115" i="19"/>
  <c r="H115" i="19" s="1"/>
  <c r="A114" i="19"/>
  <c r="H114" i="19" s="1"/>
  <c r="A113" i="19"/>
  <c r="H113" i="19" s="1"/>
  <c r="A112" i="19"/>
  <c r="H112" i="19" s="1"/>
  <c r="A111" i="19"/>
  <c r="H111" i="19" s="1"/>
  <c r="A110" i="19"/>
  <c r="H110" i="19" s="1"/>
  <c r="A109" i="19"/>
  <c r="H109" i="19" s="1"/>
  <c r="A108" i="19"/>
  <c r="H108" i="19" s="1"/>
  <c r="J107" i="19"/>
  <c r="L107" i="19" s="1"/>
  <c r="A107" i="19"/>
  <c r="H107" i="19" s="1"/>
  <c r="A106" i="19"/>
  <c r="H106" i="19" s="1"/>
  <c r="A105" i="19"/>
  <c r="H105" i="19" s="1"/>
  <c r="A104" i="19"/>
  <c r="H104" i="19" s="1"/>
  <c r="A103" i="19"/>
  <c r="H103" i="19" s="1"/>
  <c r="A102" i="19"/>
  <c r="H102" i="19" s="1"/>
  <c r="A101" i="19"/>
  <c r="H101" i="19" s="1"/>
  <c r="A100" i="19"/>
  <c r="H100" i="19" s="1"/>
  <c r="J99" i="19"/>
  <c r="L99" i="19" s="1"/>
  <c r="A99" i="19"/>
  <c r="H99" i="19" s="1"/>
  <c r="A98" i="19"/>
  <c r="H98" i="19" s="1"/>
  <c r="A97" i="19"/>
  <c r="H97" i="19" s="1"/>
  <c r="A96" i="19"/>
  <c r="H96" i="19" s="1"/>
  <c r="A95" i="19"/>
  <c r="H95" i="19" s="1"/>
  <c r="A94" i="19"/>
  <c r="H94" i="19" s="1"/>
  <c r="A93" i="19"/>
  <c r="H93" i="19" s="1"/>
  <c r="A92" i="19"/>
  <c r="H92" i="19" s="1"/>
  <c r="J91" i="19"/>
  <c r="L91" i="19" s="1"/>
  <c r="A91" i="19"/>
  <c r="H91" i="19" s="1"/>
  <c r="A90" i="19"/>
  <c r="H90" i="19" s="1"/>
  <c r="A89" i="19"/>
  <c r="H89" i="19" s="1"/>
  <c r="A88" i="19"/>
  <c r="H88" i="19" s="1"/>
  <c r="A87" i="19"/>
  <c r="H87" i="19" s="1"/>
  <c r="A86" i="19"/>
  <c r="H86" i="19" s="1"/>
  <c r="A85" i="19"/>
  <c r="H85" i="19" s="1"/>
  <c r="A84" i="19"/>
  <c r="H84" i="19" s="1"/>
  <c r="A83" i="19"/>
  <c r="H83" i="19" s="1"/>
  <c r="A82" i="19"/>
  <c r="H82" i="19" s="1"/>
  <c r="A81" i="19"/>
  <c r="H81" i="19" s="1"/>
  <c r="A80" i="19"/>
  <c r="H80" i="19" s="1"/>
  <c r="J79" i="19"/>
  <c r="L79" i="19" s="1"/>
  <c r="A79" i="19"/>
  <c r="H79" i="19" s="1"/>
  <c r="J78" i="19"/>
  <c r="L78" i="19" s="1"/>
  <c r="A78" i="19"/>
  <c r="H78" i="19" s="1"/>
  <c r="A77" i="19"/>
  <c r="H77" i="19" s="1"/>
  <c r="A76" i="19"/>
  <c r="H76" i="19" s="1"/>
  <c r="A75" i="19"/>
  <c r="H75" i="19" s="1"/>
  <c r="A74" i="19"/>
  <c r="H74" i="19" s="1"/>
  <c r="A73" i="19"/>
  <c r="H73" i="19" s="1"/>
  <c r="J72" i="19"/>
  <c r="L72" i="19" s="1"/>
  <c r="A72" i="19"/>
  <c r="H72" i="19" s="1"/>
  <c r="A71" i="19"/>
  <c r="H71" i="19" s="1"/>
  <c r="A70" i="19"/>
  <c r="H70" i="19" s="1"/>
  <c r="A69" i="19"/>
  <c r="H69" i="19" s="1"/>
  <c r="A68" i="19"/>
  <c r="H68" i="19" s="1"/>
  <c r="A67" i="19"/>
  <c r="H67" i="19" s="1"/>
  <c r="A66" i="19"/>
  <c r="H66" i="19" s="1"/>
  <c r="A65" i="19"/>
  <c r="H65" i="19" s="1"/>
  <c r="A64" i="19"/>
  <c r="H64" i="19" s="1"/>
  <c r="A63" i="19"/>
  <c r="H63" i="19" s="1"/>
  <c r="A62" i="19"/>
  <c r="H62" i="19" s="1"/>
  <c r="A61" i="19"/>
  <c r="H61" i="19" s="1"/>
  <c r="A60" i="19"/>
  <c r="H60" i="19" s="1"/>
  <c r="A59" i="19"/>
  <c r="H59" i="19" s="1"/>
  <c r="J58" i="19"/>
  <c r="L58" i="19" s="1"/>
  <c r="A58" i="19"/>
  <c r="H58" i="19" s="1"/>
  <c r="J57" i="19"/>
  <c r="L57" i="19" s="1"/>
  <c r="A57" i="19"/>
  <c r="H57" i="19" s="1"/>
  <c r="A56" i="19"/>
  <c r="H56" i="19" s="1"/>
  <c r="A55" i="19"/>
  <c r="H55" i="19" s="1"/>
  <c r="A54" i="19"/>
  <c r="H54" i="19" s="1"/>
  <c r="A53" i="19"/>
  <c r="H53" i="19" s="1"/>
  <c r="A52" i="19"/>
  <c r="H52" i="19" s="1"/>
  <c r="A51" i="19"/>
  <c r="H51" i="19" s="1"/>
  <c r="A50" i="19"/>
  <c r="H50" i="19" s="1"/>
  <c r="A49" i="19"/>
  <c r="H49" i="19" s="1"/>
  <c r="A48" i="19"/>
  <c r="H48" i="19" s="1"/>
  <c r="J47" i="19"/>
  <c r="L47" i="19" s="1"/>
  <c r="A47" i="19"/>
  <c r="H47" i="19" s="1"/>
  <c r="A46" i="19"/>
  <c r="H46" i="19" s="1"/>
  <c r="A45" i="19"/>
  <c r="H45" i="19" s="1"/>
  <c r="A44" i="19"/>
  <c r="H44" i="19" s="1"/>
  <c r="A43" i="19"/>
  <c r="H43" i="19" s="1"/>
  <c r="A42" i="19"/>
  <c r="A40" i="19"/>
  <c r="H40" i="19" s="1"/>
  <c r="A39" i="19"/>
  <c r="H39" i="19" s="1"/>
  <c r="A38" i="19"/>
  <c r="H38" i="19" s="1"/>
  <c r="A37" i="19"/>
  <c r="H37" i="19" s="1"/>
  <c r="A36" i="19"/>
  <c r="H36" i="19" s="1"/>
  <c r="A35" i="19"/>
  <c r="H35" i="19" s="1"/>
  <c r="A34" i="19"/>
  <c r="H34" i="19" s="1"/>
  <c r="A33" i="19"/>
  <c r="H33" i="19" s="1"/>
  <c r="A32" i="19"/>
  <c r="H32" i="19" s="1"/>
  <c r="A31" i="19"/>
  <c r="H31" i="19" s="1"/>
  <c r="A30" i="19"/>
  <c r="H30" i="19" s="1"/>
  <c r="A29" i="19"/>
  <c r="H29" i="19" s="1"/>
  <c r="A28" i="19"/>
  <c r="H28" i="19" s="1"/>
  <c r="I26" i="19"/>
  <c r="J26" i="19" s="1"/>
  <c r="L26" i="19" s="1"/>
  <c r="L23" i="19"/>
  <c r="I23" i="19"/>
  <c r="L22" i="19"/>
  <c r="I22" i="19"/>
  <c r="L21" i="19"/>
  <c r="I21" i="19"/>
  <c r="J20" i="19"/>
  <c r="L18" i="19"/>
  <c r="I18" i="19"/>
  <c r="L17" i="19"/>
  <c r="I17" i="19"/>
  <c r="L16" i="19"/>
  <c r="I16" i="19"/>
  <c r="L15" i="19"/>
  <c r="I15" i="19"/>
  <c r="J14" i="19"/>
  <c r="N13" i="19"/>
  <c r="O13" i="19" s="1"/>
  <c r="M12" i="19"/>
  <c r="FK10" i="19"/>
  <c r="FK6" i="19" s="1"/>
  <c r="FJ10" i="19"/>
  <c r="FJ6" i="19" s="1"/>
  <c r="FI10" i="19"/>
  <c r="FI6" i="19" s="1"/>
  <c r="FH10" i="19"/>
  <c r="FH6" i="19" s="1"/>
  <c r="FG10" i="19"/>
  <c r="FG6" i="19" s="1"/>
  <c r="FF10" i="19"/>
  <c r="FF6" i="19" s="1"/>
  <c r="FE10" i="19"/>
  <c r="FE6" i="19" s="1"/>
  <c r="FD10" i="19"/>
  <c r="FD6" i="19" s="1"/>
  <c r="FC10" i="19"/>
  <c r="FC6" i="19" s="1"/>
  <c r="FB10" i="19"/>
  <c r="FB6" i="19" s="1"/>
  <c r="FA10" i="19"/>
  <c r="FA6" i="19" s="1"/>
  <c r="EZ10" i="19"/>
  <c r="EZ6" i="19" s="1"/>
  <c r="EY10" i="19"/>
  <c r="EY6" i="19" s="1"/>
  <c r="EX10" i="19"/>
  <c r="EX6" i="19" s="1"/>
  <c r="EW10" i="19"/>
  <c r="EW6" i="19" s="1"/>
  <c r="EV10" i="19"/>
  <c r="EV6" i="19" s="1"/>
  <c r="EU10" i="19"/>
  <c r="EU6" i="19" s="1"/>
  <c r="ET10" i="19"/>
  <c r="ET6" i="19" s="1"/>
  <c r="ES10" i="19"/>
  <c r="ES6" i="19" s="1"/>
  <c r="ER10" i="19"/>
  <c r="ER6" i="19" s="1"/>
  <c r="EQ10" i="19"/>
  <c r="EQ6" i="19" s="1"/>
  <c r="EP10" i="19"/>
  <c r="EP6" i="19" s="1"/>
  <c r="EO10" i="19"/>
  <c r="EO6" i="19" s="1"/>
  <c r="EN10" i="19"/>
  <c r="EN6" i="19" s="1"/>
  <c r="EM10" i="19"/>
  <c r="EM6" i="19" s="1"/>
  <c r="EL10" i="19"/>
  <c r="EL6" i="19" s="1"/>
  <c r="EK10" i="19"/>
  <c r="EK6" i="19" s="1"/>
  <c r="EJ10" i="19"/>
  <c r="EJ6" i="19" s="1"/>
  <c r="EI10" i="19"/>
  <c r="EI6" i="19" s="1"/>
  <c r="EH10" i="19"/>
  <c r="EH6" i="19" s="1"/>
  <c r="EG10" i="19"/>
  <c r="EG6" i="19" s="1"/>
  <c r="EF10" i="19"/>
  <c r="EF6" i="19" s="1"/>
  <c r="EE10" i="19"/>
  <c r="EE6" i="19" s="1"/>
  <c r="ED10" i="19"/>
  <c r="ED6" i="19" s="1"/>
  <c r="EC10" i="19"/>
  <c r="EC6" i="19" s="1"/>
  <c r="EB10" i="19"/>
  <c r="EB6" i="19" s="1"/>
  <c r="EA10" i="19"/>
  <c r="EA6" i="19" s="1"/>
  <c r="DZ10" i="19"/>
  <c r="DZ6" i="19" s="1"/>
  <c r="DY10" i="19"/>
  <c r="DY6" i="19" s="1"/>
  <c r="DX10" i="19"/>
  <c r="DX6" i="19" s="1"/>
  <c r="DW10" i="19"/>
  <c r="DW6" i="19" s="1"/>
  <c r="DV10" i="19"/>
  <c r="DV6" i="19" s="1"/>
  <c r="DU10" i="19"/>
  <c r="DU6" i="19" s="1"/>
  <c r="DT10" i="19"/>
  <c r="DT6" i="19" s="1"/>
  <c r="DS10" i="19"/>
  <c r="DS6" i="19" s="1"/>
  <c r="DR10" i="19"/>
  <c r="DR6" i="19" s="1"/>
  <c r="DQ10" i="19"/>
  <c r="DQ6" i="19" s="1"/>
  <c r="DP10" i="19"/>
  <c r="DP6" i="19" s="1"/>
  <c r="DO10" i="19"/>
  <c r="DO6" i="19" s="1"/>
  <c r="DN10" i="19"/>
  <c r="DN6" i="19" s="1"/>
  <c r="DM10" i="19"/>
  <c r="DM6" i="19" s="1"/>
  <c r="DL10" i="19"/>
  <c r="DL6" i="19" s="1"/>
  <c r="DK10" i="19"/>
  <c r="DK6" i="19" s="1"/>
  <c r="DJ10" i="19"/>
  <c r="DJ6" i="19" s="1"/>
  <c r="DI10" i="19"/>
  <c r="DI6" i="19" s="1"/>
  <c r="DH10" i="19"/>
  <c r="DH6" i="19" s="1"/>
  <c r="DG10" i="19"/>
  <c r="DG6" i="19" s="1"/>
  <c r="DF10" i="19"/>
  <c r="DF6" i="19" s="1"/>
  <c r="DE10" i="19"/>
  <c r="DE6" i="19" s="1"/>
  <c r="DD10" i="19"/>
  <c r="DD6" i="19" s="1"/>
  <c r="DC10" i="19"/>
  <c r="DC6" i="19" s="1"/>
  <c r="DB10" i="19"/>
  <c r="DB6" i="19" s="1"/>
  <c r="DA10" i="19"/>
  <c r="DA6" i="19" s="1"/>
  <c r="CZ10" i="19"/>
  <c r="CZ6" i="19" s="1"/>
  <c r="CY10" i="19"/>
  <c r="CY6" i="19" s="1"/>
  <c r="CX10" i="19"/>
  <c r="CX6" i="19" s="1"/>
  <c r="CW10" i="19"/>
  <c r="CW6" i="19" s="1"/>
  <c r="CV10" i="19"/>
  <c r="CV6" i="19" s="1"/>
  <c r="CU10" i="19"/>
  <c r="CU6" i="19" s="1"/>
  <c r="CT10" i="19"/>
  <c r="CT6" i="19" s="1"/>
  <c r="CS10" i="19"/>
  <c r="CS6" i="19" s="1"/>
  <c r="CR10" i="19"/>
  <c r="CR6" i="19" s="1"/>
  <c r="CQ10" i="19"/>
  <c r="CQ6" i="19" s="1"/>
  <c r="CP10" i="19"/>
  <c r="CP6" i="19" s="1"/>
  <c r="CO10" i="19"/>
  <c r="CO6" i="19" s="1"/>
  <c r="CN10" i="19"/>
  <c r="CN6" i="19" s="1"/>
  <c r="CM10" i="19"/>
  <c r="CM6" i="19" s="1"/>
  <c r="CL10" i="19"/>
  <c r="CL6" i="19" s="1"/>
  <c r="CK10" i="19"/>
  <c r="CK6" i="19" s="1"/>
  <c r="CJ10" i="19"/>
  <c r="CJ6" i="19" s="1"/>
  <c r="CI10" i="19"/>
  <c r="CI6" i="19" s="1"/>
  <c r="CH10" i="19"/>
  <c r="CH6" i="19" s="1"/>
  <c r="CG10" i="19"/>
  <c r="CG6" i="19" s="1"/>
  <c r="CF10" i="19"/>
  <c r="CF6" i="19" s="1"/>
  <c r="CE10" i="19"/>
  <c r="CE6" i="19" s="1"/>
  <c r="CD10" i="19"/>
  <c r="CD6" i="19" s="1"/>
  <c r="CC10" i="19"/>
  <c r="CC6" i="19" s="1"/>
  <c r="CB10" i="19"/>
  <c r="CB6" i="19" s="1"/>
  <c r="CA10" i="19"/>
  <c r="CA6" i="19" s="1"/>
  <c r="BZ10" i="19"/>
  <c r="BZ6" i="19" s="1"/>
  <c r="BY10" i="19"/>
  <c r="BY6" i="19" s="1"/>
  <c r="BX10" i="19"/>
  <c r="BX6" i="19" s="1"/>
  <c r="BW10" i="19"/>
  <c r="BW6" i="19" s="1"/>
  <c r="BV10" i="19"/>
  <c r="BV6" i="19" s="1"/>
  <c r="BU10" i="19"/>
  <c r="BU6" i="19" s="1"/>
  <c r="BT10" i="19"/>
  <c r="BT6" i="19" s="1"/>
  <c r="BS10" i="19"/>
  <c r="BS6" i="19" s="1"/>
  <c r="BR10" i="19"/>
  <c r="BR6" i="19" s="1"/>
  <c r="BQ10" i="19"/>
  <c r="BQ6" i="19" s="1"/>
  <c r="BP10" i="19"/>
  <c r="BP6" i="19" s="1"/>
  <c r="BO10" i="19"/>
  <c r="BO6" i="19" s="1"/>
  <c r="BN10" i="19"/>
  <c r="BN6" i="19" s="1"/>
  <c r="BM10" i="19"/>
  <c r="BM6" i="19" s="1"/>
  <c r="BL10" i="19"/>
  <c r="BL6" i="19" s="1"/>
  <c r="BK10" i="19"/>
  <c r="BK6" i="19" s="1"/>
  <c r="BJ10" i="19"/>
  <c r="BJ6" i="19" s="1"/>
  <c r="BI10" i="19"/>
  <c r="BI6" i="19" s="1"/>
  <c r="BH10" i="19"/>
  <c r="BH6" i="19" s="1"/>
  <c r="BG10" i="19"/>
  <c r="BG6" i="19" s="1"/>
  <c r="BF10" i="19"/>
  <c r="BF6" i="19" s="1"/>
  <c r="BE10" i="19"/>
  <c r="BE6" i="19" s="1"/>
  <c r="BD10" i="19"/>
  <c r="BD6" i="19" s="1"/>
  <c r="BC10" i="19"/>
  <c r="BC6" i="19" s="1"/>
  <c r="BB10" i="19"/>
  <c r="BB6" i="19" s="1"/>
  <c r="BA10" i="19"/>
  <c r="BA6" i="19" s="1"/>
  <c r="AZ10" i="19"/>
  <c r="AZ6" i="19" s="1"/>
  <c r="AY10" i="19"/>
  <c r="AY6" i="19" s="1"/>
  <c r="AX10" i="19"/>
  <c r="AX6" i="19" s="1"/>
  <c r="AW10" i="19"/>
  <c r="AW6" i="19" s="1"/>
  <c r="AV10" i="19"/>
  <c r="AV6" i="19" s="1"/>
  <c r="AU10" i="19"/>
  <c r="AU6" i="19" s="1"/>
  <c r="AT10" i="19"/>
  <c r="AT6" i="19" s="1"/>
  <c r="AS10" i="19"/>
  <c r="AS6" i="19" s="1"/>
  <c r="AR10" i="19"/>
  <c r="AR6" i="19" s="1"/>
  <c r="AQ10" i="19"/>
  <c r="AQ6" i="19" s="1"/>
  <c r="AP10" i="19"/>
  <c r="AP6" i="19" s="1"/>
  <c r="AO10" i="19"/>
  <c r="AO6" i="19" s="1"/>
  <c r="AN10" i="19"/>
  <c r="AN6" i="19" s="1"/>
  <c r="AM10" i="19"/>
  <c r="AM6" i="19" s="1"/>
  <c r="AL10" i="19"/>
  <c r="AL6" i="19" s="1"/>
  <c r="AK10" i="19"/>
  <c r="AK6" i="19" s="1"/>
  <c r="AJ10" i="19"/>
  <c r="AJ6" i="19" s="1"/>
  <c r="AI10" i="19"/>
  <c r="AI6" i="19" s="1"/>
  <c r="AH10" i="19"/>
  <c r="AH6" i="19" s="1"/>
  <c r="AG10" i="19"/>
  <c r="AG6" i="19" s="1"/>
  <c r="AF10" i="19"/>
  <c r="AF6" i="19" s="1"/>
  <c r="AE10" i="19"/>
  <c r="AE6" i="19" s="1"/>
  <c r="AD10" i="19"/>
  <c r="AD6" i="19" s="1"/>
  <c r="AC10" i="19"/>
  <c r="AC6" i="19" s="1"/>
  <c r="AB10" i="19"/>
  <c r="AB6" i="19" s="1"/>
  <c r="AA10" i="19"/>
  <c r="AA6" i="19" s="1"/>
  <c r="Z10" i="19"/>
  <c r="Z6" i="19" s="1"/>
  <c r="Y10" i="19"/>
  <c r="Y6" i="19" s="1"/>
  <c r="X10" i="19"/>
  <c r="X6" i="19" s="1"/>
  <c r="W10" i="19"/>
  <c r="W6" i="19" s="1"/>
  <c r="V10" i="19"/>
  <c r="V6" i="19" s="1"/>
  <c r="U10" i="19"/>
  <c r="U6" i="19" s="1"/>
  <c r="T10" i="19"/>
  <c r="T6" i="19" s="1"/>
  <c r="S10" i="19"/>
  <c r="S6" i="19" s="1"/>
  <c r="R10" i="19"/>
  <c r="R6" i="19" s="1"/>
  <c r="Q10" i="19"/>
  <c r="Q6" i="19" s="1"/>
  <c r="P10" i="19"/>
  <c r="P6" i="19" s="1"/>
  <c r="O10" i="19"/>
  <c r="O6" i="19" s="1"/>
  <c r="N10" i="19"/>
  <c r="N6" i="19" s="1"/>
  <c r="M10" i="19"/>
  <c r="M6" i="19" s="1"/>
  <c r="L7" i="19"/>
  <c r="D7" i="19"/>
  <c r="H453" i="20" l="1"/>
  <c r="WUL247" i="20"/>
  <c r="WUH247" i="20" s="1"/>
  <c r="WUD247" i="20" s="1"/>
  <c r="WTZ247" i="20" s="1"/>
  <c r="WUK247" i="20"/>
  <c r="H244" i="20"/>
  <c r="H203" i="20"/>
  <c r="S12" i="20"/>
  <c r="S9" i="20"/>
  <c r="I14" i="20"/>
  <c r="K14" i="20" s="1"/>
  <c r="L19" i="20"/>
  <c r="H91" i="20"/>
  <c r="H237" i="20"/>
  <c r="H75" i="20"/>
  <c r="H26" i="20"/>
  <c r="Q79" i="20"/>
  <c r="Q124" i="20"/>
  <c r="Q89" i="20"/>
  <c r="Q111" i="20"/>
  <c r="Q132" i="20"/>
  <c r="Q105" i="20"/>
  <c r="Q140" i="20"/>
  <c r="Q90" i="20"/>
  <c r="Q112" i="20"/>
  <c r="H57" i="20"/>
  <c r="I19" i="20"/>
  <c r="T13" i="20"/>
  <c r="T9" i="20" s="1"/>
  <c r="I576" i="19"/>
  <c r="J576" i="19" s="1"/>
  <c r="I14" i="19"/>
  <c r="N12" i="19"/>
  <c r="I20" i="19"/>
  <c r="P13" i="19"/>
  <c r="O12" i="19"/>
  <c r="WUG247" i="20" l="1"/>
  <c r="WUC247" i="20" s="1"/>
  <c r="WTY247" i="20" s="1"/>
  <c r="WTU247" i="20" s="1"/>
  <c r="WUF247" i="20"/>
  <c r="M14" i="20"/>
  <c r="O14" i="20" s="1"/>
  <c r="K19" i="20"/>
  <c r="T12" i="20"/>
  <c r="U13" i="20"/>
  <c r="U9" i="20" s="1"/>
  <c r="Q13" i="19"/>
  <c r="P12" i="19"/>
  <c r="WUB247" i="20" l="1"/>
  <c r="WTX247" i="20" s="1"/>
  <c r="WTT247" i="20" s="1"/>
  <c r="WTP247" i="20" s="1"/>
  <c r="WUA247" i="20"/>
  <c r="V13" i="20"/>
  <c r="V9" i="20" s="1"/>
  <c r="U12" i="20"/>
  <c r="Q12" i="19"/>
  <c r="R13" i="19"/>
  <c r="WTW247" i="20" l="1"/>
  <c r="WTS247" i="20" s="1"/>
  <c r="WTO247" i="20" s="1"/>
  <c r="WTK247" i="20" s="1"/>
  <c r="WTV247" i="20"/>
  <c r="W13" i="20"/>
  <c r="W9" i="20" s="1"/>
  <c r="V12" i="20"/>
  <c r="R12" i="19"/>
  <c r="S13" i="19"/>
  <c r="WTR247" i="20" l="1"/>
  <c r="WTN247" i="20" s="1"/>
  <c r="WTJ247" i="20" s="1"/>
  <c r="WTF247" i="20" s="1"/>
  <c r="WTQ247" i="20"/>
  <c r="X13" i="20"/>
  <c r="X9" i="20" s="1"/>
  <c r="W12" i="20"/>
  <c r="S12" i="19"/>
  <c r="T13" i="19"/>
  <c r="WTM247" i="20" l="1"/>
  <c r="WTI247" i="20" s="1"/>
  <c r="WTE247" i="20" s="1"/>
  <c r="WTA247" i="20" s="1"/>
  <c r="WTL247" i="20"/>
  <c r="Y13" i="20"/>
  <c r="Y9" i="20" s="1"/>
  <c r="X12" i="20"/>
  <c r="U13" i="19"/>
  <c r="T12" i="19"/>
  <c r="A7" i="17"/>
  <c r="Q9" i="17" l="1"/>
  <c r="R9" i="17"/>
  <c r="P9" i="17"/>
  <c r="P236" i="17"/>
  <c r="Q236" i="17"/>
  <c r="R236" i="17"/>
  <c r="R7" i="17"/>
  <c r="Q7" i="17"/>
  <c r="P7" i="17"/>
  <c r="X735" i="1"/>
  <c r="X734" i="1"/>
  <c r="X464" i="1"/>
  <c r="X416" i="1"/>
  <c r="X417" i="1"/>
  <c r="T176" i="15"/>
  <c r="T168" i="15"/>
  <c r="T158" i="15"/>
  <c r="T180" i="15"/>
  <c r="T179" i="15"/>
  <c r="T163" i="15"/>
  <c r="T170" i="15"/>
  <c r="T161" i="15"/>
  <c r="T175" i="15"/>
  <c r="T167" i="15"/>
  <c r="T157" i="15"/>
  <c r="T172" i="15"/>
  <c r="T150" i="15"/>
  <c r="T149" i="15"/>
  <c r="T162" i="15"/>
  <c r="T169" i="15"/>
  <c r="T151" i="15"/>
  <c r="T182" i="15"/>
  <c r="T174" i="15"/>
  <c r="T166" i="15"/>
  <c r="T156" i="15"/>
  <c r="T154" i="15"/>
  <c r="T153" i="15"/>
  <c r="T152" i="15"/>
  <c r="T177" i="15"/>
  <c r="T181" i="15"/>
  <c r="T173" i="15"/>
  <c r="T165" i="15"/>
  <c r="T155" i="15"/>
  <c r="T164" i="15"/>
  <c r="T171" i="15"/>
  <c r="T178" i="15"/>
  <c r="T67" i="15"/>
  <c r="T59" i="15"/>
  <c r="T51" i="15"/>
  <c r="T114" i="15"/>
  <c r="T106" i="15"/>
  <c r="T98" i="15"/>
  <c r="T105" i="15"/>
  <c r="T55" i="15"/>
  <c r="T110" i="15"/>
  <c r="T108" i="15"/>
  <c r="T115" i="15"/>
  <c r="T99" i="15"/>
  <c r="T66" i="15"/>
  <c r="T58" i="15"/>
  <c r="T50" i="15"/>
  <c r="T113" i="15"/>
  <c r="T97" i="15"/>
  <c r="T94" i="15"/>
  <c r="T100" i="15"/>
  <c r="T107" i="15"/>
  <c r="T148" i="15"/>
  <c r="T65" i="15"/>
  <c r="T57" i="15"/>
  <c r="T49" i="15"/>
  <c r="T112" i="15"/>
  <c r="T104" i="15"/>
  <c r="T96" i="15"/>
  <c r="T47" i="15"/>
  <c r="T53" i="15"/>
  <c r="T60" i="15"/>
  <c r="T72" i="15"/>
  <c r="T64" i="15"/>
  <c r="T56" i="15"/>
  <c r="T48" i="15"/>
  <c r="T111" i="15"/>
  <c r="T103" i="15"/>
  <c r="T95" i="15"/>
  <c r="T63" i="15"/>
  <c r="T102" i="15"/>
  <c r="T116" i="15"/>
  <c r="T52" i="15"/>
  <c r="T71" i="15"/>
  <c r="T92" i="15"/>
  <c r="T70" i="15"/>
  <c r="T62" i="15"/>
  <c r="T54" i="15"/>
  <c r="T117" i="15"/>
  <c r="T109" i="15"/>
  <c r="T101" i="15"/>
  <c r="T93" i="15"/>
  <c r="T69" i="15"/>
  <c r="T61" i="15"/>
  <c r="T68" i="15"/>
  <c r="X801" i="1"/>
  <c r="X266" i="1"/>
  <c r="X823" i="1"/>
  <c r="R144" i="17"/>
  <c r="P144" i="17"/>
  <c r="Q144" i="17"/>
  <c r="Q700" i="17"/>
  <c r="R700" i="17"/>
  <c r="P700" i="17"/>
  <c r="X837" i="1"/>
  <c r="X874" i="1"/>
  <c r="WTH247" i="20"/>
  <c r="WTD247" i="20" s="1"/>
  <c r="WSZ247" i="20" s="1"/>
  <c r="WSV247" i="20" s="1"/>
  <c r="WTG247" i="20"/>
  <c r="X1532" i="1"/>
  <c r="X1524" i="1"/>
  <c r="X1516" i="1"/>
  <c r="X1508" i="1"/>
  <c r="X1500" i="1"/>
  <c r="X1492" i="1"/>
  <c r="X1484" i="1"/>
  <c r="X1476" i="1"/>
  <c r="X1468" i="1"/>
  <c r="X1460" i="1"/>
  <c r="X1452" i="1"/>
  <c r="X1444" i="1"/>
  <c r="X1436" i="1"/>
  <c r="X1428" i="1"/>
  <c r="X1420" i="1"/>
  <c r="X1412" i="1"/>
  <c r="X1404" i="1"/>
  <c r="X1396" i="1"/>
  <c r="X1388" i="1"/>
  <c r="X1380" i="1"/>
  <c r="X1372" i="1"/>
  <c r="X1364" i="1"/>
  <c r="X1356" i="1"/>
  <c r="X1348" i="1"/>
  <c r="X1340" i="1"/>
  <c r="X1327" i="1"/>
  <c r="X1319" i="1"/>
  <c r="X1311" i="1"/>
  <c r="X1303" i="1"/>
  <c r="X1295" i="1"/>
  <c r="X1287" i="1"/>
  <c r="X1279" i="1"/>
  <c r="X1271" i="1"/>
  <c r="X1263" i="1"/>
  <c r="X1255" i="1"/>
  <c r="X1247" i="1"/>
  <c r="X1239" i="1"/>
  <c r="X1231" i="1"/>
  <c r="X1223" i="1"/>
  <c r="X1215" i="1"/>
  <c r="X1207" i="1"/>
  <c r="X1199" i="1"/>
  <c r="X1191" i="1"/>
  <c r="X1183" i="1"/>
  <c r="X1175" i="1"/>
  <c r="X1167" i="1"/>
  <c r="X1159" i="1"/>
  <c r="X1151" i="1"/>
  <c r="X1143" i="1"/>
  <c r="X1135" i="1"/>
  <c r="X1127" i="1"/>
  <c r="X1119" i="1"/>
  <c r="X1111" i="1"/>
  <c r="X1103" i="1"/>
  <c r="X1095" i="1"/>
  <c r="X1530" i="1"/>
  <c r="X1522" i="1"/>
  <c r="X1514" i="1"/>
  <c r="X1506" i="1"/>
  <c r="X1498" i="1"/>
  <c r="X1490" i="1"/>
  <c r="X1482" i="1"/>
  <c r="X1474" i="1"/>
  <c r="X1466" i="1"/>
  <c r="X1458" i="1"/>
  <c r="X1450" i="1"/>
  <c r="X1442" i="1"/>
  <c r="X1434" i="1"/>
  <c r="X1426" i="1"/>
  <c r="X1418" i="1"/>
  <c r="X1410" i="1"/>
  <c r="X1402" i="1"/>
  <c r="X1394" i="1"/>
  <c r="X1386" i="1"/>
  <c r="X1378" i="1"/>
  <c r="X1370" i="1"/>
  <c r="X1362" i="1"/>
  <c r="X1354" i="1"/>
  <c r="X1346" i="1"/>
  <c r="X1338" i="1"/>
  <c r="X1325" i="1"/>
  <c r="X1317" i="1"/>
  <c r="X1309" i="1"/>
  <c r="X1301" i="1"/>
  <c r="X1293" i="1"/>
  <c r="X1285" i="1"/>
  <c r="X1277" i="1"/>
  <c r="X1269" i="1"/>
  <c r="X1261" i="1"/>
  <c r="X1253" i="1"/>
  <c r="X1245" i="1"/>
  <c r="X1237" i="1"/>
  <c r="X1229" i="1"/>
  <c r="X1221" i="1"/>
  <c r="X1213" i="1"/>
  <c r="X1205" i="1"/>
  <c r="X1197" i="1"/>
  <c r="X1189" i="1"/>
  <c r="X1181" i="1"/>
  <c r="X1173" i="1"/>
  <c r="X1165" i="1"/>
  <c r="X1157" i="1"/>
  <c r="X1149" i="1"/>
  <c r="X1141" i="1"/>
  <c r="X1133" i="1"/>
  <c r="X1125" i="1"/>
  <c r="X1117" i="1"/>
  <c r="X1109" i="1"/>
  <c r="X1101" i="1"/>
  <c r="X1093" i="1"/>
  <c r="X1085" i="1"/>
  <c r="X1077" i="1"/>
  <c r="X1069" i="1"/>
  <c r="X1061" i="1"/>
  <c r="X1529" i="1"/>
  <c r="X1521" i="1"/>
  <c r="X1513" i="1"/>
  <c r="X1505" i="1"/>
  <c r="X1497" i="1"/>
  <c r="X1489" i="1"/>
  <c r="X1481" i="1"/>
  <c r="X1473" i="1"/>
  <c r="X1465" i="1"/>
  <c r="X1457" i="1"/>
  <c r="X1449" i="1"/>
  <c r="X1441" i="1"/>
  <c r="X1433" i="1"/>
  <c r="X1425" i="1"/>
  <c r="X1417" i="1"/>
  <c r="X1409" i="1"/>
  <c r="X1401" i="1"/>
  <c r="X1393" i="1"/>
  <c r="X1385" i="1"/>
  <c r="X1377" i="1"/>
  <c r="X1369" i="1"/>
  <c r="X1361" i="1"/>
  <c r="X1353" i="1"/>
  <c r="X1345" i="1"/>
  <c r="X1337" i="1"/>
  <c r="X1332" i="1"/>
  <c r="X1324" i="1"/>
  <c r="X1316" i="1"/>
  <c r="X1308" i="1"/>
  <c r="X1300" i="1"/>
  <c r="X1292" i="1"/>
  <c r="X1284" i="1"/>
  <c r="X1276" i="1"/>
  <c r="X1268" i="1"/>
  <c r="X1260" i="1"/>
  <c r="X1252" i="1"/>
  <c r="X1244" i="1"/>
  <c r="X1236" i="1"/>
  <c r="X1228" i="1"/>
  <c r="X1220" i="1"/>
  <c r="X1212" i="1"/>
  <c r="X1204" i="1"/>
  <c r="X1196" i="1"/>
  <c r="X1188" i="1"/>
  <c r="X1180" i="1"/>
  <c r="X1172" i="1"/>
  <c r="X1164" i="1"/>
  <c r="X1156" i="1"/>
  <c r="X1148" i="1"/>
  <c r="X1140" i="1"/>
  <c r="X1132" i="1"/>
  <c r="X1124" i="1"/>
  <c r="X1116" i="1"/>
  <c r="X1108" i="1"/>
  <c r="X1100" i="1"/>
  <c r="X1092" i="1"/>
  <c r="X1084" i="1"/>
  <c r="X1076" i="1"/>
  <c r="X1068" i="1"/>
  <c r="X1060" i="1"/>
  <c r="X1052" i="1"/>
  <c r="X1044" i="1"/>
  <c r="X1036" i="1"/>
  <c r="X1028" i="1"/>
  <c r="X1528" i="1"/>
  <c r="X1527" i="1"/>
  <c r="X1519" i="1"/>
  <c r="X1511" i="1"/>
  <c r="X1503" i="1"/>
  <c r="X1495" i="1"/>
  <c r="X1487" i="1"/>
  <c r="X1479" i="1"/>
  <c r="X1471" i="1"/>
  <c r="X1463" i="1"/>
  <c r="X1455" i="1"/>
  <c r="X1447" i="1"/>
  <c r="X1439" i="1"/>
  <c r="X1431" i="1"/>
  <c r="X1423" i="1"/>
  <c r="X1415" i="1"/>
  <c r="X1407" i="1"/>
  <c r="X1399" i="1"/>
  <c r="X1391" i="1"/>
  <c r="X1383" i="1"/>
  <c r="X1375" i="1"/>
  <c r="X1367" i="1"/>
  <c r="X1359" i="1"/>
  <c r="X1351" i="1"/>
  <c r="X1343" i="1"/>
  <c r="X1335" i="1"/>
  <c r="X1330" i="1"/>
  <c r="X1322" i="1"/>
  <c r="X1314" i="1"/>
  <c r="X1306" i="1"/>
  <c r="X1298" i="1"/>
  <c r="X1290" i="1"/>
  <c r="X1282" i="1"/>
  <c r="X1274" i="1"/>
  <c r="X1266" i="1"/>
  <c r="X1258" i="1"/>
  <c r="X1250" i="1"/>
  <c r="X1242" i="1"/>
  <c r="X1234" i="1"/>
  <c r="X1226" i="1"/>
  <c r="X1218" i="1"/>
  <c r="X1210" i="1"/>
  <c r="X1202" i="1"/>
  <c r="X1194" i="1"/>
  <c r="X1186" i="1"/>
  <c r="X1178" i="1"/>
  <c r="X1170" i="1"/>
  <c r="X1162" i="1"/>
  <c r="X1154" i="1"/>
  <c r="X1146" i="1"/>
  <c r="X1138" i="1"/>
  <c r="X1526" i="1"/>
  <c r="X1518" i="1"/>
  <c r="X1510" i="1"/>
  <c r="X1502" i="1"/>
  <c r="X1494" i="1"/>
  <c r="X1486" i="1"/>
  <c r="X1478" i="1"/>
  <c r="X1470" i="1"/>
  <c r="X1462" i="1"/>
  <c r="X1454" i="1"/>
  <c r="X1446" i="1"/>
  <c r="X1438" i="1"/>
  <c r="X1430" i="1"/>
  <c r="X1422" i="1"/>
  <c r="X1414" i="1"/>
  <c r="X1406" i="1"/>
  <c r="X1398" i="1"/>
  <c r="X1390" i="1"/>
  <c r="X1382" i="1"/>
  <c r="X1374" i="1"/>
  <c r="X1366" i="1"/>
  <c r="X1358" i="1"/>
  <c r="X1350" i="1"/>
  <c r="X1342" i="1"/>
  <c r="X1334" i="1"/>
  <c r="X1329" i="1"/>
  <c r="X1321" i="1"/>
  <c r="X1313" i="1"/>
  <c r="X1305" i="1"/>
  <c r="X1297" i="1"/>
  <c r="X1289" i="1"/>
  <c r="X1281" i="1"/>
  <c r="X1273" i="1"/>
  <c r="X1265" i="1"/>
  <c r="X1257" i="1"/>
  <c r="X1249" i="1"/>
  <c r="X1241" i="1"/>
  <c r="X1233" i="1"/>
  <c r="X1225" i="1"/>
  <c r="X1217" i="1"/>
  <c r="X1209" i="1"/>
  <c r="X1201" i="1"/>
  <c r="X1193" i="1"/>
  <c r="X1185" i="1"/>
  <c r="X1177" i="1"/>
  <c r="X1169" i="1"/>
  <c r="X1161" i="1"/>
  <c r="X1153" i="1"/>
  <c r="X1145" i="1"/>
  <c r="X1137" i="1"/>
  <c r="X1129" i="1"/>
  <c r="X1121" i="1"/>
  <c r="X1113" i="1"/>
  <c r="X1105" i="1"/>
  <c r="X1097" i="1"/>
  <c r="X1089" i="1"/>
  <c r="X1081" i="1"/>
  <c r="X1073" i="1"/>
  <c r="X1065" i="1"/>
  <c r="X1057" i="1"/>
  <c r="X1049" i="1"/>
  <c r="X1041" i="1"/>
  <c r="X1033" i="1"/>
  <c r="X1025" i="1"/>
  <c r="X1017" i="1"/>
  <c r="X1009" i="1"/>
  <c r="X1001" i="1"/>
  <c r="X993" i="1"/>
  <c r="X985" i="1"/>
  <c r="X977" i="1"/>
  <c r="X969" i="1"/>
  <c r="X961" i="1"/>
  <c r="X953" i="1"/>
  <c r="X945" i="1"/>
  <c r="X937" i="1"/>
  <c r="X929" i="1"/>
  <c r="X901" i="1"/>
  <c r="X862" i="1"/>
  <c r="X889" i="1"/>
  <c r="X849" i="1"/>
  <c r="X875" i="1"/>
  <c r="X902" i="1"/>
  <c r="X856" i="1"/>
  <c r="X865" i="1"/>
  <c r="X850" i="1"/>
  <c r="X1525" i="1"/>
  <c r="X1517" i="1"/>
  <c r="X1509" i="1"/>
  <c r="X1501" i="1"/>
  <c r="X1493" i="1"/>
  <c r="X1485" i="1"/>
  <c r="X1477" i="1"/>
  <c r="X1469" i="1"/>
  <c r="X1461" i="1"/>
  <c r="X1453" i="1"/>
  <c r="X1445" i="1"/>
  <c r="X1437" i="1"/>
  <c r="X1429" i="1"/>
  <c r="X1421" i="1"/>
  <c r="X1413" i="1"/>
  <c r="X1405" i="1"/>
  <c r="X1397" i="1"/>
  <c r="X1389" i="1"/>
  <c r="X1381" i="1"/>
  <c r="X1373" i="1"/>
  <c r="X1365" i="1"/>
  <c r="X1357" i="1"/>
  <c r="X1349" i="1"/>
  <c r="X1341" i="1"/>
  <c r="X1333" i="1"/>
  <c r="X1328" i="1"/>
  <c r="X1320" i="1"/>
  <c r="X1312" i="1"/>
  <c r="X1304" i="1"/>
  <c r="X1296" i="1"/>
  <c r="X1288" i="1"/>
  <c r="X1280" i="1"/>
  <c r="X1272" i="1"/>
  <c r="X1264" i="1"/>
  <c r="X1256" i="1"/>
  <c r="X1248" i="1"/>
  <c r="X1240" i="1"/>
  <c r="X1232" i="1"/>
  <c r="X1224" i="1"/>
  <c r="X1216" i="1"/>
  <c r="X1208" i="1"/>
  <c r="X1200" i="1"/>
  <c r="X1192" i="1"/>
  <c r="X1184" i="1"/>
  <c r="X1176" i="1"/>
  <c r="X1168" i="1"/>
  <c r="X1160" i="1"/>
  <c r="X1152" i="1"/>
  <c r="X1144" i="1"/>
  <c r="X1136" i="1"/>
  <c r="X1128" i="1"/>
  <c r="X1120" i="1"/>
  <c r="X1112" i="1"/>
  <c r="X1104" i="1"/>
  <c r="X1096" i="1"/>
  <c r="X1088" i="1"/>
  <c r="X1080" i="1"/>
  <c r="X1072" i="1"/>
  <c r="X1064" i="1"/>
  <c r="X1056" i="1"/>
  <c r="X1531" i="1"/>
  <c r="X1496" i="1"/>
  <c r="X1464" i="1"/>
  <c r="X1432" i="1"/>
  <c r="X1400" i="1"/>
  <c r="X1368" i="1"/>
  <c r="X1336" i="1"/>
  <c r="X1307" i="1"/>
  <c r="X1275" i="1"/>
  <c r="X1243" i="1"/>
  <c r="X1211" i="1"/>
  <c r="X1179" i="1"/>
  <c r="X1147" i="1"/>
  <c r="X1122" i="1"/>
  <c r="X1099" i="1"/>
  <c r="X1082" i="1"/>
  <c r="X1066" i="1"/>
  <c r="X1051" i="1"/>
  <c r="X1040" i="1"/>
  <c r="X1030" i="1"/>
  <c r="X1020" i="1"/>
  <c r="X1011" i="1"/>
  <c r="X1002" i="1"/>
  <c r="X992" i="1"/>
  <c r="X983" i="1"/>
  <c r="X974" i="1"/>
  <c r="X965" i="1"/>
  <c r="X956" i="1"/>
  <c r="X947" i="1"/>
  <c r="X938" i="1"/>
  <c r="X928" i="1"/>
  <c r="X891" i="1"/>
  <c r="X845" i="1"/>
  <c r="X914" i="1"/>
  <c r="X841" i="1"/>
  <c r="X916" i="1"/>
  <c r="X869" i="1"/>
  <c r="X886" i="1"/>
  <c r="X848" i="1"/>
  <c r="X873" i="1"/>
  <c r="X838" i="1"/>
  <c r="X829" i="1"/>
  <c r="X820" i="1"/>
  <c r="X812" i="1"/>
  <c r="X804" i="1"/>
  <c r="X795" i="1"/>
  <c r="X787" i="1"/>
  <c r="X779" i="1"/>
  <c r="X771" i="1"/>
  <c r="X763" i="1"/>
  <c r="X755" i="1"/>
  <c r="X747" i="1"/>
  <c r="X739" i="1"/>
  <c r="X729" i="1"/>
  <c r="X721" i="1"/>
  <c r="X713" i="1"/>
  <c r="X705" i="1"/>
  <c r="X697" i="1"/>
  <c r="X689" i="1"/>
  <c r="X681" i="1"/>
  <c r="X673" i="1"/>
  <c r="X665" i="1"/>
  <c r="X657" i="1"/>
  <c r="X649" i="1"/>
  <c r="X641" i="1"/>
  <c r="X633" i="1"/>
  <c r="X625" i="1"/>
  <c r="X617" i="1"/>
  <c r="X609" i="1"/>
  <c r="X601" i="1"/>
  <c r="X593" i="1"/>
  <c r="X585" i="1"/>
  <c r="X577" i="1"/>
  <c r="X569" i="1"/>
  <c r="X561" i="1"/>
  <c r="X553" i="1"/>
  <c r="X545" i="1"/>
  <c r="X537" i="1"/>
  <c r="X529" i="1"/>
  <c r="X521" i="1"/>
  <c r="X513" i="1"/>
  <c r="X505" i="1"/>
  <c r="X497" i="1"/>
  <c r="X489" i="1"/>
  <c r="X481" i="1"/>
  <c r="X1523" i="1"/>
  <c r="X1491" i="1"/>
  <c r="X1459" i="1"/>
  <c r="X1427" i="1"/>
  <c r="X1395" i="1"/>
  <c r="X1363" i="1"/>
  <c r="X1302" i="1"/>
  <c r="X1270" i="1"/>
  <c r="X1238" i="1"/>
  <c r="X1206" i="1"/>
  <c r="X1174" i="1"/>
  <c r="X1142" i="1"/>
  <c r="X1118" i="1"/>
  <c r="X1098" i="1"/>
  <c r="X1079" i="1"/>
  <c r="X1063" i="1"/>
  <c r="X1050" i="1"/>
  <c r="X1039" i="1"/>
  <c r="X1029" i="1"/>
  <c r="X1019" i="1"/>
  <c r="X1010" i="1"/>
  <c r="X1000" i="1"/>
  <c r="X991" i="1"/>
  <c r="X982" i="1"/>
  <c r="X973" i="1"/>
  <c r="X964" i="1"/>
  <c r="X955" i="1"/>
  <c r="X946" i="1"/>
  <c r="X936" i="1"/>
  <c r="X927" i="1"/>
  <c r="X895" i="1"/>
  <c r="X843" i="1"/>
  <c r="X881" i="1"/>
  <c r="X868" i="1"/>
  <c r="X905" i="1"/>
  <c r="X854" i="1"/>
  <c r="X888" i="1"/>
  <c r="X846" i="1"/>
  <c r="X876" i="1"/>
  <c r="X836" i="1"/>
  <c r="X828" i="1"/>
  <c r="X819" i="1"/>
  <c r="X811" i="1"/>
  <c r="X803" i="1"/>
  <c r="X794" i="1"/>
  <c r="X786" i="1"/>
  <c r="X778" i="1"/>
  <c r="X770" i="1"/>
  <c r="X762" i="1"/>
  <c r="X754" i="1"/>
  <c r="X746" i="1"/>
  <c r="X738" i="1"/>
  <c r="X728" i="1"/>
  <c r="X720" i="1"/>
  <c r="X712" i="1"/>
  <c r="X704" i="1"/>
  <c r="X696" i="1"/>
  <c r="X688" i="1"/>
  <c r="X680" i="1"/>
  <c r="X672" i="1"/>
  <c r="X1520" i="1"/>
  <c r="X1488" i="1"/>
  <c r="X1456" i="1"/>
  <c r="X1424" i="1"/>
  <c r="X1392" i="1"/>
  <c r="X1360" i="1"/>
  <c r="X1331" i="1"/>
  <c r="X1299" i="1"/>
  <c r="X1267" i="1"/>
  <c r="X1235" i="1"/>
  <c r="X1203" i="1"/>
  <c r="X1171" i="1"/>
  <c r="X1139" i="1"/>
  <c r="X1115" i="1"/>
  <c r="X1094" i="1"/>
  <c r="X1078" i="1"/>
  <c r="X1062" i="1"/>
  <c r="X1048" i="1"/>
  <c r="X1038" i="1"/>
  <c r="X1027" i="1"/>
  <c r="X1018" i="1"/>
  <c r="X1008" i="1"/>
  <c r="X999" i="1"/>
  <c r="X990" i="1"/>
  <c r="X981" i="1"/>
  <c r="X972" i="1"/>
  <c r="X963" i="1"/>
  <c r="X954" i="1"/>
  <c r="X944" i="1"/>
  <c r="X935" i="1"/>
  <c r="X926" i="1"/>
  <c r="X885" i="1"/>
  <c r="X912" i="1"/>
  <c r="X851" i="1"/>
  <c r="X922" i="1"/>
  <c r="X896" i="1"/>
  <c r="X860" i="1"/>
  <c r="X861" i="1"/>
  <c r="X923" i="1"/>
  <c r="X871" i="1"/>
  <c r="X915" i="1"/>
  <c r="X827" i="1"/>
  <c r="X818" i="1"/>
  <c r="X810" i="1"/>
  <c r="X802" i="1"/>
  <c r="X793" i="1"/>
  <c r="X785" i="1"/>
  <c r="X777" i="1"/>
  <c r="X769" i="1"/>
  <c r="X761" i="1"/>
  <c r="X753" i="1"/>
  <c r="X745" i="1"/>
  <c r="X737" i="1"/>
  <c r="X727" i="1"/>
  <c r="X719" i="1"/>
  <c r="X711" i="1"/>
  <c r="X703" i="1"/>
  <c r="X695" i="1"/>
  <c r="X687" i="1"/>
  <c r="X679" i="1"/>
  <c r="X671" i="1"/>
  <c r="X663" i="1"/>
  <c r="X655" i="1"/>
  <c r="X647" i="1"/>
  <c r="X639" i="1"/>
  <c r="X631" i="1"/>
  <c r="X623" i="1"/>
  <c r="X615" i="1"/>
  <c r="X607" i="1"/>
  <c r="X599" i="1"/>
  <c r="X591" i="1"/>
  <c r="X583" i="1"/>
  <c r="X575" i="1"/>
  <c r="X567" i="1"/>
  <c r="X559" i="1"/>
  <c r="X551" i="1"/>
  <c r="X543" i="1"/>
  <c r="X535" i="1"/>
  <c r="X527" i="1"/>
  <c r="X519" i="1"/>
  <c r="X511" i="1"/>
  <c r="X503" i="1"/>
  <c r="X495" i="1"/>
  <c r="X487" i="1"/>
  <c r="X479" i="1"/>
  <c r="X1515" i="1"/>
  <c r="X1483" i="1"/>
  <c r="X1451" i="1"/>
  <c r="X1419" i="1"/>
  <c r="X1387" i="1"/>
  <c r="X1355" i="1"/>
  <c r="X1326" i="1"/>
  <c r="X1294" i="1"/>
  <c r="X1262" i="1"/>
  <c r="X1230" i="1"/>
  <c r="X1198" i="1"/>
  <c r="X1166" i="1"/>
  <c r="X1134" i="1"/>
  <c r="X1114" i="1"/>
  <c r="X1091" i="1"/>
  <c r="X1075" i="1"/>
  <c r="X1059" i="1"/>
  <c r="X1047" i="1"/>
  <c r="X1037" i="1"/>
  <c r="X1026" i="1"/>
  <c r="X1016" i="1"/>
  <c r="X1007" i="1"/>
  <c r="X998" i="1"/>
  <c r="X989" i="1"/>
  <c r="X980" i="1"/>
  <c r="X971" i="1"/>
  <c r="X962" i="1"/>
  <c r="X952" i="1"/>
  <c r="X943" i="1"/>
  <c r="X934" i="1"/>
  <c r="X925" i="1"/>
  <c r="X870" i="1"/>
  <c r="X866" i="1"/>
  <c r="X910" i="1"/>
  <c r="X877" i="1"/>
  <c r="X900" i="1"/>
  <c r="X919" i="1"/>
  <c r="X917" i="1"/>
  <c r="X852" i="1"/>
  <c r="X863" i="1"/>
  <c r="X893" i="1"/>
  <c r="X826" i="1"/>
  <c r="X817" i="1"/>
  <c r="X809" i="1"/>
  <c r="X800" i="1"/>
  <c r="X792" i="1"/>
  <c r="X784" i="1"/>
  <c r="X776" i="1"/>
  <c r="X768" i="1"/>
  <c r="X760" i="1"/>
  <c r="X752" i="1"/>
  <c r="X744" i="1"/>
  <c r="X736" i="1"/>
  <c r="X726" i="1"/>
  <c r="X718" i="1"/>
  <c r="X710" i="1"/>
  <c r="X702" i="1"/>
  <c r="X694" i="1"/>
  <c r="X686" i="1"/>
  <c r="X678" i="1"/>
  <c r="X670" i="1"/>
  <c r="X662" i="1"/>
  <c r="X654" i="1"/>
  <c r="X646" i="1"/>
  <c r="X638" i="1"/>
  <c r="X630" i="1"/>
  <c r="X622" i="1"/>
  <c r="X614" i="1"/>
  <c r="X606" i="1"/>
  <c r="X598" i="1"/>
  <c r="X590" i="1"/>
  <c r="X582" i="1"/>
  <c r="X574" i="1"/>
  <c r="X566" i="1"/>
  <c r="X558" i="1"/>
  <c r="X550" i="1"/>
  <c r="X542" i="1"/>
  <c r="X534" i="1"/>
  <c r="X526" i="1"/>
  <c r="X518" i="1"/>
  <c r="X510" i="1"/>
  <c r="X502" i="1"/>
  <c r="X494" i="1"/>
  <c r="X486" i="1"/>
  <c r="X478" i="1"/>
  <c r="X1512" i="1"/>
  <c r="X1480" i="1"/>
  <c r="X1448" i="1"/>
  <c r="X1416" i="1"/>
  <c r="X1384" i="1"/>
  <c r="X1352" i="1"/>
  <c r="X1323" i="1"/>
  <c r="X1291" i="1"/>
  <c r="X1259" i="1"/>
  <c r="X1227" i="1"/>
  <c r="X1195" i="1"/>
  <c r="X1163" i="1"/>
  <c r="X1131" i="1"/>
  <c r="X1110" i="1"/>
  <c r="X1090" i="1"/>
  <c r="X1074" i="1"/>
  <c r="X1058" i="1"/>
  <c r="X1046" i="1"/>
  <c r="X1035" i="1"/>
  <c r="X1024" i="1"/>
  <c r="X1015" i="1"/>
  <c r="X1006" i="1"/>
  <c r="X997" i="1"/>
  <c r="X988" i="1"/>
  <c r="X979" i="1"/>
  <c r="X970" i="1"/>
  <c r="X960" i="1"/>
  <c r="X951" i="1"/>
  <c r="X942" i="1"/>
  <c r="X933" i="1"/>
  <c r="X906" i="1"/>
  <c r="X857" i="1"/>
  <c r="X887" i="1"/>
  <c r="X847" i="1"/>
  <c r="X872" i="1"/>
  <c r="X898" i="1"/>
  <c r="X882" i="1"/>
  <c r="X907" i="1"/>
  <c r="X833" i="1"/>
  <c r="X878" i="1"/>
  <c r="X892" i="1"/>
  <c r="X825" i="1"/>
  <c r="X816" i="1"/>
  <c r="X808" i="1"/>
  <c r="X799" i="1"/>
  <c r="X791" i="1"/>
  <c r="X783" i="1"/>
  <c r="X775" i="1"/>
  <c r="X767" i="1"/>
  <c r="X759" i="1"/>
  <c r="X751" i="1"/>
  <c r="X743" i="1"/>
  <c r="X733" i="1"/>
  <c r="X725" i="1"/>
  <c r="X717" i="1"/>
  <c r="X709" i="1"/>
  <c r="X701" i="1"/>
  <c r="X693" i="1"/>
  <c r="X685" i="1"/>
  <c r="X677" i="1"/>
  <c r="X669" i="1"/>
  <c r="X661" i="1"/>
  <c r="X653" i="1"/>
  <c r="X645" i="1"/>
  <c r="X637" i="1"/>
  <c r="X629" i="1"/>
  <c r="X621" i="1"/>
  <c r="X613" i="1"/>
  <c r="X605" i="1"/>
  <c r="X597" i="1"/>
  <c r="X589" i="1"/>
  <c r="X581" i="1"/>
  <c r="X573" i="1"/>
  <c r="X565" i="1"/>
  <c r="X557" i="1"/>
  <c r="X549" i="1"/>
  <c r="X541" i="1"/>
  <c r="X533" i="1"/>
  <c r="X525" i="1"/>
  <c r="X517" i="1"/>
  <c r="X509" i="1"/>
  <c r="X501" i="1"/>
  <c r="X493" i="1"/>
  <c r="X485" i="1"/>
  <c r="X477" i="1"/>
  <c r="X1507" i="1"/>
  <c r="X1475" i="1"/>
  <c r="X1443" i="1"/>
  <c r="X1411" i="1"/>
  <c r="X1379" i="1"/>
  <c r="X1347" i="1"/>
  <c r="X1318" i="1"/>
  <c r="X1286" i="1"/>
  <c r="X1254" i="1"/>
  <c r="X1222" i="1"/>
  <c r="X1190" i="1"/>
  <c r="X1158" i="1"/>
  <c r="X1130" i="1"/>
  <c r="X1107" i="1"/>
  <c r="X1087" i="1"/>
  <c r="X1071" i="1"/>
  <c r="X1055" i="1"/>
  <c r="X1045" i="1"/>
  <c r="X1034" i="1"/>
  <c r="X1023" i="1"/>
  <c r="X1014" i="1"/>
  <c r="X1005" i="1"/>
  <c r="X996" i="1"/>
  <c r="X987" i="1"/>
  <c r="X978" i="1"/>
  <c r="X968" i="1"/>
  <c r="X959" i="1"/>
  <c r="X950" i="1"/>
  <c r="X941" i="1"/>
  <c r="X932" i="1"/>
  <c r="X903" i="1"/>
  <c r="X855" i="1"/>
  <c r="X904" i="1"/>
  <c r="X924" i="1"/>
  <c r="X864" i="1"/>
  <c r="X890" i="1"/>
  <c r="X844" i="1"/>
  <c r="X913" i="1"/>
  <c r="X835" i="1"/>
  <c r="X858" i="1"/>
  <c r="X832" i="1"/>
  <c r="X824" i="1"/>
  <c r="X815" i="1"/>
  <c r="X807" i="1"/>
  <c r="X798" i="1"/>
  <c r="X790" i="1"/>
  <c r="X782" i="1"/>
  <c r="X774" i="1"/>
  <c r="X766" i="1"/>
  <c r="X758" i="1"/>
  <c r="X750" i="1"/>
  <c r="X742" i="1"/>
  <c r="X732" i="1"/>
  <c r="X724" i="1"/>
  <c r="X716" i="1"/>
  <c r="X708" i="1"/>
  <c r="X700" i="1"/>
  <c r="X692" i="1"/>
  <c r="X684" i="1"/>
  <c r="X676" i="1"/>
  <c r="X668" i="1"/>
  <c r="X660" i="1"/>
  <c r="X652" i="1"/>
  <c r="X644" i="1"/>
  <c r="X636" i="1"/>
  <c r="X628" i="1"/>
  <c r="X620" i="1"/>
  <c r="X612" i="1"/>
  <c r="X604" i="1"/>
  <c r="X596" i="1"/>
  <c r="X588" i="1"/>
  <c r="X580" i="1"/>
  <c r="X572" i="1"/>
  <c r="X564" i="1"/>
  <c r="X556" i="1"/>
  <c r="X548" i="1"/>
  <c r="X540" i="1"/>
  <c r="X532" i="1"/>
  <c r="X524" i="1"/>
  <c r="X516" i="1"/>
  <c r="X508" i="1"/>
  <c r="X500" i="1"/>
  <c r="X492" i="1"/>
  <c r="X484" i="1"/>
  <c r="X476" i="1"/>
  <c r="X1499" i="1"/>
  <c r="X1467" i="1"/>
  <c r="X1435" i="1"/>
  <c r="X1403" i="1"/>
  <c r="X1371" i="1"/>
  <c r="X1339" i="1"/>
  <c r="X1310" i="1"/>
  <c r="X1278" i="1"/>
  <c r="X1246" i="1"/>
  <c r="X1214" i="1"/>
  <c r="X1182" i="1"/>
  <c r="X1150" i="1"/>
  <c r="X1123" i="1"/>
  <c r="X1102" i="1"/>
  <c r="X1083" i="1"/>
  <c r="X1067" i="1"/>
  <c r="X1053" i="1"/>
  <c r="X1042" i="1"/>
  <c r="X1031" i="1"/>
  <c r="X1021" i="1"/>
  <c r="X1012" i="1"/>
  <c r="X1003" i="1"/>
  <c r="X994" i="1"/>
  <c r="X984" i="1"/>
  <c r="X975" i="1"/>
  <c r="X966" i="1"/>
  <c r="X957" i="1"/>
  <c r="X948" i="1"/>
  <c r="X939" i="1"/>
  <c r="X930" i="1"/>
  <c r="X899" i="1"/>
  <c r="X883" i="1"/>
  <c r="X908" i="1"/>
  <c r="X834" i="1"/>
  <c r="X859" i="1"/>
  <c r="X884" i="1"/>
  <c r="X911" i="1"/>
  <c r="X909" i="1"/>
  <c r="X921" i="1"/>
  <c r="X839" i="1"/>
  <c r="X830" i="1"/>
  <c r="X821" i="1"/>
  <c r="X813" i="1"/>
  <c r="X805" i="1"/>
  <c r="X796" i="1"/>
  <c r="X788" i="1"/>
  <c r="X780" i="1"/>
  <c r="X772" i="1"/>
  <c r="X764" i="1"/>
  <c r="X756" i="1"/>
  <c r="X748" i="1"/>
  <c r="X740" i="1"/>
  <c r="X730" i="1"/>
  <c r="X722" i="1"/>
  <c r="X714" i="1"/>
  <c r="X706" i="1"/>
  <c r="X698" i="1"/>
  <c r="X690" i="1"/>
  <c r="X682" i="1"/>
  <c r="X674" i="1"/>
  <c r="X666" i="1"/>
  <c r="X658" i="1"/>
  <c r="X650" i="1"/>
  <c r="X642" i="1"/>
  <c r="X634" i="1"/>
  <c r="X626" i="1"/>
  <c r="X618" i="1"/>
  <c r="X610" i="1"/>
  <c r="X602" i="1"/>
  <c r="X594" i="1"/>
  <c r="X586" i="1"/>
  <c r="X578" i="1"/>
  <c r="X570" i="1"/>
  <c r="X562" i="1"/>
  <c r="X554" i="1"/>
  <c r="X546" i="1"/>
  <c r="X538" i="1"/>
  <c r="X530" i="1"/>
  <c r="X522" i="1"/>
  <c r="X514" i="1"/>
  <c r="X506" i="1"/>
  <c r="X498" i="1"/>
  <c r="X490" i="1"/>
  <c r="X482" i="1"/>
  <c r="X474" i="1"/>
  <c r="X1504" i="1"/>
  <c r="X1251" i="1"/>
  <c r="X1054" i="1"/>
  <c r="X976" i="1"/>
  <c r="X918" i="1"/>
  <c r="X831" i="1"/>
  <c r="X765" i="1"/>
  <c r="X699" i="1"/>
  <c r="X651" i="1"/>
  <c r="X619" i="1"/>
  <c r="X587" i="1"/>
  <c r="X555" i="1"/>
  <c r="X523" i="1"/>
  <c r="X491" i="1"/>
  <c r="X470" i="1"/>
  <c r="X461" i="1"/>
  <c r="X453" i="1"/>
  <c r="X445" i="1"/>
  <c r="X437" i="1"/>
  <c r="X429" i="1"/>
  <c r="X421" i="1"/>
  <c r="X411" i="1"/>
  <c r="X403" i="1"/>
  <c r="X395" i="1"/>
  <c r="X387" i="1"/>
  <c r="X379" i="1"/>
  <c r="X371" i="1"/>
  <c r="X363" i="1"/>
  <c r="X355" i="1"/>
  <c r="X347" i="1"/>
  <c r="X339" i="1"/>
  <c r="X331" i="1"/>
  <c r="X323" i="1"/>
  <c r="X315" i="1"/>
  <c r="X307" i="1"/>
  <c r="X299" i="1"/>
  <c r="X291" i="1"/>
  <c r="X283" i="1"/>
  <c r="X275" i="1"/>
  <c r="X267" i="1"/>
  <c r="X258" i="1"/>
  <c r="X250" i="1"/>
  <c r="X242" i="1"/>
  <c r="X234" i="1"/>
  <c r="X226" i="1"/>
  <c r="X218" i="1"/>
  <c r="X210" i="1"/>
  <c r="X202" i="1"/>
  <c r="X194" i="1"/>
  <c r="X186" i="1"/>
  <c r="X178" i="1"/>
  <c r="X170" i="1"/>
  <c r="X162" i="1"/>
  <c r="X154" i="1"/>
  <c r="X146" i="1"/>
  <c r="X138" i="1"/>
  <c r="X130" i="1"/>
  <c r="X122" i="1"/>
  <c r="X114" i="1"/>
  <c r="X106" i="1"/>
  <c r="X98" i="1"/>
  <c r="X90" i="1"/>
  <c r="X82" i="1"/>
  <c r="X74" i="1"/>
  <c r="X66" i="1"/>
  <c r="X58" i="1"/>
  <c r="X50" i="1"/>
  <c r="X42" i="1"/>
  <c r="X26" i="1"/>
  <c r="X10" i="1"/>
  <c r="X659" i="1"/>
  <c r="X423" i="1"/>
  <c r="X365" i="1"/>
  <c r="X301" i="1"/>
  <c r="X252" i="1"/>
  <c r="X196" i="1"/>
  <c r="X116" i="1"/>
  <c r="X52" i="1"/>
  <c r="X1472" i="1"/>
  <c r="X1219" i="1"/>
  <c r="X1043" i="1"/>
  <c r="X967" i="1"/>
  <c r="X853" i="1"/>
  <c r="X822" i="1"/>
  <c r="X757" i="1"/>
  <c r="X691" i="1"/>
  <c r="X648" i="1"/>
  <c r="X616" i="1"/>
  <c r="X584" i="1"/>
  <c r="X552" i="1"/>
  <c r="X520" i="1"/>
  <c r="X488" i="1"/>
  <c r="X469" i="1"/>
  <c r="X460" i="1"/>
  <c r="X452" i="1"/>
  <c r="X444" i="1"/>
  <c r="X436" i="1"/>
  <c r="X428" i="1"/>
  <c r="X420" i="1"/>
  <c r="X410" i="1"/>
  <c r="X402" i="1"/>
  <c r="X394" i="1"/>
  <c r="X386" i="1"/>
  <c r="X378" i="1"/>
  <c r="X370" i="1"/>
  <c r="X362" i="1"/>
  <c r="X354" i="1"/>
  <c r="X346" i="1"/>
  <c r="X338" i="1"/>
  <c r="X330" i="1"/>
  <c r="X322" i="1"/>
  <c r="X314" i="1"/>
  <c r="X306" i="1"/>
  <c r="X298" i="1"/>
  <c r="X290" i="1"/>
  <c r="X282" i="1"/>
  <c r="X274" i="1"/>
  <c r="X265" i="1"/>
  <c r="X257" i="1"/>
  <c r="X249" i="1"/>
  <c r="X241" i="1"/>
  <c r="X233" i="1"/>
  <c r="X225" i="1"/>
  <c r="X217" i="1"/>
  <c r="X209" i="1"/>
  <c r="X201" i="1"/>
  <c r="X193" i="1"/>
  <c r="X185" i="1"/>
  <c r="X177" i="1"/>
  <c r="X169" i="1"/>
  <c r="X161" i="1"/>
  <c r="X153" i="1"/>
  <c r="X145" i="1"/>
  <c r="X137" i="1"/>
  <c r="X129" i="1"/>
  <c r="X121" i="1"/>
  <c r="X113" i="1"/>
  <c r="X105" i="1"/>
  <c r="X97" i="1"/>
  <c r="X89" i="1"/>
  <c r="X81" i="1"/>
  <c r="X73" i="1"/>
  <c r="X65" i="1"/>
  <c r="X57" i="1"/>
  <c r="X49" i="1"/>
  <c r="X41" i="1"/>
  <c r="X33" i="1"/>
  <c r="X25" i="1"/>
  <c r="X627" i="1"/>
  <c r="X293" i="1"/>
  <c r="X204" i="1"/>
  <c r="X140" i="1"/>
  <c r="X60" i="1"/>
  <c r="X1440" i="1"/>
  <c r="X1187" i="1"/>
  <c r="X1032" i="1"/>
  <c r="X958" i="1"/>
  <c r="X879" i="1"/>
  <c r="X814" i="1"/>
  <c r="X749" i="1"/>
  <c r="X683" i="1"/>
  <c r="X643" i="1"/>
  <c r="X611" i="1"/>
  <c r="X579" i="1"/>
  <c r="X547" i="1"/>
  <c r="X515" i="1"/>
  <c r="X483" i="1"/>
  <c r="X468" i="1"/>
  <c r="X459" i="1"/>
  <c r="X451" i="1"/>
  <c r="X443" i="1"/>
  <c r="X435" i="1"/>
  <c r="X427" i="1"/>
  <c r="X419" i="1"/>
  <c r="X409" i="1"/>
  <c r="X401" i="1"/>
  <c r="X393" i="1"/>
  <c r="X385" i="1"/>
  <c r="X377" i="1"/>
  <c r="X369" i="1"/>
  <c r="X361" i="1"/>
  <c r="X353" i="1"/>
  <c r="X345" i="1"/>
  <c r="X337" i="1"/>
  <c r="X329" i="1"/>
  <c r="X321" i="1"/>
  <c r="X313" i="1"/>
  <c r="X305" i="1"/>
  <c r="X297" i="1"/>
  <c r="X289" i="1"/>
  <c r="X281" i="1"/>
  <c r="X273" i="1"/>
  <c r="X264" i="1"/>
  <c r="X256" i="1"/>
  <c r="X248" i="1"/>
  <c r="X240" i="1"/>
  <c r="X232" i="1"/>
  <c r="X224" i="1"/>
  <c r="X216" i="1"/>
  <c r="X208" i="1"/>
  <c r="X200" i="1"/>
  <c r="X192" i="1"/>
  <c r="X184" i="1"/>
  <c r="X176" i="1"/>
  <c r="X168" i="1"/>
  <c r="X160" i="1"/>
  <c r="X152" i="1"/>
  <c r="X144" i="1"/>
  <c r="X136" i="1"/>
  <c r="X128" i="1"/>
  <c r="X120" i="1"/>
  <c r="X112" i="1"/>
  <c r="X104" i="1"/>
  <c r="X96" i="1"/>
  <c r="X88" i="1"/>
  <c r="X80" i="1"/>
  <c r="X72" i="1"/>
  <c r="X64" i="1"/>
  <c r="X56" i="1"/>
  <c r="X48" i="1"/>
  <c r="X40" i="1"/>
  <c r="X32" i="1"/>
  <c r="X24" i="1"/>
  <c r="X16" i="1"/>
  <c r="X715" i="1"/>
  <c r="X431" i="1"/>
  <c r="X373" i="1"/>
  <c r="X309" i="1"/>
  <c r="X244" i="1"/>
  <c r="X188" i="1"/>
  <c r="X148" i="1"/>
  <c r="X84" i="1"/>
  <c r="X20" i="1"/>
  <c r="X1408" i="1"/>
  <c r="X1155" i="1"/>
  <c r="X1022" i="1"/>
  <c r="X949" i="1"/>
  <c r="X894" i="1"/>
  <c r="X806" i="1"/>
  <c r="X741" i="1"/>
  <c r="X675" i="1"/>
  <c r="X640" i="1"/>
  <c r="X608" i="1"/>
  <c r="X576" i="1"/>
  <c r="X544" i="1"/>
  <c r="X512" i="1"/>
  <c r="X480" i="1"/>
  <c r="X467" i="1"/>
  <c r="X458" i="1"/>
  <c r="X450" i="1"/>
  <c r="X442" i="1"/>
  <c r="X434" i="1"/>
  <c r="X426" i="1"/>
  <c r="X418" i="1"/>
  <c r="X408" i="1"/>
  <c r="X400" i="1"/>
  <c r="X392" i="1"/>
  <c r="X384" i="1"/>
  <c r="X376" i="1"/>
  <c r="X368" i="1"/>
  <c r="X360" i="1"/>
  <c r="X352" i="1"/>
  <c r="X344" i="1"/>
  <c r="X336" i="1"/>
  <c r="X328" i="1"/>
  <c r="X320" i="1"/>
  <c r="X312" i="1"/>
  <c r="X304" i="1"/>
  <c r="X296" i="1"/>
  <c r="X288" i="1"/>
  <c r="X280" i="1"/>
  <c r="X272" i="1"/>
  <c r="X263" i="1"/>
  <c r="X255" i="1"/>
  <c r="X247" i="1"/>
  <c r="X239" i="1"/>
  <c r="X231" i="1"/>
  <c r="X223" i="1"/>
  <c r="X215" i="1"/>
  <c r="X207" i="1"/>
  <c r="X199" i="1"/>
  <c r="X191" i="1"/>
  <c r="X183" i="1"/>
  <c r="X175" i="1"/>
  <c r="X167" i="1"/>
  <c r="X159" i="1"/>
  <c r="X151" i="1"/>
  <c r="X143" i="1"/>
  <c r="X135" i="1"/>
  <c r="X127" i="1"/>
  <c r="X119" i="1"/>
  <c r="X111" i="1"/>
  <c r="X103" i="1"/>
  <c r="X95" i="1"/>
  <c r="X87" i="1"/>
  <c r="X79" i="1"/>
  <c r="X71" i="1"/>
  <c r="X63" i="1"/>
  <c r="X55" i="1"/>
  <c r="X47" i="1"/>
  <c r="X39" i="1"/>
  <c r="X31" i="1"/>
  <c r="X23" i="1"/>
  <c r="X15" i="1"/>
  <c r="X1086" i="1"/>
  <c r="X781" i="1"/>
  <c r="X563" i="1"/>
  <c r="X463" i="1"/>
  <c r="X447" i="1"/>
  <c r="X397" i="1"/>
  <c r="X349" i="1"/>
  <c r="X317" i="1"/>
  <c r="X260" i="1"/>
  <c r="X212" i="1"/>
  <c r="X156" i="1"/>
  <c r="X108" i="1"/>
  <c r="X68" i="1"/>
  <c r="X12" i="1"/>
  <c r="X1376" i="1"/>
  <c r="X1126" i="1"/>
  <c r="X1013" i="1"/>
  <c r="X940" i="1"/>
  <c r="X842" i="1"/>
  <c r="X797" i="1"/>
  <c r="X731" i="1"/>
  <c r="X667" i="1"/>
  <c r="X635" i="1"/>
  <c r="X603" i="1"/>
  <c r="X571" i="1"/>
  <c r="X539" i="1"/>
  <c r="X507" i="1"/>
  <c r="X475" i="1"/>
  <c r="X466" i="1"/>
  <c r="X457" i="1"/>
  <c r="X449" i="1"/>
  <c r="X441" i="1"/>
  <c r="X433" i="1"/>
  <c r="X425" i="1"/>
  <c r="X415" i="1"/>
  <c r="X407" i="1"/>
  <c r="X399" i="1"/>
  <c r="X391" i="1"/>
  <c r="X383" i="1"/>
  <c r="X375" i="1"/>
  <c r="X367" i="1"/>
  <c r="X359" i="1"/>
  <c r="X351" i="1"/>
  <c r="X343" i="1"/>
  <c r="X335" i="1"/>
  <c r="X327" i="1"/>
  <c r="X319" i="1"/>
  <c r="X311" i="1"/>
  <c r="X303" i="1"/>
  <c r="X295" i="1"/>
  <c r="X287" i="1"/>
  <c r="X279" i="1"/>
  <c r="X271" i="1"/>
  <c r="X262" i="1"/>
  <c r="X254" i="1"/>
  <c r="X246" i="1"/>
  <c r="X238" i="1"/>
  <c r="X230" i="1"/>
  <c r="X222" i="1"/>
  <c r="X214" i="1"/>
  <c r="X206" i="1"/>
  <c r="X198" i="1"/>
  <c r="X190" i="1"/>
  <c r="X182" i="1"/>
  <c r="X174" i="1"/>
  <c r="X166" i="1"/>
  <c r="X158" i="1"/>
  <c r="X150" i="1"/>
  <c r="X142" i="1"/>
  <c r="X134" i="1"/>
  <c r="X126" i="1"/>
  <c r="X118" i="1"/>
  <c r="X110" i="1"/>
  <c r="X102" i="1"/>
  <c r="X94" i="1"/>
  <c r="X86" i="1"/>
  <c r="X78" i="1"/>
  <c r="X70" i="1"/>
  <c r="X62" i="1"/>
  <c r="X54" i="1"/>
  <c r="X46" i="1"/>
  <c r="X38" i="1"/>
  <c r="X30" i="1"/>
  <c r="X22" i="1"/>
  <c r="X14" i="1"/>
  <c r="X995" i="1"/>
  <c r="X897" i="1"/>
  <c r="X595" i="1"/>
  <c r="X472" i="1"/>
  <c r="X405" i="1"/>
  <c r="X357" i="1"/>
  <c r="X325" i="1"/>
  <c r="X277" i="1"/>
  <c r="X236" i="1"/>
  <c r="X180" i="1"/>
  <c r="X124" i="1"/>
  <c r="X76" i="1"/>
  <c r="X36" i="1"/>
  <c r="X1344" i="1"/>
  <c r="X1106" i="1"/>
  <c r="X1004" i="1"/>
  <c r="X931" i="1"/>
  <c r="X880" i="1"/>
  <c r="X789" i="1"/>
  <c r="X723" i="1"/>
  <c r="X664" i="1"/>
  <c r="X632" i="1"/>
  <c r="X600" i="1"/>
  <c r="X568" i="1"/>
  <c r="X536" i="1"/>
  <c r="X504" i="1"/>
  <c r="X473" i="1"/>
  <c r="X465" i="1"/>
  <c r="X456" i="1"/>
  <c r="X448" i="1"/>
  <c r="X440" i="1"/>
  <c r="X432" i="1"/>
  <c r="X424" i="1"/>
  <c r="X414" i="1"/>
  <c r="X406" i="1"/>
  <c r="X398" i="1"/>
  <c r="X390" i="1"/>
  <c r="X382" i="1"/>
  <c r="X374" i="1"/>
  <c r="X366" i="1"/>
  <c r="X358" i="1"/>
  <c r="X350" i="1"/>
  <c r="X342" i="1"/>
  <c r="X334" i="1"/>
  <c r="X326" i="1"/>
  <c r="X318" i="1"/>
  <c r="X310" i="1"/>
  <c r="X302" i="1"/>
  <c r="X294" i="1"/>
  <c r="X286" i="1"/>
  <c r="X278" i="1"/>
  <c r="X270" i="1"/>
  <c r="X261" i="1"/>
  <c r="X253" i="1"/>
  <c r="X245" i="1"/>
  <c r="X237" i="1"/>
  <c r="X229" i="1"/>
  <c r="X221" i="1"/>
  <c r="X213" i="1"/>
  <c r="X205" i="1"/>
  <c r="X197" i="1"/>
  <c r="X189" i="1"/>
  <c r="X181" i="1"/>
  <c r="X173" i="1"/>
  <c r="X165" i="1"/>
  <c r="X157" i="1"/>
  <c r="X149" i="1"/>
  <c r="X141" i="1"/>
  <c r="X133" i="1"/>
  <c r="X125" i="1"/>
  <c r="X117" i="1"/>
  <c r="X109" i="1"/>
  <c r="X101" i="1"/>
  <c r="X93" i="1"/>
  <c r="X85" i="1"/>
  <c r="X77" i="1"/>
  <c r="X69" i="1"/>
  <c r="X61" i="1"/>
  <c r="X53" i="1"/>
  <c r="X45" i="1"/>
  <c r="X37" i="1"/>
  <c r="X29" i="1"/>
  <c r="X21" i="1"/>
  <c r="X13" i="1"/>
  <c r="X1315" i="1"/>
  <c r="X867" i="1"/>
  <c r="X531" i="1"/>
  <c r="X455" i="1"/>
  <c r="X439" i="1"/>
  <c r="X389" i="1"/>
  <c r="X333" i="1"/>
  <c r="X269" i="1"/>
  <c r="X220" i="1"/>
  <c r="X172" i="1"/>
  <c r="X132" i="1"/>
  <c r="X92" i="1"/>
  <c r="X28" i="1"/>
  <c r="X1283" i="1"/>
  <c r="X1070" i="1"/>
  <c r="X986" i="1"/>
  <c r="X920" i="1"/>
  <c r="X840" i="1"/>
  <c r="X773" i="1"/>
  <c r="X707" i="1"/>
  <c r="X656" i="1"/>
  <c r="X624" i="1"/>
  <c r="X592" i="1"/>
  <c r="X560" i="1"/>
  <c r="X528" i="1"/>
  <c r="X496" i="1"/>
  <c r="X471" i="1"/>
  <c r="X462" i="1"/>
  <c r="X454" i="1"/>
  <c r="X446" i="1"/>
  <c r="X438" i="1"/>
  <c r="X430" i="1"/>
  <c r="X422" i="1"/>
  <c r="X412" i="1"/>
  <c r="X404" i="1"/>
  <c r="X396" i="1"/>
  <c r="X388" i="1"/>
  <c r="X380" i="1"/>
  <c r="X372" i="1"/>
  <c r="X364" i="1"/>
  <c r="X356" i="1"/>
  <c r="X348" i="1"/>
  <c r="X340" i="1"/>
  <c r="X332" i="1"/>
  <c r="X324" i="1"/>
  <c r="X316" i="1"/>
  <c r="X308" i="1"/>
  <c r="X300" i="1"/>
  <c r="X292" i="1"/>
  <c r="X284" i="1"/>
  <c r="X276" i="1"/>
  <c r="X268" i="1"/>
  <c r="X259" i="1"/>
  <c r="X251" i="1"/>
  <c r="X243" i="1"/>
  <c r="X235" i="1"/>
  <c r="X227" i="1"/>
  <c r="X219" i="1"/>
  <c r="X211" i="1"/>
  <c r="X203" i="1"/>
  <c r="X195" i="1"/>
  <c r="X187" i="1"/>
  <c r="X179" i="1"/>
  <c r="X171" i="1"/>
  <c r="X163" i="1"/>
  <c r="X155" i="1"/>
  <c r="X147" i="1"/>
  <c r="X139" i="1"/>
  <c r="X131" i="1"/>
  <c r="X123" i="1"/>
  <c r="X115" i="1"/>
  <c r="X107" i="1"/>
  <c r="X99" i="1"/>
  <c r="X91" i="1"/>
  <c r="X83" i="1"/>
  <c r="X75" i="1"/>
  <c r="X67" i="1"/>
  <c r="X59" i="1"/>
  <c r="X51" i="1"/>
  <c r="X43" i="1"/>
  <c r="X35" i="1"/>
  <c r="X27" i="1"/>
  <c r="X19" i="1"/>
  <c r="X11" i="1"/>
  <c r="X34" i="1"/>
  <c r="X18" i="1"/>
  <c r="X17" i="1"/>
  <c r="X9" i="1"/>
  <c r="X499" i="1"/>
  <c r="X413" i="1"/>
  <c r="X381" i="1"/>
  <c r="X341" i="1"/>
  <c r="X285" i="1"/>
  <c r="X228" i="1"/>
  <c r="X164" i="1"/>
  <c r="X100" i="1"/>
  <c r="X44" i="1"/>
  <c r="R251" i="17"/>
  <c r="R50" i="17"/>
  <c r="Q251" i="17"/>
  <c r="P251" i="17"/>
  <c r="P50" i="17"/>
  <c r="Q50" i="17"/>
  <c r="Z13" i="20"/>
  <c r="Z9" i="20" s="1"/>
  <c r="Y12" i="20"/>
  <c r="V13" i="19"/>
  <c r="U12" i="19"/>
  <c r="H1503" i="1"/>
  <c r="H1504" i="1"/>
  <c r="H1505" i="1"/>
  <c r="H1506" i="1"/>
  <c r="H1507" i="1"/>
  <c r="H1508" i="1"/>
  <c r="H1509" i="1"/>
  <c r="H1510" i="1"/>
  <c r="H1511" i="1"/>
  <c r="H1513" i="1"/>
  <c r="H1501" i="1"/>
  <c r="H1255" i="1"/>
  <c r="H1253" i="1"/>
  <c r="H1252" i="1"/>
  <c r="H1245" i="1"/>
  <c r="H1256" i="1"/>
  <c r="H1254" i="1"/>
  <c r="H1502" i="1"/>
  <c r="H1431" i="1"/>
  <c r="H1432" i="1"/>
  <c r="H1433" i="1"/>
  <c r="H1434" i="1"/>
  <c r="H1435" i="1"/>
  <c r="H1436" i="1"/>
  <c r="H1437" i="1"/>
  <c r="H1438" i="1"/>
  <c r="H1439" i="1"/>
  <c r="H1440" i="1"/>
  <c r="H1441" i="1"/>
  <c r="H1442" i="1"/>
  <c r="H1443" i="1"/>
  <c r="H1444" i="1"/>
  <c r="H1445" i="1"/>
  <c r="H1446" i="1"/>
  <c r="H1447" i="1"/>
  <c r="H1405" i="1"/>
  <c r="H1406" i="1"/>
  <c r="H1407" i="1"/>
  <c r="H1408" i="1"/>
  <c r="H1409" i="1"/>
  <c r="H1410" i="1"/>
  <c r="H1411" i="1"/>
  <c r="H1412" i="1"/>
  <c r="H1413" i="1"/>
  <c r="H1414" i="1"/>
  <c r="H1415" i="1"/>
  <c r="H1416" i="1"/>
  <c r="H1417" i="1"/>
  <c r="H1418" i="1"/>
  <c r="H1419" i="1"/>
  <c r="H1420" i="1"/>
  <c r="H1421" i="1"/>
  <c r="H1422" i="1"/>
  <c r="H1423" i="1"/>
  <c r="T75" i="15" l="1"/>
  <c r="T185" i="15"/>
  <c r="T186" i="15"/>
  <c r="T74" i="15"/>
  <c r="T119" i="15"/>
  <c r="T120" i="15"/>
  <c r="WTC247" i="20"/>
  <c r="WSY247" i="20" s="1"/>
  <c r="WSU247" i="20" s="1"/>
  <c r="WSQ247" i="20" s="1"/>
  <c r="WTB247" i="20"/>
  <c r="T46" i="15"/>
  <c r="T73" i="15" s="1"/>
  <c r="T147" i="15"/>
  <c r="T91" i="15"/>
  <c r="T118" i="15" s="1"/>
  <c r="Z12" i="20"/>
  <c r="AA13" i="20"/>
  <c r="AA9" i="20" s="1"/>
  <c r="W13" i="19"/>
  <c r="V12" i="19"/>
  <c r="WSX247" i="20" l="1"/>
  <c r="WST247" i="20" s="1"/>
  <c r="WSP247" i="20" s="1"/>
  <c r="WSL247" i="20" s="1"/>
  <c r="WSW247" i="20"/>
  <c r="AA12" i="20"/>
  <c r="AB13" i="20"/>
  <c r="AB9" i="20" s="1"/>
  <c r="X13" i="19"/>
  <c r="W12" i="19"/>
  <c r="WSS247" i="20" l="1"/>
  <c r="WSO247" i="20" s="1"/>
  <c r="WSK247" i="20" s="1"/>
  <c r="WSG247" i="20" s="1"/>
  <c r="WSR247" i="20"/>
  <c r="AB12" i="20"/>
  <c r="AC13" i="20"/>
  <c r="AC9" i="20" s="1"/>
  <c r="Y13" i="19"/>
  <c r="X12" i="19"/>
  <c r="WSN247" i="20" l="1"/>
  <c r="WSJ247" i="20" s="1"/>
  <c r="WSF247" i="20" s="1"/>
  <c r="WSB247" i="20" s="1"/>
  <c r="WSM247" i="20"/>
  <c r="AD13" i="20"/>
  <c r="AD9" i="20" s="1"/>
  <c r="AC12" i="20"/>
  <c r="Y12" i="19"/>
  <c r="Z13" i="19"/>
  <c r="WSI247" i="20" l="1"/>
  <c r="WSE247" i="20" s="1"/>
  <c r="WSA247" i="20" s="1"/>
  <c r="WRW247" i="20" s="1"/>
  <c r="WSH247" i="20"/>
  <c r="AE13" i="20"/>
  <c r="AE9" i="20" s="1"/>
  <c r="AD12" i="20"/>
  <c r="Z12" i="19"/>
  <c r="AA13" i="19"/>
  <c r="WSD247" i="20" l="1"/>
  <c r="WRZ247" i="20" s="1"/>
  <c r="WRV247" i="20" s="1"/>
  <c r="WRR247" i="20" s="1"/>
  <c r="WSC247" i="20"/>
  <c r="AF13" i="20"/>
  <c r="AF9" i="20" s="1"/>
  <c r="AE12" i="20"/>
  <c r="AA12" i="19"/>
  <c r="AB13" i="19"/>
  <c r="WRY247" i="20" l="1"/>
  <c r="WRU247" i="20" s="1"/>
  <c r="WRQ247" i="20" s="1"/>
  <c r="WRM247" i="20" s="1"/>
  <c r="WRX247" i="20"/>
  <c r="AG13" i="20"/>
  <c r="AG9" i="20" s="1"/>
  <c r="AF12" i="20"/>
  <c r="AC13" i="19"/>
  <c r="AB12" i="19"/>
  <c r="WRT247" i="20" l="1"/>
  <c r="WRP247" i="20" s="1"/>
  <c r="WRL247" i="20" s="1"/>
  <c r="WRH247" i="20" s="1"/>
  <c r="WRS247" i="20"/>
  <c r="AH13" i="20"/>
  <c r="AH9" i="20" s="1"/>
  <c r="AG12" i="20"/>
  <c r="AD13" i="19"/>
  <c r="AC12" i="19"/>
  <c r="WRO247" i="20" l="1"/>
  <c r="WRK247" i="20" s="1"/>
  <c r="WRG247" i="20" s="1"/>
  <c r="WRC247" i="20" s="1"/>
  <c r="WRN247" i="20"/>
  <c r="AH12" i="20"/>
  <c r="AI13" i="20"/>
  <c r="AI9" i="20" s="1"/>
  <c r="AE13" i="19"/>
  <c r="AD12" i="19"/>
  <c r="WRJ247" i="20" l="1"/>
  <c r="WRF247" i="20" s="1"/>
  <c r="WRB247" i="20" s="1"/>
  <c r="WQX247" i="20" s="1"/>
  <c r="WRI247" i="20"/>
  <c r="AI12" i="20"/>
  <c r="AJ13" i="20"/>
  <c r="AJ9" i="20" s="1"/>
  <c r="AF13" i="19"/>
  <c r="AE12" i="19"/>
  <c r="WRE247" i="20" l="1"/>
  <c r="WRA247" i="20" s="1"/>
  <c r="WQW247" i="20" s="1"/>
  <c r="WQS247" i="20" s="1"/>
  <c r="WRD247" i="20"/>
  <c r="AJ12" i="20"/>
  <c r="AK13" i="20"/>
  <c r="AK9" i="20" s="1"/>
  <c r="AG13" i="19"/>
  <c r="AF12" i="19"/>
  <c r="WQZ247" i="20" l="1"/>
  <c r="WQV247" i="20" s="1"/>
  <c r="WQR247" i="20" s="1"/>
  <c r="WQN247" i="20" s="1"/>
  <c r="WQY247" i="20"/>
  <c r="AL13" i="20"/>
  <c r="AL9" i="20" s="1"/>
  <c r="AK12" i="20"/>
  <c r="AG12" i="19"/>
  <c r="AH13" i="19"/>
  <c r="WQU247" i="20" l="1"/>
  <c r="WQQ247" i="20" s="1"/>
  <c r="WQM247" i="20" s="1"/>
  <c r="WQI247" i="20" s="1"/>
  <c r="WQT247" i="20"/>
  <c r="AM13" i="20"/>
  <c r="AM9" i="20" s="1"/>
  <c r="AL12" i="20"/>
  <c r="AH12" i="19"/>
  <c r="AI13" i="19"/>
  <c r="WQP247" i="20" l="1"/>
  <c r="WQL247" i="20" s="1"/>
  <c r="WQH247" i="20" s="1"/>
  <c r="WQD247" i="20" s="1"/>
  <c r="WQO247" i="20"/>
  <c r="AN13" i="20"/>
  <c r="AN9" i="20" s="1"/>
  <c r="AM12" i="20"/>
  <c r="AI12" i="19"/>
  <c r="AJ13" i="19"/>
  <c r="WQK247" i="20" l="1"/>
  <c r="WQG247" i="20" s="1"/>
  <c r="WQC247" i="20" s="1"/>
  <c r="WPY247" i="20" s="1"/>
  <c r="WQJ247" i="20"/>
  <c r="AO13" i="20"/>
  <c r="AO9" i="20" s="1"/>
  <c r="AN12" i="20"/>
  <c r="AK13" i="19"/>
  <c r="AJ12" i="19"/>
  <c r="WQF247" i="20" l="1"/>
  <c r="WQB247" i="20" s="1"/>
  <c r="WPX247" i="20" s="1"/>
  <c r="WPT247" i="20" s="1"/>
  <c r="WQE247" i="20"/>
  <c r="AP13" i="20"/>
  <c r="AP9" i="20" s="1"/>
  <c r="AO12" i="20"/>
  <c r="AL13" i="19"/>
  <c r="AK12" i="19"/>
  <c r="WQA247" i="20" l="1"/>
  <c r="WPW247" i="20" s="1"/>
  <c r="WPS247" i="20" s="1"/>
  <c r="WPO247" i="20" s="1"/>
  <c r="WPZ247" i="20"/>
  <c r="AP12" i="20"/>
  <c r="AQ13" i="20"/>
  <c r="AQ9" i="20" s="1"/>
  <c r="AM13" i="19"/>
  <c r="AL12" i="19"/>
  <c r="WPV247" i="20" l="1"/>
  <c r="WPR247" i="20" s="1"/>
  <c r="WPN247" i="20" s="1"/>
  <c r="WPJ247" i="20" s="1"/>
  <c r="WPU247" i="20"/>
  <c r="AQ12" i="20"/>
  <c r="AR13" i="20"/>
  <c r="AR9" i="20" s="1"/>
  <c r="AN13" i="19"/>
  <c r="AM12" i="19"/>
  <c r="WPQ247" i="20" l="1"/>
  <c r="WPM247" i="20" s="1"/>
  <c r="WPI247" i="20" s="1"/>
  <c r="WPE247" i="20" s="1"/>
  <c r="WPP247" i="20"/>
  <c r="AR12" i="20"/>
  <c r="AS13" i="20"/>
  <c r="AS9" i="20" s="1"/>
  <c r="AO13" i="19"/>
  <c r="AN12" i="19"/>
  <c r="WPL247" i="20" l="1"/>
  <c r="WPH247" i="20" s="1"/>
  <c r="WPD247" i="20" s="1"/>
  <c r="WOZ247" i="20" s="1"/>
  <c r="WPK247" i="20"/>
  <c r="AT13" i="20"/>
  <c r="AT9" i="20" s="1"/>
  <c r="AS12" i="20"/>
  <c r="AO12" i="19"/>
  <c r="AP13" i="19"/>
  <c r="WPG247" i="20" l="1"/>
  <c r="WPC247" i="20" s="1"/>
  <c r="WOY247" i="20" s="1"/>
  <c r="WOU247" i="20" s="1"/>
  <c r="WPF247" i="20"/>
  <c r="AU13" i="20"/>
  <c r="AU9" i="20" s="1"/>
  <c r="AT12" i="20"/>
  <c r="AP12" i="19"/>
  <c r="AQ13" i="19"/>
  <c r="WPB247" i="20" l="1"/>
  <c r="WOX247" i="20" s="1"/>
  <c r="WOT247" i="20" s="1"/>
  <c r="WOP247" i="20" s="1"/>
  <c r="WPA247" i="20"/>
  <c r="AV13" i="20"/>
  <c r="AV9" i="20" s="1"/>
  <c r="AU12" i="20"/>
  <c r="AQ12" i="19"/>
  <c r="AR13" i="19"/>
  <c r="WOW247" i="20" l="1"/>
  <c r="WOS247" i="20" s="1"/>
  <c r="WOO247" i="20" s="1"/>
  <c r="WOK247" i="20" s="1"/>
  <c r="WOV247" i="20"/>
  <c r="AW13" i="20"/>
  <c r="AW9" i="20" s="1"/>
  <c r="AV12" i="20"/>
  <c r="AS13" i="19"/>
  <c r="AR12" i="19"/>
  <c r="WOR247" i="20" l="1"/>
  <c r="WON247" i="20" s="1"/>
  <c r="WOJ247" i="20" s="1"/>
  <c r="WOF247" i="20" s="1"/>
  <c r="WOQ247" i="20"/>
  <c r="AX13" i="20"/>
  <c r="AX9" i="20" s="1"/>
  <c r="AW12" i="20"/>
  <c r="AT13" i="19"/>
  <c r="AS12" i="19"/>
  <c r="WOM247" i="20" l="1"/>
  <c r="WOI247" i="20" s="1"/>
  <c r="WOE247" i="20" s="1"/>
  <c r="WOA247" i="20" s="1"/>
  <c r="WOL247" i="20"/>
  <c r="AX12" i="20"/>
  <c r="AY13" i="20"/>
  <c r="AY9" i="20" s="1"/>
  <c r="AU13" i="19"/>
  <c r="AT12" i="19"/>
  <c r="WOH247" i="20" l="1"/>
  <c r="WOD247" i="20" s="1"/>
  <c r="WNZ247" i="20" s="1"/>
  <c r="WNV247" i="20" s="1"/>
  <c r="WOG247" i="20"/>
  <c r="AY12" i="20"/>
  <c r="AZ13" i="20"/>
  <c r="AZ9" i="20" s="1"/>
  <c r="AV13" i="19"/>
  <c r="AU12" i="19"/>
  <c r="WOC247" i="20" l="1"/>
  <c r="WNY247" i="20" s="1"/>
  <c r="WNU247" i="20" s="1"/>
  <c r="WNQ247" i="20" s="1"/>
  <c r="WOB247" i="20"/>
  <c r="AZ12" i="20"/>
  <c r="BA13" i="20"/>
  <c r="BA9" i="20" s="1"/>
  <c r="AW13" i="19"/>
  <c r="AV12" i="19"/>
  <c r="WNX247" i="20" l="1"/>
  <c r="WNT247" i="20" s="1"/>
  <c r="WNP247" i="20" s="1"/>
  <c r="WNL247" i="20" s="1"/>
  <c r="WNW247" i="20"/>
  <c r="BB13" i="20"/>
  <c r="BB9" i="20" s="1"/>
  <c r="BA12" i="20"/>
  <c r="AW12" i="19"/>
  <c r="AX13" i="19"/>
  <c r="WNS247" i="20" l="1"/>
  <c r="WNO247" i="20" s="1"/>
  <c r="WNK247" i="20" s="1"/>
  <c r="WNG247" i="20" s="1"/>
  <c r="WNR247" i="20"/>
  <c r="BC13" i="20"/>
  <c r="BC9" i="20" s="1"/>
  <c r="BB12" i="20"/>
  <c r="AX12" i="19"/>
  <c r="AY13" i="19"/>
  <c r="WNN247" i="20" l="1"/>
  <c r="WNJ247" i="20" s="1"/>
  <c r="WNF247" i="20" s="1"/>
  <c r="WNB247" i="20" s="1"/>
  <c r="WNM247" i="20"/>
  <c r="BD13" i="20"/>
  <c r="BD9" i="20" s="1"/>
  <c r="BC12" i="20"/>
  <c r="AY12" i="19"/>
  <c r="AZ13" i="19"/>
  <c r="WNI247" i="20" l="1"/>
  <c r="WNE247" i="20" s="1"/>
  <c r="WNA247" i="20" s="1"/>
  <c r="WMW247" i="20" s="1"/>
  <c r="WNH247" i="20"/>
  <c r="BE13" i="20"/>
  <c r="BE9" i="20" s="1"/>
  <c r="BD12" i="20"/>
  <c r="BA13" i="19"/>
  <c r="AZ12" i="19"/>
  <c r="WND247" i="20" l="1"/>
  <c r="WMZ247" i="20" s="1"/>
  <c r="WMV247" i="20" s="1"/>
  <c r="WMR247" i="20" s="1"/>
  <c r="WNC247" i="20"/>
  <c r="BF13" i="20"/>
  <c r="BF9" i="20" s="1"/>
  <c r="BE12" i="20"/>
  <c r="BB13" i="19"/>
  <c r="BA12" i="19"/>
  <c r="WMY247" i="20" l="1"/>
  <c r="WMU247" i="20" s="1"/>
  <c r="WMQ247" i="20" s="1"/>
  <c r="WMM247" i="20" s="1"/>
  <c r="WMX247" i="20"/>
  <c r="BF12" i="20"/>
  <c r="BG13" i="20"/>
  <c r="BG9" i="20" s="1"/>
  <c r="BC13" i="19"/>
  <c r="BB12" i="19"/>
  <c r="WMT247" i="20" l="1"/>
  <c r="WMP247" i="20" s="1"/>
  <c r="WML247" i="20" s="1"/>
  <c r="WMH247" i="20" s="1"/>
  <c r="WMS247" i="20"/>
  <c r="BG12" i="20"/>
  <c r="BH13" i="20"/>
  <c r="BH9" i="20" s="1"/>
  <c r="BD13" i="19"/>
  <c r="BC12" i="19"/>
  <c r="WMO247" i="20" l="1"/>
  <c r="WMK247" i="20" s="1"/>
  <c r="WMG247" i="20" s="1"/>
  <c r="WMC247" i="20" s="1"/>
  <c r="WMN247" i="20"/>
  <c r="BH12" i="20"/>
  <c r="BI13" i="20"/>
  <c r="BI9" i="20" s="1"/>
  <c r="BE13" i="19"/>
  <c r="BD12" i="19"/>
  <c r="WMJ247" i="20" l="1"/>
  <c r="WMF247" i="20" s="1"/>
  <c r="WMB247" i="20" s="1"/>
  <c r="WLX247" i="20" s="1"/>
  <c r="WMI247" i="20"/>
  <c r="BJ13" i="20"/>
  <c r="BJ9" i="20" s="1"/>
  <c r="BI12" i="20"/>
  <c r="BE12" i="19"/>
  <c r="BF13" i="19"/>
  <c r="WME247" i="20" l="1"/>
  <c r="WMA247" i="20" s="1"/>
  <c r="WLW247" i="20" s="1"/>
  <c r="WLS247" i="20" s="1"/>
  <c r="WMD247" i="20"/>
  <c r="BK13" i="20"/>
  <c r="BK9" i="20" s="1"/>
  <c r="BJ12" i="20"/>
  <c r="BF12" i="19"/>
  <c r="BG13" i="19"/>
  <c r="WLZ247" i="20" l="1"/>
  <c r="WLV247" i="20" s="1"/>
  <c r="WLR247" i="20" s="1"/>
  <c r="WLN247" i="20" s="1"/>
  <c r="WLY247" i="20"/>
  <c r="BL13" i="20"/>
  <c r="BL9" i="20" s="1"/>
  <c r="BK12" i="20"/>
  <c r="BG12" i="19"/>
  <c r="BH13" i="19"/>
  <c r="WLU247" i="20" l="1"/>
  <c r="WLQ247" i="20" s="1"/>
  <c r="WLM247" i="20" s="1"/>
  <c r="WLI247" i="20" s="1"/>
  <c r="WLT247" i="20"/>
  <c r="BM13" i="20"/>
  <c r="BM9" i="20" s="1"/>
  <c r="BL12" i="20"/>
  <c r="BI13" i="19"/>
  <c r="BH12" i="19"/>
  <c r="WLP247" i="20" l="1"/>
  <c r="WLL247" i="20" s="1"/>
  <c r="WLH247" i="20" s="1"/>
  <c r="WLD247" i="20" s="1"/>
  <c r="WLO247" i="20"/>
  <c r="BN13" i="20"/>
  <c r="BM12" i="20"/>
  <c r="BJ13" i="19"/>
  <c r="BI12" i="19"/>
  <c r="WLK247" i="20" l="1"/>
  <c r="WLG247" i="20" s="1"/>
  <c r="WLC247" i="20" s="1"/>
  <c r="WKY247" i="20" s="1"/>
  <c r="WLJ247" i="20"/>
  <c r="BN12" i="20"/>
  <c r="BO13" i="20"/>
  <c r="BN9" i="20"/>
  <c r="BK13" i="19"/>
  <c r="BJ12" i="19"/>
  <c r="WLF247" i="20" l="1"/>
  <c r="WLB247" i="20" s="1"/>
  <c r="WKX247" i="20" s="1"/>
  <c r="WKT247" i="20" s="1"/>
  <c r="WLE247" i="20"/>
  <c r="BL13" i="19"/>
  <c r="BK12" i="19"/>
  <c r="WLA247" i="20" l="1"/>
  <c r="WKW247" i="20" s="1"/>
  <c r="WKS247" i="20" s="1"/>
  <c r="WKO247" i="20" s="1"/>
  <c r="WKZ247" i="20"/>
  <c r="BM13" i="19"/>
  <c r="BL12" i="19"/>
  <c r="WKV247" i="20" l="1"/>
  <c r="WKR247" i="20" s="1"/>
  <c r="WKN247" i="20" s="1"/>
  <c r="WKJ247" i="20" s="1"/>
  <c r="WKU247" i="20"/>
  <c r="BM12" i="19"/>
  <c r="BN13" i="19"/>
  <c r="WKQ247" i="20" l="1"/>
  <c r="WKM247" i="20" s="1"/>
  <c r="WKI247" i="20" s="1"/>
  <c r="WKE247" i="20" s="1"/>
  <c r="WKP247" i="20"/>
  <c r="BN12" i="19"/>
  <c r="BO13" i="19"/>
  <c r="WKL247" i="20" l="1"/>
  <c r="WKH247" i="20" s="1"/>
  <c r="WKD247" i="20" s="1"/>
  <c r="WJZ247" i="20" s="1"/>
  <c r="WKK247" i="20"/>
  <c r="BO12" i="19"/>
  <c r="BP13" i="19"/>
  <c r="WKG247" i="20" l="1"/>
  <c r="WKC247" i="20" s="1"/>
  <c r="WJY247" i="20" s="1"/>
  <c r="WJU247" i="20" s="1"/>
  <c r="WKF247" i="20"/>
  <c r="BQ13" i="19"/>
  <c r="BP12" i="19"/>
  <c r="WKB247" i="20" l="1"/>
  <c r="WJX247" i="20" s="1"/>
  <c r="WJT247" i="20" s="1"/>
  <c r="WJP247" i="20" s="1"/>
  <c r="WKA247" i="20"/>
  <c r="BR13" i="19"/>
  <c r="BQ12" i="19"/>
  <c r="WJW247" i="20" l="1"/>
  <c r="WJS247" i="20" s="1"/>
  <c r="WJO247" i="20" s="1"/>
  <c r="WJK247" i="20" s="1"/>
  <c r="WJV247" i="20"/>
  <c r="BS13" i="19"/>
  <c r="BR12" i="19"/>
  <c r="WJR247" i="20" l="1"/>
  <c r="WJN247" i="20" s="1"/>
  <c r="WJJ247" i="20" s="1"/>
  <c r="WJF247" i="20" s="1"/>
  <c r="WJQ247" i="20"/>
  <c r="BT13" i="19"/>
  <c r="BS12" i="19"/>
  <c r="WJM247" i="20" l="1"/>
  <c r="WJI247" i="20" s="1"/>
  <c r="WJE247" i="20" s="1"/>
  <c r="WJA247" i="20" s="1"/>
  <c r="WJL247" i="20"/>
  <c r="BU13" i="19"/>
  <c r="BT12" i="19"/>
  <c r="WJH247" i="20" l="1"/>
  <c r="WJD247" i="20" s="1"/>
  <c r="WIZ247" i="20" s="1"/>
  <c r="WIV247" i="20" s="1"/>
  <c r="WJG247" i="20"/>
  <c r="BU12" i="19"/>
  <c r="BV13" i="19"/>
  <c r="WJC247" i="20" l="1"/>
  <c r="WIY247" i="20" s="1"/>
  <c r="WIU247" i="20" s="1"/>
  <c r="WIQ247" i="20" s="1"/>
  <c r="WJB247" i="20"/>
  <c r="BV12" i="19"/>
  <c r="BW13" i="19"/>
  <c r="WIX247" i="20" l="1"/>
  <c r="WIT247" i="20" s="1"/>
  <c r="WIP247" i="20" s="1"/>
  <c r="WIL247" i="20" s="1"/>
  <c r="WIW247" i="20"/>
  <c r="BW12" i="19"/>
  <c r="BX13" i="19"/>
  <c r="WIS247" i="20" l="1"/>
  <c r="WIO247" i="20" s="1"/>
  <c r="WIK247" i="20" s="1"/>
  <c r="WIG247" i="20" s="1"/>
  <c r="WIR247" i="20"/>
  <c r="BY13" i="19"/>
  <c r="BX12" i="19"/>
  <c r="WIN247" i="20" l="1"/>
  <c r="WIJ247" i="20" s="1"/>
  <c r="WIF247" i="20" s="1"/>
  <c r="WIB247" i="20" s="1"/>
  <c r="WIM247" i="20"/>
  <c r="BZ13" i="19"/>
  <c r="BY12" i="19"/>
  <c r="WII247" i="20" l="1"/>
  <c r="WIE247" i="20" s="1"/>
  <c r="WIA247" i="20" s="1"/>
  <c r="WHW247" i="20" s="1"/>
  <c r="WIH247" i="20"/>
  <c r="CA13" i="19"/>
  <c r="BZ12" i="19"/>
  <c r="WID247" i="20" l="1"/>
  <c r="WHZ247" i="20" s="1"/>
  <c r="WHV247" i="20" s="1"/>
  <c r="WHR247" i="20" s="1"/>
  <c r="WIC247" i="20"/>
  <c r="CB13" i="19"/>
  <c r="CA12" i="19"/>
  <c r="WHY247" i="20" l="1"/>
  <c r="WHU247" i="20" s="1"/>
  <c r="WHQ247" i="20" s="1"/>
  <c r="WHM247" i="20" s="1"/>
  <c r="WHX247" i="20"/>
  <c r="CC13" i="19"/>
  <c r="CB12" i="19"/>
  <c r="WHT247" i="20" l="1"/>
  <c r="WHP247" i="20" s="1"/>
  <c r="WHL247" i="20" s="1"/>
  <c r="WHH247" i="20" s="1"/>
  <c r="WHS247" i="20"/>
  <c r="CC12" i="19"/>
  <c r="CD13" i="19"/>
  <c r="WHO247" i="20" l="1"/>
  <c r="WHK247" i="20" s="1"/>
  <c r="WHG247" i="20" s="1"/>
  <c r="WHC247" i="20" s="1"/>
  <c r="WHN247" i="20"/>
  <c r="CD12" i="19"/>
  <c r="CE13" i="19"/>
  <c r="WHJ247" i="20" l="1"/>
  <c r="WHF247" i="20" s="1"/>
  <c r="WHB247" i="20" s="1"/>
  <c r="WGX247" i="20" s="1"/>
  <c r="WHI247" i="20"/>
  <c r="CE12" i="19"/>
  <c r="CF13" i="19"/>
  <c r="WHE247" i="20" l="1"/>
  <c r="WHA247" i="20" s="1"/>
  <c r="WGW247" i="20" s="1"/>
  <c r="WGS247" i="20" s="1"/>
  <c r="WHD247" i="20"/>
  <c r="CG13" i="19"/>
  <c r="CF12" i="19"/>
  <c r="WGZ247" i="20" l="1"/>
  <c r="WGV247" i="20" s="1"/>
  <c r="WGR247" i="20" s="1"/>
  <c r="WGN247" i="20" s="1"/>
  <c r="WGY247" i="20"/>
  <c r="CH13" i="19"/>
  <c r="CG12" i="19"/>
  <c r="WGU247" i="20" l="1"/>
  <c r="WGQ247" i="20" s="1"/>
  <c r="WGM247" i="20" s="1"/>
  <c r="WGI247" i="20" s="1"/>
  <c r="WGT247" i="20"/>
  <c r="CI13" i="19"/>
  <c r="CH12" i="19"/>
  <c r="WGP247" i="20" l="1"/>
  <c r="WGL247" i="20" s="1"/>
  <c r="WGH247" i="20" s="1"/>
  <c r="WGD247" i="20" s="1"/>
  <c r="WGO247" i="20"/>
  <c r="CJ13" i="19"/>
  <c r="CI12" i="19"/>
  <c r="WGK247" i="20" l="1"/>
  <c r="WGG247" i="20" s="1"/>
  <c r="WGC247" i="20" s="1"/>
  <c r="WFY247" i="20" s="1"/>
  <c r="WGJ247" i="20"/>
  <c r="CK13" i="19"/>
  <c r="CJ12" i="19"/>
  <c r="WGF247" i="20" l="1"/>
  <c r="WGB247" i="20" s="1"/>
  <c r="WFX247" i="20" s="1"/>
  <c r="WFT247" i="20" s="1"/>
  <c r="WGE247" i="20"/>
  <c r="CK12" i="19"/>
  <c r="CL13" i="19"/>
  <c r="WGA247" i="20" l="1"/>
  <c r="WFW247" i="20" s="1"/>
  <c r="WFS247" i="20" s="1"/>
  <c r="WFO247" i="20" s="1"/>
  <c r="WFZ247" i="20"/>
  <c r="CL12" i="19"/>
  <c r="CM13" i="19"/>
  <c r="WFV247" i="20" l="1"/>
  <c r="WFR247" i="20" s="1"/>
  <c r="WFN247" i="20" s="1"/>
  <c r="WFJ247" i="20" s="1"/>
  <c r="WFU247" i="20"/>
  <c r="CM12" i="19"/>
  <c r="CN13" i="19"/>
  <c r="WFQ247" i="20" l="1"/>
  <c r="WFM247" i="20" s="1"/>
  <c r="WFI247" i="20" s="1"/>
  <c r="WFE247" i="20" s="1"/>
  <c r="WFP247" i="20"/>
  <c r="CO13" i="19"/>
  <c r="CN12" i="19"/>
  <c r="WFL247" i="20" l="1"/>
  <c r="WFH247" i="20" s="1"/>
  <c r="WFD247" i="20" s="1"/>
  <c r="WEZ247" i="20" s="1"/>
  <c r="WFK247" i="20"/>
  <c r="CP13" i="19"/>
  <c r="CO12" i="19"/>
  <c r="WFG247" i="20" l="1"/>
  <c r="WFC247" i="20" s="1"/>
  <c r="WEY247" i="20" s="1"/>
  <c r="WEU247" i="20" s="1"/>
  <c r="WFF247" i="20"/>
  <c r="CQ13" i="19"/>
  <c r="CP12" i="19"/>
  <c r="WFB247" i="20" l="1"/>
  <c r="WEX247" i="20" s="1"/>
  <c r="WET247" i="20" s="1"/>
  <c r="WEP247" i="20" s="1"/>
  <c r="WFA247" i="20"/>
  <c r="CR13" i="19"/>
  <c r="CQ12" i="19"/>
  <c r="WEW247" i="20" l="1"/>
  <c r="WES247" i="20" s="1"/>
  <c r="WEO247" i="20" s="1"/>
  <c r="WEK247" i="20" s="1"/>
  <c r="WEV247" i="20"/>
  <c r="CS13" i="19"/>
  <c r="CR12" i="19"/>
  <c r="WER247" i="20" l="1"/>
  <c r="WEN247" i="20" s="1"/>
  <c r="WEJ247" i="20" s="1"/>
  <c r="WEF247" i="20" s="1"/>
  <c r="WEQ247" i="20"/>
  <c r="CS12" i="19"/>
  <c r="CT13" i="19"/>
  <c r="WEM247" i="20" l="1"/>
  <c r="WEI247" i="20" s="1"/>
  <c r="WEE247" i="20" s="1"/>
  <c r="WEA247" i="20" s="1"/>
  <c r="WEL247" i="20"/>
  <c r="CT12" i="19"/>
  <c r="CU13" i="19"/>
  <c r="WEH247" i="20" l="1"/>
  <c r="WED247" i="20" s="1"/>
  <c r="WDZ247" i="20" s="1"/>
  <c r="WDV247" i="20" s="1"/>
  <c r="WEG247" i="20"/>
  <c r="CU12" i="19"/>
  <c r="CV13" i="19"/>
  <c r="WEC247" i="20" l="1"/>
  <c r="WDY247" i="20" s="1"/>
  <c r="WDU247" i="20" s="1"/>
  <c r="WDQ247" i="20" s="1"/>
  <c r="WEB247" i="20"/>
  <c r="CW13" i="19"/>
  <c r="CV12" i="19"/>
  <c r="WDX247" i="20" l="1"/>
  <c r="WDT247" i="20" s="1"/>
  <c r="WDP247" i="20" s="1"/>
  <c r="WDL247" i="20" s="1"/>
  <c r="WDW247" i="20"/>
  <c r="CX13" i="19"/>
  <c r="CW12" i="19"/>
  <c r="WDS247" i="20" l="1"/>
  <c r="WDO247" i="20" s="1"/>
  <c r="WDK247" i="20" s="1"/>
  <c r="WDG247" i="20" s="1"/>
  <c r="WDR247" i="20"/>
  <c r="CY13" i="19"/>
  <c r="CX12" i="19"/>
  <c r="WDN247" i="20" l="1"/>
  <c r="WDJ247" i="20" s="1"/>
  <c r="WDF247" i="20" s="1"/>
  <c r="WDB247" i="20" s="1"/>
  <c r="WDM247" i="20"/>
  <c r="CZ13" i="19"/>
  <c r="CY12" i="19"/>
  <c r="WDI247" i="20" l="1"/>
  <c r="WDE247" i="20" s="1"/>
  <c r="WDA247" i="20" s="1"/>
  <c r="WCW247" i="20" s="1"/>
  <c r="WDH247" i="20"/>
  <c r="DA13" i="19"/>
  <c r="CZ12" i="19"/>
  <c r="WDD247" i="20" l="1"/>
  <c r="WCZ247" i="20" s="1"/>
  <c r="WCV247" i="20" s="1"/>
  <c r="WCR247" i="20" s="1"/>
  <c r="WDC247" i="20"/>
  <c r="DA12" i="19"/>
  <c r="DB13" i="19"/>
  <c r="WCY247" i="20" l="1"/>
  <c r="WCU247" i="20" s="1"/>
  <c r="WCQ247" i="20" s="1"/>
  <c r="WCM247" i="20" s="1"/>
  <c r="WCX247" i="20"/>
  <c r="DB12" i="19"/>
  <c r="DC13" i="19"/>
  <c r="WCT247" i="20" l="1"/>
  <c r="WCP247" i="20" s="1"/>
  <c r="WCL247" i="20" s="1"/>
  <c r="WCH247" i="20" s="1"/>
  <c r="WCS247" i="20"/>
  <c r="DC12" i="19"/>
  <c r="DD13" i="19"/>
  <c r="WCO247" i="20" l="1"/>
  <c r="WCK247" i="20" s="1"/>
  <c r="WCG247" i="20" s="1"/>
  <c r="WCC247" i="20" s="1"/>
  <c r="WCN247" i="20"/>
  <c r="DE13" i="19"/>
  <c r="DD12" i="19"/>
  <c r="WCJ247" i="20" l="1"/>
  <c r="WCF247" i="20" s="1"/>
  <c r="WCB247" i="20" s="1"/>
  <c r="WBX247" i="20" s="1"/>
  <c r="WCI247" i="20"/>
  <c r="DF13" i="19"/>
  <c r="DE12" i="19"/>
  <c r="WCE247" i="20" l="1"/>
  <c r="WCA247" i="20" s="1"/>
  <c r="WBW247" i="20" s="1"/>
  <c r="WBS247" i="20" s="1"/>
  <c r="WCD247" i="20"/>
  <c r="DG13" i="19"/>
  <c r="DF12" i="19"/>
  <c r="WBZ247" i="20" l="1"/>
  <c r="WBV247" i="20" s="1"/>
  <c r="WBR247" i="20" s="1"/>
  <c r="WBN247" i="20" s="1"/>
  <c r="WBY247" i="20"/>
  <c r="DH13" i="19"/>
  <c r="DG12" i="19"/>
  <c r="WBU247" i="20" l="1"/>
  <c r="WBQ247" i="20" s="1"/>
  <c r="WBM247" i="20" s="1"/>
  <c r="WBI247" i="20" s="1"/>
  <c r="WBT247" i="20"/>
  <c r="DI13" i="19"/>
  <c r="DH12" i="19"/>
  <c r="WBP247" i="20" l="1"/>
  <c r="WBL247" i="20" s="1"/>
  <c r="WBH247" i="20" s="1"/>
  <c r="WBD247" i="20" s="1"/>
  <c r="WBO247" i="20"/>
  <c r="DI12" i="19"/>
  <c r="DJ13" i="19"/>
  <c r="WBK247" i="20" l="1"/>
  <c r="WBG247" i="20" s="1"/>
  <c r="WBC247" i="20" s="1"/>
  <c r="WAY247" i="20" s="1"/>
  <c r="WBJ247" i="20"/>
  <c r="DJ12" i="19"/>
  <c r="DK13" i="19"/>
  <c r="WBF247" i="20" l="1"/>
  <c r="WBB247" i="20" s="1"/>
  <c r="WAX247" i="20" s="1"/>
  <c r="WAT247" i="20" s="1"/>
  <c r="WBE247" i="20"/>
  <c r="DK12" i="19"/>
  <c r="DL13" i="19"/>
  <c r="WBA247" i="20" l="1"/>
  <c r="WAW247" i="20" s="1"/>
  <c r="WAS247" i="20" s="1"/>
  <c r="WAO247" i="20" s="1"/>
  <c r="WAZ247" i="20"/>
  <c r="DM13" i="19"/>
  <c r="DL12" i="19"/>
  <c r="WAV247" i="20" l="1"/>
  <c r="WAR247" i="20" s="1"/>
  <c r="WAN247" i="20" s="1"/>
  <c r="WAJ247" i="20" s="1"/>
  <c r="WAU247" i="20"/>
  <c r="DN13" i="19"/>
  <c r="DM12" i="19"/>
  <c r="WAQ247" i="20" l="1"/>
  <c r="WAM247" i="20" s="1"/>
  <c r="WAI247" i="20" s="1"/>
  <c r="WAE247" i="20" s="1"/>
  <c r="WAP247" i="20"/>
  <c r="DO13" i="19"/>
  <c r="DN12" i="19"/>
  <c r="WAL247" i="20" l="1"/>
  <c r="WAH247" i="20" s="1"/>
  <c r="WAD247" i="20" s="1"/>
  <c r="VZZ247" i="20" s="1"/>
  <c r="WAK247" i="20"/>
  <c r="DP13" i="19"/>
  <c r="DO12" i="19"/>
  <c r="WAG247" i="20" l="1"/>
  <c r="WAC247" i="20" s="1"/>
  <c r="VZY247" i="20" s="1"/>
  <c r="VZU247" i="20" s="1"/>
  <c r="WAF247" i="20"/>
  <c r="DQ13" i="19"/>
  <c r="DP12" i="19"/>
  <c r="WAB247" i="20" l="1"/>
  <c r="VZX247" i="20" s="1"/>
  <c r="VZT247" i="20" s="1"/>
  <c r="VZP247" i="20" s="1"/>
  <c r="WAA247" i="20"/>
  <c r="DQ12" i="19"/>
  <c r="DR13" i="19"/>
  <c r="VZW247" i="20" l="1"/>
  <c r="VZS247" i="20" s="1"/>
  <c r="VZO247" i="20" s="1"/>
  <c r="VZK247" i="20" s="1"/>
  <c r="VZV247" i="20"/>
  <c r="DR12" i="19"/>
  <c r="DS13" i="19"/>
  <c r="VZR247" i="20" l="1"/>
  <c r="VZN247" i="20" s="1"/>
  <c r="VZJ247" i="20" s="1"/>
  <c r="VZF247" i="20" s="1"/>
  <c r="VZQ247" i="20"/>
  <c r="DS12" i="19"/>
  <c r="DT13" i="19"/>
  <c r="VZM247" i="20" l="1"/>
  <c r="VZI247" i="20" s="1"/>
  <c r="VZE247" i="20" s="1"/>
  <c r="VZA247" i="20" s="1"/>
  <c r="VZL247" i="20"/>
  <c r="DU13" i="19"/>
  <c r="DT12" i="19"/>
  <c r="VZH247" i="20" l="1"/>
  <c r="VZD247" i="20" s="1"/>
  <c r="VYZ247" i="20" s="1"/>
  <c r="VYV247" i="20" s="1"/>
  <c r="VZG247" i="20"/>
  <c r="DV13" i="19"/>
  <c r="DU12" i="19"/>
  <c r="VZC247" i="20" l="1"/>
  <c r="VYY247" i="20" s="1"/>
  <c r="VYU247" i="20" s="1"/>
  <c r="VYQ247" i="20" s="1"/>
  <c r="VZB247" i="20"/>
  <c r="DW13" i="19"/>
  <c r="DV12" i="19"/>
  <c r="VYX247" i="20" l="1"/>
  <c r="VYT247" i="20" s="1"/>
  <c r="VYP247" i="20" s="1"/>
  <c r="VYL247" i="20" s="1"/>
  <c r="VYW247" i="20"/>
  <c r="DX13" i="19"/>
  <c r="DW12" i="19"/>
  <c r="VYS247" i="20" l="1"/>
  <c r="VYO247" i="20" s="1"/>
  <c r="VYK247" i="20" s="1"/>
  <c r="VYG247" i="20" s="1"/>
  <c r="VYR247" i="20"/>
  <c r="DY13" i="19"/>
  <c r="DX12" i="19"/>
  <c r="VYN247" i="20" l="1"/>
  <c r="VYJ247" i="20" s="1"/>
  <c r="VYF247" i="20" s="1"/>
  <c r="VYB247" i="20" s="1"/>
  <c r="VYM247" i="20"/>
  <c r="DY12" i="19"/>
  <c r="DZ13" i="19"/>
  <c r="VYI247" i="20" l="1"/>
  <c r="VYE247" i="20" s="1"/>
  <c r="VYA247" i="20" s="1"/>
  <c r="VXW247" i="20" s="1"/>
  <c r="VYH247" i="20"/>
  <c r="DZ12" i="19"/>
  <c r="EA13" i="19"/>
  <c r="VYD247" i="20" l="1"/>
  <c r="VXZ247" i="20" s="1"/>
  <c r="VXV247" i="20" s="1"/>
  <c r="VXR247" i="20" s="1"/>
  <c r="VYC247" i="20"/>
  <c r="EA12" i="19"/>
  <c r="EB13" i="19"/>
  <c r="VXY247" i="20" l="1"/>
  <c r="VXU247" i="20" s="1"/>
  <c r="VXQ247" i="20" s="1"/>
  <c r="VXM247" i="20" s="1"/>
  <c r="VXX247" i="20"/>
  <c r="EC13" i="19"/>
  <c r="EB12" i="19"/>
  <c r="VXT247" i="20" l="1"/>
  <c r="VXP247" i="20" s="1"/>
  <c r="VXL247" i="20" s="1"/>
  <c r="VXH247" i="20" s="1"/>
  <c r="VXS247" i="20"/>
  <c r="ED13" i="19"/>
  <c r="EC12" i="19"/>
  <c r="VXO247" i="20" l="1"/>
  <c r="VXK247" i="20" s="1"/>
  <c r="VXG247" i="20" s="1"/>
  <c r="VXC247" i="20" s="1"/>
  <c r="VXN247" i="20"/>
  <c r="EE13" i="19"/>
  <c r="ED12" i="19"/>
  <c r="VXJ247" i="20" l="1"/>
  <c r="VXF247" i="20" s="1"/>
  <c r="VXB247" i="20" s="1"/>
  <c r="VWX247" i="20" s="1"/>
  <c r="VXI247" i="20"/>
  <c r="EF13" i="19"/>
  <c r="EE12" i="19"/>
  <c r="VXE247" i="20" l="1"/>
  <c r="VXA247" i="20" s="1"/>
  <c r="VWW247" i="20" s="1"/>
  <c r="VWS247" i="20" s="1"/>
  <c r="VXD247" i="20"/>
  <c r="EG13" i="19"/>
  <c r="EF12" i="19"/>
  <c r="VWZ247" i="20" l="1"/>
  <c r="VWV247" i="20" s="1"/>
  <c r="VWR247" i="20" s="1"/>
  <c r="VWN247" i="20" s="1"/>
  <c r="VWY247" i="20"/>
  <c r="EH13" i="19"/>
  <c r="EG12" i="19"/>
  <c r="VWU247" i="20" l="1"/>
  <c r="VWQ247" i="20" s="1"/>
  <c r="VWM247" i="20" s="1"/>
  <c r="VWI247" i="20" s="1"/>
  <c r="VWT247" i="20"/>
  <c r="EH12" i="19"/>
  <c r="EI13" i="19"/>
  <c r="VWP247" i="20" l="1"/>
  <c r="VWL247" i="20" s="1"/>
  <c r="VWH247" i="20" s="1"/>
  <c r="VWD247" i="20" s="1"/>
  <c r="VWO247" i="20"/>
  <c r="EI12" i="19"/>
  <c r="EJ13" i="19"/>
  <c r="VWK247" i="20" l="1"/>
  <c r="VWG247" i="20" s="1"/>
  <c r="VWC247" i="20" s="1"/>
  <c r="VVY247" i="20" s="1"/>
  <c r="VWJ247" i="20"/>
  <c r="EK13" i="19"/>
  <c r="EJ12" i="19"/>
  <c r="VWF247" i="20" l="1"/>
  <c r="VWB247" i="20" s="1"/>
  <c r="VVX247" i="20" s="1"/>
  <c r="VVT247" i="20" s="1"/>
  <c r="VWE247" i="20"/>
  <c r="EL13" i="19"/>
  <c r="EK12" i="19"/>
  <c r="VWA247" i="20" l="1"/>
  <c r="VVW247" i="20" s="1"/>
  <c r="VVS247" i="20" s="1"/>
  <c r="VVO247" i="20" s="1"/>
  <c r="VVZ247" i="20"/>
  <c r="EM13" i="19"/>
  <c r="EL12" i="19"/>
  <c r="VVV247" i="20" l="1"/>
  <c r="VVR247" i="20" s="1"/>
  <c r="VVN247" i="20" s="1"/>
  <c r="VVJ247" i="20" s="1"/>
  <c r="VVU247" i="20"/>
  <c r="EN13" i="19"/>
  <c r="EM12" i="19"/>
  <c r="VVQ247" i="20" l="1"/>
  <c r="VVM247" i="20" s="1"/>
  <c r="VVI247" i="20" s="1"/>
  <c r="VVE247" i="20" s="1"/>
  <c r="VVP247" i="20"/>
  <c r="EO13" i="19"/>
  <c r="EN12" i="19"/>
  <c r="VVL247" i="20" l="1"/>
  <c r="VVH247" i="20" s="1"/>
  <c r="VVD247" i="20" s="1"/>
  <c r="VUZ247" i="20" s="1"/>
  <c r="VVK247" i="20"/>
  <c r="EP13" i="19"/>
  <c r="EO12" i="19"/>
  <c r="VVG247" i="20" l="1"/>
  <c r="VVC247" i="20" s="1"/>
  <c r="VUY247" i="20" s="1"/>
  <c r="VUU247" i="20" s="1"/>
  <c r="VVF247" i="20"/>
  <c r="EQ13" i="19"/>
  <c r="EP12" i="19"/>
  <c r="VVB247" i="20" l="1"/>
  <c r="VUX247" i="20" s="1"/>
  <c r="VUT247" i="20" s="1"/>
  <c r="VUP247" i="20" s="1"/>
  <c r="VVA247" i="20"/>
  <c r="EQ12" i="19"/>
  <c r="ER13" i="19"/>
  <c r="VUW247" i="20" l="1"/>
  <c r="VUS247" i="20" s="1"/>
  <c r="VUO247" i="20" s="1"/>
  <c r="VUK247" i="20" s="1"/>
  <c r="VUV247" i="20"/>
  <c r="ES13" i="19"/>
  <c r="ER12" i="19"/>
  <c r="VUR247" i="20" l="1"/>
  <c r="VUN247" i="20" s="1"/>
  <c r="VUJ247" i="20" s="1"/>
  <c r="VUF247" i="20" s="1"/>
  <c r="VUQ247" i="20"/>
  <c r="ET13" i="19"/>
  <c r="ES12" i="19"/>
  <c r="VUM247" i="20" l="1"/>
  <c r="VUI247" i="20" s="1"/>
  <c r="VUE247" i="20" s="1"/>
  <c r="VUA247" i="20" s="1"/>
  <c r="VUL247" i="20"/>
  <c r="EU13" i="19"/>
  <c r="ET12" i="19"/>
  <c r="VUH247" i="20" l="1"/>
  <c r="VUD247" i="20" s="1"/>
  <c r="VTZ247" i="20" s="1"/>
  <c r="VTV247" i="20" s="1"/>
  <c r="VUG247" i="20"/>
  <c r="EV13" i="19"/>
  <c r="EU12" i="19"/>
  <c r="VUC247" i="20" l="1"/>
  <c r="VTY247" i="20" s="1"/>
  <c r="VTU247" i="20" s="1"/>
  <c r="VTQ247" i="20" s="1"/>
  <c r="VUB247" i="20"/>
  <c r="EW13" i="19"/>
  <c r="EV12" i="19"/>
  <c r="VTX247" i="20" l="1"/>
  <c r="VTT247" i="20" s="1"/>
  <c r="VTP247" i="20" s="1"/>
  <c r="VTL247" i="20" s="1"/>
  <c r="VTW247" i="20"/>
  <c r="EX13" i="19"/>
  <c r="EW12" i="19"/>
  <c r="VTS247" i="20" l="1"/>
  <c r="VTO247" i="20" s="1"/>
  <c r="VTK247" i="20" s="1"/>
  <c r="VTG247" i="20" s="1"/>
  <c r="VTR247" i="20"/>
  <c r="EY13" i="19"/>
  <c r="EX12" i="19"/>
  <c r="VTN247" i="20" l="1"/>
  <c r="VTJ247" i="20" s="1"/>
  <c r="VTF247" i="20" s="1"/>
  <c r="VTB247" i="20" s="1"/>
  <c r="VTM247" i="20"/>
  <c r="EZ13" i="19"/>
  <c r="EY12" i="19"/>
  <c r="VTI247" i="20" l="1"/>
  <c r="VTE247" i="20" s="1"/>
  <c r="VTA247" i="20" s="1"/>
  <c r="VSW247" i="20" s="1"/>
  <c r="VTH247" i="20"/>
  <c r="FA13" i="19"/>
  <c r="EZ12" i="19"/>
  <c r="VTD247" i="20" l="1"/>
  <c r="VSZ247" i="20" s="1"/>
  <c r="VSV247" i="20" s="1"/>
  <c r="VSR247" i="20" s="1"/>
  <c r="VTC247" i="20"/>
  <c r="FB13" i="19"/>
  <c r="FA12" i="19"/>
  <c r="VSY247" i="20" l="1"/>
  <c r="VSU247" i="20" s="1"/>
  <c r="VSQ247" i="20" s="1"/>
  <c r="VSM247" i="20" s="1"/>
  <c r="VSX247" i="20"/>
  <c r="FB12" i="19"/>
  <c r="FC13" i="19"/>
  <c r="VST247" i="20" l="1"/>
  <c r="VSP247" i="20" s="1"/>
  <c r="VSL247" i="20" s="1"/>
  <c r="VSH247" i="20" s="1"/>
  <c r="VSS247" i="20"/>
  <c r="FC12" i="19"/>
  <c r="FD13" i="19"/>
  <c r="VSO247" i="20" l="1"/>
  <c r="VSK247" i="20" s="1"/>
  <c r="VSG247" i="20" s="1"/>
  <c r="VSC247" i="20" s="1"/>
  <c r="VSN247" i="20"/>
  <c r="FD12" i="19"/>
  <c r="FE13" i="19"/>
  <c r="VSJ247" i="20" l="1"/>
  <c r="VSF247" i="20" s="1"/>
  <c r="VSB247" i="20" s="1"/>
  <c r="VRX247" i="20" s="1"/>
  <c r="VSI247" i="20"/>
  <c r="FE12" i="19"/>
  <c r="FF13" i="19"/>
  <c r="VSE247" i="20" l="1"/>
  <c r="VSA247" i="20" s="1"/>
  <c r="VRW247" i="20" s="1"/>
  <c r="VRS247" i="20" s="1"/>
  <c r="VSD247" i="20"/>
  <c r="FF12" i="19"/>
  <c r="FG13" i="19"/>
  <c r="VRZ247" i="20" l="1"/>
  <c r="VRV247" i="20" s="1"/>
  <c r="VRR247" i="20" s="1"/>
  <c r="VRN247" i="20" s="1"/>
  <c r="VRY247" i="20"/>
  <c r="FG12" i="19"/>
  <c r="FH13" i="19"/>
  <c r="VRU247" i="20" l="1"/>
  <c r="VRQ247" i="20" s="1"/>
  <c r="VRM247" i="20" s="1"/>
  <c r="VRI247" i="20" s="1"/>
  <c r="VRT247" i="20"/>
  <c r="FI13" i="19"/>
  <c r="FH12" i="19"/>
  <c r="VRP247" i="20" l="1"/>
  <c r="VRL247" i="20" s="1"/>
  <c r="VRH247" i="20" s="1"/>
  <c r="VRD247" i="20" s="1"/>
  <c r="VRO247" i="20"/>
  <c r="FJ13" i="19"/>
  <c r="FI12" i="19"/>
  <c r="VRK247" i="20" l="1"/>
  <c r="VRG247" i="20" s="1"/>
  <c r="VRC247" i="20" s="1"/>
  <c r="VQY247" i="20" s="1"/>
  <c r="VRJ247" i="20"/>
  <c r="FJ12" i="19"/>
  <c r="FK13" i="19"/>
  <c r="FK12" i="19" s="1"/>
  <c r="VRF247" i="20" l="1"/>
  <c r="VRB247" i="20" s="1"/>
  <c r="VQX247" i="20" s="1"/>
  <c r="VQT247" i="20" s="1"/>
  <c r="VRE247" i="20"/>
  <c r="H9" i="1"/>
  <c r="H12" i="1"/>
  <c r="H13" i="1"/>
  <c r="H14" i="1"/>
  <c r="H15" i="1"/>
  <c r="H16" i="1"/>
  <c r="H17" i="1"/>
  <c r="H18" i="1"/>
  <c r="H19" i="1"/>
  <c r="H20" i="1"/>
  <c r="H21" i="1"/>
  <c r="H22" i="1"/>
  <c r="H23" i="1"/>
  <c r="H24" i="1"/>
  <c r="H25" i="1"/>
  <c r="H26" i="1"/>
  <c r="H27" i="1"/>
  <c r="H28" i="1"/>
  <c r="H29" i="1"/>
  <c r="H30" i="1"/>
  <c r="H51" i="1"/>
  <c r="H52" i="1"/>
  <c r="H53" i="1"/>
  <c r="H54" i="1"/>
  <c r="H55" i="1"/>
  <c r="H100" i="1"/>
  <c r="H101" i="1"/>
  <c r="H102" i="1"/>
  <c r="H103" i="1"/>
  <c r="H104" i="1"/>
  <c r="H105" i="1"/>
  <c r="H106" i="1"/>
  <c r="H107" i="1"/>
  <c r="H108" i="1"/>
  <c r="H109" i="1"/>
  <c r="H110" i="1"/>
  <c r="H111" i="1"/>
  <c r="H112" i="1"/>
  <c r="H113" i="1"/>
  <c r="H114" i="1"/>
  <c r="H115" i="1"/>
  <c r="H116" i="1"/>
  <c r="H117" i="1"/>
  <c r="H118" i="1"/>
  <c r="H119" i="1"/>
  <c r="H120" i="1"/>
  <c r="H121" i="1"/>
  <c r="H122" i="1"/>
  <c r="H123" i="1"/>
  <c r="H124" i="1"/>
  <c r="H125" i="1"/>
  <c r="H126" i="1"/>
  <c r="H127" i="1"/>
  <c r="H128" i="1"/>
  <c r="H129" i="1"/>
  <c r="H130" i="1"/>
  <c r="H131" i="1"/>
  <c r="H132" i="1"/>
  <c r="H133" i="1"/>
  <c r="H134" i="1"/>
  <c r="H135" i="1"/>
  <c r="H136" i="1"/>
  <c r="H137" i="1"/>
  <c r="H138" i="1"/>
  <c r="H139" i="1"/>
  <c r="H140" i="1"/>
  <c r="H141" i="1"/>
  <c r="H142" i="1"/>
  <c r="H143" i="1"/>
  <c r="H144" i="1"/>
  <c r="H145" i="1"/>
  <c r="H146" i="1"/>
  <c r="H147" i="1"/>
  <c r="H148" i="1"/>
  <c r="H149" i="1"/>
  <c r="H150" i="1"/>
  <c r="H151" i="1"/>
  <c r="H152" i="1"/>
  <c r="H153" i="1"/>
  <c r="H154" i="1"/>
  <c r="H155" i="1"/>
  <c r="H156" i="1"/>
  <c r="H157" i="1"/>
  <c r="H158" i="1"/>
  <c r="H159" i="1"/>
  <c r="H160" i="1"/>
  <c r="H161" i="1"/>
  <c r="H162" i="1"/>
  <c r="H163" i="1"/>
  <c r="H164" i="1"/>
  <c r="H165" i="1"/>
  <c r="H166" i="1"/>
  <c r="H167" i="1"/>
  <c r="H168" i="1"/>
  <c r="H169" i="1"/>
  <c r="H170" i="1"/>
  <c r="H171" i="1"/>
  <c r="H172" i="1"/>
  <c r="H173" i="1"/>
  <c r="H174" i="1"/>
  <c r="H175" i="1"/>
  <c r="H176" i="1"/>
  <c r="H177" i="1"/>
  <c r="H178" i="1"/>
  <c r="H179" i="1"/>
  <c r="H180" i="1"/>
  <c r="H181" i="1"/>
  <c r="H182" i="1"/>
  <c r="H183" i="1"/>
  <c r="H184" i="1"/>
  <c r="H185" i="1"/>
  <c r="H186" i="1"/>
  <c r="H187" i="1"/>
  <c r="H188" i="1"/>
  <c r="H189" i="1"/>
  <c r="H190" i="1"/>
  <c r="H191" i="1"/>
  <c r="H196" i="1"/>
  <c r="H197" i="1"/>
  <c r="H198" i="1"/>
  <c r="H199" i="1"/>
  <c r="H200" i="1"/>
  <c r="H201" i="1"/>
  <c r="H202" i="1"/>
  <c r="H203" i="1"/>
  <c r="H204" i="1"/>
  <c r="H205" i="1"/>
  <c r="H206" i="1"/>
  <c r="H207" i="1"/>
  <c r="H208" i="1"/>
  <c r="H209" i="1"/>
  <c r="H210" i="1"/>
  <c r="H211" i="1"/>
  <c r="H212" i="1"/>
  <c r="H213" i="1"/>
  <c r="H214" i="1"/>
  <c r="H215" i="1"/>
  <c r="H216" i="1"/>
  <c r="H217" i="1"/>
  <c r="H218" i="1"/>
  <c r="H219" i="1"/>
  <c r="H220" i="1"/>
  <c r="H221" i="1"/>
  <c r="H222" i="1"/>
  <c r="H223" i="1"/>
  <c r="H224" i="1"/>
  <c r="H225" i="1"/>
  <c r="H226" i="1"/>
  <c r="H227" i="1"/>
  <c r="H228" i="1"/>
  <c r="H229" i="1"/>
  <c r="H230" i="1"/>
  <c r="H231" i="1"/>
  <c r="H232" i="1"/>
  <c r="H233" i="1"/>
  <c r="H234" i="1"/>
  <c r="H235" i="1"/>
  <c r="H236" i="1"/>
  <c r="H237" i="1"/>
  <c r="H238" i="1"/>
  <c r="H239" i="1"/>
  <c r="H240" i="1"/>
  <c r="H241" i="1"/>
  <c r="H242" i="1"/>
  <c r="H243" i="1"/>
  <c r="H244" i="1"/>
  <c r="H245" i="1"/>
  <c r="H246" i="1"/>
  <c r="H247" i="1"/>
  <c r="H248" i="1"/>
  <c r="H249" i="1"/>
  <c r="H250" i="1"/>
  <c r="H251" i="1"/>
  <c r="H252" i="1"/>
  <c r="H253" i="1"/>
  <c r="H254" i="1"/>
  <c r="H255" i="1"/>
  <c r="H256" i="1"/>
  <c r="H257" i="1"/>
  <c r="H258" i="1"/>
  <c r="H259" i="1"/>
  <c r="H260" i="1"/>
  <c r="H261" i="1"/>
  <c r="H262" i="1"/>
  <c r="H263" i="1"/>
  <c r="H264" i="1"/>
  <c r="H265" i="1"/>
  <c r="H267" i="1"/>
  <c r="H268" i="1"/>
  <c r="H269" i="1"/>
  <c r="H270" i="1"/>
  <c r="H271" i="1"/>
  <c r="H272" i="1"/>
  <c r="H273" i="1"/>
  <c r="H274" i="1"/>
  <c r="H275" i="1"/>
  <c r="H276" i="1"/>
  <c r="H277" i="1"/>
  <c r="H278" i="1"/>
  <c r="H279" i="1"/>
  <c r="H280" i="1"/>
  <c r="H281" i="1"/>
  <c r="H282" i="1"/>
  <c r="H283" i="1"/>
  <c r="H284" i="1"/>
  <c r="H285" i="1"/>
  <c r="H286" i="1"/>
  <c r="H287" i="1"/>
  <c r="H288" i="1"/>
  <c r="H289" i="1"/>
  <c r="H290" i="1"/>
  <c r="H291" i="1"/>
  <c r="H292" i="1"/>
  <c r="H293" i="1"/>
  <c r="H294" i="1"/>
  <c r="H295" i="1"/>
  <c r="H296" i="1"/>
  <c r="H297" i="1"/>
  <c r="H298" i="1"/>
  <c r="H299" i="1"/>
  <c r="H300" i="1"/>
  <c r="H301" i="1"/>
  <c r="H302" i="1"/>
  <c r="H303" i="1"/>
  <c r="H304" i="1"/>
  <c r="H305" i="1"/>
  <c r="H306" i="1"/>
  <c r="H307" i="1"/>
  <c r="H308" i="1"/>
  <c r="H309" i="1"/>
  <c r="H310" i="1"/>
  <c r="H311" i="1"/>
  <c r="H312" i="1"/>
  <c r="H313" i="1"/>
  <c r="H314" i="1"/>
  <c r="H315" i="1"/>
  <c r="H316" i="1"/>
  <c r="H317" i="1"/>
  <c r="H318" i="1"/>
  <c r="H319" i="1"/>
  <c r="H320" i="1"/>
  <c r="H321" i="1"/>
  <c r="H322" i="1"/>
  <c r="H323" i="1"/>
  <c r="H324" i="1"/>
  <c r="H325" i="1"/>
  <c r="H326" i="1"/>
  <c r="H327" i="1"/>
  <c r="H328" i="1"/>
  <c r="H329" i="1"/>
  <c r="H330" i="1"/>
  <c r="H331" i="1"/>
  <c r="H332" i="1"/>
  <c r="H333" i="1"/>
  <c r="H334" i="1"/>
  <c r="H335" i="1"/>
  <c r="H336" i="1"/>
  <c r="H337" i="1"/>
  <c r="H338" i="1"/>
  <c r="H339" i="1"/>
  <c r="H340" i="1"/>
  <c r="H341" i="1"/>
  <c r="H342" i="1"/>
  <c r="H343" i="1"/>
  <c r="H344" i="1"/>
  <c r="H345" i="1"/>
  <c r="H346" i="1"/>
  <c r="H347" i="1"/>
  <c r="H348" i="1"/>
  <c r="H349" i="1"/>
  <c r="H350" i="1"/>
  <c r="H351" i="1"/>
  <c r="H352" i="1"/>
  <c r="H353" i="1"/>
  <c r="H354" i="1"/>
  <c r="H355" i="1"/>
  <c r="H356" i="1"/>
  <c r="H357" i="1"/>
  <c r="H358" i="1"/>
  <c r="H359" i="1"/>
  <c r="H360" i="1"/>
  <c r="H361" i="1"/>
  <c r="H362" i="1"/>
  <c r="H363" i="1"/>
  <c r="H364" i="1"/>
  <c r="H365" i="1"/>
  <c r="H366" i="1"/>
  <c r="H367" i="1"/>
  <c r="H368" i="1"/>
  <c r="H369" i="1"/>
  <c r="H370" i="1"/>
  <c r="H371" i="1"/>
  <c r="H372" i="1"/>
  <c r="H373" i="1"/>
  <c r="H374" i="1"/>
  <c r="H375" i="1"/>
  <c r="H376" i="1"/>
  <c r="H377" i="1"/>
  <c r="H378" i="1"/>
  <c r="H379" i="1"/>
  <c r="H380" i="1"/>
  <c r="H381" i="1"/>
  <c r="H382" i="1"/>
  <c r="H383" i="1"/>
  <c r="H384" i="1"/>
  <c r="H385" i="1"/>
  <c r="H386" i="1"/>
  <c r="H387" i="1"/>
  <c r="H388" i="1"/>
  <c r="H389" i="1"/>
  <c r="H390" i="1"/>
  <c r="H391" i="1"/>
  <c r="H392" i="1"/>
  <c r="H419" i="1"/>
  <c r="H420" i="1"/>
  <c r="H421" i="1"/>
  <c r="H422" i="1"/>
  <c r="H423" i="1"/>
  <c r="H424" i="1"/>
  <c r="H425" i="1"/>
  <c r="H426" i="1"/>
  <c r="H427" i="1"/>
  <c r="H428" i="1"/>
  <c r="H429" i="1"/>
  <c r="H430" i="1"/>
  <c r="H431" i="1"/>
  <c r="H432" i="1"/>
  <c r="H433" i="1"/>
  <c r="H434" i="1"/>
  <c r="H435" i="1"/>
  <c r="H436" i="1"/>
  <c r="H437" i="1"/>
  <c r="H438" i="1"/>
  <c r="H439" i="1"/>
  <c r="H440" i="1"/>
  <c r="H441" i="1"/>
  <c r="H442" i="1"/>
  <c r="H443" i="1"/>
  <c r="H444" i="1"/>
  <c r="H445" i="1"/>
  <c r="H446" i="1"/>
  <c r="H447" i="1"/>
  <c r="H448" i="1"/>
  <c r="H449" i="1"/>
  <c r="H450" i="1"/>
  <c r="H451" i="1"/>
  <c r="H452" i="1"/>
  <c r="H453" i="1"/>
  <c r="H454" i="1"/>
  <c r="H455" i="1"/>
  <c r="H456" i="1"/>
  <c r="H457" i="1"/>
  <c r="H458" i="1"/>
  <c r="H459" i="1"/>
  <c r="H460" i="1"/>
  <c r="H461" i="1"/>
  <c r="H462" i="1"/>
  <c r="H463" i="1"/>
  <c r="H465" i="1"/>
  <c r="H466" i="1"/>
  <c r="H467" i="1"/>
  <c r="H468" i="1"/>
  <c r="H469" i="1"/>
  <c r="H470" i="1"/>
  <c r="H471" i="1"/>
  <c r="H472" i="1"/>
  <c r="H473" i="1"/>
  <c r="H474" i="1"/>
  <c r="H475" i="1"/>
  <c r="H476" i="1"/>
  <c r="H477" i="1"/>
  <c r="H478" i="1"/>
  <c r="H479" i="1"/>
  <c r="H480" i="1"/>
  <c r="H481" i="1"/>
  <c r="H482" i="1"/>
  <c r="H483" i="1"/>
  <c r="H484" i="1"/>
  <c r="H485" i="1"/>
  <c r="H486" i="1"/>
  <c r="H487" i="1"/>
  <c r="H488" i="1"/>
  <c r="H489" i="1"/>
  <c r="H490" i="1"/>
  <c r="H491" i="1"/>
  <c r="H492" i="1"/>
  <c r="H493" i="1"/>
  <c r="H494" i="1"/>
  <c r="H495" i="1"/>
  <c r="H496" i="1"/>
  <c r="H497" i="1"/>
  <c r="H498" i="1"/>
  <c r="H499" i="1"/>
  <c r="H500" i="1"/>
  <c r="H501" i="1"/>
  <c r="H502" i="1"/>
  <c r="H503" i="1"/>
  <c r="H504" i="1"/>
  <c r="H505" i="1"/>
  <c r="H506" i="1"/>
  <c r="H507" i="1"/>
  <c r="H508" i="1"/>
  <c r="H509" i="1"/>
  <c r="H510" i="1"/>
  <c r="H511" i="1"/>
  <c r="H512" i="1"/>
  <c r="H513" i="1"/>
  <c r="H514" i="1"/>
  <c r="H515" i="1"/>
  <c r="H516" i="1"/>
  <c r="H517" i="1"/>
  <c r="H518" i="1"/>
  <c r="H519" i="1"/>
  <c r="H520" i="1"/>
  <c r="H521" i="1"/>
  <c r="H522" i="1"/>
  <c r="H523" i="1"/>
  <c r="H524" i="1"/>
  <c r="H525" i="1"/>
  <c r="H526" i="1"/>
  <c r="H527" i="1"/>
  <c r="H528" i="1"/>
  <c r="H529" i="1"/>
  <c r="H530" i="1"/>
  <c r="H531" i="1"/>
  <c r="H532" i="1"/>
  <c r="H533" i="1"/>
  <c r="H534" i="1"/>
  <c r="H535" i="1"/>
  <c r="H536" i="1"/>
  <c r="H537" i="1"/>
  <c r="H538" i="1"/>
  <c r="H539" i="1"/>
  <c r="H540" i="1"/>
  <c r="H541" i="1"/>
  <c r="H542" i="1"/>
  <c r="H543" i="1"/>
  <c r="H544" i="1"/>
  <c r="H545" i="1"/>
  <c r="H546" i="1"/>
  <c r="H547" i="1"/>
  <c r="H548" i="1"/>
  <c r="H549" i="1"/>
  <c r="H550" i="1"/>
  <c r="H551" i="1"/>
  <c r="H552" i="1"/>
  <c r="H553" i="1"/>
  <c r="H554" i="1"/>
  <c r="H555" i="1"/>
  <c r="H556" i="1"/>
  <c r="H557" i="1"/>
  <c r="H558" i="1"/>
  <c r="H559" i="1"/>
  <c r="H560" i="1"/>
  <c r="H561" i="1"/>
  <c r="H562" i="1"/>
  <c r="H563" i="1"/>
  <c r="H564" i="1"/>
  <c r="H565" i="1"/>
  <c r="H566" i="1"/>
  <c r="H567" i="1"/>
  <c r="H568" i="1"/>
  <c r="H569" i="1"/>
  <c r="H570" i="1"/>
  <c r="H571" i="1"/>
  <c r="H572" i="1"/>
  <c r="H573" i="1"/>
  <c r="H574" i="1"/>
  <c r="H575" i="1"/>
  <c r="H576" i="1"/>
  <c r="H577" i="1"/>
  <c r="H578" i="1"/>
  <c r="H579" i="1"/>
  <c r="H580" i="1"/>
  <c r="H581" i="1"/>
  <c r="H582" i="1"/>
  <c r="H583" i="1"/>
  <c r="H584" i="1"/>
  <c r="H585" i="1"/>
  <c r="H586" i="1"/>
  <c r="H587" i="1"/>
  <c r="H588" i="1"/>
  <c r="H589" i="1"/>
  <c r="H590" i="1"/>
  <c r="H591" i="1"/>
  <c r="H592" i="1"/>
  <c r="H593" i="1"/>
  <c r="H594" i="1"/>
  <c r="H595" i="1"/>
  <c r="H596" i="1"/>
  <c r="H597" i="1"/>
  <c r="H598" i="1"/>
  <c r="H599" i="1"/>
  <c r="H600" i="1"/>
  <c r="H601" i="1"/>
  <c r="H602" i="1"/>
  <c r="H603" i="1"/>
  <c r="H604" i="1"/>
  <c r="H605" i="1"/>
  <c r="H606" i="1"/>
  <c r="H607" i="1"/>
  <c r="H608" i="1"/>
  <c r="H609" i="1"/>
  <c r="H610" i="1"/>
  <c r="H611" i="1"/>
  <c r="H612" i="1"/>
  <c r="H613" i="1"/>
  <c r="H614" i="1"/>
  <c r="H615" i="1"/>
  <c r="H616" i="1"/>
  <c r="H617" i="1"/>
  <c r="H618" i="1"/>
  <c r="H619" i="1"/>
  <c r="H620" i="1"/>
  <c r="H621" i="1"/>
  <c r="H622" i="1"/>
  <c r="H623" i="1"/>
  <c r="H624" i="1"/>
  <c r="H625" i="1"/>
  <c r="H626" i="1"/>
  <c r="H627" i="1"/>
  <c r="H628" i="1"/>
  <c r="H629" i="1"/>
  <c r="H630" i="1"/>
  <c r="H631" i="1"/>
  <c r="H632" i="1"/>
  <c r="H633" i="1"/>
  <c r="H634" i="1"/>
  <c r="H635" i="1"/>
  <c r="H636" i="1"/>
  <c r="H637" i="1"/>
  <c r="H638" i="1"/>
  <c r="H639" i="1"/>
  <c r="H640" i="1"/>
  <c r="H641" i="1"/>
  <c r="H642" i="1"/>
  <c r="H643" i="1"/>
  <c r="H644" i="1"/>
  <c r="H645" i="1"/>
  <c r="H646" i="1"/>
  <c r="H647" i="1"/>
  <c r="H648" i="1"/>
  <c r="H649" i="1"/>
  <c r="H650" i="1"/>
  <c r="H651" i="1"/>
  <c r="H652" i="1"/>
  <c r="H653" i="1"/>
  <c r="H654" i="1"/>
  <c r="H655" i="1"/>
  <c r="H656" i="1"/>
  <c r="H657" i="1"/>
  <c r="H658" i="1"/>
  <c r="H659" i="1"/>
  <c r="H660" i="1"/>
  <c r="H661" i="1"/>
  <c r="H662" i="1"/>
  <c r="H683" i="1"/>
  <c r="H684" i="1"/>
  <c r="H685" i="1"/>
  <c r="H686" i="1"/>
  <c r="H687" i="1"/>
  <c r="H688" i="1"/>
  <c r="H690" i="1"/>
  <c r="H691" i="1"/>
  <c r="H692" i="1"/>
  <c r="H693" i="1"/>
  <c r="H694" i="1"/>
  <c r="H695" i="1"/>
  <c r="H696" i="1"/>
  <c r="H697" i="1"/>
  <c r="H698" i="1"/>
  <c r="H699" i="1"/>
  <c r="H700" i="1"/>
  <c r="H701" i="1"/>
  <c r="H702" i="1"/>
  <c r="H703" i="1"/>
  <c r="H704" i="1"/>
  <c r="H705" i="1"/>
  <c r="H706" i="1"/>
  <c r="H707" i="1"/>
  <c r="H708" i="1"/>
  <c r="H709" i="1"/>
  <c r="H710" i="1"/>
  <c r="H711" i="1"/>
  <c r="H712" i="1"/>
  <c r="H713" i="1"/>
  <c r="H714" i="1"/>
  <c r="H715" i="1"/>
  <c r="H716" i="1"/>
  <c r="H717" i="1"/>
  <c r="H718" i="1"/>
  <c r="H719" i="1"/>
  <c r="H720" i="1"/>
  <c r="H721" i="1"/>
  <c r="H722" i="1"/>
  <c r="H723" i="1"/>
  <c r="H724" i="1"/>
  <c r="H725" i="1"/>
  <c r="H726" i="1"/>
  <c r="H727" i="1"/>
  <c r="H728" i="1"/>
  <c r="H729" i="1"/>
  <c r="H730" i="1"/>
  <c r="H731" i="1"/>
  <c r="H732" i="1"/>
  <c r="H733" i="1"/>
  <c r="H736" i="1"/>
  <c r="H737" i="1"/>
  <c r="H738" i="1"/>
  <c r="H739" i="1"/>
  <c r="H740" i="1"/>
  <c r="H741" i="1"/>
  <c r="H742" i="1"/>
  <c r="H743" i="1"/>
  <c r="H744" i="1"/>
  <c r="H745" i="1"/>
  <c r="H746" i="1"/>
  <c r="H747" i="1"/>
  <c r="H748" i="1"/>
  <c r="H749" i="1"/>
  <c r="H750" i="1"/>
  <c r="H751" i="1"/>
  <c r="H752" i="1"/>
  <c r="H753" i="1"/>
  <c r="H754" i="1"/>
  <c r="H755" i="1"/>
  <c r="H756" i="1"/>
  <c r="H757" i="1"/>
  <c r="H758" i="1"/>
  <c r="H759" i="1"/>
  <c r="H760" i="1"/>
  <c r="H761" i="1"/>
  <c r="H762" i="1"/>
  <c r="H763" i="1"/>
  <c r="H764" i="1"/>
  <c r="H765" i="1"/>
  <c r="H766" i="1"/>
  <c r="H767" i="1"/>
  <c r="H768" i="1"/>
  <c r="H769" i="1"/>
  <c r="H770" i="1"/>
  <c r="H771" i="1"/>
  <c r="H772" i="1"/>
  <c r="H773" i="1"/>
  <c r="H774" i="1"/>
  <c r="H775" i="1"/>
  <c r="H776" i="1"/>
  <c r="H777" i="1"/>
  <c r="H778" i="1"/>
  <c r="H779" i="1"/>
  <c r="H780" i="1"/>
  <c r="H781" i="1"/>
  <c r="H782" i="1"/>
  <c r="H783" i="1"/>
  <c r="H784" i="1"/>
  <c r="H785" i="1"/>
  <c r="H786" i="1"/>
  <c r="H787" i="1"/>
  <c r="H788" i="1"/>
  <c r="H789" i="1"/>
  <c r="H790" i="1"/>
  <c r="H791" i="1"/>
  <c r="H792" i="1"/>
  <c r="H793" i="1"/>
  <c r="H794" i="1"/>
  <c r="H795" i="1"/>
  <c r="H796" i="1"/>
  <c r="H797" i="1"/>
  <c r="H798" i="1"/>
  <c r="H799" i="1"/>
  <c r="H800" i="1"/>
  <c r="H802" i="1"/>
  <c r="H803" i="1"/>
  <c r="H804" i="1"/>
  <c r="H805" i="1"/>
  <c r="H806" i="1"/>
  <c r="H807" i="1"/>
  <c r="H808" i="1"/>
  <c r="H809" i="1"/>
  <c r="H810" i="1"/>
  <c r="H811" i="1"/>
  <c r="H812" i="1"/>
  <c r="H813" i="1"/>
  <c r="H817" i="1"/>
  <c r="H818" i="1"/>
  <c r="H819" i="1"/>
  <c r="H820" i="1"/>
  <c r="H821" i="1"/>
  <c r="H822" i="1"/>
  <c r="H824" i="1"/>
  <c r="H825" i="1"/>
  <c r="H826" i="1"/>
  <c r="H827" i="1"/>
  <c r="H828" i="1"/>
  <c r="H829" i="1"/>
  <c r="H830" i="1"/>
  <c r="H831" i="1"/>
  <c r="H832" i="1"/>
  <c r="H892" i="1"/>
  <c r="H893" i="1"/>
  <c r="H915" i="1"/>
  <c r="H858" i="1"/>
  <c r="H878" i="1"/>
  <c r="H863" i="1"/>
  <c r="H871" i="1"/>
  <c r="H876" i="1"/>
  <c r="H873" i="1"/>
  <c r="H921" i="1"/>
  <c r="H867" i="1"/>
  <c r="H835" i="1"/>
  <c r="H833" i="1"/>
  <c r="H852" i="1"/>
  <c r="H923" i="1"/>
  <c r="H846" i="1"/>
  <c r="H848" i="1"/>
  <c r="H909" i="1"/>
  <c r="H850" i="1"/>
  <c r="H880" i="1"/>
  <c r="H913" i="1"/>
  <c r="H907" i="1"/>
  <c r="H917" i="1"/>
  <c r="H888" i="1"/>
  <c r="H886" i="1"/>
  <c r="H865" i="1"/>
  <c r="H911" i="1"/>
  <c r="H842" i="1"/>
  <c r="H844" i="1"/>
  <c r="H882" i="1"/>
  <c r="H919" i="1"/>
  <c r="H860" i="1"/>
  <c r="H854" i="1"/>
  <c r="H856" i="1"/>
  <c r="H869" i="1"/>
  <c r="H884" i="1"/>
  <c r="H894" i="1"/>
  <c r="H890" i="1"/>
  <c r="H898" i="1"/>
  <c r="H900" i="1"/>
  <c r="H896" i="1"/>
  <c r="H902" i="1"/>
  <c r="H905" i="1"/>
  <c r="H916" i="1"/>
  <c r="H859" i="1"/>
  <c r="H843" i="1"/>
  <c r="H845" i="1"/>
  <c r="H883" i="1"/>
  <c r="H920" i="1"/>
  <c r="H862" i="1"/>
  <c r="H855" i="1"/>
  <c r="H857" i="1"/>
  <c r="H870" i="1"/>
  <c r="H885" i="1"/>
  <c r="H895" i="1"/>
  <c r="H891" i="1"/>
  <c r="H899" i="1"/>
  <c r="H925" i="1"/>
  <c r="H926" i="1"/>
  <c r="H927" i="1"/>
  <c r="H928" i="1"/>
  <c r="H929" i="1"/>
  <c r="H930" i="1"/>
  <c r="H931" i="1"/>
  <c r="H932" i="1"/>
  <c r="H933" i="1"/>
  <c r="H934" i="1"/>
  <c r="H935" i="1"/>
  <c r="H936" i="1"/>
  <c r="H937" i="1"/>
  <c r="H938" i="1"/>
  <c r="H939" i="1"/>
  <c r="H940" i="1"/>
  <c r="H941" i="1"/>
  <c r="H942" i="1"/>
  <c r="H943" i="1"/>
  <c r="H944" i="1"/>
  <c r="H945" i="1"/>
  <c r="H946" i="1"/>
  <c r="H947" i="1"/>
  <c r="H948" i="1"/>
  <c r="H949" i="1"/>
  <c r="H950" i="1"/>
  <c r="H951" i="1"/>
  <c r="H952" i="1"/>
  <c r="H953" i="1"/>
  <c r="H954" i="1"/>
  <c r="H955" i="1"/>
  <c r="H956" i="1"/>
  <c r="H957" i="1"/>
  <c r="H958" i="1"/>
  <c r="H959" i="1"/>
  <c r="H960" i="1"/>
  <c r="H961" i="1"/>
  <c r="H962" i="1"/>
  <c r="H963" i="1"/>
  <c r="H964" i="1"/>
  <c r="H965" i="1"/>
  <c r="H966" i="1"/>
  <c r="H967" i="1"/>
  <c r="H968" i="1"/>
  <c r="H969" i="1"/>
  <c r="H970" i="1"/>
  <c r="H971" i="1"/>
  <c r="H972" i="1"/>
  <c r="H973" i="1"/>
  <c r="H974" i="1"/>
  <c r="H975" i="1"/>
  <c r="H976" i="1"/>
  <c r="H977" i="1"/>
  <c r="H978" i="1"/>
  <c r="H979" i="1"/>
  <c r="H980" i="1"/>
  <c r="H981" i="1"/>
  <c r="H982" i="1"/>
  <c r="H983" i="1"/>
  <c r="H984" i="1"/>
  <c r="H985" i="1"/>
  <c r="H986" i="1"/>
  <c r="H987" i="1"/>
  <c r="H988" i="1"/>
  <c r="H989" i="1"/>
  <c r="H990" i="1"/>
  <c r="H991" i="1"/>
  <c r="H992" i="1"/>
  <c r="H993" i="1"/>
  <c r="H994" i="1"/>
  <c r="H995" i="1"/>
  <c r="H996" i="1"/>
  <c r="H997" i="1"/>
  <c r="H998" i="1"/>
  <c r="H999" i="1"/>
  <c r="H1000" i="1"/>
  <c r="H1002" i="1"/>
  <c r="H1003" i="1"/>
  <c r="H1004" i="1"/>
  <c r="H1005" i="1"/>
  <c r="H1006" i="1"/>
  <c r="H1007" i="1"/>
  <c r="H1008" i="1"/>
  <c r="H1009" i="1"/>
  <c r="H1010" i="1"/>
  <c r="H1011" i="1"/>
  <c r="H1012" i="1"/>
  <c r="H1013" i="1"/>
  <c r="H1014" i="1"/>
  <c r="H1015" i="1"/>
  <c r="H1016" i="1"/>
  <c r="H1017" i="1"/>
  <c r="H1018" i="1"/>
  <c r="H1019" i="1"/>
  <c r="H1020" i="1"/>
  <c r="H1021" i="1"/>
  <c r="H1022" i="1"/>
  <c r="H1023" i="1"/>
  <c r="H1024" i="1"/>
  <c r="H1025" i="1"/>
  <c r="H1026" i="1"/>
  <c r="H1027" i="1"/>
  <c r="H1028" i="1"/>
  <c r="H1029" i="1"/>
  <c r="H1030" i="1"/>
  <c r="H1031" i="1"/>
  <c r="H1032" i="1"/>
  <c r="H1033" i="1"/>
  <c r="H1034" i="1"/>
  <c r="H1035" i="1"/>
  <c r="H1036" i="1"/>
  <c r="H1037" i="1"/>
  <c r="H1038" i="1"/>
  <c r="H1039" i="1"/>
  <c r="H1040" i="1"/>
  <c r="H1041" i="1"/>
  <c r="H1042" i="1"/>
  <c r="H1043" i="1"/>
  <c r="H1044" i="1"/>
  <c r="H1045" i="1"/>
  <c r="H1046" i="1"/>
  <c r="H1047" i="1"/>
  <c r="H1048" i="1"/>
  <c r="H1049" i="1"/>
  <c r="H1050" i="1"/>
  <c r="H1051" i="1"/>
  <c r="H1052" i="1"/>
  <c r="H1053" i="1"/>
  <c r="H1054" i="1"/>
  <c r="H1055" i="1"/>
  <c r="H1056" i="1"/>
  <c r="H1057" i="1"/>
  <c r="H1058" i="1"/>
  <c r="H1059" i="1"/>
  <c r="H1060" i="1"/>
  <c r="H1061" i="1"/>
  <c r="H1062" i="1"/>
  <c r="H1063" i="1"/>
  <c r="H1064" i="1"/>
  <c r="H1065" i="1"/>
  <c r="H1066" i="1"/>
  <c r="H1067" i="1"/>
  <c r="H1068" i="1"/>
  <c r="H1069" i="1"/>
  <c r="H1070" i="1"/>
  <c r="H1071" i="1"/>
  <c r="H1072" i="1"/>
  <c r="H1073" i="1"/>
  <c r="H1074" i="1"/>
  <c r="H1075" i="1"/>
  <c r="H1076" i="1"/>
  <c r="H1077" i="1"/>
  <c r="H1078" i="1"/>
  <c r="H1079" i="1"/>
  <c r="H1080" i="1"/>
  <c r="H1086" i="1"/>
  <c r="H1087" i="1"/>
  <c r="H1088" i="1"/>
  <c r="H1089" i="1"/>
  <c r="H1090" i="1"/>
  <c r="H1091" i="1"/>
  <c r="H1092" i="1"/>
  <c r="H1093" i="1"/>
  <c r="H1094" i="1"/>
  <c r="H1095" i="1"/>
  <c r="H1096" i="1"/>
  <c r="H1097" i="1"/>
  <c r="H1098" i="1"/>
  <c r="H1099" i="1"/>
  <c r="H1100" i="1"/>
  <c r="H1101" i="1"/>
  <c r="H1102" i="1"/>
  <c r="H1103" i="1"/>
  <c r="H1104" i="1"/>
  <c r="H1105" i="1"/>
  <c r="H1106" i="1"/>
  <c r="H1107" i="1"/>
  <c r="H1108" i="1"/>
  <c r="H1109" i="1"/>
  <c r="H1110" i="1"/>
  <c r="H1111" i="1"/>
  <c r="H1112" i="1"/>
  <c r="H1113" i="1"/>
  <c r="H1114" i="1"/>
  <c r="H1115" i="1"/>
  <c r="H1116" i="1"/>
  <c r="H1117" i="1"/>
  <c r="H1118" i="1"/>
  <c r="H1119" i="1"/>
  <c r="H1120" i="1"/>
  <c r="H1121" i="1"/>
  <c r="H1122" i="1"/>
  <c r="H1123" i="1"/>
  <c r="H1124" i="1"/>
  <c r="H1125" i="1"/>
  <c r="H1126" i="1"/>
  <c r="H1127" i="1"/>
  <c r="H1128" i="1"/>
  <c r="H1129" i="1"/>
  <c r="H1130" i="1"/>
  <c r="H1131" i="1"/>
  <c r="H1132" i="1"/>
  <c r="H1133" i="1"/>
  <c r="H1134" i="1"/>
  <c r="H1135" i="1"/>
  <c r="H1136" i="1"/>
  <c r="H1137" i="1"/>
  <c r="H1138" i="1"/>
  <c r="H1139" i="1"/>
  <c r="H1140" i="1"/>
  <c r="H1141" i="1"/>
  <c r="H1142" i="1"/>
  <c r="H1143" i="1"/>
  <c r="H1144" i="1"/>
  <c r="H1145" i="1"/>
  <c r="H1146" i="1"/>
  <c r="H1147" i="1"/>
  <c r="H1148" i="1"/>
  <c r="H1149" i="1"/>
  <c r="H1150" i="1"/>
  <c r="H1151" i="1"/>
  <c r="H1152" i="1"/>
  <c r="H1153" i="1"/>
  <c r="H1154" i="1"/>
  <c r="H1155" i="1"/>
  <c r="H1156" i="1"/>
  <c r="H1157" i="1"/>
  <c r="H1158" i="1"/>
  <c r="H1159" i="1"/>
  <c r="H1160" i="1"/>
  <c r="H1161" i="1"/>
  <c r="H1162" i="1"/>
  <c r="H1163" i="1"/>
  <c r="H1164" i="1"/>
  <c r="H1165" i="1"/>
  <c r="H1166" i="1"/>
  <c r="H1167" i="1"/>
  <c r="H1168" i="1"/>
  <c r="H1169" i="1"/>
  <c r="H1170" i="1"/>
  <c r="H1171" i="1"/>
  <c r="H1172" i="1"/>
  <c r="H1173" i="1"/>
  <c r="H1174" i="1"/>
  <c r="H1175" i="1"/>
  <c r="H1176" i="1"/>
  <c r="H1177" i="1"/>
  <c r="H1178" i="1"/>
  <c r="H1179" i="1"/>
  <c r="H1180" i="1"/>
  <c r="H1181" i="1"/>
  <c r="H1182" i="1"/>
  <c r="H1183" i="1"/>
  <c r="H1184" i="1"/>
  <c r="H1185" i="1"/>
  <c r="H1186" i="1"/>
  <c r="H1187" i="1"/>
  <c r="H1188" i="1"/>
  <c r="H1189" i="1"/>
  <c r="H1190" i="1"/>
  <c r="H1191" i="1"/>
  <c r="H1192" i="1"/>
  <c r="H1194" i="1"/>
  <c r="H1195" i="1"/>
  <c r="H1196" i="1"/>
  <c r="H1197" i="1"/>
  <c r="H1198" i="1"/>
  <c r="H1199" i="1"/>
  <c r="H1200" i="1"/>
  <c r="H1201" i="1"/>
  <c r="H1202" i="1"/>
  <c r="H1203" i="1"/>
  <c r="H1204" i="1"/>
  <c r="H1205" i="1"/>
  <c r="H1206" i="1"/>
  <c r="H1207" i="1"/>
  <c r="H1208" i="1"/>
  <c r="H1209" i="1"/>
  <c r="H1210" i="1"/>
  <c r="H1211" i="1"/>
  <c r="H1212" i="1"/>
  <c r="H1213" i="1"/>
  <c r="H1214" i="1"/>
  <c r="H1215" i="1"/>
  <c r="H1216" i="1"/>
  <c r="H1217" i="1"/>
  <c r="H1218" i="1"/>
  <c r="H1219" i="1"/>
  <c r="H1220" i="1"/>
  <c r="H1221" i="1"/>
  <c r="H1222" i="1"/>
  <c r="H1223" i="1"/>
  <c r="H1224" i="1"/>
  <c r="H1225" i="1"/>
  <c r="H1226" i="1"/>
  <c r="H1227" i="1"/>
  <c r="H1228" i="1"/>
  <c r="H1229" i="1"/>
  <c r="H1230" i="1"/>
  <c r="H1231" i="1"/>
  <c r="H1232" i="1"/>
  <c r="H1233" i="1"/>
  <c r="H1234" i="1"/>
  <c r="H1235" i="1"/>
  <c r="H1236" i="1"/>
  <c r="H1237" i="1"/>
  <c r="H1238" i="1"/>
  <c r="H1239" i="1"/>
  <c r="H1240" i="1"/>
  <c r="H1241" i="1"/>
  <c r="H1242" i="1"/>
  <c r="H1243" i="1"/>
  <c r="H1244" i="1"/>
  <c r="H1249" i="1"/>
  <c r="H1250" i="1"/>
  <c r="H1251" i="1"/>
  <c r="H1287" i="1"/>
  <c r="H1288" i="1"/>
  <c r="H1289" i="1"/>
  <c r="H1246" i="1"/>
  <c r="H1247" i="1"/>
  <c r="H1248" i="1"/>
  <c r="H1284" i="1"/>
  <c r="H1285" i="1"/>
  <c r="H1286" i="1"/>
  <c r="H1475" i="1"/>
  <c r="H1476" i="1"/>
  <c r="H1477" i="1"/>
  <c r="H1472" i="1"/>
  <c r="H1473" i="1"/>
  <c r="H1474" i="1"/>
  <c r="H1290" i="1"/>
  <c r="H1291" i="1"/>
  <c r="H1292" i="1"/>
  <c r="H1263" i="1"/>
  <c r="H1264" i="1"/>
  <c r="H1265" i="1"/>
  <c r="H1260" i="1"/>
  <c r="H1261" i="1"/>
  <c r="H1262" i="1"/>
  <c r="H1257" i="1"/>
  <c r="H1258" i="1"/>
  <c r="H1259" i="1"/>
  <c r="H1281" i="1"/>
  <c r="H1282" i="1"/>
  <c r="H1283" i="1"/>
  <c r="H1278" i="1"/>
  <c r="H1279" i="1"/>
  <c r="H1280" i="1"/>
  <c r="H1269" i="1"/>
  <c r="H1270" i="1"/>
  <c r="H1271" i="1"/>
  <c r="H1272" i="1"/>
  <c r="H1273" i="1"/>
  <c r="H1274" i="1"/>
  <c r="H1275" i="1"/>
  <c r="H1276" i="1"/>
  <c r="H1277" i="1"/>
  <c r="H1266" i="1"/>
  <c r="H1267" i="1"/>
  <c r="H1268" i="1"/>
  <c r="H1293" i="1"/>
  <c r="H1294" i="1"/>
  <c r="H1295" i="1"/>
  <c r="H1296" i="1"/>
  <c r="H1297" i="1"/>
  <c r="H1298" i="1"/>
  <c r="H1299" i="1"/>
  <c r="H1300" i="1"/>
  <c r="H1301" i="1"/>
  <c r="H1302" i="1"/>
  <c r="H1303" i="1"/>
  <c r="H1304" i="1"/>
  <c r="H1305" i="1"/>
  <c r="H1306" i="1"/>
  <c r="H1307" i="1"/>
  <c r="H1324" i="1"/>
  <c r="H1325" i="1"/>
  <c r="H1326" i="1"/>
  <c r="H1327" i="1"/>
  <c r="H1328" i="1"/>
  <c r="H1329" i="1"/>
  <c r="H1330" i="1"/>
  <c r="H1331" i="1"/>
  <c r="H1332" i="1"/>
  <c r="H1333" i="1"/>
  <c r="H1334" i="1"/>
  <c r="H1335" i="1"/>
  <c r="H1336" i="1"/>
  <c r="H1337" i="1"/>
  <c r="H1338" i="1"/>
  <c r="H1339" i="1"/>
  <c r="H1340" i="1"/>
  <c r="H1341" i="1"/>
  <c r="H1342" i="1"/>
  <c r="H1343" i="1"/>
  <c r="H1344" i="1"/>
  <c r="H1345" i="1"/>
  <c r="H1346" i="1"/>
  <c r="H1347" i="1"/>
  <c r="H1348" i="1"/>
  <c r="H1349" i="1"/>
  <c r="H1350" i="1"/>
  <c r="H1351" i="1"/>
  <c r="H1352" i="1"/>
  <c r="H1353" i="1"/>
  <c r="H1354" i="1"/>
  <c r="H1355" i="1"/>
  <c r="H1356" i="1"/>
  <c r="H1357" i="1"/>
  <c r="H1358" i="1"/>
  <c r="H1359" i="1"/>
  <c r="H1360" i="1"/>
  <c r="H1361" i="1"/>
  <c r="H1362" i="1"/>
  <c r="H1378" i="1"/>
  <c r="H1379" i="1"/>
  <c r="H1380" i="1"/>
  <c r="H1381" i="1"/>
  <c r="H1382" i="1"/>
  <c r="H1383" i="1"/>
  <c r="H1384" i="1"/>
  <c r="H1385" i="1"/>
  <c r="H1386" i="1"/>
  <c r="H1387" i="1"/>
  <c r="H1388" i="1"/>
  <c r="H1389" i="1"/>
  <c r="H1390" i="1"/>
  <c r="H1391" i="1"/>
  <c r="H1392" i="1"/>
  <c r="H1393" i="1"/>
  <c r="H1394" i="1"/>
  <c r="H1395" i="1"/>
  <c r="H1396" i="1"/>
  <c r="H1397" i="1"/>
  <c r="H1398" i="1"/>
  <c r="H1399" i="1"/>
  <c r="H1400" i="1"/>
  <c r="H1401" i="1"/>
  <c r="H1402" i="1"/>
  <c r="H1403" i="1"/>
  <c r="H1404" i="1"/>
  <c r="C24" i="3"/>
  <c r="C19" i="3"/>
  <c r="C16" i="3"/>
  <c r="O1404" i="1"/>
  <c r="W1404" i="1" s="1"/>
  <c r="O1403" i="1"/>
  <c r="W1403" i="1" s="1"/>
  <c r="O1402" i="1"/>
  <c r="W1402" i="1" s="1"/>
  <c r="O1401" i="1"/>
  <c r="W1401" i="1" s="1"/>
  <c r="O1400" i="1"/>
  <c r="W1400" i="1" s="1"/>
  <c r="O1399" i="1"/>
  <c r="W1399" i="1" s="1"/>
  <c r="O1398" i="1"/>
  <c r="W1398" i="1" s="1"/>
  <c r="O1397" i="1"/>
  <c r="W1397" i="1" s="1"/>
  <c r="O1396" i="1"/>
  <c r="W1396" i="1" s="1"/>
  <c r="O1395" i="1"/>
  <c r="W1395" i="1" s="1"/>
  <c r="O1394" i="1"/>
  <c r="W1394" i="1" s="1"/>
  <c r="O1393" i="1"/>
  <c r="W1393" i="1" s="1"/>
  <c r="O1392" i="1"/>
  <c r="W1392" i="1" s="1"/>
  <c r="O1391" i="1"/>
  <c r="W1391" i="1" s="1"/>
  <c r="O1390" i="1"/>
  <c r="W1390" i="1" s="1"/>
  <c r="O1389" i="1"/>
  <c r="W1389" i="1" s="1"/>
  <c r="O1388" i="1"/>
  <c r="W1388" i="1" s="1"/>
  <c r="O1387" i="1"/>
  <c r="W1387" i="1" s="1"/>
  <c r="O1386" i="1"/>
  <c r="W1386" i="1" s="1"/>
  <c r="O1385" i="1"/>
  <c r="W1385" i="1" s="1"/>
  <c r="O1384" i="1"/>
  <c r="W1384" i="1" s="1"/>
  <c r="O1383" i="1"/>
  <c r="W1383" i="1" s="1"/>
  <c r="O1382" i="1"/>
  <c r="W1382" i="1" s="1"/>
  <c r="O1381" i="1"/>
  <c r="W1381" i="1" s="1"/>
  <c r="O1380" i="1"/>
  <c r="W1380" i="1" s="1"/>
  <c r="O1379" i="1"/>
  <c r="W1379" i="1" s="1"/>
  <c r="O1378" i="1"/>
  <c r="W1378" i="1" s="1"/>
  <c r="O1362" i="1"/>
  <c r="W1362" i="1" s="1"/>
  <c r="O1361" i="1"/>
  <c r="W1361" i="1" s="1"/>
  <c r="O1360" i="1"/>
  <c r="W1360" i="1" s="1"/>
  <c r="O1359" i="1"/>
  <c r="W1359" i="1" s="1"/>
  <c r="O1358" i="1"/>
  <c r="W1358" i="1" s="1"/>
  <c r="O1357" i="1"/>
  <c r="W1357" i="1" s="1"/>
  <c r="O1356" i="1"/>
  <c r="W1356" i="1" s="1"/>
  <c r="O1355" i="1"/>
  <c r="W1355" i="1" s="1"/>
  <c r="O1354" i="1"/>
  <c r="W1354" i="1" s="1"/>
  <c r="O1353" i="1"/>
  <c r="W1353" i="1" s="1"/>
  <c r="O1352" i="1"/>
  <c r="W1352" i="1" s="1"/>
  <c r="O1351" i="1"/>
  <c r="W1351" i="1" s="1"/>
  <c r="O1350" i="1"/>
  <c r="W1350" i="1" s="1"/>
  <c r="O1349" i="1"/>
  <c r="W1349" i="1" s="1"/>
  <c r="O1348" i="1"/>
  <c r="W1348" i="1" s="1"/>
  <c r="O1347" i="1"/>
  <c r="W1347" i="1" s="1"/>
  <c r="O1346" i="1"/>
  <c r="W1346" i="1" s="1"/>
  <c r="O1345" i="1"/>
  <c r="W1345" i="1" s="1"/>
  <c r="O1344" i="1"/>
  <c r="W1344" i="1" s="1"/>
  <c r="O1343" i="1"/>
  <c r="W1343" i="1" s="1"/>
  <c r="O1342" i="1"/>
  <c r="W1342" i="1" s="1"/>
  <c r="O1341" i="1"/>
  <c r="W1341" i="1" s="1"/>
  <c r="O1340" i="1"/>
  <c r="W1340" i="1" s="1"/>
  <c r="O1339" i="1"/>
  <c r="W1339" i="1" s="1"/>
  <c r="O1338" i="1"/>
  <c r="W1338" i="1" s="1"/>
  <c r="O1337" i="1"/>
  <c r="W1337" i="1" s="1"/>
  <c r="O1336" i="1"/>
  <c r="W1336" i="1" s="1"/>
  <c r="O1335" i="1"/>
  <c r="W1335" i="1" s="1"/>
  <c r="O1334" i="1"/>
  <c r="W1334" i="1" s="1"/>
  <c r="O1333" i="1"/>
  <c r="W1333" i="1" s="1"/>
  <c r="O1332" i="1"/>
  <c r="W1332" i="1" s="1"/>
  <c r="O1331" i="1"/>
  <c r="W1331" i="1" s="1"/>
  <c r="O1330" i="1"/>
  <c r="W1330" i="1" s="1"/>
  <c r="O1329" i="1"/>
  <c r="W1329" i="1" s="1"/>
  <c r="O1328" i="1"/>
  <c r="W1328" i="1" s="1"/>
  <c r="O1327" i="1"/>
  <c r="W1327" i="1" s="1"/>
  <c r="O1326" i="1"/>
  <c r="W1326" i="1" s="1"/>
  <c r="O1325" i="1"/>
  <c r="W1325" i="1" s="1"/>
  <c r="O1324" i="1"/>
  <c r="W1324" i="1" s="1"/>
  <c r="O1307" i="1"/>
  <c r="W1307" i="1" s="1"/>
  <c r="O1306" i="1"/>
  <c r="W1306" i="1" s="1"/>
  <c r="O1305" i="1"/>
  <c r="W1305" i="1" s="1"/>
  <c r="O1304" i="1"/>
  <c r="W1304" i="1" s="1"/>
  <c r="O1303" i="1"/>
  <c r="W1303" i="1" s="1"/>
  <c r="O1302" i="1"/>
  <c r="W1302" i="1" s="1"/>
  <c r="O1301" i="1"/>
  <c r="W1301" i="1" s="1"/>
  <c r="O1300" i="1"/>
  <c r="W1300" i="1" s="1"/>
  <c r="O1299" i="1"/>
  <c r="W1299" i="1" s="1"/>
  <c r="O1298" i="1"/>
  <c r="W1298" i="1" s="1"/>
  <c r="O1297" i="1"/>
  <c r="W1297" i="1" s="1"/>
  <c r="O1296" i="1"/>
  <c r="W1296" i="1" s="1"/>
  <c r="O1295" i="1"/>
  <c r="W1295" i="1" s="1"/>
  <c r="O1294" i="1"/>
  <c r="W1294" i="1" s="1"/>
  <c r="O1293" i="1"/>
  <c r="W1293" i="1" s="1"/>
  <c r="O1268" i="1"/>
  <c r="W1268" i="1" s="1"/>
  <c r="O1267" i="1"/>
  <c r="W1267" i="1" s="1"/>
  <c r="O1266" i="1"/>
  <c r="O1277" i="1"/>
  <c r="W1277" i="1" s="1"/>
  <c r="O1276" i="1"/>
  <c r="W1276" i="1" s="1"/>
  <c r="O1275" i="1"/>
  <c r="O1274" i="1"/>
  <c r="W1274" i="1" s="1"/>
  <c r="O1273" i="1"/>
  <c r="W1273" i="1" s="1"/>
  <c r="O1272" i="1"/>
  <c r="O1271" i="1"/>
  <c r="W1271" i="1" s="1"/>
  <c r="O1270" i="1"/>
  <c r="W1270" i="1" s="1"/>
  <c r="O1269" i="1"/>
  <c r="O1280" i="1"/>
  <c r="W1280" i="1" s="1"/>
  <c r="O1279" i="1"/>
  <c r="W1279" i="1" s="1"/>
  <c r="O1278" i="1"/>
  <c r="W1278" i="1" s="1"/>
  <c r="O1283" i="1"/>
  <c r="W1283" i="1" s="1"/>
  <c r="O1282" i="1"/>
  <c r="W1282" i="1" s="1"/>
  <c r="O1281" i="1"/>
  <c r="W1281" i="1" s="1"/>
  <c r="O1259" i="1"/>
  <c r="W1259" i="1" s="1"/>
  <c r="O1258" i="1"/>
  <c r="W1258" i="1" s="1"/>
  <c r="O1257" i="1"/>
  <c r="W1257" i="1" s="1"/>
  <c r="O1262" i="1"/>
  <c r="W1262" i="1" s="1"/>
  <c r="O1261" i="1"/>
  <c r="W1261" i="1" s="1"/>
  <c r="O1260" i="1"/>
  <c r="W1260" i="1" s="1"/>
  <c r="O1265" i="1"/>
  <c r="W1265" i="1" s="1"/>
  <c r="O1264" i="1"/>
  <c r="W1264" i="1" s="1"/>
  <c r="O1263" i="1"/>
  <c r="W1263" i="1" s="1"/>
  <c r="O1292" i="1"/>
  <c r="W1292" i="1" s="1"/>
  <c r="O1291" i="1"/>
  <c r="W1291" i="1" s="1"/>
  <c r="O1290" i="1"/>
  <c r="W1290" i="1" s="1"/>
  <c r="O1474" i="1"/>
  <c r="W1474" i="1" s="1"/>
  <c r="O1473" i="1"/>
  <c r="W1473" i="1" s="1"/>
  <c r="O1472" i="1"/>
  <c r="W1472" i="1" s="1"/>
  <c r="O1477" i="1"/>
  <c r="W1477" i="1" s="1"/>
  <c r="O1476" i="1"/>
  <c r="W1476" i="1" s="1"/>
  <c r="O1475" i="1"/>
  <c r="W1475" i="1" s="1"/>
  <c r="O1286" i="1"/>
  <c r="W1286" i="1" s="1"/>
  <c r="O1285" i="1"/>
  <c r="W1285" i="1" s="1"/>
  <c r="O1284" i="1"/>
  <c r="W1284" i="1" s="1"/>
  <c r="O1248" i="1"/>
  <c r="W1248" i="1" s="1"/>
  <c r="O1247" i="1"/>
  <c r="W1247" i="1" s="1"/>
  <c r="O1246" i="1"/>
  <c r="W1246" i="1" s="1"/>
  <c r="O1289" i="1"/>
  <c r="W1289" i="1" s="1"/>
  <c r="O1288" i="1"/>
  <c r="W1288" i="1" s="1"/>
  <c r="O1287" i="1"/>
  <c r="W1287" i="1" s="1"/>
  <c r="O1251" i="1"/>
  <c r="W1251" i="1" s="1"/>
  <c r="O1250" i="1"/>
  <c r="W1250" i="1" s="1"/>
  <c r="O1249" i="1"/>
  <c r="W1249" i="1" s="1"/>
  <c r="O1244" i="1"/>
  <c r="W1244" i="1" s="1"/>
  <c r="O1243" i="1"/>
  <c r="W1243" i="1" s="1"/>
  <c r="O1242" i="1"/>
  <c r="W1242" i="1" s="1"/>
  <c r="O1241" i="1"/>
  <c r="W1241" i="1" s="1"/>
  <c r="O1240" i="1"/>
  <c r="W1240" i="1" s="1"/>
  <c r="O1239" i="1"/>
  <c r="W1239" i="1" s="1"/>
  <c r="O1238" i="1"/>
  <c r="W1238" i="1" s="1"/>
  <c r="O1237" i="1"/>
  <c r="W1237" i="1" s="1"/>
  <c r="O1236" i="1"/>
  <c r="W1236" i="1" s="1"/>
  <c r="O1235" i="1"/>
  <c r="W1235" i="1" s="1"/>
  <c r="O1234" i="1"/>
  <c r="W1234" i="1" s="1"/>
  <c r="O1233" i="1"/>
  <c r="W1233" i="1" s="1"/>
  <c r="O1232" i="1"/>
  <c r="W1232" i="1" s="1"/>
  <c r="O1231" i="1"/>
  <c r="W1231" i="1" s="1"/>
  <c r="O1230" i="1"/>
  <c r="W1230" i="1" s="1"/>
  <c r="O1229" i="1"/>
  <c r="W1229" i="1" s="1"/>
  <c r="O1228" i="1"/>
  <c r="W1228" i="1" s="1"/>
  <c r="O1227" i="1"/>
  <c r="W1227" i="1" s="1"/>
  <c r="O1226" i="1"/>
  <c r="W1226" i="1" s="1"/>
  <c r="O1225" i="1"/>
  <c r="W1225" i="1" s="1"/>
  <c r="O1224" i="1"/>
  <c r="W1224" i="1" s="1"/>
  <c r="O1223" i="1"/>
  <c r="W1223" i="1" s="1"/>
  <c r="O1222" i="1"/>
  <c r="W1222" i="1" s="1"/>
  <c r="O1221" i="1"/>
  <c r="W1221" i="1" s="1"/>
  <c r="O1220" i="1"/>
  <c r="W1220" i="1" s="1"/>
  <c r="O1219" i="1"/>
  <c r="W1219" i="1" s="1"/>
  <c r="O1218" i="1"/>
  <c r="W1218" i="1" s="1"/>
  <c r="O1217" i="1"/>
  <c r="W1217" i="1" s="1"/>
  <c r="O1216" i="1"/>
  <c r="W1216" i="1" s="1"/>
  <c r="O1215" i="1"/>
  <c r="W1215" i="1" s="1"/>
  <c r="O1214" i="1"/>
  <c r="W1214" i="1" s="1"/>
  <c r="O1213" i="1"/>
  <c r="W1213" i="1" s="1"/>
  <c r="O1212" i="1"/>
  <c r="W1212" i="1" s="1"/>
  <c r="O1211" i="1"/>
  <c r="W1211" i="1" s="1"/>
  <c r="O1210" i="1"/>
  <c r="W1210" i="1" s="1"/>
  <c r="O1209" i="1"/>
  <c r="W1209" i="1" s="1"/>
  <c r="O1208" i="1"/>
  <c r="W1208" i="1" s="1"/>
  <c r="O1207" i="1"/>
  <c r="W1207" i="1" s="1"/>
  <c r="O1206" i="1"/>
  <c r="W1206" i="1" s="1"/>
  <c r="O1205" i="1"/>
  <c r="W1205" i="1" s="1"/>
  <c r="O1204" i="1"/>
  <c r="W1204" i="1" s="1"/>
  <c r="O1203" i="1"/>
  <c r="W1203" i="1" s="1"/>
  <c r="O1202" i="1"/>
  <c r="W1202" i="1" s="1"/>
  <c r="O1201" i="1"/>
  <c r="W1201" i="1" s="1"/>
  <c r="O1200" i="1"/>
  <c r="W1200" i="1" s="1"/>
  <c r="O1199" i="1"/>
  <c r="W1199" i="1" s="1"/>
  <c r="O1198" i="1"/>
  <c r="W1198" i="1" s="1"/>
  <c r="O1197" i="1"/>
  <c r="W1197" i="1" s="1"/>
  <c r="O1196" i="1"/>
  <c r="W1196" i="1" s="1"/>
  <c r="O1195" i="1"/>
  <c r="W1195" i="1" s="1"/>
  <c r="O1194" i="1"/>
  <c r="W1194" i="1" s="1"/>
  <c r="O1193" i="1"/>
  <c r="W1193" i="1" s="1"/>
  <c r="O1192" i="1"/>
  <c r="W1192" i="1" s="1"/>
  <c r="O1191" i="1"/>
  <c r="W1191" i="1" s="1"/>
  <c r="O1190" i="1"/>
  <c r="W1190" i="1" s="1"/>
  <c r="O1189" i="1"/>
  <c r="W1189" i="1" s="1"/>
  <c r="O1188" i="1"/>
  <c r="W1188" i="1" s="1"/>
  <c r="O1187" i="1"/>
  <c r="W1187" i="1" s="1"/>
  <c r="O1186" i="1"/>
  <c r="W1186" i="1" s="1"/>
  <c r="O1185" i="1"/>
  <c r="W1185" i="1" s="1"/>
  <c r="O1184" i="1"/>
  <c r="W1184" i="1" s="1"/>
  <c r="O1183" i="1"/>
  <c r="W1183" i="1" s="1"/>
  <c r="O1182" i="1"/>
  <c r="W1182" i="1" s="1"/>
  <c r="O1181" i="1"/>
  <c r="W1181" i="1" s="1"/>
  <c r="O1180" i="1"/>
  <c r="W1180" i="1" s="1"/>
  <c r="O1179" i="1"/>
  <c r="W1179" i="1" s="1"/>
  <c r="O1178" i="1"/>
  <c r="W1178" i="1" s="1"/>
  <c r="O1177" i="1"/>
  <c r="W1177" i="1" s="1"/>
  <c r="O1176" i="1"/>
  <c r="W1176" i="1" s="1"/>
  <c r="O1175" i="1"/>
  <c r="W1175" i="1" s="1"/>
  <c r="O1174" i="1"/>
  <c r="W1174" i="1" s="1"/>
  <c r="O1173" i="1"/>
  <c r="W1173" i="1" s="1"/>
  <c r="O1172" i="1"/>
  <c r="W1172" i="1" s="1"/>
  <c r="O1171" i="1"/>
  <c r="W1171" i="1" s="1"/>
  <c r="O1170" i="1"/>
  <c r="W1170" i="1" s="1"/>
  <c r="O1169" i="1"/>
  <c r="W1169" i="1" s="1"/>
  <c r="O1168" i="1"/>
  <c r="W1168" i="1" s="1"/>
  <c r="O1167" i="1"/>
  <c r="W1167" i="1" s="1"/>
  <c r="O1166" i="1"/>
  <c r="W1166" i="1" s="1"/>
  <c r="O1165" i="1"/>
  <c r="W1165" i="1" s="1"/>
  <c r="O1164" i="1"/>
  <c r="W1164" i="1" s="1"/>
  <c r="O1163" i="1"/>
  <c r="W1163" i="1" s="1"/>
  <c r="O1162" i="1"/>
  <c r="W1162" i="1" s="1"/>
  <c r="O1161" i="1"/>
  <c r="W1161" i="1" s="1"/>
  <c r="O1160" i="1"/>
  <c r="W1160" i="1" s="1"/>
  <c r="O1159" i="1"/>
  <c r="W1159" i="1" s="1"/>
  <c r="O1158" i="1"/>
  <c r="W1158" i="1" s="1"/>
  <c r="O1157" i="1"/>
  <c r="W1157" i="1" s="1"/>
  <c r="O1156" i="1"/>
  <c r="W1156" i="1" s="1"/>
  <c r="O1155" i="1"/>
  <c r="W1155" i="1" s="1"/>
  <c r="O1154" i="1"/>
  <c r="W1154" i="1" s="1"/>
  <c r="O1153" i="1"/>
  <c r="W1153" i="1" s="1"/>
  <c r="O1152" i="1"/>
  <c r="W1152" i="1" s="1"/>
  <c r="O1151" i="1"/>
  <c r="W1151" i="1" s="1"/>
  <c r="O1150" i="1"/>
  <c r="W1150" i="1" s="1"/>
  <c r="O1149" i="1"/>
  <c r="W1149" i="1" s="1"/>
  <c r="O1148" i="1"/>
  <c r="W1148" i="1" s="1"/>
  <c r="O1147" i="1"/>
  <c r="W1147" i="1" s="1"/>
  <c r="O1146" i="1"/>
  <c r="W1146" i="1" s="1"/>
  <c r="O1145" i="1"/>
  <c r="W1145" i="1" s="1"/>
  <c r="O1144" i="1"/>
  <c r="W1144" i="1" s="1"/>
  <c r="O1143" i="1"/>
  <c r="W1143" i="1" s="1"/>
  <c r="K439" i="20" s="1"/>
  <c r="L439" i="20" s="1"/>
  <c r="O1142" i="1"/>
  <c r="W1142" i="1" s="1"/>
  <c r="K438" i="20" s="1"/>
  <c r="L438" i="20" s="1"/>
  <c r="O1141" i="1"/>
  <c r="W1141" i="1" s="1"/>
  <c r="K437" i="20" s="1"/>
  <c r="L437" i="20" s="1"/>
  <c r="O1140" i="1"/>
  <c r="W1140" i="1" s="1"/>
  <c r="K436" i="20" s="1"/>
  <c r="L436" i="20" s="1"/>
  <c r="O1139" i="1"/>
  <c r="W1139" i="1" s="1"/>
  <c r="K435" i="20" s="1"/>
  <c r="L435" i="20" s="1"/>
  <c r="O1138" i="1"/>
  <c r="W1138" i="1" s="1"/>
  <c r="K434" i="20" s="1"/>
  <c r="L434" i="20" s="1"/>
  <c r="O1137" i="1"/>
  <c r="W1137" i="1" s="1"/>
  <c r="K433" i="20" s="1"/>
  <c r="L433" i="20" s="1"/>
  <c r="O1136" i="1"/>
  <c r="W1136" i="1" s="1"/>
  <c r="K432" i="20" s="1"/>
  <c r="L432" i="20" s="1"/>
  <c r="O1135" i="1"/>
  <c r="W1135" i="1" s="1"/>
  <c r="K431" i="20" s="1"/>
  <c r="L431" i="20" s="1"/>
  <c r="O1134" i="1"/>
  <c r="W1134" i="1" s="1"/>
  <c r="K430" i="20" s="1"/>
  <c r="L430" i="20" s="1"/>
  <c r="O1133" i="1"/>
  <c r="W1133" i="1" s="1"/>
  <c r="K429" i="20" s="1"/>
  <c r="L429" i="20" s="1"/>
  <c r="O1132" i="1"/>
  <c r="W1132" i="1" s="1"/>
  <c r="K428" i="20" s="1"/>
  <c r="L428" i="20" s="1"/>
  <c r="O1131" i="1"/>
  <c r="W1131" i="1" s="1"/>
  <c r="K427" i="20" s="1"/>
  <c r="L427" i="20" s="1"/>
  <c r="O1130" i="1"/>
  <c r="W1130" i="1" s="1"/>
  <c r="K426" i="20" s="1"/>
  <c r="L426" i="20" s="1"/>
  <c r="O1129" i="1"/>
  <c r="W1129" i="1" s="1"/>
  <c r="K425" i="20" s="1"/>
  <c r="L425" i="20" s="1"/>
  <c r="O1128" i="1"/>
  <c r="W1128" i="1" s="1"/>
  <c r="K424" i="20" s="1"/>
  <c r="L424" i="20" s="1"/>
  <c r="O1127" i="1"/>
  <c r="W1127" i="1" s="1"/>
  <c r="O1126" i="1"/>
  <c r="W1126" i="1" s="1"/>
  <c r="O1125" i="1"/>
  <c r="W1125" i="1" s="1"/>
  <c r="O1124" i="1"/>
  <c r="W1124" i="1" s="1"/>
  <c r="O1123" i="1"/>
  <c r="W1123" i="1" s="1"/>
  <c r="O1122" i="1"/>
  <c r="W1122" i="1" s="1"/>
  <c r="O1121" i="1"/>
  <c r="W1121" i="1" s="1"/>
  <c r="K413" i="20" s="1"/>
  <c r="L413" i="20" s="1"/>
  <c r="O1120" i="1"/>
  <c r="W1120" i="1" s="1"/>
  <c r="K412" i="20" s="1"/>
  <c r="L412" i="20" s="1"/>
  <c r="O1119" i="1"/>
  <c r="W1119" i="1" s="1"/>
  <c r="O1118" i="1"/>
  <c r="W1118" i="1" s="1"/>
  <c r="O1117" i="1"/>
  <c r="W1117" i="1" s="1"/>
  <c r="K410" i="20" s="1"/>
  <c r="L410" i="20" s="1"/>
  <c r="O1116" i="1"/>
  <c r="W1116" i="1" s="1"/>
  <c r="K409" i="20" s="1"/>
  <c r="L409" i="20" s="1"/>
  <c r="O1115" i="1"/>
  <c r="W1115" i="1" s="1"/>
  <c r="K408" i="20" s="1"/>
  <c r="L408" i="20" s="1"/>
  <c r="O1114" i="1"/>
  <c r="W1114" i="1" s="1"/>
  <c r="K407" i="20" s="1"/>
  <c r="L407" i="20" s="1"/>
  <c r="O1113" i="1"/>
  <c r="W1113" i="1" s="1"/>
  <c r="O1112" i="1"/>
  <c r="W1112" i="1" s="1"/>
  <c r="O1111" i="1"/>
  <c r="W1111" i="1" s="1"/>
  <c r="K405" i="20" s="1"/>
  <c r="L405" i="20" s="1"/>
  <c r="O1110" i="1"/>
  <c r="W1110" i="1" s="1"/>
  <c r="K404" i="20" s="1"/>
  <c r="L404" i="20" s="1"/>
  <c r="O1109" i="1"/>
  <c r="W1109" i="1" s="1"/>
  <c r="K403" i="20" s="1"/>
  <c r="L403" i="20" s="1"/>
  <c r="O1108" i="1"/>
  <c r="W1108" i="1" s="1"/>
  <c r="K402" i="20" s="1"/>
  <c r="L402" i="20" s="1"/>
  <c r="O1107" i="1"/>
  <c r="W1107" i="1" s="1"/>
  <c r="K401" i="20" s="1"/>
  <c r="L401" i="20" s="1"/>
  <c r="O1106" i="1"/>
  <c r="W1106" i="1" s="1"/>
  <c r="K400" i="20" s="1"/>
  <c r="L400" i="20" s="1"/>
  <c r="O1105" i="1"/>
  <c r="W1105" i="1" s="1"/>
  <c r="K399" i="20" s="1"/>
  <c r="L399" i="20" s="1"/>
  <c r="O1104" i="1"/>
  <c r="W1104" i="1" s="1"/>
  <c r="K398" i="20" s="1"/>
  <c r="L398" i="20" s="1"/>
  <c r="O1103" i="1"/>
  <c r="W1103" i="1" s="1"/>
  <c r="K397" i="20" s="1"/>
  <c r="L397" i="20" s="1"/>
  <c r="O1102" i="1"/>
  <c r="W1102" i="1" s="1"/>
  <c r="K396" i="20" s="1"/>
  <c r="L396" i="20" s="1"/>
  <c r="O1101" i="1"/>
  <c r="W1101" i="1" s="1"/>
  <c r="K395" i="20" s="1"/>
  <c r="L395" i="20" s="1"/>
  <c r="O1100" i="1"/>
  <c r="W1100" i="1" s="1"/>
  <c r="K394" i="20" s="1"/>
  <c r="L394" i="20" s="1"/>
  <c r="O1099" i="1"/>
  <c r="W1099" i="1" s="1"/>
  <c r="O1098" i="1"/>
  <c r="W1098" i="1" s="1"/>
  <c r="O1097" i="1"/>
  <c r="W1097" i="1" s="1"/>
  <c r="O1096" i="1"/>
  <c r="W1096" i="1" s="1"/>
  <c r="O1095" i="1"/>
  <c r="W1095" i="1" s="1"/>
  <c r="O1094" i="1"/>
  <c r="W1094" i="1" s="1"/>
  <c r="O1093" i="1"/>
  <c r="W1093" i="1" s="1"/>
  <c r="O1092" i="1"/>
  <c r="W1092" i="1" s="1"/>
  <c r="O1091" i="1"/>
  <c r="W1091" i="1" s="1"/>
  <c r="O1090" i="1"/>
  <c r="W1090" i="1" s="1"/>
  <c r="O1089" i="1"/>
  <c r="W1089" i="1" s="1"/>
  <c r="K388" i="20" s="1"/>
  <c r="L388" i="20" s="1"/>
  <c r="O1088" i="1"/>
  <c r="W1088" i="1" s="1"/>
  <c r="O1087" i="1"/>
  <c r="W1087" i="1" s="1"/>
  <c r="O1086" i="1"/>
  <c r="W1086" i="1" s="1"/>
  <c r="K386" i="20" s="1"/>
  <c r="L386" i="20" s="1"/>
  <c r="O1080" i="1"/>
  <c r="W1080" i="1" s="1"/>
  <c r="O1079" i="1"/>
  <c r="W1079" i="1" s="1"/>
  <c r="O1078" i="1"/>
  <c r="W1078" i="1" s="1"/>
  <c r="O1077" i="1"/>
  <c r="W1077" i="1" s="1"/>
  <c r="O1076" i="1"/>
  <c r="W1076" i="1" s="1"/>
  <c r="O1075" i="1"/>
  <c r="W1075" i="1" s="1"/>
  <c r="O1074" i="1"/>
  <c r="W1074" i="1" s="1"/>
  <c r="K377" i="20" s="1"/>
  <c r="L377" i="20" s="1"/>
  <c r="O1073" i="1"/>
  <c r="W1073" i="1" s="1"/>
  <c r="O1072" i="1"/>
  <c r="W1072" i="1" s="1"/>
  <c r="O1071" i="1"/>
  <c r="W1071" i="1" s="1"/>
  <c r="K375" i="20" s="1"/>
  <c r="L375" i="20" s="1"/>
  <c r="O1070" i="1"/>
  <c r="W1070" i="1" s="1"/>
  <c r="O1069" i="1"/>
  <c r="W1069" i="1" s="1"/>
  <c r="O1068" i="1"/>
  <c r="W1068" i="1" s="1"/>
  <c r="O1067" i="1"/>
  <c r="W1067" i="1" s="1"/>
  <c r="O1066" i="1"/>
  <c r="W1066" i="1" s="1"/>
  <c r="O1065" i="1"/>
  <c r="W1065" i="1" s="1"/>
  <c r="O1064" i="1"/>
  <c r="W1064" i="1" s="1"/>
  <c r="O1063" i="1"/>
  <c r="W1063" i="1" s="1"/>
  <c r="O1062" i="1"/>
  <c r="W1062" i="1" s="1"/>
  <c r="O1061" i="1"/>
  <c r="W1061" i="1" s="1"/>
  <c r="O1060" i="1"/>
  <c r="W1060" i="1" s="1"/>
  <c r="O1059" i="1"/>
  <c r="W1059" i="1" s="1"/>
  <c r="O1058" i="1"/>
  <c r="W1058" i="1" s="1"/>
  <c r="O1057" i="1"/>
  <c r="W1057" i="1" s="1"/>
  <c r="O1056" i="1"/>
  <c r="W1056" i="1" s="1"/>
  <c r="O1055" i="1"/>
  <c r="W1055" i="1" s="1"/>
  <c r="O1054" i="1"/>
  <c r="W1054" i="1" s="1"/>
  <c r="O1053" i="1"/>
  <c r="W1053" i="1" s="1"/>
  <c r="O1052" i="1"/>
  <c r="W1052" i="1" s="1"/>
  <c r="O1051" i="1"/>
  <c r="W1051" i="1" s="1"/>
  <c r="O1050" i="1"/>
  <c r="W1050" i="1" s="1"/>
  <c r="O1049" i="1"/>
  <c r="W1049" i="1" s="1"/>
  <c r="O1048" i="1"/>
  <c r="W1048" i="1" s="1"/>
  <c r="O1047" i="1"/>
  <c r="W1047" i="1" s="1"/>
  <c r="O1046" i="1"/>
  <c r="W1046" i="1" s="1"/>
  <c r="O1045" i="1"/>
  <c r="W1045" i="1" s="1"/>
  <c r="O1044" i="1"/>
  <c r="W1044" i="1" s="1"/>
  <c r="O1043" i="1"/>
  <c r="W1043" i="1" s="1"/>
  <c r="O1042" i="1"/>
  <c r="W1042" i="1" s="1"/>
  <c r="O1041" i="1"/>
  <c r="W1041" i="1" s="1"/>
  <c r="O1040" i="1"/>
  <c r="W1040" i="1" s="1"/>
  <c r="O1039" i="1"/>
  <c r="W1039" i="1" s="1"/>
  <c r="O1038" i="1"/>
  <c r="W1038" i="1" s="1"/>
  <c r="O1037" i="1"/>
  <c r="W1037" i="1" s="1"/>
  <c r="O1036" i="1"/>
  <c r="W1036" i="1" s="1"/>
  <c r="O1035" i="1"/>
  <c r="W1035" i="1" s="1"/>
  <c r="O1034" i="1"/>
  <c r="W1034" i="1" s="1"/>
  <c r="O1033" i="1"/>
  <c r="W1033" i="1" s="1"/>
  <c r="O1032" i="1"/>
  <c r="W1032" i="1" s="1"/>
  <c r="O1031" i="1"/>
  <c r="W1031" i="1" s="1"/>
  <c r="O1030" i="1"/>
  <c r="W1030" i="1" s="1"/>
  <c r="O1029" i="1"/>
  <c r="W1029" i="1" s="1"/>
  <c r="O1028" i="1"/>
  <c r="W1028" i="1" s="1"/>
  <c r="O1027" i="1"/>
  <c r="W1027" i="1" s="1"/>
  <c r="O1026" i="1"/>
  <c r="W1026" i="1" s="1"/>
  <c r="O1025" i="1"/>
  <c r="W1025" i="1" s="1"/>
  <c r="O1024" i="1"/>
  <c r="W1024" i="1" s="1"/>
  <c r="O1023" i="1"/>
  <c r="W1023" i="1" s="1"/>
  <c r="O1022" i="1"/>
  <c r="W1022" i="1" s="1"/>
  <c r="O1021" i="1"/>
  <c r="W1021" i="1" s="1"/>
  <c r="O1020" i="1"/>
  <c r="W1020" i="1" s="1"/>
  <c r="O1019" i="1"/>
  <c r="W1019" i="1" s="1"/>
  <c r="O1018" i="1"/>
  <c r="W1018" i="1" s="1"/>
  <c r="O1017" i="1"/>
  <c r="W1017" i="1" s="1"/>
  <c r="O1016" i="1"/>
  <c r="W1016" i="1" s="1"/>
  <c r="O1015" i="1"/>
  <c r="W1015" i="1" s="1"/>
  <c r="O1014" i="1"/>
  <c r="W1014" i="1" s="1"/>
  <c r="O1013" i="1"/>
  <c r="W1013" i="1" s="1"/>
  <c r="O1012" i="1"/>
  <c r="W1012" i="1" s="1"/>
  <c r="O1011" i="1"/>
  <c r="W1011" i="1" s="1"/>
  <c r="O1010" i="1"/>
  <c r="W1010" i="1" s="1"/>
  <c r="O1009" i="1"/>
  <c r="W1009" i="1" s="1"/>
  <c r="O1008" i="1"/>
  <c r="W1008" i="1" s="1"/>
  <c r="O1007" i="1"/>
  <c r="W1007" i="1" s="1"/>
  <c r="O1006" i="1"/>
  <c r="W1006" i="1" s="1"/>
  <c r="O1005" i="1"/>
  <c r="W1005" i="1" s="1"/>
  <c r="O1004" i="1"/>
  <c r="W1004" i="1" s="1"/>
  <c r="O1003" i="1"/>
  <c r="W1003" i="1" s="1"/>
  <c r="O1002" i="1"/>
  <c r="W1002" i="1" s="1"/>
  <c r="K340" i="20" s="1"/>
  <c r="L340" i="20" s="1"/>
  <c r="O1000" i="1"/>
  <c r="W1000" i="1" s="1"/>
  <c r="K338" i="20" s="1"/>
  <c r="L338" i="20" s="1"/>
  <c r="O999" i="1"/>
  <c r="W999" i="1" s="1"/>
  <c r="K337" i="20" s="1"/>
  <c r="L337" i="20" s="1"/>
  <c r="O998" i="1"/>
  <c r="W998" i="1" s="1"/>
  <c r="O997" i="1"/>
  <c r="W997" i="1" s="1"/>
  <c r="O996" i="1"/>
  <c r="W996" i="1" s="1"/>
  <c r="O995" i="1"/>
  <c r="W995" i="1" s="1"/>
  <c r="O994" i="1"/>
  <c r="W994" i="1" s="1"/>
  <c r="K334" i="20" s="1"/>
  <c r="L334" i="20" s="1"/>
  <c r="O993" i="1"/>
  <c r="W993" i="1" s="1"/>
  <c r="K333" i="20" s="1"/>
  <c r="L333" i="20" s="1"/>
  <c r="O992" i="1"/>
  <c r="W992" i="1" s="1"/>
  <c r="K332" i="20" s="1"/>
  <c r="L332" i="20" s="1"/>
  <c r="O991" i="1"/>
  <c r="W991" i="1" s="1"/>
  <c r="K331" i="20" s="1"/>
  <c r="L331" i="20" s="1"/>
  <c r="O990" i="1"/>
  <c r="W990" i="1" s="1"/>
  <c r="O989" i="1"/>
  <c r="W989" i="1" s="1"/>
  <c r="O988" i="1"/>
  <c r="W988" i="1" s="1"/>
  <c r="O987" i="1"/>
  <c r="W987" i="1" s="1"/>
  <c r="O986" i="1"/>
  <c r="W986" i="1" s="1"/>
  <c r="O985" i="1"/>
  <c r="W985" i="1" s="1"/>
  <c r="O984" i="1"/>
  <c r="W984" i="1" s="1"/>
  <c r="K327" i="20" s="1"/>
  <c r="L327" i="20" s="1"/>
  <c r="O983" i="1"/>
  <c r="W983" i="1" s="1"/>
  <c r="O982" i="1"/>
  <c r="W982" i="1" s="1"/>
  <c r="O981" i="1"/>
  <c r="W981" i="1" s="1"/>
  <c r="O980" i="1"/>
  <c r="W980" i="1" s="1"/>
  <c r="O979" i="1"/>
  <c r="W979" i="1" s="1"/>
  <c r="O978" i="1"/>
  <c r="W978" i="1" s="1"/>
  <c r="O977" i="1"/>
  <c r="W977" i="1" s="1"/>
  <c r="O976" i="1"/>
  <c r="W976" i="1" s="1"/>
  <c r="O975" i="1"/>
  <c r="W975" i="1" s="1"/>
  <c r="O974" i="1"/>
  <c r="W974" i="1" s="1"/>
  <c r="O973" i="1"/>
  <c r="W973" i="1" s="1"/>
  <c r="K318" i="20" s="1"/>
  <c r="L318" i="20" s="1"/>
  <c r="O972" i="1"/>
  <c r="W972" i="1" s="1"/>
  <c r="O971" i="1"/>
  <c r="W971" i="1" s="1"/>
  <c r="O970" i="1"/>
  <c r="W970" i="1" s="1"/>
  <c r="O969" i="1"/>
  <c r="W969" i="1" s="1"/>
  <c r="O968" i="1"/>
  <c r="W968" i="1" s="1"/>
  <c r="O967" i="1"/>
  <c r="W967" i="1" s="1"/>
  <c r="O966" i="1"/>
  <c r="W966" i="1" s="1"/>
  <c r="O965" i="1"/>
  <c r="W965" i="1" s="1"/>
  <c r="O964" i="1"/>
  <c r="W964" i="1" s="1"/>
  <c r="O963" i="1"/>
  <c r="W963" i="1" s="1"/>
  <c r="O962" i="1"/>
  <c r="W962" i="1" s="1"/>
  <c r="O961" i="1"/>
  <c r="W961" i="1" s="1"/>
  <c r="O960" i="1"/>
  <c r="W960" i="1" s="1"/>
  <c r="O959" i="1"/>
  <c r="W959" i="1" s="1"/>
  <c r="O958" i="1"/>
  <c r="W958" i="1" s="1"/>
  <c r="O957" i="1"/>
  <c r="W957" i="1" s="1"/>
  <c r="O956" i="1"/>
  <c r="W956" i="1" s="1"/>
  <c r="O955" i="1"/>
  <c r="W955" i="1" s="1"/>
  <c r="O954" i="1"/>
  <c r="W954" i="1" s="1"/>
  <c r="O953" i="1"/>
  <c r="W953" i="1" s="1"/>
  <c r="O952" i="1"/>
  <c r="W952" i="1" s="1"/>
  <c r="O951" i="1"/>
  <c r="W951" i="1" s="1"/>
  <c r="O950" i="1"/>
  <c r="W950" i="1" s="1"/>
  <c r="O949" i="1"/>
  <c r="W949" i="1" s="1"/>
  <c r="O948" i="1"/>
  <c r="W948" i="1" s="1"/>
  <c r="O947" i="1"/>
  <c r="W947" i="1" s="1"/>
  <c r="O946" i="1"/>
  <c r="W946" i="1" s="1"/>
  <c r="K304" i="20" s="1"/>
  <c r="L304" i="20" s="1"/>
  <c r="O945" i="1"/>
  <c r="W945" i="1" s="1"/>
  <c r="O944" i="1"/>
  <c r="W944" i="1" s="1"/>
  <c r="O943" i="1"/>
  <c r="W943" i="1" s="1"/>
  <c r="O942" i="1"/>
  <c r="W942" i="1" s="1"/>
  <c r="O941" i="1"/>
  <c r="W941" i="1" s="1"/>
  <c r="K301" i="20" s="1"/>
  <c r="L301" i="20" s="1"/>
  <c r="O940" i="1"/>
  <c r="W940" i="1" s="1"/>
  <c r="O939" i="1"/>
  <c r="W939" i="1" s="1"/>
  <c r="O938" i="1"/>
  <c r="W938" i="1" s="1"/>
  <c r="O937" i="1"/>
  <c r="W937" i="1" s="1"/>
  <c r="O936" i="1"/>
  <c r="W936" i="1" s="1"/>
  <c r="O935" i="1"/>
  <c r="W935" i="1" s="1"/>
  <c r="O934" i="1"/>
  <c r="W934" i="1" s="1"/>
  <c r="O933" i="1"/>
  <c r="W933" i="1" s="1"/>
  <c r="O932" i="1"/>
  <c r="W932" i="1" s="1"/>
  <c r="O931" i="1"/>
  <c r="W931" i="1" s="1"/>
  <c r="O930" i="1"/>
  <c r="W930" i="1" s="1"/>
  <c r="O929" i="1"/>
  <c r="W929" i="1" s="1"/>
  <c r="O928" i="1"/>
  <c r="W928" i="1" s="1"/>
  <c r="O927" i="1"/>
  <c r="W927" i="1" s="1"/>
  <c r="W926" i="1"/>
  <c r="W925" i="1"/>
  <c r="O899" i="1"/>
  <c r="W899" i="1" s="1"/>
  <c r="O891" i="1"/>
  <c r="W891" i="1" s="1"/>
  <c r="O895" i="1"/>
  <c r="W895" i="1" s="1"/>
  <c r="O885" i="1"/>
  <c r="W885" i="1" s="1"/>
  <c r="O870" i="1"/>
  <c r="W870" i="1" s="1"/>
  <c r="O857" i="1"/>
  <c r="W857" i="1" s="1"/>
  <c r="O855" i="1"/>
  <c r="W855" i="1" s="1"/>
  <c r="O862" i="1"/>
  <c r="O920" i="1"/>
  <c r="W920" i="1" s="1"/>
  <c r="O883" i="1"/>
  <c r="O845" i="1"/>
  <c r="W845" i="1" s="1"/>
  <c r="O843" i="1"/>
  <c r="W843" i="1" s="1"/>
  <c r="O859" i="1"/>
  <c r="W859" i="1" s="1"/>
  <c r="O916" i="1"/>
  <c r="O905" i="1"/>
  <c r="W905" i="1" s="1"/>
  <c r="O902" i="1"/>
  <c r="W902" i="1" s="1"/>
  <c r="O896" i="1"/>
  <c r="W896" i="1" s="1"/>
  <c r="O900" i="1"/>
  <c r="O898" i="1"/>
  <c r="O890" i="1"/>
  <c r="W890" i="1" s="1"/>
  <c r="O894" i="1"/>
  <c r="O884" i="1"/>
  <c r="O869" i="1"/>
  <c r="O856" i="1"/>
  <c r="O854" i="1"/>
  <c r="O860" i="1"/>
  <c r="O919" i="1"/>
  <c r="O882" i="1"/>
  <c r="W882" i="1" s="1"/>
  <c r="O844" i="1"/>
  <c r="W844" i="1" s="1"/>
  <c r="O842" i="1"/>
  <c r="W842" i="1" s="1"/>
  <c r="O911" i="1"/>
  <c r="W911" i="1" s="1"/>
  <c r="O865" i="1"/>
  <c r="W865" i="1" s="1"/>
  <c r="O886" i="1"/>
  <c r="W886" i="1" s="1"/>
  <c r="O888" i="1"/>
  <c r="W888" i="1" s="1"/>
  <c r="O861" i="1"/>
  <c r="O917" i="1"/>
  <c r="W917" i="1" s="1"/>
  <c r="O907" i="1"/>
  <c r="W907" i="1" s="1"/>
  <c r="O913" i="1"/>
  <c r="W913" i="1" s="1"/>
  <c r="O880" i="1"/>
  <c r="W880" i="1" s="1"/>
  <c r="O850" i="1"/>
  <c r="W850" i="1" s="1"/>
  <c r="O909" i="1"/>
  <c r="W909" i="1" s="1"/>
  <c r="O848" i="1"/>
  <c r="O846" i="1"/>
  <c r="W846" i="1" s="1"/>
  <c r="O923" i="1"/>
  <c r="W923" i="1" s="1"/>
  <c r="O852" i="1"/>
  <c r="W852" i="1" s="1"/>
  <c r="O833" i="1"/>
  <c r="W833" i="1" s="1"/>
  <c r="O835" i="1"/>
  <c r="W835" i="1" s="1"/>
  <c r="O867" i="1"/>
  <c r="W867" i="1" s="1"/>
  <c r="O921" i="1"/>
  <c r="W921" i="1" s="1"/>
  <c r="O873" i="1"/>
  <c r="W873" i="1" s="1"/>
  <c r="O876" i="1"/>
  <c r="W876" i="1" s="1"/>
  <c r="O871" i="1"/>
  <c r="W871" i="1" s="1"/>
  <c r="O863" i="1"/>
  <c r="W863" i="1" s="1"/>
  <c r="O878" i="1"/>
  <c r="W878" i="1" s="1"/>
  <c r="O858" i="1"/>
  <c r="W858" i="1" s="1"/>
  <c r="O915" i="1"/>
  <c r="W915" i="1" s="1"/>
  <c r="O893" i="1"/>
  <c r="W893" i="1" s="1"/>
  <c r="O892" i="1"/>
  <c r="W892" i="1" s="1"/>
  <c r="O832" i="1"/>
  <c r="W832" i="1" s="1"/>
  <c r="O831" i="1"/>
  <c r="W831" i="1" s="1"/>
  <c r="O830" i="1"/>
  <c r="W830" i="1" s="1"/>
  <c r="O829" i="1"/>
  <c r="W829" i="1" s="1"/>
  <c r="O828" i="1"/>
  <c r="W828" i="1" s="1"/>
  <c r="O827" i="1"/>
  <c r="W827" i="1" s="1"/>
  <c r="O826" i="1"/>
  <c r="W826" i="1" s="1"/>
  <c r="O825" i="1"/>
  <c r="W825" i="1" s="1"/>
  <c r="O824" i="1"/>
  <c r="W824" i="1" s="1"/>
  <c r="O822" i="1"/>
  <c r="W822" i="1" s="1"/>
  <c r="O821" i="1"/>
  <c r="W821" i="1" s="1"/>
  <c r="O820" i="1"/>
  <c r="W820" i="1" s="1"/>
  <c r="O819" i="1"/>
  <c r="W819" i="1" s="1"/>
  <c r="O818" i="1"/>
  <c r="W818" i="1" s="1"/>
  <c r="O817" i="1"/>
  <c r="W817" i="1" s="1"/>
  <c r="O813" i="1"/>
  <c r="W813" i="1" s="1"/>
  <c r="O812" i="1"/>
  <c r="W812" i="1" s="1"/>
  <c r="O811" i="1"/>
  <c r="O810" i="1"/>
  <c r="W810" i="1" s="1"/>
  <c r="O809" i="1"/>
  <c r="W809" i="1" s="1"/>
  <c r="O808" i="1"/>
  <c r="W808" i="1" s="1"/>
  <c r="O807" i="1"/>
  <c r="W807" i="1" s="1"/>
  <c r="O806" i="1"/>
  <c r="W806" i="1" s="1"/>
  <c r="O805" i="1"/>
  <c r="W805" i="1" s="1"/>
  <c r="O804" i="1"/>
  <c r="W804" i="1" s="1"/>
  <c r="O803" i="1"/>
  <c r="W803" i="1" s="1"/>
  <c r="O802" i="1"/>
  <c r="W802" i="1" s="1"/>
  <c r="O800" i="1"/>
  <c r="W800" i="1" s="1"/>
  <c r="O799" i="1"/>
  <c r="W799" i="1" s="1"/>
  <c r="O798" i="1"/>
  <c r="W798" i="1" s="1"/>
  <c r="O797" i="1"/>
  <c r="W797" i="1" s="1"/>
  <c r="O796" i="1"/>
  <c r="W796" i="1" s="1"/>
  <c r="O795" i="1"/>
  <c r="W795" i="1" s="1"/>
  <c r="O794" i="1"/>
  <c r="W794" i="1" s="1"/>
  <c r="O793" i="1"/>
  <c r="W793" i="1" s="1"/>
  <c r="O792" i="1"/>
  <c r="W792" i="1" s="1"/>
  <c r="O791" i="1"/>
  <c r="W791" i="1" s="1"/>
  <c r="O790" i="1"/>
  <c r="W790" i="1" s="1"/>
  <c r="O789" i="1"/>
  <c r="W789" i="1" s="1"/>
  <c r="O788" i="1"/>
  <c r="W788" i="1" s="1"/>
  <c r="O787" i="1"/>
  <c r="W787" i="1" s="1"/>
  <c r="O786" i="1"/>
  <c r="W786" i="1" s="1"/>
  <c r="O785" i="1"/>
  <c r="W785" i="1" s="1"/>
  <c r="K543" i="20" s="1"/>
  <c r="L543" i="20" s="1"/>
  <c r="O784" i="1"/>
  <c r="W784" i="1" s="1"/>
  <c r="O783" i="1"/>
  <c r="W783" i="1" s="1"/>
  <c r="O782" i="1"/>
  <c r="W782" i="1" s="1"/>
  <c r="O781" i="1"/>
  <c r="W781" i="1" s="1"/>
  <c r="O780" i="1"/>
  <c r="W780" i="1" s="1"/>
  <c r="O779" i="1"/>
  <c r="W779" i="1" s="1"/>
  <c r="O778" i="1"/>
  <c r="W778" i="1" s="1"/>
  <c r="O777" i="1"/>
  <c r="W777" i="1" s="1"/>
  <c r="O776" i="1"/>
  <c r="W776" i="1" s="1"/>
  <c r="O775" i="1"/>
  <c r="W775" i="1" s="1"/>
  <c r="O774" i="1"/>
  <c r="W774" i="1" s="1"/>
  <c r="O773" i="1"/>
  <c r="W773" i="1" s="1"/>
  <c r="O772" i="1"/>
  <c r="W772" i="1" s="1"/>
  <c r="O771" i="1"/>
  <c r="W771" i="1" s="1"/>
  <c r="O770" i="1"/>
  <c r="W770" i="1" s="1"/>
  <c r="O769" i="1"/>
  <c r="W769" i="1" s="1"/>
  <c r="O768" i="1"/>
  <c r="W768" i="1" s="1"/>
  <c r="O767" i="1"/>
  <c r="W767" i="1" s="1"/>
  <c r="O766" i="1"/>
  <c r="W766" i="1" s="1"/>
  <c r="O765" i="1"/>
  <c r="W765" i="1" s="1"/>
  <c r="O764" i="1"/>
  <c r="W764" i="1" s="1"/>
  <c r="O763" i="1"/>
  <c r="W763" i="1" s="1"/>
  <c r="O762" i="1"/>
  <c r="W762" i="1" s="1"/>
  <c r="O761" i="1"/>
  <c r="W761" i="1" s="1"/>
  <c r="O760" i="1"/>
  <c r="W760" i="1" s="1"/>
  <c r="O759" i="1"/>
  <c r="W759" i="1" s="1"/>
  <c r="O758" i="1"/>
  <c r="W758" i="1" s="1"/>
  <c r="O757" i="1"/>
  <c r="W757" i="1" s="1"/>
  <c r="O756" i="1"/>
  <c r="W756" i="1" s="1"/>
  <c r="O755" i="1"/>
  <c r="W755" i="1" s="1"/>
  <c r="O754" i="1"/>
  <c r="W754" i="1" s="1"/>
  <c r="O753" i="1"/>
  <c r="W753" i="1" s="1"/>
  <c r="O752" i="1"/>
  <c r="W752" i="1" s="1"/>
  <c r="O751" i="1"/>
  <c r="W751" i="1" s="1"/>
  <c r="O750" i="1"/>
  <c r="W750" i="1" s="1"/>
  <c r="O749" i="1"/>
  <c r="W749" i="1" s="1"/>
  <c r="O748" i="1"/>
  <c r="W748" i="1" s="1"/>
  <c r="O747" i="1"/>
  <c r="W747" i="1" s="1"/>
  <c r="O746" i="1"/>
  <c r="W746" i="1" s="1"/>
  <c r="O745" i="1"/>
  <c r="W745" i="1" s="1"/>
  <c r="O744" i="1"/>
  <c r="W744" i="1" s="1"/>
  <c r="O743" i="1"/>
  <c r="W743" i="1" s="1"/>
  <c r="O742" i="1"/>
  <c r="W742" i="1" s="1"/>
  <c r="O741" i="1"/>
  <c r="W741" i="1" s="1"/>
  <c r="O740" i="1"/>
  <c r="W740" i="1" s="1"/>
  <c r="O739" i="1"/>
  <c r="W739" i="1" s="1"/>
  <c r="K527" i="20" s="1"/>
  <c r="L527" i="20" s="1"/>
  <c r="O738" i="1"/>
  <c r="W738" i="1" s="1"/>
  <c r="O737" i="1"/>
  <c r="W737" i="1" s="1"/>
  <c r="O736" i="1"/>
  <c r="W736" i="1" s="1"/>
  <c r="O733" i="1"/>
  <c r="W733" i="1" s="1"/>
  <c r="O732" i="1"/>
  <c r="W732" i="1" s="1"/>
  <c r="O731" i="1"/>
  <c r="W731" i="1" s="1"/>
  <c r="O730" i="1"/>
  <c r="W730" i="1" s="1"/>
  <c r="O729" i="1"/>
  <c r="W729" i="1" s="1"/>
  <c r="O728" i="1"/>
  <c r="W728" i="1" s="1"/>
  <c r="O727" i="1"/>
  <c r="W727" i="1" s="1"/>
  <c r="O726" i="1"/>
  <c r="W726" i="1" s="1"/>
  <c r="O725" i="1"/>
  <c r="W725" i="1" s="1"/>
  <c r="O724" i="1"/>
  <c r="W724" i="1" s="1"/>
  <c r="O723" i="1"/>
  <c r="W723" i="1" s="1"/>
  <c r="O722" i="1"/>
  <c r="W722" i="1" s="1"/>
  <c r="O721" i="1"/>
  <c r="W721" i="1" s="1"/>
  <c r="O720" i="1"/>
  <c r="W720" i="1" s="1"/>
  <c r="O719" i="1"/>
  <c r="W719" i="1" s="1"/>
  <c r="O718" i="1"/>
  <c r="W718" i="1" s="1"/>
  <c r="O717" i="1"/>
  <c r="W717" i="1" s="1"/>
  <c r="O716" i="1"/>
  <c r="W716" i="1" s="1"/>
  <c r="O715" i="1"/>
  <c r="W715" i="1" s="1"/>
  <c r="O714" i="1"/>
  <c r="W714" i="1" s="1"/>
  <c r="O713" i="1"/>
  <c r="W713" i="1" s="1"/>
  <c r="O712" i="1"/>
  <c r="W712" i="1" s="1"/>
  <c r="O711" i="1"/>
  <c r="W711" i="1" s="1"/>
  <c r="O710" i="1"/>
  <c r="W710" i="1" s="1"/>
  <c r="O709" i="1"/>
  <c r="W709" i="1" s="1"/>
  <c r="O708" i="1"/>
  <c r="W708" i="1" s="1"/>
  <c r="O707" i="1"/>
  <c r="W707" i="1" s="1"/>
  <c r="O706" i="1"/>
  <c r="W706" i="1" s="1"/>
  <c r="O705" i="1"/>
  <c r="W705" i="1" s="1"/>
  <c r="O704" i="1"/>
  <c r="W704" i="1" s="1"/>
  <c r="O703" i="1"/>
  <c r="W703" i="1" s="1"/>
  <c r="O702" i="1"/>
  <c r="W702" i="1" s="1"/>
  <c r="O701" i="1"/>
  <c r="W701" i="1" s="1"/>
  <c r="O700" i="1"/>
  <c r="W700" i="1" s="1"/>
  <c r="O699" i="1"/>
  <c r="W699" i="1" s="1"/>
  <c r="O698" i="1"/>
  <c r="W698" i="1" s="1"/>
  <c r="O697" i="1"/>
  <c r="W697" i="1" s="1"/>
  <c r="O696" i="1"/>
  <c r="W696" i="1" s="1"/>
  <c r="O695" i="1"/>
  <c r="W695" i="1" s="1"/>
  <c r="O694" i="1"/>
  <c r="W694" i="1" s="1"/>
  <c r="O693" i="1"/>
  <c r="W693" i="1" s="1"/>
  <c r="O692" i="1"/>
  <c r="W692" i="1" s="1"/>
  <c r="O691" i="1"/>
  <c r="W691" i="1" s="1"/>
  <c r="O690" i="1"/>
  <c r="W690" i="1" s="1"/>
  <c r="O689" i="1"/>
  <c r="W689" i="1" s="1"/>
  <c r="O688" i="1"/>
  <c r="W688" i="1" s="1"/>
  <c r="O687" i="1"/>
  <c r="W687" i="1" s="1"/>
  <c r="O686" i="1"/>
  <c r="W686" i="1" s="1"/>
  <c r="O685" i="1"/>
  <c r="W685" i="1" s="1"/>
  <c r="O684" i="1"/>
  <c r="W684" i="1" s="1"/>
  <c r="O683" i="1"/>
  <c r="W683" i="1" s="1"/>
  <c r="O662" i="1"/>
  <c r="W662" i="1" s="1"/>
  <c r="O661" i="1"/>
  <c r="W661" i="1" s="1"/>
  <c r="O660" i="1"/>
  <c r="O659" i="1"/>
  <c r="W659" i="1" s="1"/>
  <c r="O658" i="1"/>
  <c r="W658" i="1" s="1"/>
  <c r="O657" i="1"/>
  <c r="W657" i="1" s="1"/>
  <c r="O656" i="1"/>
  <c r="W656" i="1" s="1"/>
  <c r="O655" i="1"/>
  <c r="W655" i="1" s="1"/>
  <c r="O654" i="1"/>
  <c r="W654" i="1" s="1"/>
  <c r="O653" i="1"/>
  <c r="W653" i="1" s="1"/>
  <c r="O652" i="1"/>
  <c r="W652" i="1" s="1"/>
  <c r="O651" i="1"/>
  <c r="W651" i="1" s="1"/>
  <c r="O650" i="1"/>
  <c r="W650" i="1" s="1"/>
  <c r="O649" i="1"/>
  <c r="W649" i="1" s="1"/>
  <c r="O648" i="1"/>
  <c r="W648" i="1" s="1"/>
  <c r="O647" i="1"/>
  <c r="W647" i="1" s="1"/>
  <c r="O646" i="1"/>
  <c r="W646" i="1" s="1"/>
  <c r="O645" i="1"/>
  <c r="W645" i="1" s="1"/>
  <c r="O644" i="1"/>
  <c r="W644" i="1" s="1"/>
  <c r="O643" i="1"/>
  <c r="W643" i="1" s="1"/>
  <c r="O642" i="1"/>
  <c r="W642" i="1" s="1"/>
  <c r="O641" i="1"/>
  <c r="W641" i="1" s="1"/>
  <c r="O640" i="1"/>
  <c r="W640" i="1" s="1"/>
  <c r="O639" i="1"/>
  <c r="W639" i="1" s="1"/>
  <c r="O638" i="1"/>
  <c r="W638" i="1" s="1"/>
  <c r="O637" i="1"/>
  <c r="W637" i="1" s="1"/>
  <c r="O636" i="1"/>
  <c r="W636" i="1" s="1"/>
  <c r="O635" i="1"/>
  <c r="W635" i="1" s="1"/>
  <c r="O634" i="1"/>
  <c r="W634" i="1" s="1"/>
  <c r="O633" i="1"/>
  <c r="W633" i="1" s="1"/>
  <c r="O632" i="1"/>
  <c r="W632" i="1" s="1"/>
  <c r="O631" i="1"/>
  <c r="W631" i="1" s="1"/>
  <c r="O630" i="1"/>
  <c r="W630" i="1" s="1"/>
  <c r="O629" i="1"/>
  <c r="W629" i="1" s="1"/>
  <c r="O628" i="1"/>
  <c r="W628" i="1" s="1"/>
  <c r="O627" i="1"/>
  <c r="W627" i="1" s="1"/>
  <c r="O626" i="1"/>
  <c r="W626" i="1" s="1"/>
  <c r="O625" i="1"/>
  <c r="W625" i="1" s="1"/>
  <c r="O624" i="1"/>
  <c r="W624" i="1" s="1"/>
  <c r="O623" i="1"/>
  <c r="W623" i="1" s="1"/>
  <c r="O622" i="1"/>
  <c r="W622" i="1" s="1"/>
  <c r="O621" i="1"/>
  <c r="W621" i="1" s="1"/>
  <c r="O620" i="1"/>
  <c r="W620" i="1" s="1"/>
  <c r="K472" i="20" s="1"/>
  <c r="L472" i="20" s="1"/>
  <c r="O619" i="1"/>
  <c r="W619" i="1" s="1"/>
  <c r="O618" i="1"/>
  <c r="W618" i="1" s="1"/>
  <c r="O617" i="1"/>
  <c r="W617" i="1" s="1"/>
  <c r="O616" i="1"/>
  <c r="W616" i="1" s="1"/>
  <c r="O615" i="1"/>
  <c r="W615" i="1" s="1"/>
  <c r="O614" i="1"/>
  <c r="W614" i="1" s="1"/>
  <c r="O613" i="1"/>
  <c r="W613" i="1" s="1"/>
  <c r="O612" i="1"/>
  <c r="W612" i="1" s="1"/>
  <c r="O611" i="1"/>
  <c r="W611" i="1" s="1"/>
  <c r="O610" i="1"/>
  <c r="W610" i="1" s="1"/>
  <c r="O609" i="1"/>
  <c r="W609" i="1" s="1"/>
  <c r="O608" i="1"/>
  <c r="W608" i="1" s="1"/>
  <c r="O607" i="1"/>
  <c r="W607" i="1" s="1"/>
  <c r="O606" i="1"/>
  <c r="W606" i="1" s="1"/>
  <c r="O605" i="1"/>
  <c r="W605" i="1" s="1"/>
  <c r="O604" i="1"/>
  <c r="W604" i="1" s="1"/>
  <c r="O603" i="1"/>
  <c r="W603" i="1" s="1"/>
  <c r="O602" i="1"/>
  <c r="W602" i="1" s="1"/>
  <c r="O601" i="1"/>
  <c r="W601" i="1" s="1"/>
  <c r="O600" i="1"/>
  <c r="W600" i="1" s="1"/>
  <c r="O599" i="1"/>
  <c r="W599" i="1" s="1"/>
  <c r="O598" i="1"/>
  <c r="W598" i="1" s="1"/>
  <c r="O597" i="1"/>
  <c r="W597" i="1" s="1"/>
  <c r="O596" i="1"/>
  <c r="W596" i="1" s="1"/>
  <c r="O595" i="1"/>
  <c r="W595" i="1" s="1"/>
  <c r="O594" i="1"/>
  <c r="W594" i="1" s="1"/>
  <c r="O593" i="1"/>
  <c r="W593" i="1" s="1"/>
  <c r="O592" i="1"/>
  <c r="W592" i="1" s="1"/>
  <c r="O591" i="1"/>
  <c r="W591" i="1" s="1"/>
  <c r="O590" i="1"/>
  <c r="W590" i="1" s="1"/>
  <c r="O589" i="1"/>
  <c r="W589" i="1" s="1"/>
  <c r="O588" i="1"/>
  <c r="W588" i="1" s="1"/>
  <c r="O587" i="1"/>
  <c r="W587" i="1" s="1"/>
  <c r="O586" i="1"/>
  <c r="W586" i="1" s="1"/>
  <c r="O585" i="1"/>
  <c r="W585" i="1" s="1"/>
  <c r="O584" i="1"/>
  <c r="W584" i="1" s="1"/>
  <c r="O583" i="1"/>
  <c r="W583" i="1" s="1"/>
  <c r="O582" i="1"/>
  <c r="W582" i="1" s="1"/>
  <c r="O581" i="1"/>
  <c r="W581" i="1" s="1"/>
  <c r="O580" i="1"/>
  <c r="W580" i="1" s="1"/>
  <c r="O579" i="1"/>
  <c r="W579" i="1" s="1"/>
  <c r="O578" i="1"/>
  <c r="W578" i="1" s="1"/>
  <c r="O577" i="1"/>
  <c r="W577" i="1" s="1"/>
  <c r="O576" i="1"/>
  <c r="W576" i="1" s="1"/>
  <c r="O575" i="1"/>
  <c r="W575" i="1" s="1"/>
  <c r="O574" i="1"/>
  <c r="W574" i="1" s="1"/>
  <c r="O573" i="1"/>
  <c r="W573" i="1" s="1"/>
  <c r="O572" i="1"/>
  <c r="W572" i="1" s="1"/>
  <c r="O571" i="1"/>
  <c r="W571" i="1" s="1"/>
  <c r="O570" i="1"/>
  <c r="W570" i="1" s="1"/>
  <c r="O569" i="1"/>
  <c r="W569" i="1" s="1"/>
  <c r="O568" i="1"/>
  <c r="W568" i="1" s="1"/>
  <c r="O567" i="1"/>
  <c r="W567" i="1" s="1"/>
  <c r="O566" i="1"/>
  <c r="W566" i="1" s="1"/>
  <c r="O565" i="1"/>
  <c r="W565" i="1" s="1"/>
  <c r="K453" i="20" s="1"/>
  <c r="O564" i="1"/>
  <c r="W564" i="1" s="1"/>
  <c r="O563" i="1"/>
  <c r="W563" i="1" s="1"/>
  <c r="O562" i="1"/>
  <c r="W562" i="1" s="1"/>
  <c r="O561" i="1"/>
  <c r="W561" i="1" s="1"/>
  <c r="O560" i="1"/>
  <c r="W560" i="1" s="1"/>
  <c r="O559" i="1"/>
  <c r="W559" i="1" s="1"/>
  <c r="O558" i="1"/>
  <c r="W558" i="1" s="1"/>
  <c r="O557" i="1"/>
  <c r="W557" i="1" s="1"/>
  <c r="O556" i="1"/>
  <c r="W556" i="1" s="1"/>
  <c r="O555" i="1"/>
  <c r="W555" i="1" s="1"/>
  <c r="O554" i="1"/>
  <c r="W554" i="1" s="1"/>
  <c r="O553" i="1"/>
  <c r="W553" i="1" s="1"/>
  <c r="O552" i="1"/>
  <c r="W552" i="1" s="1"/>
  <c r="O551" i="1"/>
  <c r="W551" i="1" s="1"/>
  <c r="O550" i="1"/>
  <c r="W550" i="1" s="1"/>
  <c r="O549" i="1"/>
  <c r="W549" i="1" s="1"/>
  <c r="O548" i="1"/>
  <c r="W548" i="1" s="1"/>
  <c r="O547" i="1"/>
  <c r="W547" i="1" s="1"/>
  <c r="O546" i="1"/>
  <c r="W546" i="1" s="1"/>
  <c r="K124" i="20" s="1"/>
  <c r="L124" i="20" s="1"/>
  <c r="N124" i="20" s="1"/>
  <c r="O124" i="20" s="1"/>
  <c r="O545" i="1"/>
  <c r="W545" i="1" s="1"/>
  <c r="O544" i="1"/>
  <c r="W544" i="1" s="1"/>
  <c r="O543" i="1"/>
  <c r="W543" i="1" s="1"/>
  <c r="O542" i="1"/>
  <c r="W542" i="1" s="1"/>
  <c r="O541" i="1"/>
  <c r="W541" i="1" s="1"/>
  <c r="O540" i="1"/>
  <c r="W540" i="1" s="1"/>
  <c r="O539" i="1"/>
  <c r="W539" i="1" s="1"/>
  <c r="O538" i="1"/>
  <c r="W538" i="1" s="1"/>
  <c r="O537" i="1"/>
  <c r="W537" i="1" s="1"/>
  <c r="O536" i="1"/>
  <c r="W536" i="1" s="1"/>
  <c r="O535" i="1"/>
  <c r="W535" i="1" s="1"/>
  <c r="O534" i="1"/>
  <c r="W534" i="1" s="1"/>
  <c r="O533" i="1"/>
  <c r="W533" i="1" s="1"/>
  <c r="O532" i="1"/>
  <c r="W532" i="1" s="1"/>
  <c r="O531" i="1"/>
  <c r="W531" i="1" s="1"/>
  <c r="O530" i="1"/>
  <c r="W530" i="1" s="1"/>
  <c r="O529" i="1"/>
  <c r="W529" i="1" s="1"/>
  <c r="O528" i="1"/>
  <c r="W528" i="1" s="1"/>
  <c r="O527" i="1"/>
  <c r="W527" i="1" s="1"/>
  <c r="O526" i="1"/>
  <c r="W526" i="1" s="1"/>
  <c r="O525" i="1"/>
  <c r="W525" i="1" s="1"/>
  <c r="O524" i="1"/>
  <c r="W524" i="1" s="1"/>
  <c r="O523" i="1"/>
  <c r="W523" i="1" s="1"/>
  <c r="O522" i="1"/>
  <c r="W522" i="1" s="1"/>
  <c r="O521" i="1"/>
  <c r="W521" i="1" s="1"/>
  <c r="K115" i="20" s="1"/>
  <c r="L115" i="20" s="1"/>
  <c r="O520" i="1"/>
  <c r="W520" i="1" s="1"/>
  <c r="O519" i="1"/>
  <c r="W519" i="1" s="1"/>
  <c r="O518" i="1"/>
  <c r="W518" i="1" s="1"/>
  <c r="O517" i="1"/>
  <c r="W517" i="1" s="1"/>
  <c r="O516" i="1"/>
  <c r="W516" i="1" s="1"/>
  <c r="O515" i="1"/>
  <c r="W515" i="1" s="1"/>
  <c r="O514" i="1"/>
  <c r="W514" i="1" s="1"/>
  <c r="K112" i="20" s="1"/>
  <c r="L112" i="20" s="1"/>
  <c r="N112" i="20" s="1"/>
  <c r="O112" i="20" s="1"/>
  <c r="O513" i="1"/>
  <c r="W513" i="1" s="1"/>
  <c r="K111" i="20" s="1"/>
  <c r="L111" i="20" s="1"/>
  <c r="N111" i="20" s="1"/>
  <c r="O111" i="20" s="1"/>
  <c r="O512" i="1"/>
  <c r="W512" i="1" s="1"/>
  <c r="O511" i="1"/>
  <c r="W511" i="1" s="1"/>
  <c r="O510" i="1"/>
  <c r="W510" i="1" s="1"/>
  <c r="O509" i="1"/>
  <c r="W509" i="1" s="1"/>
  <c r="O508" i="1"/>
  <c r="W508" i="1" s="1"/>
  <c r="O507" i="1"/>
  <c r="W507" i="1" s="1"/>
  <c r="O506" i="1"/>
  <c r="W506" i="1" s="1"/>
  <c r="O505" i="1"/>
  <c r="W505" i="1" s="1"/>
  <c r="O504" i="1"/>
  <c r="W504" i="1" s="1"/>
  <c r="O503" i="1"/>
  <c r="W503" i="1" s="1"/>
  <c r="O502" i="1"/>
  <c r="W502" i="1" s="1"/>
  <c r="O501" i="1"/>
  <c r="W501" i="1" s="1"/>
  <c r="O500" i="1"/>
  <c r="W500" i="1" s="1"/>
  <c r="O499" i="1"/>
  <c r="W499" i="1" s="1"/>
  <c r="O498" i="1"/>
  <c r="W498" i="1" s="1"/>
  <c r="O497" i="1"/>
  <c r="W497" i="1" s="1"/>
  <c r="K105" i="20" s="1"/>
  <c r="L105" i="20" s="1"/>
  <c r="N105" i="20" s="1"/>
  <c r="O105" i="20" s="1"/>
  <c r="O496" i="1"/>
  <c r="W496" i="1" s="1"/>
  <c r="O495" i="1"/>
  <c r="W495" i="1" s="1"/>
  <c r="O494" i="1"/>
  <c r="W494" i="1" s="1"/>
  <c r="O493" i="1"/>
  <c r="W493" i="1" s="1"/>
  <c r="O492" i="1"/>
  <c r="W492" i="1" s="1"/>
  <c r="O491" i="1"/>
  <c r="W491" i="1" s="1"/>
  <c r="O490" i="1"/>
  <c r="W490" i="1" s="1"/>
  <c r="O489" i="1"/>
  <c r="W489" i="1" s="1"/>
  <c r="O488" i="1"/>
  <c r="W488" i="1" s="1"/>
  <c r="O487" i="1"/>
  <c r="W487" i="1" s="1"/>
  <c r="O486" i="1"/>
  <c r="W486" i="1" s="1"/>
  <c r="O485" i="1"/>
  <c r="W485" i="1" s="1"/>
  <c r="O484" i="1"/>
  <c r="W484" i="1" s="1"/>
  <c r="O483" i="1"/>
  <c r="W483" i="1" s="1"/>
  <c r="O482" i="1"/>
  <c r="W482" i="1" s="1"/>
  <c r="O481" i="1"/>
  <c r="W481" i="1" s="1"/>
  <c r="O480" i="1"/>
  <c r="W480" i="1" s="1"/>
  <c r="O479" i="1"/>
  <c r="W479" i="1" s="1"/>
  <c r="O478" i="1"/>
  <c r="W478" i="1" s="1"/>
  <c r="O477" i="1"/>
  <c r="W477" i="1" s="1"/>
  <c r="O476" i="1"/>
  <c r="W476" i="1" s="1"/>
  <c r="O475" i="1"/>
  <c r="W475" i="1" s="1"/>
  <c r="O474" i="1"/>
  <c r="W474" i="1" s="1"/>
  <c r="O473" i="1"/>
  <c r="W473" i="1" s="1"/>
  <c r="O472" i="1"/>
  <c r="W472" i="1" s="1"/>
  <c r="O471" i="1"/>
  <c r="W471" i="1" s="1"/>
  <c r="O470" i="1"/>
  <c r="W470" i="1" s="1"/>
  <c r="O469" i="1"/>
  <c r="W469" i="1" s="1"/>
  <c r="O468" i="1"/>
  <c r="W468" i="1" s="1"/>
  <c r="O467" i="1"/>
  <c r="W467" i="1" s="1"/>
  <c r="O466" i="1"/>
  <c r="W466" i="1" s="1"/>
  <c r="K94" i="20" s="1"/>
  <c r="L94" i="20" s="1"/>
  <c r="O465" i="1"/>
  <c r="W465" i="1" s="1"/>
  <c r="O463" i="1"/>
  <c r="W463" i="1" s="1"/>
  <c r="O462" i="1"/>
  <c r="W462" i="1" s="1"/>
  <c r="O461" i="1"/>
  <c r="W461" i="1" s="1"/>
  <c r="O460" i="1"/>
  <c r="W460" i="1" s="1"/>
  <c r="O459" i="1"/>
  <c r="W459" i="1" s="1"/>
  <c r="O458" i="1"/>
  <c r="W458" i="1" s="1"/>
  <c r="K90" i="20" s="1"/>
  <c r="L90" i="20" s="1"/>
  <c r="N90" i="20" s="1"/>
  <c r="O90" i="20" s="1"/>
  <c r="O457" i="1"/>
  <c r="W457" i="1" s="1"/>
  <c r="K89" i="20" s="1"/>
  <c r="L89" i="20" s="1"/>
  <c r="N89" i="20" s="1"/>
  <c r="O89" i="20" s="1"/>
  <c r="O456" i="1"/>
  <c r="W456" i="1" s="1"/>
  <c r="O455" i="1"/>
  <c r="W455" i="1" s="1"/>
  <c r="O454" i="1"/>
  <c r="W454" i="1" s="1"/>
  <c r="O453" i="1"/>
  <c r="W453" i="1" s="1"/>
  <c r="O452" i="1"/>
  <c r="W452" i="1" s="1"/>
  <c r="O451" i="1"/>
  <c r="W451" i="1" s="1"/>
  <c r="O450" i="1"/>
  <c r="W450" i="1" s="1"/>
  <c r="O449" i="1"/>
  <c r="W449" i="1" s="1"/>
  <c r="O448" i="1"/>
  <c r="W448" i="1" s="1"/>
  <c r="O447" i="1"/>
  <c r="W447" i="1" s="1"/>
  <c r="O446" i="1"/>
  <c r="W446" i="1" s="1"/>
  <c r="O445" i="1"/>
  <c r="W445" i="1" s="1"/>
  <c r="O444" i="1"/>
  <c r="W444" i="1" s="1"/>
  <c r="O443" i="1"/>
  <c r="W443" i="1" s="1"/>
  <c r="O442" i="1"/>
  <c r="W442" i="1" s="1"/>
  <c r="O441" i="1"/>
  <c r="W441" i="1" s="1"/>
  <c r="O440" i="1"/>
  <c r="W440" i="1" s="1"/>
  <c r="O439" i="1"/>
  <c r="W439" i="1" s="1"/>
  <c r="O438" i="1"/>
  <c r="W438" i="1" s="1"/>
  <c r="O437" i="1"/>
  <c r="W437" i="1" s="1"/>
  <c r="O436" i="1"/>
  <c r="W436" i="1" s="1"/>
  <c r="O435" i="1"/>
  <c r="W435" i="1" s="1"/>
  <c r="O434" i="1"/>
  <c r="W434" i="1" s="1"/>
  <c r="O433" i="1"/>
  <c r="W433" i="1" s="1"/>
  <c r="O432" i="1"/>
  <c r="W432" i="1" s="1"/>
  <c r="O431" i="1"/>
  <c r="W431" i="1" s="1"/>
  <c r="O430" i="1"/>
  <c r="W430" i="1" s="1"/>
  <c r="O429" i="1"/>
  <c r="W429" i="1" s="1"/>
  <c r="K79" i="20" s="1"/>
  <c r="L79" i="20" s="1"/>
  <c r="N79" i="20" s="1"/>
  <c r="O79" i="20" s="1"/>
  <c r="O428" i="1"/>
  <c r="W428" i="1" s="1"/>
  <c r="O427" i="1"/>
  <c r="W427" i="1" s="1"/>
  <c r="O426" i="1"/>
  <c r="W426" i="1" s="1"/>
  <c r="O425" i="1"/>
  <c r="W425" i="1" s="1"/>
  <c r="O424" i="1"/>
  <c r="W424" i="1" s="1"/>
  <c r="O423" i="1"/>
  <c r="W423" i="1" s="1"/>
  <c r="O422" i="1"/>
  <c r="W422" i="1" s="1"/>
  <c r="O421" i="1"/>
  <c r="W421" i="1" s="1"/>
  <c r="O420" i="1"/>
  <c r="W420" i="1" s="1"/>
  <c r="O419" i="1"/>
  <c r="W419" i="1" s="1"/>
  <c r="K75" i="20" s="1"/>
  <c r="O392" i="1"/>
  <c r="O391" i="1"/>
  <c r="O390" i="1"/>
  <c r="W390" i="1" s="1"/>
  <c r="O389" i="1"/>
  <c r="W389" i="1" s="1"/>
  <c r="O388" i="1"/>
  <c r="W388" i="1" s="1"/>
  <c r="O387" i="1"/>
  <c r="W387" i="1" s="1"/>
  <c r="O386" i="1"/>
  <c r="W386" i="1" s="1"/>
  <c r="O385" i="1"/>
  <c r="W385" i="1" s="1"/>
  <c r="O384" i="1"/>
  <c r="W384" i="1" s="1"/>
  <c r="O383" i="1"/>
  <c r="W383" i="1" s="1"/>
  <c r="O382" i="1"/>
  <c r="W382" i="1" s="1"/>
  <c r="O381" i="1"/>
  <c r="W381" i="1" s="1"/>
  <c r="O380" i="1"/>
  <c r="W380" i="1" s="1"/>
  <c r="O379" i="1"/>
  <c r="W379" i="1" s="1"/>
  <c r="O378" i="1"/>
  <c r="W378" i="1" s="1"/>
  <c r="O377" i="1"/>
  <c r="W377" i="1" s="1"/>
  <c r="O376" i="1"/>
  <c r="W376" i="1" s="1"/>
  <c r="O375" i="1"/>
  <c r="W375" i="1" s="1"/>
  <c r="O374" i="1"/>
  <c r="W374" i="1" s="1"/>
  <c r="O373" i="1"/>
  <c r="W373" i="1" s="1"/>
  <c r="O372" i="1"/>
  <c r="W372" i="1" s="1"/>
  <c r="O371" i="1"/>
  <c r="W371" i="1" s="1"/>
  <c r="O370" i="1"/>
  <c r="W370" i="1" s="1"/>
  <c r="O369" i="1"/>
  <c r="W369" i="1" s="1"/>
  <c r="O368" i="1"/>
  <c r="W368" i="1" s="1"/>
  <c r="O367" i="1"/>
  <c r="W367" i="1" s="1"/>
  <c r="O366" i="1"/>
  <c r="W366" i="1" s="1"/>
  <c r="O365" i="1"/>
  <c r="W365" i="1" s="1"/>
  <c r="O364" i="1"/>
  <c r="W364" i="1" s="1"/>
  <c r="O363" i="1"/>
  <c r="W363" i="1" s="1"/>
  <c r="O362" i="1"/>
  <c r="W362" i="1" s="1"/>
  <c r="O361" i="1"/>
  <c r="W361" i="1" s="1"/>
  <c r="O360" i="1"/>
  <c r="W360" i="1" s="1"/>
  <c r="O359" i="1"/>
  <c r="W359" i="1" s="1"/>
  <c r="O358" i="1"/>
  <c r="W358" i="1" s="1"/>
  <c r="O357" i="1"/>
  <c r="W357" i="1" s="1"/>
  <c r="O356" i="1"/>
  <c r="W356" i="1" s="1"/>
  <c r="O355" i="1"/>
  <c r="W355" i="1" s="1"/>
  <c r="O354" i="1"/>
  <c r="W354" i="1" s="1"/>
  <c r="O353" i="1"/>
  <c r="W353" i="1" s="1"/>
  <c r="O352" i="1"/>
  <c r="W352" i="1" s="1"/>
  <c r="O351" i="1"/>
  <c r="W351" i="1" s="1"/>
  <c r="O350" i="1"/>
  <c r="W350" i="1" s="1"/>
  <c r="O349" i="1"/>
  <c r="W349" i="1" s="1"/>
  <c r="O348" i="1"/>
  <c r="W348" i="1" s="1"/>
  <c r="O347" i="1"/>
  <c r="W347" i="1" s="1"/>
  <c r="O346" i="1"/>
  <c r="W346" i="1" s="1"/>
  <c r="O345" i="1"/>
  <c r="W345" i="1" s="1"/>
  <c r="O344" i="1"/>
  <c r="W344" i="1" s="1"/>
  <c r="O343" i="1"/>
  <c r="W343" i="1" s="1"/>
  <c r="O342" i="1"/>
  <c r="W342" i="1" s="1"/>
  <c r="O341" i="1"/>
  <c r="W341" i="1" s="1"/>
  <c r="O340" i="1"/>
  <c r="W340" i="1" s="1"/>
  <c r="O339" i="1"/>
  <c r="W339" i="1" s="1"/>
  <c r="O338" i="1"/>
  <c r="W338" i="1" s="1"/>
  <c r="O337" i="1"/>
  <c r="W337" i="1" s="1"/>
  <c r="O336" i="1"/>
  <c r="W336" i="1" s="1"/>
  <c r="O335" i="1"/>
  <c r="W335" i="1" s="1"/>
  <c r="O334" i="1"/>
  <c r="W334" i="1" s="1"/>
  <c r="O333" i="1"/>
  <c r="W333" i="1" s="1"/>
  <c r="O332" i="1"/>
  <c r="W332" i="1" s="1"/>
  <c r="O331" i="1"/>
  <c r="W331" i="1" s="1"/>
  <c r="O330" i="1"/>
  <c r="W330" i="1" s="1"/>
  <c r="O329" i="1"/>
  <c r="W329" i="1" s="1"/>
  <c r="O328" i="1"/>
  <c r="W328" i="1" s="1"/>
  <c r="O327" i="1"/>
  <c r="W327" i="1" s="1"/>
  <c r="O326" i="1"/>
  <c r="W326" i="1" s="1"/>
  <c r="O325" i="1"/>
  <c r="W325" i="1" s="1"/>
  <c r="O324" i="1"/>
  <c r="W324" i="1" s="1"/>
  <c r="O323" i="1"/>
  <c r="W323" i="1" s="1"/>
  <c r="O322" i="1"/>
  <c r="W322" i="1" s="1"/>
  <c r="O321" i="1"/>
  <c r="W321" i="1" s="1"/>
  <c r="O320" i="1"/>
  <c r="W320" i="1" s="1"/>
  <c r="O319" i="1"/>
  <c r="W319" i="1" s="1"/>
  <c r="O318" i="1"/>
  <c r="W318" i="1" s="1"/>
  <c r="O317" i="1"/>
  <c r="W317" i="1" s="1"/>
  <c r="O316" i="1"/>
  <c r="W316" i="1" s="1"/>
  <c r="O315" i="1"/>
  <c r="W315" i="1" s="1"/>
  <c r="O314" i="1"/>
  <c r="W314" i="1" s="1"/>
  <c r="O313" i="1"/>
  <c r="W313" i="1" s="1"/>
  <c r="O312" i="1"/>
  <c r="W312" i="1" s="1"/>
  <c r="O311" i="1"/>
  <c r="W311" i="1" s="1"/>
  <c r="O310" i="1"/>
  <c r="W310" i="1" s="1"/>
  <c r="O309" i="1"/>
  <c r="W309" i="1" s="1"/>
  <c r="O308" i="1"/>
  <c r="W308" i="1" s="1"/>
  <c r="O307" i="1"/>
  <c r="W307" i="1" s="1"/>
  <c r="O306" i="1"/>
  <c r="W306" i="1" s="1"/>
  <c r="O305" i="1"/>
  <c r="W305" i="1" s="1"/>
  <c r="O304" i="1"/>
  <c r="W304" i="1" s="1"/>
  <c r="O303" i="1"/>
  <c r="W303" i="1" s="1"/>
  <c r="O302" i="1"/>
  <c r="W302" i="1" s="1"/>
  <c r="O301" i="1"/>
  <c r="W301" i="1" s="1"/>
  <c r="O300" i="1"/>
  <c r="W300" i="1" s="1"/>
  <c r="O299" i="1"/>
  <c r="W299" i="1" s="1"/>
  <c r="O298" i="1"/>
  <c r="W298" i="1" s="1"/>
  <c r="O297" i="1"/>
  <c r="W297" i="1" s="1"/>
  <c r="O296" i="1"/>
  <c r="W296" i="1" s="1"/>
  <c r="O295" i="1"/>
  <c r="W295" i="1" s="1"/>
  <c r="O294" i="1"/>
  <c r="W294" i="1" s="1"/>
  <c r="O293" i="1"/>
  <c r="W293" i="1" s="1"/>
  <c r="O292" i="1"/>
  <c r="W292" i="1" s="1"/>
  <c r="O291" i="1"/>
  <c r="W291" i="1" s="1"/>
  <c r="O290" i="1"/>
  <c r="W290" i="1" s="1"/>
  <c r="O289" i="1"/>
  <c r="W289" i="1" s="1"/>
  <c r="O288" i="1"/>
  <c r="W288" i="1" s="1"/>
  <c r="O287" i="1"/>
  <c r="W287" i="1" s="1"/>
  <c r="O286" i="1"/>
  <c r="W286" i="1" s="1"/>
  <c r="O285" i="1"/>
  <c r="W285" i="1" s="1"/>
  <c r="O284" i="1"/>
  <c r="W284" i="1" s="1"/>
  <c r="O283" i="1"/>
  <c r="W283" i="1" s="1"/>
  <c r="O282" i="1"/>
  <c r="W282" i="1" s="1"/>
  <c r="O281" i="1"/>
  <c r="W281" i="1" s="1"/>
  <c r="O280" i="1"/>
  <c r="W280" i="1" s="1"/>
  <c r="O279" i="1"/>
  <c r="W279" i="1" s="1"/>
  <c r="O278" i="1"/>
  <c r="W278" i="1" s="1"/>
  <c r="O277" i="1"/>
  <c r="W277" i="1" s="1"/>
  <c r="O276" i="1"/>
  <c r="W276" i="1" s="1"/>
  <c r="O275" i="1"/>
  <c r="W275" i="1" s="1"/>
  <c r="O274" i="1"/>
  <c r="W274" i="1" s="1"/>
  <c r="O273" i="1"/>
  <c r="W273" i="1" s="1"/>
  <c r="O272" i="1"/>
  <c r="W272" i="1" s="1"/>
  <c r="O271" i="1"/>
  <c r="W271" i="1" s="1"/>
  <c r="O270" i="1"/>
  <c r="W270" i="1" s="1"/>
  <c r="O269" i="1"/>
  <c r="W269" i="1" s="1"/>
  <c r="O268" i="1"/>
  <c r="W268" i="1" s="1"/>
  <c r="O267" i="1"/>
  <c r="W267" i="1" s="1"/>
  <c r="O265" i="1"/>
  <c r="W265" i="1" s="1"/>
  <c r="O264" i="1"/>
  <c r="W264" i="1" s="1"/>
  <c r="O263" i="1"/>
  <c r="W263" i="1" s="1"/>
  <c r="O262" i="1"/>
  <c r="W262" i="1" s="1"/>
  <c r="O261" i="1"/>
  <c r="W261" i="1" s="1"/>
  <c r="O260" i="1"/>
  <c r="W260" i="1" s="1"/>
  <c r="O259" i="1"/>
  <c r="W259" i="1" s="1"/>
  <c r="O258" i="1"/>
  <c r="W258" i="1" s="1"/>
  <c r="O257" i="1"/>
  <c r="W257" i="1" s="1"/>
  <c r="O256" i="1"/>
  <c r="W256" i="1" s="1"/>
  <c r="O255" i="1"/>
  <c r="W255" i="1" s="1"/>
  <c r="O254" i="1"/>
  <c r="W254" i="1" s="1"/>
  <c r="O253" i="1"/>
  <c r="W253" i="1" s="1"/>
  <c r="O252" i="1"/>
  <c r="W252" i="1" s="1"/>
  <c r="O251" i="1"/>
  <c r="W251" i="1" s="1"/>
  <c r="O250" i="1"/>
  <c r="W250" i="1" s="1"/>
  <c r="O249" i="1"/>
  <c r="W249" i="1" s="1"/>
  <c r="O248" i="1"/>
  <c r="W248" i="1" s="1"/>
  <c r="O247" i="1"/>
  <c r="W247" i="1" s="1"/>
  <c r="O246" i="1"/>
  <c r="W246" i="1" s="1"/>
  <c r="O245" i="1"/>
  <c r="W245" i="1" s="1"/>
  <c r="O244" i="1"/>
  <c r="W244" i="1" s="1"/>
  <c r="O243" i="1"/>
  <c r="W243" i="1" s="1"/>
  <c r="O242" i="1"/>
  <c r="W242" i="1" s="1"/>
  <c r="O241" i="1"/>
  <c r="W241" i="1" s="1"/>
  <c r="O240" i="1"/>
  <c r="W240" i="1" s="1"/>
  <c r="O239" i="1"/>
  <c r="W239" i="1" s="1"/>
  <c r="O238" i="1"/>
  <c r="W238" i="1" s="1"/>
  <c r="O237" i="1"/>
  <c r="W237" i="1" s="1"/>
  <c r="O236" i="1"/>
  <c r="W236" i="1" s="1"/>
  <c r="O235" i="1"/>
  <c r="W235" i="1" s="1"/>
  <c r="O234" i="1"/>
  <c r="W234" i="1" s="1"/>
  <c r="O233" i="1"/>
  <c r="W233" i="1" s="1"/>
  <c r="O232" i="1"/>
  <c r="W232" i="1" s="1"/>
  <c r="O231" i="1"/>
  <c r="W231" i="1" s="1"/>
  <c r="O230" i="1"/>
  <c r="W230" i="1" s="1"/>
  <c r="O229" i="1"/>
  <c r="W229" i="1" s="1"/>
  <c r="O228" i="1"/>
  <c r="W228" i="1" s="1"/>
  <c r="O227" i="1"/>
  <c r="W227" i="1" s="1"/>
  <c r="O226" i="1"/>
  <c r="W226" i="1" s="1"/>
  <c r="O225" i="1"/>
  <c r="W225" i="1" s="1"/>
  <c r="O224" i="1"/>
  <c r="W224" i="1" s="1"/>
  <c r="O223" i="1"/>
  <c r="W223" i="1" s="1"/>
  <c r="O222" i="1"/>
  <c r="W222" i="1" s="1"/>
  <c r="O221" i="1"/>
  <c r="W221" i="1" s="1"/>
  <c r="O220" i="1"/>
  <c r="W220" i="1" s="1"/>
  <c r="O219" i="1"/>
  <c r="W219" i="1" s="1"/>
  <c r="O218" i="1"/>
  <c r="W218" i="1" s="1"/>
  <c r="O217" i="1"/>
  <c r="W217" i="1" s="1"/>
  <c r="O216" i="1"/>
  <c r="W216" i="1" s="1"/>
  <c r="O215" i="1"/>
  <c r="W215" i="1" s="1"/>
  <c r="O214" i="1"/>
  <c r="W214" i="1" s="1"/>
  <c r="O213" i="1"/>
  <c r="W213" i="1" s="1"/>
  <c r="O212" i="1"/>
  <c r="W212" i="1" s="1"/>
  <c r="O211" i="1"/>
  <c r="W211" i="1" s="1"/>
  <c r="O210" i="1"/>
  <c r="W210" i="1" s="1"/>
  <c r="O209" i="1"/>
  <c r="W209" i="1" s="1"/>
  <c r="O208" i="1"/>
  <c r="W208" i="1" s="1"/>
  <c r="O207" i="1"/>
  <c r="W207" i="1" s="1"/>
  <c r="O206" i="1"/>
  <c r="W206" i="1" s="1"/>
  <c r="O205" i="1"/>
  <c r="W205" i="1" s="1"/>
  <c r="O204" i="1"/>
  <c r="W204" i="1" s="1"/>
  <c r="O203" i="1"/>
  <c r="W203" i="1" s="1"/>
  <c r="O202" i="1"/>
  <c r="W202" i="1" s="1"/>
  <c r="O201" i="1"/>
  <c r="W201" i="1" s="1"/>
  <c r="O200" i="1"/>
  <c r="W200" i="1" s="1"/>
  <c r="O199" i="1"/>
  <c r="W199" i="1" s="1"/>
  <c r="O198" i="1"/>
  <c r="W198" i="1" s="1"/>
  <c r="O197" i="1"/>
  <c r="W197" i="1" s="1"/>
  <c r="O196" i="1"/>
  <c r="W196" i="1" s="1"/>
  <c r="K165" i="20" s="1"/>
  <c r="L165" i="20" s="1"/>
  <c r="O191" i="1"/>
  <c r="W191" i="1" s="1"/>
  <c r="O190" i="1"/>
  <c r="W190" i="1" s="1"/>
  <c r="O189" i="1"/>
  <c r="W189" i="1" s="1"/>
  <c r="O188" i="1"/>
  <c r="W188" i="1" s="1"/>
  <c r="O187" i="1"/>
  <c r="W187" i="1" s="1"/>
  <c r="O186" i="1"/>
  <c r="W186" i="1" s="1"/>
  <c r="O185" i="1"/>
  <c r="W185" i="1" s="1"/>
  <c r="O184" i="1"/>
  <c r="W184" i="1" s="1"/>
  <c r="O183" i="1"/>
  <c r="W183" i="1" s="1"/>
  <c r="O182" i="1"/>
  <c r="W182" i="1" s="1"/>
  <c r="O181" i="1"/>
  <c r="W181" i="1" s="1"/>
  <c r="O180" i="1"/>
  <c r="W180" i="1" s="1"/>
  <c r="O179" i="1"/>
  <c r="W179" i="1" s="1"/>
  <c r="O178" i="1"/>
  <c r="W178" i="1" s="1"/>
  <c r="O177" i="1"/>
  <c r="W177" i="1" s="1"/>
  <c r="O176" i="1"/>
  <c r="W176" i="1" s="1"/>
  <c r="O175" i="1"/>
  <c r="W175" i="1" s="1"/>
  <c r="O174" i="1"/>
  <c r="W174" i="1" s="1"/>
  <c r="O173" i="1"/>
  <c r="W173" i="1" s="1"/>
  <c r="O172" i="1"/>
  <c r="W172" i="1" s="1"/>
  <c r="O171" i="1"/>
  <c r="W171" i="1" s="1"/>
  <c r="O170" i="1"/>
  <c r="W170" i="1" s="1"/>
  <c r="O169" i="1"/>
  <c r="W169" i="1" s="1"/>
  <c r="O168" i="1"/>
  <c r="W168" i="1" s="1"/>
  <c r="O167" i="1"/>
  <c r="W167" i="1" s="1"/>
  <c r="O166" i="1"/>
  <c r="W166" i="1" s="1"/>
  <c r="O165" i="1"/>
  <c r="W165" i="1" s="1"/>
  <c r="O164" i="1"/>
  <c r="W164" i="1" s="1"/>
  <c r="O163" i="1"/>
  <c r="W163" i="1" s="1"/>
  <c r="O162" i="1"/>
  <c r="W162" i="1" s="1"/>
  <c r="O161" i="1"/>
  <c r="W161" i="1" s="1"/>
  <c r="O160" i="1"/>
  <c r="W160" i="1" s="1"/>
  <c r="O159" i="1"/>
  <c r="W159" i="1" s="1"/>
  <c r="O158" i="1"/>
  <c r="W158" i="1" s="1"/>
  <c r="O157" i="1"/>
  <c r="W157" i="1" s="1"/>
  <c r="O156" i="1"/>
  <c r="W156" i="1" s="1"/>
  <c r="O155" i="1"/>
  <c r="W155" i="1" s="1"/>
  <c r="O154" i="1"/>
  <c r="W154" i="1" s="1"/>
  <c r="O153" i="1"/>
  <c r="W153" i="1" s="1"/>
  <c r="O152" i="1"/>
  <c r="W152" i="1" s="1"/>
  <c r="O151" i="1"/>
  <c r="W151" i="1" s="1"/>
  <c r="O150" i="1"/>
  <c r="W150" i="1" s="1"/>
  <c r="O149" i="1"/>
  <c r="W149" i="1" s="1"/>
  <c r="O148" i="1"/>
  <c r="W148" i="1" s="1"/>
  <c r="O147" i="1"/>
  <c r="W147" i="1" s="1"/>
  <c r="O146" i="1"/>
  <c r="W146" i="1" s="1"/>
  <c r="O145" i="1"/>
  <c r="W145" i="1" s="1"/>
  <c r="O144" i="1"/>
  <c r="W144" i="1" s="1"/>
  <c r="O143" i="1"/>
  <c r="W143" i="1" s="1"/>
  <c r="O142" i="1"/>
  <c r="W142" i="1" s="1"/>
  <c r="O141" i="1"/>
  <c r="W141" i="1" s="1"/>
  <c r="O140" i="1"/>
  <c r="W140" i="1" s="1"/>
  <c r="O139" i="1"/>
  <c r="W139" i="1" s="1"/>
  <c r="O138" i="1"/>
  <c r="W138" i="1" s="1"/>
  <c r="O137" i="1"/>
  <c r="W137" i="1" s="1"/>
  <c r="O136" i="1"/>
  <c r="W136" i="1" s="1"/>
  <c r="O135" i="1"/>
  <c r="W135" i="1" s="1"/>
  <c r="O134" i="1"/>
  <c r="W134" i="1" s="1"/>
  <c r="O133" i="1"/>
  <c r="W133" i="1" s="1"/>
  <c r="O132" i="1"/>
  <c r="W132" i="1" s="1"/>
  <c r="O131" i="1"/>
  <c r="W131" i="1" s="1"/>
  <c r="O130" i="1"/>
  <c r="W130" i="1" s="1"/>
  <c r="O129" i="1"/>
  <c r="W129" i="1" s="1"/>
  <c r="O128" i="1"/>
  <c r="W128" i="1" s="1"/>
  <c r="O127" i="1"/>
  <c r="W127" i="1" s="1"/>
  <c r="O126" i="1"/>
  <c r="W126" i="1" s="1"/>
  <c r="O125" i="1"/>
  <c r="W125" i="1" s="1"/>
  <c r="O124" i="1"/>
  <c r="W124" i="1" s="1"/>
  <c r="O123" i="1"/>
  <c r="W123" i="1" s="1"/>
  <c r="K140" i="20" s="1"/>
  <c r="L140" i="20" s="1"/>
  <c r="N140" i="20" s="1"/>
  <c r="O140" i="20" s="1"/>
  <c r="O122" i="1"/>
  <c r="W122" i="1" s="1"/>
  <c r="O121" i="1"/>
  <c r="W121" i="1" s="1"/>
  <c r="O120" i="1"/>
  <c r="W120" i="1" s="1"/>
  <c r="O119" i="1"/>
  <c r="W119" i="1" s="1"/>
  <c r="O118" i="1"/>
  <c r="W118" i="1" s="1"/>
  <c r="O117" i="1"/>
  <c r="W117" i="1" s="1"/>
  <c r="O116" i="1"/>
  <c r="W116" i="1" s="1"/>
  <c r="O115" i="1"/>
  <c r="W115" i="1" s="1"/>
  <c r="O114" i="1"/>
  <c r="W114" i="1" s="1"/>
  <c r="O113" i="1"/>
  <c r="W113" i="1" s="1"/>
  <c r="O112" i="1"/>
  <c r="W112" i="1" s="1"/>
  <c r="O111" i="1"/>
  <c r="W111" i="1" s="1"/>
  <c r="O110" i="1"/>
  <c r="W110" i="1" s="1"/>
  <c r="O109" i="1"/>
  <c r="W109" i="1" s="1"/>
  <c r="O108" i="1"/>
  <c r="W108" i="1" s="1"/>
  <c r="O107" i="1"/>
  <c r="W107" i="1" s="1"/>
  <c r="O106" i="1"/>
  <c r="W106" i="1" s="1"/>
  <c r="O105" i="1"/>
  <c r="W105" i="1" s="1"/>
  <c r="O104" i="1"/>
  <c r="W104" i="1" s="1"/>
  <c r="O103" i="1"/>
  <c r="W103" i="1" s="1"/>
  <c r="O102" i="1"/>
  <c r="W102" i="1" s="1"/>
  <c r="O101" i="1"/>
  <c r="W101" i="1" s="1"/>
  <c r="K132" i="20" s="1"/>
  <c r="L132" i="20" s="1"/>
  <c r="N132" i="20" s="1"/>
  <c r="O132" i="20" s="1"/>
  <c r="O100" i="1"/>
  <c r="W100" i="1" s="1"/>
  <c r="K131" i="20" s="1"/>
  <c r="L131" i="20" s="1"/>
  <c r="O55" i="1"/>
  <c r="O54" i="1"/>
  <c r="O53" i="1"/>
  <c r="O52" i="1"/>
  <c r="O51" i="1"/>
  <c r="O30" i="1"/>
  <c r="O29" i="1"/>
  <c r="O28" i="1"/>
  <c r="O27" i="1"/>
  <c r="O26" i="1"/>
  <c r="O25" i="1"/>
  <c r="O24" i="1"/>
  <c r="O23" i="1"/>
  <c r="O22" i="1"/>
  <c r="O21" i="1"/>
  <c r="O20" i="1"/>
  <c r="O19" i="1"/>
  <c r="O18" i="1"/>
  <c r="O17" i="1"/>
  <c r="O16" i="1"/>
  <c r="O15" i="1"/>
  <c r="O14" i="1"/>
  <c r="O13" i="1"/>
  <c r="O12" i="1"/>
  <c r="O9" i="1"/>
  <c r="W9" i="1" s="1"/>
  <c r="K26" i="20" s="1"/>
  <c r="J1482" i="1" l="1"/>
  <c r="J1485" i="1"/>
  <c r="J1499" i="1"/>
  <c r="J1493" i="1"/>
  <c r="J1500" i="1"/>
  <c r="J1484" i="1"/>
  <c r="J1498" i="1"/>
  <c r="J1449" i="1"/>
  <c r="J1450" i="1"/>
  <c r="J1451" i="1"/>
  <c r="J1312" i="1"/>
  <c r="J801" i="1"/>
  <c r="J837" i="1"/>
  <c r="J841" i="1"/>
  <c r="J734" i="1"/>
  <c r="J417" i="1"/>
  <c r="J735" i="1"/>
  <c r="J416" i="1"/>
  <c r="G526" i="20"/>
  <c r="G240" i="20"/>
  <c r="G413" i="17" s="1"/>
  <c r="G241" i="20"/>
  <c r="G525" i="20"/>
  <c r="G112" i="17" s="1"/>
  <c r="J464" i="1"/>
  <c r="G93" i="20"/>
  <c r="J266" i="1"/>
  <c r="G238" i="20"/>
  <c r="G95" i="17" s="1"/>
  <c r="G549" i="20"/>
  <c r="G240" i="17" s="1"/>
  <c r="J874" i="1"/>
  <c r="G286" i="20"/>
  <c r="G247" i="20"/>
  <c r="G125" i="17" s="1"/>
  <c r="G557" i="20"/>
  <c r="G248" i="17" s="1"/>
  <c r="J838" i="1"/>
  <c r="J1490" i="1"/>
  <c r="J1496" i="1"/>
  <c r="J1497" i="1"/>
  <c r="J1429" i="1"/>
  <c r="J1480" i="1"/>
  <c r="J1488" i="1"/>
  <c r="J1483" i="1"/>
  <c r="J1491" i="1"/>
  <c r="J1486" i="1"/>
  <c r="J1494" i="1"/>
  <c r="J1481" i="1"/>
  <c r="J1489" i="1"/>
  <c r="J1425" i="1"/>
  <c r="J1479" i="1"/>
  <c r="J1487" i="1"/>
  <c r="G637" i="20"/>
  <c r="G763" i="20"/>
  <c r="G632" i="20"/>
  <c r="G638" i="20"/>
  <c r="G648" i="20"/>
  <c r="G726" i="20"/>
  <c r="G635" i="20"/>
  <c r="G727" i="20"/>
  <c r="J1448" i="1"/>
  <c r="G598" i="20"/>
  <c r="J1309" i="1"/>
  <c r="J1315" i="1"/>
  <c r="J1323" i="1"/>
  <c r="J1310" i="1"/>
  <c r="J1318" i="1"/>
  <c r="J1317" i="1"/>
  <c r="J1313" i="1"/>
  <c r="J1308" i="1"/>
  <c r="J1316" i="1"/>
  <c r="J1319" i="1"/>
  <c r="J1311" i="1"/>
  <c r="J1314" i="1"/>
  <c r="G674" i="20"/>
  <c r="G675" i="20"/>
  <c r="G676" i="20"/>
  <c r="J864" i="1"/>
  <c r="J853" i="1"/>
  <c r="J908" i="1"/>
  <c r="J881" i="1"/>
  <c r="J912" i="1"/>
  <c r="J866" i="1"/>
  <c r="J875" i="1"/>
  <c r="J889" i="1"/>
  <c r="J872" i="1"/>
  <c r="J924" i="1"/>
  <c r="J918" i="1"/>
  <c r="J922" i="1"/>
  <c r="J910" i="1"/>
  <c r="J887" i="1"/>
  <c r="J879" i="1"/>
  <c r="J834" i="1"/>
  <c r="J914" i="1"/>
  <c r="J877" i="1"/>
  <c r="J847" i="1"/>
  <c r="J904" i="1"/>
  <c r="J868" i="1"/>
  <c r="J851" i="1"/>
  <c r="J849" i="1"/>
  <c r="G553" i="20"/>
  <c r="G550" i="20"/>
  <c r="G554" i="20"/>
  <c r="G559" i="20"/>
  <c r="G548" i="20"/>
  <c r="G560" i="20"/>
  <c r="G558" i="20"/>
  <c r="G197" i="20"/>
  <c r="G545" i="20"/>
  <c r="G543" i="20"/>
  <c r="G178" i="17" s="1"/>
  <c r="G551" i="20"/>
  <c r="G555" i="20"/>
  <c r="G546" i="20"/>
  <c r="G556" i="20"/>
  <c r="G544" i="20"/>
  <c r="G586" i="20"/>
  <c r="G547" i="20"/>
  <c r="G552" i="20"/>
  <c r="J823" i="1"/>
  <c r="J1426" i="1"/>
  <c r="J1424" i="1"/>
  <c r="J1430" i="1"/>
  <c r="J814" i="1"/>
  <c r="J816" i="1"/>
  <c r="J815" i="1"/>
  <c r="G73" i="20"/>
  <c r="G28" i="20"/>
  <c r="G29" i="20"/>
  <c r="G41" i="20"/>
  <c r="G62" i="17" s="1"/>
  <c r="G46" i="20"/>
  <c r="G67" i="17" s="1"/>
  <c r="G44" i="20"/>
  <c r="G65" i="17" s="1"/>
  <c r="G43" i="20"/>
  <c r="G64" i="17" s="1"/>
  <c r="G33" i="20"/>
  <c r="G54" i="17" s="1"/>
  <c r="G38" i="20"/>
  <c r="G59" i="17" s="1"/>
  <c r="G39" i="20"/>
  <c r="G60" i="17" s="1"/>
  <c r="G35" i="20"/>
  <c r="G56" i="17" s="1"/>
  <c r="G40" i="20"/>
  <c r="G61" i="17" s="1"/>
  <c r="G69" i="20"/>
  <c r="G45" i="20"/>
  <c r="G66" i="17" s="1"/>
  <c r="G47" i="20"/>
  <c r="G68" i="17" s="1"/>
  <c r="G32" i="20"/>
  <c r="G53" i="17" s="1"/>
  <c r="G67" i="20"/>
  <c r="G88" i="17" s="1"/>
  <c r="G50" i="20"/>
  <c r="G71" i="17" s="1"/>
  <c r="G71" i="20"/>
  <c r="G92" i="17" s="1"/>
  <c r="G70" i="20"/>
  <c r="G91" i="17" s="1"/>
  <c r="G54" i="20"/>
  <c r="G75" i="17" s="1"/>
  <c r="G53" i="20"/>
  <c r="G74" i="17" s="1"/>
  <c r="G51" i="20"/>
  <c r="G72" i="17" s="1"/>
  <c r="G48" i="20"/>
  <c r="G69" i="17" s="1"/>
  <c r="G37" i="20"/>
  <c r="G58" i="17" s="1"/>
  <c r="G36" i="20"/>
  <c r="G57" i="17" s="1"/>
  <c r="G42" i="20"/>
  <c r="G63" i="17" s="1"/>
  <c r="G68" i="20"/>
  <c r="G89" i="17" s="1"/>
  <c r="G49" i="20"/>
  <c r="G70" i="17" s="1"/>
  <c r="G72" i="20"/>
  <c r="G93" i="17" s="1"/>
  <c r="G34" i="20"/>
  <c r="G55" i="17" s="1"/>
  <c r="G31" i="20"/>
  <c r="G52" i="17" s="1"/>
  <c r="G30" i="20"/>
  <c r="G51" i="17" s="1"/>
  <c r="G52" i="20"/>
  <c r="G73" i="17" s="1"/>
  <c r="G27" i="20"/>
  <c r="G56" i="20"/>
  <c r="G77" i="17" s="1"/>
  <c r="G59" i="20"/>
  <c r="G80" i="17" s="1"/>
  <c r="G60" i="20"/>
  <c r="G81" i="17" s="1"/>
  <c r="G55" i="20"/>
  <c r="G76" i="17" s="1"/>
  <c r="G722" i="20"/>
  <c r="G176" i="17" s="1"/>
  <c r="G65" i="20"/>
  <c r="G86" i="17" s="1"/>
  <c r="G61" i="20"/>
  <c r="G82" i="17" s="1"/>
  <c r="G58" i="20"/>
  <c r="G79" i="17" s="1"/>
  <c r="G64" i="20"/>
  <c r="G85" i="17" s="1"/>
  <c r="G62" i="20"/>
  <c r="G83" i="17" s="1"/>
  <c r="G66" i="20"/>
  <c r="G87" i="17" s="1"/>
  <c r="G63" i="20"/>
  <c r="G84" i="17" s="1"/>
  <c r="G26" i="20"/>
  <c r="G251" i="17" s="1"/>
  <c r="G57" i="20"/>
  <c r="G78" i="17" s="1"/>
  <c r="J1082" i="1"/>
  <c r="J1083" i="1"/>
  <c r="J1084" i="1"/>
  <c r="J1081" i="1"/>
  <c r="J1085" i="1"/>
  <c r="J97" i="1"/>
  <c r="J34" i="1"/>
  <c r="J40" i="1"/>
  <c r="J56" i="1"/>
  <c r="J64" i="1"/>
  <c r="J72" i="1"/>
  <c r="J78" i="1"/>
  <c r="J86" i="1"/>
  <c r="J37" i="1"/>
  <c r="J61" i="1"/>
  <c r="J77" i="1"/>
  <c r="J38" i="1"/>
  <c r="J50" i="1"/>
  <c r="J62" i="1"/>
  <c r="J35" i="1"/>
  <c r="J57" i="1"/>
  <c r="J65" i="1"/>
  <c r="J73" i="1"/>
  <c r="J93" i="1"/>
  <c r="J81" i="1"/>
  <c r="J89" i="1"/>
  <c r="J58" i="1"/>
  <c r="J74" i="1"/>
  <c r="J76" i="1"/>
  <c r="J92" i="1"/>
  <c r="J47" i="1"/>
  <c r="J59" i="1"/>
  <c r="J75" i="1"/>
  <c r="J87" i="1"/>
  <c r="J36" i="1"/>
  <c r="J31" i="1"/>
  <c r="J43" i="1"/>
  <c r="J49" i="1"/>
  <c r="J99" i="1"/>
  <c r="J63" i="1"/>
  <c r="J46" i="1"/>
  <c r="J66" i="1"/>
  <c r="J84" i="1"/>
  <c r="J79" i="1"/>
  <c r="J42" i="1"/>
  <c r="J48" i="1"/>
  <c r="J60" i="1"/>
  <c r="J95" i="1"/>
  <c r="J91" i="1"/>
  <c r="J98" i="1"/>
  <c r="J41" i="1"/>
  <c r="J67" i="1"/>
  <c r="J96" i="1"/>
  <c r="J69" i="1"/>
  <c r="J85" i="1"/>
  <c r="J70" i="1"/>
  <c r="J33" i="1"/>
  <c r="J68" i="1"/>
  <c r="J94" i="1"/>
  <c r="J82" i="1"/>
  <c r="J90" i="1"/>
  <c r="J44" i="1"/>
  <c r="J80" i="1"/>
  <c r="J88" i="1"/>
  <c r="J32" i="1"/>
  <c r="J39" i="1"/>
  <c r="J71" i="1"/>
  <c r="J83" i="1"/>
  <c r="J45" i="1"/>
  <c r="VRA247" i="20"/>
  <c r="VQW247" i="20" s="1"/>
  <c r="VQS247" i="20" s="1"/>
  <c r="VQO247" i="20" s="1"/>
  <c r="VQZ247" i="20"/>
  <c r="G290" i="20"/>
  <c r="G292" i="20"/>
  <c r="G288" i="20"/>
  <c r="G289" i="20"/>
  <c r="G291" i="20"/>
  <c r="G260" i="20"/>
  <c r="G258" i="20"/>
  <c r="G259" i="20"/>
  <c r="G257" i="20"/>
  <c r="G253" i="17"/>
  <c r="J663" i="1"/>
  <c r="J671" i="1"/>
  <c r="J679" i="1"/>
  <c r="J664" i="1"/>
  <c r="J672" i="1"/>
  <c r="J680" i="1"/>
  <c r="J665" i="1"/>
  <c r="J673" i="1"/>
  <c r="J681" i="1"/>
  <c r="J666" i="1"/>
  <c r="J674" i="1"/>
  <c r="J682" i="1"/>
  <c r="J667" i="1"/>
  <c r="J675" i="1"/>
  <c r="J678" i="1"/>
  <c r="J668" i="1"/>
  <c r="J676" i="1"/>
  <c r="J670" i="1"/>
  <c r="J669" i="1"/>
  <c r="J677" i="1"/>
  <c r="J1523" i="1"/>
  <c r="J11" i="1"/>
  <c r="J839" i="1"/>
  <c r="J836" i="1"/>
  <c r="J10" i="1"/>
  <c r="J840" i="1"/>
  <c r="W861" i="1"/>
  <c r="K288" i="20" s="1"/>
  <c r="L288" i="20" s="1"/>
  <c r="I288" i="20"/>
  <c r="J288" i="20" s="1"/>
  <c r="G639" i="20"/>
  <c r="G728" i="20"/>
  <c r="G649" i="20"/>
  <c r="G724" i="20"/>
  <c r="G723" i="20"/>
  <c r="G642" i="20"/>
  <c r="G651" i="20"/>
  <c r="G652" i="20"/>
  <c r="G640" i="20"/>
  <c r="G653" i="20"/>
  <c r="G650" i="20"/>
  <c r="G646" i="20"/>
  <c r="G636" i="20"/>
  <c r="G631" i="20"/>
  <c r="G633" i="20"/>
  <c r="G725" i="20"/>
  <c r="G729" i="20"/>
  <c r="G644" i="20"/>
  <c r="G647" i="20"/>
  <c r="G645" i="20"/>
  <c r="G643" i="20"/>
  <c r="G641" i="20"/>
  <c r="G634" i="20"/>
  <c r="J1454" i="1"/>
  <c r="J1458" i="1"/>
  <c r="J1461" i="1"/>
  <c r="J1465" i="1"/>
  <c r="J1469" i="1"/>
  <c r="J1453" i="1"/>
  <c r="J1457" i="1"/>
  <c r="J1460" i="1"/>
  <c r="J1464" i="1"/>
  <c r="J1468" i="1"/>
  <c r="J1467" i="1"/>
  <c r="J1452" i="1"/>
  <c r="J1456" i="1"/>
  <c r="J1459" i="1"/>
  <c r="J1463" i="1"/>
  <c r="J1471" i="1"/>
  <c r="J1462" i="1"/>
  <c r="J1470" i="1"/>
  <c r="J1455" i="1"/>
  <c r="J1466" i="1"/>
  <c r="G605" i="20"/>
  <c r="G614" i="20"/>
  <c r="G608" i="20"/>
  <c r="G602" i="20"/>
  <c r="G613" i="20"/>
  <c r="G610" i="20"/>
  <c r="G595" i="20"/>
  <c r="G596" i="20"/>
  <c r="G612" i="20"/>
  <c r="G607" i="20"/>
  <c r="G617" i="20"/>
  <c r="G618" i="20"/>
  <c r="G601" i="20"/>
  <c r="G600" i="20"/>
  <c r="G616" i="20"/>
  <c r="G615" i="20"/>
  <c r="G599" i="20"/>
  <c r="G606" i="20"/>
  <c r="G604" i="20"/>
  <c r="G597" i="20"/>
  <c r="G609" i="20"/>
  <c r="G603" i="20"/>
  <c r="G611" i="20"/>
  <c r="G664" i="20"/>
  <c r="G673" i="20"/>
  <c r="G670" i="20"/>
  <c r="G663" i="20"/>
  <c r="G677" i="20"/>
  <c r="G667" i="20"/>
  <c r="G665" i="20"/>
  <c r="G668" i="20"/>
  <c r="G672" i="20"/>
  <c r="G671" i="20"/>
  <c r="G669" i="20"/>
  <c r="G666" i="20"/>
  <c r="G662" i="20"/>
  <c r="G492" i="20"/>
  <c r="G493" i="20"/>
  <c r="G498" i="20"/>
  <c r="G419" i="20"/>
  <c r="G491" i="20"/>
  <c r="G494" i="20"/>
  <c r="G421" i="20"/>
  <c r="G504" i="20"/>
  <c r="G505" i="20"/>
  <c r="G383" i="20"/>
  <c r="J1525" i="1"/>
  <c r="J1529" i="1"/>
  <c r="G384" i="20"/>
  <c r="G499" i="20"/>
  <c r="G502" i="20"/>
  <c r="G423" i="20"/>
  <c r="G324" i="20"/>
  <c r="G506" i="20"/>
  <c r="G382" i="20"/>
  <c r="G489" i="20"/>
  <c r="G325" i="20"/>
  <c r="J1524" i="1"/>
  <c r="J1528" i="1"/>
  <c r="G487" i="20"/>
  <c r="G500" i="20"/>
  <c r="G495" i="20"/>
  <c r="G385" i="20"/>
  <c r="G420" i="20"/>
  <c r="G488" i="20"/>
  <c r="G490" i="20"/>
  <c r="G497" i="20"/>
  <c r="G418" i="20"/>
  <c r="J1527" i="1"/>
  <c r="J1531" i="1"/>
  <c r="G503" i="20"/>
  <c r="G486" i="20"/>
  <c r="G326" i="20"/>
  <c r="G381" i="20"/>
  <c r="G417" i="20"/>
  <c r="G496" i="20"/>
  <c r="G501" i="20"/>
  <c r="G422" i="20"/>
  <c r="J1532" i="1"/>
  <c r="J1526" i="1"/>
  <c r="J1530" i="1"/>
  <c r="G279" i="20"/>
  <c r="G443" i="20"/>
  <c r="G280" i="20"/>
  <c r="G287" i="20"/>
  <c r="G444" i="20"/>
  <c r="G446" i="20"/>
  <c r="G447" i="20"/>
  <c r="G445" i="20"/>
  <c r="G282" i="20"/>
  <c r="G449" i="20"/>
  <c r="G284" i="20"/>
  <c r="G283" i="20"/>
  <c r="G442" i="20"/>
  <c r="G285" i="20"/>
  <c r="G281" i="20"/>
  <c r="G448" i="20"/>
  <c r="G450" i="20"/>
  <c r="G90" i="17"/>
  <c r="J413" i="1"/>
  <c r="J412" i="1"/>
  <c r="J411" i="1"/>
  <c r="G239" i="20"/>
  <c r="W660" i="1"/>
  <c r="K486" i="20" s="1"/>
  <c r="L486" i="20" s="1"/>
  <c r="I486" i="20"/>
  <c r="J486" i="20" s="1"/>
  <c r="Q486" i="20" s="1"/>
  <c r="W811" i="1"/>
  <c r="K553" i="20" s="1"/>
  <c r="L553" i="20" s="1"/>
  <c r="I553" i="20"/>
  <c r="J553" i="20" s="1"/>
  <c r="Q553" i="20" s="1"/>
  <c r="W869" i="1"/>
  <c r="K283" i="20" s="1"/>
  <c r="L283" i="20" s="1"/>
  <c r="I283" i="20"/>
  <c r="J283" i="20" s="1"/>
  <c r="W884" i="1"/>
  <c r="K284" i="20" s="1"/>
  <c r="L284" i="20" s="1"/>
  <c r="I284" i="20"/>
  <c r="J284" i="20" s="1"/>
  <c r="W894" i="1"/>
  <c r="K285" i="20" s="1"/>
  <c r="L285" i="20" s="1"/>
  <c r="I285" i="20"/>
  <c r="J285" i="20" s="1"/>
  <c r="W860" i="1"/>
  <c r="I280" i="20"/>
  <c r="J280" i="20" s="1"/>
  <c r="W919" i="1"/>
  <c r="K279" i="20" s="1"/>
  <c r="L279" i="20" s="1"/>
  <c r="I279" i="20"/>
  <c r="J279" i="20" s="1"/>
  <c r="W898" i="1"/>
  <c r="W854" i="1"/>
  <c r="I281" i="20"/>
  <c r="J281" i="20" s="1"/>
  <c r="W916" i="1"/>
  <c r="K276" i="20" s="1"/>
  <c r="L276" i="20" s="1"/>
  <c r="W848" i="1"/>
  <c r="K251" i="20" s="1"/>
  <c r="L251" i="20" s="1"/>
  <c r="I282" i="20"/>
  <c r="J282" i="20" s="1"/>
  <c r="W900" i="1"/>
  <c r="I287" i="20"/>
  <c r="J287" i="20" s="1"/>
  <c r="W883" i="1"/>
  <c r="K268" i="20" s="1"/>
  <c r="L268" i="20" s="1"/>
  <c r="W856" i="1"/>
  <c r="K255" i="20" s="1"/>
  <c r="L255" i="20" s="1"/>
  <c r="I278" i="20"/>
  <c r="J278" i="20" s="1"/>
  <c r="W862" i="1"/>
  <c r="W16" i="1"/>
  <c r="K33" i="20" s="1"/>
  <c r="L33" i="20" s="1"/>
  <c r="I33" i="20"/>
  <c r="J33" i="20" s="1"/>
  <c r="W24" i="1"/>
  <c r="K41" i="20" s="1"/>
  <c r="L41" i="20" s="1"/>
  <c r="I41" i="20"/>
  <c r="J41" i="20" s="1"/>
  <c r="W52" i="1"/>
  <c r="K69" i="20" s="1"/>
  <c r="L69" i="20" s="1"/>
  <c r="I69" i="20"/>
  <c r="J69" i="20" s="1"/>
  <c r="W17" i="1"/>
  <c r="K34" i="20" s="1"/>
  <c r="L34" i="20" s="1"/>
  <c r="I34" i="20"/>
  <c r="J34" i="20" s="1"/>
  <c r="W25" i="1"/>
  <c r="K42" i="20" s="1"/>
  <c r="L42" i="20" s="1"/>
  <c r="I42" i="20"/>
  <c r="J42" i="20" s="1"/>
  <c r="W53" i="1"/>
  <c r="K70" i="20" s="1"/>
  <c r="L70" i="20" s="1"/>
  <c r="I70" i="20"/>
  <c r="J70" i="20" s="1"/>
  <c r="W18" i="1"/>
  <c r="K35" i="20" s="1"/>
  <c r="L35" i="20" s="1"/>
  <c r="I35" i="20"/>
  <c r="J35" i="20" s="1"/>
  <c r="W12" i="1"/>
  <c r="K27" i="20" s="1"/>
  <c r="L27" i="20" s="1"/>
  <c r="I27" i="20"/>
  <c r="J27" i="20" s="1"/>
  <c r="W20" i="1"/>
  <c r="K37" i="20" s="1"/>
  <c r="L37" i="20" s="1"/>
  <c r="I37" i="20"/>
  <c r="J37" i="20" s="1"/>
  <c r="W28" i="1"/>
  <c r="K45" i="20" s="1"/>
  <c r="L45" i="20" s="1"/>
  <c r="I45" i="20"/>
  <c r="J45" i="20" s="1"/>
  <c r="W26" i="1"/>
  <c r="K43" i="20" s="1"/>
  <c r="L43" i="20" s="1"/>
  <c r="I43" i="20"/>
  <c r="J43" i="20" s="1"/>
  <c r="W19" i="1"/>
  <c r="K36" i="20" s="1"/>
  <c r="L36" i="20" s="1"/>
  <c r="I36" i="20"/>
  <c r="J36" i="20" s="1"/>
  <c r="W27" i="1"/>
  <c r="K44" i="20" s="1"/>
  <c r="L44" i="20" s="1"/>
  <c r="I44" i="20"/>
  <c r="J44" i="20" s="1"/>
  <c r="W55" i="1"/>
  <c r="K72" i="20" s="1"/>
  <c r="L72" i="20" s="1"/>
  <c r="I72" i="20"/>
  <c r="J72" i="20" s="1"/>
  <c r="W14" i="1"/>
  <c r="K31" i="20" s="1"/>
  <c r="L31" i="20" s="1"/>
  <c r="I31" i="20"/>
  <c r="J31" i="20" s="1"/>
  <c r="W30" i="1"/>
  <c r="K47" i="20" s="1"/>
  <c r="L47" i="20" s="1"/>
  <c r="I47" i="20"/>
  <c r="J47" i="20" s="1"/>
  <c r="W13" i="1"/>
  <c r="K30" i="20" s="1"/>
  <c r="L30" i="20" s="1"/>
  <c r="I30" i="20"/>
  <c r="J30" i="20" s="1"/>
  <c r="W21" i="1"/>
  <c r="K38" i="20" s="1"/>
  <c r="L38" i="20" s="1"/>
  <c r="I38" i="20"/>
  <c r="J38" i="20" s="1"/>
  <c r="W29" i="1"/>
  <c r="K46" i="20" s="1"/>
  <c r="L46" i="20" s="1"/>
  <c r="I46" i="20"/>
  <c r="J46" i="20" s="1"/>
  <c r="W22" i="1"/>
  <c r="K39" i="20" s="1"/>
  <c r="L39" i="20" s="1"/>
  <c r="I39" i="20"/>
  <c r="J39" i="20" s="1"/>
  <c r="W15" i="1"/>
  <c r="K32" i="20" s="1"/>
  <c r="L32" i="20" s="1"/>
  <c r="I32" i="20"/>
  <c r="J32" i="20" s="1"/>
  <c r="W23" i="1"/>
  <c r="K40" i="20" s="1"/>
  <c r="L40" i="20" s="1"/>
  <c r="I40" i="20"/>
  <c r="J40" i="20" s="1"/>
  <c r="W51" i="1"/>
  <c r="K68" i="20" s="1"/>
  <c r="L68" i="20" s="1"/>
  <c r="I68" i="20"/>
  <c r="J68" i="20" s="1"/>
  <c r="W54" i="1"/>
  <c r="K71" i="20" s="1"/>
  <c r="L71" i="20" s="1"/>
  <c r="I71" i="20"/>
  <c r="J71" i="20" s="1"/>
  <c r="J193" i="1"/>
  <c r="J194" i="1"/>
  <c r="J195" i="1"/>
  <c r="J333" i="1"/>
  <c r="J1377" i="1"/>
  <c r="J1371" i="1"/>
  <c r="J1365" i="1"/>
  <c r="J1369" i="1"/>
  <c r="J1373" i="1"/>
  <c r="J1367" i="1"/>
  <c r="J1375" i="1"/>
  <c r="J1363" i="1"/>
  <c r="J1374" i="1"/>
  <c r="J1368" i="1"/>
  <c r="J1372" i="1"/>
  <c r="J1376" i="1"/>
  <c r="J1370" i="1"/>
  <c r="J1364" i="1"/>
  <c r="J1366" i="1"/>
  <c r="J192" i="1"/>
  <c r="G164" i="20"/>
  <c r="G342" i="17" s="1"/>
  <c r="G692" i="20"/>
  <c r="G690" i="20"/>
  <c r="G689" i="20"/>
  <c r="G691" i="20"/>
  <c r="G688" i="20"/>
  <c r="J1134" i="1"/>
  <c r="G766" i="20"/>
  <c r="G764" i="20"/>
  <c r="G765" i="20"/>
  <c r="G767" i="20"/>
  <c r="W1275" i="1"/>
  <c r="K766" i="20" s="1"/>
  <c r="L766" i="20" s="1"/>
  <c r="I766" i="20"/>
  <c r="J766" i="20" s="1"/>
  <c r="W1272" i="1"/>
  <c r="K765" i="20" s="1"/>
  <c r="L765" i="20" s="1"/>
  <c r="I765" i="20"/>
  <c r="J765" i="20" s="1"/>
  <c r="W1269" i="1"/>
  <c r="K764" i="20" s="1"/>
  <c r="L764" i="20" s="1"/>
  <c r="I764" i="20"/>
  <c r="J764" i="20" s="1"/>
  <c r="W1266" i="1"/>
  <c r="K767" i="20" s="1"/>
  <c r="L767" i="20" s="1"/>
  <c r="I767" i="20"/>
  <c r="J767" i="20" s="1"/>
  <c r="J1190" i="1"/>
  <c r="J956" i="1"/>
  <c r="G230" i="20"/>
  <c r="G124" i="20"/>
  <c r="G303" i="17" s="1"/>
  <c r="J458" i="1"/>
  <c r="J903" i="1"/>
  <c r="J897" i="1"/>
  <c r="J906" i="1"/>
  <c r="J901" i="1"/>
  <c r="G233" i="20"/>
  <c r="G235" i="20"/>
  <c r="G232" i="20"/>
  <c r="G236" i="20"/>
  <c r="G411" i="17" s="1"/>
  <c r="G231" i="20"/>
  <c r="G234" i="20"/>
  <c r="G322" i="20"/>
  <c r="G278" i="20"/>
  <c r="J408" i="1"/>
  <c r="J400" i="1"/>
  <c r="J418" i="1"/>
  <c r="J405" i="1"/>
  <c r="J397" i="1"/>
  <c r="J410" i="1"/>
  <c r="J402" i="1"/>
  <c r="J394" i="1"/>
  <c r="J406" i="1"/>
  <c r="J398" i="1"/>
  <c r="J407" i="1"/>
  <c r="J399" i="1"/>
  <c r="J415" i="1"/>
  <c r="J404" i="1"/>
  <c r="J396" i="1"/>
  <c r="J403" i="1"/>
  <c r="J395" i="1"/>
  <c r="J409" i="1"/>
  <c r="J401" i="1"/>
  <c r="J393" i="1"/>
  <c r="J414" i="1"/>
  <c r="W391" i="1"/>
  <c r="W392" i="1"/>
  <c r="J1050" i="1"/>
  <c r="J1008" i="1"/>
  <c r="J957" i="1"/>
  <c r="G339" i="20"/>
  <c r="J627" i="1"/>
  <c r="J819" i="1"/>
  <c r="J1191" i="1"/>
  <c r="J749" i="1"/>
  <c r="J1049" i="1"/>
  <c r="J1001" i="1"/>
  <c r="J1094" i="1"/>
  <c r="J248" i="1"/>
  <c r="J1078" i="1"/>
  <c r="J553" i="1"/>
  <c r="J198" i="1"/>
  <c r="J936" i="1"/>
  <c r="J184" i="1"/>
  <c r="K250" i="20"/>
  <c r="L250" i="20" s="1"/>
  <c r="K262" i="20"/>
  <c r="L262" i="20" s="1"/>
  <c r="K266" i="20"/>
  <c r="L266" i="20" s="1"/>
  <c r="K270" i="20"/>
  <c r="L270" i="20" s="1"/>
  <c r="K274" i="20"/>
  <c r="L274" i="20" s="1"/>
  <c r="K293" i="20"/>
  <c r="L293" i="20" s="1"/>
  <c r="K297" i="20"/>
  <c r="L297" i="20" s="1"/>
  <c r="K306" i="20"/>
  <c r="L306" i="20" s="1"/>
  <c r="K310" i="20"/>
  <c r="L310" i="20" s="1"/>
  <c r="J1209" i="1"/>
  <c r="J1007" i="1"/>
  <c r="J628" i="1"/>
  <c r="J588" i="1"/>
  <c r="J1350" i="1"/>
  <c r="J718" i="1"/>
  <c r="J1326" i="1"/>
  <c r="J636" i="1"/>
  <c r="K440" i="20"/>
  <c r="L440" i="20" s="1"/>
  <c r="K314" i="20"/>
  <c r="L314" i="20" s="1"/>
  <c r="K330" i="20"/>
  <c r="L330" i="20" s="1"/>
  <c r="K56" i="20"/>
  <c r="L56" i="20" s="1"/>
  <c r="K60" i="20"/>
  <c r="L60" i="20" s="1"/>
  <c r="K64" i="20"/>
  <c r="L64" i="20" s="1"/>
  <c r="K321" i="20"/>
  <c r="L321" i="20" s="1"/>
  <c r="K341" i="20"/>
  <c r="L341" i="20" s="1"/>
  <c r="K345" i="20"/>
  <c r="L345" i="20" s="1"/>
  <c r="K349" i="20"/>
  <c r="L349" i="20" s="1"/>
  <c r="K353" i="20"/>
  <c r="L353" i="20" s="1"/>
  <c r="K357" i="20"/>
  <c r="L357" i="20" s="1"/>
  <c r="K361" i="20"/>
  <c r="L361" i="20" s="1"/>
  <c r="K365" i="20"/>
  <c r="L365" i="20" s="1"/>
  <c r="K369" i="20"/>
  <c r="L369" i="20" s="1"/>
  <c r="K373" i="20"/>
  <c r="L373" i="20" s="1"/>
  <c r="K406" i="20"/>
  <c r="L406" i="20" s="1"/>
  <c r="K564" i="20"/>
  <c r="L564" i="20" s="1"/>
  <c r="K378" i="20"/>
  <c r="L378" i="20" s="1"/>
  <c r="K392" i="20"/>
  <c r="L392" i="20" s="1"/>
  <c r="K572" i="20"/>
  <c r="L572" i="20" s="1"/>
  <c r="K580" i="20"/>
  <c r="L580" i="20" s="1"/>
  <c r="K588" i="20"/>
  <c r="L588" i="20" s="1"/>
  <c r="K620" i="20"/>
  <c r="L620" i="20" s="1"/>
  <c r="J1348" i="1"/>
  <c r="J1207" i="1"/>
  <c r="J1093" i="1"/>
  <c r="J778" i="1"/>
  <c r="J531" i="1"/>
  <c r="J1303" i="1"/>
  <c r="J1161" i="1"/>
  <c r="J855" i="1"/>
  <c r="J741" i="1"/>
  <c r="J1475" i="1"/>
  <c r="J1159" i="1"/>
  <c r="J854" i="1"/>
  <c r="J722" i="1"/>
  <c r="J1285" i="1"/>
  <c r="J846" i="1"/>
  <c r="J1386" i="1"/>
  <c r="J1239" i="1"/>
  <c r="J1101" i="1"/>
  <c r="J876" i="1"/>
  <c r="J1381" i="1"/>
  <c r="J1238" i="1"/>
  <c r="J1096" i="1"/>
  <c r="J989" i="1"/>
  <c r="J824" i="1"/>
  <c r="K628" i="20"/>
  <c r="L628" i="20" s="1"/>
  <c r="K655" i="20"/>
  <c r="L655" i="20" s="1"/>
  <c r="K678" i="20"/>
  <c r="L678" i="20" s="1"/>
  <c r="K686" i="20"/>
  <c r="L686" i="20" s="1"/>
  <c r="K699" i="20"/>
  <c r="L699" i="20" s="1"/>
  <c r="K133" i="20"/>
  <c r="L133" i="20" s="1"/>
  <c r="K147" i="20"/>
  <c r="L147" i="20" s="1"/>
  <c r="K163" i="20"/>
  <c r="L163" i="20" s="1"/>
  <c r="K178" i="20"/>
  <c r="L178" i="20" s="1"/>
  <c r="K194" i="20"/>
  <c r="L194" i="20" s="1"/>
  <c r="K210" i="20"/>
  <c r="L210" i="20" s="1"/>
  <c r="K218" i="20"/>
  <c r="L218" i="20" s="1"/>
  <c r="K82" i="20"/>
  <c r="L82" i="20" s="1"/>
  <c r="K107" i="20"/>
  <c r="L107" i="20" s="1"/>
  <c r="K117" i="20"/>
  <c r="L117" i="20" s="1"/>
  <c r="K459" i="20"/>
  <c r="L459" i="20" s="1"/>
  <c r="K467" i="20"/>
  <c r="L467" i="20" s="1"/>
  <c r="K481" i="20"/>
  <c r="L481" i="20" s="1"/>
  <c r="K541" i="20"/>
  <c r="L541" i="20" s="1"/>
  <c r="K558" i="20"/>
  <c r="L558" i="20" s="1"/>
  <c r="K155" i="20"/>
  <c r="L155" i="20" s="1"/>
  <c r="K170" i="20"/>
  <c r="L170" i="20" s="1"/>
  <c r="K186" i="20"/>
  <c r="L186" i="20" s="1"/>
  <c r="K202" i="20"/>
  <c r="L202" i="20" s="1"/>
  <c r="K226" i="20"/>
  <c r="L226" i="20" s="1"/>
  <c r="K76" i="20"/>
  <c r="L76" i="20" s="1"/>
  <c r="K101" i="20"/>
  <c r="L101" i="20" s="1"/>
  <c r="K473" i="20"/>
  <c r="L473" i="20" s="1"/>
  <c r="K509" i="20"/>
  <c r="L509" i="20" s="1"/>
  <c r="K517" i="20"/>
  <c r="L517" i="20" s="1"/>
  <c r="K533" i="20"/>
  <c r="L533" i="20" s="1"/>
  <c r="K547" i="20"/>
  <c r="L547" i="20" s="1"/>
  <c r="K244" i="20"/>
  <c r="K249" i="20"/>
  <c r="L249" i="20" s="1"/>
  <c r="K55" i="20"/>
  <c r="L55" i="20" s="1"/>
  <c r="K59" i="20"/>
  <c r="L59" i="20" s="1"/>
  <c r="K63" i="20"/>
  <c r="L63" i="20" s="1"/>
  <c r="K336" i="20"/>
  <c r="L336" i="20" s="1"/>
  <c r="K148" i="20"/>
  <c r="L148" i="20" s="1"/>
  <c r="K179" i="20"/>
  <c r="L179" i="20" s="1"/>
  <c r="K187" i="20"/>
  <c r="L187" i="20" s="1"/>
  <c r="K211" i="20"/>
  <c r="L211" i="20" s="1"/>
  <c r="K227" i="20"/>
  <c r="L227" i="20" s="1"/>
  <c r="K134" i="20"/>
  <c r="L134" i="20" s="1"/>
  <c r="K156" i="20"/>
  <c r="L156" i="20" s="1"/>
  <c r="K171" i="20"/>
  <c r="L171" i="20" s="1"/>
  <c r="K195" i="20"/>
  <c r="L195" i="20" s="1"/>
  <c r="K203" i="20"/>
  <c r="L203" i="20" s="1"/>
  <c r="K219" i="20"/>
  <c r="L219" i="20" s="1"/>
  <c r="K83" i="20"/>
  <c r="L83" i="20" s="1"/>
  <c r="K108" i="20"/>
  <c r="L108" i="20" s="1"/>
  <c r="K460" i="20"/>
  <c r="L460" i="20" s="1"/>
  <c r="K474" i="20"/>
  <c r="L474" i="20" s="1"/>
  <c r="K510" i="20"/>
  <c r="L510" i="20" s="1"/>
  <c r="K534" i="20"/>
  <c r="L534" i="20" s="1"/>
  <c r="K548" i="20"/>
  <c r="L548" i="20" s="1"/>
  <c r="K565" i="20"/>
  <c r="L565" i="20" s="1"/>
  <c r="K573" i="20"/>
  <c r="L573" i="20" s="1"/>
  <c r="K581" i="20"/>
  <c r="L581" i="20" s="1"/>
  <c r="K589" i="20"/>
  <c r="L589" i="20" s="1"/>
  <c r="K621" i="20"/>
  <c r="L621" i="20" s="1"/>
  <c r="K629" i="20"/>
  <c r="L629" i="20" s="1"/>
  <c r="K656" i="20"/>
  <c r="L656" i="20" s="1"/>
  <c r="K679" i="20"/>
  <c r="L679" i="20" s="1"/>
  <c r="K687" i="20"/>
  <c r="L687" i="20" s="1"/>
  <c r="K700" i="20"/>
  <c r="L700" i="20" s="1"/>
  <c r="K77" i="20"/>
  <c r="L77" i="20" s="1"/>
  <c r="K102" i="20"/>
  <c r="L102" i="20" s="1"/>
  <c r="K118" i="20"/>
  <c r="L118" i="20" s="1"/>
  <c r="K468" i="20"/>
  <c r="L468" i="20" s="1"/>
  <c r="K482" i="20"/>
  <c r="L482" i="20" s="1"/>
  <c r="K518" i="20"/>
  <c r="L518" i="20" s="1"/>
  <c r="K542" i="20"/>
  <c r="L542" i="20" s="1"/>
  <c r="K559" i="20"/>
  <c r="L559" i="20" s="1"/>
  <c r="K141" i="20"/>
  <c r="L141" i="20" s="1"/>
  <c r="K157" i="20"/>
  <c r="L157" i="20" s="1"/>
  <c r="K180" i="20"/>
  <c r="L180" i="20" s="1"/>
  <c r="K196" i="20"/>
  <c r="L196" i="20" s="1"/>
  <c r="K204" i="20"/>
  <c r="L204" i="20" s="1"/>
  <c r="K212" i="20"/>
  <c r="L212" i="20" s="1"/>
  <c r="K220" i="20"/>
  <c r="L220" i="20" s="1"/>
  <c r="K228" i="20"/>
  <c r="L228" i="20" s="1"/>
  <c r="K78" i="20"/>
  <c r="L78" i="20" s="1"/>
  <c r="K135" i="20"/>
  <c r="L135" i="20" s="1"/>
  <c r="K149" i="20"/>
  <c r="L149" i="20" s="1"/>
  <c r="K172" i="20"/>
  <c r="L172" i="20" s="1"/>
  <c r="K188" i="20"/>
  <c r="L188" i="20" s="1"/>
  <c r="K84" i="20"/>
  <c r="L84" i="20" s="1"/>
  <c r="K95" i="20"/>
  <c r="L95" i="20" s="1"/>
  <c r="K103" i="20"/>
  <c r="L103" i="20" s="1"/>
  <c r="K109" i="20"/>
  <c r="L109" i="20" s="1"/>
  <c r="K113" i="20"/>
  <c r="L113" i="20" s="1"/>
  <c r="K119" i="20"/>
  <c r="L119" i="20" s="1"/>
  <c r="K125" i="20"/>
  <c r="L125" i="20" s="1"/>
  <c r="K461" i="20"/>
  <c r="L461" i="20" s="1"/>
  <c r="K469" i="20"/>
  <c r="L469" i="20" s="1"/>
  <c r="K475" i="20"/>
  <c r="L475" i="20" s="1"/>
  <c r="K483" i="20"/>
  <c r="L483" i="20" s="1"/>
  <c r="K511" i="20"/>
  <c r="L511" i="20" s="1"/>
  <c r="K519" i="20"/>
  <c r="L519" i="20" s="1"/>
  <c r="K535" i="20"/>
  <c r="L535" i="20" s="1"/>
  <c r="K550" i="20"/>
  <c r="L550" i="20" s="1"/>
  <c r="K560" i="20"/>
  <c r="L560" i="20" s="1"/>
  <c r="K303" i="20"/>
  <c r="L303" i="20" s="1"/>
  <c r="K320" i="20"/>
  <c r="L320" i="20" s="1"/>
  <c r="K344" i="20"/>
  <c r="L344" i="20" s="1"/>
  <c r="K348" i="20"/>
  <c r="L348" i="20" s="1"/>
  <c r="K352" i="20"/>
  <c r="L352" i="20" s="1"/>
  <c r="K356" i="20"/>
  <c r="L356" i="20" s="1"/>
  <c r="K360" i="20"/>
  <c r="L360" i="20" s="1"/>
  <c r="K364" i="20"/>
  <c r="L364" i="20" s="1"/>
  <c r="K368" i="20"/>
  <c r="L368" i="20" s="1"/>
  <c r="K372" i="20"/>
  <c r="L372" i="20" s="1"/>
  <c r="K391" i="20"/>
  <c r="L391" i="20" s="1"/>
  <c r="K411" i="20"/>
  <c r="L411" i="20" s="1"/>
  <c r="K416" i="20"/>
  <c r="L416" i="20" s="1"/>
  <c r="K574" i="20"/>
  <c r="L574" i="20" s="1"/>
  <c r="K582" i="20"/>
  <c r="L582" i="20" s="1"/>
  <c r="K590" i="20"/>
  <c r="L590" i="20" s="1"/>
  <c r="K622" i="20"/>
  <c r="L622" i="20" s="1"/>
  <c r="K630" i="20"/>
  <c r="L630" i="20" s="1"/>
  <c r="K657" i="20"/>
  <c r="L657" i="20" s="1"/>
  <c r="K680" i="20"/>
  <c r="L680" i="20" s="1"/>
  <c r="K693" i="20"/>
  <c r="L693" i="20" s="1"/>
  <c r="K701" i="20"/>
  <c r="L701" i="20" s="1"/>
  <c r="K146" i="20"/>
  <c r="L146" i="20" s="1"/>
  <c r="K154" i="20"/>
  <c r="L154" i="20" s="1"/>
  <c r="K162" i="20"/>
  <c r="L162" i="20" s="1"/>
  <c r="K169" i="20"/>
  <c r="L169" i="20" s="1"/>
  <c r="K177" i="20"/>
  <c r="L177" i="20" s="1"/>
  <c r="K185" i="20"/>
  <c r="L185" i="20" s="1"/>
  <c r="K193" i="20"/>
  <c r="L193" i="20" s="1"/>
  <c r="K201" i="20"/>
  <c r="L201" i="20" s="1"/>
  <c r="K209" i="20"/>
  <c r="L209" i="20" s="1"/>
  <c r="K217" i="20"/>
  <c r="L217" i="20" s="1"/>
  <c r="K225" i="20"/>
  <c r="L225" i="20" s="1"/>
  <c r="K81" i="20"/>
  <c r="L81" i="20" s="1"/>
  <c r="K100" i="20"/>
  <c r="L100" i="20" s="1"/>
  <c r="K106" i="20"/>
  <c r="L106" i="20" s="1"/>
  <c r="K116" i="20"/>
  <c r="L116" i="20" s="1"/>
  <c r="K130" i="20"/>
  <c r="L130" i="20" s="1"/>
  <c r="K458" i="20"/>
  <c r="L458" i="20" s="1"/>
  <c r="K466" i="20"/>
  <c r="L466" i="20" s="1"/>
  <c r="K480" i="20"/>
  <c r="L480" i="20" s="1"/>
  <c r="K508" i="20"/>
  <c r="L508" i="20" s="1"/>
  <c r="K516" i="20"/>
  <c r="L516" i="20" s="1"/>
  <c r="K524" i="20"/>
  <c r="L524" i="20" s="1"/>
  <c r="K532" i="20"/>
  <c r="L532" i="20" s="1"/>
  <c r="K540" i="20"/>
  <c r="L540" i="20" s="1"/>
  <c r="K546" i="20"/>
  <c r="L546" i="20" s="1"/>
  <c r="K556" i="20"/>
  <c r="L556" i="20" s="1"/>
  <c r="K246" i="20"/>
  <c r="L246" i="20" s="1"/>
  <c r="K263" i="20"/>
  <c r="L263" i="20" s="1"/>
  <c r="K566" i="20"/>
  <c r="L566" i="20" s="1"/>
  <c r="K267" i="20"/>
  <c r="L267" i="20" s="1"/>
  <c r="K271" i="20"/>
  <c r="L271" i="20" s="1"/>
  <c r="K275" i="20"/>
  <c r="L275" i="20" s="1"/>
  <c r="K294" i="20"/>
  <c r="L294" i="20" s="1"/>
  <c r="K298" i="20"/>
  <c r="L298" i="20" s="1"/>
  <c r="K307" i="20"/>
  <c r="L307" i="20" s="1"/>
  <c r="K311" i="20"/>
  <c r="L311" i="20" s="1"/>
  <c r="K315" i="20"/>
  <c r="L315" i="20" s="1"/>
  <c r="K376" i="20"/>
  <c r="L376" i="20" s="1"/>
  <c r="K563" i="20"/>
  <c r="K571" i="20"/>
  <c r="L571" i="20" s="1"/>
  <c r="K579" i="20"/>
  <c r="L579" i="20" s="1"/>
  <c r="K587" i="20"/>
  <c r="L587" i="20" s="1"/>
  <c r="K619" i="20"/>
  <c r="L619" i="20" s="1"/>
  <c r="K627" i="20"/>
  <c r="L627" i="20" s="1"/>
  <c r="K654" i="20"/>
  <c r="L654" i="20" s="1"/>
  <c r="K685" i="20"/>
  <c r="L685" i="20" s="1"/>
  <c r="K698" i="20"/>
  <c r="L698" i="20" s="1"/>
  <c r="K660" i="20"/>
  <c r="L660" i="20" s="1"/>
  <c r="K683" i="20"/>
  <c r="L683" i="20" s="1"/>
  <c r="K58" i="20"/>
  <c r="L58" i="20" s="1"/>
  <c r="K62" i="20"/>
  <c r="L62" i="20" s="1"/>
  <c r="K66" i="20"/>
  <c r="L66" i="20" s="1"/>
  <c r="K137" i="20"/>
  <c r="L137" i="20" s="1"/>
  <c r="K143" i="20"/>
  <c r="L143" i="20" s="1"/>
  <c r="K151" i="20"/>
  <c r="L151" i="20" s="1"/>
  <c r="K159" i="20"/>
  <c r="L159" i="20" s="1"/>
  <c r="K166" i="20"/>
  <c r="L166" i="20" s="1"/>
  <c r="K174" i="20"/>
  <c r="L174" i="20" s="1"/>
  <c r="K182" i="20"/>
  <c r="L182" i="20" s="1"/>
  <c r="K190" i="20"/>
  <c r="L190" i="20" s="1"/>
  <c r="K198" i="20"/>
  <c r="L198" i="20" s="1"/>
  <c r="K206" i="20"/>
  <c r="L206" i="20" s="1"/>
  <c r="K214" i="20"/>
  <c r="L214" i="20" s="1"/>
  <c r="K222" i="20"/>
  <c r="L222" i="20" s="1"/>
  <c r="K86" i="20"/>
  <c r="L86" i="20" s="1"/>
  <c r="K97" i="20"/>
  <c r="L97" i="20" s="1"/>
  <c r="K121" i="20"/>
  <c r="L121" i="20" s="1"/>
  <c r="K127" i="20"/>
  <c r="L127" i="20" s="1"/>
  <c r="K455" i="20"/>
  <c r="L455" i="20" s="1"/>
  <c r="K463" i="20"/>
  <c r="L463" i="20" s="1"/>
  <c r="K471" i="20"/>
  <c r="L471" i="20" s="1"/>
  <c r="K477" i="20"/>
  <c r="L477" i="20" s="1"/>
  <c r="K485" i="20"/>
  <c r="L485" i="20" s="1"/>
  <c r="K513" i="20"/>
  <c r="L513" i="20" s="1"/>
  <c r="K521" i="20"/>
  <c r="L521" i="20" s="1"/>
  <c r="K529" i="20"/>
  <c r="L529" i="20" s="1"/>
  <c r="K537" i="20"/>
  <c r="L537" i="20" s="1"/>
  <c r="K552" i="20"/>
  <c r="L552" i="20" s="1"/>
  <c r="K302" i="20"/>
  <c r="L302" i="20" s="1"/>
  <c r="K319" i="20"/>
  <c r="L319" i="20" s="1"/>
  <c r="K323" i="20"/>
  <c r="L323" i="20" s="1"/>
  <c r="K343" i="20"/>
  <c r="L343" i="20" s="1"/>
  <c r="K347" i="20"/>
  <c r="L347" i="20" s="1"/>
  <c r="K351" i="20"/>
  <c r="L351" i="20" s="1"/>
  <c r="K355" i="20"/>
  <c r="L355" i="20" s="1"/>
  <c r="K359" i="20"/>
  <c r="L359" i="20" s="1"/>
  <c r="K363" i="20"/>
  <c r="L363" i="20" s="1"/>
  <c r="K367" i="20"/>
  <c r="L367" i="20" s="1"/>
  <c r="K371" i="20"/>
  <c r="L371" i="20" s="1"/>
  <c r="K380" i="20"/>
  <c r="L380" i="20" s="1"/>
  <c r="K390" i="20"/>
  <c r="L390" i="20" s="1"/>
  <c r="K415" i="20"/>
  <c r="L415" i="20" s="1"/>
  <c r="K568" i="20"/>
  <c r="L568" i="20" s="1"/>
  <c r="K576" i="20"/>
  <c r="L576" i="20" s="1"/>
  <c r="K584" i="20"/>
  <c r="L584" i="20" s="1"/>
  <c r="K592" i="20"/>
  <c r="L592" i="20" s="1"/>
  <c r="K624" i="20"/>
  <c r="L624" i="20" s="1"/>
  <c r="K659" i="20"/>
  <c r="L659" i="20" s="1"/>
  <c r="K682" i="20"/>
  <c r="L682" i="20" s="1"/>
  <c r="K695" i="20"/>
  <c r="L695" i="20" s="1"/>
  <c r="K138" i="20"/>
  <c r="L138" i="20" s="1"/>
  <c r="K144" i="20"/>
  <c r="L144" i="20" s="1"/>
  <c r="K152" i="20"/>
  <c r="L152" i="20" s="1"/>
  <c r="K160" i="20"/>
  <c r="L160" i="20" s="1"/>
  <c r="K167" i="20"/>
  <c r="L167" i="20" s="1"/>
  <c r="K175" i="20"/>
  <c r="L175" i="20" s="1"/>
  <c r="K183" i="20"/>
  <c r="L183" i="20" s="1"/>
  <c r="K191" i="20"/>
  <c r="L191" i="20" s="1"/>
  <c r="K199" i="20"/>
  <c r="L199" i="20" s="1"/>
  <c r="K207" i="20"/>
  <c r="L207" i="20" s="1"/>
  <c r="K215" i="20"/>
  <c r="L215" i="20" s="1"/>
  <c r="K223" i="20"/>
  <c r="L223" i="20" s="1"/>
  <c r="L75" i="20"/>
  <c r="K87" i="20"/>
  <c r="L87" i="20" s="1"/>
  <c r="K91" i="20"/>
  <c r="L91" i="20" s="1"/>
  <c r="K98" i="20"/>
  <c r="L98" i="20" s="1"/>
  <c r="K122" i="20"/>
  <c r="L122" i="20" s="1"/>
  <c r="K128" i="20"/>
  <c r="L128" i="20" s="1"/>
  <c r="K456" i="20"/>
  <c r="L456" i="20" s="1"/>
  <c r="K464" i="20"/>
  <c r="L464" i="20" s="1"/>
  <c r="K478" i="20"/>
  <c r="L478" i="20" s="1"/>
  <c r="K514" i="20"/>
  <c r="L514" i="20" s="1"/>
  <c r="K522" i="20"/>
  <c r="L522" i="20" s="1"/>
  <c r="K530" i="20"/>
  <c r="L530" i="20" s="1"/>
  <c r="K538" i="20"/>
  <c r="L538" i="20" s="1"/>
  <c r="K544" i="20"/>
  <c r="L544" i="20" s="1"/>
  <c r="K554" i="20"/>
  <c r="L554" i="20" s="1"/>
  <c r="K248" i="20"/>
  <c r="L248" i="20" s="1"/>
  <c r="K252" i="20"/>
  <c r="L252" i="20" s="1"/>
  <c r="K256" i="20"/>
  <c r="L256" i="20" s="1"/>
  <c r="K264" i="20"/>
  <c r="L264" i="20" s="1"/>
  <c r="K295" i="20"/>
  <c r="L295" i="20" s="1"/>
  <c r="K299" i="20"/>
  <c r="L299" i="20" s="1"/>
  <c r="K308" i="20"/>
  <c r="L308" i="20" s="1"/>
  <c r="K312" i="20"/>
  <c r="L312" i="20" s="1"/>
  <c r="K316" i="20"/>
  <c r="L316" i="20" s="1"/>
  <c r="K328" i="20"/>
  <c r="L328" i="20" s="1"/>
  <c r="K387" i="20"/>
  <c r="L387" i="20" s="1"/>
  <c r="K569" i="20"/>
  <c r="L569" i="20" s="1"/>
  <c r="K577" i="20"/>
  <c r="L577" i="20" s="1"/>
  <c r="K585" i="20"/>
  <c r="L585" i="20" s="1"/>
  <c r="K593" i="20"/>
  <c r="L593" i="20" s="1"/>
  <c r="K625" i="20"/>
  <c r="L625" i="20" s="1"/>
  <c r="K696" i="20"/>
  <c r="L696" i="20" s="1"/>
  <c r="L26" i="20"/>
  <c r="L453" i="20"/>
  <c r="K136" i="20"/>
  <c r="L136" i="20" s="1"/>
  <c r="K142" i="20"/>
  <c r="L142" i="20" s="1"/>
  <c r="K150" i="20"/>
  <c r="L150" i="20" s="1"/>
  <c r="K158" i="20"/>
  <c r="L158" i="20" s="1"/>
  <c r="K173" i="20"/>
  <c r="L173" i="20" s="1"/>
  <c r="K181" i="20"/>
  <c r="L181" i="20" s="1"/>
  <c r="K189" i="20"/>
  <c r="L189" i="20" s="1"/>
  <c r="K197" i="20"/>
  <c r="L197" i="20" s="1"/>
  <c r="K205" i="20"/>
  <c r="L205" i="20" s="1"/>
  <c r="K213" i="20"/>
  <c r="L213" i="20" s="1"/>
  <c r="K221" i="20"/>
  <c r="L221" i="20" s="1"/>
  <c r="K229" i="20"/>
  <c r="L229" i="20" s="1"/>
  <c r="K85" i="20"/>
  <c r="L85" i="20" s="1"/>
  <c r="K96" i="20"/>
  <c r="L96" i="20" s="1"/>
  <c r="K104" i="20"/>
  <c r="L104" i="20" s="1"/>
  <c r="K110" i="20"/>
  <c r="L110" i="20" s="1"/>
  <c r="K114" i="20"/>
  <c r="L114" i="20" s="1"/>
  <c r="K120" i="20"/>
  <c r="L120" i="20" s="1"/>
  <c r="K126" i="20"/>
  <c r="L126" i="20" s="1"/>
  <c r="K454" i="20"/>
  <c r="L454" i="20" s="1"/>
  <c r="K462" i="20"/>
  <c r="L462" i="20" s="1"/>
  <c r="K470" i="20"/>
  <c r="L470" i="20" s="1"/>
  <c r="K476" i="20"/>
  <c r="L476" i="20" s="1"/>
  <c r="K484" i="20"/>
  <c r="L484" i="20" s="1"/>
  <c r="K512" i="20"/>
  <c r="L512" i="20" s="1"/>
  <c r="K520" i="20"/>
  <c r="L520" i="20" s="1"/>
  <c r="K528" i="20"/>
  <c r="L528" i="20" s="1"/>
  <c r="K536" i="20"/>
  <c r="L536" i="20" s="1"/>
  <c r="K551" i="20"/>
  <c r="L551" i="20" s="1"/>
  <c r="K253" i="20"/>
  <c r="L253" i="20" s="1"/>
  <c r="K265" i="20"/>
  <c r="L265" i="20" s="1"/>
  <c r="K269" i="20"/>
  <c r="L269" i="20" s="1"/>
  <c r="K273" i="20"/>
  <c r="L273" i="20" s="1"/>
  <c r="K277" i="20"/>
  <c r="L277" i="20" s="1"/>
  <c r="K296" i="20"/>
  <c r="L296" i="20" s="1"/>
  <c r="K300" i="20"/>
  <c r="L300" i="20" s="1"/>
  <c r="K305" i="20"/>
  <c r="L305" i="20" s="1"/>
  <c r="K309" i="20"/>
  <c r="L309" i="20" s="1"/>
  <c r="K313" i="20"/>
  <c r="L313" i="20" s="1"/>
  <c r="K317" i="20"/>
  <c r="L317" i="20" s="1"/>
  <c r="K329" i="20"/>
  <c r="L329" i="20" s="1"/>
  <c r="K335" i="20"/>
  <c r="L335" i="20" s="1"/>
  <c r="K567" i="20"/>
  <c r="L567" i="20" s="1"/>
  <c r="K575" i="20"/>
  <c r="L575" i="20" s="1"/>
  <c r="K583" i="20"/>
  <c r="L583" i="20" s="1"/>
  <c r="K591" i="20"/>
  <c r="L591" i="20" s="1"/>
  <c r="K623" i="20"/>
  <c r="L623" i="20" s="1"/>
  <c r="K658" i="20"/>
  <c r="L658" i="20" s="1"/>
  <c r="K681" i="20"/>
  <c r="L681" i="20" s="1"/>
  <c r="K694" i="20"/>
  <c r="L694" i="20" s="1"/>
  <c r="K57" i="20"/>
  <c r="L57" i="20" s="1"/>
  <c r="K61" i="20"/>
  <c r="L61" i="20" s="1"/>
  <c r="K65" i="20"/>
  <c r="L65" i="20" s="1"/>
  <c r="K139" i="20"/>
  <c r="L139" i="20" s="1"/>
  <c r="K145" i="20"/>
  <c r="L145" i="20" s="1"/>
  <c r="K153" i="20"/>
  <c r="L153" i="20" s="1"/>
  <c r="K161" i="20"/>
  <c r="L161" i="20" s="1"/>
  <c r="K168" i="20"/>
  <c r="L168" i="20" s="1"/>
  <c r="K176" i="20"/>
  <c r="L176" i="20" s="1"/>
  <c r="K184" i="20"/>
  <c r="L184" i="20" s="1"/>
  <c r="K192" i="20"/>
  <c r="L192" i="20" s="1"/>
  <c r="K200" i="20"/>
  <c r="L200" i="20" s="1"/>
  <c r="K208" i="20"/>
  <c r="L208" i="20" s="1"/>
  <c r="K216" i="20"/>
  <c r="L216" i="20" s="1"/>
  <c r="K224" i="20"/>
  <c r="L224" i="20" s="1"/>
  <c r="K80" i="20"/>
  <c r="L80" i="20" s="1"/>
  <c r="K88" i="20"/>
  <c r="L88" i="20" s="1"/>
  <c r="K92" i="20"/>
  <c r="L92" i="20" s="1"/>
  <c r="K99" i="20"/>
  <c r="L99" i="20" s="1"/>
  <c r="K123" i="20"/>
  <c r="L123" i="20" s="1"/>
  <c r="K129" i="20"/>
  <c r="L129" i="20" s="1"/>
  <c r="K457" i="20"/>
  <c r="L457" i="20" s="1"/>
  <c r="K465" i="20"/>
  <c r="L465" i="20" s="1"/>
  <c r="K479" i="20"/>
  <c r="L479" i="20" s="1"/>
  <c r="K507" i="20"/>
  <c r="L507" i="20" s="1"/>
  <c r="K515" i="20"/>
  <c r="L515" i="20" s="1"/>
  <c r="K523" i="20"/>
  <c r="L523" i="20" s="1"/>
  <c r="K531" i="20"/>
  <c r="L531" i="20" s="1"/>
  <c r="K539" i="20"/>
  <c r="L539" i="20" s="1"/>
  <c r="K545" i="20"/>
  <c r="L545" i="20" s="1"/>
  <c r="K555" i="20"/>
  <c r="L555" i="20" s="1"/>
  <c r="K322" i="20"/>
  <c r="L322" i="20" s="1"/>
  <c r="K342" i="20"/>
  <c r="L342" i="20" s="1"/>
  <c r="K346" i="20"/>
  <c r="L346" i="20" s="1"/>
  <c r="K350" i="20"/>
  <c r="L350" i="20" s="1"/>
  <c r="K354" i="20"/>
  <c r="L354" i="20" s="1"/>
  <c r="K358" i="20"/>
  <c r="L358" i="20" s="1"/>
  <c r="K362" i="20"/>
  <c r="L362" i="20" s="1"/>
  <c r="K366" i="20"/>
  <c r="L366" i="20" s="1"/>
  <c r="K370" i="20"/>
  <c r="L370" i="20" s="1"/>
  <c r="K374" i="20"/>
  <c r="L374" i="20" s="1"/>
  <c r="K379" i="20"/>
  <c r="L379" i="20" s="1"/>
  <c r="K389" i="20"/>
  <c r="L389" i="20" s="1"/>
  <c r="K393" i="20"/>
  <c r="L393" i="20" s="1"/>
  <c r="K414" i="20"/>
  <c r="L414" i="20" s="1"/>
  <c r="K441" i="20"/>
  <c r="L441" i="20" s="1"/>
  <c r="K570" i="20"/>
  <c r="L570" i="20" s="1"/>
  <c r="K578" i="20"/>
  <c r="L578" i="20" s="1"/>
  <c r="K586" i="20"/>
  <c r="L586" i="20" s="1"/>
  <c r="K594" i="20"/>
  <c r="L594" i="20" s="1"/>
  <c r="K626" i="20"/>
  <c r="L626" i="20" s="1"/>
  <c r="K661" i="20"/>
  <c r="L661" i="20" s="1"/>
  <c r="K684" i="20"/>
  <c r="L684" i="20" s="1"/>
  <c r="K697" i="20"/>
  <c r="L697" i="20" s="1"/>
  <c r="I599" i="19"/>
  <c r="J599" i="19" s="1"/>
  <c r="L599" i="19" s="1"/>
  <c r="I593" i="19"/>
  <c r="J593" i="19" s="1"/>
  <c r="L593" i="19" s="1"/>
  <c r="I600" i="19"/>
  <c r="J600" i="19" s="1"/>
  <c r="L600" i="19" s="1"/>
  <c r="I592" i="19"/>
  <c r="J592" i="19" s="1"/>
  <c r="L592" i="19" s="1"/>
  <c r="I586" i="19"/>
  <c r="J586" i="19" s="1"/>
  <c r="L586" i="19" s="1"/>
  <c r="I594" i="19"/>
  <c r="J594" i="19" s="1"/>
  <c r="L594" i="19" s="1"/>
  <c r="I601" i="19"/>
  <c r="J601" i="19" s="1"/>
  <c r="L601" i="19" s="1"/>
  <c r="I598" i="19"/>
  <c r="J598" i="19" s="1"/>
  <c r="L598" i="19" s="1"/>
  <c r="I584" i="19"/>
  <c r="J584" i="19" s="1"/>
  <c r="L584" i="19" s="1"/>
  <c r="I588" i="19"/>
  <c r="J588" i="19" s="1"/>
  <c r="L588" i="19" s="1"/>
  <c r="I603" i="19"/>
  <c r="J603" i="19" s="1"/>
  <c r="L603" i="19" s="1"/>
  <c r="I602" i="19"/>
  <c r="J602" i="19" s="1"/>
  <c r="L602" i="19" s="1"/>
  <c r="I591" i="19"/>
  <c r="J591" i="19" s="1"/>
  <c r="L591" i="19" s="1"/>
  <c r="I587" i="19"/>
  <c r="J587" i="19" s="1"/>
  <c r="L587" i="19" s="1"/>
  <c r="I589" i="19"/>
  <c r="J589" i="19" s="1"/>
  <c r="L589" i="19" s="1"/>
  <c r="I596" i="19"/>
  <c r="J596" i="19" s="1"/>
  <c r="L596" i="19" s="1"/>
  <c r="I590" i="19"/>
  <c r="J590" i="19" s="1"/>
  <c r="L590" i="19" s="1"/>
  <c r="I597" i="19"/>
  <c r="J597" i="19" s="1"/>
  <c r="L597" i="19" s="1"/>
  <c r="J561" i="1"/>
  <c r="J165" i="1"/>
  <c r="J133" i="1"/>
  <c r="J108" i="1"/>
  <c r="J1108" i="1"/>
  <c r="J1077" i="1"/>
  <c r="J935" i="1"/>
  <c r="J923" i="1"/>
  <c r="J777" i="1"/>
  <c r="J569" i="1"/>
  <c r="J156" i="1"/>
  <c r="J140" i="1"/>
  <c r="J115" i="1"/>
  <c r="J1107" i="1"/>
  <c r="J1099" i="1"/>
  <c r="J1089" i="1"/>
  <c r="J1076" i="1"/>
  <c r="J987" i="1"/>
  <c r="J899" i="1"/>
  <c r="J920" i="1"/>
  <c r="J919" i="1"/>
  <c r="J852" i="1"/>
  <c r="J863" i="1"/>
  <c r="J784" i="1"/>
  <c r="J776" i="1"/>
  <c r="J747" i="1"/>
  <c r="J738" i="1"/>
  <c r="J710" i="1"/>
  <c r="J620" i="1"/>
  <c r="J576" i="1"/>
  <c r="J568" i="1"/>
  <c r="J559" i="1"/>
  <c r="J551" i="1"/>
  <c r="J179" i="1"/>
  <c r="J171" i="1"/>
  <c r="J163" i="1"/>
  <c r="J155" i="1"/>
  <c r="J147" i="1"/>
  <c r="J139" i="1"/>
  <c r="J131" i="1"/>
  <c r="J122" i="1"/>
  <c r="J114" i="1"/>
  <c r="J106" i="1"/>
  <c r="J570" i="1"/>
  <c r="J157" i="1"/>
  <c r="J141" i="1"/>
  <c r="J116" i="1"/>
  <c r="J862" i="1"/>
  <c r="J871" i="1"/>
  <c r="J740" i="1"/>
  <c r="J577" i="1"/>
  <c r="J552" i="1"/>
  <c r="J180" i="1"/>
  <c r="J164" i="1"/>
  <c r="J132" i="1"/>
  <c r="J107" i="1"/>
  <c r="J1106" i="1"/>
  <c r="J1098" i="1"/>
  <c r="J1088" i="1"/>
  <c r="J1075" i="1"/>
  <c r="J986" i="1"/>
  <c r="J891" i="1"/>
  <c r="J883" i="1"/>
  <c r="J882" i="1"/>
  <c r="J833" i="1"/>
  <c r="J878" i="1"/>
  <c r="J783" i="1"/>
  <c r="J766" i="1"/>
  <c r="J746" i="1"/>
  <c r="J737" i="1"/>
  <c r="J702" i="1"/>
  <c r="J610" i="1"/>
  <c r="J575" i="1"/>
  <c r="J567" i="1"/>
  <c r="J558" i="1"/>
  <c r="J550" i="1"/>
  <c r="J524" i="1"/>
  <c r="J191" i="1"/>
  <c r="J178" i="1"/>
  <c r="J170" i="1"/>
  <c r="J162" i="1"/>
  <c r="J154" i="1"/>
  <c r="J146" i="1"/>
  <c r="J138" i="1"/>
  <c r="J130" i="1"/>
  <c r="J121" i="1"/>
  <c r="J113" i="1"/>
  <c r="J105" i="1"/>
  <c r="J748" i="1"/>
  <c r="J1105" i="1"/>
  <c r="J1097" i="1"/>
  <c r="J1087" i="1"/>
  <c r="J1074" i="1"/>
  <c r="J993" i="1"/>
  <c r="J985" i="1"/>
  <c r="J895" i="1"/>
  <c r="J845" i="1"/>
  <c r="J844" i="1"/>
  <c r="J835" i="1"/>
  <c r="J858" i="1"/>
  <c r="J782" i="1"/>
  <c r="J765" i="1"/>
  <c r="J745" i="1"/>
  <c r="J736" i="1"/>
  <c r="J694" i="1"/>
  <c r="J609" i="1"/>
  <c r="J574" i="1"/>
  <c r="J566" i="1"/>
  <c r="J557" i="1"/>
  <c r="J549" i="1"/>
  <c r="J523" i="1"/>
  <c r="J190" i="1"/>
  <c r="J177" i="1"/>
  <c r="J169" i="1"/>
  <c r="J161" i="1"/>
  <c r="J153" i="1"/>
  <c r="J145" i="1"/>
  <c r="J137" i="1"/>
  <c r="J129" i="1"/>
  <c r="J120" i="1"/>
  <c r="J112" i="1"/>
  <c r="J599" i="1"/>
  <c r="J541" i="1"/>
  <c r="J173" i="1"/>
  <c r="J149" i="1"/>
  <c r="J125" i="1"/>
  <c r="J1100" i="1"/>
  <c r="J988" i="1"/>
  <c r="J560" i="1"/>
  <c r="J172" i="1"/>
  <c r="J148" i="1"/>
  <c r="J124" i="1"/>
  <c r="J1104" i="1"/>
  <c r="J1086" i="1"/>
  <c r="J1073" i="1"/>
  <c r="J992" i="1"/>
  <c r="J984" i="1"/>
  <c r="J885" i="1"/>
  <c r="J843" i="1"/>
  <c r="J842" i="1"/>
  <c r="J867" i="1"/>
  <c r="J915" i="1"/>
  <c r="J781" i="1"/>
  <c r="J764" i="1"/>
  <c r="J744" i="1"/>
  <c r="J731" i="1"/>
  <c r="J660" i="1"/>
  <c r="J608" i="1"/>
  <c r="J573" i="1"/>
  <c r="J564" i="1"/>
  <c r="J556" i="1"/>
  <c r="J548" i="1"/>
  <c r="J522" i="1"/>
  <c r="J189" i="1"/>
  <c r="J176" i="1"/>
  <c r="J168" i="1"/>
  <c r="J160" i="1"/>
  <c r="J152" i="1"/>
  <c r="J144" i="1"/>
  <c r="J136" i="1"/>
  <c r="J128" i="1"/>
  <c r="J119" i="1"/>
  <c r="J111" i="1"/>
  <c r="J1092" i="1"/>
  <c r="J860" i="1"/>
  <c r="J540" i="1"/>
  <c r="J1103" i="1"/>
  <c r="J1095" i="1"/>
  <c r="J1080" i="1"/>
  <c r="J1072" i="1"/>
  <c r="J991" i="1"/>
  <c r="J870" i="1"/>
  <c r="J859" i="1"/>
  <c r="J909" i="1"/>
  <c r="J921" i="1"/>
  <c r="J826" i="1"/>
  <c r="J780" i="1"/>
  <c r="J751" i="1"/>
  <c r="J743" i="1"/>
  <c r="J724" i="1"/>
  <c r="J652" i="1"/>
  <c r="J601" i="1"/>
  <c r="J572" i="1"/>
  <c r="J563" i="1"/>
  <c r="J555" i="1"/>
  <c r="J547" i="1"/>
  <c r="J188" i="1"/>
  <c r="J175" i="1"/>
  <c r="J167" i="1"/>
  <c r="J159" i="1"/>
  <c r="J151" i="1"/>
  <c r="J143" i="1"/>
  <c r="J135" i="1"/>
  <c r="J127" i="1"/>
  <c r="J118" i="1"/>
  <c r="J110" i="1"/>
  <c r="J101" i="1"/>
  <c r="J1517" i="1"/>
  <c r="J1518" i="1"/>
  <c r="J1519" i="1"/>
  <c r="J1520" i="1"/>
  <c r="J1521" i="1"/>
  <c r="J1514" i="1"/>
  <c r="J1522" i="1"/>
  <c r="J1515" i="1"/>
  <c r="J1516" i="1"/>
  <c r="G297" i="19"/>
  <c r="G70" i="19"/>
  <c r="G136" i="19"/>
  <c r="G176" i="19"/>
  <c r="G201" i="19"/>
  <c r="G289" i="19"/>
  <c r="G616" i="19"/>
  <c r="G242" i="19"/>
  <c r="G542" i="19"/>
  <c r="G170" i="20"/>
  <c r="G245" i="20"/>
  <c r="G123" i="17" s="1"/>
  <c r="G332" i="20"/>
  <c r="G402" i="20"/>
  <c r="G480" i="20"/>
  <c r="G378" i="19"/>
  <c r="G177" i="19"/>
  <c r="G530" i="19"/>
  <c r="G92" i="19"/>
  <c r="G162" i="19"/>
  <c r="G227" i="19"/>
  <c r="G291" i="19"/>
  <c r="G355" i="19"/>
  <c r="G420" i="19"/>
  <c r="G485" i="19"/>
  <c r="G129" i="19"/>
  <c r="G526" i="19"/>
  <c r="G86" i="19"/>
  <c r="G155" i="19"/>
  <c r="G220" i="19"/>
  <c r="G284" i="19"/>
  <c r="G655" i="20"/>
  <c r="G403" i="19"/>
  <c r="G140" i="19"/>
  <c r="G213" i="19"/>
  <c r="G277" i="19"/>
  <c r="G341" i="19"/>
  <c r="G406" i="19"/>
  <c r="G605" i="19"/>
  <c r="G624" i="20"/>
  <c r="G419" i="19"/>
  <c r="G132" i="19"/>
  <c r="G74" i="19"/>
  <c r="G133" i="19"/>
  <c r="G206" i="19"/>
  <c r="G270" i="19"/>
  <c r="G434" i="19"/>
  <c r="G218" i="19"/>
  <c r="G45" i="19"/>
  <c r="G60" i="19"/>
  <c r="G118" i="19"/>
  <c r="G182" i="19"/>
  <c r="G247" i="19"/>
  <c r="G311" i="19"/>
  <c r="G376" i="19"/>
  <c r="G440" i="19"/>
  <c r="G82" i="19"/>
  <c r="G143" i="19"/>
  <c r="G81" i="20"/>
  <c r="G260" i="17" s="1"/>
  <c r="G578" i="20"/>
  <c r="G316" i="19"/>
  <c r="G381" i="19"/>
  <c r="G445" i="19"/>
  <c r="G510" i="19"/>
  <c r="G547" i="19"/>
  <c r="G140" i="20"/>
  <c r="G319" i="17" s="1"/>
  <c r="G204" i="20"/>
  <c r="G380" i="17" s="1"/>
  <c r="G299" i="20"/>
  <c r="G367" i="20"/>
  <c r="G458" i="20"/>
  <c r="G98" i="20"/>
  <c r="G277" i="17" s="1"/>
  <c r="G620" i="20"/>
  <c r="G334" i="19"/>
  <c r="G399" i="19"/>
  <c r="G464" i="19"/>
  <c r="G524" i="19"/>
  <c r="G556" i="19"/>
  <c r="G149" i="20"/>
  <c r="G328" i="17" s="1"/>
  <c r="G329" i="19"/>
  <c r="G112" i="19"/>
  <c r="G168" i="19"/>
  <c r="G217" i="19"/>
  <c r="G249" i="19"/>
  <c r="G370" i="19"/>
  <c r="G94" i="20"/>
  <c r="G273" i="17" s="1"/>
  <c r="G290" i="19"/>
  <c r="G550" i="19"/>
  <c r="G178" i="20"/>
  <c r="G254" i="20"/>
  <c r="G341" i="20"/>
  <c r="G410" i="20"/>
  <c r="G508" i="20"/>
  <c r="G601" i="19"/>
  <c r="G226" i="19"/>
  <c r="G566" i="19"/>
  <c r="G107" i="19"/>
  <c r="G170" i="19"/>
  <c r="G235" i="19"/>
  <c r="G299" i="19"/>
  <c r="G364" i="19"/>
  <c r="G428" i="19"/>
  <c r="G493" i="19"/>
  <c r="G169" i="19"/>
  <c r="G546" i="19"/>
  <c r="G93" i="19"/>
  <c r="G163" i="19"/>
  <c r="G228" i="19"/>
  <c r="G292" i="19"/>
  <c r="G57" i="19"/>
  <c r="G452" i="19"/>
  <c r="G148" i="19"/>
  <c r="G221" i="19"/>
  <c r="G285" i="19"/>
  <c r="G349" i="19"/>
  <c r="G414" i="19"/>
  <c r="G597" i="19"/>
  <c r="G78" i="19"/>
  <c r="G468" i="19"/>
  <c r="G164" i="19"/>
  <c r="G80" i="19"/>
  <c r="G141" i="19"/>
  <c r="G214" i="19"/>
  <c r="G278" i="19"/>
  <c r="G442" i="19"/>
  <c r="G109" i="20"/>
  <c r="G288" i="17" s="1"/>
  <c r="G250" i="19"/>
  <c r="G66" i="19"/>
  <c r="G68" i="19"/>
  <c r="G126" i="19"/>
  <c r="G190" i="19"/>
  <c r="G255" i="19"/>
  <c r="G319" i="19"/>
  <c r="G384" i="19"/>
  <c r="G449" i="19"/>
  <c r="G90" i="19"/>
  <c r="G151" i="19"/>
  <c r="G89" i="20"/>
  <c r="G268" i="17" s="1"/>
  <c r="G324" i="19"/>
  <c r="G389" i="19"/>
  <c r="G454" i="19"/>
  <c r="G518" i="19"/>
  <c r="G551" i="19"/>
  <c r="G147" i="20"/>
  <c r="G326" i="17" s="1"/>
  <c r="G212" i="20"/>
  <c r="G387" i="17" s="1"/>
  <c r="G307" i="20"/>
  <c r="G375" i="20"/>
  <c r="G466" i="20"/>
  <c r="G112" i="20"/>
  <c r="G291" i="17" s="1"/>
  <c r="G628" i="20"/>
  <c r="G342" i="19"/>
  <c r="G407" i="19"/>
  <c r="G472" i="19"/>
  <c r="G528" i="19"/>
  <c r="G560" i="19"/>
  <c r="G157" i="20"/>
  <c r="G336" i="17" s="1"/>
  <c r="G56" i="19"/>
  <c r="G144" i="19"/>
  <c r="G225" i="19"/>
  <c r="G241" i="19"/>
  <c r="G305" i="19"/>
  <c r="G410" i="19"/>
  <c r="G137" i="20"/>
  <c r="G316" i="17" s="1"/>
  <c r="G338" i="19"/>
  <c r="G562" i="19"/>
  <c r="G186" i="20"/>
  <c r="G363" i="17" s="1"/>
  <c r="G266" i="20"/>
  <c r="G349" i="20"/>
  <c r="G425" i="20"/>
  <c r="G516" i="20"/>
  <c r="G87" i="20"/>
  <c r="G266" i="17" s="1"/>
  <c r="G266" i="19"/>
  <c r="G34" i="19"/>
  <c r="G114" i="19"/>
  <c r="G178" i="19"/>
  <c r="G243" i="19"/>
  <c r="G307" i="19"/>
  <c r="G372" i="19"/>
  <c r="G436" i="19"/>
  <c r="G501" i="19"/>
  <c r="G210" i="19"/>
  <c r="G35" i="19"/>
  <c r="G100" i="19"/>
  <c r="G171" i="19"/>
  <c r="G236" i="19"/>
  <c r="G300" i="19"/>
  <c r="G99" i="19"/>
  <c r="G492" i="19"/>
  <c r="G156" i="19"/>
  <c r="G229" i="19"/>
  <c r="G293" i="19"/>
  <c r="G357" i="19"/>
  <c r="G422" i="19"/>
  <c r="G589" i="19"/>
  <c r="G137" i="19"/>
  <c r="G516" i="19"/>
  <c r="G29" i="19"/>
  <c r="G88" i="19"/>
  <c r="G149" i="19"/>
  <c r="G222" i="19"/>
  <c r="G286" i="19"/>
  <c r="G451" i="19"/>
  <c r="G584" i="20"/>
  <c r="G298" i="19"/>
  <c r="G87" i="19"/>
  <c r="G75" i="19"/>
  <c r="G134" i="19"/>
  <c r="G199" i="19"/>
  <c r="G263" i="19"/>
  <c r="G327" i="19"/>
  <c r="G392" i="19"/>
  <c r="G31" i="19"/>
  <c r="G97" i="19"/>
  <c r="G159" i="19"/>
  <c r="G96" i="20"/>
  <c r="G275" i="17" s="1"/>
  <c r="G594" i="20"/>
  <c r="G332" i="19"/>
  <c r="G397" i="19"/>
  <c r="G462" i="19"/>
  <c r="G523" i="19"/>
  <c r="G555" i="19"/>
  <c r="G155" i="20"/>
  <c r="G334" i="17" s="1"/>
  <c r="G98" i="19"/>
  <c r="G192" i="19"/>
  <c r="G273" i="19"/>
  <c r="G281" i="19"/>
  <c r="G32" i="19"/>
  <c r="G426" i="19"/>
  <c r="G686" i="20"/>
  <c r="G387" i="19"/>
  <c r="G570" i="19"/>
  <c r="G194" i="20"/>
  <c r="G371" i="17" s="1"/>
  <c r="G274" i="20"/>
  <c r="G357" i="20"/>
  <c r="G433" i="20"/>
  <c r="G524" i="20"/>
  <c r="G123" i="20"/>
  <c r="G302" i="17" s="1"/>
  <c r="G314" i="19"/>
  <c r="G43" i="19"/>
  <c r="G122" i="19"/>
  <c r="G186" i="19"/>
  <c r="G251" i="19"/>
  <c r="G315" i="19"/>
  <c r="G380" i="19"/>
  <c r="G444" i="19"/>
  <c r="G509" i="19"/>
  <c r="G274" i="19"/>
  <c r="G44" i="19"/>
  <c r="G115" i="19"/>
  <c r="G179" i="19"/>
  <c r="G244" i="19"/>
  <c r="G308" i="19"/>
  <c r="G153" i="19"/>
  <c r="G538" i="19"/>
  <c r="G172" i="19"/>
  <c r="G237" i="19"/>
  <c r="G301" i="19"/>
  <c r="G366" i="19"/>
  <c r="G430" i="19"/>
  <c r="G185" i="19"/>
  <c r="G558" i="19"/>
  <c r="G37" i="19"/>
  <c r="G95" i="19"/>
  <c r="G157" i="19"/>
  <c r="G230" i="19"/>
  <c r="G294" i="19"/>
  <c r="G467" i="19"/>
  <c r="G678" i="20"/>
  <c r="G354" i="19"/>
  <c r="G124" i="19"/>
  <c r="G81" i="19"/>
  <c r="G142" i="19"/>
  <c r="G207" i="19"/>
  <c r="G271" i="19"/>
  <c r="G335" i="19"/>
  <c r="G400" i="19"/>
  <c r="G39" i="19"/>
  <c r="G104" i="19"/>
  <c r="G615" i="19"/>
  <c r="G104" i="20"/>
  <c r="G283" i="17" s="1"/>
  <c r="G626" i="20"/>
  <c r="G340" i="19"/>
  <c r="G405" i="19"/>
  <c r="G470" i="19"/>
  <c r="G527" i="19"/>
  <c r="G559" i="19"/>
  <c r="G163" i="20"/>
  <c r="G343" i="17" s="1"/>
  <c r="G228" i="20"/>
  <c r="G403" i="17" s="1"/>
  <c r="G323" i="20"/>
  <c r="G396" i="20"/>
  <c r="G482" i="20"/>
  <c r="G571" i="20"/>
  <c r="G126" i="20"/>
  <c r="G305" i="17" s="1"/>
  <c r="G682" i="20"/>
  <c r="G358" i="19"/>
  <c r="G423" i="19"/>
  <c r="G488" i="19"/>
  <c r="G536" i="19"/>
  <c r="G568" i="19"/>
  <c r="G174" i="20"/>
  <c r="G250" i="20"/>
  <c r="G336" i="20"/>
  <c r="G406" i="20"/>
  <c r="G512" i="20"/>
  <c r="G465" i="19"/>
  <c r="G611" i="19"/>
  <c r="G152" i="19"/>
  <c r="G265" i="19"/>
  <c r="G345" i="19"/>
  <c r="G337" i="19"/>
  <c r="G77" i="19"/>
  <c r="G459" i="19"/>
  <c r="G49" i="19"/>
  <c r="G435" i="19"/>
  <c r="G627" i="19"/>
  <c r="G202" i="20"/>
  <c r="G378" i="17" s="1"/>
  <c r="G297" i="20"/>
  <c r="G365" i="20"/>
  <c r="G441" i="20"/>
  <c r="G534" i="20"/>
  <c r="G592" i="20"/>
  <c r="G363" i="19"/>
  <c r="G50" i="19"/>
  <c r="G130" i="19"/>
  <c r="G194" i="19"/>
  <c r="G259" i="19"/>
  <c r="G323" i="19"/>
  <c r="G388" i="19"/>
  <c r="G453" i="19"/>
  <c r="G517" i="19"/>
  <c r="G322" i="19"/>
  <c r="G51" i="19"/>
  <c r="G123" i="19"/>
  <c r="G187" i="19"/>
  <c r="G252" i="19"/>
  <c r="G622" i="19"/>
  <c r="G202" i="19"/>
  <c r="G36" i="19"/>
  <c r="G180" i="19"/>
  <c r="G245" i="19"/>
  <c r="G309" i="19"/>
  <c r="G374" i="19"/>
  <c r="G438" i="19"/>
  <c r="G394" i="19"/>
  <c r="G234" i="19"/>
  <c r="G28" i="19"/>
  <c r="G46" i="19"/>
  <c r="G102" i="19"/>
  <c r="G165" i="19"/>
  <c r="G238" i="19"/>
  <c r="G302" i="19"/>
  <c r="G483" i="19"/>
  <c r="G699" i="20"/>
  <c r="G395" i="19"/>
  <c r="G30" i="19"/>
  <c r="G89" i="19"/>
  <c r="G150" i="19"/>
  <c r="G215" i="19"/>
  <c r="G279" i="19"/>
  <c r="G343" i="19"/>
  <c r="G408" i="19"/>
  <c r="G55" i="19"/>
  <c r="G111" i="19"/>
  <c r="G607" i="19"/>
  <c r="G111" i="20"/>
  <c r="G290" i="17" s="1"/>
  <c r="G657" i="20"/>
  <c r="G348" i="19"/>
  <c r="G413" i="19"/>
  <c r="G478" i="19"/>
  <c r="G531" i="19"/>
  <c r="G563" i="19"/>
  <c r="G172" i="20"/>
  <c r="G248" i="20"/>
  <c r="G334" i="20"/>
  <c r="G404" i="20"/>
  <c r="G510" i="20"/>
  <c r="G133" i="20"/>
  <c r="G312" i="17" s="1"/>
  <c r="G695" i="20"/>
  <c r="G367" i="19"/>
  <c r="G431" i="19"/>
  <c r="G496" i="19"/>
  <c r="G540" i="19"/>
  <c r="G572" i="19"/>
  <c r="G182" i="20"/>
  <c r="G121" i="17" s="1"/>
  <c r="G262" i="20"/>
  <c r="G345" i="20"/>
  <c r="G414" i="20"/>
  <c r="G520" i="20"/>
  <c r="G473" i="19"/>
  <c r="G209" i="19"/>
  <c r="G321" i="19"/>
  <c r="G40" i="19"/>
  <c r="G62" i="19"/>
  <c r="G120" i="19"/>
  <c r="G475" i="19"/>
  <c r="G106" i="19"/>
  <c r="G484" i="19"/>
  <c r="G145" i="20"/>
  <c r="G324" i="17" s="1"/>
  <c r="G210" i="20"/>
  <c r="G385" i="17" s="1"/>
  <c r="G305" i="20"/>
  <c r="G373" i="20"/>
  <c r="G456" i="20"/>
  <c r="G542" i="20"/>
  <c r="G33" i="19"/>
  <c r="G411" i="19"/>
  <c r="G64" i="19"/>
  <c r="G138" i="19"/>
  <c r="G203" i="19"/>
  <c r="G267" i="19"/>
  <c r="G331" i="19"/>
  <c r="G396" i="19"/>
  <c r="G461" i="19"/>
  <c r="G386" i="19"/>
  <c r="G379" i="19"/>
  <c r="G58" i="19"/>
  <c r="G131" i="19"/>
  <c r="G195" i="19"/>
  <c r="G260" i="19"/>
  <c r="G258" i="19"/>
  <c r="G73" i="19"/>
  <c r="G188" i="19"/>
  <c r="G253" i="19"/>
  <c r="G317" i="19"/>
  <c r="G382" i="19"/>
  <c r="G455" i="19"/>
  <c r="G593" i="19"/>
  <c r="G282" i="19"/>
  <c r="G52" i="19"/>
  <c r="G53" i="19"/>
  <c r="G109" i="19"/>
  <c r="G173" i="19"/>
  <c r="G246" i="19"/>
  <c r="G353" i="19"/>
  <c r="G499" i="19"/>
  <c r="G63" i="19"/>
  <c r="G443" i="19"/>
  <c r="G38" i="19"/>
  <c r="G96" i="19"/>
  <c r="G158" i="19"/>
  <c r="G223" i="19"/>
  <c r="G287" i="19"/>
  <c r="G351" i="19"/>
  <c r="G416" i="19"/>
  <c r="G61" i="19"/>
  <c r="G119" i="19"/>
  <c r="G599" i="19"/>
  <c r="G117" i="20"/>
  <c r="G296" i="17" s="1"/>
  <c r="G680" i="20"/>
  <c r="G356" i="19"/>
  <c r="G421" i="19"/>
  <c r="G486" i="19"/>
  <c r="G535" i="19"/>
  <c r="G567" i="19"/>
  <c r="G180" i="20"/>
  <c r="G256" i="20"/>
  <c r="G343" i="20"/>
  <c r="G412" i="20"/>
  <c r="G518" i="20"/>
  <c r="G76" i="20"/>
  <c r="G255" i="17" s="1"/>
  <c r="G572" i="20"/>
  <c r="G310" i="19"/>
  <c r="G375" i="19"/>
  <c r="G439" i="19"/>
  <c r="G504" i="19"/>
  <c r="G544" i="19"/>
  <c r="G630" i="19"/>
  <c r="G190" i="20"/>
  <c r="G367" i="17" s="1"/>
  <c r="G270" i="20"/>
  <c r="G353" i="20"/>
  <c r="G429" i="20"/>
  <c r="G530" i="20"/>
  <c r="G481" i="19"/>
  <c r="G257" i="19"/>
  <c r="G184" i="19"/>
  <c r="G153" i="20"/>
  <c r="G332" i="17" s="1"/>
  <c r="G464" i="20"/>
  <c r="G72" i="19"/>
  <c r="G339" i="19"/>
  <c r="G427" i="19"/>
  <c r="G268" i="19"/>
  <c r="G196" i="19"/>
  <c r="G619" i="19"/>
  <c r="G59" i="19"/>
  <c r="G402" i="19"/>
  <c r="G47" i="19"/>
  <c r="G295" i="19"/>
  <c r="G127" i="19"/>
  <c r="G365" i="19"/>
  <c r="G571" i="19"/>
  <c r="G351" i="20"/>
  <c r="G563" i="20"/>
  <c r="G326" i="19"/>
  <c r="G512" i="19"/>
  <c r="G166" i="20"/>
  <c r="G345" i="17" s="1"/>
  <c r="G309" i="20"/>
  <c r="G437" i="20"/>
  <c r="G565" i="20"/>
  <c r="G595" i="19"/>
  <c r="G107" i="20"/>
  <c r="G286" i="17" s="1"/>
  <c r="G191" i="19"/>
  <c r="G256" i="19"/>
  <c r="G320" i="19"/>
  <c r="G385" i="19"/>
  <c r="G450" i="19"/>
  <c r="G514" i="19"/>
  <c r="G549" i="19"/>
  <c r="G143" i="20"/>
  <c r="G322" i="17" s="1"/>
  <c r="G463" i="19"/>
  <c r="G625" i="19"/>
  <c r="G82" i="20"/>
  <c r="G261" i="17" s="1"/>
  <c r="G171" i="20"/>
  <c r="G246" i="20"/>
  <c r="G124" i="17" s="1"/>
  <c r="G333" i="20"/>
  <c r="G403" i="20"/>
  <c r="G509" i="20"/>
  <c r="G585" i="20"/>
  <c r="G709" i="20"/>
  <c r="G748" i="20"/>
  <c r="G596" i="19"/>
  <c r="G120" i="20"/>
  <c r="G299" i="17" s="1"/>
  <c r="G189" i="20"/>
  <c r="G366" i="17" s="1"/>
  <c r="G269" i="20"/>
  <c r="G352" i="20"/>
  <c r="G428" i="20"/>
  <c r="G529" i="20"/>
  <c r="G627" i="20"/>
  <c r="G718" i="20"/>
  <c r="G757" i="20"/>
  <c r="G586" i="19"/>
  <c r="G122" i="20"/>
  <c r="G301" i="17" s="1"/>
  <c r="G183" i="20"/>
  <c r="G271" i="20"/>
  <c r="G354" i="20"/>
  <c r="G430" i="20"/>
  <c r="G521" i="20"/>
  <c r="G589" i="20"/>
  <c r="G711" i="20"/>
  <c r="G750" i="20"/>
  <c r="G264" i="20"/>
  <c r="G347" i="20"/>
  <c r="G416" i="20"/>
  <c r="G514" i="20"/>
  <c r="G582" i="20"/>
  <c r="G626" i="19"/>
  <c r="G88" i="20"/>
  <c r="G267" i="17" s="1"/>
  <c r="G144" i="20"/>
  <c r="G323" i="17" s="1"/>
  <c r="G209" i="20"/>
  <c r="G384" i="17" s="1"/>
  <c r="G304" i="20"/>
  <c r="G372" i="20"/>
  <c r="G455" i="20"/>
  <c r="G541" i="20"/>
  <c r="G654" i="20"/>
  <c r="G720" i="20"/>
  <c r="G759" i="20"/>
  <c r="G217" i="20"/>
  <c r="G392" i="17" s="1"/>
  <c r="G312" i="20"/>
  <c r="G380" i="20"/>
  <c r="G313" i="19"/>
  <c r="G233" i="19"/>
  <c r="G161" i="20"/>
  <c r="G340" i="17" s="1"/>
  <c r="G472" i="20"/>
  <c r="G85" i="19"/>
  <c r="G347" i="19"/>
  <c r="G476" i="19"/>
  <c r="G276" i="19"/>
  <c r="G205" i="19"/>
  <c r="G613" i="19"/>
  <c r="G67" i="19"/>
  <c r="G418" i="19"/>
  <c r="G54" i="19"/>
  <c r="G303" i="19"/>
  <c r="G135" i="19"/>
  <c r="G373" i="19"/>
  <c r="G631" i="19"/>
  <c r="G359" i="20"/>
  <c r="G83" i="20"/>
  <c r="G262" i="17" s="1"/>
  <c r="G350" i="19"/>
  <c r="G520" i="19"/>
  <c r="G198" i="20"/>
  <c r="G374" i="17" s="1"/>
  <c r="G317" i="20"/>
  <c r="G460" i="20"/>
  <c r="G457" i="19"/>
  <c r="G587" i="19"/>
  <c r="G113" i="20"/>
  <c r="G292" i="17" s="1"/>
  <c r="G200" i="19"/>
  <c r="G264" i="19"/>
  <c r="G328" i="19"/>
  <c r="G393" i="19"/>
  <c r="G458" i="19"/>
  <c r="G521" i="19"/>
  <c r="G553" i="19"/>
  <c r="G151" i="20"/>
  <c r="G330" i="17" s="1"/>
  <c r="G471" i="19"/>
  <c r="G620" i="19"/>
  <c r="G97" i="20"/>
  <c r="G276" i="17" s="1"/>
  <c r="G179" i="20"/>
  <c r="G357" i="17" s="1"/>
  <c r="G255" i="20"/>
  <c r="G342" i="20"/>
  <c r="G411" i="20"/>
  <c r="G517" i="20"/>
  <c r="G593" i="20"/>
  <c r="G713" i="20"/>
  <c r="G752" i="20"/>
  <c r="G588" i="19"/>
  <c r="G127" i="20"/>
  <c r="G306" i="17" s="1"/>
  <c r="G277" i="20"/>
  <c r="G360" i="20"/>
  <c r="G436" i="20"/>
  <c r="G537" i="20"/>
  <c r="G658" i="20"/>
  <c r="G761" i="20"/>
  <c r="G129" i="20"/>
  <c r="G308" i="17" s="1"/>
  <c r="G191" i="20"/>
  <c r="G368" i="17" s="1"/>
  <c r="G294" i="20"/>
  <c r="G362" i="20"/>
  <c r="G438" i="20"/>
  <c r="G531" i="20"/>
  <c r="G621" i="20"/>
  <c r="G715" i="20"/>
  <c r="G754" i="20"/>
  <c r="G272" i="20"/>
  <c r="G355" i="20"/>
  <c r="G431" i="20"/>
  <c r="G522" i="20"/>
  <c r="G590" i="20"/>
  <c r="G621" i="19"/>
  <c r="G95" i="20"/>
  <c r="G274" i="17" s="1"/>
  <c r="G152" i="20"/>
  <c r="G331" i="17" s="1"/>
  <c r="G48" i="19"/>
  <c r="G491" i="19"/>
  <c r="G218" i="20"/>
  <c r="G393" i="17" s="1"/>
  <c r="G146" i="19"/>
  <c r="G404" i="19"/>
  <c r="G65" i="19"/>
  <c r="G115" i="20"/>
  <c r="G294" i="17" s="1"/>
  <c r="G261" i="19"/>
  <c r="G102" i="20"/>
  <c r="G281" i="17" s="1"/>
  <c r="G117" i="19"/>
  <c r="G515" i="19"/>
  <c r="G103" i="19"/>
  <c r="G359" i="19"/>
  <c r="G591" i="19"/>
  <c r="G429" i="19"/>
  <c r="G188" i="20"/>
  <c r="G365" i="17" s="1"/>
  <c r="G388" i="20"/>
  <c r="G90" i="20"/>
  <c r="G269" i="17" s="1"/>
  <c r="G383" i="19"/>
  <c r="G532" i="19"/>
  <c r="G206" i="20"/>
  <c r="G328" i="20"/>
  <c r="G468" i="20"/>
  <c r="G489" i="19"/>
  <c r="G121" i="20"/>
  <c r="G300" i="17" s="1"/>
  <c r="G208" i="19"/>
  <c r="G272" i="19"/>
  <c r="G336" i="19"/>
  <c r="G401" i="19"/>
  <c r="G466" i="19"/>
  <c r="G525" i="19"/>
  <c r="G557" i="19"/>
  <c r="G159" i="20"/>
  <c r="G338" i="17" s="1"/>
  <c r="G479" i="19"/>
  <c r="G614" i="19"/>
  <c r="G105" i="20"/>
  <c r="G284" i="17" s="1"/>
  <c r="G187" i="20"/>
  <c r="G364" i="17" s="1"/>
  <c r="G267" i="20"/>
  <c r="G350" i="20"/>
  <c r="G426" i="20"/>
  <c r="G527" i="20"/>
  <c r="G625" i="20"/>
  <c r="G717" i="20"/>
  <c r="G756" i="20"/>
  <c r="G134" i="20"/>
  <c r="G313" i="17" s="1"/>
  <c r="G205" i="20"/>
  <c r="G381" i="17" s="1"/>
  <c r="G300" i="20"/>
  <c r="G368" i="20"/>
  <c r="G459" i="20"/>
  <c r="G681" i="20"/>
  <c r="G733" i="20"/>
  <c r="G633" i="19"/>
  <c r="G79" i="20"/>
  <c r="G258" i="17" s="1"/>
  <c r="G136" i="20"/>
  <c r="G315" i="17" s="1"/>
  <c r="G199" i="20"/>
  <c r="G375" i="17" s="1"/>
  <c r="G302" i="20"/>
  <c r="G370" i="20"/>
  <c r="G453" i="20"/>
  <c r="G539" i="20"/>
  <c r="G629" i="20"/>
  <c r="G114" i="17" s="1"/>
  <c r="G719" i="20"/>
  <c r="G758" i="20"/>
  <c r="G295" i="20"/>
  <c r="G363" i="20"/>
  <c r="G439" i="20"/>
  <c r="G532" i="20"/>
  <c r="G622" i="20"/>
  <c r="G608" i="19"/>
  <c r="G103" i="20"/>
  <c r="G282" i="17" s="1"/>
  <c r="G160" i="20"/>
  <c r="G339" i="17" s="1"/>
  <c r="G225" i="20"/>
  <c r="G400" i="17" s="1"/>
  <c r="G320" i="20"/>
  <c r="G393" i="20"/>
  <c r="G471" i="20"/>
  <c r="G685" i="20"/>
  <c r="G735" i="20"/>
  <c r="G91" i="19"/>
  <c r="G507" i="19"/>
  <c r="G226" i="20"/>
  <c r="G401" i="17" s="1"/>
  <c r="G569" i="20"/>
  <c r="G154" i="19"/>
  <c r="G412" i="19"/>
  <c r="G79" i="19"/>
  <c r="G576" i="20"/>
  <c r="G269" i="19"/>
  <c r="G130" i="20"/>
  <c r="G309" i="17" s="1"/>
  <c r="G125" i="19"/>
  <c r="G609" i="19"/>
  <c r="G110" i="19"/>
  <c r="G368" i="19"/>
  <c r="G437" i="19"/>
  <c r="G196" i="20"/>
  <c r="G373" i="17" s="1"/>
  <c r="G427" i="20"/>
  <c r="G119" i="20"/>
  <c r="G298" i="17" s="1"/>
  <c r="G391" i="19"/>
  <c r="G548" i="19"/>
  <c r="G214" i="20"/>
  <c r="G389" i="17" s="1"/>
  <c r="G361" i="20"/>
  <c r="G476" i="20"/>
  <c r="G497" i="19"/>
  <c r="G128" i="20"/>
  <c r="G307" i="17" s="1"/>
  <c r="G216" i="19"/>
  <c r="G280" i="19"/>
  <c r="G344" i="19"/>
  <c r="G409" i="19"/>
  <c r="G474" i="19"/>
  <c r="G529" i="19"/>
  <c r="G561" i="19"/>
  <c r="G168" i="20"/>
  <c r="G347" i="17" s="1"/>
  <c r="G487" i="19"/>
  <c r="G606" i="19"/>
  <c r="G118" i="20"/>
  <c r="G297" i="17" s="1"/>
  <c r="G195" i="20"/>
  <c r="G372" i="17" s="1"/>
  <c r="G275" i="20"/>
  <c r="G358" i="20"/>
  <c r="G434" i="20"/>
  <c r="G535" i="20"/>
  <c r="G656" i="20"/>
  <c r="G721" i="20"/>
  <c r="G760" i="20"/>
  <c r="G148" i="20"/>
  <c r="G327" i="17" s="1"/>
  <c r="G213" i="20"/>
  <c r="G388" i="17" s="1"/>
  <c r="G308" i="20"/>
  <c r="G376" i="20"/>
  <c r="G467" i="20"/>
  <c r="G694" i="20"/>
  <c r="G737" i="20"/>
  <c r="G628" i="19"/>
  <c r="G86" i="20"/>
  <c r="G265" i="17" s="1"/>
  <c r="G142" i="20"/>
  <c r="G321" i="17" s="1"/>
  <c r="G207" i="20"/>
  <c r="G382" i="17" s="1"/>
  <c r="G310" i="20"/>
  <c r="G378" i="20"/>
  <c r="G461" i="20"/>
  <c r="G660" i="20"/>
  <c r="G730" i="20"/>
  <c r="G762" i="20"/>
  <c r="G303" i="20"/>
  <c r="G371" i="20"/>
  <c r="G454" i="20"/>
  <c r="G540" i="20"/>
  <c r="G630" i="20"/>
  <c r="G600" i="19"/>
  <c r="G110" i="20"/>
  <c r="G289" i="17" s="1"/>
  <c r="G169" i="20"/>
  <c r="G348" i="17" s="1"/>
  <c r="G244" i="20"/>
  <c r="G177" i="17" s="1"/>
  <c r="G331" i="20"/>
  <c r="G401" i="20"/>
  <c r="G479" i="20"/>
  <c r="G568" i="20"/>
  <c r="G698" i="20"/>
  <c r="G739" i="20"/>
  <c r="G743" i="20"/>
  <c r="G747" i="20"/>
  <c r="G83" i="19"/>
  <c r="G145" i="19"/>
  <c r="G313" i="20"/>
  <c r="G71" i="19"/>
  <c r="G211" i="19"/>
  <c r="G469" i="19"/>
  <c r="G139" i="19"/>
  <c r="G306" i="19"/>
  <c r="G325" i="19"/>
  <c r="G330" i="19"/>
  <c r="G181" i="19"/>
  <c r="G113" i="19"/>
  <c r="G166" i="19"/>
  <c r="G424" i="19"/>
  <c r="G132" i="20"/>
  <c r="G311" i="17" s="1"/>
  <c r="G494" i="19"/>
  <c r="G220" i="20"/>
  <c r="G395" i="17" s="1"/>
  <c r="G435" i="20"/>
  <c r="G580" i="20"/>
  <c r="G415" i="19"/>
  <c r="G552" i="19"/>
  <c r="G222" i="20"/>
  <c r="G397" i="17" s="1"/>
  <c r="G369" i="20"/>
  <c r="G484" i="20"/>
  <c r="G505" i="19"/>
  <c r="G78" i="20"/>
  <c r="G257" i="17" s="1"/>
  <c r="G135" i="20"/>
  <c r="G314" i="17" s="1"/>
  <c r="G224" i="19"/>
  <c r="G288" i="19"/>
  <c r="G352" i="19"/>
  <c r="G417" i="19"/>
  <c r="G482" i="19"/>
  <c r="G533" i="19"/>
  <c r="G565" i="19"/>
  <c r="G176" i="20"/>
  <c r="G354" i="17" s="1"/>
  <c r="G495" i="19"/>
  <c r="G598" i="19"/>
  <c r="G125" i="20"/>
  <c r="G304" i="17" s="1"/>
  <c r="G203" i="20"/>
  <c r="G379" i="17" s="1"/>
  <c r="G298" i="20"/>
  <c r="G366" i="20"/>
  <c r="G457" i="20"/>
  <c r="G679" i="20"/>
  <c r="G732" i="20"/>
  <c r="G629" i="19"/>
  <c r="G77" i="20"/>
  <c r="G256" i="17" s="1"/>
  <c r="G156" i="20"/>
  <c r="G335" i="17" s="1"/>
  <c r="G221" i="20"/>
  <c r="G396" i="17" s="1"/>
  <c r="G316" i="20"/>
  <c r="G389" i="20"/>
  <c r="G475" i="20"/>
  <c r="G564" i="20"/>
  <c r="G702" i="20"/>
  <c r="G741" i="20"/>
  <c r="G617" i="19"/>
  <c r="G92" i="20"/>
  <c r="G150" i="20"/>
  <c r="G329" i="17" s="1"/>
  <c r="G215" i="20"/>
  <c r="G318" i="20"/>
  <c r="G391" i="20"/>
  <c r="G469" i="20"/>
  <c r="G683" i="20"/>
  <c r="G734" i="20"/>
  <c r="G208" i="20"/>
  <c r="G383" i="17" s="1"/>
  <c r="G311" i="20"/>
  <c r="G379" i="20"/>
  <c r="G462" i="20"/>
  <c r="G661" i="20"/>
  <c r="G592" i="19"/>
  <c r="G116" i="20"/>
  <c r="G295" i="17" s="1"/>
  <c r="G177" i="20"/>
  <c r="G355" i="17" s="1"/>
  <c r="G253" i="20"/>
  <c r="G340" i="20"/>
  <c r="G409" i="20"/>
  <c r="G507" i="20"/>
  <c r="G575" i="20"/>
  <c r="G704" i="20"/>
  <c r="G128" i="19"/>
  <c r="G193" i="19"/>
  <c r="G321" i="20"/>
  <c r="G121" i="19"/>
  <c r="G219" i="19"/>
  <c r="G477" i="19"/>
  <c r="G147" i="19"/>
  <c r="G346" i="19"/>
  <c r="G333" i="19"/>
  <c r="G371" i="19"/>
  <c r="G189" i="19"/>
  <c r="G161" i="19"/>
  <c r="G174" i="19"/>
  <c r="G432" i="19"/>
  <c r="G139" i="20"/>
  <c r="G318" i="17" s="1"/>
  <c r="G502" i="19"/>
  <c r="G268" i="20"/>
  <c r="G474" i="20"/>
  <c r="G588" i="20"/>
  <c r="G448" i="19"/>
  <c r="G564" i="19"/>
  <c r="G237" i="20"/>
  <c r="G412" i="17" s="1"/>
  <c r="G377" i="20"/>
  <c r="G538" i="20"/>
  <c r="G513" i="19"/>
  <c r="G85" i="20"/>
  <c r="G264" i="17" s="1"/>
  <c r="G167" i="19"/>
  <c r="G232" i="19"/>
  <c r="G296" i="19"/>
  <c r="G360" i="19"/>
  <c r="G425" i="19"/>
  <c r="G490" i="19"/>
  <c r="G537" i="19"/>
  <c r="G569" i="19"/>
  <c r="G184" i="20"/>
  <c r="G361" i="17" s="1"/>
  <c r="G503" i="19"/>
  <c r="G590" i="19"/>
  <c r="G146" i="20"/>
  <c r="G325" i="17" s="1"/>
  <c r="G211" i="20"/>
  <c r="G306" i="20"/>
  <c r="G374" i="20"/>
  <c r="G465" i="20"/>
  <c r="G687" i="20"/>
  <c r="G736" i="20"/>
  <c r="G623" i="19"/>
  <c r="G84" i="20"/>
  <c r="G263" i="17" s="1"/>
  <c r="G165" i="20"/>
  <c r="G344" i="17" s="1"/>
  <c r="G229" i="20"/>
  <c r="G404" i="17" s="1"/>
  <c r="G327" i="20"/>
  <c r="G397" i="20"/>
  <c r="G483" i="20"/>
  <c r="G579" i="20"/>
  <c r="G706" i="20"/>
  <c r="G745" i="20"/>
  <c r="G610" i="19"/>
  <c r="G101" i="20"/>
  <c r="G280" i="17" s="1"/>
  <c r="G158" i="20"/>
  <c r="G337" i="17" s="1"/>
  <c r="G223" i="20"/>
  <c r="G398" i="17" s="1"/>
  <c r="G329" i="20"/>
  <c r="G399" i="20"/>
  <c r="G477" i="20"/>
  <c r="G566" i="20"/>
  <c r="G696" i="20"/>
  <c r="G738" i="20"/>
  <c r="G216" i="20"/>
  <c r="G391" i="17" s="1"/>
  <c r="G319" i="20"/>
  <c r="G392" i="20"/>
  <c r="G470" i="20"/>
  <c r="G684" i="20"/>
  <c r="G584" i="19"/>
  <c r="G185" i="20"/>
  <c r="G265" i="20"/>
  <c r="G348" i="20"/>
  <c r="G424" i="20"/>
  <c r="G515" i="20"/>
  <c r="G583" i="20"/>
  <c r="G708" i="20"/>
  <c r="G105" i="19"/>
  <c r="G522" i="19"/>
  <c r="G386" i="20"/>
  <c r="G460" i="19"/>
  <c r="G275" i="19"/>
  <c r="G585" i="19"/>
  <c r="G204" i="19"/>
  <c r="G94" i="19"/>
  <c r="G390" i="19"/>
  <c r="G101" i="19"/>
  <c r="G254" i="19"/>
  <c r="G508" i="19"/>
  <c r="G231" i="19"/>
  <c r="G69" i="19"/>
  <c r="G693" i="20"/>
  <c r="G539" i="19"/>
  <c r="G276" i="20"/>
  <c r="G528" i="20"/>
  <c r="G659" i="20"/>
  <c r="G456" i="19"/>
  <c r="G624" i="19"/>
  <c r="G293" i="20"/>
  <c r="G390" i="20"/>
  <c r="G618" i="19"/>
  <c r="G91" i="20"/>
  <c r="G270" i="17" s="1"/>
  <c r="G175" i="19"/>
  <c r="G240" i="19"/>
  <c r="G304" i="19"/>
  <c r="G369" i="19"/>
  <c r="G433" i="19"/>
  <c r="G498" i="19"/>
  <c r="G541" i="19"/>
  <c r="G573" i="19"/>
  <c r="G192" i="20"/>
  <c r="G369" i="17" s="1"/>
  <c r="G160" i="19"/>
  <c r="G398" i="19"/>
  <c r="G315" i="20"/>
  <c r="G603" i="19"/>
  <c r="G545" i="19"/>
  <c r="G162" i="20"/>
  <c r="G341" i="17" s="1"/>
  <c r="G481" i="20"/>
  <c r="G604" i="19"/>
  <c r="G344" i="20"/>
  <c r="G714" i="20"/>
  <c r="G175" i="20"/>
  <c r="G513" i="20"/>
  <c r="G252" i="20"/>
  <c r="G574" i="20"/>
  <c r="G201" i="20"/>
  <c r="G377" i="17" s="1"/>
  <c r="G523" i="20"/>
  <c r="G111" i="17" s="1"/>
  <c r="G731" i="20"/>
  <c r="G108" i="20"/>
  <c r="G287" i="17" s="1"/>
  <c r="G131" i="20"/>
  <c r="G310" i="17" s="1"/>
  <c r="G612" i="19"/>
  <c r="G463" i="20"/>
  <c r="G534" i="19"/>
  <c r="G108" i="19"/>
  <c r="G536" i="20"/>
  <c r="G100" i="20"/>
  <c r="G279" i="17" s="1"/>
  <c r="G634" i="19"/>
  <c r="G219" i="20"/>
  <c r="G394" i="17" s="1"/>
  <c r="G570" i="20"/>
  <c r="G99" i="20"/>
  <c r="G278" i="17" s="1"/>
  <c r="G405" i="20"/>
  <c r="G749" i="20"/>
  <c r="G251" i="20"/>
  <c r="G573" i="20"/>
  <c r="G330" i="20"/>
  <c r="G697" i="20"/>
  <c r="G273" i="20"/>
  <c r="G533" i="20"/>
  <c r="G751" i="20"/>
  <c r="G364" i="20"/>
  <c r="G76" i="19"/>
  <c r="G740" i="20"/>
  <c r="G478" i="20"/>
  <c r="G154" i="20"/>
  <c r="G333" i="17" s="1"/>
  <c r="G485" i="20"/>
  <c r="G716" i="20"/>
  <c r="G394" i="20"/>
  <c r="G262" i="19"/>
  <c r="G318" i="19"/>
  <c r="G183" i="19"/>
  <c r="G200" i="20"/>
  <c r="G376" i="17" s="1"/>
  <c r="G227" i="20"/>
  <c r="G402" i="17" s="1"/>
  <c r="G577" i="20"/>
  <c r="G106" i="20"/>
  <c r="G285" i="17" s="1"/>
  <c r="G413" i="20"/>
  <c r="G753" i="20"/>
  <c r="G263" i="20"/>
  <c r="G581" i="20"/>
  <c r="G338" i="20"/>
  <c r="G632" i="19"/>
  <c r="G296" i="20"/>
  <c r="G755" i="20"/>
  <c r="G84" i="19"/>
  <c r="G407" i="20"/>
  <c r="G432" i="20"/>
  <c r="G335" i="20"/>
  <c r="G567" i="20"/>
  <c r="G500" i="19"/>
  <c r="G554" i="19"/>
  <c r="G480" i="19"/>
  <c r="G248" i="19"/>
  <c r="G511" i="19"/>
  <c r="G314" i="20"/>
  <c r="G700" i="20"/>
  <c r="G173" i="20"/>
  <c r="G511" i="20"/>
  <c r="G602" i="19"/>
  <c r="G337" i="20"/>
  <c r="G703" i="20"/>
  <c r="G400" i="20"/>
  <c r="G356" i="20"/>
  <c r="G591" i="20"/>
  <c r="G377" i="19"/>
  <c r="G587" i="20"/>
  <c r="G473" i="20"/>
  <c r="G224" i="20"/>
  <c r="G399" i="17" s="1"/>
  <c r="G283" i="19"/>
  <c r="G239" i="19"/>
  <c r="G141" i="20"/>
  <c r="G320" i="17" s="1"/>
  <c r="G312" i="19"/>
  <c r="G519" i="19"/>
  <c r="G705" i="20"/>
  <c r="G181" i="20"/>
  <c r="G519" i="20"/>
  <c r="G594" i="19"/>
  <c r="G346" i="20"/>
  <c r="G707" i="20"/>
  <c r="G408" i="20"/>
  <c r="G80" i="20"/>
  <c r="G259" i="17" s="1"/>
  <c r="G623" i="20"/>
  <c r="G301" i="20"/>
  <c r="G387" i="20"/>
  <c r="G249" i="20"/>
  <c r="G742" i="20"/>
  <c r="G710" i="20"/>
  <c r="G193" i="20"/>
  <c r="G370" i="17" s="1"/>
  <c r="G212" i="19"/>
  <c r="G701" i="20"/>
  <c r="G398" i="20"/>
  <c r="G441" i="19"/>
  <c r="G75" i="20"/>
  <c r="G254" i="17" s="1"/>
  <c r="G395" i="20"/>
  <c r="G744" i="20"/>
  <c r="G261" i="20"/>
  <c r="G619" i="20"/>
  <c r="G114" i="20"/>
  <c r="G293" i="17" s="1"/>
  <c r="G415" i="20"/>
  <c r="G746" i="20"/>
  <c r="G138" i="20"/>
  <c r="G317" i="17" s="1"/>
  <c r="G440" i="20"/>
  <c r="G712" i="20"/>
  <c r="G116" i="19"/>
  <c r="G543" i="19"/>
  <c r="G506" i="19"/>
  <c r="G167" i="20"/>
  <c r="G346" i="17" s="1"/>
  <c r="J1102" i="1"/>
  <c r="J1079" i="1"/>
  <c r="J1071" i="1"/>
  <c r="J990" i="1"/>
  <c r="J857" i="1"/>
  <c r="J916" i="1"/>
  <c r="J848" i="1"/>
  <c r="J873" i="1"/>
  <c r="J825" i="1"/>
  <c r="J779" i="1"/>
  <c r="J750" i="1"/>
  <c r="J742" i="1"/>
  <c r="J723" i="1"/>
  <c r="J644" i="1"/>
  <c r="J600" i="1"/>
  <c r="J571" i="1"/>
  <c r="J562" i="1"/>
  <c r="J554" i="1"/>
  <c r="J542" i="1"/>
  <c r="J187" i="1"/>
  <c r="J174" i="1"/>
  <c r="J166" i="1"/>
  <c r="J158" i="1"/>
  <c r="J150" i="1"/>
  <c r="J142" i="1"/>
  <c r="J134" i="1"/>
  <c r="J126" i="1"/>
  <c r="J117" i="1"/>
  <c r="J109" i="1"/>
  <c r="I619" i="19"/>
  <c r="J619" i="19" s="1"/>
  <c r="L619" i="19" s="1"/>
  <c r="I626" i="19"/>
  <c r="J626" i="19" s="1"/>
  <c r="L626" i="19" s="1"/>
  <c r="I633" i="19"/>
  <c r="J633" i="19" s="1"/>
  <c r="L633" i="19" s="1"/>
  <c r="I634" i="19"/>
  <c r="J634" i="19" s="1"/>
  <c r="L634" i="19" s="1"/>
  <c r="I585" i="19"/>
  <c r="J585" i="19" s="1"/>
  <c r="L585" i="19" s="1"/>
  <c r="I604" i="19"/>
  <c r="J604" i="19" s="1"/>
  <c r="L604" i="19" s="1"/>
  <c r="I606" i="19"/>
  <c r="J606" i="19" s="1"/>
  <c r="L606" i="19" s="1"/>
  <c r="I608" i="19"/>
  <c r="J608" i="19" s="1"/>
  <c r="L608" i="19" s="1"/>
  <c r="I610" i="19"/>
  <c r="J610" i="19" s="1"/>
  <c r="L610" i="19" s="1"/>
  <c r="I612" i="19"/>
  <c r="J612" i="19" s="1"/>
  <c r="L612" i="19" s="1"/>
  <c r="I614" i="19"/>
  <c r="J614" i="19" s="1"/>
  <c r="L614" i="19" s="1"/>
  <c r="I617" i="19"/>
  <c r="J617" i="19" s="1"/>
  <c r="L617" i="19" s="1"/>
  <c r="I623" i="19"/>
  <c r="J623" i="19" s="1"/>
  <c r="L623" i="19" s="1"/>
  <c r="I629" i="19"/>
  <c r="J629" i="19" s="1"/>
  <c r="L629" i="19" s="1"/>
  <c r="I334" i="20"/>
  <c r="J334" i="20" s="1"/>
  <c r="I266" i="19"/>
  <c r="J266" i="19" s="1"/>
  <c r="L266" i="19" s="1"/>
  <c r="I292" i="19"/>
  <c r="J292" i="19" s="1"/>
  <c r="L292" i="19" s="1"/>
  <c r="I361" i="20"/>
  <c r="J361" i="20" s="1"/>
  <c r="I392" i="20"/>
  <c r="J392" i="20" s="1"/>
  <c r="I318" i="19"/>
  <c r="J318" i="19" s="1"/>
  <c r="L318" i="19" s="1"/>
  <c r="I440" i="20"/>
  <c r="J440" i="20" s="1"/>
  <c r="I359" i="19"/>
  <c r="J359" i="19" s="1"/>
  <c r="L359" i="19" s="1"/>
  <c r="I580" i="20"/>
  <c r="J580" i="20" s="1"/>
  <c r="I465" i="19"/>
  <c r="J465" i="19" s="1"/>
  <c r="I620" i="20"/>
  <c r="J620" i="20" s="1"/>
  <c r="I481" i="19"/>
  <c r="J481" i="19" s="1"/>
  <c r="I655" i="20"/>
  <c r="J655" i="20" s="1"/>
  <c r="I493" i="19"/>
  <c r="J493" i="19" s="1"/>
  <c r="I699" i="20"/>
  <c r="J699" i="20" s="1"/>
  <c r="I517" i="19"/>
  <c r="J517" i="19" s="1"/>
  <c r="I173" i="20"/>
  <c r="J173" i="20" s="1"/>
  <c r="I139" i="19"/>
  <c r="J139" i="19" s="1"/>
  <c r="L139" i="19" s="1"/>
  <c r="I189" i="20"/>
  <c r="J189" i="20" s="1"/>
  <c r="I155" i="19"/>
  <c r="J155" i="19" s="1"/>
  <c r="L155" i="19" s="1"/>
  <c r="I205" i="20"/>
  <c r="J205" i="20" s="1"/>
  <c r="I171" i="19"/>
  <c r="J171" i="19" s="1"/>
  <c r="L171" i="19" s="1"/>
  <c r="I221" i="20"/>
  <c r="J221" i="20" s="1"/>
  <c r="I187" i="19"/>
  <c r="J187" i="19" s="1"/>
  <c r="L187" i="19" s="1"/>
  <c r="I120" i="20"/>
  <c r="J120" i="20" s="1"/>
  <c r="I87" i="19"/>
  <c r="J87" i="19" s="1"/>
  <c r="L87" i="19" s="1"/>
  <c r="I536" i="20"/>
  <c r="J536" i="20" s="1"/>
  <c r="I424" i="19"/>
  <c r="J424" i="19" s="1"/>
  <c r="L424" i="19" s="1"/>
  <c r="I551" i="20"/>
  <c r="J551" i="20" s="1"/>
  <c r="I438" i="19"/>
  <c r="J438" i="19" s="1"/>
  <c r="L438" i="19" s="1"/>
  <c r="I211" i="19"/>
  <c r="J211" i="19" s="1"/>
  <c r="L211" i="19" s="1"/>
  <c r="I261" i="20"/>
  <c r="J261" i="20" s="1"/>
  <c r="I300" i="20"/>
  <c r="J300" i="20" s="1"/>
  <c r="I235" i="19"/>
  <c r="J235" i="19" s="1"/>
  <c r="L235" i="19" s="1"/>
  <c r="I329" i="20"/>
  <c r="J329" i="20" s="1"/>
  <c r="I261" i="19"/>
  <c r="J261" i="19" s="1"/>
  <c r="L261" i="19" s="1"/>
  <c r="I413" i="20"/>
  <c r="J413" i="20" s="1"/>
  <c r="I339" i="19"/>
  <c r="J339" i="19" s="1"/>
  <c r="L339" i="19" s="1"/>
  <c r="I583" i="20"/>
  <c r="J583" i="20" s="1"/>
  <c r="I468" i="19"/>
  <c r="J468" i="19" s="1"/>
  <c r="I681" i="20"/>
  <c r="J681" i="20" s="1"/>
  <c r="I504" i="19"/>
  <c r="J504" i="19" s="1"/>
  <c r="I57" i="20"/>
  <c r="J57" i="20" s="1"/>
  <c r="I31" i="19"/>
  <c r="J31" i="19" s="1"/>
  <c r="L31" i="19" s="1"/>
  <c r="I61" i="20"/>
  <c r="J61" i="20" s="1"/>
  <c r="I35" i="19"/>
  <c r="J35" i="19" s="1"/>
  <c r="L35" i="19" s="1"/>
  <c r="I65" i="20"/>
  <c r="J65" i="20" s="1"/>
  <c r="I39" i="19"/>
  <c r="J39" i="19" s="1"/>
  <c r="L39" i="19" s="1"/>
  <c r="I139" i="20"/>
  <c r="J139" i="20" s="1"/>
  <c r="I106" i="19"/>
  <c r="J106" i="19" s="1"/>
  <c r="L106" i="19" s="1"/>
  <c r="I112" i="19"/>
  <c r="J112" i="19" s="1"/>
  <c r="L112" i="19" s="1"/>
  <c r="I145" i="20"/>
  <c r="J145" i="20" s="1"/>
  <c r="I120" i="19"/>
  <c r="J120" i="19" s="1"/>
  <c r="L120" i="19" s="1"/>
  <c r="I153" i="20"/>
  <c r="J153" i="20" s="1"/>
  <c r="I128" i="19"/>
  <c r="J128" i="19" s="1"/>
  <c r="L128" i="19" s="1"/>
  <c r="I161" i="20"/>
  <c r="J161" i="20" s="1"/>
  <c r="I134" i="19"/>
  <c r="J134" i="19" s="1"/>
  <c r="L134" i="19" s="1"/>
  <c r="I168" i="20"/>
  <c r="J168" i="20" s="1"/>
  <c r="I142" i="19"/>
  <c r="J142" i="19" s="1"/>
  <c r="L142" i="19" s="1"/>
  <c r="I176" i="20"/>
  <c r="J176" i="20" s="1"/>
  <c r="I150" i="19"/>
  <c r="J150" i="19" s="1"/>
  <c r="L150" i="19" s="1"/>
  <c r="I184" i="20"/>
  <c r="J184" i="20" s="1"/>
  <c r="I158" i="19"/>
  <c r="J158" i="19" s="1"/>
  <c r="L158" i="19" s="1"/>
  <c r="I192" i="20"/>
  <c r="J192" i="20" s="1"/>
  <c r="I200" i="20"/>
  <c r="J200" i="20" s="1"/>
  <c r="I166" i="19"/>
  <c r="J166" i="19" s="1"/>
  <c r="L166" i="19" s="1"/>
  <c r="I174" i="19"/>
  <c r="J174" i="19" s="1"/>
  <c r="L174" i="19" s="1"/>
  <c r="I208" i="20"/>
  <c r="J208" i="20" s="1"/>
  <c r="I182" i="19"/>
  <c r="J182" i="19" s="1"/>
  <c r="L182" i="19" s="1"/>
  <c r="I216" i="20"/>
  <c r="J216" i="20" s="1"/>
  <c r="I224" i="20"/>
  <c r="J224" i="20" s="1"/>
  <c r="I190" i="19"/>
  <c r="J190" i="19" s="1"/>
  <c r="L190" i="19" s="1"/>
  <c r="I80" i="20"/>
  <c r="J80" i="20" s="1"/>
  <c r="I48" i="19"/>
  <c r="J48" i="19" s="1"/>
  <c r="L48" i="19" s="1"/>
  <c r="I88" i="20"/>
  <c r="J88" i="20" s="1"/>
  <c r="I56" i="19"/>
  <c r="J56" i="19" s="1"/>
  <c r="L56" i="19" s="1"/>
  <c r="I92" i="20"/>
  <c r="J92" i="20" s="1"/>
  <c r="I60" i="19"/>
  <c r="J60" i="19" s="1"/>
  <c r="L60" i="19" s="1"/>
  <c r="I99" i="20"/>
  <c r="J99" i="20" s="1"/>
  <c r="I66" i="19"/>
  <c r="J66" i="19" s="1"/>
  <c r="L66" i="19" s="1"/>
  <c r="I123" i="20"/>
  <c r="J123" i="20" s="1"/>
  <c r="I90" i="19"/>
  <c r="J90" i="19" s="1"/>
  <c r="L90" i="19" s="1"/>
  <c r="I129" i="20"/>
  <c r="J129" i="20" s="1"/>
  <c r="I96" i="19"/>
  <c r="J96" i="19" s="1"/>
  <c r="L96" i="19" s="1"/>
  <c r="I367" i="19"/>
  <c r="J367" i="19" s="1"/>
  <c r="L367" i="19" s="1"/>
  <c r="I457" i="20"/>
  <c r="J457" i="20" s="1"/>
  <c r="I375" i="19"/>
  <c r="J375" i="19" s="1"/>
  <c r="L375" i="19" s="1"/>
  <c r="I465" i="20"/>
  <c r="J465" i="20" s="1"/>
  <c r="I479" i="20"/>
  <c r="J479" i="20" s="1"/>
  <c r="I389" i="19"/>
  <c r="J389" i="19" s="1"/>
  <c r="L389" i="19" s="1"/>
  <c r="I507" i="20"/>
  <c r="J507" i="20" s="1"/>
  <c r="I397" i="19"/>
  <c r="J397" i="19" s="1"/>
  <c r="L397" i="19" s="1"/>
  <c r="I515" i="20"/>
  <c r="J515" i="20" s="1"/>
  <c r="I405" i="19"/>
  <c r="J405" i="19" s="1"/>
  <c r="L405" i="19" s="1"/>
  <c r="I523" i="20"/>
  <c r="J523" i="20" s="1"/>
  <c r="I413" i="19"/>
  <c r="J413" i="19" s="1"/>
  <c r="L413" i="19" s="1"/>
  <c r="I419" i="19"/>
  <c r="J419" i="19" s="1"/>
  <c r="L419" i="19" s="1"/>
  <c r="I531" i="20"/>
  <c r="J531" i="20" s="1"/>
  <c r="I427" i="19"/>
  <c r="J427" i="19" s="1"/>
  <c r="L427" i="19" s="1"/>
  <c r="I539" i="20"/>
  <c r="J539" i="20" s="1"/>
  <c r="I545" i="20"/>
  <c r="J545" i="20" s="1"/>
  <c r="I433" i="19"/>
  <c r="J433" i="19" s="1"/>
  <c r="L433" i="19" s="1"/>
  <c r="I555" i="20"/>
  <c r="J555" i="20" s="1"/>
  <c r="I441" i="19"/>
  <c r="J441" i="19" s="1"/>
  <c r="L441" i="19" s="1"/>
  <c r="I322" i="20"/>
  <c r="J322" i="20" s="1"/>
  <c r="I257" i="19"/>
  <c r="J257" i="19" s="1"/>
  <c r="L257" i="19" s="1"/>
  <c r="I342" i="20"/>
  <c r="J342" i="20" s="1"/>
  <c r="I273" i="19"/>
  <c r="J273" i="19" s="1"/>
  <c r="L273" i="19" s="1"/>
  <c r="I346" i="20"/>
  <c r="J346" i="20" s="1"/>
  <c r="I277" i="19"/>
  <c r="J277" i="19" s="1"/>
  <c r="L277" i="19" s="1"/>
  <c r="I350" i="20"/>
  <c r="J350" i="20" s="1"/>
  <c r="I281" i="19"/>
  <c r="J281" i="19" s="1"/>
  <c r="L281" i="19" s="1"/>
  <c r="I354" i="20"/>
  <c r="J354" i="20" s="1"/>
  <c r="I285" i="19"/>
  <c r="J285" i="19" s="1"/>
  <c r="L285" i="19" s="1"/>
  <c r="I358" i="20"/>
  <c r="J358" i="20" s="1"/>
  <c r="I289" i="19"/>
  <c r="J289" i="19" s="1"/>
  <c r="L289" i="19" s="1"/>
  <c r="I362" i="20"/>
  <c r="J362" i="20" s="1"/>
  <c r="I293" i="19"/>
  <c r="J293" i="19" s="1"/>
  <c r="L293" i="19" s="1"/>
  <c r="I366" i="20"/>
  <c r="J366" i="20" s="1"/>
  <c r="I297" i="19"/>
  <c r="J297" i="19" s="1"/>
  <c r="L297" i="19" s="1"/>
  <c r="I370" i="20"/>
  <c r="J370" i="20" s="1"/>
  <c r="I301" i="19"/>
  <c r="J301" i="19" s="1"/>
  <c r="L301" i="19" s="1"/>
  <c r="I374" i="20"/>
  <c r="J374" i="20" s="1"/>
  <c r="I305" i="19"/>
  <c r="J305" i="19" s="1"/>
  <c r="L305" i="19" s="1"/>
  <c r="I379" i="20"/>
  <c r="J379" i="20" s="1"/>
  <c r="I310" i="19"/>
  <c r="J310" i="19" s="1"/>
  <c r="L310" i="19" s="1"/>
  <c r="I389" i="20"/>
  <c r="J389" i="20" s="1"/>
  <c r="I315" i="19"/>
  <c r="J315" i="19" s="1"/>
  <c r="L315" i="19" s="1"/>
  <c r="I393" i="20"/>
  <c r="J393" i="20" s="1"/>
  <c r="I319" i="19"/>
  <c r="J319" i="19" s="1"/>
  <c r="L319" i="19" s="1"/>
  <c r="I400" i="20"/>
  <c r="J400" i="20" s="1"/>
  <c r="I326" i="19"/>
  <c r="J326" i="19" s="1"/>
  <c r="L326" i="19" s="1"/>
  <c r="I407" i="20"/>
  <c r="J407" i="20" s="1"/>
  <c r="I333" i="19"/>
  <c r="J333" i="19" s="1"/>
  <c r="L333" i="19" s="1"/>
  <c r="I340" i="19"/>
  <c r="J340" i="19" s="1"/>
  <c r="L340" i="19" s="1"/>
  <c r="I414" i="20"/>
  <c r="J414" i="20" s="1"/>
  <c r="I426" i="20"/>
  <c r="J426" i="20" s="1"/>
  <c r="I345" i="19"/>
  <c r="J345" i="19" s="1"/>
  <c r="L345" i="19" s="1"/>
  <c r="I434" i="20"/>
  <c r="J434" i="20" s="1"/>
  <c r="I353" i="19"/>
  <c r="J353" i="19" s="1"/>
  <c r="L353" i="19" s="1"/>
  <c r="I441" i="20"/>
  <c r="J441" i="20" s="1"/>
  <c r="I360" i="19"/>
  <c r="J360" i="19" s="1"/>
  <c r="L360" i="19" s="1"/>
  <c r="I570" i="20"/>
  <c r="J570" i="20" s="1"/>
  <c r="I455" i="19"/>
  <c r="J455" i="19" s="1"/>
  <c r="I578" i="20"/>
  <c r="J578" i="20" s="1"/>
  <c r="I463" i="19"/>
  <c r="J463" i="19" s="1"/>
  <c r="I586" i="20"/>
  <c r="J586" i="20" s="1"/>
  <c r="I471" i="19"/>
  <c r="J471" i="19" s="1"/>
  <c r="I594" i="20"/>
  <c r="J594" i="20" s="1"/>
  <c r="I479" i="19"/>
  <c r="J479" i="19" s="1"/>
  <c r="I626" i="20"/>
  <c r="J626" i="20" s="1"/>
  <c r="I487" i="19"/>
  <c r="J487" i="19" s="1"/>
  <c r="I661" i="20"/>
  <c r="J661" i="20" s="1"/>
  <c r="I499" i="19"/>
  <c r="J499" i="19" s="1"/>
  <c r="I684" i="20"/>
  <c r="J684" i="20" s="1"/>
  <c r="I507" i="19"/>
  <c r="J507" i="19" s="1"/>
  <c r="I697" i="20"/>
  <c r="J697" i="20" s="1"/>
  <c r="I515" i="19"/>
  <c r="J515" i="19" s="1"/>
  <c r="I56" i="20"/>
  <c r="J56" i="20" s="1"/>
  <c r="I30" i="19"/>
  <c r="J30" i="19" s="1"/>
  <c r="L30" i="19" s="1"/>
  <c r="I122" i="19"/>
  <c r="J122" i="19" s="1"/>
  <c r="L122" i="19" s="1"/>
  <c r="I155" i="20"/>
  <c r="J155" i="20" s="1"/>
  <c r="I82" i="20"/>
  <c r="J82" i="20" s="1"/>
  <c r="I50" i="19"/>
  <c r="J50" i="19" s="1"/>
  <c r="L50" i="19" s="1"/>
  <c r="I101" i="20"/>
  <c r="J101" i="20" s="1"/>
  <c r="I68" i="19"/>
  <c r="J68" i="19" s="1"/>
  <c r="L68" i="19" s="1"/>
  <c r="I459" i="20"/>
  <c r="J459" i="20" s="1"/>
  <c r="I369" i="19"/>
  <c r="J369" i="19" s="1"/>
  <c r="L369" i="19" s="1"/>
  <c r="I435" i="19"/>
  <c r="J435" i="19" s="1"/>
  <c r="L435" i="19" s="1"/>
  <c r="I547" i="20"/>
  <c r="J547" i="20" s="1"/>
  <c r="I280" i="19"/>
  <c r="J280" i="19" s="1"/>
  <c r="L280" i="19" s="1"/>
  <c r="I349" i="20"/>
  <c r="J349" i="20" s="1"/>
  <c r="I304" i="19"/>
  <c r="J304" i="19" s="1"/>
  <c r="L304" i="19" s="1"/>
  <c r="I373" i="20"/>
  <c r="J373" i="20" s="1"/>
  <c r="I412" i="20"/>
  <c r="J412" i="20" s="1"/>
  <c r="I338" i="19"/>
  <c r="J338" i="19" s="1"/>
  <c r="L338" i="19" s="1"/>
  <c r="I150" i="20"/>
  <c r="J150" i="20" s="1"/>
  <c r="I117" i="19"/>
  <c r="J117" i="19" s="1"/>
  <c r="L117" i="19" s="1"/>
  <c r="I114" i="20"/>
  <c r="J114" i="20" s="1"/>
  <c r="I81" i="19"/>
  <c r="J81" i="19" s="1"/>
  <c r="L81" i="19" s="1"/>
  <c r="I470" i="20"/>
  <c r="J470" i="20" s="1"/>
  <c r="I380" i="19"/>
  <c r="J380" i="19" s="1"/>
  <c r="L380" i="19" s="1"/>
  <c r="I253" i="20"/>
  <c r="J253" i="20" s="1"/>
  <c r="I207" i="19"/>
  <c r="J207" i="19" s="1"/>
  <c r="L207" i="19" s="1"/>
  <c r="I231" i="19"/>
  <c r="J231" i="19" s="1"/>
  <c r="L231" i="19" s="1"/>
  <c r="I296" i="20"/>
  <c r="J296" i="20" s="1"/>
  <c r="I399" i="20"/>
  <c r="J399" i="20" s="1"/>
  <c r="I325" i="19"/>
  <c r="J325" i="19" s="1"/>
  <c r="L325" i="19" s="1"/>
  <c r="I575" i="20"/>
  <c r="J575" i="20" s="1"/>
  <c r="I460" i="19"/>
  <c r="J460" i="19" s="1"/>
  <c r="I694" i="20"/>
  <c r="J694" i="20" s="1"/>
  <c r="I512" i="19"/>
  <c r="J512" i="19" s="1"/>
  <c r="I624" i="19"/>
  <c r="J624" i="19" s="1"/>
  <c r="L624" i="19" s="1"/>
  <c r="I631" i="19"/>
  <c r="J631" i="19" s="1"/>
  <c r="L631" i="19" s="1"/>
  <c r="I101" i="19"/>
  <c r="J101" i="19" s="1"/>
  <c r="L101" i="19" s="1"/>
  <c r="I134" i="20"/>
  <c r="J134" i="20" s="1"/>
  <c r="I115" i="19"/>
  <c r="J115" i="19" s="1"/>
  <c r="L115" i="19" s="1"/>
  <c r="I148" i="20"/>
  <c r="J148" i="20" s="1"/>
  <c r="I156" i="20"/>
  <c r="J156" i="20" s="1"/>
  <c r="I123" i="19"/>
  <c r="J123" i="19" s="1"/>
  <c r="L123" i="19" s="1"/>
  <c r="I165" i="20"/>
  <c r="J165" i="20" s="1"/>
  <c r="I131" i="19"/>
  <c r="J131" i="19" s="1"/>
  <c r="L131" i="19" s="1"/>
  <c r="I137" i="19"/>
  <c r="J137" i="19" s="1"/>
  <c r="L137" i="19" s="1"/>
  <c r="I171" i="20"/>
  <c r="J171" i="20" s="1"/>
  <c r="I145" i="19"/>
  <c r="J145" i="19" s="1"/>
  <c r="L145" i="19" s="1"/>
  <c r="I179" i="20"/>
  <c r="J179" i="20" s="1"/>
  <c r="I153" i="19"/>
  <c r="J153" i="19" s="1"/>
  <c r="L153" i="19" s="1"/>
  <c r="I187" i="20"/>
  <c r="J187" i="20" s="1"/>
  <c r="I161" i="19"/>
  <c r="J161" i="19" s="1"/>
  <c r="L161" i="19" s="1"/>
  <c r="I195" i="20"/>
  <c r="J195" i="20" s="1"/>
  <c r="I169" i="19"/>
  <c r="J169" i="19" s="1"/>
  <c r="L169" i="19" s="1"/>
  <c r="I203" i="20"/>
  <c r="J203" i="20" s="1"/>
  <c r="I177" i="19"/>
  <c r="J177" i="19" s="1"/>
  <c r="L177" i="19" s="1"/>
  <c r="I211" i="20"/>
  <c r="J211" i="20" s="1"/>
  <c r="I219" i="20"/>
  <c r="J219" i="20" s="1"/>
  <c r="I185" i="19"/>
  <c r="J185" i="19" s="1"/>
  <c r="L185" i="19" s="1"/>
  <c r="I227" i="20"/>
  <c r="J227" i="20" s="1"/>
  <c r="I193" i="19"/>
  <c r="J193" i="19" s="1"/>
  <c r="L193" i="19" s="1"/>
  <c r="I45" i="19"/>
  <c r="J45" i="19" s="1"/>
  <c r="L45" i="19" s="1"/>
  <c r="I77" i="20"/>
  <c r="J77" i="20" s="1"/>
  <c r="I83" i="20"/>
  <c r="J83" i="20" s="1"/>
  <c r="I51" i="19"/>
  <c r="J51" i="19" s="1"/>
  <c r="L51" i="19" s="1"/>
  <c r="I102" i="20"/>
  <c r="J102" i="20" s="1"/>
  <c r="I69" i="19"/>
  <c r="J69" i="19" s="1"/>
  <c r="L69" i="19" s="1"/>
  <c r="I108" i="20"/>
  <c r="J108" i="20" s="1"/>
  <c r="I75" i="19"/>
  <c r="J75" i="19" s="1"/>
  <c r="L75" i="19" s="1"/>
  <c r="I118" i="20"/>
  <c r="J118" i="20" s="1"/>
  <c r="I85" i="19"/>
  <c r="J85" i="19" s="1"/>
  <c r="L85" i="19" s="1"/>
  <c r="I460" i="20"/>
  <c r="J460" i="20" s="1"/>
  <c r="I370" i="19"/>
  <c r="J370" i="19" s="1"/>
  <c r="L370" i="19" s="1"/>
  <c r="I468" i="20"/>
  <c r="J468" i="20" s="1"/>
  <c r="I378" i="19"/>
  <c r="J378" i="19" s="1"/>
  <c r="L378" i="19" s="1"/>
  <c r="I474" i="20"/>
  <c r="J474" i="20" s="1"/>
  <c r="I384" i="19"/>
  <c r="J384" i="19" s="1"/>
  <c r="L384" i="19" s="1"/>
  <c r="I482" i="20"/>
  <c r="J482" i="20" s="1"/>
  <c r="I392" i="19"/>
  <c r="J392" i="19" s="1"/>
  <c r="L392" i="19" s="1"/>
  <c r="I510" i="20"/>
  <c r="J510" i="20" s="1"/>
  <c r="I400" i="19"/>
  <c r="J400" i="19" s="1"/>
  <c r="L400" i="19" s="1"/>
  <c r="I518" i="20"/>
  <c r="J518" i="20" s="1"/>
  <c r="I408" i="19"/>
  <c r="J408" i="19" s="1"/>
  <c r="L408" i="19" s="1"/>
  <c r="I534" i="20"/>
  <c r="J534" i="20" s="1"/>
  <c r="I422" i="19"/>
  <c r="J422" i="19" s="1"/>
  <c r="L422" i="19" s="1"/>
  <c r="I542" i="20"/>
  <c r="J542" i="20" s="1"/>
  <c r="I430" i="19"/>
  <c r="J430" i="19" s="1"/>
  <c r="L430" i="19" s="1"/>
  <c r="I548" i="20"/>
  <c r="J548" i="20" s="1"/>
  <c r="I436" i="19"/>
  <c r="J436" i="19" s="1"/>
  <c r="L436" i="19" s="1"/>
  <c r="I559" i="20"/>
  <c r="J559" i="20" s="1"/>
  <c r="I444" i="19"/>
  <c r="J444" i="19" s="1"/>
  <c r="L444" i="19" s="1"/>
  <c r="I245" i="20"/>
  <c r="J245" i="20" s="1"/>
  <c r="I200" i="19"/>
  <c r="J200" i="19" s="1"/>
  <c r="L200" i="19" s="1"/>
  <c r="I250" i="20"/>
  <c r="J250" i="20" s="1"/>
  <c r="I204" i="19"/>
  <c r="J204" i="19" s="1"/>
  <c r="L204" i="19" s="1"/>
  <c r="I254" i="20"/>
  <c r="J254" i="20" s="1"/>
  <c r="I208" i="19"/>
  <c r="J208" i="19" s="1"/>
  <c r="L208" i="19" s="1"/>
  <c r="I262" i="20"/>
  <c r="J262" i="20" s="1"/>
  <c r="I212" i="19"/>
  <c r="J212" i="19" s="1"/>
  <c r="L212" i="19" s="1"/>
  <c r="I216" i="19"/>
  <c r="J216" i="19" s="1"/>
  <c r="L216" i="19" s="1"/>
  <c r="I266" i="20"/>
  <c r="J266" i="20" s="1"/>
  <c r="I220" i="19"/>
  <c r="J220" i="19" s="1"/>
  <c r="L220" i="19" s="1"/>
  <c r="I270" i="20"/>
  <c r="J270" i="20" s="1"/>
  <c r="I274" i="20"/>
  <c r="J274" i="20" s="1"/>
  <c r="I224" i="19"/>
  <c r="J224" i="19" s="1"/>
  <c r="L224" i="19" s="1"/>
  <c r="I228" i="19"/>
  <c r="J228" i="19" s="1"/>
  <c r="L228" i="19" s="1"/>
  <c r="I293" i="20"/>
  <c r="J293" i="20" s="1"/>
  <c r="I232" i="19"/>
  <c r="J232" i="19" s="1"/>
  <c r="L232" i="19" s="1"/>
  <c r="I297" i="20"/>
  <c r="J297" i="20" s="1"/>
  <c r="I236" i="19"/>
  <c r="J236" i="19" s="1"/>
  <c r="L236" i="19" s="1"/>
  <c r="I301" i="20"/>
  <c r="J301" i="20" s="1"/>
  <c r="I306" i="20"/>
  <c r="J306" i="20" s="1"/>
  <c r="I241" i="19"/>
  <c r="J241" i="19" s="1"/>
  <c r="L241" i="19" s="1"/>
  <c r="I310" i="20"/>
  <c r="J310" i="20" s="1"/>
  <c r="I245" i="19"/>
  <c r="J245" i="19" s="1"/>
  <c r="L245" i="19" s="1"/>
  <c r="I314" i="20"/>
  <c r="J314" i="20" s="1"/>
  <c r="I249" i="19"/>
  <c r="J249" i="19" s="1"/>
  <c r="L249" i="19" s="1"/>
  <c r="I318" i="20"/>
  <c r="J318" i="20" s="1"/>
  <c r="I253" i="19"/>
  <c r="J253" i="19" s="1"/>
  <c r="L253" i="19" s="1"/>
  <c r="I330" i="20"/>
  <c r="J330" i="20" s="1"/>
  <c r="I262" i="19"/>
  <c r="J262" i="19" s="1"/>
  <c r="L262" i="19" s="1"/>
  <c r="I268" i="19"/>
  <c r="J268" i="19" s="1"/>
  <c r="L268" i="19" s="1"/>
  <c r="I336" i="20"/>
  <c r="J336" i="20" s="1"/>
  <c r="I401" i="20"/>
  <c r="J401" i="20" s="1"/>
  <c r="I327" i="19"/>
  <c r="J327" i="19" s="1"/>
  <c r="L327" i="19" s="1"/>
  <c r="I408" i="20"/>
  <c r="J408" i="20" s="1"/>
  <c r="I334" i="19"/>
  <c r="J334" i="19" s="1"/>
  <c r="L334" i="19" s="1"/>
  <c r="I427" i="20"/>
  <c r="J427" i="20" s="1"/>
  <c r="I346" i="19"/>
  <c r="J346" i="19" s="1"/>
  <c r="L346" i="19" s="1"/>
  <c r="I435" i="20"/>
  <c r="J435" i="20" s="1"/>
  <c r="I354" i="19"/>
  <c r="J354" i="19" s="1"/>
  <c r="L354" i="19" s="1"/>
  <c r="I565" i="20"/>
  <c r="J565" i="20" s="1"/>
  <c r="I450" i="19"/>
  <c r="J450" i="19" s="1"/>
  <c r="I573" i="20"/>
  <c r="J573" i="20" s="1"/>
  <c r="I458" i="19"/>
  <c r="J458" i="19" s="1"/>
  <c r="I466" i="19"/>
  <c r="J466" i="19" s="1"/>
  <c r="I581" i="20"/>
  <c r="J581" i="20" s="1"/>
  <c r="I589" i="20"/>
  <c r="J589" i="20" s="1"/>
  <c r="I474" i="19"/>
  <c r="J474" i="19" s="1"/>
  <c r="I482" i="19"/>
  <c r="J482" i="19" s="1"/>
  <c r="I621" i="20"/>
  <c r="J621" i="20" s="1"/>
  <c r="I629" i="20"/>
  <c r="J629" i="20" s="1"/>
  <c r="I490" i="19"/>
  <c r="J490" i="19" s="1"/>
  <c r="I656" i="20"/>
  <c r="J656" i="20" s="1"/>
  <c r="I494" i="19"/>
  <c r="J494" i="19" s="1"/>
  <c r="I679" i="20"/>
  <c r="J679" i="20" s="1"/>
  <c r="I502" i="19"/>
  <c r="J502" i="19" s="1"/>
  <c r="I687" i="20"/>
  <c r="J687" i="20" s="1"/>
  <c r="I510" i="19"/>
  <c r="J510" i="19" s="1"/>
  <c r="I700" i="20"/>
  <c r="J700" i="20" s="1"/>
  <c r="I518" i="19"/>
  <c r="J518" i="19" s="1"/>
  <c r="I136" i="19"/>
  <c r="J136" i="19" s="1"/>
  <c r="L136" i="19" s="1"/>
  <c r="I170" i="20"/>
  <c r="J170" i="20" s="1"/>
  <c r="I152" i="19"/>
  <c r="J152" i="19" s="1"/>
  <c r="L152" i="19" s="1"/>
  <c r="I186" i="20"/>
  <c r="J186" i="20" s="1"/>
  <c r="I168" i="19"/>
  <c r="J168" i="19" s="1"/>
  <c r="L168" i="19" s="1"/>
  <c r="I202" i="20"/>
  <c r="J202" i="20" s="1"/>
  <c r="I184" i="19"/>
  <c r="J184" i="19" s="1"/>
  <c r="L184" i="19" s="1"/>
  <c r="I218" i="20"/>
  <c r="J218" i="20" s="1"/>
  <c r="I117" i="20"/>
  <c r="J117" i="20" s="1"/>
  <c r="I84" i="19"/>
  <c r="J84" i="19" s="1"/>
  <c r="L84" i="19" s="1"/>
  <c r="I443" i="19"/>
  <c r="J443" i="19" s="1"/>
  <c r="L443" i="19" s="1"/>
  <c r="I558" i="20"/>
  <c r="J558" i="20" s="1"/>
  <c r="I272" i="19"/>
  <c r="J272" i="19" s="1"/>
  <c r="L272" i="19" s="1"/>
  <c r="I341" i="20"/>
  <c r="J341" i="20" s="1"/>
  <c r="I296" i="19"/>
  <c r="J296" i="19" s="1"/>
  <c r="L296" i="19" s="1"/>
  <c r="I365" i="20"/>
  <c r="J365" i="20" s="1"/>
  <c r="I332" i="19"/>
  <c r="J332" i="19" s="1"/>
  <c r="L332" i="19" s="1"/>
  <c r="I406" i="20"/>
  <c r="J406" i="20" s="1"/>
  <c r="I147" i="19"/>
  <c r="J147" i="19" s="1"/>
  <c r="L147" i="19" s="1"/>
  <c r="I181" i="20"/>
  <c r="J181" i="20" s="1"/>
  <c r="I197" i="20"/>
  <c r="J197" i="20" s="1"/>
  <c r="I163" i="19"/>
  <c r="J163" i="19" s="1"/>
  <c r="L163" i="19" s="1"/>
  <c r="I179" i="19"/>
  <c r="J179" i="19" s="1"/>
  <c r="L179" i="19" s="1"/>
  <c r="I213" i="20"/>
  <c r="J213" i="20" s="1"/>
  <c r="I229" i="20"/>
  <c r="J229" i="20" s="1"/>
  <c r="I195" i="19"/>
  <c r="J195" i="19" s="1"/>
  <c r="L195" i="19" s="1"/>
  <c r="I77" i="19"/>
  <c r="J77" i="19" s="1"/>
  <c r="L77" i="19" s="1"/>
  <c r="I110" i="20"/>
  <c r="J110" i="20" s="1"/>
  <c r="I484" i="20"/>
  <c r="J484" i="20" s="1"/>
  <c r="I394" i="19"/>
  <c r="J394" i="19" s="1"/>
  <c r="L394" i="19" s="1"/>
  <c r="I520" i="20"/>
  <c r="J520" i="20" s="1"/>
  <c r="I410" i="19"/>
  <c r="J410" i="19" s="1"/>
  <c r="L410" i="19" s="1"/>
  <c r="I269" i="20"/>
  <c r="J269" i="20" s="1"/>
  <c r="I219" i="19"/>
  <c r="J219" i="19" s="1"/>
  <c r="L219" i="19" s="1"/>
  <c r="I244" i="19"/>
  <c r="J244" i="19" s="1"/>
  <c r="L244" i="19" s="1"/>
  <c r="I309" i="20"/>
  <c r="J309" i="20" s="1"/>
  <c r="I567" i="20"/>
  <c r="J567" i="20" s="1"/>
  <c r="I452" i="19"/>
  <c r="J452" i="19" s="1"/>
  <c r="I58" i="20"/>
  <c r="J58" i="20" s="1"/>
  <c r="I32" i="19"/>
  <c r="J32" i="19" s="1"/>
  <c r="L32" i="19" s="1"/>
  <c r="I62" i="20"/>
  <c r="J62" i="20" s="1"/>
  <c r="I36" i="19"/>
  <c r="J36" i="19" s="1"/>
  <c r="L36" i="19" s="1"/>
  <c r="I66" i="20"/>
  <c r="J66" i="20" s="1"/>
  <c r="I40" i="19"/>
  <c r="J40" i="19" s="1"/>
  <c r="L40" i="19" s="1"/>
  <c r="I137" i="20"/>
  <c r="J137" i="20" s="1"/>
  <c r="I104" i="19"/>
  <c r="J104" i="19" s="1"/>
  <c r="L104" i="19" s="1"/>
  <c r="I110" i="19"/>
  <c r="J110" i="19" s="1"/>
  <c r="L110" i="19" s="1"/>
  <c r="I143" i="20"/>
  <c r="J143" i="20" s="1"/>
  <c r="I118" i="19"/>
  <c r="J118" i="19" s="1"/>
  <c r="L118" i="19" s="1"/>
  <c r="I151" i="20"/>
  <c r="J151" i="20" s="1"/>
  <c r="I159" i="20"/>
  <c r="J159" i="20" s="1"/>
  <c r="I126" i="19"/>
  <c r="J126" i="19" s="1"/>
  <c r="L126" i="19" s="1"/>
  <c r="I132" i="19"/>
  <c r="J132" i="19" s="1"/>
  <c r="L132" i="19" s="1"/>
  <c r="I166" i="20"/>
  <c r="J166" i="20" s="1"/>
  <c r="I140" i="19"/>
  <c r="J140" i="19" s="1"/>
  <c r="L140" i="19" s="1"/>
  <c r="I174" i="20"/>
  <c r="J174" i="20" s="1"/>
  <c r="I148" i="19"/>
  <c r="J148" i="19" s="1"/>
  <c r="L148" i="19" s="1"/>
  <c r="I182" i="20"/>
  <c r="J182" i="20" s="1"/>
  <c r="I156" i="19"/>
  <c r="J156" i="19" s="1"/>
  <c r="L156" i="19" s="1"/>
  <c r="I190" i="20"/>
  <c r="J190" i="20" s="1"/>
  <c r="I164" i="19"/>
  <c r="J164" i="19" s="1"/>
  <c r="L164" i="19" s="1"/>
  <c r="I198" i="20"/>
  <c r="J198" i="20" s="1"/>
  <c r="I172" i="19"/>
  <c r="J172" i="19" s="1"/>
  <c r="L172" i="19" s="1"/>
  <c r="I206" i="20"/>
  <c r="J206" i="20" s="1"/>
  <c r="I180" i="19"/>
  <c r="J180" i="19" s="1"/>
  <c r="L180" i="19" s="1"/>
  <c r="I214" i="20"/>
  <c r="J214" i="20" s="1"/>
  <c r="I188" i="19"/>
  <c r="J188" i="19" s="1"/>
  <c r="L188" i="19" s="1"/>
  <c r="I222" i="20"/>
  <c r="J222" i="20" s="1"/>
  <c r="I237" i="20"/>
  <c r="J237" i="20" s="1"/>
  <c r="I196" i="19"/>
  <c r="J196" i="19" s="1"/>
  <c r="L196" i="19" s="1"/>
  <c r="I86" i="20"/>
  <c r="J86" i="20" s="1"/>
  <c r="I54" i="19"/>
  <c r="J54" i="19" s="1"/>
  <c r="L54" i="19" s="1"/>
  <c r="I97" i="20"/>
  <c r="J97" i="20" s="1"/>
  <c r="I64" i="19"/>
  <c r="J64" i="19" s="1"/>
  <c r="L64" i="19" s="1"/>
  <c r="I115" i="20"/>
  <c r="J115" i="20" s="1"/>
  <c r="I82" i="19"/>
  <c r="J82" i="19" s="1"/>
  <c r="L82" i="19" s="1"/>
  <c r="I121" i="20"/>
  <c r="J121" i="20" s="1"/>
  <c r="I88" i="19"/>
  <c r="J88" i="19" s="1"/>
  <c r="L88" i="19" s="1"/>
  <c r="I127" i="20"/>
  <c r="J127" i="20" s="1"/>
  <c r="I94" i="19"/>
  <c r="J94" i="19" s="1"/>
  <c r="L94" i="19" s="1"/>
  <c r="I455" i="20"/>
  <c r="J455" i="20" s="1"/>
  <c r="I365" i="19"/>
  <c r="J365" i="19" s="1"/>
  <c r="L365" i="19" s="1"/>
  <c r="I463" i="20"/>
  <c r="J463" i="20" s="1"/>
  <c r="I373" i="19"/>
  <c r="J373" i="19" s="1"/>
  <c r="L373" i="19" s="1"/>
  <c r="I471" i="20"/>
  <c r="J471" i="20" s="1"/>
  <c r="I381" i="19"/>
  <c r="J381" i="19" s="1"/>
  <c r="L381" i="19" s="1"/>
  <c r="I387" i="19"/>
  <c r="J387" i="19" s="1"/>
  <c r="L387" i="19" s="1"/>
  <c r="I477" i="20"/>
  <c r="J477" i="20" s="1"/>
  <c r="I395" i="19"/>
  <c r="J395" i="19" s="1"/>
  <c r="L395" i="19" s="1"/>
  <c r="I485" i="20"/>
  <c r="J485" i="20" s="1"/>
  <c r="I403" i="19"/>
  <c r="J403" i="19" s="1"/>
  <c r="L403" i="19" s="1"/>
  <c r="I513" i="20"/>
  <c r="J513" i="20" s="1"/>
  <c r="I411" i="19"/>
  <c r="J411" i="19" s="1"/>
  <c r="L411" i="19" s="1"/>
  <c r="I521" i="20"/>
  <c r="J521" i="20" s="1"/>
  <c r="I529" i="20"/>
  <c r="J529" i="20" s="1"/>
  <c r="I417" i="19"/>
  <c r="J417" i="19" s="1"/>
  <c r="L417" i="19" s="1"/>
  <c r="I537" i="20"/>
  <c r="J537" i="20" s="1"/>
  <c r="I425" i="19"/>
  <c r="J425" i="19" s="1"/>
  <c r="L425" i="19" s="1"/>
  <c r="I439" i="19"/>
  <c r="J439" i="19" s="1"/>
  <c r="L439" i="19" s="1"/>
  <c r="I552" i="20"/>
  <c r="J552" i="20" s="1"/>
  <c r="I302" i="20"/>
  <c r="J302" i="20" s="1"/>
  <c r="I237" i="19"/>
  <c r="J237" i="19" s="1"/>
  <c r="L237" i="19" s="1"/>
  <c r="I319" i="20"/>
  <c r="J319" i="20" s="1"/>
  <c r="I254" i="19"/>
  <c r="J254" i="19" s="1"/>
  <c r="L254" i="19" s="1"/>
  <c r="I323" i="20"/>
  <c r="J323" i="20" s="1"/>
  <c r="I258" i="19"/>
  <c r="J258" i="19" s="1"/>
  <c r="L258" i="19" s="1"/>
  <c r="I343" i="20"/>
  <c r="J343" i="20" s="1"/>
  <c r="I274" i="19"/>
  <c r="J274" i="19" s="1"/>
  <c r="L274" i="19" s="1"/>
  <c r="I347" i="20"/>
  <c r="J347" i="20" s="1"/>
  <c r="I278" i="19"/>
  <c r="J278" i="19" s="1"/>
  <c r="L278" i="19" s="1"/>
  <c r="I351" i="20"/>
  <c r="J351" i="20" s="1"/>
  <c r="I282" i="19"/>
  <c r="J282" i="19" s="1"/>
  <c r="L282" i="19" s="1"/>
  <c r="I355" i="20"/>
  <c r="J355" i="20" s="1"/>
  <c r="I286" i="19"/>
  <c r="J286" i="19" s="1"/>
  <c r="L286" i="19" s="1"/>
  <c r="I359" i="20"/>
  <c r="J359" i="20" s="1"/>
  <c r="I290" i="19"/>
  <c r="J290" i="19" s="1"/>
  <c r="L290" i="19" s="1"/>
  <c r="I363" i="20"/>
  <c r="J363" i="20" s="1"/>
  <c r="I294" i="19"/>
  <c r="J294" i="19" s="1"/>
  <c r="L294" i="19" s="1"/>
  <c r="I367" i="20"/>
  <c r="J367" i="20" s="1"/>
  <c r="I298" i="19"/>
  <c r="J298" i="19" s="1"/>
  <c r="L298" i="19" s="1"/>
  <c r="I371" i="20"/>
  <c r="J371" i="20" s="1"/>
  <c r="I302" i="19"/>
  <c r="J302" i="19" s="1"/>
  <c r="L302" i="19" s="1"/>
  <c r="I375" i="20"/>
  <c r="J375" i="20" s="1"/>
  <c r="I306" i="19"/>
  <c r="J306" i="19" s="1"/>
  <c r="L306" i="19" s="1"/>
  <c r="I380" i="20"/>
  <c r="J380" i="20" s="1"/>
  <c r="I311" i="19"/>
  <c r="J311" i="19" s="1"/>
  <c r="L311" i="19" s="1"/>
  <c r="I390" i="20"/>
  <c r="J390" i="20" s="1"/>
  <c r="I316" i="19"/>
  <c r="J316" i="19" s="1"/>
  <c r="L316" i="19" s="1"/>
  <c r="I320" i="19"/>
  <c r="J320" i="19" s="1"/>
  <c r="L320" i="19" s="1"/>
  <c r="I394" i="20"/>
  <c r="J394" i="20" s="1"/>
  <c r="I328" i="19"/>
  <c r="J328" i="19" s="1"/>
  <c r="L328" i="19" s="1"/>
  <c r="I402" i="20"/>
  <c r="J402" i="20" s="1"/>
  <c r="I409" i="20"/>
  <c r="J409" i="20" s="1"/>
  <c r="I335" i="19"/>
  <c r="J335" i="19" s="1"/>
  <c r="L335" i="19" s="1"/>
  <c r="I415" i="20"/>
  <c r="J415" i="20" s="1"/>
  <c r="I341" i="19"/>
  <c r="J341" i="19" s="1"/>
  <c r="L341" i="19" s="1"/>
  <c r="I428" i="20"/>
  <c r="J428" i="20" s="1"/>
  <c r="I347" i="19"/>
  <c r="J347" i="19" s="1"/>
  <c r="L347" i="19" s="1"/>
  <c r="I436" i="20"/>
  <c r="J436" i="20" s="1"/>
  <c r="I355" i="19"/>
  <c r="J355" i="19" s="1"/>
  <c r="L355" i="19" s="1"/>
  <c r="I568" i="20"/>
  <c r="J568" i="20" s="1"/>
  <c r="I453" i="19"/>
  <c r="J453" i="19" s="1"/>
  <c r="I576" i="20"/>
  <c r="J576" i="20" s="1"/>
  <c r="I461" i="19"/>
  <c r="J461" i="19" s="1"/>
  <c r="I584" i="20"/>
  <c r="J584" i="20" s="1"/>
  <c r="I469" i="19"/>
  <c r="J469" i="19" s="1"/>
  <c r="I592" i="20"/>
  <c r="J592" i="20" s="1"/>
  <c r="I477" i="19"/>
  <c r="J477" i="19" s="1"/>
  <c r="I624" i="20"/>
  <c r="J624" i="20" s="1"/>
  <c r="I485" i="19"/>
  <c r="J485" i="19" s="1"/>
  <c r="I659" i="20"/>
  <c r="J659" i="20" s="1"/>
  <c r="I497" i="19"/>
  <c r="J497" i="19" s="1"/>
  <c r="I682" i="20"/>
  <c r="J682" i="20" s="1"/>
  <c r="I505" i="19"/>
  <c r="J505" i="19" s="1"/>
  <c r="I695" i="20"/>
  <c r="J695" i="20" s="1"/>
  <c r="I513" i="19"/>
  <c r="J513" i="19" s="1"/>
  <c r="I64" i="20"/>
  <c r="J64" i="20" s="1"/>
  <c r="I38" i="19"/>
  <c r="J38" i="19" s="1"/>
  <c r="L38" i="19" s="1"/>
  <c r="I114" i="19"/>
  <c r="J114" i="19" s="1"/>
  <c r="L114" i="19" s="1"/>
  <c r="I147" i="20"/>
  <c r="J147" i="20" s="1"/>
  <c r="I130" i="19"/>
  <c r="J130" i="19" s="1"/>
  <c r="L130" i="19" s="1"/>
  <c r="I163" i="20"/>
  <c r="J163" i="20" s="1"/>
  <c r="I176" i="19"/>
  <c r="J176" i="19" s="1"/>
  <c r="L176" i="19" s="1"/>
  <c r="I210" i="20"/>
  <c r="J210" i="20" s="1"/>
  <c r="I107" i="20"/>
  <c r="J107" i="20" s="1"/>
  <c r="I74" i="19"/>
  <c r="J74" i="19" s="1"/>
  <c r="L74" i="19" s="1"/>
  <c r="I467" i="20"/>
  <c r="J467" i="20" s="1"/>
  <c r="I377" i="19"/>
  <c r="J377" i="19" s="1"/>
  <c r="L377" i="19" s="1"/>
  <c r="I541" i="20"/>
  <c r="J541" i="20" s="1"/>
  <c r="I429" i="19"/>
  <c r="J429" i="19" s="1"/>
  <c r="L429" i="19" s="1"/>
  <c r="I256" i="19"/>
  <c r="J256" i="19" s="1"/>
  <c r="L256" i="19" s="1"/>
  <c r="I321" i="20"/>
  <c r="J321" i="20" s="1"/>
  <c r="I353" i="20"/>
  <c r="J353" i="20" s="1"/>
  <c r="I284" i="19"/>
  <c r="J284" i="19" s="1"/>
  <c r="L284" i="19" s="1"/>
  <c r="I432" i="20"/>
  <c r="J432" i="20" s="1"/>
  <c r="I351" i="19"/>
  <c r="J351" i="19" s="1"/>
  <c r="L351" i="19" s="1"/>
  <c r="I85" i="20"/>
  <c r="J85" i="20" s="1"/>
  <c r="I53" i="19"/>
  <c r="J53" i="19" s="1"/>
  <c r="L53" i="19" s="1"/>
  <c r="I104" i="20"/>
  <c r="J104" i="20" s="1"/>
  <c r="I71" i="19"/>
  <c r="J71" i="19" s="1"/>
  <c r="L71" i="19" s="1"/>
  <c r="I462" i="20"/>
  <c r="J462" i="20" s="1"/>
  <c r="I372" i="19"/>
  <c r="J372" i="19" s="1"/>
  <c r="L372" i="19" s="1"/>
  <c r="I476" i="20"/>
  <c r="J476" i="20" s="1"/>
  <c r="I386" i="19"/>
  <c r="J386" i="19" s="1"/>
  <c r="L386" i="19" s="1"/>
  <c r="I512" i="20"/>
  <c r="J512" i="20" s="1"/>
  <c r="I402" i="19"/>
  <c r="J402" i="19" s="1"/>
  <c r="L402" i="19" s="1"/>
  <c r="I199" i="19"/>
  <c r="I244" i="20"/>
  <c r="I273" i="20"/>
  <c r="J273" i="20" s="1"/>
  <c r="I223" i="19"/>
  <c r="J223" i="19" s="1"/>
  <c r="L223" i="19" s="1"/>
  <c r="I248" i="19"/>
  <c r="J248" i="19" s="1"/>
  <c r="L248" i="19" s="1"/>
  <c r="I313" i="20"/>
  <c r="J313" i="20" s="1"/>
  <c r="I433" i="20"/>
  <c r="J433" i="20" s="1"/>
  <c r="I352" i="19"/>
  <c r="J352" i="19" s="1"/>
  <c r="L352" i="19" s="1"/>
  <c r="I607" i="19"/>
  <c r="J607" i="19" s="1"/>
  <c r="L607" i="19" s="1"/>
  <c r="I611" i="19"/>
  <c r="J611" i="19" s="1"/>
  <c r="L611" i="19" s="1"/>
  <c r="I616" i="19"/>
  <c r="J616" i="19" s="1"/>
  <c r="L616" i="19" s="1"/>
  <c r="I26" i="20"/>
  <c r="I28" i="19"/>
  <c r="I113" i="19"/>
  <c r="J113" i="19" s="1"/>
  <c r="L113" i="19" s="1"/>
  <c r="I146" i="20"/>
  <c r="J146" i="20" s="1"/>
  <c r="I154" i="20"/>
  <c r="J154" i="20" s="1"/>
  <c r="I121" i="19"/>
  <c r="J121" i="19" s="1"/>
  <c r="L121" i="19" s="1"/>
  <c r="I129" i="19"/>
  <c r="J129" i="19" s="1"/>
  <c r="L129" i="19" s="1"/>
  <c r="I162" i="20"/>
  <c r="J162" i="20" s="1"/>
  <c r="I169" i="20"/>
  <c r="J169" i="20" s="1"/>
  <c r="I135" i="19"/>
  <c r="J135" i="19" s="1"/>
  <c r="L135" i="19" s="1"/>
  <c r="I177" i="20"/>
  <c r="J177" i="20" s="1"/>
  <c r="I143" i="19"/>
  <c r="J143" i="19" s="1"/>
  <c r="L143" i="19" s="1"/>
  <c r="I185" i="20"/>
  <c r="J185" i="20" s="1"/>
  <c r="I151" i="19"/>
  <c r="J151" i="19" s="1"/>
  <c r="L151" i="19" s="1"/>
  <c r="I193" i="20"/>
  <c r="J193" i="20" s="1"/>
  <c r="I159" i="19"/>
  <c r="J159" i="19" s="1"/>
  <c r="L159" i="19" s="1"/>
  <c r="I201" i="20"/>
  <c r="J201" i="20" s="1"/>
  <c r="I167" i="19"/>
  <c r="J167" i="19" s="1"/>
  <c r="L167" i="19" s="1"/>
  <c r="I209" i="20"/>
  <c r="J209" i="20" s="1"/>
  <c r="I175" i="19"/>
  <c r="J175" i="19" s="1"/>
  <c r="L175" i="19" s="1"/>
  <c r="I217" i="20"/>
  <c r="J217" i="20" s="1"/>
  <c r="I183" i="19"/>
  <c r="J183" i="19" s="1"/>
  <c r="L183" i="19" s="1"/>
  <c r="I225" i="20"/>
  <c r="J225" i="20" s="1"/>
  <c r="I191" i="19"/>
  <c r="J191" i="19" s="1"/>
  <c r="L191" i="19" s="1"/>
  <c r="I81" i="20"/>
  <c r="J81" i="20" s="1"/>
  <c r="I49" i="19"/>
  <c r="J49" i="19" s="1"/>
  <c r="L49" i="19" s="1"/>
  <c r="I94" i="20"/>
  <c r="J94" i="20" s="1"/>
  <c r="I61" i="19"/>
  <c r="J61" i="19" s="1"/>
  <c r="L61" i="19" s="1"/>
  <c r="I100" i="20"/>
  <c r="J100" i="20" s="1"/>
  <c r="I67" i="19"/>
  <c r="J67" i="19" s="1"/>
  <c r="L67" i="19" s="1"/>
  <c r="I106" i="20"/>
  <c r="J106" i="20" s="1"/>
  <c r="I73" i="19"/>
  <c r="J73" i="19" s="1"/>
  <c r="L73" i="19" s="1"/>
  <c r="I116" i="20"/>
  <c r="J116" i="20" s="1"/>
  <c r="I83" i="19"/>
  <c r="J83" i="19" s="1"/>
  <c r="L83" i="19" s="1"/>
  <c r="I97" i="19"/>
  <c r="J97" i="19" s="1"/>
  <c r="L97" i="19" s="1"/>
  <c r="I130" i="20"/>
  <c r="J130" i="20" s="1"/>
  <c r="I458" i="20"/>
  <c r="J458" i="20" s="1"/>
  <c r="I368" i="19"/>
  <c r="J368" i="19" s="1"/>
  <c r="L368" i="19" s="1"/>
  <c r="I466" i="20"/>
  <c r="J466" i="20" s="1"/>
  <c r="I376" i="19"/>
  <c r="J376" i="19" s="1"/>
  <c r="L376" i="19" s="1"/>
  <c r="I480" i="20"/>
  <c r="J480" i="20" s="1"/>
  <c r="I390" i="19"/>
  <c r="J390" i="19" s="1"/>
  <c r="L390" i="19" s="1"/>
  <c r="I508" i="20"/>
  <c r="J508" i="20" s="1"/>
  <c r="I398" i="19"/>
  <c r="J398" i="19" s="1"/>
  <c r="L398" i="19" s="1"/>
  <c r="I516" i="20"/>
  <c r="J516" i="20" s="1"/>
  <c r="I406" i="19"/>
  <c r="J406" i="19" s="1"/>
  <c r="L406" i="19" s="1"/>
  <c r="I524" i="20"/>
  <c r="J524" i="20" s="1"/>
  <c r="I414" i="19"/>
  <c r="J414" i="19" s="1"/>
  <c r="L414" i="19" s="1"/>
  <c r="I532" i="20"/>
  <c r="J532" i="20" s="1"/>
  <c r="I420" i="19"/>
  <c r="J420" i="19" s="1"/>
  <c r="L420" i="19" s="1"/>
  <c r="I540" i="20"/>
  <c r="J540" i="20" s="1"/>
  <c r="I428" i="19"/>
  <c r="J428" i="19" s="1"/>
  <c r="L428" i="19" s="1"/>
  <c r="I546" i="20"/>
  <c r="J546" i="20" s="1"/>
  <c r="I434" i="19"/>
  <c r="J434" i="19" s="1"/>
  <c r="L434" i="19" s="1"/>
  <c r="I556" i="20"/>
  <c r="J556" i="20" s="1"/>
  <c r="I442" i="19"/>
  <c r="J442" i="19" s="1"/>
  <c r="L442" i="19" s="1"/>
  <c r="I246" i="20"/>
  <c r="J246" i="20" s="1"/>
  <c r="I201" i="19"/>
  <c r="J201" i="19" s="1"/>
  <c r="L201" i="19" s="1"/>
  <c r="I251" i="20"/>
  <c r="J251" i="20" s="1"/>
  <c r="I205" i="19"/>
  <c r="J205" i="19" s="1"/>
  <c r="L205" i="19" s="1"/>
  <c r="I255" i="20"/>
  <c r="J255" i="20" s="1"/>
  <c r="I209" i="19"/>
  <c r="J209" i="19" s="1"/>
  <c r="L209" i="19" s="1"/>
  <c r="I263" i="20"/>
  <c r="J263" i="20" s="1"/>
  <c r="I213" i="19"/>
  <c r="J213" i="19" s="1"/>
  <c r="L213" i="19" s="1"/>
  <c r="I267" i="20"/>
  <c r="J267" i="20" s="1"/>
  <c r="I217" i="19"/>
  <c r="J217" i="19" s="1"/>
  <c r="L217" i="19" s="1"/>
  <c r="I271" i="20"/>
  <c r="J271" i="20" s="1"/>
  <c r="I221" i="19"/>
  <c r="J221" i="19" s="1"/>
  <c r="L221" i="19" s="1"/>
  <c r="I275" i="20"/>
  <c r="J275" i="20" s="1"/>
  <c r="I225" i="19"/>
  <c r="J225" i="19" s="1"/>
  <c r="L225" i="19" s="1"/>
  <c r="I294" i="20"/>
  <c r="J294" i="20" s="1"/>
  <c r="I229" i="19"/>
  <c r="J229" i="19" s="1"/>
  <c r="L229" i="19" s="1"/>
  <c r="I298" i="20"/>
  <c r="J298" i="20" s="1"/>
  <c r="I233" i="19"/>
  <c r="J233" i="19" s="1"/>
  <c r="L233" i="19" s="1"/>
  <c r="I307" i="20"/>
  <c r="J307" i="20" s="1"/>
  <c r="I242" i="19"/>
  <c r="J242" i="19" s="1"/>
  <c r="L242" i="19" s="1"/>
  <c r="I311" i="20"/>
  <c r="J311" i="20" s="1"/>
  <c r="I246" i="19"/>
  <c r="J246" i="19" s="1"/>
  <c r="L246" i="19" s="1"/>
  <c r="I315" i="20"/>
  <c r="J315" i="20" s="1"/>
  <c r="I250" i="19"/>
  <c r="J250" i="19" s="1"/>
  <c r="L250" i="19" s="1"/>
  <c r="I331" i="20"/>
  <c r="J331" i="20" s="1"/>
  <c r="I263" i="19"/>
  <c r="J263" i="19" s="1"/>
  <c r="L263" i="19" s="1"/>
  <c r="I337" i="20"/>
  <c r="J337" i="20" s="1"/>
  <c r="I269" i="19"/>
  <c r="J269" i="19" s="1"/>
  <c r="L269" i="19" s="1"/>
  <c r="I376" i="20"/>
  <c r="J376" i="20" s="1"/>
  <c r="I307" i="19"/>
  <c r="J307" i="19" s="1"/>
  <c r="L307" i="19" s="1"/>
  <c r="I395" i="20"/>
  <c r="J395" i="20" s="1"/>
  <c r="I321" i="19"/>
  <c r="J321" i="19" s="1"/>
  <c r="L321" i="19" s="1"/>
  <c r="I403" i="20"/>
  <c r="J403" i="20" s="1"/>
  <c r="I329" i="19"/>
  <c r="J329" i="19" s="1"/>
  <c r="L329" i="19" s="1"/>
  <c r="I336" i="19"/>
  <c r="J336" i="19" s="1"/>
  <c r="L336" i="19" s="1"/>
  <c r="I410" i="20"/>
  <c r="J410" i="20" s="1"/>
  <c r="I429" i="20"/>
  <c r="J429" i="20" s="1"/>
  <c r="I348" i="19"/>
  <c r="J348" i="19" s="1"/>
  <c r="L348" i="19" s="1"/>
  <c r="I437" i="20"/>
  <c r="J437" i="20" s="1"/>
  <c r="I356" i="19"/>
  <c r="J356" i="19" s="1"/>
  <c r="L356" i="19" s="1"/>
  <c r="I563" i="20"/>
  <c r="I448" i="19"/>
  <c r="I571" i="20"/>
  <c r="J571" i="20" s="1"/>
  <c r="I456" i="19"/>
  <c r="J456" i="19" s="1"/>
  <c r="I579" i="20"/>
  <c r="J579" i="20" s="1"/>
  <c r="I464" i="19"/>
  <c r="J464" i="19" s="1"/>
  <c r="I587" i="20"/>
  <c r="J587" i="20" s="1"/>
  <c r="I472" i="19"/>
  <c r="J472" i="19" s="1"/>
  <c r="I619" i="20"/>
  <c r="J619" i="20" s="1"/>
  <c r="I480" i="19"/>
  <c r="J480" i="19" s="1"/>
  <c r="I627" i="20"/>
  <c r="J627" i="20" s="1"/>
  <c r="I488" i="19"/>
  <c r="J488" i="19" s="1"/>
  <c r="I654" i="20"/>
  <c r="J654" i="20" s="1"/>
  <c r="I492" i="19"/>
  <c r="J492" i="19" s="1"/>
  <c r="I500" i="19"/>
  <c r="J500" i="19" s="1"/>
  <c r="I685" i="20"/>
  <c r="J685" i="20" s="1"/>
  <c r="I508" i="19"/>
  <c r="J508" i="19" s="1"/>
  <c r="I698" i="20"/>
  <c r="J698" i="20" s="1"/>
  <c r="I516" i="19"/>
  <c r="J516" i="19" s="1"/>
  <c r="I133" i="20"/>
  <c r="J133" i="20" s="1"/>
  <c r="I100" i="19"/>
  <c r="J100" i="19" s="1"/>
  <c r="L100" i="19" s="1"/>
  <c r="I76" i="20"/>
  <c r="J76" i="20" s="1"/>
  <c r="I44" i="19"/>
  <c r="J44" i="19" s="1"/>
  <c r="L44" i="19" s="1"/>
  <c r="I363" i="19"/>
  <c r="I453" i="20"/>
  <c r="I383" i="19"/>
  <c r="J383" i="19" s="1"/>
  <c r="L383" i="19" s="1"/>
  <c r="I473" i="20"/>
  <c r="J473" i="20" s="1"/>
  <c r="I399" i="19"/>
  <c r="J399" i="19" s="1"/>
  <c r="L399" i="19" s="1"/>
  <c r="I509" i="20"/>
  <c r="J509" i="20" s="1"/>
  <c r="I415" i="19"/>
  <c r="J415" i="19" s="1"/>
  <c r="L415" i="19" s="1"/>
  <c r="I527" i="20"/>
  <c r="J527" i="20" s="1"/>
  <c r="I276" i="19"/>
  <c r="J276" i="19" s="1"/>
  <c r="L276" i="19" s="1"/>
  <c r="I345" i="20"/>
  <c r="J345" i="20" s="1"/>
  <c r="I300" i="19"/>
  <c r="J300" i="19" s="1"/>
  <c r="L300" i="19" s="1"/>
  <c r="I369" i="20"/>
  <c r="J369" i="20" s="1"/>
  <c r="I324" i="19"/>
  <c r="J324" i="19" s="1"/>
  <c r="L324" i="19" s="1"/>
  <c r="I398" i="20"/>
  <c r="J398" i="20" s="1"/>
  <c r="I564" i="20"/>
  <c r="J564" i="20" s="1"/>
  <c r="I449" i="19"/>
  <c r="J449" i="19" s="1"/>
  <c r="I686" i="20"/>
  <c r="J686" i="20" s="1"/>
  <c r="I509" i="19"/>
  <c r="J509" i="19" s="1"/>
  <c r="I109" i="19"/>
  <c r="J109" i="19" s="1"/>
  <c r="L109" i="19" s="1"/>
  <c r="I142" i="20"/>
  <c r="J142" i="20" s="1"/>
  <c r="I125" i="19"/>
  <c r="J125" i="19" s="1"/>
  <c r="L125" i="19" s="1"/>
  <c r="I158" i="20"/>
  <c r="J158" i="20" s="1"/>
  <c r="I126" i="20"/>
  <c r="J126" i="20" s="1"/>
  <c r="I93" i="19"/>
  <c r="J93" i="19" s="1"/>
  <c r="L93" i="19" s="1"/>
  <c r="I215" i="19"/>
  <c r="J215" i="19" s="1"/>
  <c r="L215" i="19" s="1"/>
  <c r="I265" i="20"/>
  <c r="J265" i="20" s="1"/>
  <c r="I305" i="20"/>
  <c r="J305" i="20" s="1"/>
  <c r="I240" i="19"/>
  <c r="J240" i="19" s="1"/>
  <c r="L240" i="19" s="1"/>
  <c r="I335" i="20"/>
  <c r="J335" i="20" s="1"/>
  <c r="I267" i="19"/>
  <c r="J267" i="19" s="1"/>
  <c r="L267" i="19" s="1"/>
  <c r="I388" i="20"/>
  <c r="J388" i="20" s="1"/>
  <c r="I314" i="19"/>
  <c r="J314" i="19" s="1"/>
  <c r="L314" i="19" s="1"/>
  <c r="I425" i="20"/>
  <c r="J425" i="20" s="1"/>
  <c r="I344" i="19"/>
  <c r="J344" i="19" s="1"/>
  <c r="L344" i="19" s="1"/>
  <c r="I623" i="20"/>
  <c r="J623" i="20" s="1"/>
  <c r="I484" i="19"/>
  <c r="J484" i="19" s="1"/>
  <c r="I658" i="20"/>
  <c r="J658" i="20" s="1"/>
  <c r="I496" i="19"/>
  <c r="J496" i="19" s="1"/>
  <c r="I605" i="19"/>
  <c r="J605" i="19" s="1"/>
  <c r="L605" i="19" s="1"/>
  <c r="I609" i="19"/>
  <c r="J609" i="19" s="1"/>
  <c r="L609" i="19" s="1"/>
  <c r="I613" i="19"/>
  <c r="J613" i="19" s="1"/>
  <c r="L613" i="19" s="1"/>
  <c r="I29" i="19"/>
  <c r="J29" i="19" s="1"/>
  <c r="L29" i="19" s="1"/>
  <c r="I55" i="20"/>
  <c r="J55" i="20" s="1"/>
  <c r="I33" i="19"/>
  <c r="J33" i="19" s="1"/>
  <c r="L33" i="19" s="1"/>
  <c r="I59" i="20"/>
  <c r="J59" i="20" s="1"/>
  <c r="I63" i="20"/>
  <c r="J63" i="20" s="1"/>
  <c r="I37" i="19"/>
  <c r="J37" i="19" s="1"/>
  <c r="L37" i="19" s="1"/>
  <c r="I131" i="20"/>
  <c r="J131" i="20" s="1"/>
  <c r="I98" i="19"/>
  <c r="J98" i="19" s="1"/>
  <c r="L98" i="19" s="1"/>
  <c r="I135" i="20"/>
  <c r="J135" i="20" s="1"/>
  <c r="I102" i="19"/>
  <c r="J102" i="19" s="1"/>
  <c r="L102" i="19" s="1"/>
  <c r="I108" i="19"/>
  <c r="J108" i="19" s="1"/>
  <c r="L108" i="19" s="1"/>
  <c r="I141" i="20"/>
  <c r="J141" i="20" s="1"/>
  <c r="I116" i="19"/>
  <c r="J116" i="19" s="1"/>
  <c r="L116" i="19" s="1"/>
  <c r="I149" i="20"/>
  <c r="J149" i="20" s="1"/>
  <c r="I124" i="19"/>
  <c r="J124" i="19" s="1"/>
  <c r="L124" i="19" s="1"/>
  <c r="I157" i="20"/>
  <c r="J157" i="20" s="1"/>
  <c r="I138" i="19"/>
  <c r="J138" i="19" s="1"/>
  <c r="L138" i="19" s="1"/>
  <c r="I172" i="20"/>
  <c r="J172" i="20" s="1"/>
  <c r="I146" i="19"/>
  <c r="J146" i="19" s="1"/>
  <c r="L146" i="19" s="1"/>
  <c r="I180" i="20"/>
  <c r="J180" i="20" s="1"/>
  <c r="I154" i="19"/>
  <c r="J154" i="19" s="1"/>
  <c r="L154" i="19" s="1"/>
  <c r="I188" i="20"/>
  <c r="J188" i="20" s="1"/>
  <c r="I162" i="19"/>
  <c r="J162" i="19" s="1"/>
  <c r="L162" i="19" s="1"/>
  <c r="I196" i="20"/>
  <c r="J196" i="20" s="1"/>
  <c r="I170" i="19"/>
  <c r="J170" i="19" s="1"/>
  <c r="L170" i="19" s="1"/>
  <c r="I204" i="20"/>
  <c r="J204" i="20" s="1"/>
  <c r="I178" i="19"/>
  <c r="J178" i="19" s="1"/>
  <c r="L178" i="19" s="1"/>
  <c r="I212" i="20"/>
  <c r="J212" i="20" s="1"/>
  <c r="I186" i="19"/>
  <c r="J186" i="19" s="1"/>
  <c r="L186" i="19" s="1"/>
  <c r="I220" i="20"/>
  <c r="J220" i="20" s="1"/>
  <c r="I228" i="20"/>
  <c r="J228" i="20" s="1"/>
  <c r="I194" i="19"/>
  <c r="J194" i="19" s="1"/>
  <c r="L194" i="19" s="1"/>
  <c r="I78" i="20"/>
  <c r="J78" i="20" s="1"/>
  <c r="I46" i="19"/>
  <c r="J46" i="19" s="1"/>
  <c r="L46" i="19" s="1"/>
  <c r="I84" i="20"/>
  <c r="J84" i="20" s="1"/>
  <c r="I52" i="19"/>
  <c r="J52" i="19" s="1"/>
  <c r="L52" i="19" s="1"/>
  <c r="I95" i="20"/>
  <c r="J95" i="20" s="1"/>
  <c r="I62" i="19"/>
  <c r="J62" i="19" s="1"/>
  <c r="L62" i="19" s="1"/>
  <c r="I103" i="20"/>
  <c r="J103" i="20" s="1"/>
  <c r="I70" i="19"/>
  <c r="J70" i="19" s="1"/>
  <c r="L70" i="19" s="1"/>
  <c r="I109" i="20"/>
  <c r="J109" i="20" s="1"/>
  <c r="I76" i="19"/>
  <c r="J76" i="19" s="1"/>
  <c r="L76" i="19" s="1"/>
  <c r="I113" i="20"/>
  <c r="J113" i="20" s="1"/>
  <c r="I80" i="19"/>
  <c r="J80" i="19" s="1"/>
  <c r="L80" i="19" s="1"/>
  <c r="I119" i="20"/>
  <c r="J119" i="20" s="1"/>
  <c r="I86" i="19"/>
  <c r="J86" i="19" s="1"/>
  <c r="L86" i="19" s="1"/>
  <c r="I125" i="20"/>
  <c r="J125" i="20" s="1"/>
  <c r="I92" i="19"/>
  <c r="J92" i="19" s="1"/>
  <c r="L92" i="19" s="1"/>
  <c r="I371" i="19"/>
  <c r="J371" i="19" s="1"/>
  <c r="L371" i="19" s="1"/>
  <c r="I461" i="20"/>
  <c r="J461" i="20" s="1"/>
  <c r="I379" i="19"/>
  <c r="J379" i="19" s="1"/>
  <c r="L379" i="19" s="1"/>
  <c r="I469" i="20"/>
  <c r="J469" i="20" s="1"/>
  <c r="I475" i="20"/>
  <c r="J475" i="20" s="1"/>
  <c r="I385" i="19"/>
  <c r="J385" i="19" s="1"/>
  <c r="L385" i="19" s="1"/>
  <c r="I483" i="20"/>
  <c r="J483" i="20" s="1"/>
  <c r="I393" i="19"/>
  <c r="J393" i="19" s="1"/>
  <c r="L393" i="19" s="1"/>
  <c r="I511" i="20"/>
  <c r="J511" i="20" s="1"/>
  <c r="I401" i="19"/>
  <c r="J401" i="19" s="1"/>
  <c r="L401" i="19" s="1"/>
  <c r="I519" i="20"/>
  <c r="J519" i="20" s="1"/>
  <c r="I409" i="19"/>
  <c r="J409" i="19" s="1"/>
  <c r="L409" i="19" s="1"/>
  <c r="I423" i="19"/>
  <c r="J423" i="19" s="1"/>
  <c r="L423" i="19" s="1"/>
  <c r="I535" i="20"/>
  <c r="J535" i="20" s="1"/>
  <c r="I431" i="19"/>
  <c r="J431" i="19" s="1"/>
  <c r="L431" i="19" s="1"/>
  <c r="I543" i="20"/>
  <c r="J543" i="20" s="1"/>
  <c r="I550" i="20"/>
  <c r="J550" i="20" s="1"/>
  <c r="I437" i="19"/>
  <c r="J437" i="19" s="1"/>
  <c r="L437" i="19" s="1"/>
  <c r="I560" i="20"/>
  <c r="J560" i="20" s="1"/>
  <c r="I445" i="19"/>
  <c r="J445" i="19" s="1"/>
  <c r="L445" i="19" s="1"/>
  <c r="I303" i="20"/>
  <c r="J303" i="20" s="1"/>
  <c r="I238" i="19"/>
  <c r="J238" i="19" s="1"/>
  <c r="L238" i="19" s="1"/>
  <c r="I320" i="20"/>
  <c r="J320" i="20" s="1"/>
  <c r="I255" i="19"/>
  <c r="J255" i="19" s="1"/>
  <c r="L255" i="19" s="1"/>
  <c r="I327" i="20"/>
  <c r="J327" i="20" s="1"/>
  <c r="I259" i="19"/>
  <c r="J259" i="19" s="1"/>
  <c r="L259" i="19" s="1"/>
  <c r="I264" i="19"/>
  <c r="J264" i="19" s="1"/>
  <c r="L264" i="19" s="1"/>
  <c r="I332" i="20"/>
  <c r="J332" i="20" s="1"/>
  <c r="I338" i="20"/>
  <c r="J338" i="20" s="1"/>
  <c r="I270" i="19"/>
  <c r="J270" i="19" s="1"/>
  <c r="L270" i="19" s="1"/>
  <c r="I344" i="20"/>
  <c r="J344" i="20" s="1"/>
  <c r="I275" i="19"/>
  <c r="J275" i="19" s="1"/>
  <c r="L275" i="19" s="1"/>
  <c r="I348" i="20"/>
  <c r="J348" i="20" s="1"/>
  <c r="I279" i="19"/>
  <c r="J279" i="19" s="1"/>
  <c r="L279" i="19" s="1"/>
  <c r="I352" i="20"/>
  <c r="J352" i="20" s="1"/>
  <c r="I283" i="19"/>
  <c r="J283" i="19" s="1"/>
  <c r="L283" i="19" s="1"/>
  <c r="I356" i="20"/>
  <c r="J356" i="20" s="1"/>
  <c r="I287" i="19"/>
  <c r="J287" i="19" s="1"/>
  <c r="L287" i="19" s="1"/>
  <c r="I360" i="20"/>
  <c r="J360" i="20" s="1"/>
  <c r="I291" i="19"/>
  <c r="J291" i="19" s="1"/>
  <c r="L291" i="19" s="1"/>
  <c r="I364" i="20"/>
  <c r="J364" i="20" s="1"/>
  <c r="I295" i="19"/>
  <c r="J295" i="19" s="1"/>
  <c r="L295" i="19" s="1"/>
  <c r="I368" i="20"/>
  <c r="J368" i="20" s="1"/>
  <c r="I299" i="19"/>
  <c r="J299" i="19" s="1"/>
  <c r="L299" i="19" s="1"/>
  <c r="I372" i="20"/>
  <c r="J372" i="20" s="1"/>
  <c r="I303" i="19"/>
  <c r="J303" i="19" s="1"/>
  <c r="L303" i="19" s="1"/>
  <c r="I312" i="19"/>
  <c r="J312" i="19" s="1"/>
  <c r="L312" i="19" s="1"/>
  <c r="I386" i="20"/>
  <c r="J386" i="20" s="1"/>
  <c r="I391" i="20"/>
  <c r="J391" i="20" s="1"/>
  <c r="I317" i="19"/>
  <c r="J317" i="19" s="1"/>
  <c r="L317" i="19" s="1"/>
  <c r="I396" i="20"/>
  <c r="J396" i="20" s="1"/>
  <c r="I322" i="19"/>
  <c r="J322" i="19" s="1"/>
  <c r="L322" i="19" s="1"/>
  <c r="I404" i="20"/>
  <c r="J404" i="20" s="1"/>
  <c r="I330" i="19"/>
  <c r="J330" i="19" s="1"/>
  <c r="L330" i="19" s="1"/>
  <c r="I411" i="20"/>
  <c r="J411" i="20" s="1"/>
  <c r="I337" i="19"/>
  <c r="J337" i="19" s="1"/>
  <c r="L337" i="19" s="1"/>
  <c r="I416" i="20"/>
  <c r="J416" i="20" s="1"/>
  <c r="I342" i="19"/>
  <c r="J342" i="19" s="1"/>
  <c r="L342" i="19" s="1"/>
  <c r="I430" i="20"/>
  <c r="J430" i="20" s="1"/>
  <c r="I349" i="19"/>
  <c r="J349" i="19" s="1"/>
  <c r="L349" i="19" s="1"/>
  <c r="I438" i="20"/>
  <c r="J438" i="20" s="1"/>
  <c r="I357" i="19"/>
  <c r="J357" i="19" s="1"/>
  <c r="L357" i="19" s="1"/>
  <c r="I566" i="20"/>
  <c r="J566" i="20" s="1"/>
  <c r="I451" i="19"/>
  <c r="J451" i="19" s="1"/>
  <c r="I574" i="20"/>
  <c r="J574" i="20" s="1"/>
  <c r="I459" i="19"/>
  <c r="J459" i="19" s="1"/>
  <c r="I582" i="20"/>
  <c r="J582" i="20" s="1"/>
  <c r="I467" i="19"/>
  <c r="J467" i="19" s="1"/>
  <c r="I590" i="20"/>
  <c r="J590" i="20" s="1"/>
  <c r="I475" i="19"/>
  <c r="J475" i="19" s="1"/>
  <c r="I622" i="20"/>
  <c r="J622" i="20" s="1"/>
  <c r="I483" i="19"/>
  <c r="J483" i="19" s="1"/>
  <c r="I630" i="20"/>
  <c r="J630" i="20" s="1"/>
  <c r="I491" i="19"/>
  <c r="J491" i="19" s="1"/>
  <c r="I657" i="20"/>
  <c r="J657" i="20" s="1"/>
  <c r="I495" i="19"/>
  <c r="J495" i="19" s="1"/>
  <c r="I680" i="20"/>
  <c r="J680" i="20" s="1"/>
  <c r="I503" i="19"/>
  <c r="J503" i="19" s="1"/>
  <c r="I693" i="20"/>
  <c r="J693" i="20" s="1"/>
  <c r="I511" i="19"/>
  <c r="J511" i="19" s="1"/>
  <c r="I701" i="20"/>
  <c r="J701" i="20" s="1"/>
  <c r="I519" i="19"/>
  <c r="J519" i="19" s="1"/>
  <c r="I60" i="20"/>
  <c r="J60" i="20" s="1"/>
  <c r="I34" i="19"/>
  <c r="J34" i="19" s="1"/>
  <c r="L34" i="19" s="1"/>
  <c r="I144" i="19"/>
  <c r="J144" i="19" s="1"/>
  <c r="L144" i="19" s="1"/>
  <c r="I178" i="20"/>
  <c r="J178" i="20" s="1"/>
  <c r="I160" i="19"/>
  <c r="J160" i="19" s="1"/>
  <c r="L160" i="19" s="1"/>
  <c r="I194" i="20"/>
  <c r="J194" i="20" s="1"/>
  <c r="I226" i="20"/>
  <c r="J226" i="20" s="1"/>
  <c r="I192" i="19"/>
  <c r="J192" i="19" s="1"/>
  <c r="L192" i="19" s="1"/>
  <c r="I391" i="19"/>
  <c r="J391" i="19" s="1"/>
  <c r="L391" i="19" s="1"/>
  <c r="I481" i="20"/>
  <c r="J481" i="20" s="1"/>
  <c r="I407" i="19"/>
  <c r="J407" i="19" s="1"/>
  <c r="L407" i="19" s="1"/>
  <c r="I517" i="20"/>
  <c r="J517" i="20" s="1"/>
  <c r="I533" i="20"/>
  <c r="J533" i="20" s="1"/>
  <c r="I421" i="19"/>
  <c r="J421" i="19" s="1"/>
  <c r="L421" i="19" s="1"/>
  <c r="I304" i="20"/>
  <c r="J304" i="20" s="1"/>
  <c r="I239" i="19"/>
  <c r="J239" i="19" s="1"/>
  <c r="L239" i="19" s="1"/>
  <c r="I288" i="19"/>
  <c r="J288" i="19" s="1"/>
  <c r="L288" i="19" s="1"/>
  <c r="I357" i="20"/>
  <c r="J357" i="20" s="1"/>
  <c r="I378" i="20"/>
  <c r="J378" i="20" s="1"/>
  <c r="I309" i="19"/>
  <c r="J309" i="19" s="1"/>
  <c r="L309" i="19" s="1"/>
  <c r="I424" i="20"/>
  <c r="J424" i="20" s="1"/>
  <c r="I343" i="19"/>
  <c r="J343" i="19" s="1"/>
  <c r="L343" i="19" s="1"/>
  <c r="I572" i="20"/>
  <c r="J572" i="20" s="1"/>
  <c r="I457" i="19"/>
  <c r="J457" i="19" s="1"/>
  <c r="I588" i="20"/>
  <c r="J588" i="20" s="1"/>
  <c r="I473" i="19"/>
  <c r="J473" i="19" s="1"/>
  <c r="I628" i="20"/>
  <c r="J628" i="20" s="1"/>
  <c r="I489" i="19"/>
  <c r="J489" i="19" s="1"/>
  <c r="I678" i="20"/>
  <c r="J678" i="20" s="1"/>
  <c r="I501" i="19"/>
  <c r="J501" i="19" s="1"/>
  <c r="I136" i="20"/>
  <c r="J136" i="20" s="1"/>
  <c r="I103" i="19"/>
  <c r="J103" i="19" s="1"/>
  <c r="L103" i="19" s="1"/>
  <c r="I96" i="20"/>
  <c r="J96" i="20" s="1"/>
  <c r="I63" i="19"/>
  <c r="J63" i="19" s="1"/>
  <c r="L63" i="19" s="1"/>
  <c r="I454" i="20"/>
  <c r="J454" i="20" s="1"/>
  <c r="I364" i="19"/>
  <c r="J364" i="19" s="1"/>
  <c r="L364" i="19" s="1"/>
  <c r="I528" i="20"/>
  <c r="J528" i="20" s="1"/>
  <c r="I416" i="19"/>
  <c r="J416" i="19" s="1"/>
  <c r="L416" i="19" s="1"/>
  <c r="I249" i="20"/>
  <c r="J249" i="20" s="1"/>
  <c r="I203" i="19"/>
  <c r="J203" i="19" s="1"/>
  <c r="L203" i="19" s="1"/>
  <c r="I227" i="19"/>
  <c r="J227" i="19" s="1"/>
  <c r="L227" i="19" s="1"/>
  <c r="I277" i="20"/>
  <c r="J277" i="20" s="1"/>
  <c r="I317" i="20"/>
  <c r="J317" i="20" s="1"/>
  <c r="I252" i="19"/>
  <c r="J252" i="19" s="1"/>
  <c r="L252" i="19" s="1"/>
  <c r="I591" i="20"/>
  <c r="J591" i="20" s="1"/>
  <c r="I476" i="19"/>
  <c r="J476" i="19" s="1"/>
  <c r="I595" i="19"/>
  <c r="J595" i="19" s="1"/>
  <c r="L595" i="19" s="1"/>
  <c r="I621" i="19"/>
  <c r="J621" i="19" s="1"/>
  <c r="L621" i="19" s="1"/>
  <c r="I627" i="19"/>
  <c r="J627" i="19" s="1"/>
  <c r="L627" i="19" s="1"/>
  <c r="I138" i="20"/>
  <c r="J138" i="20" s="1"/>
  <c r="I105" i="19"/>
  <c r="J105" i="19" s="1"/>
  <c r="L105" i="19" s="1"/>
  <c r="I144" i="20"/>
  <c r="J144" i="20" s="1"/>
  <c r="I111" i="19"/>
  <c r="J111" i="19" s="1"/>
  <c r="L111" i="19" s="1"/>
  <c r="I152" i="20"/>
  <c r="J152" i="20" s="1"/>
  <c r="I119" i="19"/>
  <c r="J119" i="19" s="1"/>
  <c r="L119" i="19" s="1"/>
  <c r="I160" i="20"/>
  <c r="J160" i="20" s="1"/>
  <c r="I127" i="19"/>
  <c r="J127" i="19" s="1"/>
  <c r="L127" i="19" s="1"/>
  <c r="I133" i="19"/>
  <c r="J133" i="19" s="1"/>
  <c r="L133" i="19" s="1"/>
  <c r="I167" i="20"/>
  <c r="J167" i="20" s="1"/>
  <c r="I141" i="19"/>
  <c r="J141" i="19" s="1"/>
  <c r="L141" i="19" s="1"/>
  <c r="I175" i="20"/>
  <c r="J175" i="20" s="1"/>
  <c r="I183" i="20"/>
  <c r="J183" i="20" s="1"/>
  <c r="I149" i="19"/>
  <c r="J149" i="19" s="1"/>
  <c r="L149" i="19" s="1"/>
  <c r="I157" i="19"/>
  <c r="J157" i="19" s="1"/>
  <c r="L157" i="19" s="1"/>
  <c r="I191" i="20"/>
  <c r="J191" i="20" s="1"/>
  <c r="I165" i="19"/>
  <c r="J165" i="19" s="1"/>
  <c r="L165" i="19" s="1"/>
  <c r="I199" i="20"/>
  <c r="J199" i="20" s="1"/>
  <c r="I207" i="20"/>
  <c r="J207" i="20" s="1"/>
  <c r="I173" i="19"/>
  <c r="J173" i="19" s="1"/>
  <c r="L173" i="19" s="1"/>
  <c r="I215" i="20"/>
  <c r="J215" i="20" s="1"/>
  <c r="I181" i="19"/>
  <c r="J181" i="19" s="1"/>
  <c r="L181" i="19" s="1"/>
  <c r="I223" i="20"/>
  <c r="J223" i="20" s="1"/>
  <c r="I189" i="19"/>
  <c r="J189" i="19" s="1"/>
  <c r="L189" i="19" s="1"/>
  <c r="I75" i="20"/>
  <c r="I43" i="19"/>
  <c r="I87" i="20"/>
  <c r="J87" i="20" s="1"/>
  <c r="I55" i="19"/>
  <c r="J55" i="19" s="1"/>
  <c r="L55" i="19" s="1"/>
  <c r="I91" i="20"/>
  <c r="J91" i="20" s="1"/>
  <c r="I59" i="19"/>
  <c r="J59" i="19" s="1"/>
  <c r="L59" i="19" s="1"/>
  <c r="I98" i="20"/>
  <c r="J98" i="20" s="1"/>
  <c r="I65" i="19"/>
  <c r="J65" i="19" s="1"/>
  <c r="L65" i="19" s="1"/>
  <c r="I122" i="20"/>
  <c r="J122" i="20" s="1"/>
  <c r="I89" i="19"/>
  <c r="J89" i="19" s="1"/>
  <c r="L89" i="19" s="1"/>
  <c r="I128" i="20"/>
  <c r="J128" i="20" s="1"/>
  <c r="I95" i="19"/>
  <c r="J95" i="19" s="1"/>
  <c r="L95" i="19" s="1"/>
  <c r="I456" i="20"/>
  <c r="J456" i="20" s="1"/>
  <c r="I366" i="19"/>
  <c r="J366" i="19" s="1"/>
  <c r="L366" i="19" s="1"/>
  <c r="I464" i="20"/>
  <c r="J464" i="20" s="1"/>
  <c r="I374" i="19"/>
  <c r="J374" i="19" s="1"/>
  <c r="L374" i="19" s="1"/>
  <c r="I472" i="20"/>
  <c r="J472" i="20" s="1"/>
  <c r="I382" i="19"/>
  <c r="J382" i="19" s="1"/>
  <c r="L382" i="19" s="1"/>
  <c r="I478" i="20"/>
  <c r="J478" i="20" s="1"/>
  <c r="I388" i="19"/>
  <c r="J388" i="19" s="1"/>
  <c r="L388" i="19" s="1"/>
  <c r="I396" i="19"/>
  <c r="J396" i="19" s="1"/>
  <c r="L396" i="19" s="1"/>
  <c r="I514" i="20"/>
  <c r="J514" i="20" s="1"/>
  <c r="I404" i="19"/>
  <c r="J404" i="19" s="1"/>
  <c r="L404" i="19" s="1"/>
  <c r="I522" i="20"/>
  <c r="J522" i="20" s="1"/>
  <c r="I412" i="19"/>
  <c r="J412" i="19" s="1"/>
  <c r="L412" i="19" s="1"/>
  <c r="I530" i="20"/>
  <c r="J530" i="20" s="1"/>
  <c r="I418" i="19"/>
  <c r="J418" i="19" s="1"/>
  <c r="L418" i="19" s="1"/>
  <c r="I538" i="20"/>
  <c r="J538" i="20" s="1"/>
  <c r="I426" i="19"/>
  <c r="J426" i="19" s="1"/>
  <c r="L426" i="19" s="1"/>
  <c r="I544" i="20"/>
  <c r="J544" i="20" s="1"/>
  <c r="I432" i="19"/>
  <c r="J432" i="19" s="1"/>
  <c r="L432" i="19" s="1"/>
  <c r="I554" i="20"/>
  <c r="J554" i="20" s="1"/>
  <c r="I440" i="19"/>
  <c r="J440" i="19" s="1"/>
  <c r="L440" i="19" s="1"/>
  <c r="I248" i="20"/>
  <c r="J248" i="20" s="1"/>
  <c r="I202" i="19"/>
  <c r="J202" i="19" s="1"/>
  <c r="L202" i="19" s="1"/>
  <c r="I252" i="20"/>
  <c r="J252" i="20" s="1"/>
  <c r="I206" i="19"/>
  <c r="J206" i="19" s="1"/>
  <c r="L206" i="19" s="1"/>
  <c r="I256" i="20"/>
  <c r="J256" i="20" s="1"/>
  <c r="I210" i="19"/>
  <c r="J210" i="19" s="1"/>
  <c r="L210" i="19" s="1"/>
  <c r="I264" i="20"/>
  <c r="J264" i="20" s="1"/>
  <c r="I214" i="19"/>
  <c r="J214" i="19" s="1"/>
  <c r="L214" i="19" s="1"/>
  <c r="I268" i="20"/>
  <c r="J268" i="20" s="1"/>
  <c r="I218" i="19"/>
  <c r="J218" i="19" s="1"/>
  <c r="L218" i="19" s="1"/>
  <c r="I272" i="20"/>
  <c r="J272" i="20" s="1"/>
  <c r="I222" i="19"/>
  <c r="J222" i="19" s="1"/>
  <c r="L222" i="19" s="1"/>
  <c r="I276" i="20"/>
  <c r="J276" i="20" s="1"/>
  <c r="I226" i="19"/>
  <c r="J226" i="19" s="1"/>
  <c r="L226" i="19" s="1"/>
  <c r="I295" i="20"/>
  <c r="J295" i="20" s="1"/>
  <c r="I230" i="19"/>
  <c r="J230" i="19" s="1"/>
  <c r="L230" i="19" s="1"/>
  <c r="I299" i="20"/>
  <c r="J299" i="20" s="1"/>
  <c r="I234" i="19"/>
  <c r="J234" i="19" s="1"/>
  <c r="L234" i="19" s="1"/>
  <c r="I243" i="19"/>
  <c r="J243" i="19" s="1"/>
  <c r="L243" i="19" s="1"/>
  <c r="I308" i="20"/>
  <c r="J308" i="20" s="1"/>
  <c r="I312" i="20"/>
  <c r="J312" i="20" s="1"/>
  <c r="I247" i="19"/>
  <c r="J247" i="19" s="1"/>
  <c r="L247" i="19" s="1"/>
  <c r="I316" i="20"/>
  <c r="J316" i="20" s="1"/>
  <c r="I251" i="19"/>
  <c r="J251" i="19" s="1"/>
  <c r="L251" i="19" s="1"/>
  <c r="I260" i="19"/>
  <c r="J260" i="19" s="1"/>
  <c r="L260" i="19" s="1"/>
  <c r="I328" i="20"/>
  <c r="J328" i="20" s="1"/>
  <c r="I333" i="20"/>
  <c r="J333" i="20" s="1"/>
  <c r="I265" i="19"/>
  <c r="J265" i="19" s="1"/>
  <c r="L265" i="19" s="1"/>
  <c r="I340" i="20"/>
  <c r="J340" i="20" s="1"/>
  <c r="I271" i="19"/>
  <c r="J271" i="19" s="1"/>
  <c r="L271" i="19" s="1"/>
  <c r="I308" i="19"/>
  <c r="J308" i="19" s="1"/>
  <c r="L308" i="19" s="1"/>
  <c r="I377" i="20"/>
  <c r="J377" i="20" s="1"/>
  <c r="I387" i="20"/>
  <c r="J387" i="20" s="1"/>
  <c r="I313" i="19"/>
  <c r="J313" i="19" s="1"/>
  <c r="L313" i="19" s="1"/>
  <c r="I397" i="20"/>
  <c r="J397" i="20" s="1"/>
  <c r="I323" i="19"/>
  <c r="J323" i="19" s="1"/>
  <c r="L323" i="19" s="1"/>
  <c r="I405" i="20"/>
  <c r="J405" i="20" s="1"/>
  <c r="I331" i="19"/>
  <c r="J331" i="19" s="1"/>
  <c r="L331" i="19" s="1"/>
  <c r="I431" i="20"/>
  <c r="J431" i="20" s="1"/>
  <c r="I350" i="19"/>
  <c r="J350" i="19" s="1"/>
  <c r="L350" i="19" s="1"/>
  <c r="I439" i="20"/>
  <c r="J439" i="20" s="1"/>
  <c r="I358" i="19"/>
  <c r="J358" i="19" s="1"/>
  <c r="L358" i="19" s="1"/>
  <c r="I569" i="20"/>
  <c r="J569" i="20" s="1"/>
  <c r="I454" i="19"/>
  <c r="J454" i="19" s="1"/>
  <c r="I462" i="19"/>
  <c r="J462" i="19" s="1"/>
  <c r="I577" i="20"/>
  <c r="J577" i="20" s="1"/>
  <c r="I470" i="19"/>
  <c r="J470" i="19" s="1"/>
  <c r="I585" i="20"/>
  <c r="J585" i="20" s="1"/>
  <c r="I478" i="19"/>
  <c r="J478" i="19" s="1"/>
  <c r="I593" i="20"/>
  <c r="J593" i="20" s="1"/>
  <c r="I625" i="20"/>
  <c r="J625" i="20" s="1"/>
  <c r="I486" i="19"/>
  <c r="J486" i="19" s="1"/>
  <c r="I660" i="20"/>
  <c r="J660" i="20" s="1"/>
  <c r="I498" i="19"/>
  <c r="J498" i="19" s="1"/>
  <c r="I683" i="20"/>
  <c r="J683" i="20" s="1"/>
  <c r="I506" i="19"/>
  <c r="J506" i="19" s="1"/>
  <c r="I696" i="20"/>
  <c r="J696" i="20" s="1"/>
  <c r="I514" i="19"/>
  <c r="J514" i="19" s="1"/>
  <c r="J1135" i="1"/>
  <c r="J716" i="1"/>
  <c r="J708" i="1"/>
  <c r="J700" i="1"/>
  <c r="J692" i="1"/>
  <c r="J658" i="1"/>
  <c r="J650" i="1"/>
  <c r="J642" i="1"/>
  <c r="J634" i="1"/>
  <c r="J626" i="1"/>
  <c r="J185" i="1"/>
  <c r="J715" i="1"/>
  <c r="J707" i="1"/>
  <c r="J699" i="1"/>
  <c r="J691" i="1"/>
  <c r="J657" i="1"/>
  <c r="J649" i="1"/>
  <c r="J641" i="1"/>
  <c r="J633" i="1"/>
  <c r="J625" i="1"/>
  <c r="J714" i="1"/>
  <c r="J706" i="1"/>
  <c r="J698" i="1"/>
  <c r="J690" i="1"/>
  <c r="J656" i="1"/>
  <c r="J648" i="1"/>
  <c r="J640" i="1"/>
  <c r="J632" i="1"/>
  <c r="J624" i="1"/>
  <c r="J488" i="1"/>
  <c r="J713" i="1"/>
  <c r="J697" i="1"/>
  <c r="J655" i="1"/>
  <c r="J639" i="1"/>
  <c r="J631" i="1"/>
  <c r="J1277" i="1"/>
  <c r="J720" i="1"/>
  <c r="J712" i="1"/>
  <c r="J704" i="1"/>
  <c r="J696" i="1"/>
  <c r="J662" i="1"/>
  <c r="J654" i="1"/>
  <c r="J646" i="1"/>
  <c r="J638" i="1"/>
  <c r="J630" i="1"/>
  <c r="J622" i="1"/>
  <c r="J445" i="1"/>
  <c r="J721" i="1"/>
  <c r="J705" i="1"/>
  <c r="J689" i="1"/>
  <c r="J647" i="1"/>
  <c r="J623" i="1"/>
  <c r="J1275" i="1"/>
  <c r="J719" i="1"/>
  <c r="J711" i="1"/>
  <c r="J703" i="1"/>
  <c r="J695" i="1"/>
  <c r="J661" i="1"/>
  <c r="J653" i="1"/>
  <c r="J645" i="1"/>
  <c r="J637" i="1"/>
  <c r="J629" i="1"/>
  <c r="J621" i="1"/>
  <c r="J377" i="1"/>
  <c r="J104" i="1"/>
  <c r="J880" i="1"/>
  <c r="J717" i="1"/>
  <c r="J709" i="1"/>
  <c r="J701" i="1"/>
  <c r="J693" i="1"/>
  <c r="J659" i="1"/>
  <c r="J651" i="1"/>
  <c r="J643" i="1"/>
  <c r="J635" i="1"/>
  <c r="J291" i="1"/>
  <c r="J483" i="1"/>
  <c r="J438" i="1"/>
  <c r="J370" i="1"/>
  <c r="J328" i="1"/>
  <c r="J284" i="1"/>
  <c r="J241" i="1"/>
  <c r="J1129" i="1"/>
  <c r="J1038" i="1"/>
  <c r="J943" i="1"/>
  <c r="J790" i="1"/>
  <c r="J759" i="1"/>
  <c r="J598" i="1"/>
  <c r="J480" i="1"/>
  <c r="J437" i="1"/>
  <c r="J369" i="1"/>
  <c r="J325" i="1"/>
  <c r="J283" i="1"/>
  <c r="J240" i="1"/>
  <c r="J183" i="1"/>
  <c r="J791" i="1"/>
  <c r="J1127" i="1"/>
  <c r="J1037" i="1"/>
  <c r="J942" i="1"/>
  <c r="J754" i="1"/>
  <c r="J617" i="1"/>
  <c r="J581" i="1"/>
  <c r="J544" i="1"/>
  <c r="J479" i="1"/>
  <c r="J436" i="1"/>
  <c r="J368" i="1"/>
  <c r="J324" i="1"/>
  <c r="J282" i="1"/>
  <c r="J239" i="1"/>
  <c r="J182" i="1"/>
  <c r="J1117" i="1"/>
  <c r="J1030" i="1"/>
  <c r="J977" i="1"/>
  <c r="J890" i="1"/>
  <c r="J773" i="1"/>
  <c r="J580" i="1"/>
  <c r="J543" i="1"/>
  <c r="J510" i="1"/>
  <c r="J468" i="1"/>
  <c r="J423" i="1"/>
  <c r="J355" i="1"/>
  <c r="J313" i="1"/>
  <c r="J269" i="1"/>
  <c r="J225" i="1"/>
  <c r="J181" i="1"/>
  <c r="J1116" i="1"/>
  <c r="J1029" i="1"/>
  <c r="J976" i="1"/>
  <c r="J894" i="1"/>
  <c r="J772" i="1"/>
  <c r="J503" i="1"/>
  <c r="J460" i="1"/>
  <c r="J392" i="1"/>
  <c r="J348" i="1"/>
  <c r="J306" i="1"/>
  <c r="J263" i="1"/>
  <c r="J217" i="1"/>
  <c r="J1147" i="1"/>
  <c r="J1109" i="1"/>
  <c r="J1058" i="1"/>
  <c r="J1016" i="1"/>
  <c r="J965" i="1"/>
  <c r="J771" i="1"/>
  <c r="J502" i="1"/>
  <c r="J459" i="1"/>
  <c r="J389" i="1"/>
  <c r="J347" i="1"/>
  <c r="J305" i="1"/>
  <c r="J260" i="1"/>
  <c r="J216" i="1"/>
  <c r="J1146" i="1"/>
  <c r="J1057" i="1"/>
  <c r="J1015" i="1"/>
  <c r="J964" i="1"/>
  <c r="J501" i="1"/>
  <c r="J388" i="1"/>
  <c r="J346" i="1"/>
  <c r="J304" i="1"/>
  <c r="J259" i="1"/>
  <c r="J215" i="1"/>
  <c r="J186" i="1"/>
  <c r="J1166" i="1"/>
  <c r="J1506" i="1"/>
  <c r="J1507" i="1"/>
  <c r="J1254" i="1"/>
  <c r="J1436" i="1"/>
  <c r="J1444" i="1"/>
  <c r="J1406" i="1"/>
  <c r="J1414" i="1"/>
  <c r="J1422" i="1"/>
  <c r="J1255" i="1"/>
  <c r="J1431" i="1"/>
  <c r="J1439" i="1"/>
  <c r="J1447" i="1"/>
  <c r="J1409" i="1"/>
  <c r="J1417" i="1"/>
  <c r="J1432" i="1"/>
  <c r="J1418" i="1"/>
  <c r="J1245" i="1"/>
  <c r="J1434" i="1"/>
  <c r="J1412" i="1"/>
  <c r="J1420" i="1"/>
  <c r="J1256" i="1"/>
  <c r="J1443" i="1"/>
  <c r="J1413" i="1"/>
  <c r="J1508" i="1"/>
  <c r="J1502" i="1"/>
  <c r="J1437" i="1"/>
  <c r="J1445" i="1"/>
  <c r="J1407" i="1"/>
  <c r="J1415" i="1"/>
  <c r="J1423" i="1"/>
  <c r="J1501" i="1"/>
  <c r="J1438" i="1"/>
  <c r="J1446" i="1"/>
  <c r="J1408" i="1"/>
  <c r="J1416" i="1"/>
  <c r="J1509" i="1"/>
  <c r="J1253" i="1"/>
  <c r="J1440" i="1"/>
  <c r="J1410" i="1"/>
  <c r="J1442" i="1"/>
  <c r="J1435" i="1"/>
  <c r="J1405" i="1"/>
  <c r="J1421" i="1"/>
  <c r="J1510" i="1"/>
  <c r="J1503" i="1"/>
  <c r="J1511" i="1"/>
  <c r="J1504" i="1"/>
  <c r="J1513" i="1"/>
  <c r="J1252" i="1"/>
  <c r="J1433" i="1"/>
  <c r="J1441" i="1"/>
  <c r="J1411" i="1"/>
  <c r="J1419" i="1"/>
  <c r="J1505" i="1"/>
  <c r="J565" i="1"/>
  <c r="J686" i="1"/>
  <c r="J726" i="1"/>
  <c r="J804" i="1"/>
  <c r="J812" i="1"/>
  <c r="J861" i="1"/>
  <c r="J938" i="1"/>
  <c r="J687" i="1"/>
  <c r="J727" i="1"/>
  <c r="J813" i="1"/>
  <c r="J892" i="1"/>
  <c r="J888" i="1"/>
  <c r="J900" i="1"/>
  <c r="J939" i="1"/>
  <c r="J725" i="1"/>
  <c r="J808" i="1"/>
  <c r="J821" i="1"/>
  <c r="J886" i="1"/>
  <c r="J905" i="1"/>
  <c r="J926" i="1"/>
  <c r="J729" i="1"/>
  <c r="J796" i="1"/>
  <c r="J893" i="1"/>
  <c r="J940" i="1"/>
  <c r="J797" i="1"/>
  <c r="J728" i="1"/>
  <c r="J795" i="1"/>
  <c r="J809" i="1"/>
  <c r="J822" i="1"/>
  <c r="J865" i="1"/>
  <c r="J927" i="1"/>
  <c r="J937" i="1"/>
  <c r="J810" i="1"/>
  <c r="J911" i="1"/>
  <c r="J928" i="1"/>
  <c r="J730" i="1"/>
  <c r="J688" i="1"/>
  <c r="J811" i="1"/>
  <c r="J850" i="1"/>
  <c r="J1347" i="1"/>
  <c r="J1269" i="1"/>
  <c r="J1233" i="1"/>
  <c r="J1185" i="1"/>
  <c r="J1145" i="1"/>
  <c r="J1126" i="1"/>
  <c r="J1091" i="1"/>
  <c r="J1070" i="1"/>
  <c r="J1048" i="1"/>
  <c r="J1026" i="1"/>
  <c r="J1006" i="1"/>
  <c r="J975" i="1"/>
  <c r="J953" i="1"/>
  <c r="J934" i="1"/>
  <c r="J829" i="1"/>
  <c r="J818" i="1"/>
  <c r="J789" i="1"/>
  <c r="J612" i="1"/>
  <c r="J591" i="1"/>
  <c r="J520" i="1"/>
  <c r="J500" i="1"/>
  <c r="J478" i="1"/>
  <c r="J455" i="1"/>
  <c r="J435" i="1"/>
  <c r="J387" i="1"/>
  <c r="J365" i="1"/>
  <c r="J345" i="1"/>
  <c r="J323" i="1"/>
  <c r="J301" i="1"/>
  <c r="J281" i="1"/>
  <c r="J258" i="1"/>
  <c r="J236" i="1"/>
  <c r="J214" i="1"/>
  <c r="J1342" i="1"/>
  <c r="J1279" i="1"/>
  <c r="J1231" i="1"/>
  <c r="J1183" i="1"/>
  <c r="J1143" i="1"/>
  <c r="J1125" i="1"/>
  <c r="J1090" i="1"/>
  <c r="J1069" i="1"/>
  <c r="J1047" i="1"/>
  <c r="J1025" i="1"/>
  <c r="J1005" i="1"/>
  <c r="J974" i="1"/>
  <c r="J952" i="1"/>
  <c r="J933" i="1"/>
  <c r="J828" i="1"/>
  <c r="J817" i="1"/>
  <c r="J788" i="1"/>
  <c r="J590" i="1"/>
  <c r="J534" i="1"/>
  <c r="J515" i="1"/>
  <c r="J493" i="1"/>
  <c r="J471" i="1"/>
  <c r="J450" i="1"/>
  <c r="J428" i="1"/>
  <c r="J380" i="1"/>
  <c r="J360" i="1"/>
  <c r="J338" i="1"/>
  <c r="J316" i="1"/>
  <c r="J296" i="1"/>
  <c r="J274" i="1"/>
  <c r="J251" i="1"/>
  <c r="J231" i="1"/>
  <c r="J203" i="1"/>
  <c r="J1389" i="1"/>
  <c r="J1329" i="1"/>
  <c r="J1292" i="1"/>
  <c r="J1215" i="1"/>
  <c r="J1167" i="1"/>
  <c r="J1138" i="1"/>
  <c r="J1119" i="1"/>
  <c r="J1062" i="1"/>
  <c r="J1040" i="1"/>
  <c r="J1018" i="1"/>
  <c r="J997" i="1"/>
  <c r="J967" i="1"/>
  <c r="J945" i="1"/>
  <c r="J932" i="1"/>
  <c r="J902" i="1"/>
  <c r="J827" i="1"/>
  <c r="J807" i="1"/>
  <c r="J763" i="1"/>
  <c r="J589" i="1"/>
  <c r="J533" i="1"/>
  <c r="J512" i="1"/>
  <c r="J492" i="1"/>
  <c r="J470" i="1"/>
  <c r="J447" i="1"/>
  <c r="J427" i="1"/>
  <c r="J379" i="1"/>
  <c r="J357" i="1"/>
  <c r="J337" i="1"/>
  <c r="J315" i="1"/>
  <c r="J293" i="1"/>
  <c r="J273" i="1"/>
  <c r="J250" i="1"/>
  <c r="J227" i="1"/>
  <c r="J202" i="1"/>
  <c r="J1387" i="1"/>
  <c r="J1327" i="1"/>
  <c r="J1474" i="1"/>
  <c r="J1214" i="1"/>
  <c r="J1137" i="1"/>
  <c r="J1118" i="1"/>
  <c r="J1061" i="1"/>
  <c r="J1039" i="1"/>
  <c r="J1017" i="1"/>
  <c r="J996" i="1"/>
  <c r="J966" i="1"/>
  <c r="J944" i="1"/>
  <c r="J925" i="1"/>
  <c r="J896" i="1"/>
  <c r="J806" i="1"/>
  <c r="J774" i="1"/>
  <c r="J762" i="1"/>
  <c r="J532" i="1"/>
  <c r="J511" i="1"/>
  <c r="J491" i="1"/>
  <c r="J469" i="1"/>
  <c r="J446" i="1"/>
  <c r="J426" i="1"/>
  <c r="J378" i="1"/>
  <c r="J356" i="1"/>
  <c r="J336" i="1"/>
  <c r="J314" i="1"/>
  <c r="J292" i="1"/>
  <c r="J272" i="1"/>
  <c r="J249" i="1"/>
  <c r="J226" i="1"/>
  <c r="J201" i="1"/>
  <c r="J15" i="1"/>
  <c r="J13" i="1"/>
  <c r="J28" i="1"/>
  <c r="J1158" i="1"/>
  <c r="J1177" i="1"/>
  <c r="J1199" i="1"/>
  <c r="J1222" i="1"/>
  <c r="J1241" i="1"/>
  <c r="J1290" i="1"/>
  <c r="J1274" i="1"/>
  <c r="J1305" i="1"/>
  <c r="J1340" i="1"/>
  <c r="J1378" i="1"/>
  <c r="J1397" i="1"/>
  <c r="J29" i="1"/>
  <c r="J1169" i="1"/>
  <c r="J1193" i="1"/>
  <c r="J1217" i="1"/>
  <c r="J1250" i="1"/>
  <c r="J1261" i="1"/>
  <c r="J1294" i="1"/>
  <c r="J1355" i="1"/>
  <c r="J1394" i="1"/>
  <c r="J1151" i="1"/>
  <c r="J1175" i="1"/>
  <c r="J1225" i="1"/>
  <c r="J1258" i="1"/>
  <c r="J1334" i="1"/>
  <c r="J1402" i="1"/>
  <c r="J1153" i="1"/>
  <c r="J1206" i="1"/>
  <c r="J1278" i="1"/>
  <c r="J1379" i="1"/>
  <c r="J1150" i="1"/>
  <c r="J1174" i="1"/>
  <c r="J1198" i="1"/>
  <c r="J1223" i="1"/>
  <c r="J1251" i="1"/>
  <c r="J1262" i="1"/>
  <c r="J1295" i="1"/>
  <c r="J1356" i="1"/>
  <c r="J1395" i="1"/>
  <c r="J16" i="1"/>
  <c r="J1201" i="1"/>
  <c r="J1288" i="1"/>
  <c r="J1297" i="1"/>
  <c r="J1358" i="1"/>
  <c r="J1182" i="1"/>
  <c r="J1284" i="1"/>
  <c r="J1339" i="1"/>
  <c r="J1230" i="1"/>
  <c r="J1302" i="1"/>
  <c r="J1403" i="1"/>
  <c r="J917" i="1"/>
  <c r="J803" i="1"/>
  <c r="J907" i="1"/>
  <c r="J802" i="1"/>
  <c r="J733" i="1"/>
  <c r="J196" i="1"/>
  <c r="J204" i="1"/>
  <c r="J212" i="1"/>
  <c r="J220" i="1"/>
  <c r="J228" i="1"/>
  <c r="J197" i="1"/>
  <c r="J205" i="1"/>
  <c r="J213" i="1"/>
  <c r="J199" i="1"/>
  <c r="J209" i="1"/>
  <c r="J219" i="1"/>
  <c r="J229" i="1"/>
  <c r="J237" i="1"/>
  <c r="J245" i="1"/>
  <c r="J253" i="1"/>
  <c r="J261" i="1"/>
  <c r="J270" i="1"/>
  <c r="J278" i="1"/>
  <c r="J286" i="1"/>
  <c r="J294" i="1"/>
  <c r="J302" i="1"/>
  <c r="J310" i="1"/>
  <c r="J318" i="1"/>
  <c r="J326" i="1"/>
  <c r="J334" i="1"/>
  <c r="J342" i="1"/>
  <c r="J350" i="1"/>
  <c r="J358" i="1"/>
  <c r="J366" i="1"/>
  <c r="J374" i="1"/>
  <c r="J382" i="1"/>
  <c r="J390" i="1"/>
  <c r="J424" i="1"/>
  <c r="J432" i="1"/>
  <c r="J440" i="1"/>
  <c r="J448" i="1"/>
  <c r="J456" i="1"/>
  <c r="J465" i="1"/>
  <c r="J473" i="1"/>
  <c r="J481" i="1"/>
  <c r="J489" i="1"/>
  <c r="J505" i="1"/>
  <c r="J521" i="1"/>
  <c r="J529" i="1"/>
  <c r="J537" i="1"/>
  <c r="J545" i="1"/>
  <c r="J578" i="1"/>
  <c r="J792" i="1"/>
  <c r="J832" i="1"/>
  <c r="J898" i="1"/>
  <c r="J930" i="1"/>
  <c r="J200" i="1"/>
  <c r="J210" i="1"/>
  <c r="J221" i="1"/>
  <c r="J230" i="1"/>
  <c r="J238" i="1"/>
  <c r="J246" i="1"/>
  <c r="J254" i="1"/>
  <c r="J262" i="1"/>
  <c r="J271" i="1"/>
  <c r="J279" i="1"/>
  <c r="J287" i="1"/>
  <c r="J295" i="1"/>
  <c r="J303" i="1"/>
  <c r="J311" i="1"/>
  <c r="J319" i="1"/>
  <c r="J327" i="1"/>
  <c r="J335" i="1"/>
  <c r="J343" i="1"/>
  <c r="J351" i="1"/>
  <c r="J359" i="1"/>
  <c r="J367" i="1"/>
  <c r="J375" i="1"/>
  <c r="J383" i="1"/>
  <c r="J391" i="1"/>
  <c r="J425" i="1"/>
  <c r="J433" i="1"/>
  <c r="J441" i="1"/>
  <c r="J449" i="1"/>
  <c r="J466" i="1"/>
  <c r="J474" i="1"/>
  <c r="J482" i="1"/>
  <c r="J490" i="1"/>
  <c r="J498" i="1"/>
  <c r="J506" i="1"/>
  <c r="J530" i="1"/>
  <c r="J538" i="1"/>
  <c r="J579" i="1"/>
  <c r="J793" i="1"/>
  <c r="J931" i="1"/>
  <c r="J100" i="1"/>
  <c r="J206" i="1"/>
  <c r="J218" i="1"/>
  <c r="J232" i="1"/>
  <c r="J242" i="1"/>
  <c r="J252" i="1"/>
  <c r="J264" i="1"/>
  <c r="J275" i="1"/>
  <c r="J285" i="1"/>
  <c r="J297" i="1"/>
  <c r="J307" i="1"/>
  <c r="J317" i="1"/>
  <c r="J329" i="1"/>
  <c r="J339" i="1"/>
  <c r="J349" i="1"/>
  <c r="J361" i="1"/>
  <c r="J371" i="1"/>
  <c r="J381" i="1"/>
  <c r="J419" i="1"/>
  <c r="J439" i="1"/>
  <c r="J451" i="1"/>
  <c r="J461" i="1"/>
  <c r="J472" i="1"/>
  <c r="J484" i="1"/>
  <c r="J494" i="1"/>
  <c r="J504" i="1"/>
  <c r="J516" i="1"/>
  <c r="J525" i="1"/>
  <c r="J535" i="1"/>
  <c r="J582" i="1"/>
  <c r="J794" i="1"/>
  <c r="J830" i="1"/>
  <c r="J223" i="1"/>
  <c r="J244" i="1"/>
  <c r="J267" i="1"/>
  <c r="J289" i="1"/>
  <c r="J309" i="1"/>
  <c r="J331" i="1"/>
  <c r="J353" i="1"/>
  <c r="J373" i="1"/>
  <c r="J421" i="1"/>
  <c r="J443" i="1"/>
  <c r="J453" i="1"/>
  <c r="J476" i="1"/>
  <c r="J496" i="1"/>
  <c r="J518" i="1"/>
  <c r="J539" i="1"/>
  <c r="J869" i="1"/>
  <c r="J103" i="1"/>
  <c r="J224" i="1"/>
  <c r="J247" i="1"/>
  <c r="J268" i="1"/>
  <c r="J290" i="1"/>
  <c r="J322" i="1"/>
  <c r="J344" i="1"/>
  <c r="J376" i="1"/>
  <c r="J434" i="1"/>
  <c r="J467" i="1"/>
  <c r="J499" i="1"/>
  <c r="J528" i="1"/>
  <c r="J884" i="1"/>
  <c r="J929" i="1"/>
  <c r="J207" i="1"/>
  <c r="J222" i="1"/>
  <c r="J233" i="1"/>
  <c r="J243" i="1"/>
  <c r="J255" i="1"/>
  <c r="J265" i="1"/>
  <c r="J276" i="1"/>
  <c r="J288" i="1"/>
  <c r="J298" i="1"/>
  <c r="J308" i="1"/>
  <c r="J320" i="1"/>
  <c r="J330" i="1"/>
  <c r="J340" i="1"/>
  <c r="J352" i="1"/>
  <c r="J362" i="1"/>
  <c r="J372" i="1"/>
  <c r="J384" i="1"/>
  <c r="J420" i="1"/>
  <c r="J430" i="1"/>
  <c r="J442" i="1"/>
  <c r="J452" i="1"/>
  <c r="J462" i="1"/>
  <c r="J475" i="1"/>
  <c r="J485" i="1"/>
  <c r="J495" i="1"/>
  <c r="J507" i="1"/>
  <c r="J517" i="1"/>
  <c r="J526" i="1"/>
  <c r="J536" i="1"/>
  <c r="J583" i="1"/>
  <c r="J831" i="1"/>
  <c r="J856" i="1"/>
  <c r="J102" i="1"/>
  <c r="J208" i="1"/>
  <c r="J234" i="1"/>
  <c r="J256" i="1"/>
  <c r="J277" i="1"/>
  <c r="J299" i="1"/>
  <c r="J321" i="1"/>
  <c r="J341" i="1"/>
  <c r="J363" i="1"/>
  <c r="J385" i="1"/>
  <c r="J431" i="1"/>
  <c r="J463" i="1"/>
  <c r="J486" i="1"/>
  <c r="J508" i="1"/>
  <c r="J527" i="1"/>
  <c r="J739" i="1"/>
  <c r="J786" i="1"/>
  <c r="J300" i="1"/>
  <c r="J354" i="1"/>
  <c r="J386" i="1"/>
  <c r="J444" i="1"/>
  <c r="J477" i="1"/>
  <c r="J509" i="1"/>
  <c r="J787" i="1"/>
  <c r="J211" i="1"/>
  <c r="J235" i="1"/>
  <c r="J257" i="1"/>
  <c r="J280" i="1"/>
  <c r="J312" i="1"/>
  <c r="J332" i="1"/>
  <c r="J364" i="1"/>
  <c r="J422" i="1"/>
  <c r="J454" i="1"/>
  <c r="J487" i="1"/>
  <c r="J519" i="1"/>
  <c r="J913" i="1"/>
  <c r="J820" i="1"/>
  <c r="J732" i="1"/>
  <c r="J586" i="1"/>
  <c r="J594" i="1"/>
  <c r="J602" i="1"/>
  <c r="J618" i="1"/>
  <c r="J752" i="1"/>
  <c r="J760" i="1"/>
  <c r="J768" i="1"/>
  <c r="J946" i="1"/>
  <c r="J954" i="1"/>
  <c r="J962" i="1"/>
  <c r="J970" i="1"/>
  <c r="J978" i="1"/>
  <c r="J994" i="1"/>
  <c r="J1003" i="1"/>
  <c r="J1011" i="1"/>
  <c r="J1019" i="1"/>
  <c r="J1027" i="1"/>
  <c r="J1035" i="1"/>
  <c r="J1043" i="1"/>
  <c r="J1051" i="1"/>
  <c r="J1059" i="1"/>
  <c r="J1067" i="1"/>
  <c r="J1112" i="1"/>
  <c r="J1120" i="1"/>
  <c r="J1128" i="1"/>
  <c r="J1136" i="1"/>
  <c r="J1144" i="1"/>
  <c r="J587" i="1"/>
  <c r="J595" i="1"/>
  <c r="J603" i="1"/>
  <c r="J611" i="1"/>
  <c r="J619" i="1"/>
  <c r="J753" i="1"/>
  <c r="J761" i="1"/>
  <c r="J769" i="1"/>
  <c r="J785" i="1"/>
  <c r="J805" i="1"/>
  <c r="J947" i="1"/>
  <c r="J955" i="1"/>
  <c r="J963" i="1"/>
  <c r="J971" i="1"/>
  <c r="J979" i="1"/>
  <c r="J995" i="1"/>
  <c r="J1004" i="1"/>
  <c r="J1012" i="1"/>
  <c r="J1020" i="1"/>
  <c r="J1028" i="1"/>
  <c r="J1036" i="1"/>
  <c r="J1044" i="1"/>
  <c r="J1052" i="1"/>
  <c r="J1060" i="1"/>
  <c r="J1068" i="1"/>
  <c r="J1113" i="1"/>
  <c r="J592" i="1"/>
  <c r="J604" i="1"/>
  <c r="J613" i="1"/>
  <c r="J683" i="1"/>
  <c r="J755" i="1"/>
  <c r="J775" i="1"/>
  <c r="J948" i="1"/>
  <c r="J958" i="1"/>
  <c r="J968" i="1"/>
  <c r="J980" i="1"/>
  <c r="J998" i="1"/>
  <c r="J1009" i="1"/>
  <c r="J1021" i="1"/>
  <c r="J1031" i="1"/>
  <c r="J1041" i="1"/>
  <c r="J1053" i="1"/>
  <c r="J1063" i="1"/>
  <c r="J1110" i="1"/>
  <c r="J1121" i="1"/>
  <c r="J1130" i="1"/>
  <c r="J1139" i="1"/>
  <c r="J1148" i="1"/>
  <c r="J584" i="1"/>
  <c r="J606" i="1"/>
  <c r="J767" i="1"/>
  <c r="J960" i="1"/>
  <c r="J972" i="1"/>
  <c r="J1013" i="1"/>
  <c r="J1033" i="1"/>
  <c r="J1055" i="1"/>
  <c r="J1114" i="1"/>
  <c r="J1132" i="1"/>
  <c r="J607" i="1"/>
  <c r="J758" i="1"/>
  <c r="J961" i="1"/>
  <c r="J1024" i="1"/>
  <c r="J1056" i="1"/>
  <c r="J1124" i="1"/>
  <c r="J593" i="1"/>
  <c r="J605" i="1"/>
  <c r="J614" i="1"/>
  <c r="J684" i="1"/>
  <c r="J756" i="1"/>
  <c r="J949" i="1"/>
  <c r="J959" i="1"/>
  <c r="J969" i="1"/>
  <c r="J981" i="1"/>
  <c r="J999" i="1"/>
  <c r="J1010" i="1"/>
  <c r="J1022" i="1"/>
  <c r="J1032" i="1"/>
  <c r="J1042" i="1"/>
  <c r="J1054" i="1"/>
  <c r="J1064" i="1"/>
  <c r="J1111" i="1"/>
  <c r="J1122" i="1"/>
  <c r="J1131" i="1"/>
  <c r="J1140" i="1"/>
  <c r="J596" i="1"/>
  <c r="J615" i="1"/>
  <c r="J685" i="1"/>
  <c r="J757" i="1"/>
  <c r="J950" i="1"/>
  <c r="J982" i="1"/>
  <c r="J1000" i="1"/>
  <c r="J1023" i="1"/>
  <c r="J1045" i="1"/>
  <c r="J1065" i="1"/>
  <c r="J1123" i="1"/>
  <c r="J1141" i="1"/>
  <c r="J585" i="1"/>
  <c r="J616" i="1"/>
  <c r="J941" i="1"/>
  <c r="J973" i="1"/>
  <c r="J1002" i="1"/>
  <c r="J1034" i="1"/>
  <c r="J1066" i="1"/>
  <c r="J1133" i="1"/>
  <c r="J597" i="1"/>
  <c r="J770" i="1"/>
  <c r="J951" i="1"/>
  <c r="J983" i="1"/>
  <c r="J1014" i="1"/>
  <c r="J1046" i="1"/>
  <c r="J1115" i="1"/>
  <c r="J1142" i="1"/>
  <c r="J497" i="1"/>
  <c r="J513" i="1"/>
  <c r="J123" i="1"/>
  <c r="J457" i="1"/>
  <c r="J514" i="1"/>
  <c r="J546" i="1"/>
  <c r="J429" i="1"/>
  <c r="J51" i="1"/>
  <c r="J12" i="1"/>
  <c r="J23" i="1"/>
  <c r="J21" i="1"/>
  <c r="J20" i="1"/>
  <c r="J1404" i="1"/>
  <c r="J1396" i="1"/>
  <c r="J1388" i="1"/>
  <c r="J1380" i="1"/>
  <c r="J1357" i="1"/>
  <c r="J1349" i="1"/>
  <c r="J1341" i="1"/>
  <c r="J1333" i="1"/>
  <c r="J1328" i="1"/>
  <c r="J1304" i="1"/>
  <c r="J1296" i="1"/>
  <c r="J1276" i="1"/>
  <c r="J1280" i="1"/>
  <c r="J1257" i="1"/>
  <c r="J1291" i="1"/>
  <c r="J1286" i="1"/>
  <c r="J1287" i="1"/>
  <c r="J1240" i="1"/>
  <c r="J1232" i="1"/>
  <c r="J1224" i="1"/>
  <c r="J1216" i="1"/>
  <c r="J1208" i="1"/>
  <c r="J1200" i="1"/>
  <c r="J1192" i="1"/>
  <c r="J1184" i="1"/>
  <c r="J1176" i="1"/>
  <c r="J1168" i="1"/>
  <c r="J1160" i="1"/>
  <c r="J1152" i="1"/>
  <c r="J30" i="1"/>
  <c r="J22" i="1"/>
  <c r="J14" i="1"/>
  <c r="J1401" i="1"/>
  <c r="J1393" i="1"/>
  <c r="J1385" i="1"/>
  <c r="J1362" i="1"/>
  <c r="J1354" i="1"/>
  <c r="J1346" i="1"/>
  <c r="J1338" i="1"/>
  <c r="J1325" i="1"/>
  <c r="J1301" i="1"/>
  <c r="J1293" i="1"/>
  <c r="J1273" i="1"/>
  <c r="J1283" i="1"/>
  <c r="J1260" i="1"/>
  <c r="J1473" i="1"/>
  <c r="J1248" i="1"/>
  <c r="J1249" i="1"/>
  <c r="J1237" i="1"/>
  <c r="J1229" i="1"/>
  <c r="J1221" i="1"/>
  <c r="J1213" i="1"/>
  <c r="J1205" i="1"/>
  <c r="J1197" i="1"/>
  <c r="J1189" i="1"/>
  <c r="J1181" i="1"/>
  <c r="J1173" i="1"/>
  <c r="J1165" i="1"/>
  <c r="J1157" i="1"/>
  <c r="J1149" i="1"/>
  <c r="J800" i="1"/>
  <c r="J55" i="1"/>
  <c r="J27" i="1"/>
  <c r="J19" i="1"/>
  <c r="J9" i="1"/>
  <c r="J1400" i="1"/>
  <c r="J1392" i="1"/>
  <c r="J1384" i="1"/>
  <c r="J1361" i="1"/>
  <c r="J1353" i="1"/>
  <c r="J1345" i="1"/>
  <c r="J1337" i="1"/>
  <c r="J1332" i="1"/>
  <c r="J1324" i="1"/>
  <c r="J1300" i="1"/>
  <c r="J1268" i="1"/>
  <c r="J1272" i="1"/>
  <c r="J1282" i="1"/>
  <c r="J1265" i="1"/>
  <c r="J1472" i="1"/>
  <c r="J1247" i="1"/>
  <c r="J1244" i="1"/>
  <c r="J1236" i="1"/>
  <c r="J1228" i="1"/>
  <c r="J1220" i="1"/>
  <c r="J1212" i="1"/>
  <c r="J1204" i="1"/>
  <c r="J1196" i="1"/>
  <c r="J1188" i="1"/>
  <c r="J1180" i="1"/>
  <c r="J1172" i="1"/>
  <c r="J1164" i="1"/>
  <c r="J1156" i="1"/>
  <c r="J799" i="1"/>
  <c r="J54" i="1"/>
  <c r="J26" i="1"/>
  <c r="J18" i="1"/>
  <c r="J1399" i="1"/>
  <c r="J1391" i="1"/>
  <c r="J1383" i="1"/>
  <c r="J1360" i="1"/>
  <c r="J1352" i="1"/>
  <c r="J1344" i="1"/>
  <c r="J1336" i="1"/>
  <c r="J1331" i="1"/>
  <c r="J1307" i="1"/>
  <c r="J1299" i="1"/>
  <c r="J1267" i="1"/>
  <c r="J1271" i="1"/>
  <c r="J1281" i="1"/>
  <c r="J1264" i="1"/>
  <c r="J1477" i="1"/>
  <c r="J1246" i="1"/>
  <c r="J1243" i="1"/>
  <c r="J1235" i="1"/>
  <c r="J1227" i="1"/>
  <c r="J1219" i="1"/>
  <c r="J1211" i="1"/>
  <c r="J1203" i="1"/>
  <c r="J1195" i="1"/>
  <c r="J1187" i="1"/>
  <c r="J1179" i="1"/>
  <c r="J1171" i="1"/>
  <c r="J1163" i="1"/>
  <c r="J1155" i="1"/>
  <c r="J798" i="1"/>
  <c r="J53" i="1"/>
  <c r="J25" i="1"/>
  <c r="J17" i="1"/>
  <c r="J1398" i="1"/>
  <c r="J1390" i="1"/>
  <c r="J1382" i="1"/>
  <c r="J1359" i="1"/>
  <c r="J1351" i="1"/>
  <c r="J1343" i="1"/>
  <c r="J1335" i="1"/>
  <c r="J1330" i="1"/>
  <c r="J1306" i="1"/>
  <c r="J1298" i="1"/>
  <c r="J1266" i="1"/>
  <c r="J1270" i="1"/>
  <c r="J1259" i="1"/>
  <c r="J1263" i="1"/>
  <c r="J1476" i="1"/>
  <c r="J1289" i="1"/>
  <c r="J1242" i="1"/>
  <c r="J1234" i="1"/>
  <c r="J1226" i="1"/>
  <c r="J1218" i="1"/>
  <c r="J1210" i="1"/>
  <c r="J1202" i="1"/>
  <c r="J1194" i="1"/>
  <c r="J1186" i="1"/>
  <c r="J1178" i="1"/>
  <c r="J1170" i="1"/>
  <c r="J1162" i="1"/>
  <c r="J1154" i="1"/>
  <c r="J52" i="1"/>
  <c r="J24" i="1"/>
  <c r="G414" i="17" l="1"/>
  <c r="G7" i="17"/>
  <c r="G272" i="17"/>
  <c r="G271" i="17"/>
  <c r="K261" i="20"/>
  <c r="L261" i="20" s="1"/>
  <c r="N261" i="20" s="1"/>
  <c r="O261" i="20" s="1"/>
  <c r="VQV247" i="20"/>
  <c r="VQR247" i="20" s="1"/>
  <c r="VQN247" i="20" s="1"/>
  <c r="VQJ247" i="20" s="1"/>
  <c r="VQU247" i="20"/>
  <c r="K281" i="20"/>
  <c r="L281" i="20" s="1"/>
  <c r="N281" i="20" s="1"/>
  <c r="O281" i="20" s="1"/>
  <c r="N288" i="20"/>
  <c r="O288" i="20" s="1"/>
  <c r="K272" i="20"/>
  <c r="L272" i="20" s="1"/>
  <c r="N272" i="20" s="1"/>
  <c r="O272" i="20" s="1"/>
  <c r="K254" i="20"/>
  <c r="L254" i="20" s="1"/>
  <c r="N254" i="20" s="1"/>
  <c r="O254" i="20" s="1"/>
  <c r="G50" i="17"/>
  <c r="G252" i="17"/>
  <c r="H213" i="21" s="1"/>
  <c r="O213" i="21" s="1"/>
  <c r="N486" i="20"/>
  <c r="O486" i="20" s="1"/>
  <c r="G390" i="17"/>
  <c r="H241" i="21" s="1"/>
  <c r="O241" i="21" s="1"/>
  <c r="G96" i="17"/>
  <c r="H253" i="21" s="1"/>
  <c r="O253" i="21" s="1"/>
  <c r="G356" i="17"/>
  <c r="H235" i="21" s="1"/>
  <c r="O235" i="21" s="1"/>
  <c r="G407" i="17"/>
  <c r="H244" i="21" s="1"/>
  <c r="O244" i="21" s="1"/>
  <c r="G410" i="17"/>
  <c r="H247" i="21" s="1"/>
  <c r="O247" i="21" s="1"/>
  <c r="G405" i="17"/>
  <c r="H242" i="21" s="1"/>
  <c r="O242" i="21" s="1"/>
  <c r="G359" i="17"/>
  <c r="H237" i="21" s="1"/>
  <c r="O237" i="21" s="1"/>
  <c r="G362" i="17"/>
  <c r="H239" i="21" s="1"/>
  <c r="O239" i="21" s="1"/>
  <c r="G360" i="17"/>
  <c r="H238" i="21" s="1"/>
  <c r="O238" i="21" s="1"/>
  <c r="G408" i="17"/>
  <c r="H245" i="21" s="1"/>
  <c r="O245" i="21" s="1"/>
  <c r="G351" i="17"/>
  <c r="H232" i="21" s="1"/>
  <c r="O232" i="21" s="1"/>
  <c r="G353" i="17"/>
  <c r="H234" i="21" s="1"/>
  <c r="O234" i="21" s="1"/>
  <c r="G386" i="17"/>
  <c r="H240" i="21" s="1"/>
  <c r="O240" i="21" s="1"/>
  <c r="G352" i="17"/>
  <c r="H233" i="21" s="1"/>
  <c r="O233" i="21" s="1"/>
  <c r="G409" i="17"/>
  <c r="H246" i="21" s="1"/>
  <c r="O246" i="21" s="1"/>
  <c r="G94" i="17"/>
  <c r="H250" i="21" s="1"/>
  <c r="O250" i="21" s="1"/>
  <c r="G350" i="17"/>
  <c r="H231" i="21" s="1"/>
  <c r="O231" i="21" s="1"/>
  <c r="H251" i="21"/>
  <c r="O251" i="21" s="1"/>
  <c r="G406" i="17"/>
  <c r="H243" i="21" s="1"/>
  <c r="O243" i="21" s="1"/>
  <c r="G122" i="17"/>
  <c r="H252" i="21" s="1"/>
  <c r="O252" i="21" s="1"/>
  <c r="G358" i="17"/>
  <c r="H236" i="21" s="1"/>
  <c r="O236" i="21" s="1"/>
  <c r="G349" i="17"/>
  <c r="H230" i="21" s="1"/>
  <c r="O230" i="21" s="1"/>
  <c r="N553" i="20"/>
  <c r="O553" i="20" s="1"/>
  <c r="H179" i="21"/>
  <c r="O179" i="21" s="1"/>
  <c r="H186" i="21"/>
  <c r="O186" i="21" s="1"/>
  <c r="H183" i="21"/>
  <c r="O183" i="21" s="1"/>
  <c r="H185" i="21"/>
  <c r="O185" i="21" s="1"/>
  <c r="H181" i="21"/>
  <c r="O181" i="21" s="1"/>
  <c r="H178" i="21"/>
  <c r="O178" i="21" s="1"/>
  <c r="H187" i="21"/>
  <c r="O187" i="21" s="1"/>
  <c r="H180" i="21"/>
  <c r="O180" i="21" s="1"/>
  <c r="H188" i="21"/>
  <c r="O188" i="21" s="1"/>
  <c r="H182" i="21"/>
  <c r="O182" i="21" s="1"/>
  <c r="H177" i="21"/>
  <c r="O177" i="21" s="1"/>
  <c r="H184" i="21"/>
  <c r="O184" i="21" s="1"/>
  <c r="K282" i="20"/>
  <c r="L282" i="20" s="1"/>
  <c r="N282" i="20" s="1"/>
  <c r="O282" i="20" s="1"/>
  <c r="H32" i="21"/>
  <c r="O32" i="21" s="1"/>
  <c r="H31" i="21"/>
  <c r="O31" i="21" s="1"/>
  <c r="H34" i="21"/>
  <c r="O34" i="21" s="1"/>
  <c r="H45" i="21"/>
  <c r="O45" i="21" s="1"/>
  <c r="O44" i="21" s="1"/>
  <c r="H36" i="21"/>
  <c r="O36" i="21" s="1"/>
  <c r="H42" i="21"/>
  <c r="O42" i="21" s="1"/>
  <c r="H37" i="21"/>
  <c r="O37" i="21" s="1"/>
  <c r="H40" i="21"/>
  <c r="O40" i="21" s="1"/>
  <c r="H39" i="21"/>
  <c r="O39" i="21" s="1"/>
  <c r="H43" i="21"/>
  <c r="O43" i="21" s="1"/>
  <c r="H35" i="21"/>
  <c r="O35" i="21" s="1"/>
  <c r="H41" i="21"/>
  <c r="O41" i="21" s="1"/>
  <c r="H38" i="21"/>
  <c r="O38" i="21" s="1"/>
  <c r="K278" i="20"/>
  <c r="L278" i="20" s="1"/>
  <c r="N278" i="20" s="1"/>
  <c r="O278" i="20" s="1"/>
  <c r="K280" i="20"/>
  <c r="L280" i="20" s="1"/>
  <c r="N280" i="20" s="1"/>
  <c r="O280" i="20" s="1"/>
  <c r="K245" i="20"/>
  <c r="L245" i="20" s="1"/>
  <c r="N245" i="20" s="1"/>
  <c r="O245" i="20" s="1"/>
  <c r="N285" i="20"/>
  <c r="O285" i="20" s="1"/>
  <c r="N284" i="20"/>
  <c r="O284" i="20" s="1"/>
  <c r="K287" i="20"/>
  <c r="L287" i="20" s="1"/>
  <c r="N287" i="20" s="1"/>
  <c r="O287" i="20" s="1"/>
  <c r="N279" i="20"/>
  <c r="O279" i="20" s="1"/>
  <c r="N283" i="20"/>
  <c r="O283" i="20" s="1"/>
  <c r="H29" i="21"/>
  <c r="O29" i="21" s="1"/>
  <c r="H30" i="21"/>
  <c r="O30" i="21" s="1"/>
  <c r="H33" i="21"/>
  <c r="O33" i="21" s="1"/>
  <c r="H210" i="21"/>
  <c r="O210" i="21" s="1"/>
  <c r="H214" i="21"/>
  <c r="O214" i="21" s="1"/>
  <c r="H211" i="21"/>
  <c r="O211" i="21" s="1"/>
  <c r="H216" i="21"/>
  <c r="O216" i="21" s="1"/>
  <c r="H212" i="21"/>
  <c r="O212" i="21" s="1"/>
  <c r="H217" i="21"/>
  <c r="O217" i="21" s="1"/>
  <c r="H209" i="21"/>
  <c r="O209" i="21" s="1"/>
  <c r="H215" i="21"/>
  <c r="O215" i="21" s="1"/>
  <c r="H207" i="21"/>
  <c r="O207" i="21" s="1"/>
  <c r="H208" i="21"/>
  <c r="O208" i="21" s="1"/>
  <c r="H248" i="21"/>
  <c r="O248" i="21" s="1"/>
  <c r="N764" i="20"/>
  <c r="N767" i="20"/>
  <c r="N765" i="20"/>
  <c r="N766" i="20"/>
  <c r="L563" i="20"/>
  <c r="L244" i="20"/>
  <c r="N659" i="20"/>
  <c r="K237" i="20"/>
  <c r="L237" i="20" s="1"/>
  <c r="N237" i="20" s="1"/>
  <c r="O237" i="20" s="1"/>
  <c r="N619" i="20"/>
  <c r="N687" i="20"/>
  <c r="N565" i="20"/>
  <c r="N564" i="20"/>
  <c r="N588" i="20"/>
  <c r="N620" i="20"/>
  <c r="N628" i="20"/>
  <c r="N572" i="20"/>
  <c r="N678" i="20"/>
  <c r="N699" i="20"/>
  <c r="N655" i="20"/>
  <c r="N580" i="20"/>
  <c r="N686" i="20"/>
  <c r="N586" i="20"/>
  <c r="N700" i="20"/>
  <c r="N573" i="20"/>
  <c r="N627" i="20"/>
  <c r="N593" i="20"/>
  <c r="N680" i="20"/>
  <c r="N581" i="20"/>
  <c r="N701" i="20"/>
  <c r="N574" i="20"/>
  <c r="N654" i="20"/>
  <c r="N625" i="20"/>
  <c r="N693" i="20"/>
  <c r="N566" i="20"/>
  <c r="N589" i="20"/>
  <c r="N582" i="20"/>
  <c r="N629" i="20"/>
  <c r="N661" i="20"/>
  <c r="N591" i="20"/>
  <c r="N681" i="20"/>
  <c r="N679" i="20"/>
  <c r="N683" i="20"/>
  <c r="N577" i="20"/>
  <c r="N630" i="20"/>
  <c r="N621" i="20"/>
  <c r="N656" i="20"/>
  <c r="N622" i="20"/>
  <c r="N585" i="20"/>
  <c r="N587" i="20"/>
  <c r="N570" i="20"/>
  <c r="N624" i="20"/>
  <c r="N658" i="20"/>
  <c r="N657" i="20"/>
  <c r="N579" i="20"/>
  <c r="N660" i="20"/>
  <c r="N584" i="20"/>
  <c r="N697" i="20"/>
  <c r="N623" i="20"/>
  <c r="N698" i="20"/>
  <c r="N571" i="20"/>
  <c r="N684" i="20"/>
  <c r="N590" i="20"/>
  <c r="N696" i="20"/>
  <c r="N695" i="20"/>
  <c r="N685" i="20"/>
  <c r="N568" i="20"/>
  <c r="N626" i="20"/>
  <c r="N583" i="20"/>
  <c r="N567" i="20"/>
  <c r="N682" i="20"/>
  <c r="N569" i="20"/>
  <c r="N576" i="20"/>
  <c r="K73" i="20"/>
  <c r="L73" i="20" s="1"/>
  <c r="N578" i="20"/>
  <c r="N592" i="20"/>
  <c r="N694" i="20"/>
  <c r="K768" i="20"/>
  <c r="L768" i="20" s="1"/>
  <c r="N575" i="20"/>
  <c r="N594" i="20"/>
  <c r="K561" i="20"/>
  <c r="L561" i="20" s="1"/>
  <c r="Q439" i="20"/>
  <c r="N439" i="20"/>
  <c r="O439" i="20" s="1"/>
  <c r="Q248" i="20"/>
  <c r="N248" i="20"/>
  <c r="O248" i="20" s="1"/>
  <c r="Q128" i="20"/>
  <c r="N128" i="20"/>
  <c r="O128" i="20" s="1"/>
  <c r="Q517" i="20"/>
  <c r="N517" i="20"/>
  <c r="O517" i="20" s="1"/>
  <c r="Q535" i="20"/>
  <c r="N535" i="20"/>
  <c r="O535" i="20" s="1"/>
  <c r="Q188" i="20"/>
  <c r="N188" i="20"/>
  <c r="O188" i="20" s="1"/>
  <c r="Q377" i="20"/>
  <c r="N377" i="20"/>
  <c r="O377" i="20" s="1"/>
  <c r="Q199" i="20"/>
  <c r="N199" i="20"/>
  <c r="O199" i="20" s="1"/>
  <c r="Q167" i="20"/>
  <c r="N167" i="20"/>
  <c r="O167" i="20" s="1"/>
  <c r="Q317" i="20"/>
  <c r="N317" i="20"/>
  <c r="O317" i="20" s="1"/>
  <c r="Q454" i="20"/>
  <c r="N454" i="20"/>
  <c r="O454" i="20" s="1"/>
  <c r="Q378" i="20"/>
  <c r="N378" i="20"/>
  <c r="O378" i="20" s="1"/>
  <c r="Q438" i="20"/>
  <c r="N438" i="20"/>
  <c r="O438" i="20" s="1"/>
  <c r="Q404" i="20"/>
  <c r="N404" i="20"/>
  <c r="O404" i="20" s="1"/>
  <c r="Q372" i="20"/>
  <c r="N372" i="20"/>
  <c r="O372" i="20" s="1"/>
  <c r="Q356" i="20"/>
  <c r="N356" i="20"/>
  <c r="O356" i="20" s="1"/>
  <c r="Q338" i="20"/>
  <c r="N338" i="20"/>
  <c r="O338" i="20" s="1"/>
  <c r="Q303" i="20"/>
  <c r="N303" i="20"/>
  <c r="O303" i="20" s="1"/>
  <c r="Q475" i="20"/>
  <c r="N475" i="20"/>
  <c r="O475" i="20" s="1"/>
  <c r="Q119" i="20"/>
  <c r="N119" i="20"/>
  <c r="O119" i="20" s="1"/>
  <c r="Q95" i="20"/>
  <c r="N95" i="20"/>
  <c r="O95" i="20" s="1"/>
  <c r="Q63" i="20"/>
  <c r="N63" i="20"/>
  <c r="O63" i="20" s="1"/>
  <c r="Q158" i="20"/>
  <c r="N158" i="20"/>
  <c r="O158" i="20" s="1"/>
  <c r="Q398" i="20"/>
  <c r="N398" i="20"/>
  <c r="O398" i="20" s="1"/>
  <c r="Q509" i="20"/>
  <c r="N509" i="20"/>
  <c r="O509" i="20" s="1"/>
  <c r="Q437" i="20"/>
  <c r="N437" i="20"/>
  <c r="O437" i="20" s="1"/>
  <c r="Q395" i="20"/>
  <c r="N395" i="20"/>
  <c r="O395" i="20" s="1"/>
  <c r="Q315" i="20"/>
  <c r="N315" i="20"/>
  <c r="O315" i="20" s="1"/>
  <c r="Q294" i="20"/>
  <c r="N294" i="20"/>
  <c r="O294" i="20" s="1"/>
  <c r="Q263" i="20"/>
  <c r="N263" i="20"/>
  <c r="O263" i="20" s="1"/>
  <c r="Q556" i="20"/>
  <c r="N556" i="20"/>
  <c r="O556" i="20" s="1"/>
  <c r="Q524" i="20"/>
  <c r="N524" i="20"/>
  <c r="O524" i="20" s="1"/>
  <c r="Q466" i="20"/>
  <c r="N466" i="20"/>
  <c r="O466" i="20" s="1"/>
  <c r="Q106" i="20"/>
  <c r="N106" i="20"/>
  <c r="O106" i="20" s="1"/>
  <c r="Q225" i="20"/>
  <c r="N225" i="20"/>
  <c r="O225" i="20" s="1"/>
  <c r="Q193" i="20"/>
  <c r="N193" i="20"/>
  <c r="O193" i="20" s="1"/>
  <c r="Q321" i="20"/>
  <c r="N321" i="20"/>
  <c r="O321" i="20" s="1"/>
  <c r="Q210" i="20"/>
  <c r="N210" i="20"/>
  <c r="O210" i="20" s="1"/>
  <c r="Q402" i="20"/>
  <c r="N402" i="20"/>
  <c r="O402" i="20" s="1"/>
  <c r="Q552" i="20"/>
  <c r="N552" i="20"/>
  <c r="O552" i="20" s="1"/>
  <c r="Q513" i="20"/>
  <c r="N513" i="20"/>
  <c r="O513" i="20" s="1"/>
  <c r="Q222" i="20"/>
  <c r="N222" i="20"/>
  <c r="O222" i="20" s="1"/>
  <c r="Q190" i="20"/>
  <c r="N190" i="20"/>
  <c r="O190" i="20" s="1"/>
  <c r="Q309" i="20"/>
  <c r="N309" i="20"/>
  <c r="O309" i="20" s="1"/>
  <c r="Q110" i="20"/>
  <c r="N110" i="20"/>
  <c r="O110" i="20" s="1"/>
  <c r="Q181" i="20"/>
  <c r="N181" i="20"/>
  <c r="O181" i="20" s="1"/>
  <c r="Q558" i="20"/>
  <c r="N558" i="20"/>
  <c r="O558" i="20" s="1"/>
  <c r="Q186" i="20"/>
  <c r="N186" i="20"/>
  <c r="O186" i="20" s="1"/>
  <c r="Q336" i="20"/>
  <c r="N336" i="20"/>
  <c r="O336" i="20" s="1"/>
  <c r="Q293" i="20"/>
  <c r="N293" i="20"/>
  <c r="O293" i="20" s="1"/>
  <c r="Q187" i="20"/>
  <c r="N187" i="20"/>
  <c r="O187" i="20" s="1"/>
  <c r="Q414" i="20"/>
  <c r="N414" i="20"/>
  <c r="O414" i="20" s="1"/>
  <c r="Q465" i="20"/>
  <c r="N465" i="20"/>
  <c r="O465" i="20" s="1"/>
  <c r="Q192" i="20"/>
  <c r="N192" i="20"/>
  <c r="O192" i="20" s="1"/>
  <c r="Q161" i="20"/>
  <c r="N161" i="20"/>
  <c r="O161" i="20" s="1"/>
  <c r="Q261" i="20"/>
  <c r="Q405" i="20"/>
  <c r="N405" i="20"/>
  <c r="O405" i="20" s="1"/>
  <c r="Q299" i="20"/>
  <c r="N299" i="20"/>
  <c r="O299" i="20" s="1"/>
  <c r="Q478" i="20"/>
  <c r="N478" i="20"/>
  <c r="O478" i="20" s="1"/>
  <c r="Q144" i="20"/>
  <c r="N144" i="20"/>
  <c r="O144" i="20" s="1"/>
  <c r="Q431" i="20"/>
  <c r="N431" i="20"/>
  <c r="O431" i="20" s="1"/>
  <c r="Q295" i="20"/>
  <c r="N295" i="20"/>
  <c r="O295" i="20" s="1"/>
  <c r="Q554" i="20"/>
  <c r="N554" i="20"/>
  <c r="O554" i="20" s="1"/>
  <c r="Q472" i="20"/>
  <c r="N472" i="20"/>
  <c r="O472" i="20" s="1"/>
  <c r="I242" i="20"/>
  <c r="J242" i="20" s="1"/>
  <c r="Q277" i="20"/>
  <c r="N277" i="20"/>
  <c r="O277" i="20" s="1"/>
  <c r="Q481" i="20"/>
  <c r="N481" i="20"/>
  <c r="O481" i="20" s="1"/>
  <c r="Q469" i="20"/>
  <c r="N469" i="20"/>
  <c r="O469" i="20" s="1"/>
  <c r="Q180" i="20"/>
  <c r="N180" i="20"/>
  <c r="O180" i="20" s="1"/>
  <c r="Q59" i="20"/>
  <c r="N59" i="20"/>
  <c r="O59" i="20" s="1"/>
  <c r="Q335" i="20"/>
  <c r="N335" i="20"/>
  <c r="O335" i="20" s="1"/>
  <c r="Q133" i="20"/>
  <c r="N133" i="20"/>
  <c r="O133" i="20" s="1"/>
  <c r="Q104" i="20"/>
  <c r="N104" i="20"/>
  <c r="O104" i="20" s="1"/>
  <c r="Q436" i="20"/>
  <c r="N436" i="20"/>
  <c r="O436" i="20" s="1"/>
  <c r="Q375" i="20"/>
  <c r="N375" i="20"/>
  <c r="O375" i="20" s="1"/>
  <c r="Q359" i="20"/>
  <c r="N359" i="20"/>
  <c r="O359" i="20" s="1"/>
  <c r="Q343" i="20"/>
  <c r="N343" i="20"/>
  <c r="O343" i="20" s="1"/>
  <c r="Q463" i="20"/>
  <c r="N463" i="20"/>
  <c r="O463" i="20" s="1"/>
  <c r="Q115" i="20"/>
  <c r="N115" i="20"/>
  <c r="O115" i="20" s="1"/>
  <c r="Q159" i="20"/>
  <c r="N159" i="20"/>
  <c r="O159" i="20" s="1"/>
  <c r="Q66" i="20"/>
  <c r="N66" i="20"/>
  <c r="O66" i="20" s="1"/>
  <c r="Q435" i="20"/>
  <c r="N435" i="20"/>
  <c r="O435" i="20" s="1"/>
  <c r="Q310" i="20"/>
  <c r="N310" i="20"/>
  <c r="O310" i="20" s="1"/>
  <c r="Q262" i="20"/>
  <c r="N262" i="20"/>
  <c r="O262" i="20" s="1"/>
  <c r="Q559" i="20"/>
  <c r="N559" i="20"/>
  <c r="O559" i="20" s="1"/>
  <c r="Q518" i="20"/>
  <c r="N518" i="20"/>
  <c r="O518" i="20" s="1"/>
  <c r="Q468" i="20"/>
  <c r="N468" i="20"/>
  <c r="O468" i="20" s="1"/>
  <c r="Q102" i="20"/>
  <c r="N102" i="20"/>
  <c r="O102" i="20" s="1"/>
  <c r="Q219" i="20"/>
  <c r="N219" i="20"/>
  <c r="O219" i="20" s="1"/>
  <c r="Q156" i="20"/>
  <c r="N156" i="20"/>
  <c r="O156" i="20" s="1"/>
  <c r="Q253" i="20"/>
  <c r="N253" i="20"/>
  <c r="O253" i="20" s="1"/>
  <c r="Q412" i="20"/>
  <c r="N412" i="20"/>
  <c r="O412" i="20" s="1"/>
  <c r="Q459" i="20"/>
  <c r="N459" i="20"/>
  <c r="O459" i="20" s="1"/>
  <c r="Q56" i="20"/>
  <c r="N56" i="20"/>
  <c r="O56" i="20" s="1"/>
  <c r="Q389" i="20"/>
  <c r="N389" i="20"/>
  <c r="O389" i="20" s="1"/>
  <c r="Q366" i="20"/>
  <c r="N366" i="20"/>
  <c r="O366" i="20" s="1"/>
  <c r="Q350" i="20"/>
  <c r="N350" i="20"/>
  <c r="O350" i="20" s="1"/>
  <c r="Q555" i="20"/>
  <c r="N555" i="20"/>
  <c r="O555" i="20" s="1"/>
  <c r="Q523" i="20"/>
  <c r="N523" i="20"/>
  <c r="O523" i="20" s="1"/>
  <c r="Q99" i="20"/>
  <c r="N99" i="20"/>
  <c r="O99" i="20" s="1"/>
  <c r="Q224" i="20"/>
  <c r="N224" i="20"/>
  <c r="O224" i="20" s="1"/>
  <c r="Q65" i="20"/>
  <c r="N65" i="20"/>
  <c r="O65" i="20" s="1"/>
  <c r="Q221" i="20"/>
  <c r="N221" i="20"/>
  <c r="O221" i="20" s="1"/>
  <c r="Q440" i="20"/>
  <c r="N440" i="20"/>
  <c r="O440" i="20" s="1"/>
  <c r="Q268" i="20"/>
  <c r="N268" i="20"/>
  <c r="O268" i="20" s="1"/>
  <c r="Q87" i="20"/>
  <c r="N87" i="20"/>
  <c r="O87" i="20" s="1"/>
  <c r="Q316" i="20"/>
  <c r="N316" i="20"/>
  <c r="O316" i="20" s="1"/>
  <c r="Q264" i="20"/>
  <c r="N264" i="20"/>
  <c r="O264" i="20" s="1"/>
  <c r="Q522" i="20"/>
  <c r="N522" i="20"/>
  <c r="O522" i="20" s="1"/>
  <c r="Q122" i="20"/>
  <c r="N122" i="20"/>
  <c r="O122" i="20" s="1"/>
  <c r="Q138" i="20"/>
  <c r="N138" i="20"/>
  <c r="O138" i="20" s="1"/>
  <c r="Q357" i="20"/>
  <c r="N357" i="20"/>
  <c r="O357" i="20" s="1"/>
  <c r="Q332" i="20"/>
  <c r="N332" i="20"/>
  <c r="O332" i="20" s="1"/>
  <c r="Q212" i="20"/>
  <c r="N212" i="20"/>
  <c r="O212" i="20" s="1"/>
  <c r="Q141" i="20"/>
  <c r="N141" i="20"/>
  <c r="O141" i="20" s="1"/>
  <c r="Q191" i="20"/>
  <c r="N191" i="20"/>
  <c r="O191" i="20" s="1"/>
  <c r="Q96" i="20"/>
  <c r="N96" i="20"/>
  <c r="O96" i="20" s="1"/>
  <c r="Q60" i="20"/>
  <c r="N60" i="20"/>
  <c r="O60" i="20" s="1"/>
  <c r="Q430" i="20"/>
  <c r="N430" i="20"/>
  <c r="O430" i="20" s="1"/>
  <c r="Q396" i="20"/>
  <c r="N396" i="20"/>
  <c r="O396" i="20" s="1"/>
  <c r="Q368" i="20"/>
  <c r="N368" i="20"/>
  <c r="O368" i="20" s="1"/>
  <c r="Q352" i="20"/>
  <c r="N352" i="20"/>
  <c r="O352" i="20" s="1"/>
  <c r="Q560" i="20"/>
  <c r="N560" i="20"/>
  <c r="O560" i="20" s="1"/>
  <c r="Q519" i="20"/>
  <c r="N519" i="20"/>
  <c r="O519" i="20" s="1"/>
  <c r="Q113" i="20"/>
  <c r="N113" i="20"/>
  <c r="O113" i="20" s="1"/>
  <c r="Q84" i="20"/>
  <c r="N84" i="20"/>
  <c r="O84" i="20" s="1"/>
  <c r="Q142" i="20"/>
  <c r="N142" i="20"/>
  <c r="O142" i="20" s="1"/>
  <c r="Q369" i="20"/>
  <c r="N369" i="20"/>
  <c r="O369" i="20" s="1"/>
  <c r="Q473" i="20"/>
  <c r="N473" i="20"/>
  <c r="O473" i="20" s="1"/>
  <c r="Q429" i="20"/>
  <c r="N429" i="20"/>
  <c r="O429" i="20" s="1"/>
  <c r="Q376" i="20"/>
  <c r="N376" i="20"/>
  <c r="O376" i="20" s="1"/>
  <c r="Q311" i="20"/>
  <c r="N311" i="20"/>
  <c r="O311" i="20" s="1"/>
  <c r="Q275" i="20"/>
  <c r="N275" i="20"/>
  <c r="O275" i="20" s="1"/>
  <c r="Q255" i="20"/>
  <c r="N255" i="20"/>
  <c r="O255" i="20" s="1"/>
  <c r="Q546" i="20"/>
  <c r="N546" i="20"/>
  <c r="O546" i="20" s="1"/>
  <c r="Q516" i="20"/>
  <c r="N516" i="20"/>
  <c r="O516" i="20" s="1"/>
  <c r="Q458" i="20"/>
  <c r="N458" i="20"/>
  <c r="O458" i="20" s="1"/>
  <c r="Q100" i="20"/>
  <c r="N100" i="20"/>
  <c r="O100" i="20" s="1"/>
  <c r="Q217" i="20"/>
  <c r="N217" i="20"/>
  <c r="O217" i="20" s="1"/>
  <c r="Q185" i="20"/>
  <c r="N185" i="20"/>
  <c r="O185" i="20" s="1"/>
  <c r="Q154" i="20"/>
  <c r="N154" i="20"/>
  <c r="O154" i="20" s="1"/>
  <c r="Q163" i="20"/>
  <c r="N163" i="20"/>
  <c r="O163" i="20" s="1"/>
  <c r="Q394" i="20"/>
  <c r="N394" i="20"/>
  <c r="O394" i="20" s="1"/>
  <c r="Q485" i="20"/>
  <c r="N485" i="20"/>
  <c r="O485" i="20" s="1"/>
  <c r="Q214" i="20"/>
  <c r="N214" i="20"/>
  <c r="O214" i="20" s="1"/>
  <c r="Q182" i="20"/>
  <c r="N182" i="20"/>
  <c r="O182" i="20" s="1"/>
  <c r="Q151" i="20"/>
  <c r="N151" i="20"/>
  <c r="O151" i="20" s="1"/>
  <c r="Q406" i="20"/>
  <c r="N406" i="20"/>
  <c r="O406" i="20" s="1"/>
  <c r="Q170" i="20"/>
  <c r="N170" i="20"/>
  <c r="O170" i="20" s="1"/>
  <c r="Q211" i="20"/>
  <c r="N211" i="20"/>
  <c r="O211" i="20" s="1"/>
  <c r="Q179" i="20"/>
  <c r="N179" i="20"/>
  <c r="O179" i="20" s="1"/>
  <c r="Q148" i="20"/>
  <c r="N148" i="20"/>
  <c r="O148" i="20" s="1"/>
  <c r="Q373" i="20"/>
  <c r="N373" i="20"/>
  <c r="O373" i="20" s="1"/>
  <c r="Q457" i="20"/>
  <c r="N457" i="20"/>
  <c r="O457" i="20" s="1"/>
  <c r="Q216" i="20"/>
  <c r="N216" i="20"/>
  <c r="O216" i="20" s="1"/>
  <c r="Q184" i="20"/>
  <c r="N184" i="20"/>
  <c r="O184" i="20" s="1"/>
  <c r="Q153" i="20"/>
  <c r="N153" i="20"/>
  <c r="O153" i="20" s="1"/>
  <c r="Q276" i="20"/>
  <c r="N276" i="20"/>
  <c r="O276" i="20" s="1"/>
  <c r="Q464" i="20"/>
  <c r="N464" i="20"/>
  <c r="O464" i="20" s="1"/>
  <c r="Q461" i="20"/>
  <c r="N461" i="20"/>
  <c r="O461" i="20" s="1"/>
  <c r="Q146" i="20"/>
  <c r="N146" i="20"/>
  <c r="O146" i="20" s="1"/>
  <c r="Q541" i="20"/>
  <c r="N541" i="20"/>
  <c r="O541" i="20" s="1"/>
  <c r="Q371" i="20"/>
  <c r="N371" i="20"/>
  <c r="O371" i="20" s="1"/>
  <c r="Q455" i="20"/>
  <c r="N455" i="20"/>
  <c r="O455" i="20" s="1"/>
  <c r="Q269" i="20"/>
  <c r="N269" i="20"/>
  <c r="O269" i="20" s="1"/>
  <c r="Q229" i="20"/>
  <c r="N229" i="20"/>
  <c r="O229" i="20" s="1"/>
  <c r="Q117" i="20"/>
  <c r="N117" i="20"/>
  <c r="O117" i="20" s="1"/>
  <c r="Q427" i="20"/>
  <c r="N427" i="20"/>
  <c r="O427" i="20" s="1"/>
  <c r="Q330" i="20"/>
  <c r="N330" i="20"/>
  <c r="O330" i="20" s="1"/>
  <c r="Q306" i="20"/>
  <c r="N306" i="20"/>
  <c r="O306" i="20" s="1"/>
  <c r="Q274" i="20"/>
  <c r="N274" i="20"/>
  <c r="O274" i="20" s="1"/>
  <c r="Q254" i="20"/>
  <c r="Q548" i="20"/>
  <c r="N548" i="20"/>
  <c r="O548" i="20" s="1"/>
  <c r="Q510" i="20"/>
  <c r="N510" i="20"/>
  <c r="O510" i="20" s="1"/>
  <c r="Q460" i="20"/>
  <c r="N460" i="20"/>
  <c r="O460" i="20" s="1"/>
  <c r="Q83" i="20"/>
  <c r="N83" i="20"/>
  <c r="O83" i="20" s="1"/>
  <c r="Q470" i="20"/>
  <c r="N470" i="20"/>
  <c r="O470" i="20" s="1"/>
  <c r="Q101" i="20"/>
  <c r="N101" i="20"/>
  <c r="O101" i="20" s="1"/>
  <c r="Q441" i="20"/>
  <c r="N441" i="20"/>
  <c r="O441" i="20" s="1"/>
  <c r="Q407" i="20"/>
  <c r="N407" i="20"/>
  <c r="O407" i="20" s="1"/>
  <c r="Q379" i="20"/>
  <c r="N379" i="20"/>
  <c r="O379" i="20" s="1"/>
  <c r="Q362" i="20"/>
  <c r="N362" i="20"/>
  <c r="O362" i="20" s="1"/>
  <c r="Q346" i="20"/>
  <c r="N346" i="20"/>
  <c r="O346" i="20" s="1"/>
  <c r="Q545" i="20"/>
  <c r="N545" i="20"/>
  <c r="O545" i="20" s="1"/>
  <c r="Q515" i="20"/>
  <c r="N515" i="20"/>
  <c r="O515" i="20" s="1"/>
  <c r="Q92" i="20"/>
  <c r="N92" i="20"/>
  <c r="O92" i="20" s="1"/>
  <c r="Q61" i="20"/>
  <c r="N61" i="20"/>
  <c r="O61" i="20" s="1"/>
  <c r="Q413" i="20"/>
  <c r="N413" i="20"/>
  <c r="O413" i="20" s="1"/>
  <c r="Q551" i="20"/>
  <c r="N551" i="20"/>
  <c r="O551" i="20" s="1"/>
  <c r="Q205" i="20"/>
  <c r="N205" i="20"/>
  <c r="O205" i="20" s="1"/>
  <c r="Q392" i="20"/>
  <c r="N392" i="20"/>
  <c r="O392" i="20" s="1"/>
  <c r="Q256" i="20"/>
  <c r="N256" i="20"/>
  <c r="O256" i="20" s="1"/>
  <c r="Q98" i="20"/>
  <c r="N98" i="20"/>
  <c r="O98" i="20" s="1"/>
  <c r="Q204" i="20"/>
  <c r="N204" i="20"/>
  <c r="O204" i="20" s="1"/>
  <c r="Q305" i="20"/>
  <c r="N305" i="20"/>
  <c r="O305" i="20" s="1"/>
  <c r="Q433" i="20"/>
  <c r="N433" i="20"/>
  <c r="O433" i="20" s="1"/>
  <c r="Q537" i="20"/>
  <c r="N537" i="20"/>
  <c r="O537" i="20" s="1"/>
  <c r="Q308" i="20"/>
  <c r="N308" i="20"/>
  <c r="O308" i="20" s="1"/>
  <c r="Q249" i="20"/>
  <c r="N249" i="20"/>
  <c r="O249" i="20" s="1"/>
  <c r="Q304" i="20"/>
  <c r="N304" i="20"/>
  <c r="O304" i="20" s="1"/>
  <c r="Q226" i="20"/>
  <c r="N226" i="20"/>
  <c r="O226" i="20" s="1"/>
  <c r="Q416" i="20"/>
  <c r="N416" i="20"/>
  <c r="O416" i="20" s="1"/>
  <c r="Q391" i="20"/>
  <c r="N391" i="20"/>
  <c r="O391" i="20" s="1"/>
  <c r="Q364" i="20"/>
  <c r="N364" i="20"/>
  <c r="O364" i="20" s="1"/>
  <c r="Q348" i="20"/>
  <c r="N348" i="20"/>
  <c r="O348" i="20" s="1"/>
  <c r="Q327" i="20"/>
  <c r="N327" i="20"/>
  <c r="O327" i="20" s="1"/>
  <c r="Q550" i="20"/>
  <c r="N550" i="20"/>
  <c r="O550" i="20" s="1"/>
  <c r="Q511" i="20"/>
  <c r="N511" i="20"/>
  <c r="O511" i="20" s="1"/>
  <c r="Q109" i="20"/>
  <c r="N109" i="20"/>
  <c r="O109" i="20" s="1"/>
  <c r="Q78" i="20"/>
  <c r="N78" i="20"/>
  <c r="O78" i="20" s="1"/>
  <c r="Q135" i="20"/>
  <c r="N135" i="20"/>
  <c r="O135" i="20" s="1"/>
  <c r="Q265" i="20"/>
  <c r="N265" i="20"/>
  <c r="O265" i="20" s="1"/>
  <c r="Q345" i="20"/>
  <c r="N345" i="20"/>
  <c r="O345" i="20" s="1"/>
  <c r="I561" i="20"/>
  <c r="J561" i="20" s="1"/>
  <c r="Q337" i="20"/>
  <c r="N337" i="20"/>
  <c r="O337" i="20" s="1"/>
  <c r="Q307" i="20"/>
  <c r="N307" i="20"/>
  <c r="O307" i="20" s="1"/>
  <c r="Q271" i="20"/>
  <c r="N271" i="20"/>
  <c r="O271" i="20" s="1"/>
  <c r="Q251" i="20"/>
  <c r="N251" i="20"/>
  <c r="O251" i="20" s="1"/>
  <c r="Q540" i="20"/>
  <c r="N540" i="20"/>
  <c r="O540" i="20" s="1"/>
  <c r="Q508" i="20"/>
  <c r="N508" i="20"/>
  <c r="O508" i="20" s="1"/>
  <c r="Q94" i="20"/>
  <c r="N94" i="20"/>
  <c r="O94" i="20" s="1"/>
  <c r="Q209" i="20"/>
  <c r="N209" i="20"/>
  <c r="O209" i="20" s="1"/>
  <c r="Q177" i="20"/>
  <c r="N177" i="20"/>
  <c r="O177" i="20" s="1"/>
  <c r="Q313" i="20"/>
  <c r="N313" i="20"/>
  <c r="O313" i="20" s="1"/>
  <c r="Q147" i="20"/>
  <c r="N147" i="20"/>
  <c r="O147" i="20" s="1"/>
  <c r="Q477" i="20"/>
  <c r="N477" i="20"/>
  <c r="O477" i="20" s="1"/>
  <c r="Q206" i="20"/>
  <c r="N206" i="20"/>
  <c r="O206" i="20" s="1"/>
  <c r="Q174" i="20"/>
  <c r="N174" i="20"/>
  <c r="O174" i="20" s="1"/>
  <c r="Q143" i="20"/>
  <c r="N143" i="20"/>
  <c r="O143" i="20" s="1"/>
  <c r="Q213" i="20"/>
  <c r="N213" i="20"/>
  <c r="O213" i="20" s="1"/>
  <c r="Q365" i="20"/>
  <c r="N365" i="20"/>
  <c r="O365" i="20" s="1"/>
  <c r="Q218" i="20"/>
  <c r="N218" i="20"/>
  <c r="O218" i="20" s="1"/>
  <c r="Q301" i="20"/>
  <c r="N301" i="20"/>
  <c r="O301" i="20" s="1"/>
  <c r="Q270" i="20"/>
  <c r="N270" i="20"/>
  <c r="O270" i="20" s="1"/>
  <c r="Q77" i="20"/>
  <c r="N77" i="20"/>
  <c r="O77" i="20" s="1"/>
  <c r="Q203" i="20"/>
  <c r="N203" i="20"/>
  <c r="O203" i="20" s="1"/>
  <c r="Q171" i="20"/>
  <c r="N171" i="20"/>
  <c r="O171" i="20" s="1"/>
  <c r="Q134" i="20"/>
  <c r="N134" i="20"/>
  <c r="O134" i="20" s="1"/>
  <c r="Q349" i="20"/>
  <c r="N349" i="20"/>
  <c r="O349" i="20" s="1"/>
  <c r="Q539" i="20"/>
  <c r="N539" i="20"/>
  <c r="O539" i="20" s="1"/>
  <c r="Q208" i="20"/>
  <c r="N208" i="20"/>
  <c r="O208" i="20" s="1"/>
  <c r="Q176" i="20"/>
  <c r="N176" i="20"/>
  <c r="O176" i="20" s="1"/>
  <c r="Q145" i="20"/>
  <c r="N145" i="20"/>
  <c r="O145" i="20" s="1"/>
  <c r="Q361" i="20"/>
  <c r="N361" i="20"/>
  <c r="O361" i="20" s="1"/>
  <c r="Q312" i="20"/>
  <c r="N312" i="20"/>
  <c r="O312" i="20" s="1"/>
  <c r="Q514" i="20"/>
  <c r="N514" i="20"/>
  <c r="O514" i="20" s="1"/>
  <c r="Q160" i="20"/>
  <c r="N160" i="20"/>
  <c r="O160" i="20" s="1"/>
  <c r="Q55" i="20"/>
  <c r="N55" i="20"/>
  <c r="O55" i="20" s="1"/>
  <c r="Q130" i="20"/>
  <c r="N130" i="20"/>
  <c r="O130" i="20" s="1"/>
  <c r="Q85" i="20"/>
  <c r="N85" i="20"/>
  <c r="O85" i="20" s="1"/>
  <c r="Q428" i="20"/>
  <c r="N428" i="20"/>
  <c r="O428" i="20" s="1"/>
  <c r="Q323" i="20"/>
  <c r="N323" i="20"/>
  <c r="O323" i="20" s="1"/>
  <c r="Q62" i="20"/>
  <c r="N62" i="20"/>
  <c r="O62" i="20" s="1"/>
  <c r="Q333" i="20"/>
  <c r="N333" i="20"/>
  <c r="O333" i="20" s="1"/>
  <c r="Q252" i="20"/>
  <c r="N252" i="20"/>
  <c r="O252" i="20" s="1"/>
  <c r="Q91" i="20"/>
  <c r="N91" i="20"/>
  <c r="O91" i="20" s="1"/>
  <c r="Q215" i="20"/>
  <c r="N215" i="20"/>
  <c r="O215" i="20" s="1"/>
  <c r="Q152" i="20"/>
  <c r="N152" i="20"/>
  <c r="O152" i="20" s="1"/>
  <c r="Q194" i="20"/>
  <c r="N194" i="20"/>
  <c r="O194" i="20" s="1"/>
  <c r="Q386" i="20"/>
  <c r="N386" i="20"/>
  <c r="O386" i="20" s="1"/>
  <c r="Q543" i="20"/>
  <c r="N543" i="20"/>
  <c r="O543" i="20" s="1"/>
  <c r="Q196" i="20"/>
  <c r="N196" i="20"/>
  <c r="O196" i="20" s="1"/>
  <c r="Q157" i="20"/>
  <c r="N157" i="20"/>
  <c r="O157" i="20" s="1"/>
  <c r="Q425" i="20"/>
  <c r="N425" i="20"/>
  <c r="O425" i="20" s="1"/>
  <c r="Q476" i="20"/>
  <c r="N476" i="20"/>
  <c r="O476" i="20" s="1"/>
  <c r="Q432" i="20"/>
  <c r="N432" i="20"/>
  <c r="O432" i="20" s="1"/>
  <c r="Q467" i="20"/>
  <c r="N467" i="20"/>
  <c r="O467" i="20" s="1"/>
  <c r="Q415" i="20"/>
  <c r="N415" i="20"/>
  <c r="O415" i="20" s="1"/>
  <c r="Q390" i="20"/>
  <c r="N390" i="20"/>
  <c r="O390" i="20" s="1"/>
  <c r="Q367" i="20"/>
  <c r="N367" i="20"/>
  <c r="O367" i="20" s="1"/>
  <c r="Q351" i="20"/>
  <c r="N351" i="20"/>
  <c r="O351" i="20" s="1"/>
  <c r="Q319" i="20"/>
  <c r="N319" i="20"/>
  <c r="O319" i="20" s="1"/>
  <c r="Q529" i="20"/>
  <c r="N529" i="20"/>
  <c r="O529" i="20" s="1"/>
  <c r="Q127" i="20"/>
  <c r="N127" i="20"/>
  <c r="O127" i="20" s="1"/>
  <c r="Q86" i="20"/>
  <c r="N86" i="20"/>
  <c r="O86" i="20" s="1"/>
  <c r="Q58" i="20"/>
  <c r="N58" i="20"/>
  <c r="O58" i="20" s="1"/>
  <c r="Q520" i="20"/>
  <c r="N520" i="20"/>
  <c r="O520" i="20" s="1"/>
  <c r="Q408" i="20"/>
  <c r="N408" i="20"/>
  <c r="O408" i="20" s="1"/>
  <c r="Q318" i="20"/>
  <c r="N318" i="20"/>
  <c r="O318" i="20" s="1"/>
  <c r="Q250" i="20"/>
  <c r="N250" i="20"/>
  <c r="O250" i="20" s="1"/>
  <c r="Q542" i="20"/>
  <c r="N542" i="20"/>
  <c r="O542" i="20" s="1"/>
  <c r="Q482" i="20"/>
  <c r="N482" i="20"/>
  <c r="O482" i="20" s="1"/>
  <c r="Q118" i="20"/>
  <c r="N118" i="20"/>
  <c r="O118" i="20" s="1"/>
  <c r="Q399" i="20"/>
  <c r="N399" i="20"/>
  <c r="O399" i="20" s="1"/>
  <c r="Q114" i="20"/>
  <c r="N114" i="20"/>
  <c r="O114" i="20" s="1"/>
  <c r="Q82" i="20"/>
  <c r="N82" i="20"/>
  <c r="O82" i="20" s="1"/>
  <c r="Q434" i="20"/>
  <c r="N434" i="20"/>
  <c r="O434" i="20" s="1"/>
  <c r="Q400" i="20"/>
  <c r="N400" i="20"/>
  <c r="O400" i="20" s="1"/>
  <c r="Q374" i="20"/>
  <c r="N374" i="20"/>
  <c r="O374" i="20" s="1"/>
  <c r="Q358" i="20"/>
  <c r="N358" i="20"/>
  <c r="O358" i="20" s="1"/>
  <c r="Q342" i="20"/>
  <c r="N342" i="20"/>
  <c r="O342" i="20" s="1"/>
  <c r="Q507" i="20"/>
  <c r="N507" i="20"/>
  <c r="O507" i="20" s="1"/>
  <c r="Q129" i="20"/>
  <c r="N129" i="20"/>
  <c r="O129" i="20" s="1"/>
  <c r="Q88" i="20"/>
  <c r="N88" i="20"/>
  <c r="O88" i="20" s="1"/>
  <c r="Q57" i="20"/>
  <c r="N57" i="20"/>
  <c r="O57" i="20" s="1"/>
  <c r="Q329" i="20"/>
  <c r="N329" i="20"/>
  <c r="O329" i="20" s="1"/>
  <c r="Q536" i="20"/>
  <c r="N536" i="20"/>
  <c r="O536" i="20" s="1"/>
  <c r="Q189" i="20"/>
  <c r="N189" i="20"/>
  <c r="O189" i="20" s="1"/>
  <c r="Q340" i="20"/>
  <c r="N340" i="20"/>
  <c r="O340" i="20" s="1"/>
  <c r="Q544" i="20"/>
  <c r="N544" i="20"/>
  <c r="O544" i="20" s="1"/>
  <c r="Q223" i="20"/>
  <c r="N223" i="20"/>
  <c r="O223" i="20" s="1"/>
  <c r="Q172" i="20"/>
  <c r="N172" i="20"/>
  <c r="O172" i="20" s="1"/>
  <c r="Q410" i="20"/>
  <c r="N410" i="20"/>
  <c r="O410" i="20" s="1"/>
  <c r="Q512" i="20"/>
  <c r="N512" i="20"/>
  <c r="O512" i="20" s="1"/>
  <c r="Q355" i="20"/>
  <c r="N355" i="20"/>
  <c r="O355" i="20" s="1"/>
  <c r="Q97" i="20"/>
  <c r="N97" i="20"/>
  <c r="O97" i="20" s="1"/>
  <c r="Q136" i="20"/>
  <c r="N136" i="20"/>
  <c r="O136" i="20" s="1"/>
  <c r="Q397" i="20"/>
  <c r="N397" i="20"/>
  <c r="O397" i="20" s="1"/>
  <c r="Q272" i="20"/>
  <c r="Q538" i="20"/>
  <c r="N538" i="20"/>
  <c r="O538" i="20" s="1"/>
  <c r="Q456" i="20"/>
  <c r="N456" i="20"/>
  <c r="O456" i="20" s="1"/>
  <c r="Q183" i="20"/>
  <c r="N183" i="20"/>
  <c r="O183" i="20" s="1"/>
  <c r="Q328" i="20"/>
  <c r="N328" i="20"/>
  <c r="O328" i="20" s="1"/>
  <c r="Q175" i="20"/>
  <c r="N175" i="20"/>
  <c r="O175" i="20" s="1"/>
  <c r="Q528" i="20"/>
  <c r="N528" i="20"/>
  <c r="O528" i="20" s="1"/>
  <c r="Q424" i="20"/>
  <c r="N424" i="20"/>
  <c r="O424" i="20" s="1"/>
  <c r="Q533" i="20"/>
  <c r="N533" i="20"/>
  <c r="O533" i="20" s="1"/>
  <c r="Q411" i="20"/>
  <c r="N411" i="20"/>
  <c r="O411" i="20" s="1"/>
  <c r="Q360" i="20"/>
  <c r="N360" i="20"/>
  <c r="O360" i="20" s="1"/>
  <c r="Q344" i="20"/>
  <c r="N344" i="20"/>
  <c r="O344" i="20" s="1"/>
  <c r="Q320" i="20"/>
  <c r="N320" i="20"/>
  <c r="O320" i="20" s="1"/>
  <c r="Q483" i="20"/>
  <c r="N483" i="20"/>
  <c r="O483" i="20" s="1"/>
  <c r="Q125" i="20"/>
  <c r="N125" i="20"/>
  <c r="O125" i="20" s="1"/>
  <c r="Q103" i="20"/>
  <c r="N103" i="20"/>
  <c r="O103" i="20" s="1"/>
  <c r="Q228" i="20"/>
  <c r="N228" i="20"/>
  <c r="O228" i="20" s="1"/>
  <c r="Q131" i="20"/>
  <c r="N131" i="20"/>
  <c r="O131" i="20" s="1"/>
  <c r="Q527" i="20"/>
  <c r="N527" i="20"/>
  <c r="O527" i="20" s="1"/>
  <c r="I768" i="20"/>
  <c r="J768" i="20" s="1"/>
  <c r="Q403" i="20"/>
  <c r="N403" i="20"/>
  <c r="O403" i="20" s="1"/>
  <c r="Q331" i="20"/>
  <c r="N331" i="20"/>
  <c r="O331" i="20" s="1"/>
  <c r="Q298" i="20"/>
  <c r="N298" i="20"/>
  <c r="O298" i="20" s="1"/>
  <c r="Q267" i="20"/>
  <c r="N267" i="20"/>
  <c r="O267" i="20" s="1"/>
  <c r="Q246" i="20"/>
  <c r="N246" i="20"/>
  <c r="O246" i="20" s="1"/>
  <c r="Q532" i="20"/>
  <c r="N532" i="20"/>
  <c r="O532" i="20" s="1"/>
  <c r="Q480" i="20"/>
  <c r="N480" i="20"/>
  <c r="O480" i="20" s="1"/>
  <c r="Q116" i="20"/>
  <c r="N116" i="20"/>
  <c r="O116" i="20" s="1"/>
  <c r="Q81" i="20"/>
  <c r="N81" i="20"/>
  <c r="O81" i="20" s="1"/>
  <c r="Q201" i="20"/>
  <c r="N201" i="20"/>
  <c r="O201" i="20" s="1"/>
  <c r="Q169" i="20"/>
  <c r="N169" i="20"/>
  <c r="O169" i="20" s="1"/>
  <c r="I73" i="20"/>
  <c r="J73" i="20" s="1"/>
  <c r="Q521" i="20"/>
  <c r="N521" i="20"/>
  <c r="O521" i="20" s="1"/>
  <c r="Q198" i="20"/>
  <c r="N198" i="20"/>
  <c r="O198" i="20" s="1"/>
  <c r="Q166" i="20"/>
  <c r="N166" i="20"/>
  <c r="O166" i="20" s="1"/>
  <c r="Q341" i="20"/>
  <c r="N341" i="20"/>
  <c r="O341" i="20" s="1"/>
  <c r="Q202" i="20"/>
  <c r="N202" i="20"/>
  <c r="O202" i="20" s="1"/>
  <c r="Q297" i="20"/>
  <c r="N297" i="20"/>
  <c r="O297" i="20" s="1"/>
  <c r="Q266" i="20"/>
  <c r="N266" i="20"/>
  <c r="O266" i="20" s="1"/>
  <c r="Q195" i="20"/>
  <c r="N195" i="20"/>
  <c r="O195" i="20" s="1"/>
  <c r="Q296" i="20"/>
  <c r="N296" i="20"/>
  <c r="O296" i="20" s="1"/>
  <c r="Q547" i="20"/>
  <c r="N547" i="20"/>
  <c r="O547" i="20" s="1"/>
  <c r="Q155" i="20"/>
  <c r="N155" i="20"/>
  <c r="O155" i="20" s="1"/>
  <c r="Q531" i="20"/>
  <c r="N531" i="20"/>
  <c r="O531" i="20" s="1"/>
  <c r="Q168" i="20"/>
  <c r="N168" i="20"/>
  <c r="O168" i="20" s="1"/>
  <c r="Q387" i="20"/>
  <c r="N387" i="20"/>
  <c r="O387" i="20" s="1"/>
  <c r="Q530" i="20"/>
  <c r="N530" i="20"/>
  <c r="O530" i="20" s="1"/>
  <c r="Q207" i="20"/>
  <c r="N207" i="20"/>
  <c r="O207" i="20" s="1"/>
  <c r="Q178" i="20"/>
  <c r="N178" i="20"/>
  <c r="O178" i="20" s="1"/>
  <c r="Q220" i="20"/>
  <c r="N220" i="20"/>
  <c r="O220" i="20" s="1"/>
  <c r="Q149" i="20"/>
  <c r="N149" i="20"/>
  <c r="O149" i="20" s="1"/>
  <c r="Q388" i="20"/>
  <c r="N388" i="20"/>
  <c r="O388" i="20" s="1"/>
  <c r="Q126" i="20"/>
  <c r="N126" i="20"/>
  <c r="O126" i="20" s="1"/>
  <c r="Q76" i="20"/>
  <c r="N76" i="20"/>
  <c r="O76" i="20" s="1"/>
  <c r="Q162" i="20"/>
  <c r="N162" i="20"/>
  <c r="O162" i="20" s="1"/>
  <c r="Q273" i="20"/>
  <c r="N273" i="20"/>
  <c r="O273" i="20" s="1"/>
  <c r="Q462" i="20"/>
  <c r="N462" i="20"/>
  <c r="O462" i="20" s="1"/>
  <c r="Q353" i="20"/>
  <c r="N353" i="20"/>
  <c r="O353" i="20" s="1"/>
  <c r="Q107" i="20"/>
  <c r="N107" i="20"/>
  <c r="O107" i="20" s="1"/>
  <c r="Q64" i="20"/>
  <c r="N64" i="20"/>
  <c r="O64" i="20" s="1"/>
  <c r="Q409" i="20"/>
  <c r="N409" i="20"/>
  <c r="O409" i="20" s="1"/>
  <c r="Q380" i="20"/>
  <c r="N380" i="20"/>
  <c r="O380" i="20" s="1"/>
  <c r="Q363" i="20"/>
  <c r="N363" i="20"/>
  <c r="O363" i="20" s="1"/>
  <c r="Q347" i="20"/>
  <c r="N347" i="20"/>
  <c r="O347" i="20" s="1"/>
  <c r="Q302" i="20"/>
  <c r="N302" i="20"/>
  <c r="O302" i="20" s="1"/>
  <c r="Q471" i="20"/>
  <c r="N471" i="20"/>
  <c r="O471" i="20" s="1"/>
  <c r="Q121" i="20"/>
  <c r="N121" i="20"/>
  <c r="O121" i="20" s="1"/>
  <c r="Q237" i="20"/>
  <c r="Q137" i="20"/>
  <c r="N137" i="20"/>
  <c r="O137" i="20" s="1"/>
  <c r="Q484" i="20"/>
  <c r="N484" i="20"/>
  <c r="O484" i="20" s="1"/>
  <c r="Q197" i="20"/>
  <c r="N197" i="20"/>
  <c r="O197" i="20" s="1"/>
  <c r="Q401" i="20"/>
  <c r="N401" i="20"/>
  <c r="O401" i="20" s="1"/>
  <c r="Q314" i="20"/>
  <c r="N314" i="20"/>
  <c r="O314" i="20" s="1"/>
  <c r="Q245" i="20"/>
  <c r="Q534" i="20"/>
  <c r="N534" i="20"/>
  <c r="O534" i="20" s="1"/>
  <c r="Q474" i="20"/>
  <c r="N474" i="20"/>
  <c r="O474" i="20" s="1"/>
  <c r="Q108" i="20"/>
  <c r="N108" i="20"/>
  <c r="O108" i="20" s="1"/>
  <c r="Q227" i="20"/>
  <c r="N227" i="20"/>
  <c r="O227" i="20" s="1"/>
  <c r="Q165" i="20"/>
  <c r="N165" i="20"/>
  <c r="O165" i="20" s="1"/>
  <c r="Q150" i="20"/>
  <c r="N150" i="20"/>
  <c r="O150" i="20" s="1"/>
  <c r="Q426" i="20"/>
  <c r="N426" i="20"/>
  <c r="O426" i="20" s="1"/>
  <c r="Q393" i="20"/>
  <c r="N393" i="20"/>
  <c r="O393" i="20" s="1"/>
  <c r="Q370" i="20"/>
  <c r="N370" i="20"/>
  <c r="O370" i="20" s="1"/>
  <c r="Q354" i="20"/>
  <c r="N354" i="20"/>
  <c r="O354" i="20" s="1"/>
  <c r="Q322" i="20"/>
  <c r="N322" i="20"/>
  <c r="O322" i="20" s="1"/>
  <c r="Q479" i="20"/>
  <c r="N479" i="20"/>
  <c r="O479" i="20" s="1"/>
  <c r="Q123" i="20"/>
  <c r="N123" i="20"/>
  <c r="O123" i="20" s="1"/>
  <c r="Q80" i="20"/>
  <c r="N80" i="20"/>
  <c r="O80" i="20" s="1"/>
  <c r="Q200" i="20"/>
  <c r="N200" i="20"/>
  <c r="O200" i="20" s="1"/>
  <c r="Q139" i="20"/>
  <c r="N139" i="20"/>
  <c r="O139" i="20" s="1"/>
  <c r="Q300" i="20"/>
  <c r="N300" i="20"/>
  <c r="O300" i="20" s="1"/>
  <c r="Q120" i="20"/>
  <c r="N120" i="20"/>
  <c r="O120" i="20" s="1"/>
  <c r="Q173" i="20"/>
  <c r="N173" i="20"/>
  <c r="O173" i="20" s="1"/>
  <c r="Q334" i="20"/>
  <c r="N334" i="20"/>
  <c r="O334" i="20" s="1"/>
  <c r="I635" i="19"/>
  <c r="J635" i="19" s="1"/>
  <c r="L635" i="19" s="1"/>
  <c r="J199" i="19"/>
  <c r="L199" i="19" s="1"/>
  <c r="I198" i="19"/>
  <c r="J198" i="19" s="1"/>
  <c r="L198" i="19" s="1"/>
  <c r="J363" i="19"/>
  <c r="L363" i="19" s="1"/>
  <c r="I446" i="19"/>
  <c r="J446" i="19" s="1"/>
  <c r="L446" i="19" s="1"/>
  <c r="I243" i="20"/>
  <c r="J243" i="20" s="1"/>
  <c r="J244" i="20"/>
  <c r="J453" i="20"/>
  <c r="J448" i="19"/>
  <c r="I574" i="19"/>
  <c r="J574" i="19" s="1"/>
  <c r="J28" i="19"/>
  <c r="L28" i="19" s="1"/>
  <c r="I41" i="19"/>
  <c r="J41" i="19" s="1"/>
  <c r="L41" i="19" s="1"/>
  <c r="J43" i="19"/>
  <c r="L43" i="19" s="1"/>
  <c r="I197" i="19"/>
  <c r="J197" i="19" s="1"/>
  <c r="L197" i="19" s="1"/>
  <c r="J563" i="20"/>
  <c r="J26" i="20"/>
  <c r="J75" i="20"/>
  <c r="H254" i="21" l="1"/>
  <c r="O254" i="21" s="1"/>
  <c r="O249" i="21" s="1"/>
  <c r="VQQ247" i="20"/>
  <c r="VQM247" i="20" s="1"/>
  <c r="VQI247" i="20" s="1"/>
  <c r="VQE247" i="20" s="1"/>
  <c r="VQP247" i="20"/>
  <c r="Q251" i="21"/>
  <c r="O229" i="21"/>
  <c r="O28" i="21"/>
  <c r="K243" i="20"/>
  <c r="L243" i="20" s="1"/>
  <c r="N243" i="20" s="1"/>
  <c r="H206" i="21"/>
  <c r="O206" i="21" s="1"/>
  <c r="O205" i="21" s="1"/>
  <c r="N563" i="20"/>
  <c r="K452" i="20"/>
  <c r="K562" i="20"/>
  <c r="L562" i="20" s="1"/>
  <c r="Q243" i="20"/>
  <c r="I25" i="20"/>
  <c r="J25" i="20" s="1"/>
  <c r="K242" i="20"/>
  <c r="L242" i="20" s="1"/>
  <c r="N242" i="20" s="1"/>
  <c r="O242" i="20" s="1"/>
  <c r="K25" i="20"/>
  <c r="L25" i="20" s="1"/>
  <c r="N768" i="20"/>
  <c r="Q242" i="20"/>
  <c r="Q75" i="20"/>
  <c r="N75" i="20"/>
  <c r="O75" i="20" s="1"/>
  <c r="Q73" i="20"/>
  <c r="N73" i="20"/>
  <c r="O73" i="20" s="1"/>
  <c r="Q26" i="20"/>
  <c r="N26" i="20"/>
  <c r="O26" i="20" s="1"/>
  <c r="Q561" i="20"/>
  <c r="N561" i="20"/>
  <c r="O561" i="20" s="1"/>
  <c r="Q453" i="20"/>
  <c r="N453" i="20"/>
  <c r="O453" i="20" s="1"/>
  <c r="Q244" i="20"/>
  <c r="N244" i="20"/>
  <c r="O244" i="20" s="1"/>
  <c r="I583" i="19"/>
  <c r="I581" i="19" s="1"/>
  <c r="I362" i="19"/>
  <c r="J362" i="19" s="1"/>
  <c r="L362" i="19" s="1"/>
  <c r="I42" i="19"/>
  <c r="J42" i="19" s="1"/>
  <c r="L42" i="19" s="1"/>
  <c r="I562" i="20"/>
  <c r="J562" i="20" s="1"/>
  <c r="I447" i="19"/>
  <c r="J447" i="19" s="1"/>
  <c r="L447" i="19" s="1"/>
  <c r="I27" i="19"/>
  <c r="I74" i="20"/>
  <c r="J74" i="20" s="1"/>
  <c r="I452" i="20"/>
  <c r="J452" i="20" s="1"/>
  <c r="VQL247" i="20" l="1"/>
  <c r="VQH247" i="20" s="1"/>
  <c r="VQD247" i="20" s="1"/>
  <c r="VPZ247" i="20" s="1"/>
  <c r="VQK247" i="20"/>
  <c r="L452" i="20"/>
  <c r="N452" i="20" s="1"/>
  <c r="Q562" i="20"/>
  <c r="N562" i="20"/>
  <c r="Q452" i="20"/>
  <c r="Q74" i="20"/>
  <c r="K74" i="20"/>
  <c r="L74" i="20" s="1"/>
  <c r="N74" i="20" s="1"/>
  <c r="N25" i="20"/>
  <c r="J583" i="19"/>
  <c r="L583" i="19" s="1"/>
  <c r="J27" i="19"/>
  <c r="I25" i="19"/>
  <c r="J24" i="20"/>
  <c r="J770" i="20" s="1"/>
  <c r="Q25" i="20"/>
  <c r="I24" i="20"/>
  <c r="VQG247" i="20" l="1"/>
  <c r="VQC247" i="20" s="1"/>
  <c r="VPY247" i="20" s="1"/>
  <c r="VPU247" i="20" s="1"/>
  <c r="VQF247" i="20"/>
  <c r="K24" i="20"/>
  <c r="L24" i="20"/>
  <c r="L770" i="20" s="1"/>
  <c r="J581" i="19"/>
  <c r="J25" i="19"/>
  <c r="L27" i="19"/>
  <c r="A222" i="4"/>
  <c r="A221" i="4"/>
  <c r="A220" i="4"/>
  <c r="A219" i="4"/>
  <c r="A218" i="4"/>
  <c r="A217" i="4"/>
  <c r="A216" i="4"/>
  <c r="A215" i="4"/>
  <c r="A214" i="4"/>
  <c r="A213" i="4"/>
  <c r="A212" i="4"/>
  <c r="A211" i="4"/>
  <c r="A210" i="4"/>
  <c r="A203" i="4"/>
  <c r="A202" i="4"/>
  <c r="A201" i="4"/>
  <c r="A200" i="4"/>
  <c r="A199" i="4"/>
  <c r="A198" i="4"/>
  <c r="A197" i="4"/>
  <c r="A196" i="4"/>
  <c r="A195" i="4"/>
  <c r="A194" i="4"/>
  <c r="A193" i="4"/>
  <c r="A190" i="4"/>
  <c r="A189" i="4"/>
  <c r="A188" i="4"/>
  <c r="A185" i="4"/>
  <c r="A184" i="4"/>
  <c r="A183" i="4"/>
  <c r="A182" i="4"/>
  <c r="A181" i="4"/>
  <c r="A180" i="4"/>
  <c r="A179" i="4"/>
  <c r="A178" i="4"/>
  <c r="A177" i="4"/>
  <c r="A176" i="4"/>
  <c r="A175" i="4"/>
  <c r="A174" i="4"/>
  <c r="A173" i="4"/>
  <c r="A172" i="4"/>
  <c r="A171" i="4"/>
  <c r="A170" i="4"/>
  <c r="A169" i="4"/>
  <c r="A168" i="4"/>
  <c r="A167" i="4"/>
  <c r="A166" i="4"/>
  <c r="A165" i="4"/>
  <c r="A164" i="4"/>
  <c r="A163" i="4"/>
  <c r="A162" i="4"/>
  <c r="A161" i="4"/>
  <c r="A160" i="4"/>
  <c r="A159" i="4"/>
  <c r="A158" i="4"/>
  <c r="A157" i="4"/>
  <c r="A156" i="4"/>
  <c r="A155" i="4"/>
  <c r="A154" i="4"/>
  <c r="A153" i="4"/>
  <c r="A152" i="4"/>
  <c r="A151" i="4"/>
  <c r="A150" i="4"/>
  <c r="A149" i="4"/>
  <c r="A148" i="4"/>
  <c r="A147" i="4"/>
  <c r="A146" i="4"/>
  <c r="A145" i="4"/>
  <c r="A144" i="4"/>
  <c r="A143" i="4"/>
  <c r="A142" i="4"/>
  <c r="A141" i="4"/>
  <c r="A140" i="4"/>
  <c r="A139" i="4"/>
  <c r="A138" i="4"/>
  <c r="A137" i="4"/>
  <c r="A136" i="4"/>
  <c r="A135" i="4"/>
  <c r="A134" i="4"/>
  <c r="A133" i="4"/>
  <c r="A132" i="4"/>
  <c r="A131" i="4"/>
  <c r="A130" i="4"/>
  <c r="A129" i="4"/>
  <c r="A128" i="4"/>
  <c r="A127" i="4"/>
  <c r="A126" i="4"/>
  <c r="A123" i="4"/>
  <c r="A120" i="4"/>
  <c r="A119" i="4"/>
  <c r="A118" i="4"/>
  <c r="A115" i="4"/>
  <c r="A114" i="4"/>
  <c r="A113" i="4"/>
  <c r="A111" i="4"/>
  <c r="A110" i="4"/>
  <c r="A108" i="4"/>
  <c r="A107" i="4"/>
  <c r="A106" i="4"/>
  <c r="A105" i="4"/>
  <c r="A104" i="4"/>
  <c r="A103" i="4"/>
  <c r="A102" i="4"/>
  <c r="A101" i="4"/>
  <c r="A100" i="4"/>
  <c r="A99" i="4"/>
  <c r="A98" i="4"/>
  <c r="A97" i="4"/>
  <c r="A96" i="4"/>
  <c r="A95" i="4"/>
  <c r="A94" i="4"/>
  <c r="A93" i="4"/>
  <c r="A92" i="4"/>
  <c r="A91" i="4"/>
  <c r="A90" i="4"/>
  <c r="A89" i="4"/>
  <c r="A88" i="4"/>
  <c r="A87" i="4"/>
  <c r="A86" i="4"/>
  <c r="A85" i="4"/>
  <c r="A84" i="4"/>
  <c r="A83" i="4"/>
  <c r="A82" i="4"/>
  <c r="A78" i="4"/>
  <c r="A77" i="4"/>
  <c r="A74" i="4"/>
  <c r="A73" i="4"/>
  <c r="A72" i="4"/>
  <c r="A71" i="4"/>
  <c r="A70" i="4"/>
  <c r="A67" i="4"/>
  <c r="A66" i="4"/>
  <c r="A65" i="4"/>
  <c r="A64" i="4"/>
  <c r="A63" i="4"/>
  <c r="A62" i="4"/>
  <c r="A61" i="4"/>
  <c r="A59" i="4"/>
  <c r="A58" i="4"/>
  <c r="A57" i="4"/>
  <c r="A56" i="4"/>
  <c r="A54" i="4"/>
  <c r="A53" i="4"/>
  <c r="A52" i="4"/>
  <c r="A51" i="4"/>
  <c r="A50" i="4"/>
  <c r="A49" i="4"/>
  <c r="A48" i="4"/>
  <c r="A47" i="4"/>
  <c r="A46" i="4"/>
  <c r="A45" i="4"/>
  <c r="A44" i="4"/>
  <c r="A43" i="4"/>
  <c r="A42" i="4"/>
  <c r="A41" i="4"/>
  <c r="A40" i="4"/>
  <c r="A39" i="4"/>
  <c r="A38" i="4"/>
  <c r="A37" i="4"/>
  <c r="A36" i="4"/>
  <c r="A35" i="4"/>
  <c r="A34" i="4"/>
  <c r="A33" i="4"/>
  <c r="A32" i="4"/>
  <c r="A31" i="4"/>
  <c r="A30" i="4"/>
  <c r="A29" i="4"/>
  <c r="A28" i="4"/>
  <c r="A27" i="4"/>
  <c r="A26" i="4"/>
  <c r="A25" i="4"/>
  <c r="A24" i="4"/>
  <c r="A23" i="4"/>
  <c r="A22" i="4"/>
  <c r="A21" i="4"/>
  <c r="A20" i="4"/>
  <c r="A18" i="4"/>
  <c r="A17" i="4"/>
  <c r="A16" i="4"/>
  <c r="A15" i="4"/>
  <c r="A14" i="4"/>
  <c r="A13" i="4"/>
  <c r="A12" i="4"/>
  <c r="A11" i="4"/>
  <c r="A10" i="4"/>
  <c r="A9" i="4"/>
  <c r="A8" i="4"/>
  <c r="A7" i="4"/>
  <c r="A6" i="4"/>
  <c r="A5" i="4"/>
  <c r="A4" i="4"/>
  <c r="A3" i="4"/>
  <c r="A2" i="4"/>
  <c r="VQB247" i="20" l="1"/>
  <c r="VPX247" i="20" s="1"/>
  <c r="VPT247" i="20" s="1"/>
  <c r="VPP247" i="20" s="1"/>
  <c r="VQA247" i="20"/>
  <c r="N24" i="20"/>
  <c r="N770" i="20" s="1"/>
  <c r="BO12" i="20"/>
  <c r="BO9" i="20"/>
  <c r="BV16" i="21"/>
  <c r="BP13" i="20"/>
  <c r="BP12" i="20" s="1"/>
  <c r="VPW247" i="20" l="1"/>
  <c r="VPS247" i="20" s="1"/>
  <c r="VPO247" i="20" s="1"/>
  <c r="VPK247" i="20" s="1"/>
  <c r="VPV247" i="20"/>
  <c r="BV15" i="21"/>
  <c r="BW16" i="21"/>
  <c r="BQ13" i="20"/>
  <c r="BP9" i="20"/>
  <c r="VPR247" i="20" l="1"/>
  <c r="VPN247" i="20" s="1"/>
  <c r="VPJ247" i="20" s="1"/>
  <c r="VPF247" i="20" s="1"/>
  <c r="VPQ247" i="20"/>
  <c r="BX16" i="21"/>
  <c r="BW15" i="21"/>
  <c r="BQ12" i="20"/>
  <c r="BQ9" i="20"/>
  <c r="BR13" i="20"/>
  <c r="VPM247" i="20" l="1"/>
  <c r="VPI247" i="20" s="1"/>
  <c r="VPE247" i="20" s="1"/>
  <c r="VPA247" i="20" s="1"/>
  <c r="VPL247" i="20"/>
  <c r="BX15" i="21"/>
  <c r="BY16" i="21"/>
  <c r="BR9" i="20"/>
  <c r="BS13" i="20"/>
  <c r="BR12" i="20"/>
  <c r="VPH247" i="20" l="1"/>
  <c r="VPD247" i="20" s="1"/>
  <c r="VOZ247" i="20" s="1"/>
  <c r="VOV247" i="20" s="1"/>
  <c r="VPG247" i="20"/>
  <c r="BZ16" i="21"/>
  <c r="BY15" i="21"/>
  <c r="BT13" i="20"/>
  <c r="BS12" i="20"/>
  <c r="BS9" i="20"/>
  <c r="VPC247" i="20" l="1"/>
  <c r="VOY247" i="20" s="1"/>
  <c r="VOU247" i="20" s="1"/>
  <c r="VOQ247" i="20" s="1"/>
  <c r="VPB247" i="20"/>
  <c r="BZ15" i="21"/>
  <c r="CA16" i="21"/>
  <c r="BT12" i="20"/>
  <c r="BU13" i="20"/>
  <c r="BT9" i="20"/>
  <c r="VOX247" i="20" l="1"/>
  <c r="VOT247" i="20" s="1"/>
  <c r="VOP247" i="20" s="1"/>
  <c r="VOL247" i="20" s="1"/>
  <c r="VOW247" i="20"/>
  <c r="CB16" i="21"/>
  <c r="CA15" i="21"/>
  <c r="BU12" i="20"/>
  <c r="BU9" i="20"/>
  <c r="BV13" i="20"/>
  <c r="VOS247" i="20" l="1"/>
  <c r="VOO247" i="20" s="1"/>
  <c r="VOK247" i="20" s="1"/>
  <c r="VOG247" i="20" s="1"/>
  <c r="VOR247" i="20"/>
  <c r="CB15" i="21"/>
  <c r="CC16" i="21"/>
  <c r="BW13" i="20"/>
  <c r="BV12" i="20"/>
  <c r="BV9" i="20"/>
  <c r="VON247" i="20" l="1"/>
  <c r="VOJ247" i="20" s="1"/>
  <c r="VOF247" i="20" s="1"/>
  <c r="VOB247" i="20" s="1"/>
  <c r="VOM247" i="20"/>
  <c r="CC15" i="21"/>
  <c r="CD16" i="21"/>
  <c r="BX13" i="20"/>
  <c r="BW12" i="20"/>
  <c r="BW9" i="20"/>
  <c r="VOI247" i="20" l="1"/>
  <c r="VOE247" i="20" s="1"/>
  <c r="VOA247" i="20" s="1"/>
  <c r="VNW247" i="20" s="1"/>
  <c r="VOH247" i="20"/>
  <c r="CD15" i="21"/>
  <c r="CE16" i="21"/>
  <c r="BX12" i="20"/>
  <c r="BX9" i="20"/>
  <c r="BY13" i="20"/>
  <c r="VOD247" i="20" l="1"/>
  <c r="VNZ247" i="20" s="1"/>
  <c r="VNV247" i="20" s="1"/>
  <c r="VNR247" i="20" s="1"/>
  <c r="VOC247" i="20"/>
  <c r="CE15" i="21"/>
  <c r="CF16" i="21"/>
  <c r="BZ13" i="20"/>
  <c r="BY12" i="20"/>
  <c r="BY9" i="20"/>
  <c r="VNY247" i="20" l="1"/>
  <c r="VNU247" i="20" s="1"/>
  <c r="VNQ247" i="20" s="1"/>
  <c r="VNM247" i="20" s="1"/>
  <c r="VNX247" i="20"/>
  <c r="CG16" i="21"/>
  <c r="CF15" i="21"/>
  <c r="BZ9" i="20"/>
  <c r="CA13" i="20"/>
  <c r="BZ12" i="20"/>
  <c r="VNT247" i="20" l="1"/>
  <c r="VNP247" i="20" s="1"/>
  <c r="VNL247" i="20" s="1"/>
  <c r="VNH247" i="20" s="1"/>
  <c r="VNS247" i="20"/>
  <c r="CH16" i="21"/>
  <c r="CG15" i="21"/>
  <c r="CB13" i="20"/>
  <c r="CA12" i="20"/>
  <c r="CA9" i="20"/>
  <c r="VNO247" i="20" l="1"/>
  <c r="VNK247" i="20" s="1"/>
  <c r="VNG247" i="20" s="1"/>
  <c r="VNC247" i="20" s="1"/>
  <c r="VNN247" i="20"/>
  <c r="CI16" i="21"/>
  <c r="M254" i="21" s="1" a="1"/>
  <c r="M254" i="21" s="1"/>
  <c r="CH15" i="21"/>
  <c r="N102" i="21" a="1"/>
  <c r="N102" i="21" s="1"/>
  <c r="L85" i="21" a="1"/>
  <c r="L85" i="21" s="1"/>
  <c r="N88" i="21" a="1"/>
  <c r="N88" i="21" s="1"/>
  <c r="N50" i="21" a="1"/>
  <c r="N50" i="21" s="1"/>
  <c r="L62" i="21" a="1"/>
  <c r="L62" i="21" s="1"/>
  <c r="L68" i="21" a="1"/>
  <c r="L68" i="21" s="1"/>
  <c r="M48" i="21" a="1"/>
  <c r="M48" i="21" s="1"/>
  <c r="L101" i="21" a="1"/>
  <c r="L101" i="21" s="1"/>
  <c r="M101" i="21" a="1"/>
  <c r="M101" i="21" s="1"/>
  <c r="L219" i="21" a="1"/>
  <c r="L219" i="21" s="1"/>
  <c r="M91" i="21" a="1"/>
  <c r="M91" i="21" s="1"/>
  <c r="M52" i="21" a="1"/>
  <c r="M52" i="21" s="1"/>
  <c r="L125" i="21" a="1"/>
  <c r="L125" i="21" s="1"/>
  <c r="M25" i="21" a="1"/>
  <c r="M25" i="21" s="1"/>
  <c r="L162" i="21" a="1"/>
  <c r="L162" i="21" s="1"/>
  <c r="L151" i="21" a="1"/>
  <c r="L151" i="21" s="1"/>
  <c r="L57" i="21" a="1"/>
  <c r="L57" i="21" s="1"/>
  <c r="M120" i="21" a="1"/>
  <c r="M120" i="21" s="1"/>
  <c r="L82" i="21" a="1"/>
  <c r="L82" i="21" s="1"/>
  <c r="L195" i="21" a="1"/>
  <c r="L195" i="21" s="1"/>
  <c r="L188" i="21" a="1"/>
  <c r="L188" i="21" s="1"/>
  <c r="M18" i="21" a="1"/>
  <c r="M18" i="21" s="1"/>
  <c r="M17" i="21" s="1"/>
  <c r="L157" i="21" a="1"/>
  <c r="L157" i="21" s="1"/>
  <c r="M154" i="21" a="1"/>
  <c r="M154" i="21" s="1"/>
  <c r="L185" i="21" a="1"/>
  <c r="L185" i="21" s="1"/>
  <c r="M183" i="21" a="1"/>
  <c r="M183" i="21" s="1"/>
  <c r="L120" i="21" a="1"/>
  <c r="L120" i="21" s="1"/>
  <c r="L53" i="21" a="1"/>
  <c r="L53" i="21" s="1"/>
  <c r="M111" i="21" a="1"/>
  <c r="M111" i="21" s="1"/>
  <c r="L155" i="21" a="1"/>
  <c r="L155" i="21" s="1"/>
  <c r="M196" i="21" a="1"/>
  <c r="M196" i="21" s="1"/>
  <c r="M117" i="21" a="1"/>
  <c r="M117" i="21" s="1"/>
  <c r="L164" i="21" a="1"/>
  <c r="L164" i="21" s="1"/>
  <c r="L191" i="21" a="1"/>
  <c r="L191" i="21" s="1"/>
  <c r="M118" i="21" a="1"/>
  <c r="M118" i="21" s="1"/>
  <c r="M166" i="21" a="1"/>
  <c r="M166" i="21" s="1"/>
  <c r="M89" i="21" a="1"/>
  <c r="M89" i="21" s="1"/>
  <c r="L22" i="21" a="1"/>
  <c r="L22" i="21" s="1"/>
  <c r="M113" i="21" a="1"/>
  <c r="M113" i="21" s="1"/>
  <c r="M90" i="21" a="1"/>
  <c r="M90" i="21" s="1"/>
  <c r="L55" i="21" a="1"/>
  <c r="L55" i="21" s="1"/>
  <c r="L143" i="21" a="1"/>
  <c r="L143" i="21" s="1"/>
  <c r="M222" i="21" a="1"/>
  <c r="M222" i="21" s="1"/>
  <c r="L192" i="21" a="1"/>
  <c r="L192" i="21" s="1"/>
  <c r="M54" i="21" a="1"/>
  <c r="M54" i="21" s="1"/>
  <c r="L21" i="21" a="1"/>
  <c r="L21" i="21" s="1"/>
  <c r="L194" i="21" a="1"/>
  <c r="L194" i="21" s="1"/>
  <c r="M125" i="21" a="1"/>
  <c r="M125" i="21" s="1"/>
  <c r="M140" i="21" a="1"/>
  <c r="M140" i="21" s="1"/>
  <c r="M142" i="21" a="1"/>
  <c r="M142" i="21" s="1"/>
  <c r="M175" i="21" a="1"/>
  <c r="M175" i="21" s="1"/>
  <c r="M174" i="21" s="1"/>
  <c r="L140" i="21" a="1"/>
  <c r="L140" i="21" s="1"/>
  <c r="L175" i="21" a="1"/>
  <c r="L175" i="21" s="1"/>
  <c r="L97" i="21" a="1"/>
  <c r="L97" i="21" s="1"/>
  <c r="L181" i="21" a="1"/>
  <c r="L181" i="21" s="1"/>
  <c r="M143" i="21" a="1"/>
  <c r="M143" i="21" s="1"/>
  <c r="M112" i="21" a="1"/>
  <c r="M112" i="21" s="1"/>
  <c r="L27" i="21" a="1"/>
  <c r="L27" i="21" s="1"/>
  <c r="M122" i="21" a="1"/>
  <c r="M122" i="21" s="1"/>
  <c r="M121" i="21" s="1"/>
  <c r="L26" i="21" a="1"/>
  <c r="L26" i="21" s="1"/>
  <c r="L163" i="21" a="1"/>
  <c r="L163" i="21" s="1"/>
  <c r="M162" i="21" a="1"/>
  <c r="M162" i="21" s="1"/>
  <c r="M153" i="21" a="1"/>
  <c r="M153" i="21" s="1"/>
  <c r="M155" i="21" a="1"/>
  <c r="M155" i="21" s="1"/>
  <c r="M164" i="21" a="1"/>
  <c r="M164" i="21" s="1"/>
  <c r="L170" i="21" a="1"/>
  <c r="L170" i="21" s="1"/>
  <c r="L154" i="21" a="1"/>
  <c r="L154" i="21" s="1"/>
  <c r="M241" i="21" a="1"/>
  <c r="M241" i="21" s="1"/>
  <c r="M41" i="21" a="1"/>
  <c r="M41" i="21" s="1"/>
  <c r="M240" i="21" a="1"/>
  <c r="M240" i="21" s="1"/>
  <c r="L41" i="21" a="1"/>
  <c r="L41" i="21" s="1"/>
  <c r="L245" i="21" a="1"/>
  <c r="L245" i="21" s="1"/>
  <c r="L38" i="21" a="1"/>
  <c r="L38" i="21" s="1"/>
  <c r="M208" i="21" a="1"/>
  <c r="M208" i="21" s="1"/>
  <c r="L36" i="21" a="1"/>
  <c r="L36" i="21" s="1"/>
  <c r="M235" i="21" a="1"/>
  <c r="M235" i="21" s="1"/>
  <c r="L32" i="21" a="1"/>
  <c r="L32" i="21" s="1"/>
  <c r="M32" i="21" a="1"/>
  <c r="M32" i="21" s="1"/>
  <c r="M31" i="21" a="1"/>
  <c r="M31" i="21" s="1"/>
  <c r="M37" i="21" a="1"/>
  <c r="M37" i="21" s="1"/>
  <c r="L233" i="21" a="1"/>
  <c r="L233" i="21" s="1"/>
  <c r="M246" i="21" a="1"/>
  <c r="M246" i="21" s="1"/>
  <c r="L234" i="21" a="1"/>
  <c r="L234" i="21" s="1"/>
  <c r="L43" i="21" a="1"/>
  <c r="L43" i="21" s="1"/>
  <c r="L29" i="21" a="1"/>
  <c r="L29" i="21" s="1"/>
  <c r="M40" i="21" a="1"/>
  <c r="M40" i="21" s="1"/>
  <c r="L208" i="21" a="1"/>
  <c r="L208" i="21" s="1"/>
  <c r="L243" i="21" a="1"/>
  <c r="L243" i="21" s="1"/>
  <c r="L42" i="21" a="1"/>
  <c r="L42" i="21" s="1"/>
  <c r="M42" i="21" a="1"/>
  <c r="M42" i="21" s="1"/>
  <c r="L40" i="21" a="1"/>
  <c r="L40" i="21" s="1"/>
  <c r="M33" i="21" a="1"/>
  <c r="M33" i="21" s="1"/>
  <c r="M245" i="21" a="1"/>
  <c r="M245" i="21" s="1"/>
  <c r="M43" i="21" a="1"/>
  <c r="M43" i="21" s="1"/>
  <c r="M231" i="21" a="1"/>
  <c r="M231" i="21" s="1"/>
  <c r="L232" i="21" a="1"/>
  <c r="L232" i="21" s="1"/>
  <c r="L31" i="21" a="1"/>
  <c r="L31" i="21" s="1"/>
  <c r="M243" i="21" a="1"/>
  <c r="M243" i="21" s="1"/>
  <c r="M242" i="21" a="1"/>
  <c r="M242" i="21" s="1"/>
  <c r="M234" i="21" a="1"/>
  <c r="M234" i="21" s="1"/>
  <c r="L241" i="21" a="1"/>
  <c r="L241" i="21" s="1"/>
  <c r="M34" i="21" a="1"/>
  <c r="M34" i="21" s="1"/>
  <c r="L235" i="21" a="1"/>
  <c r="L235" i="21" s="1"/>
  <c r="L240" i="21" a="1"/>
  <c r="L240" i="21" s="1"/>
  <c r="M237" i="21" a="1"/>
  <c r="M237" i="21" s="1"/>
  <c r="L236" i="21" a="1"/>
  <c r="L236" i="21" s="1"/>
  <c r="M244" i="21" a="1"/>
  <c r="M244" i="21" s="1"/>
  <c r="M230" i="21" a="1"/>
  <c r="M230" i="21" s="1"/>
  <c r="M207" i="21" a="1"/>
  <c r="M207" i="21" s="1"/>
  <c r="L238" i="21" a="1"/>
  <c r="L238" i="21" s="1"/>
  <c r="L37" i="21" a="1"/>
  <c r="L37" i="21" s="1"/>
  <c r="L239" i="21" a="1"/>
  <c r="L239" i="21" s="1"/>
  <c r="M232" i="21" a="1"/>
  <c r="M232" i="21" s="1"/>
  <c r="M39" i="21" a="1"/>
  <c r="M39" i="21" s="1"/>
  <c r="L231" i="21" a="1"/>
  <c r="L231" i="21" s="1"/>
  <c r="M209" i="21" a="1"/>
  <c r="M209" i="21" s="1"/>
  <c r="L215" i="21" a="1"/>
  <c r="L215" i="21" s="1"/>
  <c r="M238" i="21" a="1"/>
  <c r="M238" i="21" s="1"/>
  <c r="M247" i="21" a="1"/>
  <c r="M247" i="21" s="1"/>
  <c r="M36" i="21" a="1"/>
  <c r="M36" i="21" s="1"/>
  <c r="L244" i="21" a="1"/>
  <c r="L244" i="21" s="1"/>
  <c r="L237" i="21" a="1"/>
  <c r="L237" i="21" s="1"/>
  <c r="M38" i="21" a="1"/>
  <c r="M38" i="21" s="1"/>
  <c r="L247" i="21" a="1"/>
  <c r="L247" i="21" s="1"/>
  <c r="M239" i="21" a="1"/>
  <c r="M239" i="21" s="1"/>
  <c r="L33" i="21" a="1"/>
  <c r="L33" i="21" s="1"/>
  <c r="M35" i="21" a="1"/>
  <c r="M35" i="21" s="1"/>
  <c r="M236" i="21" a="1"/>
  <c r="M236" i="21" s="1"/>
  <c r="M30" i="21" a="1"/>
  <c r="M30" i="21" s="1"/>
  <c r="L246" i="21" a="1"/>
  <c r="L246" i="21" s="1"/>
  <c r="M233" i="21" a="1"/>
  <c r="M233" i="21" s="1"/>
  <c r="L242" i="21" a="1"/>
  <c r="L242" i="21" s="1"/>
  <c r="M210" i="21" a="1"/>
  <c r="M210" i="21" s="1"/>
  <c r="M215" i="21" a="1"/>
  <c r="M215" i="21" s="1"/>
  <c r="M211" i="21" a="1"/>
  <c r="M211" i="21" s="1"/>
  <c r="L212" i="21" a="1"/>
  <c r="L212" i="21" s="1"/>
  <c r="M216" i="21" a="1"/>
  <c r="M216" i="21" s="1"/>
  <c r="L209" i="21" a="1"/>
  <c r="L209" i="21" s="1"/>
  <c r="M206" i="21" a="1"/>
  <c r="M206" i="21" s="1"/>
  <c r="M214" i="21" a="1"/>
  <c r="M214" i="21" s="1"/>
  <c r="L206" i="21" a="1"/>
  <c r="L206" i="21" s="1"/>
  <c r="M212" i="21" a="1"/>
  <c r="M212" i="21" s="1"/>
  <c r="L216" i="21" a="1"/>
  <c r="L216" i="21" s="1"/>
  <c r="L214" i="21" a="1"/>
  <c r="L214" i="21" s="1"/>
  <c r="L213" i="21" a="1"/>
  <c r="L213" i="21" s="1"/>
  <c r="L217" i="21" a="1"/>
  <c r="L217" i="21" s="1"/>
  <c r="M213" i="21" a="1"/>
  <c r="M213" i="21" s="1"/>
  <c r="M217" i="21" a="1"/>
  <c r="M217" i="21" s="1"/>
  <c r="L211" i="21" a="1"/>
  <c r="L211" i="21" s="1"/>
  <c r="L210" i="21" a="1"/>
  <c r="L210" i="21" s="1"/>
  <c r="CB12" i="20"/>
  <c r="CC13" i="20"/>
  <c r="CB9" i="20"/>
  <c r="VNJ247" i="20" l="1"/>
  <c r="VNF247" i="20" s="1"/>
  <c r="VNB247" i="20" s="1"/>
  <c r="VMX247" i="20" s="1"/>
  <c r="VNI247" i="20"/>
  <c r="N148" i="21" a="1"/>
  <c r="N148" i="21" s="1"/>
  <c r="N220" i="21" a="1"/>
  <c r="N220" i="21" s="1"/>
  <c r="N130" i="21" a="1"/>
  <c r="N130" i="21" s="1"/>
  <c r="L254" i="21" a="1"/>
  <c r="L254" i="21" s="1"/>
  <c r="P254" i="21" s="1"/>
  <c r="Q254" i="21" s="1"/>
  <c r="N132" i="21" a="1"/>
  <c r="N132" i="21" s="1"/>
  <c r="L248" i="21" a="1"/>
  <c r="L248" i="21" s="1"/>
  <c r="L253" i="21" a="1"/>
  <c r="L253" i="21" s="1"/>
  <c r="M253" i="21" a="1"/>
  <c r="M253" i="21" s="1"/>
  <c r="L252" i="21" a="1"/>
  <c r="L252" i="21" s="1"/>
  <c r="M252" i="21" a="1"/>
  <c r="M252" i="21" s="1"/>
  <c r="M171" i="21" a="1"/>
  <c r="M171" i="21" s="1"/>
  <c r="L171" i="21" a="1"/>
  <c r="L171" i="21" s="1"/>
  <c r="M250" i="21" a="1"/>
  <c r="M250" i="21" s="1"/>
  <c r="L250" i="21" a="1"/>
  <c r="L250" i="21" s="1"/>
  <c r="M248" i="21" a="1"/>
  <c r="M248" i="21" s="1"/>
  <c r="P154" i="21"/>
  <c r="M107" i="21" a="1"/>
  <c r="M107" i="21" s="1"/>
  <c r="L199" i="21" a="1"/>
  <c r="L199" i="21" s="1"/>
  <c r="M26" i="21" a="1"/>
  <c r="M26" i="21" s="1"/>
  <c r="P26" i="21" s="1"/>
  <c r="L186" i="21" a="1"/>
  <c r="L186" i="21" s="1"/>
  <c r="M179" i="21" a="1"/>
  <c r="M179" i="21" s="1"/>
  <c r="M27" i="21" a="1"/>
  <c r="M27" i="21" s="1"/>
  <c r="P27" i="21" s="1"/>
  <c r="M149" i="21" a="1"/>
  <c r="M149" i="21" s="1"/>
  <c r="M170" i="21" a="1"/>
  <c r="M170" i="21" s="1"/>
  <c r="M55" i="21" a="1"/>
  <c r="M55" i="21" s="1"/>
  <c r="M172" i="21" a="1"/>
  <c r="M172" i="21" s="1"/>
  <c r="M160" i="21" a="1"/>
  <c r="M160" i="21" s="1"/>
  <c r="M159" i="21" s="1"/>
  <c r="L78" i="21" a="1"/>
  <c r="L78" i="21" s="1"/>
  <c r="L30" i="21" a="1"/>
  <c r="L30" i="21" s="1"/>
  <c r="P30" i="21" s="1"/>
  <c r="Q30" i="21" s="1"/>
  <c r="L58" i="21" a="1"/>
  <c r="L58" i="21" s="1"/>
  <c r="M190" i="21" a="1"/>
  <c r="M190" i="21" s="1"/>
  <c r="L108" i="21" a="1"/>
  <c r="L108" i="21" s="1"/>
  <c r="M186" i="21" a="1"/>
  <c r="M186" i="21" s="1"/>
  <c r="M21" i="21" a="1"/>
  <c r="M21" i="21" s="1"/>
  <c r="P21" i="21" s="1"/>
  <c r="L201" i="21" a="1"/>
  <c r="L201" i="21" s="1"/>
  <c r="M124" i="21" a="1"/>
  <c r="M124" i="21" s="1"/>
  <c r="M127" i="21" a="1"/>
  <c r="M127" i="21" s="1"/>
  <c r="L153" i="21" a="1"/>
  <c r="L153" i="21" s="1"/>
  <c r="P153" i="21" s="1"/>
  <c r="M157" i="21" a="1"/>
  <c r="M157" i="21" s="1"/>
  <c r="P157" i="21" s="1"/>
  <c r="M200" i="21" a="1"/>
  <c r="M200" i="21" s="1"/>
  <c r="M158" i="21" a="1"/>
  <c r="M158" i="21" s="1"/>
  <c r="L168" i="21" a="1"/>
  <c r="L168" i="21" s="1"/>
  <c r="M163" i="21" a="1"/>
  <c r="M163" i="21" s="1"/>
  <c r="P163" i="21" s="1"/>
  <c r="M203" i="21" a="1"/>
  <c r="M203" i="21" s="1"/>
  <c r="L59" i="21" a="1"/>
  <c r="L59" i="21" s="1"/>
  <c r="L111" i="21" a="1"/>
  <c r="L111" i="21" s="1"/>
  <c r="P111" i="21" s="1"/>
  <c r="M82" i="21" a="1"/>
  <c r="M82" i="21" s="1"/>
  <c r="L116" i="21" a="1"/>
  <c r="L116" i="21" s="1"/>
  <c r="L196" i="21" a="1"/>
  <c r="L196" i="21" s="1"/>
  <c r="P196" i="21" s="1"/>
  <c r="M129" i="21" a="1"/>
  <c r="M129" i="21" s="1"/>
  <c r="M197" i="21" a="1"/>
  <c r="M197" i="21" s="1"/>
  <c r="L197" i="21" a="1"/>
  <c r="L197" i="21" s="1"/>
  <c r="M199" i="21" a="1"/>
  <c r="M199" i="21" s="1"/>
  <c r="L173" i="21" a="1"/>
  <c r="L173" i="21" s="1"/>
  <c r="M56" i="21" a="1"/>
  <c r="M56" i="21" s="1"/>
  <c r="M115" i="21" a="1"/>
  <c r="M115" i="21" s="1"/>
  <c r="L172" i="21" a="1"/>
  <c r="L172" i="21" s="1"/>
  <c r="M181" i="21" a="1"/>
  <c r="M181" i="21" s="1"/>
  <c r="P181" i="21" s="1"/>
  <c r="Q181" i="21" s="1"/>
  <c r="M150" i="21" a="1"/>
  <c r="M150" i="21" s="1"/>
  <c r="M255" i="21" a="1"/>
  <c r="M255" i="21" s="1"/>
  <c r="L227" i="21" a="1"/>
  <c r="L227" i="21" s="1"/>
  <c r="L75" i="21" a="1"/>
  <c r="L75" i="21" s="1"/>
  <c r="M69" i="21" a="1"/>
  <c r="M69" i="21" s="1"/>
  <c r="M73" i="21" a="1"/>
  <c r="M73" i="21" s="1"/>
  <c r="N218" i="21" a="1"/>
  <c r="N218" i="21" s="1"/>
  <c r="N46" i="21" a="1"/>
  <c r="N46" i="21" s="1"/>
  <c r="L93" i="21" a="1"/>
  <c r="L93" i="21" s="1"/>
  <c r="L92" i="21" s="1"/>
  <c r="M137" i="21" a="1"/>
  <c r="M137" i="21" s="1"/>
  <c r="M131" i="21" a="1"/>
  <c r="M131" i="21" s="1"/>
  <c r="L39" i="21" a="1"/>
  <c r="L39" i="21" s="1"/>
  <c r="P39" i="21" s="1"/>
  <c r="Q39" i="21" s="1"/>
  <c r="L207" i="21" a="1"/>
  <c r="L207" i="21" s="1"/>
  <c r="L205" i="21" s="1"/>
  <c r="L34" i="21" a="1"/>
  <c r="L34" i="21" s="1"/>
  <c r="M185" i="21" a="1"/>
  <c r="M185" i="21" s="1"/>
  <c r="P185" i="21" s="1"/>
  <c r="Q185" i="21" s="1"/>
  <c r="L99" i="21" a="1"/>
  <c r="L99" i="21" s="1"/>
  <c r="L202" i="21" a="1"/>
  <c r="L202" i="21" s="1"/>
  <c r="L256" i="21" a="1"/>
  <c r="L256" i="21" s="1"/>
  <c r="Q256" i="21" s="1"/>
  <c r="L160" i="21" a="1"/>
  <c r="L160" i="21" s="1"/>
  <c r="L159" i="21" s="1"/>
  <c r="M204" i="21" a="1"/>
  <c r="M204" i="21" s="1"/>
  <c r="L142" i="21" a="1"/>
  <c r="L142" i="21" s="1"/>
  <c r="P142" i="21" s="1"/>
  <c r="M187" i="21" a="1"/>
  <c r="M187" i="21" s="1"/>
  <c r="L135" i="21" a="1"/>
  <c r="L135" i="21" s="1"/>
  <c r="M194" i="21" a="1"/>
  <c r="M194" i="21" s="1"/>
  <c r="P194" i="21" s="1"/>
  <c r="M114" i="21" a="1"/>
  <c r="M114" i="21" s="1"/>
  <c r="M99" i="21" a="1"/>
  <c r="M99" i="21" s="1"/>
  <c r="L223" i="21" a="1"/>
  <c r="L223" i="21" s="1"/>
  <c r="M156" i="21" a="1"/>
  <c r="M156" i="21" s="1"/>
  <c r="M100" i="21" a="1"/>
  <c r="M100" i="21" s="1"/>
  <c r="L100" i="21" a="1"/>
  <c r="L100" i="21" s="1"/>
  <c r="L25" i="21" a="1"/>
  <c r="L25" i="21" s="1"/>
  <c r="P25" i="21" s="1"/>
  <c r="M51" i="21" a="1"/>
  <c r="M51" i="21" s="1"/>
  <c r="M173" i="21" a="1"/>
  <c r="M173" i="21" s="1"/>
  <c r="M182" i="21" a="1"/>
  <c r="M182" i="21" s="1"/>
  <c r="M223" i="21" a="1"/>
  <c r="M223" i="21" s="1"/>
  <c r="L117" i="21" a="1"/>
  <c r="L117" i="21" s="1"/>
  <c r="P117" i="21" s="1"/>
  <c r="M168" i="21" a="1"/>
  <c r="M168" i="21" s="1"/>
  <c r="L124" i="21" a="1"/>
  <c r="L124" i="21" s="1"/>
  <c r="L56" i="21" a="1"/>
  <c r="L56" i="21" s="1"/>
  <c r="L52" i="21" a="1"/>
  <c r="L52" i="21" s="1"/>
  <c r="L200" i="21" a="1"/>
  <c r="L200" i="21" s="1"/>
  <c r="P200" i="21" s="1"/>
  <c r="L126" i="21" a="1"/>
  <c r="L126" i="21" s="1"/>
  <c r="L222" i="21" a="1"/>
  <c r="L222" i="21" s="1"/>
  <c r="P222" i="21" s="1"/>
  <c r="M116" i="21" a="1"/>
  <c r="M116" i="21" s="1"/>
  <c r="L91" i="21" a="1"/>
  <c r="L91" i="21" s="1"/>
  <c r="P91" i="21" s="1"/>
  <c r="M60" i="21" a="1"/>
  <c r="M60" i="21" s="1"/>
  <c r="M221" i="21" a="1"/>
  <c r="M221" i="21" s="1"/>
  <c r="M224" i="21" a="1"/>
  <c r="M224" i="21" s="1"/>
  <c r="M178" i="21" a="1"/>
  <c r="M178" i="21" s="1"/>
  <c r="L180" i="21" a="1"/>
  <c r="L180" i="21" s="1"/>
  <c r="L179" i="21" a="1"/>
  <c r="L179" i="21" s="1"/>
  <c r="P179" i="21" s="1"/>
  <c r="Q179" i="21" s="1"/>
  <c r="L90" i="21" a="1"/>
  <c r="L90" i="21" s="1"/>
  <c r="P90" i="21" s="1"/>
  <c r="L110" i="21" a="1"/>
  <c r="L110" i="21" s="1"/>
  <c r="M53" i="21" a="1"/>
  <c r="M53" i="21" s="1"/>
  <c r="P53" i="21" s="1"/>
  <c r="L20" i="21" a="1"/>
  <c r="L20" i="21" s="1"/>
  <c r="M97" i="21" a="1"/>
  <c r="M97" i="21" s="1"/>
  <c r="M96" i="21" s="1"/>
  <c r="L156" i="21" a="1"/>
  <c r="L156" i="21" s="1"/>
  <c r="M110" i="21" a="1"/>
  <c r="M110" i="21" s="1"/>
  <c r="M109" i="21" a="1"/>
  <c r="M109" i="21" s="1"/>
  <c r="M256" i="21" a="1"/>
  <c r="M256" i="21" s="1"/>
  <c r="L89" i="21" a="1"/>
  <c r="L89" i="21" s="1"/>
  <c r="P89" i="21" s="1"/>
  <c r="L51" i="21" a="1"/>
  <c r="L51" i="21" s="1"/>
  <c r="M151" i="21" a="1"/>
  <c r="M151" i="21" s="1"/>
  <c r="P151" i="21" s="1"/>
  <c r="M195" i="21" a="1"/>
  <c r="M195" i="21" s="1"/>
  <c r="P195" i="21" s="1"/>
  <c r="L45" i="21" a="1"/>
  <c r="L45" i="21" s="1"/>
  <c r="M228" i="21" a="1"/>
  <c r="M228" i="21" s="1"/>
  <c r="M47" i="21" a="1"/>
  <c r="M47" i="21" s="1"/>
  <c r="L66" i="21" a="1"/>
  <c r="L66" i="21" s="1"/>
  <c r="M71" i="21" a="1"/>
  <c r="M71" i="21" s="1"/>
  <c r="M63" i="21" a="1"/>
  <c r="M63" i="21" s="1"/>
  <c r="N174" i="21" a="1"/>
  <c r="N174" i="21" s="1"/>
  <c r="N123" i="21" a="1"/>
  <c r="N123" i="21" s="1"/>
  <c r="N94" i="21" a="1"/>
  <c r="N94" i="21" s="1"/>
  <c r="L133" i="21" a="1"/>
  <c r="L133" i="21" s="1"/>
  <c r="L131" i="21" a="1"/>
  <c r="L131" i="21" s="1"/>
  <c r="M29" i="21" a="1"/>
  <c r="M29" i="21" s="1"/>
  <c r="P29" i="21" s="1"/>
  <c r="Q29" i="21" s="1"/>
  <c r="L35" i="21" a="1"/>
  <c r="L35" i="21" s="1"/>
  <c r="L224" i="21" a="1"/>
  <c r="L224" i="21" s="1"/>
  <c r="L60" i="21" a="1"/>
  <c r="L60" i="21" s="1"/>
  <c r="P60" i="21" s="1"/>
  <c r="M78" i="21" a="1"/>
  <c r="M78" i="21" s="1"/>
  <c r="L204" i="21" a="1"/>
  <c r="L204" i="21" s="1"/>
  <c r="L81" i="21" a="1"/>
  <c r="L81" i="21" s="1"/>
  <c r="L80" i="21" s="1"/>
  <c r="L149" i="21" a="1"/>
  <c r="L149" i="21" s="1"/>
  <c r="L184" i="21" a="1"/>
  <c r="L184" i="21" s="1"/>
  <c r="L114" i="21" a="1"/>
  <c r="L114" i="21" s="1"/>
  <c r="L127" i="21" a="1"/>
  <c r="L127" i="21" s="1"/>
  <c r="M177" i="21" a="1"/>
  <c r="M177" i="21" s="1"/>
  <c r="L182" i="21" a="1"/>
  <c r="L182" i="21" s="1"/>
  <c r="M79" i="21" a="1"/>
  <c r="M79" i="21" s="1"/>
  <c r="M202" i="21" a="1"/>
  <c r="M202" i="21" s="1"/>
  <c r="L109" i="21" a="1"/>
  <c r="L109" i="21" s="1"/>
  <c r="P109" i="21" s="1"/>
  <c r="M188" i="21" a="1"/>
  <c r="M188" i="21" s="1"/>
  <c r="P188" i="21" s="1"/>
  <c r="Q188" i="21" s="1"/>
  <c r="M135" i="21" a="1"/>
  <c r="M135" i="21" s="1"/>
  <c r="L24" i="21" a="1"/>
  <c r="L24" i="21" s="1"/>
  <c r="L112" i="21" a="1"/>
  <c r="L112" i="21" s="1"/>
  <c r="P112" i="21" s="1"/>
  <c r="L187" i="21" a="1"/>
  <c r="L187" i="21" s="1"/>
  <c r="L183" i="21" a="1"/>
  <c r="L183" i="21" s="1"/>
  <c r="P183" i="21" s="1"/>
  <c r="Q183" i="21" s="1"/>
  <c r="L79" i="21" a="1"/>
  <c r="L79" i="21" s="1"/>
  <c r="L77" i="21" s="1"/>
  <c r="M58" i="21" a="1"/>
  <c r="M58" i="21" s="1"/>
  <c r="M23" i="21" a="1"/>
  <c r="M23" i="21" s="1"/>
  <c r="M20" i="21" a="1"/>
  <c r="M20" i="21" s="1"/>
  <c r="L150" i="21" a="1"/>
  <c r="L150" i="21" s="1"/>
  <c r="P150" i="21" s="1"/>
  <c r="L18" i="21" a="1"/>
  <c r="L18" i="21" s="1"/>
  <c r="P18" i="21" s="1"/>
  <c r="M126" i="21" a="1"/>
  <c r="M126" i="21" s="1"/>
  <c r="L23" i="21" a="1"/>
  <c r="L23" i="21" s="1"/>
  <c r="L115" i="21" a="1"/>
  <c r="L115" i="21" s="1"/>
  <c r="P115" i="21" s="1"/>
  <c r="L203" i="21" a="1"/>
  <c r="L203" i="21" s="1"/>
  <c r="L118" i="21" a="1"/>
  <c r="L118" i="21" s="1"/>
  <c r="P118" i="21" s="1"/>
  <c r="M201" i="21" a="1"/>
  <c r="M201" i="21" s="1"/>
  <c r="M59" i="21" a="1"/>
  <c r="M59" i="21" s="1"/>
  <c r="M24" i="21" a="1"/>
  <c r="M24" i="21" s="1"/>
  <c r="P24" i="21" s="1"/>
  <c r="L119" i="21" a="1"/>
  <c r="L119" i="21" s="1"/>
  <c r="L190" i="21" a="1"/>
  <c r="L190" i="21" s="1"/>
  <c r="P190" i="21" s="1"/>
  <c r="L54" i="21" a="1"/>
  <c r="L54" i="21" s="1"/>
  <c r="P54" i="21" s="1"/>
  <c r="M81" i="21" a="1"/>
  <c r="M81" i="21" s="1"/>
  <c r="L129" i="21" a="1"/>
  <c r="L129" i="21" s="1"/>
  <c r="P129" i="21" s="1"/>
  <c r="P128" i="21" s="1"/>
  <c r="L177" i="21" a="1"/>
  <c r="L177" i="21" s="1"/>
  <c r="M108" i="21" a="1"/>
  <c r="M108" i="21" s="1"/>
  <c r="L113" i="21" a="1"/>
  <c r="L113" i="21" s="1"/>
  <c r="P113" i="21" s="1"/>
  <c r="L166" i="21" a="1"/>
  <c r="L166" i="21" s="1"/>
  <c r="P166" i="21" s="1"/>
  <c r="P165" i="21" s="1"/>
  <c r="L221" i="21" a="1"/>
  <c r="L221" i="21" s="1"/>
  <c r="M192" i="21" a="1"/>
  <c r="M192" i="21" s="1"/>
  <c r="P192" i="21" s="1"/>
  <c r="M180" i="21" a="1"/>
  <c r="M180" i="21" s="1"/>
  <c r="L122" i="21" a="1"/>
  <c r="L122" i="21" s="1"/>
  <c r="P122" i="21" s="1"/>
  <c r="P121" i="21" s="1"/>
  <c r="M119" i="21" a="1"/>
  <c r="M119" i="21" s="1"/>
  <c r="L178" i="21" a="1"/>
  <c r="L178" i="21" s="1"/>
  <c r="M219" i="21" a="1"/>
  <c r="M219" i="21" s="1"/>
  <c r="M226" i="21" a="1"/>
  <c r="M226" i="21" s="1"/>
  <c r="M225" i="21" s="1"/>
  <c r="L47" i="21" a="1"/>
  <c r="L47" i="21" s="1"/>
  <c r="L76" i="21" a="1"/>
  <c r="L76" i="21" s="1"/>
  <c r="M62" i="21" a="1"/>
  <c r="M62" i="21" s="1"/>
  <c r="P62" i="21" s="1"/>
  <c r="N121" i="21" a="1"/>
  <c r="N121" i="21" s="1"/>
  <c r="N225" i="21" a="1"/>
  <c r="N225" i="21" s="1"/>
  <c r="M84" i="21" a="1"/>
  <c r="M84" i="21" s="1"/>
  <c r="L105" i="21" a="1"/>
  <c r="L105" i="21" s="1"/>
  <c r="L104" i="21" s="1"/>
  <c r="M146" i="21" a="1"/>
  <c r="M146" i="21" s="1"/>
  <c r="M147" i="21" a="1"/>
  <c r="M147" i="21" s="1"/>
  <c r="M145" i="21" a="1"/>
  <c r="M145" i="21" s="1"/>
  <c r="L147" i="21" a="1"/>
  <c r="L147" i="21" s="1"/>
  <c r="L145" i="21" a="1"/>
  <c r="L145" i="21" s="1"/>
  <c r="L146" i="21" a="1"/>
  <c r="L146" i="21" s="1"/>
  <c r="N144" i="21" a="1"/>
  <c r="N144" i="21" s="1"/>
  <c r="N169" i="21" a="1"/>
  <c r="N169" i="21" s="1"/>
  <c r="L72" i="21" a="1"/>
  <c r="L72" i="21" s="1"/>
  <c r="M75" i="21" a="1"/>
  <c r="M75" i="21" s="1"/>
  <c r="L65" i="21" a="1"/>
  <c r="L65" i="21" s="1"/>
  <c r="L70" i="21" a="1"/>
  <c r="L70" i="21" s="1"/>
  <c r="M67" i="21" a="1"/>
  <c r="M67" i="21" s="1"/>
  <c r="N198" i="21" a="1"/>
  <c r="N198" i="21" s="1"/>
  <c r="N96" i="21" a="1"/>
  <c r="N96" i="21" s="1"/>
  <c r="M65" i="21" a="1"/>
  <c r="M65" i="21" s="1"/>
  <c r="N28" i="21" a="1"/>
  <c r="N28" i="21" s="1"/>
  <c r="CI15" i="21"/>
  <c r="L87" i="21" a="1"/>
  <c r="L87" i="21" s="1"/>
  <c r="L86" i="21" s="1"/>
  <c r="M87" i="21" a="1"/>
  <c r="M87" i="21" s="1"/>
  <c r="M86" i="21" s="1"/>
  <c r="L95" i="21" a="1"/>
  <c r="L95" i="21" s="1"/>
  <c r="L94" i="21" s="1"/>
  <c r="L103" i="21" a="1"/>
  <c r="L103" i="21" s="1"/>
  <c r="L102" i="21" s="1"/>
  <c r="N104" i="21" a="1"/>
  <c r="N104" i="21" s="1"/>
  <c r="L230" i="21" a="1"/>
  <c r="L230" i="21" s="1"/>
  <c r="P230" i="21" s="1"/>
  <c r="Q230" i="21" s="1"/>
  <c r="M134" i="21" a="1"/>
  <c r="M134" i="21" s="1"/>
  <c r="M93" i="21" a="1"/>
  <c r="M93" i="21" s="1"/>
  <c r="M92" i="21" s="1"/>
  <c r="N141" i="21" a="1"/>
  <c r="N141" i="21" s="1"/>
  <c r="L226" i="21" a="1"/>
  <c r="L226" i="21" s="1"/>
  <c r="L225" i="21" s="1"/>
  <c r="M49" i="21" a="1"/>
  <c r="M49" i="21" s="1"/>
  <c r="M64" i="21" a="1"/>
  <c r="M64" i="21" s="1"/>
  <c r="L63" i="21" a="1"/>
  <c r="L63" i="21" s="1"/>
  <c r="P63" i="21" s="1"/>
  <c r="M76" i="21" a="1"/>
  <c r="M76" i="21" s="1"/>
  <c r="M74" i="21" a="1"/>
  <c r="M74" i="21" s="1"/>
  <c r="L48" i="21" a="1"/>
  <c r="L48" i="21" s="1"/>
  <c r="P48" i="21" s="1"/>
  <c r="M72" i="21" a="1"/>
  <c r="M72" i="21" s="1"/>
  <c r="L69" i="21" a="1"/>
  <c r="L69" i="21" s="1"/>
  <c r="L49" i="21" a="1"/>
  <c r="L49" i="21" s="1"/>
  <c r="P49" i="21" s="1"/>
  <c r="L64" i="21" a="1"/>
  <c r="L64" i="21" s="1"/>
  <c r="P64" i="21" s="1"/>
  <c r="N167" i="21" a="1"/>
  <c r="N167" i="21" s="1"/>
  <c r="N77" i="21" a="1"/>
  <c r="N77" i="21" s="1"/>
  <c r="N17" i="21" a="1"/>
  <c r="N17" i="21" s="1"/>
  <c r="N19" i="21" a="1"/>
  <c r="N19" i="21" s="1"/>
  <c r="L84" i="21" a="1"/>
  <c r="L84" i="21" s="1"/>
  <c r="L83" i="21" s="1"/>
  <c r="M85" i="21" a="1"/>
  <c r="M85" i="21" s="1"/>
  <c r="M95" i="21" a="1"/>
  <c r="M95" i="21" s="1"/>
  <c r="M94" i="21" s="1"/>
  <c r="M103" i="21" a="1"/>
  <c r="M103" i="21" s="1"/>
  <c r="M102" i="21" s="1"/>
  <c r="L137" i="21" a="1"/>
  <c r="L137" i="21" s="1"/>
  <c r="M138" i="21" a="1"/>
  <c r="M138" i="21" s="1"/>
  <c r="M133" i="21" a="1"/>
  <c r="M133" i="21" s="1"/>
  <c r="M105" i="21" a="1"/>
  <c r="M105" i="21" s="1"/>
  <c r="M104" i="21" s="1"/>
  <c r="L107" i="21" a="1"/>
  <c r="L107" i="21" s="1"/>
  <c r="M57" i="21" a="1"/>
  <c r="M57" i="21" s="1"/>
  <c r="M191" i="21" a="1"/>
  <c r="M191" i="21" s="1"/>
  <c r="P191" i="21" s="1"/>
  <c r="M22" i="21" a="1"/>
  <c r="M22" i="21" s="1"/>
  <c r="P22" i="21" s="1"/>
  <c r="M184" i="21" a="1"/>
  <c r="M184" i="21" s="1"/>
  <c r="M45" i="21" a="1"/>
  <c r="M45" i="21" s="1"/>
  <c r="L158" i="21" a="1"/>
  <c r="L158" i="21" s="1"/>
  <c r="M227" i="21" a="1"/>
  <c r="M227" i="21" s="1"/>
  <c r="L255" i="21" a="1"/>
  <c r="L255" i="21" s="1"/>
  <c r="L228" i="21" a="1"/>
  <c r="L228" i="21" s="1"/>
  <c r="M66" i="21" a="1"/>
  <c r="M66" i="21" s="1"/>
  <c r="L67" i="21" a="1"/>
  <c r="L67" i="21" s="1"/>
  <c r="L71" i="21" a="1"/>
  <c r="L71" i="21" s="1"/>
  <c r="L73" i="21" a="1"/>
  <c r="L73" i="21" s="1"/>
  <c r="L74" i="21" a="1"/>
  <c r="L74" i="21" s="1"/>
  <c r="M70" i="21" a="1"/>
  <c r="M70" i="21" s="1"/>
  <c r="M68" i="21" a="1"/>
  <c r="M68" i="21" s="1"/>
  <c r="N61" i="21" a="1"/>
  <c r="N61" i="21" s="1"/>
  <c r="N98" i="21" a="1"/>
  <c r="N98" i="21" s="1"/>
  <c r="N161" i="21" a="1"/>
  <c r="N161" i="21" s="1"/>
  <c r="N80" i="21" a="1"/>
  <c r="N80" i="21" s="1"/>
  <c r="N128" i="21" a="1"/>
  <c r="N128" i="21" s="1"/>
  <c r="N106" i="21" a="1"/>
  <c r="N106" i="21" s="1"/>
  <c r="N193" i="21" a="1"/>
  <c r="N193" i="21" s="1"/>
  <c r="N229" i="21" a="1"/>
  <c r="N229" i="21" s="1"/>
  <c r="N86" i="21" a="1"/>
  <c r="N86" i="21" s="1"/>
  <c r="N83" i="21" a="1"/>
  <c r="N83" i="21" s="1"/>
  <c r="N92" i="21" a="1"/>
  <c r="N92" i="21" s="1"/>
  <c r="L138" i="21" a="1"/>
  <c r="L138" i="21" s="1"/>
  <c r="N136" i="21" a="1"/>
  <c r="N136" i="21" s="1"/>
  <c r="L134" i="21" a="1"/>
  <c r="L134" i="21" s="1"/>
  <c r="P155" i="21"/>
  <c r="P170" i="21"/>
  <c r="P120" i="21"/>
  <c r="P164" i="21"/>
  <c r="P211" i="21"/>
  <c r="Q211" i="21" s="1"/>
  <c r="P140" i="21"/>
  <c r="P139" i="21" s="1"/>
  <c r="P217" i="21"/>
  <c r="Q217" i="21" s="1"/>
  <c r="P216" i="21"/>
  <c r="Q216" i="21" s="1"/>
  <c r="P143" i="21"/>
  <c r="P206" i="21"/>
  <c r="Q206" i="21" s="1"/>
  <c r="P215" i="21"/>
  <c r="Q215" i="21" s="1"/>
  <c r="P210" i="21"/>
  <c r="Q210" i="21" s="1"/>
  <c r="P208" i="21"/>
  <c r="Q208" i="21" s="1"/>
  <c r="P209" i="21"/>
  <c r="Q209" i="21" s="1"/>
  <c r="P213" i="21"/>
  <c r="Q213" i="21" s="1"/>
  <c r="P212" i="21"/>
  <c r="Q212" i="21" s="1"/>
  <c r="P214" i="21"/>
  <c r="Q214" i="21" s="1"/>
  <c r="P55" i="21"/>
  <c r="P101" i="21"/>
  <c r="P42" i="21"/>
  <c r="Q42" i="21" s="1"/>
  <c r="P242" i="21"/>
  <c r="Q242" i="21" s="1"/>
  <c r="P247" i="21"/>
  <c r="Q247" i="21" s="1"/>
  <c r="P244" i="21"/>
  <c r="Q244" i="21" s="1"/>
  <c r="P246" i="21"/>
  <c r="Q246" i="21" s="1"/>
  <c r="P37" i="21"/>
  <c r="Q37" i="21" s="1"/>
  <c r="P36" i="21"/>
  <c r="Q36" i="21" s="1"/>
  <c r="P33" i="21"/>
  <c r="Q33" i="21" s="1"/>
  <c r="P41" i="21"/>
  <c r="Q41" i="21" s="1"/>
  <c r="P241" i="21"/>
  <c r="Q241" i="21" s="1"/>
  <c r="P40" i="21"/>
  <c r="Q40" i="21" s="1"/>
  <c r="P31" i="21"/>
  <c r="Q31" i="21" s="1"/>
  <c r="P125" i="21"/>
  <c r="P243" i="21"/>
  <c r="Q243" i="21" s="1"/>
  <c r="P38" i="21"/>
  <c r="Q38" i="21" s="1"/>
  <c r="P245" i="21"/>
  <c r="Q245" i="21" s="1"/>
  <c r="P34" i="21"/>
  <c r="Q34" i="21" s="1"/>
  <c r="P240" i="21"/>
  <c r="Q240" i="21" s="1"/>
  <c r="P43" i="21"/>
  <c r="Q43" i="21" s="1"/>
  <c r="P32" i="21"/>
  <c r="Q32" i="21" s="1"/>
  <c r="P162" i="21"/>
  <c r="P237" i="21"/>
  <c r="Q237" i="21" s="1"/>
  <c r="M88" i="21"/>
  <c r="L96" i="21"/>
  <c r="P175" i="21"/>
  <c r="L174" i="21"/>
  <c r="P231" i="21"/>
  <c r="Q231" i="21" s="1"/>
  <c r="M229" i="21"/>
  <c r="P234" i="21"/>
  <c r="Q234" i="21" s="1"/>
  <c r="P236" i="21"/>
  <c r="Q236" i="21" s="1"/>
  <c r="P233" i="21"/>
  <c r="Q233" i="21" s="1"/>
  <c r="P239" i="21"/>
  <c r="Q239" i="21" s="1"/>
  <c r="P238" i="21"/>
  <c r="Q238" i="21" s="1"/>
  <c r="P235" i="21"/>
  <c r="Q235" i="21" s="1"/>
  <c r="P232" i="21"/>
  <c r="Q232" i="21" s="1"/>
  <c r="M205" i="21"/>
  <c r="CD13" i="20"/>
  <c r="CC9" i="20"/>
  <c r="CC12" i="20"/>
  <c r="P108" i="21" l="1"/>
  <c r="VNE247" i="20"/>
  <c r="VNA247" i="20" s="1"/>
  <c r="VMW247" i="20" s="1"/>
  <c r="VMS247" i="20" s="1"/>
  <c r="VND247" i="20"/>
  <c r="P187" i="21"/>
  <c r="Q187" i="21" s="1"/>
  <c r="P116" i="21"/>
  <c r="P73" i="21"/>
  <c r="P158" i="21"/>
  <c r="P252" i="21"/>
  <c r="Q252" i="21" s="1"/>
  <c r="P248" i="21"/>
  <c r="Q248" i="21" s="1"/>
  <c r="P228" i="21"/>
  <c r="P180" i="21"/>
  <c r="Q180" i="21" s="1"/>
  <c r="P81" i="21"/>
  <c r="P203" i="21"/>
  <c r="L123" i="21"/>
  <c r="P202" i="21"/>
  <c r="P59" i="21"/>
  <c r="P133" i="21"/>
  <c r="M136" i="21"/>
  <c r="P126" i="21"/>
  <c r="P182" i="21"/>
  <c r="Q182" i="21" s="1"/>
  <c r="P78" i="21"/>
  <c r="P137" i="21"/>
  <c r="P124" i="21"/>
  <c r="P114" i="21"/>
  <c r="M249" i="21"/>
  <c r="L249" i="21"/>
  <c r="P253" i="21"/>
  <c r="Q253" i="21" s="1"/>
  <c r="P223" i="21"/>
  <c r="P127" i="21"/>
  <c r="L17" i="21"/>
  <c r="L193" i="21"/>
  <c r="P171" i="21"/>
  <c r="P107" i="21"/>
  <c r="P47" i="21"/>
  <c r="P135" i="21"/>
  <c r="P250" i="21"/>
  <c r="L148" i="21"/>
  <c r="P227" i="21"/>
  <c r="P197" i="21"/>
  <c r="P224" i="21"/>
  <c r="P51" i="21"/>
  <c r="M198" i="21"/>
  <c r="L98" i="21"/>
  <c r="P172" i="21"/>
  <c r="P199" i="21"/>
  <c r="L50" i="21"/>
  <c r="M123" i="21"/>
  <c r="M220" i="21"/>
  <c r="I169" i="21"/>
  <c r="I167" i="21" s="1"/>
  <c r="I165" i="21" s="1"/>
  <c r="I161" i="21" s="1"/>
  <c r="L121" i="21"/>
  <c r="P66" i="21"/>
  <c r="P52" i="21"/>
  <c r="P58" i="21"/>
  <c r="P97" i="21"/>
  <c r="M28" i="21"/>
  <c r="P99" i="21"/>
  <c r="P75" i="21"/>
  <c r="P119" i="21"/>
  <c r="P79" i="21"/>
  <c r="P204" i="21"/>
  <c r="L28" i="21"/>
  <c r="P156" i="21"/>
  <c r="P110" i="21"/>
  <c r="P168" i="21"/>
  <c r="P173" i="21"/>
  <c r="P100" i="21"/>
  <c r="M83" i="21"/>
  <c r="M46" i="21"/>
  <c r="P72" i="21"/>
  <c r="P221" i="21"/>
  <c r="P177" i="21"/>
  <c r="Q177" i="21" s="1"/>
  <c r="L19" i="21"/>
  <c r="P20" i="21"/>
  <c r="P76" i="21"/>
  <c r="M80" i="21"/>
  <c r="P74" i="21"/>
  <c r="M152" i="21"/>
  <c r="P67" i="21"/>
  <c r="P65" i="21"/>
  <c r="L198" i="21"/>
  <c r="P82" i="21"/>
  <c r="L88" i="21"/>
  <c r="L152" i="21"/>
  <c r="L220" i="21"/>
  <c r="P184" i="21"/>
  <c r="Q184" i="21" s="1"/>
  <c r="P45" i="21"/>
  <c r="P44" i="21" s="1"/>
  <c r="L106" i="21"/>
  <c r="M176" i="21"/>
  <c r="M169" i="21" s="1"/>
  <c r="M167" i="21" s="1"/>
  <c r="M165" i="21" s="1"/>
  <c r="M161" i="21" s="1"/>
  <c r="M106" i="21"/>
  <c r="P56" i="21"/>
  <c r="M193" i="21"/>
  <c r="P149" i="21"/>
  <c r="P148" i="21" s="1"/>
  <c r="P95" i="21"/>
  <c r="P94" i="21" s="1"/>
  <c r="P160" i="21"/>
  <c r="P23" i="21"/>
  <c r="M148" i="21"/>
  <c r="P35" i="21"/>
  <c r="Q35" i="21" s="1"/>
  <c r="M98" i="21"/>
  <c r="P207" i="21"/>
  <c r="Q207" i="21" s="1"/>
  <c r="P178" i="21"/>
  <c r="Q178" i="21" s="1"/>
  <c r="M50" i="21"/>
  <c r="P69" i="21"/>
  <c r="M77" i="21"/>
  <c r="P71" i="21"/>
  <c r="L189" i="21"/>
  <c r="L176" i="21"/>
  <c r="L169" i="21" s="1"/>
  <c r="L167" i="21" s="1"/>
  <c r="L165" i="21" s="1"/>
  <c r="L161" i="21" s="1"/>
  <c r="P134" i="21"/>
  <c r="M19" i="21"/>
  <c r="P146" i="21"/>
  <c r="P201" i="21"/>
  <c r="P131" i="21"/>
  <c r="P186" i="21"/>
  <c r="Q186" i="21" s="1"/>
  <c r="P103" i="21"/>
  <c r="P102" i="21" s="1"/>
  <c r="P93" i="21"/>
  <c r="P92" i="21" s="1"/>
  <c r="L46" i="21"/>
  <c r="P84" i="21"/>
  <c r="P147" i="21"/>
  <c r="P138" i="21"/>
  <c r="M61" i="21"/>
  <c r="P145" i="21"/>
  <c r="L229" i="21"/>
  <c r="P105" i="21"/>
  <c r="P104" i="21" s="1"/>
  <c r="P68" i="21"/>
  <c r="P57" i="21"/>
  <c r="P70" i="21"/>
  <c r="P85" i="21"/>
  <c r="P226" i="21"/>
  <c r="L61" i="21"/>
  <c r="M189" i="21"/>
  <c r="P87" i="21"/>
  <c r="L136" i="21"/>
  <c r="P141" i="21"/>
  <c r="P161" i="21"/>
  <c r="P88" i="21"/>
  <c r="P17" i="21"/>
  <c r="P189" i="21"/>
  <c r="Q176" i="21"/>
  <c r="P174" i="21"/>
  <c r="Q205" i="21"/>
  <c r="CD12" i="20"/>
  <c r="CD9" i="20"/>
  <c r="CE13" i="20"/>
  <c r="VMZ247" i="20" l="1"/>
  <c r="VMV247" i="20" s="1"/>
  <c r="VMR247" i="20" s="1"/>
  <c r="VMN247" i="20" s="1"/>
  <c r="VMY247" i="20"/>
  <c r="P136" i="21"/>
  <c r="P46" i="21"/>
  <c r="P229" i="21"/>
  <c r="Q229" i="21" s="1"/>
  <c r="Q250" i="21"/>
  <c r="P249" i="21"/>
  <c r="Q249" i="21" s="1"/>
  <c r="P123" i="21"/>
  <c r="P193" i="21"/>
  <c r="P96" i="21"/>
  <c r="P98" i="21"/>
  <c r="P152" i="21"/>
  <c r="P77" i="21"/>
  <c r="P106" i="21"/>
  <c r="L144" i="21"/>
  <c r="L141" i="21" s="1"/>
  <c r="L139" i="21" s="1"/>
  <c r="L132" i="21" s="1"/>
  <c r="P80" i="21"/>
  <c r="P132" i="21"/>
  <c r="P130" i="21" s="1"/>
  <c r="P220" i="21"/>
  <c r="P159" i="21"/>
  <c r="M144" i="21"/>
  <c r="M141" i="21" s="1"/>
  <c r="M139" i="21" s="1"/>
  <c r="M132" i="21" s="1"/>
  <c r="Q45" i="21"/>
  <c r="P28" i="21"/>
  <c r="Q28" i="21" s="1"/>
  <c r="P19" i="21"/>
  <c r="P198" i="21"/>
  <c r="P144" i="21"/>
  <c r="P50" i="21"/>
  <c r="P61" i="21"/>
  <c r="P86" i="21"/>
  <c r="P83" i="21"/>
  <c r="P167" i="21"/>
  <c r="Q44" i="21"/>
  <c r="CF13" i="20"/>
  <c r="CE12" i="20"/>
  <c r="CE9" i="20"/>
  <c r="VMU247" i="20" l="1"/>
  <c r="VMQ247" i="20" s="1"/>
  <c r="VMM247" i="20" s="1"/>
  <c r="VMI247" i="20" s="1"/>
  <c r="VMT247" i="20"/>
  <c r="M130" i="21"/>
  <c r="M128" i="21" s="1"/>
  <c r="M44" i="21" s="1"/>
  <c r="L130" i="21"/>
  <c r="L128" i="21" s="1"/>
  <c r="L44" i="21" s="1"/>
  <c r="Q169" i="21"/>
  <c r="CG13" i="20"/>
  <c r="CF12" i="20"/>
  <c r="CF9" i="20"/>
  <c r="VMP247" i="20" l="1"/>
  <c r="VML247" i="20" s="1"/>
  <c r="VMH247" i="20" s="1"/>
  <c r="VMD247" i="20" s="1"/>
  <c r="VMO247" i="20"/>
  <c r="CG9" i="20"/>
  <c r="CH13" i="20"/>
  <c r="CG12" i="20"/>
  <c r="VMK247" i="20" l="1"/>
  <c r="VMG247" i="20" s="1"/>
  <c r="VMC247" i="20" s="1"/>
  <c r="VLY247" i="20" s="1"/>
  <c r="VMJ247" i="20"/>
  <c r="CI13" i="20"/>
  <c r="CH12" i="20"/>
  <c r="CH9" i="20"/>
  <c r="VMF247" i="20" l="1"/>
  <c r="VMB247" i="20" s="1"/>
  <c r="VLX247" i="20" s="1"/>
  <c r="VLT247" i="20" s="1"/>
  <c r="VME247" i="20"/>
  <c r="CI12" i="20"/>
  <c r="CI9" i="20"/>
  <c r="CJ13" i="20"/>
  <c r="VMA247" i="20" l="1"/>
  <c r="VLW247" i="20" s="1"/>
  <c r="VLS247" i="20" s="1"/>
  <c r="VLO247" i="20" s="1"/>
  <c r="VLZ247" i="20"/>
  <c r="CJ9" i="20"/>
  <c r="CK13" i="20"/>
  <c r="CJ12" i="20"/>
  <c r="VLV247" i="20" l="1"/>
  <c r="VLR247" i="20" s="1"/>
  <c r="VLN247" i="20" s="1"/>
  <c r="VLJ247" i="20" s="1"/>
  <c r="VLU247" i="20"/>
  <c r="CL13" i="20"/>
  <c r="CK12" i="20"/>
  <c r="CK9" i="20"/>
  <c r="VLQ247" i="20" l="1"/>
  <c r="VLM247" i="20" s="1"/>
  <c r="VLI247" i="20" s="1"/>
  <c r="VLE247" i="20" s="1"/>
  <c r="VLP247" i="20"/>
  <c r="CL12" i="20"/>
  <c r="CL9" i="20"/>
  <c r="CM13" i="20"/>
  <c r="VLL247" i="20" l="1"/>
  <c r="VLH247" i="20" s="1"/>
  <c r="VLD247" i="20" s="1"/>
  <c r="VKZ247" i="20" s="1"/>
  <c r="VLK247" i="20"/>
  <c r="CN13" i="20"/>
  <c r="CM12" i="20"/>
  <c r="CM9" i="20"/>
  <c r="VLG247" i="20" l="1"/>
  <c r="VLC247" i="20" s="1"/>
  <c r="VKY247" i="20" s="1"/>
  <c r="VKU247" i="20" s="1"/>
  <c r="VLF247" i="20"/>
  <c r="CO13" i="20"/>
  <c r="CN12" i="20"/>
  <c r="CN9" i="20"/>
  <c r="VLB247" i="20" l="1"/>
  <c r="VKX247" i="20" s="1"/>
  <c r="VKT247" i="20" s="1"/>
  <c r="VKP247" i="20" s="1"/>
  <c r="VLA247" i="20"/>
  <c r="CO9" i="20"/>
  <c r="CP13" i="20"/>
  <c r="CO12" i="20"/>
  <c r="VKW247" i="20" l="1"/>
  <c r="VKS247" i="20" s="1"/>
  <c r="VKO247" i="20" s="1"/>
  <c r="VKK247" i="20" s="1"/>
  <c r="VKV247" i="20"/>
  <c r="CQ13" i="20"/>
  <c r="CP12" i="20"/>
  <c r="CP9" i="20"/>
  <c r="VKR247" i="20" l="1"/>
  <c r="VKN247" i="20" s="1"/>
  <c r="VKJ247" i="20" s="1"/>
  <c r="VKF247" i="20" s="1"/>
  <c r="VKQ247" i="20"/>
  <c r="CQ12" i="20"/>
  <c r="CQ9" i="20"/>
  <c r="CR13" i="20"/>
  <c r="VKM247" i="20" l="1"/>
  <c r="VKI247" i="20" s="1"/>
  <c r="VKE247" i="20" s="1"/>
  <c r="VKA247" i="20" s="1"/>
  <c r="VKL247" i="20"/>
  <c r="CR9" i="20"/>
  <c r="CS13" i="20"/>
  <c r="CR12" i="20"/>
  <c r="VKH247" i="20" l="1"/>
  <c r="VKD247" i="20" s="1"/>
  <c r="VJZ247" i="20" s="1"/>
  <c r="VJV247" i="20" s="1"/>
  <c r="VKG247" i="20"/>
  <c r="CT13" i="20"/>
  <c r="CS12" i="20"/>
  <c r="CS9" i="20"/>
  <c r="VKC247" i="20" l="1"/>
  <c r="VJY247" i="20" s="1"/>
  <c r="VJU247" i="20" s="1"/>
  <c r="VJQ247" i="20" s="1"/>
  <c r="VKB247" i="20"/>
  <c r="CT12" i="20"/>
  <c r="CT9" i="20"/>
  <c r="CU13" i="20"/>
  <c r="VJX247" i="20" l="1"/>
  <c r="VJT247" i="20" s="1"/>
  <c r="VJP247" i="20" s="1"/>
  <c r="VJL247" i="20" s="1"/>
  <c r="VJW247" i="20"/>
  <c r="CV13" i="20"/>
  <c r="CU12" i="20"/>
  <c r="CU9" i="20"/>
  <c r="VJS247" i="20" l="1"/>
  <c r="VJO247" i="20" s="1"/>
  <c r="VJK247" i="20" s="1"/>
  <c r="VJG247" i="20" s="1"/>
  <c r="VJR247" i="20"/>
  <c r="CW13" i="20"/>
  <c r="CV12" i="20"/>
  <c r="CV9" i="20"/>
  <c r="VJN247" i="20" l="1"/>
  <c r="VJJ247" i="20" s="1"/>
  <c r="VJF247" i="20" s="1"/>
  <c r="VJB247" i="20" s="1"/>
  <c r="VJM247" i="20"/>
  <c r="CW9" i="20"/>
  <c r="CX13" i="20"/>
  <c r="CW12" i="20"/>
  <c r="VJI247" i="20" l="1"/>
  <c r="VJE247" i="20" s="1"/>
  <c r="VJA247" i="20" s="1"/>
  <c r="VIW247" i="20" s="1"/>
  <c r="VJH247" i="20"/>
  <c r="CY13" i="20"/>
  <c r="CX12" i="20"/>
  <c r="CX9" i="20"/>
  <c r="VJD247" i="20" l="1"/>
  <c r="VIZ247" i="20" s="1"/>
  <c r="VIV247" i="20" s="1"/>
  <c r="VIR247" i="20" s="1"/>
  <c r="VJC247" i="20"/>
  <c r="CY12" i="20"/>
  <c r="CY9" i="20"/>
  <c r="CZ13" i="20"/>
  <c r="VIY247" i="20" l="1"/>
  <c r="VIU247" i="20" s="1"/>
  <c r="VIQ247" i="20" s="1"/>
  <c r="VIM247" i="20" s="1"/>
  <c r="VIX247" i="20"/>
  <c r="CZ9" i="20"/>
  <c r="DA13" i="20"/>
  <c r="CZ12" i="20"/>
  <c r="VIT247" i="20" l="1"/>
  <c r="VIP247" i="20" s="1"/>
  <c r="VIL247" i="20" s="1"/>
  <c r="VIH247" i="20" s="1"/>
  <c r="VIS247" i="20"/>
  <c r="DB13" i="20"/>
  <c r="DA12" i="20"/>
  <c r="DA9" i="20"/>
  <c r="VIO247" i="20" l="1"/>
  <c r="VIK247" i="20" s="1"/>
  <c r="VIG247" i="20" s="1"/>
  <c r="VIC247" i="20" s="1"/>
  <c r="VIN247" i="20"/>
  <c r="DB12" i="20"/>
  <c r="DB9" i="20"/>
  <c r="DC13" i="20"/>
  <c r="VIJ247" i="20" l="1"/>
  <c r="VIF247" i="20" s="1"/>
  <c r="VIB247" i="20" s="1"/>
  <c r="VHX247" i="20" s="1"/>
  <c r="VII247" i="20"/>
  <c r="DD13" i="20"/>
  <c r="DC12" i="20"/>
  <c r="DC9" i="20"/>
  <c r="VIE247" i="20" l="1"/>
  <c r="VIA247" i="20" s="1"/>
  <c r="VHW247" i="20" s="1"/>
  <c r="VHS247" i="20" s="1"/>
  <c r="VID247" i="20"/>
  <c r="DE13" i="20"/>
  <c r="DD12" i="20"/>
  <c r="DD9" i="20"/>
  <c r="VHZ247" i="20" l="1"/>
  <c r="VHV247" i="20" s="1"/>
  <c r="VHR247" i="20" s="1"/>
  <c r="VHN247" i="20" s="1"/>
  <c r="VHY247" i="20"/>
  <c r="DE9" i="20"/>
  <c r="DF13" i="20"/>
  <c r="DE12" i="20"/>
  <c r="VHU247" i="20" l="1"/>
  <c r="VHQ247" i="20" s="1"/>
  <c r="VHM247" i="20" s="1"/>
  <c r="VHI247" i="20" s="1"/>
  <c r="VHT247" i="20"/>
  <c r="DG13" i="20"/>
  <c r="DF12" i="20"/>
  <c r="DF9" i="20"/>
  <c r="VHP247" i="20" l="1"/>
  <c r="VHL247" i="20" s="1"/>
  <c r="VHH247" i="20" s="1"/>
  <c r="VHD247" i="20" s="1"/>
  <c r="VHO247" i="20"/>
  <c r="DG12" i="20"/>
  <c r="DG9" i="20"/>
  <c r="DH13" i="20"/>
  <c r="VHK247" i="20" l="1"/>
  <c r="VHG247" i="20" s="1"/>
  <c r="VHC247" i="20" s="1"/>
  <c r="VGY247" i="20" s="1"/>
  <c r="VHJ247" i="20"/>
  <c r="DH9" i="20"/>
  <c r="DI13" i="20"/>
  <c r="DH12" i="20"/>
  <c r="VHF247" i="20" l="1"/>
  <c r="VHB247" i="20" s="1"/>
  <c r="VGX247" i="20" s="1"/>
  <c r="VGT247" i="20" s="1"/>
  <c r="VHE247" i="20"/>
  <c r="DJ13" i="20"/>
  <c r="DI12" i="20"/>
  <c r="DI9" i="20"/>
  <c r="VHA247" i="20" l="1"/>
  <c r="VGW247" i="20" s="1"/>
  <c r="VGS247" i="20" s="1"/>
  <c r="VGO247" i="20" s="1"/>
  <c r="VGZ247" i="20"/>
  <c r="DJ12" i="20"/>
  <c r="DJ9" i="20"/>
  <c r="DK13" i="20"/>
  <c r="VGV247" i="20" l="1"/>
  <c r="VGR247" i="20" s="1"/>
  <c r="VGN247" i="20" s="1"/>
  <c r="VGJ247" i="20" s="1"/>
  <c r="VGU247" i="20"/>
  <c r="DL13" i="20"/>
  <c r="DK12" i="20"/>
  <c r="DK9" i="20"/>
  <c r="VGQ247" i="20" l="1"/>
  <c r="VGM247" i="20" s="1"/>
  <c r="VGI247" i="20" s="1"/>
  <c r="VGE247" i="20" s="1"/>
  <c r="VGP247" i="20"/>
  <c r="DM13" i="20"/>
  <c r="DL12" i="20"/>
  <c r="DL9" i="20"/>
  <c r="VGL247" i="20" l="1"/>
  <c r="VGH247" i="20" s="1"/>
  <c r="VGD247" i="20" s="1"/>
  <c r="VFZ247" i="20" s="1"/>
  <c r="VGK247" i="20"/>
  <c r="DM9" i="20"/>
  <c r="DN13" i="20"/>
  <c r="DM12" i="20"/>
  <c r="VGG247" i="20" l="1"/>
  <c r="VGC247" i="20" s="1"/>
  <c r="VFY247" i="20" s="1"/>
  <c r="VFU247" i="20" s="1"/>
  <c r="VGF247" i="20"/>
  <c r="DO13" i="20"/>
  <c r="DN12" i="20"/>
  <c r="DN9" i="20"/>
  <c r="VGB247" i="20" l="1"/>
  <c r="VFX247" i="20" s="1"/>
  <c r="VFT247" i="20" s="1"/>
  <c r="VFP247" i="20" s="1"/>
  <c r="VGA247" i="20"/>
  <c r="DO12" i="20"/>
  <c r="DO9" i="20"/>
  <c r="DP13" i="20"/>
  <c r="VFW247" i="20" l="1"/>
  <c r="VFS247" i="20" s="1"/>
  <c r="VFO247" i="20" s="1"/>
  <c r="VFK247" i="20" s="1"/>
  <c r="VFV247" i="20"/>
  <c r="DP9" i="20"/>
  <c r="DQ13" i="20"/>
  <c r="DP12" i="20"/>
  <c r="VFR247" i="20" l="1"/>
  <c r="VFN247" i="20" s="1"/>
  <c r="VFJ247" i="20" s="1"/>
  <c r="VFF247" i="20" s="1"/>
  <c r="VFQ247" i="20"/>
  <c r="DR13" i="20"/>
  <c r="DQ12" i="20"/>
  <c r="DQ9" i="20"/>
  <c r="VFM247" i="20" l="1"/>
  <c r="VFI247" i="20" s="1"/>
  <c r="VFE247" i="20" s="1"/>
  <c r="VFA247" i="20" s="1"/>
  <c r="VFL247" i="20"/>
  <c r="DR12" i="20"/>
  <c r="DR9" i="20"/>
  <c r="DS13" i="20"/>
  <c r="VFH247" i="20" l="1"/>
  <c r="VFD247" i="20" s="1"/>
  <c r="VEZ247" i="20" s="1"/>
  <c r="VEV247" i="20" s="1"/>
  <c r="VFG247" i="20"/>
  <c r="DT13" i="20"/>
  <c r="DS12" i="20"/>
  <c r="DS9" i="20"/>
  <c r="VFC247" i="20" l="1"/>
  <c r="VEY247" i="20" s="1"/>
  <c r="VEU247" i="20" s="1"/>
  <c r="VEQ247" i="20" s="1"/>
  <c r="VFB247" i="20"/>
  <c r="DU13" i="20"/>
  <c r="DT12" i="20"/>
  <c r="DT9" i="20"/>
  <c r="VEX247" i="20" l="1"/>
  <c r="VET247" i="20" s="1"/>
  <c r="VEP247" i="20" s="1"/>
  <c r="VEL247" i="20" s="1"/>
  <c r="VEW247" i="20"/>
  <c r="DU9" i="20"/>
  <c r="DV13" i="20"/>
  <c r="DU12" i="20"/>
  <c r="VES247" i="20" l="1"/>
  <c r="VEO247" i="20" s="1"/>
  <c r="VEK247" i="20" s="1"/>
  <c r="VEG247" i="20" s="1"/>
  <c r="VER247" i="20"/>
  <c r="DW13" i="20"/>
  <c r="DV12" i="20"/>
  <c r="DV9" i="20"/>
  <c r="VEN247" i="20" l="1"/>
  <c r="VEJ247" i="20" s="1"/>
  <c r="VEF247" i="20" s="1"/>
  <c r="VEB247" i="20" s="1"/>
  <c r="VEM247" i="20"/>
  <c r="DW12" i="20"/>
  <c r="DW9" i="20"/>
  <c r="DX13" i="20"/>
  <c r="VEI247" i="20" l="1"/>
  <c r="VEE247" i="20" s="1"/>
  <c r="VEA247" i="20" s="1"/>
  <c r="VDW247" i="20" s="1"/>
  <c r="VEH247" i="20"/>
  <c r="DX9" i="20"/>
  <c r="DY13" i="20"/>
  <c r="DX12" i="20"/>
  <c r="VED247" i="20" l="1"/>
  <c r="VDZ247" i="20" s="1"/>
  <c r="VDV247" i="20" s="1"/>
  <c r="VDR247" i="20" s="1"/>
  <c r="VEC247" i="20"/>
  <c r="DZ13" i="20"/>
  <c r="DY12" i="20"/>
  <c r="DY9" i="20"/>
  <c r="VDY247" i="20" l="1"/>
  <c r="VDU247" i="20" s="1"/>
  <c r="VDQ247" i="20" s="1"/>
  <c r="VDM247" i="20" s="1"/>
  <c r="VDX247" i="20"/>
  <c r="DZ12" i="20"/>
  <c r="DZ9" i="20"/>
  <c r="EA13" i="20"/>
  <c r="VDT247" i="20" l="1"/>
  <c r="VDP247" i="20" s="1"/>
  <c r="VDL247" i="20" s="1"/>
  <c r="VDH247" i="20" s="1"/>
  <c r="VDS247" i="20"/>
  <c r="EB13" i="20"/>
  <c r="EA12" i="20"/>
  <c r="EA9" i="20"/>
  <c r="VDO247" i="20" l="1"/>
  <c r="VDK247" i="20" s="1"/>
  <c r="VDG247" i="20" s="1"/>
  <c r="VDC247" i="20" s="1"/>
  <c r="VDN247" i="20"/>
  <c r="EC13" i="20"/>
  <c r="EB12" i="20"/>
  <c r="EB9" i="20"/>
  <c r="VDJ247" i="20" l="1"/>
  <c r="VDF247" i="20" s="1"/>
  <c r="VDB247" i="20" s="1"/>
  <c r="VCX247" i="20" s="1"/>
  <c r="VDI247" i="20"/>
  <c r="EC9" i="20"/>
  <c r="ED13" i="20"/>
  <c r="EC12" i="20"/>
  <c r="VDE247" i="20" l="1"/>
  <c r="VDA247" i="20" s="1"/>
  <c r="VCW247" i="20" s="1"/>
  <c r="VCS247" i="20" s="1"/>
  <c r="VDD247" i="20"/>
  <c r="EE13" i="20"/>
  <c r="ED12" i="20"/>
  <c r="ED9" i="20"/>
  <c r="VCZ247" i="20" l="1"/>
  <c r="VCV247" i="20" s="1"/>
  <c r="VCR247" i="20" s="1"/>
  <c r="VCN247" i="20" s="1"/>
  <c r="VCY247" i="20"/>
  <c r="EE12" i="20"/>
  <c r="EE9" i="20"/>
  <c r="EF13" i="20"/>
  <c r="VCU247" i="20" l="1"/>
  <c r="VCQ247" i="20" s="1"/>
  <c r="VCM247" i="20" s="1"/>
  <c r="VCI247" i="20" s="1"/>
  <c r="VCT247" i="20"/>
  <c r="EF9" i="20"/>
  <c r="EG13" i="20"/>
  <c r="EF12" i="20"/>
  <c r="VCP247" i="20" l="1"/>
  <c r="VCL247" i="20" s="1"/>
  <c r="VCH247" i="20" s="1"/>
  <c r="VCD247" i="20" s="1"/>
  <c r="VCO247" i="20"/>
  <c r="EH13" i="20"/>
  <c r="EG12" i="20"/>
  <c r="EG9" i="20"/>
  <c r="VCK247" i="20" l="1"/>
  <c r="VCG247" i="20" s="1"/>
  <c r="VCC247" i="20" s="1"/>
  <c r="VBY247" i="20" s="1"/>
  <c r="VCJ247" i="20"/>
  <c r="EH12" i="20"/>
  <c r="EH9" i="20"/>
  <c r="EI13" i="20"/>
  <c r="VCF247" i="20" l="1"/>
  <c r="VCB247" i="20" s="1"/>
  <c r="VBX247" i="20" s="1"/>
  <c r="VBT247" i="20" s="1"/>
  <c r="VCE247" i="20"/>
  <c r="EJ13" i="20"/>
  <c r="EI12" i="20"/>
  <c r="EI9" i="20"/>
  <c r="VCA247" i="20" l="1"/>
  <c r="VBW247" i="20" s="1"/>
  <c r="VBS247" i="20" s="1"/>
  <c r="VBO247" i="20" s="1"/>
  <c r="VBZ247" i="20"/>
  <c r="EK13" i="20"/>
  <c r="EJ12" i="20"/>
  <c r="EJ9" i="20"/>
  <c r="VBV247" i="20" l="1"/>
  <c r="VBR247" i="20" s="1"/>
  <c r="VBN247" i="20" s="1"/>
  <c r="VBJ247" i="20" s="1"/>
  <c r="VBU247" i="20"/>
  <c r="EK9" i="20"/>
  <c r="EL13" i="20"/>
  <c r="EK12" i="20"/>
  <c r="VBQ247" i="20" l="1"/>
  <c r="VBM247" i="20" s="1"/>
  <c r="VBI247" i="20" s="1"/>
  <c r="VBE247" i="20" s="1"/>
  <c r="VBP247" i="20"/>
  <c r="EM13" i="20"/>
  <c r="EL12" i="20"/>
  <c r="EL9" i="20"/>
  <c r="VBL247" i="20" l="1"/>
  <c r="VBH247" i="20" s="1"/>
  <c r="VBD247" i="20" s="1"/>
  <c r="VAZ247" i="20" s="1"/>
  <c r="VBK247" i="20"/>
  <c r="EM12" i="20"/>
  <c r="EM9" i="20"/>
  <c r="EN13" i="20"/>
  <c r="VBG247" i="20" l="1"/>
  <c r="VBC247" i="20" s="1"/>
  <c r="VAY247" i="20" s="1"/>
  <c r="VAU247" i="20" s="1"/>
  <c r="VBF247" i="20"/>
  <c r="EN9" i="20"/>
  <c r="EO13" i="20"/>
  <c r="EN12" i="20"/>
  <c r="VBB247" i="20" l="1"/>
  <c r="VAX247" i="20" s="1"/>
  <c r="VAT247" i="20" s="1"/>
  <c r="VAP247" i="20" s="1"/>
  <c r="VBA247" i="20"/>
  <c r="EP13" i="20"/>
  <c r="EO12" i="20"/>
  <c r="EO9" i="20"/>
  <c r="VAW247" i="20" l="1"/>
  <c r="VAS247" i="20" s="1"/>
  <c r="VAO247" i="20" s="1"/>
  <c r="VAK247" i="20" s="1"/>
  <c r="VAV247" i="20"/>
  <c r="EP12" i="20"/>
  <c r="EP9" i="20"/>
  <c r="EQ13" i="20"/>
  <c r="VAR247" i="20" l="1"/>
  <c r="VAN247" i="20" s="1"/>
  <c r="VAJ247" i="20" s="1"/>
  <c r="VAF247" i="20" s="1"/>
  <c r="VAQ247" i="20"/>
  <c r="ER13" i="20"/>
  <c r="EQ12" i="20"/>
  <c r="EQ9" i="20"/>
  <c r="VAM247" i="20" l="1"/>
  <c r="VAI247" i="20" s="1"/>
  <c r="VAE247" i="20" s="1"/>
  <c r="VAA247" i="20" s="1"/>
  <c r="VAL247" i="20"/>
  <c r="ER12" i="20"/>
  <c r="ES13" i="20"/>
  <c r="ER9" i="20"/>
  <c r="VAH247" i="20" l="1"/>
  <c r="VAD247" i="20" s="1"/>
  <c r="UZZ247" i="20" s="1"/>
  <c r="UZV247" i="20" s="1"/>
  <c r="VAG247" i="20"/>
  <c r="ES12" i="20"/>
  <c r="ES9" i="20"/>
  <c r="VAC247" i="20" l="1"/>
  <c r="UZY247" i="20" s="1"/>
  <c r="UZU247" i="20" s="1"/>
  <c r="UZQ247" i="20" s="1"/>
  <c r="VAB247" i="20"/>
  <c r="M562" i="20"/>
  <c r="O562" i="20" s="1"/>
  <c r="M20" i="20"/>
  <c r="M243" i="20"/>
  <c r="O243" i="20" s="1"/>
  <c r="M74" i="20"/>
  <c r="O74" i="20" s="1"/>
  <c r="M452" i="20"/>
  <c r="O452" i="20" s="1"/>
  <c r="M21" i="20"/>
  <c r="O21" i="20" s="1"/>
  <c r="M22" i="20"/>
  <c r="O22" i="20" s="1"/>
  <c r="M25" i="20"/>
  <c r="UZX247" i="20" l="1"/>
  <c r="UZT247" i="20" s="1"/>
  <c r="UZP247" i="20" s="1"/>
  <c r="UZL247" i="20" s="1"/>
  <c r="UZW247" i="20"/>
  <c r="M24" i="20"/>
  <c r="O25" i="20"/>
  <c r="M19" i="20"/>
  <c r="O19" i="20" s="1"/>
  <c r="O20" i="20"/>
  <c r="UZS247" i="20" l="1"/>
  <c r="UZO247" i="20" s="1"/>
  <c r="UZK247" i="20" s="1"/>
  <c r="UZG247" i="20" s="1"/>
  <c r="UZR247" i="20"/>
  <c r="O24" i="20"/>
  <c r="M770" i="20"/>
  <c r="O770" i="20" s="1"/>
  <c r="UZN247" i="20" l="1"/>
  <c r="UZJ247" i="20" s="1"/>
  <c r="UZF247" i="20" s="1"/>
  <c r="UZB247" i="20" s="1"/>
  <c r="UZM247" i="20"/>
  <c r="UZI247" i="20" l="1"/>
  <c r="UZE247" i="20" s="1"/>
  <c r="UZA247" i="20" s="1"/>
  <c r="UYW247" i="20" s="1"/>
  <c r="UZH247" i="20"/>
  <c r="UZD247" i="20" l="1"/>
  <c r="UYZ247" i="20" s="1"/>
  <c r="UYV247" i="20" s="1"/>
  <c r="UYR247" i="20" s="1"/>
  <c r="UZC247" i="20"/>
  <c r="UYY247" i="20" l="1"/>
  <c r="UYU247" i="20" s="1"/>
  <c r="UYQ247" i="20" s="1"/>
  <c r="UYM247" i="20" s="1"/>
  <c r="UYX247" i="20"/>
  <c r="UYT247" i="20" l="1"/>
  <c r="UYP247" i="20" s="1"/>
  <c r="UYL247" i="20" s="1"/>
  <c r="UYH247" i="20" s="1"/>
  <c r="UYS247" i="20"/>
  <c r="UYO247" i="20" l="1"/>
  <c r="UYK247" i="20" s="1"/>
  <c r="UYG247" i="20" s="1"/>
  <c r="UYC247" i="20" s="1"/>
  <c r="UYN247" i="20"/>
  <c r="UYJ247" i="20" l="1"/>
  <c r="UYF247" i="20" s="1"/>
  <c r="UYB247" i="20" s="1"/>
  <c r="UXX247" i="20" s="1"/>
  <c r="UYI247" i="20"/>
  <c r="UYE247" i="20" l="1"/>
  <c r="UYA247" i="20" s="1"/>
  <c r="UXW247" i="20" s="1"/>
  <c r="UXS247" i="20" s="1"/>
  <c r="UYD247" i="20"/>
  <c r="UXZ247" i="20" l="1"/>
  <c r="UXV247" i="20" s="1"/>
  <c r="UXR247" i="20" s="1"/>
  <c r="UXN247" i="20" s="1"/>
  <c r="UXY247" i="20"/>
  <c r="UXU247" i="20" l="1"/>
  <c r="UXQ247" i="20" s="1"/>
  <c r="UXM247" i="20" s="1"/>
  <c r="UXI247" i="20" s="1"/>
  <c r="UXT247" i="20"/>
  <c r="UXP247" i="20" l="1"/>
  <c r="UXL247" i="20" s="1"/>
  <c r="UXH247" i="20" s="1"/>
  <c r="UXD247" i="20" s="1"/>
  <c r="UXO247" i="20"/>
  <c r="UXK247" i="20" l="1"/>
  <c r="UXG247" i="20" s="1"/>
  <c r="UXC247" i="20" s="1"/>
  <c r="UWY247" i="20" s="1"/>
  <c r="UXJ247" i="20"/>
  <c r="UXF247" i="20" l="1"/>
  <c r="UXB247" i="20" s="1"/>
  <c r="UWX247" i="20" s="1"/>
  <c r="UWT247" i="20" s="1"/>
  <c r="UXE247" i="20"/>
  <c r="UXA247" i="20" l="1"/>
  <c r="UWW247" i="20" s="1"/>
  <c r="UWS247" i="20" s="1"/>
  <c r="UWO247" i="20" s="1"/>
  <c r="UWZ247" i="20"/>
  <c r="UWV247" i="20" l="1"/>
  <c r="UWR247" i="20" s="1"/>
  <c r="UWN247" i="20" s="1"/>
  <c r="UWJ247" i="20" s="1"/>
  <c r="UWU247" i="20"/>
  <c r="UWQ247" i="20" l="1"/>
  <c r="UWM247" i="20" s="1"/>
  <c r="UWI247" i="20" s="1"/>
  <c r="UWE247" i="20" s="1"/>
  <c r="UWP247" i="20"/>
  <c r="UWL247" i="20" l="1"/>
  <c r="UWH247" i="20" s="1"/>
  <c r="UWD247" i="20" s="1"/>
  <c r="UVZ247" i="20" s="1"/>
  <c r="UWK247" i="20"/>
  <c r="UWG247" i="20" l="1"/>
  <c r="UWC247" i="20" s="1"/>
  <c r="UVY247" i="20" s="1"/>
  <c r="UVU247" i="20" s="1"/>
  <c r="UWF247" i="20"/>
  <c r="UWB247" i="20" l="1"/>
  <c r="UVX247" i="20" s="1"/>
  <c r="UVT247" i="20" s="1"/>
  <c r="UVP247" i="20" s="1"/>
  <c r="UWA247" i="20"/>
  <c r="UVW247" i="20" l="1"/>
  <c r="UVS247" i="20" s="1"/>
  <c r="UVO247" i="20" s="1"/>
  <c r="UVK247" i="20" s="1"/>
  <c r="UVV247" i="20"/>
  <c r="UVR247" i="20" l="1"/>
  <c r="UVN247" i="20" s="1"/>
  <c r="UVJ247" i="20" s="1"/>
  <c r="UVF247" i="20" s="1"/>
  <c r="UVQ247" i="20"/>
  <c r="UVM247" i="20" l="1"/>
  <c r="UVI247" i="20" s="1"/>
  <c r="UVE247" i="20" s="1"/>
  <c r="UVA247" i="20" s="1"/>
  <c r="UVL247" i="20"/>
  <c r="UVH247" i="20" l="1"/>
  <c r="UVD247" i="20" s="1"/>
  <c r="UUZ247" i="20" s="1"/>
  <c r="UUV247" i="20" s="1"/>
  <c r="UVG247" i="20"/>
  <c r="UVC247" i="20" l="1"/>
  <c r="UUY247" i="20" s="1"/>
  <c r="UUU247" i="20" s="1"/>
  <c r="UUQ247" i="20" s="1"/>
  <c r="UVB247" i="20"/>
  <c r="UUX247" i="20" l="1"/>
  <c r="UUT247" i="20" s="1"/>
  <c r="UUP247" i="20" s="1"/>
  <c r="UUL247" i="20" s="1"/>
  <c r="UUW247" i="20"/>
  <c r="UUS247" i="20" l="1"/>
  <c r="UUO247" i="20" s="1"/>
  <c r="UUK247" i="20" s="1"/>
  <c r="UUG247" i="20" s="1"/>
  <c r="UUR247" i="20"/>
  <c r="UUN247" i="20" l="1"/>
  <c r="UUJ247" i="20" s="1"/>
  <c r="UUF247" i="20" s="1"/>
  <c r="UUB247" i="20" s="1"/>
  <c r="UUM247" i="20"/>
  <c r="UUI247" i="20" l="1"/>
  <c r="UUE247" i="20" s="1"/>
  <c r="UUA247" i="20" s="1"/>
  <c r="UTW247" i="20" s="1"/>
  <c r="UUH247" i="20"/>
  <c r="UUD247" i="20" l="1"/>
  <c r="UTZ247" i="20" s="1"/>
  <c r="UTV247" i="20" s="1"/>
  <c r="UTR247" i="20" s="1"/>
  <c r="UUC247" i="20"/>
  <c r="UTY247" i="20" l="1"/>
  <c r="UTU247" i="20" s="1"/>
  <c r="UTQ247" i="20" s="1"/>
  <c r="UTM247" i="20" s="1"/>
  <c r="UTX247" i="20"/>
  <c r="UTT247" i="20" l="1"/>
  <c r="UTP247" i="20" s="1"/>
  <c r="UTL247" i="20" s="1"/>
  <c r="UTH247" i="20" s="1"/>
  <c r="UTS247" i="20"/>
  <c r="UTO247" i="20" l="1"/>
  <c r="UTK247" i="20" s="1"/>
  <c r="UTG247" i="20" s="1"/>
  <c r="UTC247" i="20" s="1"/>
  <c r="UTN247" i="20"/>
  <c r="UTJ247" i="20" l="1"/>
  <c r="UTF247" i="20" s="1"/>
  <c r="UTB247" i="20" s="1"/>
  <c r="USX247" i="20" s="1"/>
  <c r="UTI247" i="20"/>
  <c r="UTE247" i="20" l="1"/>
  <c r="UTA247" i="20" s="1"/>
  <c r="USW247" i="20" s="1"/>
  <c r="USS247" i="20" s="1"/>
  <c r="UTD247" i="20"/>
  <c r="USZ247" i="20" l="1"/>
  <c r="USV247" i="20" s="1"/>
  <c r="USR247" i="20" s="1"/>
  <c r="USN247" i="20" s="1"/>
  <c r="USY247" i="20"/>
  <c r="USU247" i="20" l="1"/>
  <c r="USQ247" i="20" s="1"/>
  <c r="USM247" i="20" s="1"/>
  <c r="USI247" i="20" s="1"/>
  <c r="UST247" i="20"/>
  <c r="USP247" i="20" l="1"/>
  <c r="USL247" i="20" s="1"/>
  <c r="USH247" i="20" s="1"/>
  <c r="USD247" i="20" s="1"/>
  <c r="USO247" i="20"/>
  <c r="USK247" i="20" l="1"/>
  <c r="USG247" i="20" s="1"/>
  <c r="USC247" i="20" s="1"/>
  <c r="URY247" i="20" s="1"/>
  <c r="USJ247" i="20"/>
  <c r="USF247" i="20" l="1"/>
  <c r="USB247" i="20" s="1"/>
  <c r="URX247" i="20" s="1"/>
  <c r="URT247" i="20" s="1"/>
  <c r="USE247" i="20"/>
  <c r="USA247" i="20" l="1"/>
  <c r="URW247" i="20" s="1"/>
  <c r="URS247" i="20" s="1"/>
  <c r="URO247" i="20" s="1"/>
  <c r="URZ247" i="20"/>
  <c r="URV247" i="20" l="1"/>
  <c r="URR247" i="20" s="1"/>
  <c r="URN247" i="20" s="1"/>
  <c r="URJ247" i="20" s="1"/>
  <c r="URU247" i="20"/>
  <c r="URQ247" i="20" l="1"/>
  <c r="URM247" i="20" s="1"/>
  <c r="URI247" i="20" s="1"/>
  <c r="URE247" i="20" s="1"/>
  <c r="URP247" i="20"/>
  <c r="URL247" i="20" l="1"/>
  <c r="URH247" i="20" s="1"/>
  <c r="URD247" i="20" s="1"/>
  <c r="UQZ247" i="20" s="1"/>
  <c r="URK247" i="20"/>
  <c r="URG247" i="20" l="1"/>
  <c r="URC247" i="20" s="1"/>
  <c r="UQY247" i="20" s="1"/>
  <c r="UQU247" i="20" s="1"/>
  <c r="URF247" i="20"/>
  <c r="URB247" i="20" l="1"/>
  <c r="UQX247" i="20" s="1"/>
  <c r="UQT247" i="20" s="1"/>
  <c r="UQP247" i="20" s="1"/>
  <c r="URA247" i="20"/>
  <c r="UQW247" i="20" l="1"/>
  <c r="UQS247" i="20" s="1"/>
  <c r="UQO247" i="20" s="1"/>
  <c r="UQK247" i="20" s="1"/>
  <c r="UQV247" i="20"/>
  <c r="UQR247" i="20" l="1"/>
  <c r="UQN247" i="20" s="1"/>
  <c r="UQJ247" i="20" s="1"/>
  <c r="UQF247" i="20" s="1"/>
  <c r="UQQ247" i="20"/>
  <c r="UQM247" i="20" l="1"/>
  <c r="UQI247" i="20" s="1"/>
  <c r="UQE247" i="20" s="1"/>
  <c r="UQA247" i="20" s="1"/>
  <c r="UQL247" i="20"/>
  <c r="UQH247" i="20" l="1"/>
  <c r="UQD247" i="20" s="1"/>
  <c r="UPZ247" i="20" s="1"/>
  <c r="UPV247" i="20" s="1"/>
  <c r="UQG247" i="20"/>
  <c r="UQC247" i="20" l="1"/>
  <c r="UPY247" i="20" s="1"/>
  <c r="UPU247" i="20" s="1"/>
  <c r="UPQ247" i="20" s="1"/>
  <c r="UQB247" i="20"/>
  <c r="UPX247" i="20" l="1"/>
  <c r="UPT247" i="20" s="1"/>
  <c r="UPP247" i="20" s="1"/>
  <c r="UPL247" i="20" s="1"/>
  <c r="UPW247" i="20"/>
  <c r="UPS247" i="20" l="1"/>
  <c r="UPO247" i="20" s="1"/>
  <c r="UPK247" i="20" s="1"/>
  <c r="UPG247" i="20" s="1"/>
  <c r="UPR247" i="20"/>
  <c r="UPN247" i="20" l="1"/>
  <c r="UPJ247" i="20" s="1"/>
  <c r="UPF247" i="20" s="1"/>
  <c r="UPB247" i="20" s="1"/>
  <c r="UPM247" i="20"/>
  <c r="UPI247" i="20" l="1"/>
  <c r="UPE247" i="20" s="1"/>
  <c r="UPA247" i="20" s="1"/>
  <c r="UOW247" i="20" s="1"/>
  <c r="UPH247" i="20"/>
  <c r="UPD247" i="20" l="1"/>
  <c r="UOZ247" i="20" s="1"/>
  <c r="UOV247" i="20" s="1"/>
  <c r="UOR247" i="20" s="1"/>
  <c r="UPC247" i="20"/>
  <c r="UOY247" i="20" l="1"/>
  <c r="UOU247" i="20" s="1"/>
  <c r="UOQ247" i="20" s="1"/>
  <c r="UOM247" i="20" s="1"/>
  <c r="UOX247" i="20"/>
  <c r="UOT247" i="20" l="1"/>
  <c r="UOP247" i="20" s="1"/>
  <c r="UOL247" i="20" s="1"/>
  <c r="UOH247" i="20" s="1"/>
  <c r="UOS247" i="20"/>
  <c r="UOO247" i="20" l="1"/>
  <c r="UOK247" i="20" s="1"/>
  <c r="UOG247" i="20" s="1"/>
  <c r="UOC247" i="20" s="1"/>
  <c r="UON247" i="20"/>
  <c r="UOJ247" i="20" l="1"/>
  <c r="UOF247" i="20" s="1"/>
  <c r="UOB247" i="20" s="1"/>
  <c r="UNX247" i="20" s="1"/>
  <c r="UOI247" i="20"/>
  <c r="UOE247" i="20" l="1"/>
  <c r="UOA247" i="20" s="1"/>
  <c r="UNW247" i="20" s="1"/>
  <c r="UNS247" i="20" s="1"/>
  <c r="UOD247" i="20"/>
  <c r="UNZ247" i="20" l="1"/>
  <c r="UNV247" i="20" s="1"/>
  <c r="UNR247" i="20" s="1"/>
  <c r="UNN247" i="20" s="1"/>
  <c r="UNY247" i="20"/>
  <c r="UNU247" i="20" l="1"/>
  <c r="UNQ247" i="20" s="1"/>
  <c r="UNM247" i="20" s="1"/>
  <c r="UNI247" i="20" s="1"/>
  <c r="UNT247" i="20"/>
  <c r="UNP247" i="20" l="1"/>
  <c r="UNL247" i="20" s="1"/>
  <c r="UNH247" i="20" s="1"/>
  <c r="UND247" i="20" s="1"/>
  <c r="UNO247" i="20"/>
  <c r="UNK247" i="20" l="1"/>
  <c r="UNG247" i="20" s="1"/>
  <c r="UNC247" i="20" s="1"/>
  <c r="UMY247" i="20" s="1"/>
  <c r="UNJ247" i="20"/>
  <c r="UNF247" i="20" l="1"/>
  <c r="UNB247" i="20" s="1"/>
  <c r="UMX247" i="20" s="1"/>
  <c r="UMT247" i="20" s="1"/>
  <c r="UNE247" i="20"/>
  <c r="UNA247" i="20" l="1"/>
  <c r="UMW247" i="20" s="1"/>
  <c r="UMS247" i="20" s="1"/>
  <c r="UMO247" i="20" s="1"/>
  <c r="UMZ247" i="20"/>
  <c r="UMV247" i="20" l="1"/>
  <c r="UMR247" i="20" s="1"/>
  <c r="UMN247" i="20" s="1"/>
  <c r="UMJ247" i="20" s="1"/>
  <c r="UMU247" i="20"/>
  <c r="UMQ247" i="20" l="1"/>
  <c r="UMM247" i="20" s="1"/>
  <c r="UMI247" i="20" s="1"/>
  <c r="UME247" i="20" s="1"/>
  <c r="UMP247" i="20"/>
  <c r="UML247" i="20" l="1"/>
  <c r="UMH247" i="20" s="1"/>
  <c r="UMD247" i="20" s="1"/>
  <c r="ULZ247" i="20" s="1"/>
  <c r="UMK247" i="20"/>
  <c r="UMG247" i="20" l="1"/>
  <c r="UMC247" i="20" s="1"/>
  <c r="ULY247" i="20" s="1"/>
  <c r="ULU247" i="20" s="1"/>
  <c r="UMF247" i="20"/>
  <c r="UMB247" i="20" l="1"/>
  <c r="ULX247" i="20" s="1"/>
  <c r="ULT247" i="20" s="1"/>
  <c r="ULP247" i="20" s="1"/>
  <c r="UMA247" i="20"/>
  <c r="ULW247" i="20" l="1"/>
  <c r="ULS247" i="20" s="1"/>
  <c r="ULO247" i="20" s="1"/>
  <c r="ULK247" i="20" s="1"/>
  <c r="ULV247" i="20"/>
  <c r="ULR247" i="20" l="1"/>
  <c r="ULN247" i="20" s="1"/>
  <c r="ULJ247" i="20" s="1"/>
  <c r="ULF247" i="20" s="1"/>
  <c r="ULQ247" i="20"/>
  <c r="ULM247" i="20" l="1"/>
  <c r="ULI247" i="20" s="1"/>
  <c r="ULE247" i="20" s="1"/>
  <c r="ULA247" i="20" s="1"/>
  <c r="ULL247" i="20"/>
  <c r="ULH247" i="20" l="1"/>
  <c r="ULD247" i="20" s="1"/>
  <c r="UKZ247" i="20" s="1"/>
  <c r="UKV247" i="20" s="1"/>
  <c r="ULG247" i="20"/>
  <c r="ULC247" i="20" l="1"/>
  <c r="UKY247" i="20" s="1"/>
  <c r="UKU247" i="20" s="1"/>
  <c r="UKQ247" i="20" s="1"/>
  <c r="ULB247" i="20"/>
  <c r="UKX247" i="20" l="1"/>
  <c r="UKT247" i="20" s="1"/>
  <c r="UKP247" i="20" s="1"/>
  <c r="UKL247" i="20" s="1"/>
  <c r="UKW247" i="20"/>
  <c r="UKS247" i="20" l="1"/>
  <c r="UKO247" i="20" s="1"/>
  <c r="UKK247" i="20" s="1"/>
  <c r="UKG247" i="20" s="1"/>
  <c r="UKR247" i="20"/>
  <c r="UKN247" i="20" l="1"/>
  <c r="UKJ247" i="20" s="1"/>
  <c r="UKF247" i="20" s="1"/>
  <c r="UKB247" i="20" s="1"/>
  <c r="UKM247" i="20"/>
  <c r="UKI247" i="20" l="1"/>
  <c r="UKE247" i="20" s="1"/>
  <c r="UKA247" i="20" s="1"/>
  <c r="UJW247" i="20" s="1"/>
  <c r="UKH247" i="20"/>
  <c r="UKD247" i="20" l="1"/>
  <c r="UJZ247" i="20" s="1"/>
  <c r="UJV247" i="20" s="1"/>
  <c r="UJR247" i="20" s="1"/>
  <c r="UKC247" i="20"/>
  <c r="UJY247" i="20" l="1"/>
  <c r="UJU247" i="20" s="1"/>
  <c r="UJQ247" i="20" s="1"/>
  <c r="UJM247" i="20" s="1"/>
  <c r="UJX247" i="20"/>
  <c r="UJT247" i="20" l="1"/>
  <c r="UJP247" i="20" s="1"/>
  <c r="UJL247" i="20" s="1"/>
  <c r="UJH247" i="20" s="1"/>
  <c r="UJS247" i="20"/>
  <c r="UJO247" i="20" l="1"/>
  <c r="UJK247" i="20" s="1"/>
  <c r="UJG247" i="20" s="1"/>
  <c r="UJC247" i="20" s="1"/>
  <c r="UJN247" i="20"/>
  <c r="UJJ247" i="20" l="1"/>
  <c r="UJF247" i="20" s="1"/>
  <c r="UJB247" i="20" s="1"/>
  <c r="UIX247" i="20" s="1"/>
  <c r="UJI247" i="20"/>
  <c r="UJE247" i="20" l="1"/>
  <c r="UJA247" i="20" s="1"/>
  <c r="UIW247" i="20" s="1"/>
  <c r="UIS247" i="20" s="1"/>
  <c r="UJD247" i="20"/>
  <c r="UIZ247" i="20" l="1"/>
  <c r="UIV247" i="20" s="1"/>
  <c r="UIR247" i="20" s="1"/>
  <c r="UIN247" i="20" s="1"/>
  <c r="UIY247" i="20"/>
  <c r="UIU247" i="20" l="1"/>
  <c r="UIQ247" i="20" s="1"/>
  <c r="UIM247" i="20" s="1"/>
  <c r="UII247" i="20" s="1"/>
  <c r="UIT247" i="20"/>
  <c r="UIP247" i="20" l="1"/>
  <c r="UIL247" i="20" s="1"/>
  <c r="UIH247" i="20" s="1"/>
  <c r="UID247" i="20" s="1"/>
  <c r="UIO247" i="20"/>
  <c r="UIK247" i="20" l="1"/>
  <c r="UIG247" i="20" s="1"/>
  <c r="UIC247" i="20" s="1"/>
  <c r="UHY247" i="20" s="1"/>
  <c r="UIJ247" i="20"/>
  <c r="UIF247" i="20" l="1"/>
  <c r="UIB247" i="20" s="1"/>
  <c r="UHX247" i="20" s="1"/>
  <c r="UHT247" i="20" s="1"/>
  <c r="UIE247" i="20"/>
  <c r="UIA247" i="20" l="1"/>
  <c r="UHW247" i="20" s="1"/>
  <c r="UHS247" i="20" s="1"/>
  <c r="UHO247" i="20" s="1"/>
  <c r="UHZ247" i="20"/>
  <c r="UHV247" i="20" l="1"/>
  <c r="UHR247" i="20" s="1"/>
  <c r="UHN247" i="20" s="1"/>
  <c r="UHJ247" i="20" s="1"/>
  <c r="UHU247" i="20"/>
  <c r="UHQ247" i="20" l="1"/>
  <c r="UHM247" i="20" s="1"/>
  <c r="UHI247" i="20" s="1"/>
  <c r="UHE247" i="20" s="1"/>
  <c r="UHP247" i="20"/>
  <c r="UHL247" i="20" l="1"/>
  <c r="UHH247" i="20" s="1"/>
  <c r="UHD247" i="20" s="1"/>
  <c r="UGZ247" i="20" s="1"/>
  <c r="UHK247" i="20"/>
  <c r="UHG247" i="20" l="1"/>
  <c r="UHC247" i="20" s="1"/>
  <c r="UGY247" i="20" s="1"/>
  <c r="UGU247" i="20" s="1"/>
  <c r="UHF247" i="20"/>
  <c r="UHB247" i="20" l="1"/>
  <c r="UGX247" i="20" s="1"/>
  <c r="UGT247" i="20" s="1"/>
  <c r="UGP247" i="20" s="1"/>
  <c r="UHA247" i="20"/>
  <c r="UGW247" i="20" l="1"/>
  <c r="UGS247" i="20" s="1"/>
  <c r="UGO247" i="20" s="1"/>
  <c r="UGK247" i="20" s="1"/>
  <c r="UGV247" i="20"/>
  <c r="UGR247" i="20" l="1"/>
  <c r="UGN247" i="20" s="1"/>
  <c r="UGJ247" i="20" s="1"/>
  <c r="UGF247" i="20" s="1"/>
  <c r="UGQ247" i="20"/>
  <c r="UGM247" i="20" l="1"/>
  <c r="UGI247" i="20" s="1"/>
  <c r="UGE247" i="20" s="1"/>
  <c r="UGA247" i="20" s="1"/>
  <c r="UGL247" i="20"/>
  <c r="UGH247" i="20" l="1"/>
  <c r="UGD247" i="20" s="1"/>
  <c r="UFZ247" i="20" s="1"/>
  <c r="UFV247" i="20" s="1"/>
  <c r="UGG247" i="20"/>
  <c r="UGC247" i="20" l="1"/>
  <c r="UFY247" i="20" s="1"/>
  <c r="UFU247" i="20" s="1"/>
  <c r="UFQ247" i="20" s="1"/>
  <c r="UGB247" i="20"/>
  <c r="UFX247" i="20" l="1"/>
  <c r="UFT247" i="20" s="1"/>
  <c r="UFP247" i="20" s="1"/>
  <c r="UFL247" i="20" s="1"/>
  <c r="UFW247" i="20"/>
  <c r="UFS247" i="20" l="1"/>
  <c r="UFO247" i="20" s="1"/>
  <c r="UFK247" i="20" s="1"/>
  <c r="UFG247" i="20" s="1"/>
  <c r="UFR247" i="20"/>
  <c r="UFN247" i="20" l="1"/>
  <c r="UFJ247" i="20" s="1"/>
  <c r="UFF247" i="20" s="1"/>
  <c r="UFB247" i="20" s="1"/>
  <c r="UFM247" i="20"/>
  <c r="UFI247" i="20" l="1"/>
  <c r="UFE247" i="20" s="1"/>
  <c r="UFA247" i="20" s="1"/>
  <c r="UEW247" i="20" s="1"/>
  <c r="UFH247" i="20"/>
  <c r="UFD247" i="20" l="1"/>
  <c r="UEZ247" i="20" s="1"/>
  <c r="UEV247" i="20" s="1"/>
  <c r="UER247" i="20" s="1"/>
  <c r="UFC247" i="20"/>
  <c r="UEY247" i="20" l="1"/>
  <c r="UEU247" i="20" s="1"/>
  <c r="UEQ247" i="20" s="1"/>
  <c r="UEM247" i="20" s="1"/>
  <c r="UEX247" i="20"/>
  <c r="UET247" i="20" l="1"/>
  <c r="UEP247" i="20" s="1"/>
  <c r="UEL247" i="20" s="1"/>
  <c r="UEH247" i="20" s="1"/>
  <c r="UES247" i="20"/>
  <c r="UEO247" i="20" l="1"/>
  <c r="UEK247" i="20" s="1"/>
  <c r="UEG247" i="20" s="1"/>
  <c r="UEC247" i="20" s="1"/>
  <c r="UEN247" i="20"/>
  <c r="UEJ247" i="20" l="1"/>
  <c r="UEF247" i="20" s="1"/>
  <c r="UEB247" i="20" s="1"/>
  <c r="UDX247" i="20" s="1"/>
  <c r="UEI247" i="20"/>
  <c r="UEE247" i="20" l="1"/>
  <c r="UEA247" i="20" s="1"/>
  <c r="UDW247" i="20" s="1"/>
  <c r="UDS247" i="20" s="1"/>
  <c r="UED247" i="20"/>
  <c r="UDZ247" i="20" l="1"/>
  <c r="UDV247" i="20" s="1"/>
  <c r="UDR247" i="20" s="1"/>
  <c r="UDN247" i="20" s="1"/>
  <c r="UDY247" i="20"/>
  <c r="UDU247" i="20" l="1"/>
  <c r="UDQ247" i="20" s="1"/>
  <c r="UDM247" i="20" s="1"/>
  <c r="UDI247" i="20" s="1"/>
  <c r="UDT247" i="20"/>
  <c r="UDP247" i="20" l="1"/>
  <c r="UDL247" i="20" s="1"/>
  <c r="UDH247" i="20" s="1"/>
  <c r="UDD247" i="20" s="1"/>
  <c r="UDO247" i="20"/>
  <c r="UDK247" i="20" l="1"/>
  <c r="UDG247" i="20" s="1"/>
  <c r="UDC247" i="20" s="1"/>
  <c r="UCY247" i="20" s="1"/>
  <c r="UDJ247" i="20"/>
  <c r="UDF247" i="20" l="1"/>
  <c r="UDB247" i="20" s="1"/>
  <c r="UCX247" i="20" s="1"/>
  <c r="UCT247" i="20" s="1"/>
  <c r="UDE247" i="20"/>
  <c r="UDA247" i="20" l="1"/>
  <c r="UCW247" i="20" s="1"/>
  <c r="UCS247" i="20" s="1"/>
  <c r="UCO247" i="20" s="1"/>
  <c r="UCZ247" i="20"/>
  <c r="UCV247" i="20" l="1"/>
  <c r="UCR247" i="20" s="1"/>
  <c r="UCN247" i="20" s="1"/>
  <c r="UCJ247" i="20" s="1"/>
  <c r="UCU247" i="20"/>
  <c r="UCQ247" i="20" l="1"/>
  <c r="UCM247" i="20" s="1"/>
  <c r="UCI247" i="20" s="1"/>
  <c r="UCE247" i="20" s="1"/>
  <c r="UCP247" i="20"/>
  <c r="UCL247" i="20" l="1"/>
  <c r="UCH247" i="20" s="1"/>
  <c r="UCD247" i="20" s="1"/>
  <c r="UBZ247" i="20" s="1"/>
  <c r="UCK247" i="20"/>
  <c r="UCG247" i="20" l="1"/>
  <c r="UCC247" i="20" s="1"/>
  <c r="UBY247" i="20" s="1"/>
  <c r="UBU247" i="20" s="1"/>
  <c r="UCF247" i="20"/>
  <c r="UCB247" i="20" l="1"/>
  <c r="UBX247" i="20" s="1"/>
  <c r="UBT247" i="20" s="1"/>
  <c r="UBP247" i="20" s="1"/>
  <c r="UCA247" i="20"/>
  <c r="UBW247" i="20" l="1"/>
  <c r="UBS247" i="20" s="1"/>
  <c r="UBO247" i="20" s="1"/>
  <c r="UBK247" i="20" s="1"/>
  <c r="UBV247" i="20"/>
  <c r="UBR247" i="20" l="1"/>
  <c r="UBN247" i="20" s="1"/>
  <c r="UBJ247" i="20" s="1"/>
  <c r="UBF247" i="20" s="1"/>
  <c r="UBQ247" i="20"/>
  <c r="UBM247" i="20" l="1"/>
  <c r="UBI247" i="20" s="1"/>
  <c r="UBE247" i="20" s="1"/>
  <c r="UBA247" i="20" s="1"/>
  <c r="UBL247" i="20"/>
  <c r="UBH247" i="20" l="1"/>
  <c r="UBD247" i="20" s="1"/>
  <c r="UAZ247" i="20" s="1"/>
  <c r="UAV247" i="20" s="1"/>
  <c r="UBG247" i="20"/>
  <c r="UBC247" i="20" l="1"/>
  <c r="UAY247" i="20" s="1"/>
  <c r="UAU247" i="20" s="1"/>
  <c r="UAQ247" i="20" s="1"/>
  <c r="UBB247" i="20"/>
  <c r="UAX247" i="20" l="1"/>
  <c r="UAT247" i="20" s="1"/>
  <c r="UAP247" i="20" s="1"/>
  <c r="UAL247" i="20" s="1"/>
  <c r="UAW247" i="20"/>
  <c r="UAS247" i="20" l="1"/>
  <c r="UAO247" i="20" s="1"/>
  <c r="UAK247" i="20" s="1"/>
  <c r="UAG247" i="20" s="1"/>
  <c r="UAR247" i="20"/>
  <c r="UAN247" i="20" l="1"/>
  <c r="UAJ247" i="20" s="1"/>
  <c r="UAF247" i="20" s="1"/>
  <c r="UAB247" i="20" s="1"/>
  <c r="UAM247" i="20"/>
  <c r="UAI247" i="20" l="1"/>
  <c r="UAE247" i="20" s="1"/>
  <c r="UAA247" i="20" s="1"/>
  <c r="TZW247" i="20" s="1"/>
  <c r="UAH247" i="20"/>
  <c r="UAD247" i="20" l="1"/>
  <c r="TZZ247" i="20" s="1"/>
  <c r="TZV247" i="20" s="1"/>
  <c r="TZR247" i="20" s="1"/>
  <c r="UAC247" i="20"/>
  <c r="TZY247" i="20" l="1"/>
  <c r="TZU247" i="20" s="1"/>
  <c r="TZQ247" i="20" s="1"/>
  <c r="TZM247" i="20" s="1"/>
  <c r="TZX247" i="20"/>
  <c r="TZT247" i="20" l="1"/>
  <c r="TZP247" i="20" s="1"/>
  <c r="TZL247" i="20" s="1"/>
  <c r="TZH247" i="20" s="1"/>
  <c r="TZS247" i="20"/>
  <c r="TZO247" i="20" l="1"/>
  <c r="TZK247" i="20" s="1"/>
  <c r="TZG247" i="20" s="1"/>
  <c r="TZC247" i="20" s="1"/>
  <c r="TZN247" i="20"/>
  <c r="TZJ247" i="20" l="1"/>
  <c r="TZF247" i="20" s="1"/>
  <c r="TZB247" i="20" s="1"/>
  <c r="TYX247" i="20" s="1"/>
  <c r="TZI247" i="20"/>
  <c r="TZE247" i="20" l="1"/>
  <c r="TZA247" i="20" s="1"/>
  <c r="TYW247" i="20" s="1"/>
  <c r="TYS247" i="20" s="1"/>
  <c r="TZD247" i="20"/>
  <c r="TYZ247" i="20" l="1"/>
  <c r="TYV247" i="20" s="1"/>
  <c r="TYR247" i="20" s="1"/>
  <c r="TYN247" i="20" s="1"/>
  <c r="TYY247" i="20"/>
  <c r="TYU247" i="20" l="1"/>
  <c r="TYQ247" i="20" s="1"/>
  <c r="TYM247" i="20" s="1"/>
  <c r="TYI247" i="20" s="1"/>
  <c r="TYT247" i="20"/>
  <c r="TYP247" i="20" l="1"/>
  <c r="TYL247" i="20" s="1"/>
  <c r="TYH247" i="20" s="1"/>
  <c r="TYD247" i="20" s="1"/>
  <c r="TYO247" i="20"/>
  <c r="TYK247" i="20" l="1"/>
  <c r="TYG247" i="20" s="1"/>
  <c r="TYC247" i="20" s="1"/>
  <c r="TXY247" i="20" s="1"/>
  <c r="TYJ247" i="20"/>
  <c r="TYF247" i="20" l="1"/>
  <c r="TYB247" i="20" s="1"/>
  <c r="TXX247" i="20" s="1"/>
  <c r="TXT247" i="20" s="1"/>
  <c r="TYE247" i="20"/>
  <c r="TYA247" i="20" l="1"/>
  <c r="TXW247" i="20" s="1"/>
  <c r="TXS247" i="20" s="1"/>
  <c r="TXO247" i="20" s="1"/>
  <c r="TXZ247" i="20"/>
  <c r="TXV247" i="20" l="1"/>
  <c r="TXR247" i="20" s="1"/>
  <c r="TXN247" i="20" s="1"/>
  <c r="TXJ247" i="20" s="1"/>
  <c r="TXU247" i="20"/>
  <c r="TXQ247" i="20" l="1"/>
  <c r="TXM247" i="20" s="1"/>
  <c r="TXI247" i="20" s="1"/>
  <c r="TXE247" i="20" s="1"/>
  <c r="TXP247" i="20"/>
  <c r="TXL247" i="20" l="1"/>
  <c r="TXH247" i="20" s="1"/>
  <c r="TXD247" i="20" s="1"/>
  <c r="TWZ247" i="20" s="1"/>
  <c r="TXK247" i="20"/>
  <c r="TXG247" i="20" l="1"/>
  <c r="TXC247" i="20" s="1"/>
  <c r="TWY247" i="20" s="1"/>
  <c r="TWU247" i="20" s="1"/>
  <c r="TXF247" i="20"/>
  <c r="TXB247" i="20" l="1"/>
  <c r="TWX247" i="20" s="1"/>
  <c r="TWT247" i="20" s="1"/>
  <c r="TWP247" i="20" s="1"/>
  <c r="TXA247" i="20"/>
  <c r="TWW247" i="20" l="1"/>
  <c r="TWS247" i="20" s="1"/>
  <c r="TWO247" i="20" s="1"/>
  <c r="TWK247" i="20" s="1"/>
  <c r="TWV247" i="20"/>
  <c r="TWR247" i="20" l="1"/>
  <c r="TWN247" i="20" s="1"/>
  <c r="TWJ247" i="20" s="1"/>
  <c r="TWF247" i="20" s="1"/>
  <c r="TWQ247" i="20"/>
  <c r="TWM247" i="20" l="1"/>
  <c r="TWI247" i="20" s="1"/>
  <c r="TWE247" i="20" s="1"/>
  <c r="TWA247" i="20" s="1"/>
  <c r="TWL247" i="20"/>
  <c r="TWH247" i="20" l="1"/>
  <c r="TWD247" i="20" s="1"/>
  <c r="TVZ247" i="20" s="1"/>
  <c r="TVV247" i="20" s="1"/>
  <c r="TWG247" i="20"/>
  <c r="TWC247" i="20" l="1"/>
  <c r="TVY247" i="20" s="1"/>
  <c r="TVU247" i="20" s="1"/>
  <c r="TVQ247" i="20" s="1"/>
  <c r="TWB247" i="20"/>
  <c r="TVX247" i="20" l="1"/>
  <c r="TVT247" i="20" s="1"/>
  <c r="TVP247" i="20" s="1"/>
  <c r="TVL247" i="20" s="1"/>
  <c r="TVW247" i="20"/>
  <c r="TVS247" i="20" l="1"/>
  <c r="TVO247" i="20" s="1"/>
  <c r="TVK247" i="20" s="1"/>
  <c r="TVG247" i="20" s="1"/>
  <c r="TVR247" i="20"/>
  <c r="TVN247" i="20" l="1"/>
  <c r="TVJ247" i="20" s="1"/>
  <c r="TVF247" i="20" s="1"/>
  <c r="TVB247" i="20" s="1"/>
  <c r="TVM247" i="20"/>
  <c r="TVI247" i="20" l="1"/>
  <c r="TVE247" i="20" s="1"/>
  <c r="TVA247" i="20" s="1"/>
  <c r="TUW247" i="20" s="1"/>
  <c r="TVH247" i="20"/>
  <c r="TVD247" i="20" l="1"/>
  <c r="TUZ247" i="20" s="1"/>
  <c r="TUV247" i="20" s="1"/>
  <c r="TUR247" i="20" s="1"/>
  <c r="TVC247" i="20"/>
  <c r="TUY247" i="20" l="1"/>
  <c r="TUU247" i="20" s="1"/>
  <c r="TUQ247" i="20" s="1"/>
  <c r="TUM247" i="20" s="1"/>
  <c r="TUX247" i="20"/>
  <c r="TUT247" i="20" l="1"/>
  <c r="TUP247" i="20" s="1"/>
  <c r="TUL247" i="20" s="1"/>
  <c r="TUH247" i="20" s="1"/>
  <c r="TUS247" i="20"/>
  <c r="TUO247" i="20" l="1"/>
  <c r="TUK247" i="20" s="1"/>
  <c r="TUG247" i="20" s="1"/>
  <c r="TUC247" i="20" s="1"/>
  <c r="TUN247" i="20"/>
  <c r="TUJ247" i="20" l="1"/>
  <c r="TUF247" i="20" s="1"/>
  <c r="TUB247" i="20" s="1"/>
  <c r="TTX247" i="20" s="1"/>
  <c r="TUI247" i="20"/>
  <c r="TUE247" i="20" l="1"/>
  <c r="TUA247" i="20" s="1"/>
  <c r="TTW247" i="20" s="1"/>
  <c r="TTS247" i="20" s="1"/>
  <c r="TUD247" i="20"/>
  <c r="TTZ247" i="20" l="1"/>
  <c r="TTV247" i="20" s="1"/>
  <c r="TTR247" i="20" s="1"/>
  <c r="TTN247" i="20" s="1"/>
  <c r="TTY247" i="20"/>
  <c r="TTU247" i="20" l="1"/>
  <c r="TTQ247" i="20" s="1"/>
  <c r="TTM247" i="20" s="1"/>
  <c r="TTI247" i="20" s="1"/>
  <c r="TTT247" i="20"/>
  <c r="TTP247" i="20" l="1"/>
  <c r="TTL247" i="20" s="1"/>
  <c r="TTH247" i="20" s="1"/>
  <c r="TTD247" i="20" s="1"/>
  <c r="TTO247" i="20"/>
  <c r="TTK247" i="20" l="1"/>
  <c r="TTG247" i="20" s="1"/>
  <c r="TTC247" i="20" s="1"/>
  <c r="TSY247" i="20" s="1"/>
  <c r="TTJ247" i="20"/>
  <c r="TTF247" i="20" l="1"/>
  <c r="TTB247" i="20" s="1"/>
  <c r="TSX247" i="20" s="1"/>
  <c r="TST247" i="20" s="1"/>
  <c r="TTE247" i="20"/>
  <c r="TTA247" i="20" l="1"/>
  <c r="TSW247" i="20" s="1"/>
  <c r="TSS247" i="20" s="1"/>
  <c r="TSO247" i="20" s="1"/>
  <c r="TSZ247" i="20"/>
  <c r="TSV247" i="20" l="1"/>
  <c r="TSR247" i="20" s="1"/>
  <c r="TSN247" i="20" s="1"/>
  <c r="TSJ247" i="20" s="1"/>
  <c r="TSU247" i="20"/>
  <c r="TSQ247" i="20" l="1"/>
  <c r="TSM247" i="20" s="1"/>
  <c r="TSI247" i="20" s="1"/>
  <c r="TSE247" i="20" s="1"/>
  <c r="TSP247" i="20"/>
  <c r="TSL247" i="20" l="1"/>
  <c r="TSH247" i="20" s="1"/>
  <c r="TSD247" i="20" s="1"/>
  <c r="TRZ247" i="20" s="1"/>
  <c r="TSK247" i="20"/>
  <c r="TSG247" i="20" l="1"/>
  <c r="TSC247" i="20" s="1"/>
  <c r="TRY247" i="20" s="1"/>
  <c r="TRU247" i="20" s="1"/>
  <c r="TSF247" i="20"/>
  <c r="TSB247" i="20" l="1"/>
  <c r="TRX247" i="20" s="1"/>
  <c r="TRT247" i="20" s="1"/>
  <c r="TRP247" i="20" s="1"/>
  <c r="TSA247" i="20"/>
  <c r="TRW247" i="20" l="1"/>
  <c r="TRS247" i="20" s="1"/>
  <c r="TRO247" i="20" s="1"/>
  <c r="TRK247" i="20" s="1"/>
  <c r="TRV247" i="20"/>
  <c r="TRR247" i="20" l="1"/>
  <c r="TRN247" i="20" s="1"/>
  <c r="TRJ247" i="20" s="1"/>
  <c r="TRF247" i="20" s="1"/>
  <c r="TRQ247" i="20"/>
  <c r="TRM247" i="20" l="1"/>
  <c r="TRI247" i="20" s="1"/>
  <c r="TRE247" i="20" s="1"/>
  <c r="TRA247" i="20" s="1"/>
  <c r="TRL247" i="20"/>
  <c r="TRH247" i="20" l="1"/>
  <c r="TRD247" i="20" s="1"/>
  <c r="TQZ247" i="20" s="1"/>
  <c r="TQV247" i="20" s="1"/>
  <c r="TRG247" i="20"/>
  <c r="TRC247" i="20" l="1"/>
  <c r="TQY247" i="20" s="1"/>
  <c r="TQU247" i="20" s="1"/>
  <c r="TQQ247" i="20" s="1"/>
  <c r="TRB247" i="20"/>
  <c r="TQX247" i="20" l="1"/>
  <c r="TQT247" i="20" s="1"/>
  <c r="TQP247" i="20" s="1"/>
  <c r="TQL247" i="20" s="1"/>
  <c r="TQW247" i="20"/>
  <c r="TQS247" i="20" l="1"/>
  <c r="TQO247" i="20" s="1"/>
  <c r="TQK247" i="20" s="1"/>
  <c r="TQG247" i="20" s="1"/>
  <c r="TQR247" i="20"/>
  <c r="TQN247" i="20" l="1"/>
  <c r="TQJ247" i="20" s="1"/>
  <c r="TQF247" i="20" s="1"/>
  <c r="TQB247" i="20" s="1"/>
  <c r="TQM247" i="20"/>
  <c r="TQI247" i="20" l="1"/>
  <c r="TQE247" i="20" s="1"/>
  <c r="TQA247" i="20" s="1"/>
  <c r="TPW247" i="20" s="1"/>
  <c r="TQH247" i="20"/>
  <c r="TQD247" i="20" l="1"/>
  <c r="TPZ247" i="20" s="1"/>
  <c r="TPV247" i="20" s="1"/>
  <c r="TPR247" i="20" s="1"/>
  <c r="TQC247" i="20"/>
  <c r="TPY247" i="20" l="1"/>
  <c r="TPU247" i="20" s="1"/>
  <c r="TPQ247" i="20" s="1"/>
  <c r="TPM247" i="20" s="1"/>
  <c r="TPX247" i="20"/>
  <c r="TPT247" i="20" l="1"/>
  <c r="TPP247" i="20" s="1"/>
  <c r="TPL247" i="20" s="1"/>
  <c r="TPH247" i="20" s="1"/>
  <c r="TPS247" i="20"/>
  <c r="TPO247" i="20" l="1"/>
  <c r="TPK247" i="20" s="1"/>
  <c r="TPG247" i="20" s="1"/>
  <c r="TPC247" i="20" s="1"/>
  <c r="TPN247" i="20"/>
  <c r="TPJ247" i="20" l="1"/>
  <c r="TPF247" i="20" s="1"/>
  <c r="TPB247" i="20" s="1"/>
  <c r="TOX247" i="20" s="1"/>
  <c r="TPI247" i="20"/>
  <c r="TPE247" i="20" l="1"/>
  <c r="TPA247" i="20" s="1"/>
  <c r="TOW247" i="20" s="1"/>
  <c r="TOS247" i="20" s="1"/>
  <c r="TPD247" i="20"/>
  <c r="TOZ247" i="20" l="1"/>
  <c r="TOV247" i="20" s="1"/>
  <c r="TOR247" i="20" s="1"/>
  <c r="TON247" i="20" s="1"/>
  <c r="TOY247" i="20"/>
  <c r="TOU247" i="20" l="1"/>
  <c r="TOQ247" i="20" s="1"/>
  <c r="TOM247" i="20" s="1"/>
  <c r="TOI247" i="20" s="1"/>
  <c r="TOT247" i="20"/>
  <c r="TOP247" i="20" l="1"/>
  <c r="TOL247" i="20" s="1"/>
  <c r="TOH247" i="20" s="1"/>
  <c r="TOD247" i="20" s="1"/>
  <c r="TOO247" i="20"/>
  <c r="TOK247" i="20" l="1"/>
  <c r="TOG247" i="20" s="1"/>
  <c r="TOC247" i="20" s="1"/>
  <c r="TNY247" i="20" s="1"/>
  <c r="TOJ247" i="20"/>
  <c r="TOF247" i="20" l="1"/>
  <c r="TOB247" i="20" s="1"/>
  <c r="TNX247" i="20" s="1"/>
  <c r="TNT247" i="20" s="1"/>
  <c r="TOE247" i="20"/>
  <c r="TOA247" i="20" l="1"/>
  <c r="TNW247" i="20" s="1"/>
  <c r="TNS247" i="20" s="1"/>
  <c r="TNO247" i="20" s="1"/>
  <c r="TNZ247" i="20"/>
  <c r="TNV247" i="20" l="1"/>
  <c r="TNR247" i="20" s="1"/>
  <c r="TNN247" i="20" s="1"/>
  <c r="TNJ247" i="20" s="1"/>
  <c r="TNU247" i="20"/>
  <c r="TNQ247" i="20" l="1"/>
  <c r="TNM247" i="20" s="1"/>
  <c r="TNI247" i="20" s="1"/>
  <c r="TNE247" i="20" s="1"/>
  <c r="TNP247" i="20"/>
  <c r="TNL247" i="20" l="1"/>
  <c r="TNH247" i="20" s="1"/>
  <c r="TND247" i="20" s="1"/>
  <c r="TMZ247" i="20" s="1"/>
  <c r="TNK247" i="20"/>
  <c r="TNG247" i="20" l="1"/>
  <c r="TNC247" i="20" s="1"/>
  <c r="TMY247" i="20" s="1"/>
  <c r="TMU247" i="20" s="1"/>
  <c r="TNF247" i="20"/>
  <c r="TNB247" i="20" l="1"/>
  <c r="TMX247" i="20" s="1"/>
  <c r="TMT247" i="20" s="1"/>
  <c r="TMP247" i="20" s="1"/>
  <c r="TNA247" i="20"/>
  <c r="TMW247" i="20" l="1"/>
  <c r="TMS247" i="20" s="1"/>
  <c r="TMO247" i="20" s="1"/>
  <c r="TMK247" i="20" s="1"/>
  <c r="TMV247" i="20"/>
  <c r="TMR247" i="20" l="1"/>
  <c r="TMN247" i="20" s="1"/>
  <c r="TMJ247" i="20" s="1"/>
  <c r="TMF247" i="20" s="1"/>
  <c r="TMQ247" i="20"/>
  <c r="TMM247" i="20" l="1"/>
  <c r="TMI247" i="20" s="1"/>
  <c r="TME247" i="20" s="1"/>
  <c r="TMA247" i="20" s="1"/>
  <c r="TML247" i="20"/>
  <c r="TMH247" i="20" l="1"/>
  <c r="TMD247" i="20" s="1"/>
  <c r="TLZ247" i="20" s="1"/>
  <c r="TLV247" i="20" s="1"/>
  <c r="TMG247" i="20"/>
  <c r="TMC247" i="20" l="1"/>
  <c r="TLY247" i="20" s="1"/>
  <c r="TLU247" i="20" s="1"/>
  <c r="TLQ247" i="20" s="1"/>
  <c r="TMB247" i="20"/>
  <c r="TLX247" i="20" l="1"/>
  <c r="TLT247" i="20" s="1"/>
  <c r="TLP247" i="20" s="1"/>
  <c r="TLL247" i="20" s="1"/>
  <c r="TLW247" i="20"/>
  <c r="TLS247" i="20" l="1"/>
  <c r="TLO247" i="20" s="1"/>
  <c r="TLK247" i="20" s="1"/>
  <c r="TLG247" i="20" s="1"/>
  <c r="TLR247" i="20"/>
  <c r="TLN247" i="20" l="1"/>
  <c r="TLJ247" i="20" s="1"/>
  <c r="TLF247" i="20" s="1"/>
  <c r="TLB247" i="20" s="1"/>
  <c r="TLM247" i="20"/>
  <c r="TLI247" i="20" l="1"/>
  <c r="TLE247" i="20" s="1"/>
  <c r="TLA247" i="20" s="1"/>
  <c r="TKW247" i="20" s="1"/>
  <c r="TLH247" i="20"/>
  <c r="TLD247" i="20" l="1"/>
  <c r="TKZ247" i="20" s="1"/>
  <c r="TKV247" i="20" s="1"/>
  <c r="TKR247" i="20" s="1"/>
  <c r="TLC247" i="20"/>
  <c r="TKY247" i="20" l="1"/>
  <c r="TKU247" i="20" s="1"/>
  <c r="TKQ247" i="20" s="1"/>
  <c r="TKM247" i="20" s="1"/>
  <c r="TKX247" i="20"/>
  <c r="TKT247" i="20" l="1"/>
  <c r="TKP247" i="20" s="1"/>
  <c r="TKL247" i="20" s="1"/>
  <c r="TKH247" i="20" s="1"/>
  <c r="TKS247" i="20"/>
  <c r="TKO247" i="20" l="1"/>
  <c r="TKK247" i="20" s="1"/>
  <c r="TKG247" i="20" s="1"/>
  <c r="TKC247" i="20" s="1"/>
  <c r="TKN247" i="20"/>
  <c r="TKJ247" i="20" l="1"/>
  <c r="TKF247" i="20" s="1"/>
  <c r="TKB247" i="20" s="1"/>
  <c r="TJX247" i="20" s="1"/>
  <c r="TKI247" i="20"/>
  <c r="TKE247" i="20" l="1"/>
  <c r="TKA247" i="20" s="1"/>
  <c r="TJW247" i="20" s="1"/>
  <c r="TJS247" i="20" s="1"/>
  <c r="TKD247" i="20"/>
  <c r="TJZ247" i="20" l="1"/>
  <c r="TJV247" i="20" s="1"/>
  <c r="TJR247" i="20" s="1"/>
  <c r="TJN247" i="20" s="1"/>
  <c r="TJY247" i="20"/>
  <c r="TJU247" i="20" l="1"/>
  <c r="TJQ247" i="20" s="1"/>
  <c r="TJM247" i="20" s="1"/>
  <c r="TJI247" i="20" s="1"/>
  <c r="TJT247" i="20"/>
  <c r="TJP247" i="20" l="1"/>
  <c r="TJL247" i="20" s="1"/>
  <c r="TJH247" i="20" s="1"/>
  <c r="TJD247" i="20" s="1"/>
  <c r="TJO247" i="20"/>
  <c r="TJK247" i="20" l="1"/>
  <c r="TJG247" i="20" s="1"/>
  <c r="TJC247" i="20" s="1"/>
  <c r="TIY247" i="20" s="1"/>
  <c r="TJJ247" i="20"/>
  <c r="TJF247" i="20" l="1"/>
  <c r="TJB247" i="20" s="1"/>
  <c r="TIX247" i="20" s="1"/>
  <c r="TIT247" i="20" s="1"/>
  <c r="TJE247" i="20"/>
  <c r="TJA247" i="20" l="1"/>
  <c r="TIW247" i="20" s="1"/>
  <c r="TIS247" i="20" s="1"/>
  <c r="TIO247" i="20" s="1"/>
  <c r="TIZ247" i="20"/>
  <c r="TIV247" i="20" l="1"/>
  <c r="TIR247" i="20" s="1"/>
  <c r="TIN247" i="20" s="1"/>
  <c r="TIJ247" i="20" s="1"/>
  <c r="TIU247" i="20"/>
  <c r="TIQ247" i="20" l="1"/>
  <c r="TIM247" i="20" s="1"/>
  <c r="TII247" i="20" s="1"/>
  <c r="TIE247" i="20" s="1"/>
  <c r="TIP247" i="20"/>
  <c r="TIL247" i="20" l="1"/>
  <c r="TIH247" i="20" s="1"/>
  <c r="TID247" i="20" s="1"/>
  <c r="THZ247" i="20" s="1"/>
  <c r="TIK247" i="20"/>
  <c r="TIG247" i="20" l="1"/>
  <c r="TIC247" i="20" s="1"/>
  <c r="THY247" i="20" s="1"/>
  <c r="THU247" i="20" s="1"/>
  <c r="TIF247" i="20"/>
  <c r="TIB247" i="20" l="1"/>
  <c r="THX247" i="20" s="1"/>
  <c r="THT247" i="20" s="1"/>
  <c r="THP247" i="20" s="1"/>
  <c r="TIA247" i="20"/>
  <c r="THW247" i="20" l="1"/>
  <c r="THS247" i="20" s="1"/>
  <c r="THO247" i="20" s="1"/>
  <c r="THK247" i="20" s="1"/>
  <c r="THV247" i="20"/>
  <c r="THR247" i="20" l="1"/>
  <c r="THN247" i="20" s="1"/>
  <c r="THJ247" i="20" s="1"/>
  <c r="THF247" i="20" s="1"/>
  <c r="THQ247" i="20"/>
  <c r="THM247" i="20" l="1"/>
  <c r="THI247" i="20" s="1"/>
  <c r="THE247" i="20" s="1"/>
  <c r="THA247" i="20" s="1"/>
  <c r="THL247" i="20"/>
  <c r="THH247" i="20" l="1"/>
  <c r="THD247" i="20" s="1"/>
  <c r="TGZ247" i="20" s="1"/>
  <c r="TGV247" i="20" s="1"/>
  <c r="THG247" i="20"/>
  <c r="THC247" i="20" l="1"/>
  <c r="TGY247" i="20" s="1"/>
  <c r="TGU247" i="20" s="1"/>
  <c r="TGQ247" i="20" s="1"/>
  <c r="THB247" i="20"/>
  <c r="TGX247" i="20" l="1"/>
  <c r="TGT247" i="20" s="1"/>
  <c r="TGP247" i="20" s="1"/>
  <c r="TGL247" i="20" s="1"/>
  <c r="TGW247" i="20"/>
  <c r="TGS247" i="20" l="1"/>
  <c r="TGO247" i="20" s="1"/>
  <c r="TGK247" i="20" s="1"/>
  <c r="TGG247" i="20" s="1"/>
  <c r="TGR247" i="20"/>
  <c r="TGN247" i="20" l="1"/>
  <c r="TGJ247" i="20" s="1"/>
  <c r="TGF247" i="20" s="1"/>
  <c r="TGB247" i="20" s="1"/>
  <c r="TGM247" i="20"/>
  <c r="TGI247" i="20" l="1"/>
  <c r="TGE247" i="20" s="1"/>
  <c r="TGA247" i="20" s="1"/>
  <c r="TFW247" i="20" s="1"/>
  <c r="TGH247" i="20"/>
  <c r="TGD247" i="20" l="1"/>
  <c r="TFZ247" i="20" s="1"/>
  <c r="TFV247" i="20" s="1"/>
  <c r="TFR247" i="20" s="1"/>
  <c r="TGC247" i="20"/>
  <c r="TFY247" i="20" l="1"/>
  <c r="TFU247" i="20" s="1"/>
  <c r="TFQ247" i="20" s="1"/>
  <c r="TFM247" i="20" s="1"/>
  <c r="TFX247" i="20"/>
  <c r="TFT247" i="20" l="1"/>
  <c r="TFP247" i="20" s="1"/>
  <c r="TFL247" i="20" s="1"/>
  <c r="TFH247" i="20" s="1"/>
  <c r="TFS247" i="20"/>
  <c r="TFO247" i="20" l="1"/>
  <c r="TFK247" i="20" s="1"/>
  <c r="TFG247" i="20" s="1"/>
  <c r="TFC247" i="20" s="1"/>
  <c r="TFN247" i="20"/>
  <c r="TFJ247" i="20" l="1"/>
  <c r="TFF247" i="20" s="1"/>
  <c r="TFB247" i="20" s="1"/>
  <c r="TEX247" i="20" s="1"/>
  <c r="TFI247" i="20"/>
  <c r="TFE247" i="20" l="1"/>
  <c r="TFA247" i="20" s="1"/>
  <c r="TEW247" i="20" s="1"/>
  <c r="TES247" i="20" s="1"/>
  <c r="TFD247" i="20"/>
  <c r="TEZ247" i="20" l="1"/>
  <c r="TEV247" i="20" s="1"/>
  <c r="TER247" i="20" s="1"/>
  <c r="TEN247" i="20" s="1"/>
  <c r="TEY247" i="20"/>
  <c r="TEU247" i="20" l="1"/>
  <c r="TEQ247" i="20" s="1"/>
  <c r="TEM247" i="20" s="1"/>
  <c r="TEI247" i="20" s="1"/>
  <c r="TET247" i="20"/>
  <c r="TEP247" i="20" l="1"/>
  <c r="TEL247" i="20" s="1"/>
  <c r="TEH247" i="20" s="1"/>
  <c r="TED247" i="20" s="1"/>
  <c r="TEO247" i="20"/>
  <c r="TEK247" i="20" l="1"/>
  <c r="TEG247" i="20" s="1"/>
  <c r="TEC247" i="20" s="1"/>
  <c r="TDY247" i="20" s="1"/>
  <c r="TEJ247" i="20"/>
  <c r="TEF247" i="20" l="1"/>
  <c r="TEB247" i="20" s="1"/>
  <c r="TDX247" i="20" s="1"/>
  <c r="TDT247" i="20" s="1"/>
  <c r="TEE247" i="20"/>
  <c r="TEA247" i="20" l="1"/>
  <c r="TDW247" i="20" s="1"/>
  <c r="TDS247" i="20" s="1"/>
  <c r="TDO247" i="20" s="1"/>
  <c r="TDZ247" i="20"/>
  <c r="TDV247" i="20" l="1"/>
  <c r="TDR247" i="20" s="1"/>
  <c r="TDN247" i="20" s="1"/>
  <c r="TDJ247" i="20" s="1"/>
  <c r="TDU247" i="20"/>
  <c r="TDQ247" i="20" l="1"/>
  <c r="TDM247" i="20" s="1"/>
  <c r="TDI247" i="20" s="1"/>
  <c r="TDE247" i="20" s="1"/>
  <c r="TDP247" i="20"/>
  <c r="TDL247" i="20" l="1"/>
  <c r="TDH247" i="20" s="1"/>
  <c r="TDD247" i="20" s="1"/>
  <c r="TCZ247" i="20" s="1"/>
  <c r="TDK247" i="20"/>
  <c r="TDG247" i="20" l="1"/>
  <c r="TDC247" i="20" s="1"/>
  <c r="TCY247" i="20" s="1"/>
  <c r="TCU247" i="20" s="1"/>
  <c r="TDF247" i="20"/>
  <c r="TDB247" i="20" l="1"/>
  <c r="TCX247" i="20" s="1"/>
  <c r="TCT247" i="20" s="1"/>
  <c r="TCP247" i="20" s="1"/>
  <c r="TDA247" i="20"/>
  <c r="TCW247" i="20" l="1"/>
  <c r="TCS247" i="20" s="1"/>
  <c r="TCO247" i="20" s="1"/>
  <c r="TCK247" i="20" s="1"/>
  <c r="TCV247" i="20"/>
  <c r="TCR247" i="20" l="1"/>
  <c r="TCN247" i="20" s="1"/>
  <c r="TCJ247" i="20" s="1"/>
  <c r="TCF247" i="20" s="1"/>
  <c r="TCQ247" i="20"/>
  <c r="TCM247" i="20" l="1"/>
  <c r="TCI247" i="20" s="1"/>
  <c r="TCE247" i="20" s="1"/>
  <c r="TCA247" i="20" s="1"/>
  <c r="TCL247" i="20"/>
  <c r="TCH247" i="20" l="1"/>
  <c r="TCD247" i="20" s="1"/>
  <c r="TBZ247" i="20" s="1"/>
  <c r="TBV247" i="20" s="1"/>
  <c r="TCG247" i="20"/>
  <c r="TCC247" i="20" l="1"/>
  <c r="TBY247" i="20" s="1"/>
  <c r="TBU247" i="20" s="1"/>
  <c r="TBQ247" i="20" s="1"/>
  <c r="TCB247" i="20"/>
  <c r="TBX247" i="20" l="1"/>
  <c r="TBT247" i="20" s="1"/>
  <c r="TBP247" i="20" s="1"/>
  <c r="TBL247" i="20" s="1"/>
  <c r="TBW247" i="20"/>
  <c r="TBS247" i="20" l="1"/>
  <c r="TBO247" i="20" s="1"/>
  <c r="TBK247" i="20" s="1"/>
  <c r="TBG247" i="20" s="1"/>
  <c r="TBR247" i="20"/>
  <c r="TBN247" i="20" l="1"/>
  <c r="TBJ247" i="20" s="1"/>
  <c r="TBF247" i="20" s="1"/>
  <c r="TBB247" i="20" s="1"/>
  <c r="TBM247" i="20"/>
  <c r="TBI247" i="20" l="1"/>
  <c r="TBE247" i="20" s="1"/>
  <c r="TBA247" i="20" s="1"/>
  <c r="TAW247" i="20" s="1"/>
  <c r="TBH247" i="20"/>
  <c r="TBD247" i="20" l="1"/>
  <c r="TAZ247" i="20" s="1"/>
  <c r="TAV247" i="20" s="1"/>
  <c r="TAR247" i="20" s="1"/>
  <c r="TBC247" i="20"/>
  <c r="TAY247" i="20" l="1"/>
  <c r="TAU247" i="20" s="1"/>
  <c r="TAQ247" i="20" s="1"/>
  <c r="TAM247" i="20" s="1"/>
  <c r="TAX247" i="20"/>
  <c r="TAT247" i="20" l="1"/>
  <c r="TAP247" i="20" s="1"/>
  <c r="TAL247" i="20" s="1"/>
  <c r="TAH247" i="20" s="1"/>
  <c r="TAS247" i="20"/>
  <c r="TAO247" i="20" l="1"/>
  <c r="TAK247" i="20" s="1"/>
  <c r="TAG247" i="20" s="1"/>
  <c r="TAC247" i="20" s="1"/>
  <c r="TAN247" i="20"/>
  <c r="TAJ247" i="20" l="1"/>
  <c r="TAF247" i="20" s="1"/>
  <c r="TAB247" i="20" s="1"/>
  <c r="SZX247" i="20" s="1"/>
  <c r="TAI247" i="20"/>
  <c r="TAE247" i="20" l="1"/>
  <c r="TAA247" i="20" s="1"/>
  <c r="SZW247" i="20" s="1"/>
  <c r="SZS247" i="20" s="1"/>
  <c r="TAD247" i="20"/>
  <c r="SZZ247" i="20" l="1"/>
  <c r="SZV247" i="20" s="1"/>
  <c r="SZR247" i="20" s="1"/>
  <c r="SZN247" i="20" s="1"/>
  <c r="SZY247" i="20"/>
  <c r="SZU247" i="20" l="1"/>
  <c r="SZQ247" i="20" s="1"/>
  <c r="SZM247" i="20" s="1"/>
  <c r="SZI247" i="20" s="1"/>
  <c r="SZT247" i="20"/>
  <c r="SZP247" i="20" l="1"/>
  <c r="SZL247" i="20" s="1"/>
  <c r="SZH247" i="20" s="1"/>
  <c r="SZD247" i="20" s="1"/>
  <c r="SZO247" i="20"/>
  <c r="SZK247" i="20" l="1"/>
  <c r="SZG247" i="20" s="1"/>
  <c r="SZC247" i="20" s="1"/>
  <c r="SYY247" i="20" s="1"/>
  <c r="SZJ247" i="20"/>
  <c r="SZF247" i="20" l="1"/>
  <c r="SZB247" i="20" s="1"/>
  <c r="SYX247" i="20" s="1"/>
  <c r="SYT247" i="20" s="1"/>
  <c r="SZE247" i="20"/>
  <c r="SZA247" i="20" l="1"/>
  <c r="SYW247" i="20" s="1"/>
  <c r="SYS247" i="20" s="1"/>
  <c r="SYO247" i="20" s="1"/>
  <c r="SYZ247" i="20"/>
  <c r="SYV247" i="20" l="1"/>
  <c r="SYR247" i="20" s="1"/>
  <c r="SYN247" i="20" s="1"/>
  <c r="SYJ247" i="20" s="1"/>
  <c r="SYU247" i="20"/>
  <c r="SYQ247" i="20" l="1"/>
  <c r="SYM247" i="20" s="1"/>
  <c r="SYI247" i="20" s="1"/>
  <c r="SYE247" i="20" s="1"/>
  <c r="SYP247" i="20"/>
  <c r="SYL247" i="20" l="1"/>
  <c r="SYH247" i="20" s="1"/>
  <c r="SYD247" i="20" s="1"/>
  <c r="SXZ247" i="20" s="1"/>
  <c r="SYK247" i="20"/>
  <c r="SYG247" i="20" l="1"/>
  <c r="SYC247" i="20" s="1"/>
  <c r="SXY247" i="20" s="1"/>
  <c r="SXU247" i="20" s="1"/>
  <c r="SYF247" i="20"/>
  <c r="SYB247" i="20" l="1"/>
  <c r="SXX247" i="20" s="1"/>
  <c r="SXT247" i="20" s="1"/>
  <c r="SXP247" i="20" s="1"/>
  <c r="SYA247" i="20"/>
  <c r="SXW247" i="20" l="1"/>
  <c r="SXS247" i="20" s="1"/>
  <c r="SXO247" i="20" s="1"/>
  <c r="SXK247" i="20" s="1"/>
  <c r="SXV247" i="20"/>
  <c r="SXR247" i="20" l="1"/>
  <c r="SXN247" i="20" s="1"/>
  <c r="SXJ247" i="20" s="1"/>
  <c r="SXF247" i="20" s="1"/>
  <c r="SXQ247" i="20"/>
  <c r="SXM247" i="20" l="1"/>
  <c r="SXI247" i="20" s="1"/>
  <c r="SXE247" i="20" s="1"/>
  <c r="SXA247" i="20" s="1"/>
  <c r="SXL247" i="20"/>
  <c r="SXH247" i="20" l="1"/>
  <c r="SXD247" i="20" s="1"/>
  <c r="SWZ247" i="20" s="1"/>
  <c r="SWV247" i="20" s="1"/>
  <c r="SXG247" i="20"/>
  <c r="SXC247" i="20" l="1"/>
  <c r="SWY247" i="20" s="1"/>
  <c r="SWU247" i="20" s="1"/>
  <c r="SWQ247" i="20" s="1"/>
  <c r="SXB247" i="20"/>
  <c r="SWX247" i="20" l="1"/>
  <c r="SWT247" i="20" s="1"/>
  <c r="SWP247" i="20" s="1"/>
  <c r="SWL247" i="20" s="1"/>
  <c r="SWW247" i="20"/>
  <c r="SWS247" i="20" l="1"/>
  <c r="SWO247" i="20" s="1"/>
  <c r="SWK247" i="20" s="1"/>
  <c r="SWG247" i="20" s="1"/>
  <c r="SWR247" i="20"/>
  <c r="SWN247" i="20" l="1"/>
  <c r="SWJ247" i="20" s="1"/>
  <c r="SWF247" i="20" s="1"/>
  <c r="SWB247" i="20" s="1"/>
  <c r="SWM247" i="20"/>
  <c r="SWI247" i="20" l="1"/>
  <c r="SWE247" i="20" s="1"/>
  <c r="SWA247" i="20" s="1"/>
  <c r="SVW247" i="20" s="1"/>
  <c r="SWH247" i="20"/>
  <c r="SWD247" i="20" l="1"/>
  <c r="SVZ247" i="20" s="1"/>
  <c r="SVV247" i="20" s="1"/>
  <c r="SVR247" i="20" s="1"/>
  <c r="SWC247" i="20"/>
  <c r="SVY247" i="20" l="1"/>
  <c r="SVU247" i="20" s="1"/>
  <c r="SVQ247" i="20" s="1"/>
  <c r="SVM247" i="20" s="1"/>
  <c r="SVX247" i="20"/>
  <c r="SVT247" i="20" l="1"/>
  <c r="SVP247" i="20" s="1"/>
  <c r="SVL247" i="20" s="1"/>
  <c r="SVH247" i="20" s="1"/>
  <c r="SVS247" i="20"/>
  <c r="SVO247" i="20" l="1"/>
  <c r="SVK247" i="20" s="1"/>
  <c r="SVG247" i="20" s="1"/>
  <c r="SVC247" i="20" s="1"/>
  <c r="SVN247" i="20"/>
  <c r="SVJ247" i="20" l="1"/>
  <c r="SVF247" i="20" s="1"/>
  <c r="SVB247" i="20" s="1"/>
  <c r="SUX247" i="20" s="1"/>
  <c r="SVI247" i="20"/>
  <c r="SVE247" i="20" l="1"/>
  <c r="SVA247" i="20" s="1"/>
  <c r="SUW247" i="20" s="1"/>
  <c r="SUS247" i="20" s="1"/>
  <c r="SVD247" i="20"/>
  <c r="SUZ247" i="20" l="1"/>
  <c r="SUV247" i="20" s="1"/>
  <c r="SUR247" i="20" s="1"/>
  <c r="SUN247" i="20" s="1"/>
  <c r="SUY247" i="20"/>
  <c r="SUU247" i="20" l="1"/>
  <c r="SUQ247" i="20" s="1"/>
  <c r="SUM247" i="20" s="1"/>
  <c r="SUI247" i="20" s="1"/>
  <c r="SUT247" i="20"/>
  <c r="SUP247" i="20" l="1"/>
  <c r="SUL247" i="20" s="1"/>
  <c r="SUH247" i="20" s="1"/>
  <c r="SUD247" i="20" s="1"/>
  <c r="SUO247" i="20"/>
  <c r="SUK247" i="20" l="1"/>
  <c r="SUG247" i="20" s="1"/>
  <c r="SUC247" i="20" s="1"/>
  <c r="STY247" i="20" s="1"/>
  <c r="SUJ247" i="20"/>
  <c r="SUF247" i="20" l="1"/>
  <c r="SUB247" i="20" s="1"/>
  <c r="STX247" i="20" s="1"/>
  <c r="STT247" i="20" s="1"/>
  <c r="SUE247" i="20"/>
  <c r="SUA247" i="20" l="1"/>
  <c r="STW247" i="20" s="1"/>
  <c r="STS247" i="20" s="1"/>
  <c r="STO247" i="20" s="1"/>
  <c r="STZ247" i="20"/>
  <c r="STV247" i="20" l="1"/>
  <c r="STR247" i="20" s="1"/>
  <c r="STN247" i="20" s="1"/>
  <c r="STJ247" i="20" s="1"/>
  <c r="STU247" i="20"/>
  <c r="STQ247" i="20" l="1"/>
  <c r="STM247" i="20" s="1"/>
  <c r="STI247" i="20" s="1"/>
  <c r="STE247" i="20" s="1"/>
  <c r="STP247" i="20"/>
  <c r="STL247" i="20" l="1"/>
  <c r="STH247" i="20" s="1"/>
  <c r="STD247" i="20" s="1"/>
  <c r="SSZ247" i="20" s="1"/>
  <c r="STK247" i="20"/>
  <c r="STG247" i="20" l="1"/>
  <c r="STC247" i="20" s="1"/>
  <c r="SSY247" i="20" s="1"/>
  <c r="SSU247" i="20" s="1"/>
  <c r="STF247" i="20"/>
  <c r="STB247" i="20" l="1"/>
  <c r="SSX247" i="20" s="1"/>
  <c r="SST247" i="20" s="1"/>
  <c r="SSP247" i="20" s="1"/>
  <c r="STA247" i="20"/>
  <c r="SSW247" i="20" l="1"/>
  <c r="SSS247" i="20" s="1"/>
  <c r="SSO247" i="20" s="1"/>
  <c r="SSK247" i="20" s="1"/>
  <c r="SSV247" i="20"/>
  <c r="SSR247" i="20" l="1"/>
  <c r="SSN247" i="20" s="1"/>
  <c r="SSJ247" i="20" s="1"/>
  <c r="SSF247" i="20" s="1"/>
  <c r="SSQ247" i="20"/>
  <c r="SSM247" i="20" l="1"/>
  <c r="SSI247" i="20" s="1"/>
  <c r="SSE247" i="20" s="1"/>
  <c r="SSA247" i="20" s="1"/>
  <c r="SSL247" i="20"/>
  <c r="SSH247" i="20" l="1"/>
  <c r="SSD247" i="20" s="1"/>
  <c r="SRZ247" i="20" s="1"/>
  <c r="SRV247" i="20" s="1"/>
  <c r="SSG247" i="20"/>
  <c r="SSC247" i="20" l="1"/>
  <c r="SRY247" i="20" s="1"/>
  <c r="SRU247" i="20" s="1"/>
  <c r="SRQ247" i="20" s="1"/>
  <c r="SSB247" i="20"/>
  <c r="SRX247" i="20" l="1"/>
  <c r="SRT247" i="20" s="1"/>
  <c r="SRP247" i="20" s="1"/>
  <c r="SRL247" i="20" s="1"/>
  <c r="SRW247" i="20"/>
  <c r="SRS247" i="20" l="1"/>
  <c r="SRO247" i="20" s="1"/>
  <c r="SRK247" i="20" s="1"/>
  <c r="SRG247" i="20" s="1"/>
  <c r="SRR247" i="20"/>
  <c r="SRN247" i="20" l="1"/>
  <c r="SRJ247" i="20" s="1"/>
  <c r="SRF247" i="20" s="1"/>
  <c r="SRB247" i="20" s="1"/>
  <c r="SRM247" i="20"/>
  <c r="SRI247" i="20" l="1"/>
  <c r="SRE247" i="20" s="1"/>
  <c r="SRA247" i="20" s="1"/>
  <c r="SQW247" i="20" s="1"/>
  <c r="SRH247" i="20"/>
  <c r="SRD247" i="20" l="1"/>
  <c r="SQZ247" i="20" s="1"/>
  <c r="SQV247" i="20" s="1"/>
  <c r="SQR247" i="20" s="1"/>
  <c r="SRC247" i="20"/>
  <c r="SQY247" i="20" l="1"/>
  <c r="SQU247" i="20" s="1"/>
  <c r="SQQ247" i="20" s="1"/>
  <c r="SQM247" i="20" s="1"/>
  <c r="SQX247" i="20"/>
  <c r="SQT247" i="20" l="1"/>
  <c r="SQP247" i="20" s="1"/>
  <c r="SQL247" i="20" s="1"/>
  <c r="SQH247" i="20" s="1"/>
  <c r="SQS247" i="20"/>
  <c r="SQO247" i="20" l="1"/>
  <c r="SQK247" i="20" s="1"/>
  <c r="SQG247" i="20" s="1"/>
  <c r="SQC247" i="20" s="1"/>
  <c r="SQN247" i="20"/>
  <c r="SQJ247" i="20" l="1"/>
  <c r="SQF247" i="20" s="1"/>
  <c r="SQB247" i="20" s="1"/>
  <c r="SPX247" i="20" s="1"/>
  <c r="SQI247" i="20"/>
  <c r="SQE247" i="20" l="1"/>
  <c r="SQA247" i="20" s="1"/>
  <c r="SPW247" i="20" s="1"/>
  <c r="SPS247" i="20" s="1"/>
  <c r="SQD247" i="20"/>
  <c r="SPZ247" i="20" l="1"/>
  <c r="SPV247" i="20" s="1"/>
  <c r="SPR247" i="20" s="1"/>
  <c r="SPN247" i="20" s="1"/>
  <c r="SPY247" i="20"/>
  <c r="SPU247" i="20" l="1"/>
  <c r="SPQ247" i="20" s="1"/>
  <c r="SPM247" i="20" s="1"/>
  <c r="SPI247" i="20" s="1"/>
  <c r="SPT247" i="20"/>
  <c r="SPP247" i="20" l="1"/>
  <c r="SPL247" i="20" s="1"/>
  <c r="SPH247" i="20" s="1"/>
  <c r="SPD247" i="20" s="1"/>
  <c r="SPO247" i="20"/>
  <c r="SPK247" i="20" l="1"/>
  <c r="SPG247" i="20" s="1"/>
  <c r="SPC247" i="20" s="1"/>
  <c r="SOY247" i="20" s="1"/>
  <c r="SPJ247" i="20"/>
  <c r="SPF247" i="20" l="1"/>
  <c r="SPB247" i="20" s="1"/>
  <c r="SOX247" i="20" s="1"/>
  <c r="SOT247" i="20" s="1"/>
  <c r="SPE247" i="20"/>
  <c r="SPA247" i="20" l="1"/>
  <c r="SOW247" i="20" s="1"/>
  <c r="SOS247" i="20" s="1"/>
  <c r="SOO247" i="20" s="1"/>
  <c r="SOZ247" i="20"/>
  <c r="SOV247" i="20" l="1"/>
  <c r="SOR247" i="20" s="1"/>
  <c r="SON247" i="20" s="1"/>
  <c r="SOJ247" i="20" s="1"/>
  <c r="SOU247" i="20"/>
  <c r="SOQ247" i="20" l="1"/>
  <c r="SOM247" i="20" s="1"/>
  <c r="SOI247" i="20" s="1"/>
  <c r="SOE247" i="20" s="1"/>
  <c r="SOP247" i="20"/>
  <c r="SOL247" i="20" l="1"/>
  <c r="SOH247" i="20" s="1"/>
  <c r="SOD247" i="20" s="1"/>
  <c r="SNZ247" i="20" s="1"/>
  <c r="SOK247" i="20"/>
  <c r="SOG247" i="20" l="1"/>
  <c r="SOC247" i="20" s="1"/>
  <c r="SNY247" i="20" s="1"/>
  <c r="SNU247" i="20" s="1"/>
  <c r="SOF247" i="20"/>
  <c r="SOB247" i="20" l="1"/>
  <c r="SNX247" i="20" s="1"/>
  <c r="SNT247" i="20" s="1"/>
  <c r="SNP247" i="20" s="1"/>
  <c r="SOA247" i="20"/>
  <c r="SNW247" i="20" l="1"/>
  <c r="SNS247" i="20" s="1"/>
  <c r="SNO247" i="20" s="1"/>
  <c r="SNK247" i="20" s="1"/>
  <c r="SNV247" i="20"/>
  <c r="SNR247" i="20" l="1"/>
  <c r="SNN247" i="20" s="1"/>
  <c r="SNJ247" i="20" s="1"/>
  <c r="SNF247" i="20" s="1"/>
  <c r="SNQ247" i="20"/>
  <c r="SNM247" i="20" l="1"/>
  <c r="SNI247" i="20" s="1"/>
  <c r="SNE247" i="20" s="1"/>
  <c r="SNA247" i="20" s="1"/>
  <c r="SNL247" i="20"/>
  <c r="SNH247" i="20" l="1"/>
  <c r="SND247" i="20" s="1"/>
  <c r="SMZ247" i="20" s="1"/>
  <c r="SMV247" i="20" s="1"/>
  <c r="SNG247" i="20"/>
  <c r="SNC247" i="20" l="1"/>
  <c r="SMY247" i="20" s="1"/>
  <c r="SMU247" i="20" s="1"/>
  <c r="SMQ247" i="20" s="1"/>
  <c r="SNB247" i="20"/>
  <c r="SMX247" i="20" l="1"/>
  <c r="SMT247" i="20" s="1"/>
  <c r="SMP247" i="20" s="1"/>
  <c r="SML247" i="20" s="1"/>
  <c r="SMW247" i="20"/>
  <c r="SMS247" i="20" l="1"/>
  <c r="SMO247" i="20" s="1"/>
  <c r="SMK247" i="20" s="1"/>
  <c r="SMG247" i="20" s="1"/>
  <c r="SMR247" i="20"/>
  <c r="SMN247" i="20" l="1"/>
  <c r="SMJ247" i="20" s="1"/>
  <c r="SMF247" i="20" s="1"/>
  <c r="SMB247" i="20" s="1"/>
  <c r="SMM247" i="20"/>
  <c r="SMI247" i="20" l="1"/>
  <c r="SME247" i="20" s="1"/>
  <c r="SMA247" i="20" s="1"/>
  <c r="SLW247" i="20" s="1"/>
  <c r="SMH247" i="20"/>
  <c r="SMD247" i="20" l="1"/>
  <c r="SLZ247" i="20" s="1"/>
  <c r="SLV247" i="20" s="1"/>
  <c r="SLR247" i="20" s="1"/>
  <c r="SMC247" i="20"/>
  <c r="SLY247" i="20" l="1"/>
  <c r="SLU247" i="20" s="1"/>
  <c r="SLQ247" i="20" s="1"/>
  <c r="SLM247" i="20" s="1"/>
  <c r="SLX247" i="20"/>
  <c r="SLT247" i="20" l="1"/>
  <c r="SLP247" i="20" s="1"/>
  <c r="SLL247" i="20" s="1"/>
  <c r="SLH247" i="20" s="1"/>
  <c r="SLS247" i="20"/>
  <c r="SLO247" i="20" l="1"/>
  <c r="SLK247" i="20" s="1"/>
  <c r="SLG247" i="20" s="1"/>
  <c r="SLC247" i="20" s="1"/>
  <c r="SLN247" i="20"/>
  <c r="SLJ247" i="20" l="1"/>
  <c r="SLF247" i="20" s="1"/>
  <c r="SLB247" i="20" s="1"/>
  <c r="SKX247" i="20" s="1"/>
  <c r="SLI247" i="20"/>
  <c r="SLE247" i="20" l="1"/>
  <c r="SLA247" i="20" s="1"/>
  <c r="SKW247" i="20" s="1"/>
  <c r="SKS247" i="20" s="1"/>
  <c r="SLD247" i="20"/>
  <c r="SKZ247" i="20" l="1"/>
  <c r="SKV247" i="20" s="1"/>
  <c r="SKR247" i="20" s="1"/>
  <c r="SKN247" i="20" s="1"/>
  <c r="SKY247" i="20"/>
  <c r="SKU247" i="20" l="1"/>
  <c r="SKQ247" i="20" s="1"/>
  <c r="SKM247" i="20" s="1"/>
  <c r="SKI247" i="20" s="1"/>
  <c r="SKT247" i="20"/>
  <c r="SKP247" i="20" l="1"/>
  <c r="SKL247" i="20" s="1"/>
  <c r="SKH247" i="20" s="1"/>
  <c r="SKD247" i="20" s="1"/>
  <c r="SKO247" i="20"/>
  <c r="SKK247" i="20" l="1"/>
  <c r="SKG247" i="20" s="1"/>
  <c r="SKC247" i="20" s="1"/>
  <c r="SJY247" i="20" s="1"/>
  <c r="SKJ247" i="20"/>
  <c r="SKF247" i="20" l="1"/>
  <c r="SKB247" i="20" s="1"/>
  <c r="SJX247" i="20" s="1"/>
  <c r="SJT247" i="20" s="1"/>
  <c r="SKE247" i="20"/>
  <c r="SKA247" i="20" l="1"/>
  <c r="SJW247" i="20" s="1"/>
  <c r="SJS247" i="20" s="1"/>
  <c r="SJO247" i="20" s="1"/>
  <c r="SJZ247" i="20"/>
  <c r="SJV247" i="20" l="1"/>
  <c r="SJR247" i="20" s="1"/>
  <c r="SJN247" i="20" s="1"/>
  <c r="SJJ247" i="20" s="1"/>
  <c r="SJU247" i="20"/>
  <c r="SJQ247" i="20" l="1"/>
  <c r="SJM247" i="20" s="1"/>
  <c r="SJI247" i="20" s="1"/>
  <c r="SJE247" i="20" s="1"/>
  <c r="SJP247" i="20"/>
  <c r="SJL247" i="20" l="1"/>
  <c r="SJH247" i="20" s="1"/>
  <c r="SJD247" i="20" s="1"/>
  <c r="SIZ247" i="20" s="1"/>
  <c r="SJK247" i="20"/>
  <c r="SJG247" i="20" l="1"/>
  <c r="SJC247" i="20" s="1"/>
  <c r="SIY247" i="20" s="1"/>
  <c r="SIU247" i="20" s="1"/>
  <c r="SJF247" i="20"/>
  <c r="SJB247" i="20" l="1"/>
  <c r="SIX247" i="20" s="1"/>
  <c r="SIT247" i="20" s="1"/>
  <c r="SIP247" i="20" s="1"/>
  <c r="SJA247" i="20"/>
  <c r="SIW247" i="20" l="1"/>
  <c r="SIS247" i="20" s="1"/>
  <c r="SIO247" i="20" s="1"/>
  <c r="SIK247" i="20" s="1"/>
  <c r="SIV247" i="20"/>
  <c r="SIR247" i="20" l="1"/>
  <c r="SIN247" i="20" s="1"/>
  <c r="SIJ247" i="20" s="1"/>
  <c r="SIF247" i="20" s="1"/>
  <c r="SIQ247" i="20"/>
  <c r="SIM247" i="20" l="1"/>
  <c r="SII247" i="20" s="1"/>
  <c r="SIE247" i="20" s="1"/>
  <c r="SIA247" i="20" s="1"/>
  <c r="SIL247" i="20"/>
  <c r="SIH247" i="20" l="1"/>
  <c r="SID247" i="20" s="1"/>
  <c r="SHZ247" i="20" s="1"/>
  <c r="SHV247" i="20" s="1"/>
  <c r="SIG247" i="20"/>
  <c r="SIC247" i="20" l="1"/>
  <c r="SHY247" i="20" s="1"/>
  <c r="SHU247" i="20" s="1"/>
  <c r="SHQ247" i="20" s="1"/>
  <c r="SIB247" i="20"/>
  <c r="SHX247" i="20" l="1"/>
  <c r="SHT247" i="20" s="1"/>
  <c r="SHP247" i="20" s="1"/>
  <c r="SHL247" i="20" s="1"/>
  <c r="SHW247" i="20"/>
  <c r="SHS247" i="20" l="1"/>
  <c r="SHO247" i="20" s="1"/>
  <c r="SHK247" i="20" s="1"/>
  <c r="SHG247" i="20" s="1"/>
  <c r="SHR247" i="20"/>
  <c r="SHN247" i="20" l="1"/>
  <c r="SHJ247" i="20" s="1"/>
  <c r="SHF247" i="20" s="1"/>
  <c r="SHB247" i="20" s="1"/>
  <c r="SHM247" i="20"/>
  <c r="SHI247" i="20" l="1"/>
  <c r="SHE247" i="20" s="1"/>
  <c r="SHA247" i="20" s="1"/>
  <c r="SGW247" i="20" s="1"/>
  <c r="SHH247" i="20"/>
  <c r="SHD247" i="20" l="1"/>
  <c r="SGZ247" i="20" s="1"/>
  <c r="SGV247" i="20" s="1"/>
  <c r="SGR247" i="20" s="1"/>
  <c r="SHC247" i="20"/>
  <c r="SGY247" i="20" l="1"/>
  <c r="SGU247" i="20" s="1"/>
  <c r="SGQ247" i="20" s="1"/>
  <c r="SGM247" i="20" s="1"/>
  <c r="SGX247" i="20"/>
  <c r="SGT247" i="20" l="1"/>
  <c r="SGP247" i="20" s="1"/>
  <c r="SGL247" i="20" s="1"/>
  <c r="SGH247" i="20" s="1"/>
  <c r="SGS247" i="20"/>
  <c r="SGO247" i="20" l="1"/>
  <c r="SGK247" i="20" s="1"/>
  <c r="SGG247" i="20" s="1"/>
  <c r="SGC247" i="20" s="1"/>
  <c r="SGN247" i="20"/>
  <c r="SGJ247" i="20" l="1"/>
  <c r="SGF247" i="20" s="1"/>
  <c r="SGB247" i="20" s="1"/>
  <c r="SFX247" i="20" s="1"/>
  <c r="SGI247" i="20"/>
  <c r="SGE247" i="20" l="1"/>
  <c r="SGA247" i="20" s="1"/>
  <c r="SFW247" i="20" s="1"/>
  <c r="SFS247" i="20" s="1"/>
  <c r="SGD247" i="20"/>
  <c r="SFZ247" i="20" l="1"/>
  <c r="SFV247" i="20" s="1"/>
  <c r="SFR247" i="20" s="1"/>
  <c r="SFN247" i="20" s="1"/>
  <c r="SFY247" i="20"/>
  <c r="SFU247" i="20" l="1"/>
  <c r="SFQ247" i="20" s="1"/>
  <c r="SFM247" i="20" s="1"/>
  <c r="SFI247" i="20" s="1"/>
  <c r="SFT247" i="20"/>
  <c r="SFP247" i="20" l="1"/>
  <c r="SFL247" i="20" s="1"/>
  <c r="SFH247" i="20" s="1"/>
  <c r="SFD247" i="20" s="1"/>
  <c r="SFO247" i="20"/>
  <c r="SFK247" i="20" l="1"/>
  <c r="SFG247" i="20" s="1"/>
  <c r="SFC247" i="20" s="1"/>
  <c r="SEY247" i="20" s="1"/>
  <c r="SFJ247" i="20"/>
  <c r="SFF247" i="20" l="1"/>
  <c r="SFB247" i="20" s="1"/>
  <c r="SEX247" i="20" s="1"/>
  <c r="SET247" i="20" s="1"/>
  <c r="SFE247" i="20"/>
  <c r="SFA247" i="20" l="1"/>
  <c r="SEW247" i="20" s="1"/>
  <c r="SES247" i="20" s="1"/>
  <c r="SEO247" i="20" s="1"/>
  <c r="SEZ247" i="20"/>
  <c r="SEV247" i="20" l="1"/>
  <c r="SER247" i="20" s="1"/>
  <c r="SEN247" i="20" s="1"/>
  <c r="SEJ247" i="20" s="1"/>
  <c r="SEU247" i="20"/>
  <c r="SEQ247" i="20" l="1"/>
  <c r="SEM247" i="20" s="1"/>
  <c r="SEI247" i="20" s="1"/>
  <c r="SEE247" i="20" s="1"/>
  <c r="SEP247" i="20"/>
  <c r="SEL247" i="20" l="1"/>
  <c r="SEH247" i="20" s="1"/>
  <c r="SED247" i="20" s="1"/>
  <c r="SDZ247" i="20" s="1"/>
  <c r="SEK247" i="20"/>
  <c r="SEG247" i="20" l="1"/>
  <c r="SEC247" i="20" s="1"/>
  <c r="SDY247" i="20" s="1"/>
  <c r="SDU247" i="20" s="1"/>
  <c r="SEF247" i="20"/>
  <c r="SEB247" i="20" l="1"/>
  <c r="SDX247" i="20" s="1"/>
  <c r="SDT247" i="20" s="1"/>
  <c r="SDP247" i="20" s="1"/>
  <c r="SEA247" i="20"/>
  <c r="SDW247" i="20" l="1"/>
  <c r="SDS247" i="20" s="1"/>
  <c r="SDO247" i="20" s="1"/>
  <c r="SDK247" i="20" s="1"/>
  <c r="SDV247" i="20"/>
  <c r="SDR247" i="20" l="1"/>
  <c r="SDN247" i="20" s="1"/>
  <c r="SDJ247" i="20" s="1"/>
  <c r="SDF247" i="20" s="1"/>
  <c r="SDQ247" i="20"/>
  <c r="SDM247" i="20" l="1"/>
  <c r="SDI247" i="20" s="1"/>
  <c r="SDE247" i="20" s="1"/>
  <c r="SDA247" i="20" s="1"/>
  <c r="SDL247" i="20"/>
  <c r="SDH247" i="20" l="1"/>
  <c r="SDD247" i="20" s="1"/>
  <c r="SCZ247" i="20" s="1"/>
  <c r="SCV247" i="20" s="1"/>
  <c r="SDG247" i="20"/>
  <c r="SDC247" i="20" l="1"/>
  <c r="SCY247" i="20" s="1"/>
  <c r="SCU247" i="20" s="1"/>
  <c r="SCQ247" i="20" s="1"/>
  <c r="SDB247" i="20"/>
  <c r="SCX247" i="20" l="1"/>
  <c r="SCT247" i="20" s="1"/>
  <c r="SCP247" i="20" s="1"/>
  <c r="SCL247" i="20" s="1"/>
  <c r="SCW247" i="20"/>
  <c r="SCS247" i="20" l="1"/>
  <c r="SCO247" i="20" s="1"/>
  <c r="SCK247" i="20" s="1"/>
  <c r="SCG247" i="20" s="1"/>
  <c r="SCR247" i="20"/>
  <c r="SCN247" i="20" l="1"/>
  <c r="SCJ247" i="20" s="1"/>
  <c r="SCF247" i="20" s="1"/>
  <c r="SCB247" i="20" s="1"/>
  <c r="SCM247" i="20"/>
  <c r="SCI247" i="20" l="1"/>
  <c r="SCE247" i="20" s="1"/>
  <c r="SCA247" i="20" s="1"/>
  <c r="SBW247" i="20" s="1"/>
  <c r="SCH247" i="20"/>
  <c r="SCD247" i="20" l="1"/>
  <c r="SBZ247" i="20" s="1"/>
  <c r="SBV247" i="20" s="1"/>
  <c r="SBR247" i="20" s="1"/>
  <c r="SCC247" i="20"/>
  <c r="SBY247" i="20" l="1"/>
  <c r="SBU247" i="20" s="1"/>
  <c r="SBQ247" i="20" s="1"/>
  <c r="SBM247" i="20" s="1"/>
  <c r="SBX247" i="20"/>
  <c r="SBT247" i="20" l="1"/>
  <c r="SBP247" i="20" s="1"/>
  <c r="SBL247" i="20" s="1"/>
  <c r="SBH247" i="20" s="1"/>
  <c r="SBS247" i="20"/>
  <c r="SBO247" i="20" l="1"/>
  <c r="SBK247" i="20" s="1"/>
  <c r="SBG247" i="20" s="1"/>
  <c r="SBC247" i="20" s="1"/>
  <c r="SBN247" i="20"/>
  <c r="SBJ247" i="20" l="1"/>
  <c r="SBF247" i="20" s="1"/>
  <c r="SBB247" i="20" s="1"/>
  <c r="SAX247" i="20" s="1"/>
  <c r="SBI247" i="20"/>
  <c r="SBE247" i="20" l="1"/>
  <c r="SBA247" i="20" s="1"/>
  <c r="SAW247" i="20" s="1"/>
  <c r="SAS247" i="20" s="1"/>
  <c r="SBD247" i="20"/>
  <c r="SAZ247" i="20" l="1"/>
  <c r="SAV247" i="20" s="1"/>
  <c r="SAR247" i="20" s="1"/>
  <c r="SAN247" i="20" s="1"/>
  <c r="SAY247" i="20"/>
  <c r="SAU247" i="20" l="1"/>
  <c r="SAQ247" i="20" s="1"/>
  <c r="SAM247" i="20" s="1"/>
  <c r="SAI247" i="20" s="1"/>
  <c r="SAT247" i="20"/>
  <c r="SAP247" i="20" l="1"/>
  <c r="SAL247" i="20" s="1"/>
  <c r="SAH247" i="20" s="1"/>
  <c r="SAD247" i="20" s="1"/>
  <c r="SAO247" i="20"/>
  <c r="SAK247" i="20" l="1"/>
  <c r="SAG247" i="20" s="1"/>
  <c r="SAC247" i="20" s="1"/>
  <c r="RZY247" i="20" s="1"/>
  <c r="SAJ247" i="20"/>
  <c r="SAF247" i="20" l="1"/>
  <c r="SAB247" i="20" s="1"/>
  <c r="RZX247" i="20" s="1"/>
  <c r="RZT247" i="20" s="1"/>
  <c r="SAE247" i="20"/>
  <c r="SAA247" i="20" l="1"/>
  <c r="RZW247" i="20" s="1"/>
  <c r="RZS247" i="20" s="1"/>
  <c r="RZO247" i="20" s="1"/>
  <c r="RZZ247" i="20"/>
  <c r="RZV247" i="20" l="1"/>
  <c r="RZR247" i="20" s="1"/>
  <c r="RZN247" i="20" s="1"/>
  <c r="RZJ247" i="20" s="1"/>
  <c r="RZU247" i="20"/>
  <c r="RZQ247" i="20" l="1"/>
  <c r="RZM247" i="20" s="1"/>
  <c r="RZI247" i="20" s="1"/>
  <c r="RZE247" i="20" s="1"/>
  <c r="RZP247" i="20"/>
  <c r="RZL247" i="20" l="1"/>
  <c r="RZH247" i="20" s="1"/>
  <c r="RZD247" i="20" s="1"/>
  <c r="RYZ247" i="20" s="1"/>
  <c r="RZK247" i="20"/>
  <c r="RZG247" i="20" l="1"/>
  <c r="RZC247" i="20" s="1"/>
  <c r="RYY247" i="20" s="1"/>
  <c r="RYU247" i="20" s="1"/>
  <c r="RZF247" i="20"/>
  <c r="RZB247" i="20" l="1"/>
  <c r="RYX247" i="20" s="1"/>
  <c r="RYT247" i="20" s="1"/>
  <c r="RYP247" i="20" s="1"/>
  <c r="RZA247" i="20"/>
  <c r="RYW247" i="20" l="1"/>
  <c r="RYS247" i="20" s="1"/>
  <c r="RYO247" i="20" s="1"/>
  <c r="RYK247" i="20" s="1"/>
  <c r="RYV247" i="20"/>
  <c r="RYR247" i="20" l="1"/>
  <c r="RYN247" i="20" s="1"/>
  <c r="RYJ247" i="20" s="1"/>
  <c r="RYF247" i="20" s="1"/>
  <c r="RYQ247" i="20"/>
  <c r="RYM247" i="20" l="1"/>
  <c r="RYI247" i="20" s="1"/>
  <c r="RYE247" i="20" s="1"/>
  <c r="RYA247" i="20" s="1"/>
  <c r="RYL247" i="20"/>
  <c r="RYH247" i="20" l="1"/>
  <c r="RYD247" i="20" s="1"/>
  <c r="RXZ247" i="20" s="1"/>
  <c r="RXV247" i="20" s="1"/>
  <c r="RYG247" i="20"/>
  <c r="RYC247" i="20" l="1"/>
  <c r="RXY247" i="20" s="1"/>
  <c r="RXU247" i="20" s="1"/>
  <c r="RXQ247" i="20" s="1"/>
  <c r="RYB247" i="20"/>
  <c r="RXX247" i="20" l="1"/>
  <c r="RXT247" i="20" s="1"/>
  <c r="RXP247" i="20" s="1"/>
  <c r="RXL247" i="20" s="1"/>
  <c r="RXW247" i="20"/>
  <c r="RXS247" i="20" l="1"/>
  <c r="RXO247" i="20" s="1"/>
  <c r="RXK247" i="20" s="1"/>
  <c r="RXG247" i="20" s="1"/>
  <c r="RXR247" i="20"/>
  <c r="RXN247" i="20" l="1"/>
  <c r="RXJ247" i="20" s="1"/>
  <c r="RXF247" i="20" s="1"/>
  <c r="RXB247" i="20" s="1"/>
  <c r="RXM247" i="20"/>
  <c r="RXI247" i="20" l="1"/>
  <c r="RXE247" i="20" s="1"/>
  <c r="RXA247" i="20" s="1"/>
  <c r="RWW247" i="20" s="1"/>
  <c r="RXH247" i="20"/>
  <c r="RXD247" i="20" l="1"/>
  <c r="RWZ247" i="20" s="1"/>
  <c r="RWV247" i="20" s="1"/>
  <c r="RWR247" i="20" s="1"/>
  <c r="RXC247" i="20"/>
  <c r="RWY247" i="20" l="1"/>
  <c r="RWU247" i="20" s="1"/>
  <c r="RWQ247" i="20" s="1"/>
  <c r="RWM247" i="20" s="1"/>
  <c r="RWX247" i="20"/>
  <c r="RWT247" i="20" l="1"/>
  <c r="RWP247" i="20" s="1"/>
  <c r="RWL247" i="20" s="1"/>
  <c r="RWH247" i="20" s="1"/>
  <c r="RWS247" i="20"/>
  <c r="RWO247" i="20" l="1"/>
  <c r="RWK247" i="20" s="1"/>
  <c r="RWG247" i="20" s="1"/>
  <c r="RWC247" i="20" s="1"/>
  <c r="RWN247" i="20"/>
  <c r="RWJ247" i="20" l="1"/>
  <c r="RWF247" i="20" s="1"/>
  <c r="RWB247" i="20" s="1"/>
  <c r="RVX247" i="20" s="1"/>
  <c r="RWI247" i="20"/>
  <c r="RWE247" i="20" l="1"/>
  <c r="RWA247" i="20" s="1"/>
  <c r="RVW247" i="20" s="1"/>
  <c r="RVS247" i="20" s="1"/>
  <c r="RWD247" i="20"/>
  <c r="RVZ247" i="20" l="1"/>
  <c r="RVV247" i="20" s="1"/>
  <c r="RVR247" i="20" s="1"/>
  <c r="RVN247" i="20" s="1"/>
  <c r="RVY247" i="20"/>
  <c r="RVU247" i="20" l="1"/>
  <c r="RVQ247" i="20" s="1"/>
  <c r="RVM247" i="20" s="1"/>
  <c r="RVI247" i="20" s="1"/>
  <c r="RVT247" i="20"/>
  <c r="RVP247" i="20" l="1"/>
  <c r="RVL247" i="20" s="1"/>
  <c r="RVH247" i="20" s="1"/>
  <c r="RVD247" i="20" s="1"/>
  <c r="RVO247" i="20"/>
  <c r="RVK247" i="20" l="1"/>
  <c r="RVG247" i="20" s="1"/>
  <c r="RVC247" i="20" s="1"/>
  <c r="RUY247" i="20" s="1"/>
  <c r="RVJ247" i="20"/>
  <c r="RVF247" i="20" l="1"/>
  <c r="RVB247" i="20" s="1"/>
  <c r="RUX247" i="20" s="1"/>
  <c r="RUT247" i="20" s="1"/>
  <c r="RVE247" i="20"/>
  <c r="RVA247" i="20" l="1"/>
  <c r="RUW247" i="20" s="1"/>
  <c r="RUS247" i="20" s="1"/>
  <c r="RUO247" i="20" s="1"/>
  <c r="RUZ247" i="20"/>
  <c r="RUV247" i="20" l="1"/>
  <c r="RUR247" i="20" s="1"/>
  <c r="RUN247" i="20" s="1"/>
  <c r="RUJ247" i="20" s="1"/>
  <c r="RUU247" i="20"/>
  <c r="RUQ247" i="20" l="1"/>
  <c r="RUM247" i="20" s="1"/>
  <c r="RUI247" i="20" s="1"/>
  <c r="RUE247" i="20" s="1"/>
  <c r="RUP247" i="20"/>
  <c r="RUL247" i="20" l="1"/>
  <c r="RUH247" i="20" s="1"/>
  <c r="RUD247" i="20" s="1"/>
  <c r="RTZ247" i="20" s="1"/>
  <c r="RUK247" i="20"/>
  <c r="RUG247" i="20" l="1"/>
  <c r="RUC247" i="20" s="1"/>
  <c r="RTY247" i="20" s="1"/>
  <c r="RTU247" i="20" s="1"/>
  <c r="RUF247" i="20"/>
  <c r="RUB247" i="20" l="1"/>
  <c r="RTX247" i="20" s="1"/>
  <c r="RTT247" i="20" s="1"/>
  <c r="RTP247" i="20" s="1"/>
  <c r="RUA247" i="20"/>
  <c r="RTW247" i="20" l="1"/>
  <c r="RTS247" i="20" s="1"/>
  <c r="RTO247" i="20" s="1"/>
  <c r="RTK247" i="20" s="1"/>
  <c r="RTV247" i="20"/>
  <c r="RTR247" i="20" l="1"/>
  <c r="RTN247" i="20" s="1"/>
  <c r="RTJ247" i="20" s="1"/>
  <c r="RTF247" i="20" s="1"/>
  <c r="RTQ247" i="20"/>
  <c r="RTM247" i="20" l="1"/>
  <c r="RTI247" i="20" s="1"/>
  <c r="RTE247" i="20" s="1"/>
  <c r="RTA247" i="20" s="1"/>
  <c r="RTL247" i="20"/>
  <c r="RTH247" i="20" l="1"/>
  <c r="RTD247" i="20" s="1"/>
  <c r="RSZ247" i="20" s="1"/>
  <c r="RSV247" i="20" s="1"/>
  <c r="RTG247" i="20"/>
  <c r="RTC247" i="20" l="1"/>
  <c r="RSY247" i="20" s="1"/>
  <c r="RSU247" i="20" s="1"/>
  <c r="RSQ247" i="20" s="1"/>
  <c r="RTB247" i="20"/>
  <c r="RSX247" i="20" l="1"/>
  <c r="RST247" i="20" s="1"/>
  <c r="RSP247" i="20" s="1"/>
  <c r="RSL247" i="20" s="1"/>
  <c r="RSW247" i="20"/>
  <c r="RSS247" i="20" l="1"/>
  <c r="RSO247" i="20" s="1"/>
  <c r="RSK247" i="20" s="1"/>
  <c r="RSG247" i="20" s="1"/>
  <c r="RSR247" i="20"/>
  <c r="RSN247" i="20" l="1"/>
  <c r="RSJ247" i="20" s="1"/>
  <c r="RSF247" i="20" s="1"/>
  <c r="RSB247" i="20" s="1"/>
  <c r="RSM247" i="20"/>
  <c r="RSI247" i="20" l="1"/>
  <c r="RSE247" i="20" s="1"/>
  <c r="RSA247" i="20" s="1"/>
  <c r="RRW247" i="20" s="1"/>
  <c r="RSH247" i="20"/>
  <c r="RSD247" i="20" l="1"/>
  <c r="RRZ247" i="20" s="1"/>
  <c r="RRV247" i="20" s="1"/>
  <c r="RRR247" i="20" s="1"/>
  <c r="RSC247" i="20"/>
  <c r="RRY247" i="20" l="1"/>
  <c r="RRU247" i="20" s="1"/>
  <c r="RRQ247" i="20" s="1"/>
  <c r="RRM247" i="20" s="1"/>
  <c r="RRX247" i="20"/>
  <c r="RRT247" i="20" l="1"/>
  <c r="RRP247" i="20" s="1"/>
  <c r="RRL247" i="20" s="1"/>
  <c r="RRH247" i="20" s="1"/>
  <c r="RRS247" i="20"/>
  <c r="RRO247" i="20" l="1"/>
  <c r="RRK247" i="20" s="1"/>
  <c r="RRG247" i="20" s="1"/>
  <c r="RRC247" i="20" s="1"/>
  <c r="RRN247" i="20"/>
  <c r="RRJ247" i="20" l="1"/>
  <c r="RRF247" i="20" s="1"/>
  <c r="RRB247" i="20" s="1"/>
  <c r="RQX247" i="20" s="1"/>
  <c r="RRI247" i="20"/>
  <c r="RRE247" i="20" l="1"/>
  <c r="RRA247" i="20" s="1"/>
  <c r="RQW247" i="20" s="1"/>
  <c r="RQS247" i="20" s="1"/>
  <c r="RRD247" i="20"/>
  <c r="RQZ247" i="20" l="1"/>
  <c r="RQV247" i="20" s="1"/>
  <c r="RQR247" i="20" s="1"/>
  <c r="RQN247" i="20" s="1"/>
  <c r="RQY247" i="20"/>
  <c r="RQU247" i="20" l="1"/>
  <c r="RQQ247" i="20" s="1"/>
  <c r="RQM247" i="20" s="1"/>
  <c r="RQI247" i="20" s="1"/>
  <c r="RQT247" i="20"/>
  <c r="RQP247" i="20" l="1"/>
  <c r="RQL247" i="20" s="1"/>
  <c r="RQH247" i="20" s="1"/>
  <c r="RQD247" i="20" s="1"/>
  <c r="RQO247" i="20"/>
  <c r="RQK247" i="20" l="1"/>
  <c r="RQG247" i="20" s="1"/>
  <c r="RQC247" i="20" s="1"/>
  <c r="RPY247" i="20" s="1"/>
  <c r="RQJ247" i="20"/>
  <c r="RQF247" i="20" l="1"/>
  <c r="RQB247" i="20" s="1"/>
  <c r="RPX247" i="20" s="1"/>
  <c r="RPT247" i="20" s="1"/>
  <c r="RQE247" i="20"/>
  <c r="RQA247" i="20" l="1"/>
  <c r="RPW247" i="20" s="1"/>
  <c r="RPS247" i="20" s="1"/>
  <c r="RPO247" i="20" s="1"/>
  <c r="RPZ247" i="20"/>
  <c r="RPV247" i="20" l="1"/>
  <c r="RPR247" i="20" s="1"/>
  <c r="RPN247" i="20" s="1"/>
  <c r="RPJ247" i="20" s="1"/>
  <c r="RPU247" i="20"/>
  <c r="RPQ247" i="20" l="1"/>
  <c r="RPM247" i="20" s="1"/>
  <c r="RPI247" i="20" s="1"/>
  <c r="RPE247" i="20" s="1"/>
  <c r="RPP247" i="20"/>
  <c r="RPL247" i="20" l="1"/>
  <c r="RPH247" i="20" s="1"/>
  <c r="RPD247" i="20" s="1"/>
  <c r="ROZ247" i="20" s="1"/>
  <c r="RPK247" i="20"/>
  <c r="RPG247" i="20" l="1"/>
  <c r="RPC247" i="20" s="1"/>
  <c r="ROY247" i="20" s="1"/>
  <c r="ROU247" i="20" s="1"/>
  <c r="RPF247" i="20"/>
  <c r="RPB247" i="20" l="1"/>
  <c r="ROX247" i="20" s="1"/>
  <c r="ROT247" i="20" s="1"/>
  <c r="ROP247" i="20" s="1"/>
  <c r="RPA247" i="20"/>
  <c r="ROW247" i="20" l="1"/>
  <c r="ROS247" i="20" s="1"/>
  <c r="ROO247" i="20" s="1"/>
  <c r="ROK247" i="20" s="1"/>
  <c r="ROV247" i="20"/>
  <c r="ROR247" i="20" l="1"/>
  <c r="RON247" i="20" s="1"/>
  <c r="ROJ247" i="20" s="1"/>
  <c r="ROF247" i="20" s="1"/>
  <c r="ROQ247" i="20"/>
  <c r="ROM247" i="20" l="1"/>
  <c r="ROI247" i="20" s="1"/>
  <c r="ROE247" i="20" s="1"/>
  <c r="ROA247" i="20" s="1"/>
  <c r="ROL247" i="20"/>
  <c r="ROH247" i="20" l="1"/>
  <c r="ROD247" i="20" s="1"/>
  <c r="RNZ247" i="20" s="1"/>
  <c r="RNV247" i="20" s="1"/>
  <c r="ROG247" i="20"/>
  <c r="ROC247" i="20" l="1"/>
  <c r="RNY247" i="20" s="1"/>
  <c r="RNU247" i="20" s="1"/>
  <c r="RNQ247" i="20" s="1"/>
  <c r="ROB247" i="20"/>
  <c r="RNX247" i="20" l="1"/>
  <c r="RNT247" i="20" s="1"/>
  <c r="RNP247" i="20" s="1"/>
  <c r="RNL247" i="20" s="1"/>
  <c r="RNW247" i="20"/>
  <c r="RNS247" i="20" l="1"/>
  <c r="RNO247" i="20" s="1"/>
  <c r="RNK247" i="20" s="1"/>
  <c r="RNG247" i="20" s="1"/>
  <c r="RNR247" i="20"/>
  <c r="RNN247" i="20" l="1"/>
  <c r="RNJ247" i="20" s="1"/>
  <c r="RNF247" i="20" s="1"/>
  <c r="RNB247" i="20" s="1"/>
  <c r="RNM247" i="20"/>
  <c r="RNI247" i="20" l="1"/>
  <c r="RNE247" i="20" s="1"/>
  <c r="RNA247" i="20" s="1"/>
  <c r="RMW247" i="20" s="1"/>
  <c r="RNH247" i="20"/>
  <c r="RND247" i="20" l="1"/>
  <c r="RMZ247" i="20" s="1"/>
  <c r="RMV247" i="20" s="1"/>
  <c r="RMR247" i="20" s="1"/>
  <c r="RNC247" i="20"/>
  <c r="RMY247" i="20" l="1"/>
  <c r="RMU247" i="20" s="1"/>
  <c r="RMQ247" i="20" s="1"/>
  <c r="RMM247" i="20" s="1"/>
  <c r="RMX247" i="20"/>
  <c r="RMT247" i="20" l="1"/>
  <c r="RMP247" i="20" s="1"/>
  <c r="RML247" i="20" s="1"/>
  <c r="RMH247" i="20" s="1"/>
  <c r="RMS247" i="20"/>
  <c r="RMO247" i="20" l="1"/>
  <c r="RMK247" i="20" s="1"/>
  <c r="RMG247" i="20" s="1"/>
  <c r="RMC247" i="20" s="1"/>
  <c r="RMN247" i="20"/>
  <c r="RMJ247" i="20" l="1"/>
  <c r="RMF247" i="20" s="1"/>
  <c r="RMB247" i="20" s="1"/>
  <c r="RLX247" i="20" s="1"/>
  <c r="RMI247" i="20"/>
  <c r="RME247" i="20" l="1"/>
  <c r="RMA247" i="20" s="1"/>
  <c r="RLW247" i="20" s="1"/>
  <c r="RLS247" i="20" s="1"/>
  <c r="RMD247" i="20"/>
  <c r="RLZ247" i="20" l="1"/>
  <c r="RLV247" i="20" s="1"/>
  <c r="RLR247" i="20" s="1"/>
  <c r="RLN247" i="20" s="1"/>
  <c r="RLY247" i="20"/>
  <c r="RLU247" i="20" l="1"/>
  <c r="RLQ247" i="20" s="1"/>
  <c r="RLM247" i="20" s="1"/>
  <c r="RLI247" i="20" s="1"/>
  <c r="RLT247" i="20"/>
  <c r="RLP247" i="20" l="1"/>
  <c r="RLL247" i="20" s="1"/>
  <c r="RLH247" i="20" s="1"/>
  <c r="RLD247" i="20" s="1"/>
  <c r="RLO247" i="20"/>
  <c r="RLK247" i="20" l="1"/>
  <c r="RLG247" i="20" s="1"/>
  <c r="RLC247" i="20" s="1"/>
  <c r="RKY247" i="20" s="1"/>
  <c r="RLJ247" i="20"/>
  <c r="RLF247" i="20" l="1"/>
  <c r="RLB247" i="20" s="1"/>
  <c r="RKX247" i="20" s="1"/>
  <c r="RKT247" i="20" s="1"/>
  <c r="RLE247" i="20"/>
  <c r="RLA247" i="20" l="1"/>
  <c r="RKW247" i="20" s="1"/>
  <c r="RKS247" i="20" s="1"/>
  <c r="RKO247" i="20" s="1"/>
  <c r="RKZ247" i="20"/>
  <c r="RKV247" i="20" l="1"/>
  <c r="RKR247" i="20" s="1"/>
  <c r="RKN247" i="20" s="1"/>
  <c r="RKJ247" i="20" s="1"/>
  <c r="RKU247" i="20"/>
  <c r="RKQ247" i="20" l="1"/>
  <c r="RKM247" i="20" s="1"/>
  <c r="RKI247" i="20" s="1"/>
  <c r="RKE247" i="20" s="1"/>
  <c r="RKP247" i="20"/>
  <c r="RKL247" i="20" l="1"/>
  <c r="RKH247" i="20" s="1"/>
  <c r="RKD247" i="20" s="1"/>
  <c r="RJZ247" i="20" s="1"/>
  <c r="RKK247" i="20"/>
  <c r="RKG247" i="20" l="1"/>
  <c r="RKC247" i="20" s="1"/>
  <c r="RJY247" i="20" s="1"/>
  <c r="RJU247" i="20" s="1"/>
  <c r="RKF247" i="20"/>
  <c r="RKB247" i="20" l="1"/>
  <c r="RJX247" i="20" s="1"/>
  <c r="RJT247" i="20" s="1"/>
  <c r="RJP247" i="20" s="1"/>
  <c r="RKA247" i="20"/>
  <c r="RJW247" i="20" l="1"/>
  <c r="RJS247" i="20" s="1"/>
  <c r="RJO247" i="20" s="1"/>
  <c r="RJK247" i="20" s="1"/>
  <c r="RJV247" i="20"/>
  <c r="RJR247" i="20" l="1"/>
  <c r="RJN247" i="20" s="1"/>
  <c r="RJJ247" i="20" s="1"/>
  <c r="RJF247" i="20" s="1"/>
  <c r="RJQ247" i="20"/>
  <c r="RJM247" i="20" l="1"/>
  <c r="RJI247" i="20" s="1"/>
  <c r="RJE247" i="20" s="1"/>
  <c r="RJA247" i="20" s="1"/>
  <c r="RJL247" i="20"/>
  <c r="RJH247" i="20" l="1"/>
  <c r="RJD247" i="20" s="1"/>
  <c r="RIZ247" i="20" s="1"/>
  <c r="RIV247" i="20" s="1"/>
  <c r="RJG247" i="20"/>
  <c r="RJC247" i="20" l="1"/>
  <c r="RIY247" i="20" s="1"/>
  <c r="RIU247" i="20" s="1"/>
  <c r="RIQ247" i="20" s="1"/>
  <c r="RJB247" i="20"/>
  <c r="RIX247" i="20" l="1"/>
  <c r="RIT247" i="20" s="1"/>
  <c r="RIP247" i="20" s="1"/>
  <c r="RIL247" i="20" s="1"/>
  <c r="RIW247" i="20"/>
  <c r="RIS247" i="20" l="1"/>
  <c r="RIO247" i="20" s="1"/>
  <c r="RIK247" i="20" s="1"/>
  <c r="RIG247" i="20" s="1"/>
  <c r="RIR247" i="20"/>
  <c r="RIN247" i="20" l="1"/>
  <c r="RIJ247" i="20" s="1"/>
  <c r="RIF247" i="20" s="1"/>
  <c r="RIB247" i="20" s="1"/>
  <c r="RIM247" i="20"/>
  <c r="RII247" i="20" l="1"/>
  <c r="RIE247" i="20" s="1"/>
  <c r="RIA247" i="20" s="1"/>
  <c r="RHW247" i="20" s="1"/>
  <c r="RIH247" i="20"/>
  <c r="RID247" i="20" l="1"/>
  <c r="RHZ247" i="20" s="1"/>
  <c r="RHV247" i="20" s="1"/>
  <c r="RHR247" i="20" s="1"/>
  <c r="RIC247" i="20"/>
  <c r="RHY247" i="20" l="1"/>
  <c r="RHU247" i="20" s="1"/>
  <c r="RHQ247" i="20" s="1"/>
  <c r="RHM247" i="20" s="1"/>
  <c r="RHX247" i="20"/>
  <c r="RHT247" i="20" l="1"/>
  <c r="RHP247" i="20" s="1"/>
  <c r="RHL247" i="20" s="1"/>
  <c r="RHH247" i="20" s="1"/>
  <c r="RHS247" i="20"/>
  <c r="RHO247" i="20" l="1"/>
  <c r="RHK247" i="20" s="1"/>
  <c r="RHG247" i="20" s="1"/>
  <c r="RHC247" i="20" s="1"/>
  <c r="RHN247" i="20"/>
  <c r="RHJ247" i="20" l="1"/>
  <c r="RHF247" i="20" s="1"/>
  <c r="RHB247" i="20" s="1"/>
  <c r="RGX247" i="20" s="1"/>
  <c r="RHI247" i="20"/>
  <c r="RHE247" i="20" l="1"/>
  <c r="RHA247" i="20" s="1"/>
  <c r="RGW247" i="20" s="1"/>
  <c r="RGS247" i="20" s="1"/>
  <c r="RHD247" i="20"/>
  <c r="RGZ247" i="20" l="1"/>
  <c r="RGV247" i="20" s="1"/>
  <c r="RGR247" i="20" s="1"/>
  <c r="RGN247" i="20" s="1"/>
  <c r="RGY247" i="20"/>
  <c r="RGU247" i="20" l="1"/>
  <c r="RGQ247" i="20" s="1"/>
  <c r="RGM247" i="20" s="1"/>
  <c r="RGI247" i="20" s="1"/>
  <c r="RGT247" i="20"/>
  <c r="RGP247" i="20" l="1"/>
  <c r="RGL247" i="20" s="1"/>
  <c r="RGH247" i="20" s="1"/>
  <c r="RGD247" i="20" s="1"/>
  <c r="RGO247" i="20"/>
  <c r="RGK247" i="20" l="1"/>
  <c r="RGG247" i="20" s="1"/>
  <c r="RGC247" i="20" s="1"/>
  <c r="RFY247" i="20" s="1"/>
  <c r="RGJ247" i="20"/>
  <c r="RGF247" i="20" l="1"/>
  <c r="RGB247" i="20" s="1"/>
  <c r="RFX247" i="20" s="1"/>
  <c r="RFT247" i="20" s="1"/>
  <c r="RGE247" i="20"/>
  <c r="RGA247" i="20" l="1"/>
  <c r="RFW247" i="20" s="1"/>
  <c r="RFS247" i="20" s="1"/>
  <c r="RFO247" i="20" s="1"/>
  <c r="RFZ247" i="20"/>
  <c r="RFV247" i="20" l="1"/>
  <c r="RFR247" i="20" s="1"/>
  <c r="RFN247" i="20" s="1"/>
  <c r="RFJ247" i="20" s="1"/>
  <c r="RFU247" i="20"/>
  <c r="RFQ247" i="20" l="1"/>
  <c r="RFM247" i="20" s="1"/>
  <c r="RFI247" i="20" s="1"/>
  <c r="RFE247" i="20" s="1"/>
  <c r="RFP247" i="20"/>
  <c r="RFL247" i="20" l="1"/>
  <c r="RFH247" i="20" s="1"/>
  <c r="RFD247" i="20" s="1"/>
  <c r="REZ247" i="20" s="1"/>
  <c r="RFK247" i="20"/>
  <c r="RFG247" i="20" l="1"/>
  <c r="RFC247" i="20" s="1"/>
  <c r="REY247" i="20" s="1"/>
  <c r="REU247" i="20" s="1"/>
  <c r="RFF247" i="20"/>
  <c r="RFB247" i="20" l="1"/>
  <c r="REX247" i="20" s="1"/>
  <c r="RET247" i="20" s="1"/>
  <c r="REP247" i="20" s="1"/>
  <c r="RFA247" i="20"/>
  <c r="REW247" i="20" l="1"/>
  <c r="RES247" i="20" s="1"/>
  <c r="REO247" i="20" s="1"/>
  <c r="REK247" i="20" s="1"/>
  <c r="REV247" i="20"/>
  <c r="RER247" i="20" l="1"/>
  <c r="REN247" i="20" s="1"/>
  <c r="REJ247" i="20" s="1"/>
  <c r="REF247" i="20" s="1"/>
  <c r="REQ247" i="20"/>
  <c r="REM247" i="20" l="1"/>
  <c r="REI247" i="20" s="1"/>
  <c r="REE247" i="20" s="1"/>
  <c r="REA247" i="20" s="1"/>
  <c r="REL247" i="20"/>
  <c r="REH247" i="20" l="1"/>
  <c r="RED247" i="20" s="1"/>
  <c r="RDZ247" i="20" s="1"/>
  <c r="RDV247" i="20" s="1"/>
  <c r="REG247" i="20"/>
  <c r="REC247" i="20" l="1"/>
  <c r="RDY247" i="20" s="1"/>
  <c r="RDU247" i="20" s="1"/>
  <c r="RDQ247" i="20" s="1"/>
  <c r="REB247" i="20"/>
  <c r="RDX247" i="20" l="1"/>
  <c r="RDT247" i="20" s="1"/>
  <c r="RDP247" i="20" s="1"/>
  <c r="RDL247" i="20" s="1"/>
  <c r="RDW247" i="20"/>
  <c r="RDS247" i="20" l="1"/>
  <c r="RDO247" i="20" s="1"/>
  <c r="RDK247" i="20" s="1"/>
  <c r="RDG247" i="20" s="1"/>
  <c r="RDR247" i="20"/>
  <c r="RDN247" i="20" l="1"/>
  <c r="RDJ247" i="20" s="1"/>
  <c r="RDF247" i="20" s="1"/>
  <c r="RDB247" i="20" s="1"/>
  <c r="RDM247" i="20"/>
  <c r="RDI247" i="20" l="1"/>
  <c r="RDE247" i="20" s="1"/>
  <c r="RDA247" i="20" s="1"/>
  <c r="RCW247" i="20" s="1"/>
  <c r="RDH247" i="20"/>
  <c r="RDD247" i="20" l="1"/>
  <c r="RCZ247" i="20" s="1"/>
  <c r="RCV247" i="20" s="1"/>
  <c r="RCR247" i="20" s="1"/>
  <c r="RDC247" i="20"/>
  <c r="RCY247" i="20" l="1"/>
  <c r="RCU247" i="20" s="1"/>
  <c r="RCQ247" i="20" s="1"/>
  <c r="RCM247" i="20" s="1"/>
  <c r="RCX247" i="20"/>
  <c r="RCT247" i="20" l="1"/>
  <c r="RCP247" i="20" s="1"/>
  <c r="RCL247" i="20" s="1"/>
  <c r="RCH247" i="20" s="1"/>
  <c r="RCS247" i="20"/>
  <c r="RCO247" i="20" l="1"/>
  <c r="RCK247" i="20" s="1"/>
  <c r="RCG247" i="20" s="1"/>
  <c r="RCC247" i="20" s="1"/>
  <c r="RCN247" i="20"/>
  <c r="RCJ247" i="20" l="1"/>
  <c r="RCF247" i="20" s="1"/>
  <c r="RCB247" i="20" s="1"/>
  <c r="RBX247" i="20" s="1"/>
  <c r="RCI247" i="20"/>
  <c r="RCE247" i="20" l="1"/>
  <c r="RCA247" i="20" s="1"/>
  <c r="RBW247" i="20" s="1"/>
  <c r="RBS247" i="20" s="1"/>
  <c r="RCD247" i="20"/>
  <c r="RBZ247" i="20" l="1"/>
  <c r="RBV247" i="20" s="1"/>
  <c r="RBR247" i="20" s="1"/>
  <c r="RBN247" i="20" s="1"/>
  <c r="RBY247" i="20"/>
  <c r="RBU247" i="20" l="1"/>
  <c r="RBQ247" i="20" s="1"/>
  <c r="RBM247" i="20" s="1"/>
  <c r="RBI247" i="20" s="1"/>
  <c r="RBT247" i="20"/>
  <c r="RBP247" i="20" l="1"/>
  <c r="RBL247" i="20" s="1"/>
  <c r="RBH247" i="20" s="1"/>
  <c r="RBD247" i="20" s="1"/>
  <c r="RBO247" i="20"/>
  <c r="RBK247" i="20" l="1"/>
  <c r="RBG247" i="20" s="1"/>
  <c r="RBC247" i="20" s="1"/>
  <c r="RAY247" i="20" s="1"/>
  <c r="RBJ247" i="20"/>
  <c r="RBF247" i="20" l="1"/>
  <c r="RBB247" i="20" s="1"/>
  <c r="RAX247" i="20" s="1"/>
  <c r="RAT247" i="20" s="1"/>
  <c r="RBE247" i="20"/>
  <c r="RBA247" i="20" l="1"/>
  <c r="RAW247" i="20" s="1"/>
  <c r="RAS247" i="20" s="1"/>
  <c r="RAO247" i="20" s="1"/>
  <c r="RAZ247" i="20"/>
  <c r="RAV247" i="20" l="1"/>
  <c r="RAR247" i="20" s="1"/>
  <c r="RAN247" i="20" s="1"/>
  <c r="RAJ247" i="20" s="1"/>
  <c r="RAU247" i="20"/>
  <c r="RAQ247" i="20" l="1"/>
  <c r="RAM247" i="20" s="1"/>
  <c r="RAI247" i="20" s="1"/>
  <c r="RAE247" i="20" s="1"/>
  <c r="RAP247" i="20"/>
  <c r="RAL247" i="20" l="1"/>
  <c r="RAH247" i="20" s="1"/>
  <c r="RAD247" i="20" s="1"/>
  <c r="QZZ247" i="20" s="1"/>
  <c r="RAK247" i="20"/>
  <c r="RAG247" i="20" l="1"/>
  <c r="RAC247" i="20" s="1"/>
  <c r="QZY247" i="20" s="1"/>
  <c r="QZU247" i="20" s="1"/>
  <c r="RAF247" i="20"/>
  <c r="RAB247" i="20" l="1"/>
  <c r="QZX247" i="20" s="1"/>
  <c r="QZT247" i="20" s="1"/>
  <c r="QZP247" i="20" s="1"/>
  <c r="RAA247" i="20"/>
  <c r="QZW247" i="20" l="1"/>
  <c r="QZS247" i="20" s="1"/>
  <c r="QZO247" i="20" s="1"/>
  <c r="QZK247" i="20" s="1"/>
  <c r="QZV247" i="20"/>
  <c r="QZR247" i="20" l="1"/>
  <c r="QZN247" i="20" s="1"/>
  <c r="QZJ247" i="20" s="1"/>
  <c r="QZF247" i="20" s="1"/>
  <c r="QZQ247" i="20"/>
  <c r="QZM247" i="20" l="1"/>
  <c r="QZI247" i="20" s="1"/>
  <c r="QZE247" i="20" s="1"/>
  <c r="QZA247" i="20" s="1"/>
  <c r="QZL247" i="20"/>
  <c r="QZH247" i="20" l="1"/>
  <c r="QZD247" i="20" s="1"/>
  <c r="QYZ247" i="20" s="1"/>
  <c r="QYV247" i="20" s="1"/>
  <c r="QZG247" i="20"/>
  <c r="QZC247" i="20" l="1"/>
  <c r="QYY247" i="20" s="1"/>
  <c r="QYU247" i="20" s="1"/>
  <c r="QYQ247" i="20" s="1"/>
  <c r="QZB247" i="20"/>
  <c r="QYX247" i="20" l="1"/>
  <c r="QYT247" i="20" s="1"/>
  <c r="QYP247" i="20" s="1"/>
  <c r="QYL247" i="20" s="1"/>
  <c r="QYW247" i="20"/>
  <c r="QYS247" i="20" l="1"/>
  <c r="QYO247" i="20" s="1"/>
  <c r="QYK247" i="20" s="1"/>
  <c r="QYG247" i="20" s="1"/>
  <c r="QYR247" i="20"/>
  <c r="QYN247" i="20" l="1"/>
  <c r="QYJ247" i="20" s="1"/>
  <c r="QYF247" i="20" s="1"/>
  <c r="QYB247" i="20" s="1"/>
  <c r="QYM247" i="20"/>
  <c r="QYI247" i="20" l="1"/>
  <c r="QYE247" i="20" s="1"/>
  <c r="QYA247" i="20" s="1"/>
  <c r="QXW247" i="20" s="1"/>
  <c r="QYH247" i="20"/>
  <c r="QYD247" i="20" l="1"/>
  <c r="QXZ247" i="20" s="1"/>
  <c r="QXV247" i="20" s="1"/>
  <c r="QXR247" i="20" s="1"/>
  <c r="QYC247" i="20"/>
  <c r="QXY247" i="20" l="1"/>
  <c r="QXU247" i="20" s="1"/>
  <c r="QXQ247" i="20" s="1"/>
  <c r="QXM247" i="20" s="1"/>
  <c r="QXX247" i="20"/>
  <c r="QXT247" i="20" l="1"/>
  <c r="QXP247" i="20" s="1"/>
  <c r="QXL247" i="20" s="1"/>
  <c r="QXH247" i="20" s="1"/>
  <c r="QXS247" i="20"/>
  <c r="QXO247" i="20" l="1"/>
  <c r="QXK247" i="20" s="1"/>
  <c r="QXG247" i="20" s="1"/>
  <c r="QXC247" i="20" s="1"/>
  <c r="QXN247" i="20"/>
  <c r="QXJ247" i="20" l="1"/>
  <c r="QXF247" i="20" s="1"/>
  <c r="QXB247" i="20" s="1"/>
  <c r="QWX247" i="20" s="1"/>
  <c r="QXI247" i="20"/>
  <c r="QXE247" i="20" l="1"/>
  <c r="QXA247" i="20" s="1"/>
  <c r="QWW247" i="20" s="1"/>
  <c r="QWS247" i="20" s="1"/>
  <c r="QXD247" i="20"/>
  <c r="QWZ247" i="20" l="1"/>
  <c r="QWV247" i="20" s="1"/>
  <c r="QWR247" i="20" s="1"/>
  <c r="QWN247" i="20" s="1"/>
  <c r="QWY247" i="20"/>
  <c r="QWU247" i="20" l="1"/>
  <c r="QWQ247" i="20" s="1"/>
  <c r="QWM247" i="20" s="1"/>
  <c r="QWI247" i="20" s="1"/>
  <c r="QWT247" i="20"/>
  <c r="QWP247" i="20" l="1"/>
  <c r="QWL247" i="20" s="1"/>
  <c r="QWH247" i="20" s="1"/>
  <c r="QWD247" i="20" s="1"/>
  <c r="QWO247" i="20"/>
  <c r="QWK247" i="20" l="1"/>
  <c r="QWG247" i="20" s="1"/>
  <c r="QWC247" i="20" s="1"/>
  <c r="QVY247" i="20" s="1"/>
  <c r="QWJ247" i="20"/>
  <c r="QWF247" i="20" l="1"/>
  <c r="QWB247" i="20" s="1"/>
  <c r="QVX247" i="20" s="1"/>
  <c r="QVT247" i="20" s="1"/>
  <c r="QWE247" i="20"/>
  <c r="QWA247" i="20" l="1"/>
  <c r="QVW247" i="20" s="1"/>
  <c r="QVS247" i="20" s="1"/>
  <c r="QVO247" i="20" s="1"/>
  <c r="QVZ247" i="20"/>
  <c r="QVV247" i="20" l="1"/>
  <c r="QVR247" i="20" s="1"/>
  <c r="QVN247" i="20" s="1"/>
  <c r="QVJ247" i="20" s="1"/>
  <c r="QVU247" i="20"/>
  <c r="QVQ247" i="20" l="1"/>
  <c r="QVM247" i="20" s="1"/>
  <c r="QVI247" i="20" s="1"/>
  <c r="QVE247" i="20" s="1"/>
  <c r="QVP247" i="20"/>
  <c r="QVL247" i="20" l="1"/>
  <c r="QVH247" i="20" s="1"/>
  <c r="QVD247" i="20" s="1"/>
  <c r="QUZ247" i="20" s="1"/>
  <c r="QVK247" i="20"/>
  <c r="QVG247" i="20" l="1"/>
  <c r="QVC247" i="20" s="1"/>
  <c r="QUY247" i="20" s="1"/>
  <c r="QUU247" i="20" s="1"/>
  <c r="QVF247" i="20"/>
  <c r="QVB247" i="20" l="1"/>
  <c r="QUX247" i="20" s="1"/>
  <c r="QUT247" i="20" s="1"/>
  <c r="QUP247" i="20" s="1"/>
  <c r="QVA247" i="20"/>
  <c r="QUW247" i="20" l="1"/>
  <c r="QUS247" i="20" s="1"/>
  <c r="QUO247" i="20" s="1"/>
  <c r="QUK247" i="20" s="1"/>
  <c r="QUV247" i="20"/>
  <c r="QUR247" i="20" l="1"/>
  <c r="QUN247" i="20" s="1"/>
  <c r="QUJ247" i="20" s="1"/>
  <c r="QUF247" i="20" s="1"/>
  <c r="QUQ247" i="20"/>
  <c r="QUM247" i="20" l="1"/>
  <c r="QUI247" i="20" s="1"/>
  <c r="QUE247" i="20" s="1"/>
  <c r="QUA247" i="20" s="1"/>
  <c r="QUL247" i="20"/>
  <c r="QUH247" i="20" l="1"/>
  <c r="QUD247" i="20" s="1"/>
  <c r="QTZ247" i="20" s="1"/>
  <c r="QTV247" i="20" s="1"/>
  <c r="QUG247" i="20"/>
  <c r="QUC247" i="20" l="1"/>
  <c r="QTY247" i="20" s="1"/>
  <c r="QTU247" i="20" s="1"/>
  <c r="QTQ247" i="20" s="1"/>
  <c r="QUB247" i="20"/>
  <c r="QTX247" i="20" l="1"/>
  <c r="QTT247" i="20" s="1"/>
  <c r="QTP247" i="20" s="1"/>
  <c r="QTL247" i="20" s="1"/>
  <c r="QTW247" i="20"/>
  <c r="QTS247" i="20" l="1"/>
  <c r="QTO247" i="20" s="1"/>
  <c r="QTK247" i="20" s="1"/>
  <c r="QTG247" i="20" s="1"/>
  <c r="QTR247" i="20"/>
  <c r="QTN247" i="20" l="1"/>
  <c r="QTJ247" i="20" s="1"/>
  <c r="QTF247" i="20" s="1"/>
  <c r="QTB247" i="20" s="1"/>
  <c r="QTM247" i="20"/>
  <c r="QTI247" i="20" l="1"/>
  <c r="QTE247" i="20" s="1"/>
  <c r="QTA247" i="20" s="1"/>
  <c r="QSW247" i="20" s="1"/>
  <c r="QTH247" i="20"/>
  <c r="QTD247" i="20" l="1"/>
  <c r="QSZ247" i="20" s="1"/>
  <c r="QSV247" i="20" s="1"/>
  <c r="QSR247" i="20" s="1"/>
  <c r="QTC247" i="20"/>
  <c r="QSY247" i="20" l="1"/>
  <c r="QSU247" i="20" s="1"/>
  <c r="QSQ247" i="20" s="1"/>
  <c r="QSM247" i="20" s="1"/>
  <c r="QSX247" i="20"/>
  <c r="QST247" i="20" l="1"/>
  <c r="QSP247" i="20" s="1"/>
  <c r="QSL247" i="20" s="1"/>
  <c r="QSH247" i="20" s="1"/>
  <c r="QSS247" i="20"/>
  <c r="QSO247" i="20" l="1"/>
  <c r="QSK247" i="20" s="1"/>
  <c r="QSG247" i="20" s="1"/>
  <c r="QSC247" i="20" s="1"/>
  <c r="QSN247" i="20"/>
  <c r="QSJ247" i="20" l="1"/>
  <c r="QSF247" i="20" s="1"/>
  <c r="QSB247" i="20" s="1"/>
  <c r="QRX247" i="20" s="1"/>
  <c r="QSI247" i="20"/>
  <c r="QSE247" i="20" l="1"/>
  <c r="QSA247" i="20" s="1"/>
  <c r="QRW247" i="20" s="1"/>
  <c r="QRS247" i="20" s="1"/>
  <c r="QSD247" i="20"/>
  <c r="QRZ247" i="20" l="1"/>
  <c r="QRV247" i="20" s="1"/>
  <c r="QRR247" i="20" s="1"/>
  <c r="QRN247" i="20" s="1"/>
  <c r="QRY247" i="20"/>
  <c r="QRU247" i="20" l="1"/>
  <c r="QRQ247" i="20" s="1"/>
  <c r="QRM247" i="20" s="1"/>
  <c r="QRI247" i="20" s="1"/>
  <c r="QRT247" i="20"/>
  <c r="QRP247" i="20" l="1"/>
  <c r="QRL247" i="20" s="1"/>
  <c r="QRH247" i="20" s="1"/>
  <c r="QRD247" i="20" s="1"/>
  <c r="QRO247" i="20"/>
  <c r="QRK247" i="20" l="1"/>
  <c r="QRG247" i="20" s="1"/>
  <c r="QRC247" i="20" s="1"/>
  <c r="QQY247" i="20" s="1"/>
  <c r="QRJ247" i="20"/>
  <c r="QRF247" i="20" l="1"/>
  <c r="QRB247" i="20" s="1"/>
  <c r="QQX247" i="20" s="1"/>
  <c r="QQT247" i="20" s="1"/>
  <c r="QRE247" i="20"/>
  <c r="QRA247" i="20" l="1"/>
  <c r="QQW247" i="20" s="1"/>
  <c r="QQS247" i="20" s="1"/>
  <c r="QQO247" i="20" s="1"/>
  <c r="QQZ247" i="20"/>
  <c r="QQV247" i="20" l="1"/>
  <c r="QQR247" i="20" s="1"/>
  <c r="QQN247" i="20" s="1"/>
  <c r="QQJ247" i="20" s="1"/>
  <c r="QQU247" i="20"/>
  <c r="QQQ247" i="20" l="1"/>
  <c r="QQM247" i="20" s="1"/>
  <c r="QQI247" i="20" s="1"/>
  <c r="QQE247" i="20" s="1"/>
  <c r="QQP247" i="20"/>
  <c r="QQL247" i="20" l="1"/>
  <c r="QQH247" i="20" s="1"/>
  <c r="QQD247" i="20" s="1"/>
  <c r="QPZ247" i="20" s="1"/>
  <c r="QQK247" i="20"/>
  <c r="QQG247" i="20" l="1"/>
  <c r="QQC247" i="20" s="1"/>
  <c r="QPY247" i="20" s="1"/>
  <c r="QPU247" i="20" s="1"/>
  <c r="QQF247" i="20"/>
  <c r="QQB247" i="20" l="1"/>
  <c r="QPX247" i="20" s="1"/>
  <c r="QPT247" i="20" s="1"/>
  <c r="QPP247" i="20" s="1"/>
  <c r="QQA247" i="20"/>
  <c r="QPW247" i="20" l="1"/>
  <c r="QPS247" i="20" s="1"/>
  <c r="QPO247" i="20" s="1"/>
  <c r="QPK247" i="20" s="1"/>
  <c r="QPV247" i="20"/>
  <c r="QPR247" i="20" l="1"/>
  <c r="QPN247" i="20" s="1"/>
  <c r="QPJ247" i="20" s="1"/>
  <c r="QPF247" i="20" s="1"/>
  <c r="QPQ247" i="20"/>
  <c r="QPM247" i="20" l="1"/>
  <c r="QPI247" i="20" s="1"/>
  <c r="QPE247" i="20" s="1"/>
  <c r="QPA247" i="20" s="1"/>
  <c r="QPL247" i="20"/>
  <c r="QPH247" i="20" l="1"/>
  <c r="QPD247" i="20" s="1"/>
  <c r="QOZ247" i="20" s="1"/>
  <c r="QOV247" i="20" s="1"/>
  <c r="QPG247" i="20"/>
  <c r="QPC247" i="20" l="1"/>
  <c r="QOY247" i="20" s="1"/>
  <c r="QOU247" i="20" s="1"/>
  <c r="QOQ247" i="20" s="1"/>
  <c r="QPB247" i="20"/>
  <c r="QOX247" i="20" l="1"/>
  <c r="QOT247" i="20" s="1"/>
  <c r="QOP247" i="20" s="1"/>
  <c r="QOL247" i="20" s="1"/>
  <c r="QOW247" i="20"/>
  <c r="QOS247" i="20" l="1"/>
  <c r="QOO247" i="20" s="1"/>
  <c r="QOK247" i="20" s="1"/>
  <c r="QOG247" i="20" s="1"/>
  <c r="QOR247" i="20"/>
  <c r="QON247" i="20" l="1"/>
  <c r="QOJ247" i="20" s="1"/>
  <c r="QOF247" i="20" s="1"/>
  <c r="QOB247" i="20" s="1"/>
  <c r="QOM247" i="20"/>
  <c r="QOI247" i="20" l="1"/>
  <c r="QOE247" i="20" s="1"/>
  <c r="QOA247" i="20" s="1"/>
  <c r="QNW247" i="20" s="1"/>
  <c r="QOH247" i="20"/>
  <c r="QOD247" i="20" l="1"/>
  <c r="QNZ247" i="20" s="1"/>
  <c r="QNV247" i="20" s="1"/>
  <c r="QNR247" i="20" s="1"/>
  <c r="QOC247" i="20"/>
  <c r="QNY247" i="20" l="1"/>
  <c r="QNU247" i="20" s="1"/>
  <c r="QNQ247" i="20" s="1"/>
  <c r="QNM247" i="20" s="1"/>
  <c r="QNX247" i="20"/>
  <c r="QNT247" i="20" l="1"/>
  <c r="QNP247" i="20" s="1"/>
  <c r="QNL247" i="20" s="1"/>
  <c r="QNH247" i="20" s="1"/>
  <c r="QNS247" i="20"/>
  <c r="QNO247" i="20" l="1"/>
  <c r="QNK247" i="20" s="1"/>
  <c r="QNG247" i="20" s="1"/>
  <c r="QNC247" i="20" s="1"/>
  <c r="QNN247" i="20"/>
  <c r="QNJ247" i="20" l="1"/>
  <c r="QNF247" i="20" s="1"/>
  <c r="QNB247" i="20" s="1"/>
  <c r="QMX247" i="20" s="1"/>
  <c r="QNI247" i="20"/>
  <c r="QNE247" i="20" l="1"/>
  <c r="QNA247" i="20" s="1"/>
  <c r="QMW247" i="20" s="1"/>
  <c r="QMS247" i="20" s="1"/>
  <c r="QND247" i="20"/>
  <c r="QMZ247" i="20" l="1"/>
  <c r="QMV247" i="20" s="1"/>
  <c r="QMR247" i="20" s="1"/>
  <c r="QMN247" i="20" s="1"/>
  <c r="QMY247" i="20"/>
  <c r="QMU247" i="20" l="1"/>
  <c r="QMQ247" i="20" s="1"/>
  <c r="QMM247" i="20" s="1"/>
  <c r="QMI247" i="20" s="1"/>
  <c r="QMT247" i="20"/>
  <c r="QMP247" i="20" l="1"/>
  <c r="QML247" i="20" s="1"/>
  <c r="QMH247" i="20" s="1"/>
  <c r="QMD247" i="20" s="1"/>
  <c r="QMO247" i="20"/>
  <c r="QMK247" i="20" l="1"/>
  <c r="QMG247" i="20" s="1"/>
  <c r="QMC247" i="20" s="1"/>
  <c r="QLY247" i="20" s="1"/>
  <c r="QMJ247" i="20"/>
  <c r="QMF247" i="20" l="1"/>
  <c r="QMB247" i="20" s="1"/>
  <c r="QLX247" i="20" s="1"/>
  <c r="QLT247" i="20" s="1"/>
  <c r="QME247" i="20"/>
  <c r="QMA247" i="20" l="1"/>
  <c r="QLW247" i="20" s="1"/>
  <c r="QLS247" i="20" s="1"/>
  <c r="QLO247" i="20" s="1"/>
  <c r="QLZ247" i="20"/>
  <c r="QLV247" i="20" l="1"/>
  <c r="QLR247" i="20" s="1"/>
  <c r="QLN247" i="20" s="1"/>
  <c r="QLJ247" i="20" s="1"/>
  <c r="QLU247" i="20"/>
  <c r="QLQ247" i="20" l="1"/>
  <c r="QLM247" i="20" s="1"/>
  <c r="QLI247" i="20" s="1"/>
  <c r="QLE247" i="20" s="1"/>
  <c r="QLP247" i="20"/>
  <c r="QLL247" i="20" l="1"/>
  <c r="QLH247" i="20" s="1"/>
  <c r="QLD247" i="20" s="1"/>
  <c r="QKZ247" i="20" s="1"/>
  <c r="QLK247" i="20"/>
  <c r="QLG247" i="20" l="1"/>
  <c r="QLC247" i="20" s="1"/>
  <c r="QKY247" i="20" s="1"/>
  <c r="QKU247" i="20" s="1"/>
  <c r="QLF247" i="20"/>
  <c r="QLB247" i="20" l="1"/>
  <c r="QKX247" i="20" s="1"/>
  <c r="QKT247" i="20" s="1"/>
  <c r="QKP247" i="20" s="1"/>
  <c r="QLA247" i="20"/>
  <c r="QKW247" i="20" l="1"/>
  <c r="QKS247" i="20" s="1"/>
  <c r="QKO247" i="20" s="1"/>
  <c r="QKK247" i="20" s="1"/>
  <c r="QKV247" i="20"/>
  <c r="QKR247" i="20" l="1"/>
  <c r="QKN247" i="20" s="1"/>
  <c r="QKJ247" i="20" s="1"/>
  <c r="QKF247" i="20" s="1"/>
  <c r="QKQ247" i="20"/>
  <c r="QKM247" i="20" l="1"/>
  <c r="QKI247" i="20" s="1"/>
  <c r="QKE247" i="20" s="1"/>
  <c r="QKA247" i="20" s="1"/>
  <c r="QKL247" i="20"/>
  <c r="QKH247" i="20" l="1"/>
  <c r="QKD247" i="20" s="1"/>
  <c r="QJZ247" i="20" s="1"/>
  <c r="QJV247" i="20" s="1"/>
  <c r="QKG247" i="20"/>
  <c r="QKC247" i="20" l="1"/>
  <c r="QJY247" i="20" s="1"/>
  <c r="QJU247" i="20" s="1"/>
  <c r="QJQ247" i="20" s="1"/>
  <c r="QKB247" i="20"/>
  <c r="QJX247" i="20" l="1"/>
  <c r="QJT247" i="20" s="1"/>
  <c r="QJP247" i="20" s="1"/>
  <c r="QJL247" i="20" s="1"/>
  <c r="QJW247" i="20"/>
  <c r="QJS247" i="20" l="1"/>
  <c r="QJO247" i="20" s="1"/>
  <c r="QJK247" i="20" s="1"/>
  <c r="QJG247" i="20" s="1"/>
  <c r="QJR247" i="20"/>
  <c r="QJN247" i="20" l="1"/>
  <c r="QJJ247" i="20" s="1"/>
  <c r="QJF247" i="20" s="1"/>
  <c r="QJB247" i="20" s="1"/>
  <c r="QJM247" i="20"/>
  <c r="QJI247" i="20" l="1"/>
  <c r="QJE247" i="20" s="1"/>
  <c r="QJA247" i="20" s="1"/>
  <c r="QIW247" i="20" s="1"/>
  <c r="QJH247" i="20"/>
  <c r="QJD247" i="20" l="1"/>
  <c r="QIZ247" i="20" s="1"/>
  <c r="QIV247" i="20" s="1"/>
  <c r="QIR247" i="20" s="1"/>
  <c r="QJC247" i="20"/>
  <c r="QIY247" i="20" l="1"/>
  <c r="QIU247" i="20" s="1"/>
  <c r="QIQ247" i="20" s="1"/>
  <c r="QIM247" i="20" s="1"/>
  <c r="QIX247" i="20"/>
  <c r="QIT247" i="20" l="1"/>
  <c r="QIP247" i="20" s="1"/>
  <c r="QIL247" i="20" s="1"/>
  <c r="QIH247" i="20" s="1"/>
  <c r="QIS247" i="20"/>
  <c r="QIO247" i="20" l="1"/>
  <c r="QIK247" i="20" s="1"/>
  <c r="QIG247" i="20" s="1"/>
  <c r="QIC247" i="20" s="1"/>
  <c r="QIN247" i="20"/>
  <c r="QIJ247" i="20" l="1"/>
  <c r="QIF247" i="20" s="1"/>
  <c r="QIB247" i="20" s="1"/>
  <c r="QHX247" i="20" s="1"/>
  <c r="QII247" i="20"/>
  <c r="QIE247" i="20" l="1"/>
  <c r="QIA247" i="20" s="1"/>
  <c r="QHW247" i="20" s="1"/>
  <c r="QHS247" i="20" s="1"/>
  <c r="QID247" i="20"/>
  <c r="QHZ247" i="20" l="1"/>
  <c r="QHV247" i="20" s="1"/>
  <c r="QHR247" i="20" s="1"/>
  <c r="QHN247" i="20" s="1"/>
  <c r="QHY247" i="20"/>
  <c r="QHU247" i="20" l="1"/>
  <c r="QHQ247" i="20" s="1"/>
  <c r="QHM247" i="20" s="1"/>
  <c r="QHI247" i="20" s="1"/>
  <c r="QHT247" i="20"/>
  <c r="QHP247" i="20" l="1"/>
  <c r="QHL247" i="20" s="1"/>
  <c r="QHH247" i="20" s="1"/>
  <c r="QHD247" i="20" s="1"/>
  <c r="QHO247" i="20"/>
  <c r="QHK247" i="20" l="1"/>
  <c r="QHG247" i="20" s="1"/>
  <c r="QHC247" i="20" s="1"/>
  <c r="QGY247" i="20" s="1"/>
  <c r="QHJ247" i="20"/>
  <c r="QHF247" i="20" l="1"/>
  <c r="QHB247" i="20" s="1"/>
  <c r="QGX247" i="20" s="1"/>
  <c r="QGT247" i="20" s="1"/>
  <c r="QHE247" i="20"/>
  <c r="QHA247" i="20" l="1"/>
  <c r="QGW247" i="20" s="1"/>
  <c r="QGS247" i="20" s="1"/>
  <c r="QGO247" i="20" s="1"/>
  <c r="QGZ247" i="20"/>
  <c r="QGV247" i="20" l="1"/>
  <c r="QGR247" i="20" s="1"/>
  <c r="QGN247" i="20" s="1"/>
  <c r="QGJ247" i="20" s="1"/>
  <c r="QGU247" i="20"/>
  <c r="QGQ247" i="20" l="1"/>
  <c r="QGM247" i="20" s="1"/>
  <c r="QGI247" i="20" s="1"/>
  <c r="QGE247" i="20" s="1"/>
  <c r="QGP247" i="20"/>
  <c r="QGL247" i="20" l="1"/>
  <c r="QGH247" i="20" s="1"/>
  <c r="QGD247" i="20" s="1"/>
  <c r="QFZ247" i="20" s="1"/>
  <c r="QGK247" i="20"/>
  <c r="QGG247" i="20" l="1"/>
  <c r="QGC247" i="20" s="1"/>
  <c r="QFY247" i="20" s="1"/>
  <c r="QFU247" i="20" s="1"/>
  <c r="QGF247" i="20"/>
  <c r="QGB247" i="20" l="1"/>
  <c r="QFX247" i="20" s="1"/>
  <c r="QFT247" i="20" s="1"/>
  <c r="QFP247" i="20" s="1"/>
  <c r="QGA247" i="20"/>
  <c r="QFW247" i="20" l="1"/>
  <c r="QFS247" i="20" s="1"/>
  <c r="QFO247" i="20" s="1"/>
  <c r="QFK247" i="20" s="1"/>
  <c r="QFV247" i="20"/>
  <c r="QFR247" i="20" l="1"/>
  <c r="QFN247" i="20" s="1"/>
  <c r="QFJ247" i="20" s="1"/>
  <c r="QFF247" i="20" s="1"/>
  <c r="QFQ247" i="20"/>
  <c r="QFM247" i="20" l="1"/>
  <c r="QFI247" i="20" s="1"/>
  <c r="QFE247" i="20" s="1"/>
  <c r="QFA247" i="20" s="1"/>
  <c r="QFL247" i="20"/>
  <c r="QFH247" i="20" l="1"/>
  <c r="QFD247" i="20" s="1"/>
  <c r="QEZ247" i="20" s="1"/>
  <c r="QEV247" i="20" s="1"/>
  <c r="QFG247" i="20"/>
  <c r="QFC247" i="20" l="1"/>
  <c r="QEY247" i="20" s="1"/>
  <c r="QEU247" i="20" s="1"/>
  <c r="QEQ247" i="20" s="1"/>
  <c r="QFB247" i="20"/>
  <c r="QEX247" i="20" l="1"/>
  <c r="QET247" i="20" s="1"/>
  <c r="QEP247" i="20" s="1"/>
  <c r="QEL247" i="20" s="1"/>
  <c r="QEW247" i="20"/>
  <c r="QES247" i="20" l="1"/>
  <c r="QEO247" i="20" s="1"/>
  <c r="QEK247" i="20" s="1"/>
  <c r="QEG247" i="20" s="1"/>
  <c r="QER247" i="20"/>
  <c r="QEN247" i="20" l="1"/>
  <c r="QEJ247" i="20" s="1"/>
  <c r="QEF247" i="20" s="1"/>
  <c r="QEB247" i="20" s="1"/>
  <c r="QEM247" i="20"/>
  <c r="QEI247" i="20" l="1"/>
  <c r="QEE247" i="20" s="1"/>
  <c r="QEA247" i="20" s="1"/>
  <c r="QDW247" i="20" s="1"/>
  <c r="QEH247" i="20"/>
  <c r="QED247" i="20" l="1"/>
  <c r="QDZ247" i="20" s="1"/>
  <c r="QDV247" i="20" s="1"/>
  <c r="QDR247" i="20" s="1"/>
  <c r="QEC247" i="20"/>
  <c r="QDY247" i="20" l="1"/>
  <c r="QDU247" i="20" s="1"/>
  <c r="QDQ247" i="20" s="1"/>
  <c r="QDM247" i="20" s="1"/>
  <c r="QDX247" i="20"/>
  <c r="QDT247" i="20" l="1"/>
  <c r="QDP247" i="20" s="1"/>
  <c r="QDL247" i="20" s="1"/>
  <c r="QDH247" i="20" s="1"/>
  <c r="QDS247" i="20"/>
  <c r="QDO247" i="20" l="1"/>
  <c r="QDK247" i="20" s="1"/>
  <c r="QDG247" i="20" s="1"/>
  <c r="QDC247" i="20" s="1"/>
  <c r="QDN247" i="20"/>
  <c r="QDJ247" i="20" l="1"/>
  <c r="QDF247" i="20" s="1"/>
  <c r="QDB247" i="20" s="1"/>
  <c r="QCX247" i="20" s="1"/>
  <c r="QDI247" i="20"/>
  <c r="QDE247" i="20" l="1"/>
  <c r="QDA247" i="20" s="1"/>
  <c r="QCW247" i="20" s="1"/>
  <c r="QCS247" i="20" s="1"/>
  <c r="QDD247" i="20"/>
  <c r="QCZ247" i="20" l="1"/>
  <c r="QCV247" i="20" s="1"/>
  <c r="QCR247" i="20" s="1"/>
  <c r="QCN247" i="20" s="1"/>
  <c r="QCY247" i="20"/>
  <c r="QCU247" i="20" l="1"/>
  <c r="QCQ247" i="20" s="1"/>
  <c r="QCM247" i="20" s="1"/>
  <c r="QCI247" i="20" s="1"/>
  <c r="QCT247" i="20"/>
  <c r="QCP247" i="20" l="1"/>
  <c r="QCL247" i="20" s="1"/>
  <c r="QCH247" i="20" s="1"/>
  <c r="QCD247" i="20" s="1"/>
  <c r="QCO247" i="20"/>
  <c r="QCK247" i="20" l="1"/>
  <c r="QCG247" i="20" s="1"/>
  <c r="QCC247" i="20" s="1"/>
  <c r="QBY247" i="20" s="1"/>
  <c r="QCJ247" i="20"/>
  <c r="QCF247" i="20" l="1"/>
  <c r="QCB247" i="20" s="1"/>
  <c r="QBX247" i="20" s="1"/>
  <c r="QBT247" i="20" s="1"/>
  <c r="QCE247" i="20"/>
  <c r="QCA247" i="20" l="1"/>
  <c r="QBW247" i="20" s="1"/>
  <c r="QBS247" i="20" s="1"/>
  <c r="QBO247" i="20" s="1"/>
  <c r="QBZ247" i="20"/>
  <c r="QBV247" i="20" l="1"/>
  <c r="QBR247" i="20" s="1"/>
  <c r="QBN247" i="20" s="1"/>
  <c r="QBJ247" i="20" s="1"/>
  <c r="QBU247" i="20"/>
  <c r="QBQ247" i="20" l="1"/>
  <c r="QBM247" i="20" s="1"/>
  <c r="QBI247" i="20" s="1"/>
  <c r="QBE247" i="20" s="1"/>
  <c r="QBP247" i="20"/>
  <c r="QBL247" i="20" l="1"/>
  <c r="QBH247" i="20" s="1"/>
  <c r="QBD247" i="20" s="1"/>
  <c r="QAZ247" i="20" s="1"/>
  <c r="QBK247" i="20"/>
  <c r="QBG247" i="20" l="1"/>
  <c r="QBC247" i="20" s="1"/>
  <c r="QAY247" i="20" s="1"/>
  <c r="QAU247" i="20" s="1"/>
  <c r="QBF247" i="20"/>
  <c r="QBB247" i="20" l="1"/>
  <c r="QAX247" i="20" s="1"/>
  <c r="QAT247" i="20" s="1"/>
  <c r="QAP247" i="20" s="1"/>
  <c r="QBA247" i="20"/>
  <c r="QAW247" i="20" l="1"/>
  <c r="QAS247" i="20" s="1"/>
  <c r="QAO247" i="20" s="1"/>
  <c r="QAK247" i="20" s="1"/>
  <c r="QAV247" i="20"/>
  <c r="QAR247" i="20" l="1"/>
  <c r="QAN247" i="20" s="1"/>
  <c r="QAJ247" i="20" s="1"/>
  <c r="QAF247" i="20" s="1"/>
  <c r="QAQ247" i="20"/>
  <c r="QAM247" i="20" l="1"/>
  <c r="QAI247" i="20" s="1"/>
  <c r="QAE247" i="20" s="1"/>
  <c r="QAA247" i="20" s="1"/>
  <c r="QAL247" i="20"/>
  <c r="QAH247" i="20" l="1"/>
  <c r="QAD247" i="20" s="1"/>
  <c r="PZZ247" i="20" s="1"/>
  <c r="PZV247" i="20" s="1"/>
  <c r="QAG247" i="20"/>
  <c r="QAC247" i="20" l="1"/>
  <c r="PZY247" i="20" s="1"/>
  <c r="PZU247" i="20" s="1"/>
  <c r="PZQ247" i="20" s="1"/>
  <c r="QAB247" i="20"/>
  <c r="PZX247" i="20" l="1"/>
  <c r="PZT247" i="20" s="1"/>
  <c r="PZP247" i="20" s="1"/>
  <c r="PZL247" i="20" s="1"/>
  <c r="PZW247" i="20"/>
  <c r="PZS247" i="20" l="1"/>
  <c r="PZO247" i="20" s="1"/>
  <c r="PZK247" i="20" s="1"/>
  <c r="PZG247" i="20" s="1"/>
  <c r="PZR247" i="20"/>
  <c r="PZN247" i="20" l="1"/>
  <c r="PZJ247" i="20" s="1"/>
  <c r="PZF247" i="20" s="1"/>
  <c r="PZB247" i="20" s="1"/>
  <c r="PZM247" i="20"/>
  <c r="PZI247" i="20" l="1"/>
  <c r="PZE247" i="20" s="1"/>
  <c r="PZA247" i="20" s="1"/>
  <c r="PYW247" i="20" s="1"/>
  <c r="PZH247" i="20"/>
  <c r="PZD247" i="20" l="1"/>
  <c r="PYZ247" i="20" s="1"/>
  <c r="PYV247" i="20" s="1"/>
  <c r="PYR247" i="20" s="1"/>
  <c r="PZC247" i="20"/>
  <c r="PYY247" i="20" l="1"/>
  <c r="PYU247" i="20" s="1"/>
  <c r="PYQ247" i="20" s="1"/>
  <c r="PYM247" i="20" s="1"/>
  <c r="PYX247" i="20"/>
  <c r="PYT247" i="20" l="1"/>
  <c r="PYP247" i="20" s="1"/>
  <c r="PYL247" i="20" s="1"/>
  <c r="PYH247" i="20" s="1"/>
  <c r="PYS247" i="20"/>
  <c r="PYO247" i="20" l="1"/>
  <c r="PYK247" i="20" s="1"/>
  <c r="PYG247" i="20" s="1"/>
  <c r="PYC247" i="20" s="1"/>
  <c r="PYN247" i="20"/>
  <c r="PYJ247" i="20" l="1"/>
  <c r="PYF247" i="20" s="1"/>
  <c r="PYB247" i="20" s="1"/>
  <c r="PXX247" i="20" s="1"/>
  <c r="PYI247" i="20"/>
  <c r="PYE247" i="20" l="1"/>
  <c r="PYA247" i="20" s="1"/>
  <c r="PXW247" i="20" s="1"/>
  <c r="PXS247" i="20" s="1"/>
  <c r="PYD247" i="20"/>
  <c r="PXZ247" i="20" l="1"/>
  <c r="PXV247" i="20" s="1"/>
  <c r="PXR247" i="20" s="1"/>
  <c r="PXN247" i="20" s="1"/>
  <c r="PXY247" i="20"/>
  <c r="PXU247" i="20" l="1"/>
  <c r="PXQ247" i="20" s="1"/>
  <c r="PXM247" i="20" s="1"/>
  <c r="PXI247" i="20" s="1"/>
  <c r="PXT247" i="20"/>
  <c r="PXP247" i="20" l="1"/>
  <c r="PXL247" i="20" s="1"/>
  <c r="PXH247" i="20" s="1"/>
  <c r="PXD247" i="20" s="1"/>
  <c r="PXO247" i="20"/>
  <c r="PXK247" i="20" l="1"/>
  <c r="PXG247" i="20" s="1"/>
  <c r="PXC247" i="20" s="1"/>
  <c r="PWY247" i="20" s="1"/>
  <c r="PXJ247" i="20"/>
  <c r="PXF247" i="20" l="1"/>
  <c r="PXB247" i="20" s="1"/>
  <c r="PWX247" i="20" s="1"/>
  <c r="PWT247" i="20" s="1"/>
  <c r="PXE247" i="20"/>
  <c r="PXA247" i="20" l="1"/>
  <c r="PWW247" i="20" s="1"/>
  <c r="PWS247" i="20" s="1"/>
  <c r="PWO247" i="20" s="1"/>
  <c r="PWZ247" i="20"/>
  <c r="PWV247" i="20" l="1"/>
  <c r="PWR247" i="20" s="1"/>
  <c r="PWN247" i="20" s="1"/>
  <c r="PWJ247" i="20" s="1"/>
  <c r="PWU247" i="20"/>
  <c r="PWQ247" i="20" l="1"/>
  <c r="PWM247" i="20" s="1"/>
  <c r="PWI247" i="20" s="1"/>
  <c r="PWE247" i="20" s="1"/>
  <c r="PWP247" i="20"/>
  <c r="PWL247" i="20" l="1"/>
  <c r="PWH247" i="20" s="1"/>
  <c r="PWD247" i="20" s="1"/>
  <c r="PVZ247" i="20" s="1"/>
  <c r="PWK247" i="20"/>
  <c r="PWG247" i="20" l="1"/>
  <c r="PWC247" i="20" s="1"/>
  <c r="PVY247" i="20" s="1"/>
  <c r="PVU247" i="20" s="1"/>
  <c r="PWF247" i="20"/>
  <c r="PWB247" i="20" l="1"/>
  <c r="PVX247" i="20" s="1"/>
  <c r="PVT247" i="20" s="1"/>
  <c r="PVP247" i="20" s="1"/>
  <c r="PWA247" i="20"/>
  <c r="PVW247" i="20" l="1"/>
  <c r="PVS247" i="20" s="1"/>
  <c r="PVO247" i="20" s="1"/>
  <c r="PVK247" i="20" s="1"/>
  <c r="PVV247" i="20"/>
  <c r="PVR247" i="20" l="1"/>
  <c r="PVN247" i="20" s="1"/>
  <c r="PVJ247" i="20" s="1"/>
  <c r="PVF247" i="20" s="1"/>
  <c r="PVQ247" i="20"/>
  <c r="PVM247" i="20" l="1"/>
  <c r="PVI247" i="20" s="1"/>
  <c r="PVE247" i="20" s="1"/>
  <c r="PVA247" i="20" s="1"/>
  <c r="PVL247" i="20"/>
  <c r="PVH247" i="20" l="1"/>
  <c r="PVD247" i="20" s="1"/>
  <c r="PUZ247" i="20" s="1"/>
  <c r="PUV247" i="20" s="1"/>
  <c r="PVG247" i="20"/>
  <c r="PVC247" i="20" l="1"/>
  <c r="PUY247" i="20" s="1"/>
  <c r="PUU247" i="20" s="1"/>
  <c r="PUQ247" i="20" s="1"/>
  <c r="PVB247" i="20"/>
  <c r="PUX247" i="20" l="1"/>
  <c r="PUT247" i="20" s="1"/>
  <c r="PUP247" i="20" s="1"/>
  <c r="PUL247" i="20" s="1"/>
  <c r="PUW247" i="20"/>
  <c r="PUS247" i="20" l="1"/>
  <c r="PUO247" i="20" s="1"/>
  <c r="PUK247" i="20" s="1"/>
  <c r="PUG247" i="20" s="1"/>
  <c r="PUR247" i="20"/>
  <c r="PUN247" i="20" l="1"/>
  <c r="PUJ247" i="20" s="1"/>
  <c r="PUF247" i="20" s="1"/>
  <c r="PUB247" i="20" s="1"/>
  <c r="PUM247" i="20"/>
  <c r="PUI247" i="20" l="1"/>
  <c r="PUE247" i="20" s="1"/>
  <c r="PUA247" i="20" s="1"/>
  <c r="PTW247" i="20" s="1"/>
  <c r="PUH247" i="20"/>
  <c r="PUD247" i="20" l="1"/>
  <c r="PTZ247" i="20" s="1"/>
  <c r="PTV247" i="20" s="1"/>
  <c r="PTR247" i="20" s="1"/>
  <c r="PUC247" i="20"/>
  <c r="PTY247" i="20" l="1"/>
  <c r="PTU247" i="20" s="1"/>
  <c r="PTQ247" i="20" s="1"/>
  <c r="PTM247" i="20" s="1"/>
  <c r="PTX247" i="20"/>
  <c r="PTT247" i="20" l="1"/>
  <c r="PTP247" i="20" s="1"/>
  <c r="PTL247" i="20" s="1"/>
  <c r="PTH247" i="20" s="1"/>
  <c r="PTS247" i="20"/>
  <c r="PTO247" i="20" l="1"/>
  <c r="PTK247" i="20" s="1"/>
  <c r="PTG247" i="20" s="1"/>
  <c r="PTC247" i="20" s="1"/>
  <c r="PTN247" i="20"/>
  <c r="PTJ247" i="20" l="1"/>
  <c r="PTF247" i="20" s="1"/>
  <c r="PTB247" i="20" s="1"/>
  <c r="PSX247" i="20" s="1"/>
  <c r="PTI247" i="20"/>
  <c r="PTE247" i="20" l="1"/>
  <c r="PTA247" i="20" s="1"/>
  <c r="PSW247" i="20" s="1"/>
  <c r="PSS247" i="20" s="1"/>
  <c r="PTD247" i="20"/>
  <c r="PSZ247" i="20" l="1"/>
  <c r="PSV247" i="20" s="1"/>
  <c r="PSR247" i="20" s="1"/>
  <c r="PSN247" i="20" s="1"/>
  <c r="PSY247" i="20"/>
  <c r="PSU247" i="20" l="1"/>
  <c r="PSQ247" i="20" s="1"/>
  <c r="PSM247" i="20" s="1"/>
  <c r="PSI247" i="20" s="1"/>
  <c r="PST247" i="20"/>
  <c r="PSP247" i="20" l="1"/>
  <c r="PSL247" i="20" s="1"/>
  <c r="PSH247" i="20" s="1"/>
  <c r="PSD247" i="20" s="1"/>
  <c r="PSO247" i="20"/>
  <c r="PSK247" i="20" l="1"/>
  <c r="PSG247" i="20" s="1"/>
  <c r="PSC247" i="20" s="1"/>
  <c r="PRY247" i="20" s="1"/>
  <c r="PSJ247" i="20"/>
  <c r="PSF247" i="20" l="1"/>
  <c r="PSB247" i="20" s="1"/>
  <c r="PRX247" i="20" s="1"/>
  <c r="PRT247" i="20" s="1"/>
  <c r="PSE247" i="20"/>
  <c r="PSA247" i="20" l="1"/>
  <c r="PRW247" i="20" s="1"/>
  <c r="PRS247" i="20" s="1"/>
  <c r="PRO247" i="20" s="1"/>
  <c r="PRZ247" i="20"/>
  <c r="PRV247" i="20" l="1"/>
  <c r="PRR247" i="20" s="1"/>
  <c r="PRN247" i="20" s="1"/>
  <c r="PRJ247" i="20" s="1"/>
  <c r="PRU247" i="20"/>
  <c r="PRQ247" i="20" l="1"/>
  <c r="PRM247" i="20" s="1"/>
  <c r="PRI247" i="20" s="1"/>
  <c r="PRE247" i="20" s="1"/>
  <c r="PRP247" i="20"/>
  <c r="PRL247" i="20" l="1"/>
  <c r="PRH247" i="20" s="1"/>
  <c r="PRD247" i="20" s="1"/>
  <c r="PQZ247" i="20" s="1"/>
  <c r="PRK247" i="20"/>
  <c r="PRG247" i="20" l="1"/>
  <c r="PRC247" i="20" s="1"/>
  <c r="PQY247" i="20" s="1"/>
  <c r="PQU247" i="20" s="1"/>
  <c r="PRF247" i="20"/>
  <c r="PRB247" i="20" l="1"/>
  <c r="PQX247" i="20" s="1"/>
  <c r="PQT247" i="20" s="1"/>
  <c r="PQP247" i="20" s="1"/>
  <c r="PRA247" i="20"/>
  <c r="PQW247" i="20" l="1"/>
  <c r="PQS247" i="20" s="1"/>
  <c r="PQO247" i="20" s="1"/>
  <c r="PQK247" i="20" s="1"/>
  <c r="PQV247" i="20"/>
  <c r="PQR247" i="20" l="1"/>
  <c r="PQN247" i="20" s="1"/>
  <c r="PQJ247" i="20" s="1"/>
  <c r="PQF247" i="20" s="1"/>
  <c r="PQQ247" i="20"/>
  <c r="PQM247" i="20" l="1"/>
  <c r="PQI247" i="20" s="1"/>
  <c r="PQE247" i="20" s="1"/>
  <c r="PQA247" i="20" s="1"/>
  <c r="PQL247" i="20"/>
  <c r="PQH247" i="20" l="1"/>
  <c r="PQD247" i="20" s="1"/>
  <c r="PPZ247" i="20" s="1"/>
  <c r="PPV247" i="20" s="1"/>
  <c r="PQG247" i="20"/>
  <c r="PQC247" i="20" l="1"/>
  <c r="PPY247" i="20" s="1"/>
  <c r="PPU247" i="20" s="1"/>
  <c r="PPQ247" i="20" s="1"/>
  <c r="PQB247" i="20"/>
  <c r="PPX247" i="20" l="1"/>
  <c r="PPT247" i="20" s="1"/>
  <c r="PPP247" i="20" s="1"/>
  <c r="PPL247" i="20" s="1"/>
  <c r="PPW247" i="20"/>
  <c r="PPS247" i="20" l="1"/>
  <c r="PPO247" i="20" s="1"/>
  <c r="PPK247" i="20" s="1"/>
  <c r="PPG247" i="20" s="1"/>
  <c r="PPR247" i="20"/>
  <c r="PPN247" i="20" l="1"/>
  <c r="PPJ247" i="20" s="1"/>
  <c r="PPF247" i="20" s="1"/>
  <c r="PPB247" i="20" s="1"/>
  <c r="PPM247" i="20"/>
  <c r="PPI247" i="20" l="1"/>
  <c r="PPE247" i="20" s="1"/>
  <c r="PPA247" i="20" s="1"/>
  <c r="POW247" i="20" s="1"/>
  <c r="PPH247" i="20"/>
  <c r="PPD247" i="20" l="1"/>
  <c r="POZ247" i="20" s="1"/>
  <c r="POV247" i="20" s="1"/>
  <c r="POR247" i="20" s="1"/>
  <c r="PPC247" i="20"/>
  <c r="POY247" i="20" l="1"/>
  <c r="POU247" i="20" s="1"/>
  <c r="POQ247" i="20" s="1"/>
  <c r="POM247" i="20" s="1"/>
  <c r="POX247" i="20"/>
  <c r="POT247" i="20" l="1"/>
  <c r="POP247" i="20" s="1"/>
  <c r="POL247" i="20" s="1"/>
  <c r="POH247" i="20" s="1"/>
  <c r="POS247" i="20"/>
  <c r="POO247" i="20" l="1"/>
  <c r="POK247" i="20" s="1"/>
  <c r="POG247" i="20" s="1"/>
  <c r="POC247" i="20" s="1"/>
  <c r="PON247" i="20"/>
  <c r="POJ247" i="20" l="1"/>
  <c r="POF247" i="20" s="1"/>
  <c r="POB247" i="20" s="1"/>
  <c r="PNX247" i="20" s="1"/>
  <c r="POI247" i="20"/>
  <c r="POE247" i="20" l="1"/>
  <c r="POA247" i="20" s="1"/>
  <c r="PNW247" i="20" s="1"/>
  <c r="PNS247" i="20" s="1"/>
  <c r="POD247" i="20"/>
  <c r="PNZ247" i="20" l="1"/>
  <c r="PNV247" i="20" s="1"/>
  <c r="PNR247" i="20" s="1"/>
  <c r="PNN247" i="20" s="1"/>
  <c r="PNY247" i="20"/>
  <c r="PNU247" i="20" l="1"/>
  <c r="PNQ247" i="20" s="1"/>
  <c r="PNM247" i="20" s="1"/>
  <c r="PNI247" i="20" s="1"/>
  <c r="PNT247" i="20"/>
  <c r="PNP247" i="20" l="1"/>
  <c r="PNL247" i="20" s="1"/>
  <c r="PNH247" i="20" s="1"/>
  <c r="PND247" i="20" s="1"/>
  <c r="PNO247" i="20"/>
  <c r="PNK247" i="20" l="1"/>
  <c r="PNG247" i="20" s="1"/>
  <c r="PNC247" i="20" s="1"/>
  <c r="PMY247" i="20" s="1"/>
  <c r="PNJ247" i="20"/>
  <c r="PNF247" i="20" l="1"/>
  <c r="PNB247" i="20" s="1"/>
  <c r="PMX247" i="20" s="1"/>
  <c r="PMT247" i="20" s="1"/>
  <c r="PNE247" i="20"/>
  <c r="PNA247" i="20" l="1"/>
  <c r="PMW247" i="20" s="1"/>
  <c r="PMS247" i="20" s="1"/>
  <c r="PMO247" i="20" s="1"/>
  <c r="PMZ247" i="20"/>
  <c r="PMV247" i="20" l="1"/>
  <c r="PMR247" i="20" s="1"/>
  <c r="PMN247" i="20" s="1"/>
  <c r="PMJ247" i="20" s="1"/>
  <c r="PMU247" i="20"/>
  <c r="PMQ247" i="20" l="1"/>
  <c r="PMM247" i="20" s="1"/>
  <c r="PMI247" i="20" s="1"/>
  <c r="PME247" i="20" s="1"/>
  <c r="PMP247" i="20"/>
  <c r="PML247" i="20" l="1"/>
  <c r="PMH247" i="20" s="1"/>
  <c r="PMD247" i="20" s="1"/>
  <c r="PLZ247" i="20" s="1"/>
  <c r="PMK247" i="20"/>
  <c r="PMG247" i="20" l="1"/>
  <c r="PMC247" i="20" s="1"/>
  <c r="PLY247" i="20" s="1"/>
  <c r="PLU247" i="20" s="1"/>
  <c r="PMF247" i="20"/>
  <c r="PMB247" i="20" l="1"/>
  <c r="PLX247" i="20" s="1"/>
  <c r="PLT247" i="20" s="1"/>
  <c r="PLP247" i="20" s="1"/>
  <c r="PMA247" i="20"/>
  <c r="PLW247" i="20" l="1"/>
  <c r="PLS247" i="20" s="1"/>
  <c r="PLO247" i="20" s="1"/>
  <c r="PLK247" i="20" s="1"/>
  <c r="PLV247" i="20"/>
  <c r="PLR247" i="20" l="1"/>
  <c r="PLN247" i="20" s="1"/>
  <c r="PLJ247" i="20" s="1"/>
  <c r="PLF247" i="20" s="1"/>
  <c r="PLQ247" i="20"/>
  <c r="PLM247" i="20" l="1"/>
  <c r="PLI247" i="20" s="1"/>
  <c r="PLE247" i="20" s="1"/>
  <c r="PLA247" i="20" s="1"/>
  <c r="PLL247" i="20"/>
  <c r="PLH247" i="20" l="1"/>
  <c r="PLD247" i="20" s="1"/>
  <c r="PKZ247" i="20" s="1"/>
  <c r="PKV247" i="20" s="1"/>
  <c r="PLG247" i="20"/>
  <c r="PLC247" i="20" l="1"/>
  <c r="PKY247" i="20" s="1"/>
  <c r="PKU247" i="20" s="1"/>
  <c r="PKQ247" i="20" s="1"/>
  <c r="PLB247" i="20"/>
  <c r="PKX247" i="20" l="1"/>
  <c r="PKT247" i="20" s="1"/>
  <c r="PKP247" i="20" s="1"/>
  <c r="PKL247" i="20" s="1"/>
  <c r="PKW247" i="20"/>
  <c r="PKS247" i="20" l="1"/>
  <c r="PKO247" i="20" s="1"/>
  <c r="PKK247" i="20" s="1"/>
  <c r="PKG247" i="20" s="1"/>
  <c r="PKR247" i="20"/>
  <c r="PKN247" i="20" l="1"/>
  <c r="PKJ247" i="20" s="1"/>
  <c r="PKF247" i="20" s="1"/>
  <c r="PKB247" i="20" s="1"/>
  <c r="PKM247" i="20"/>
  <c r="PKI247" i="20" l="1"/>
  <c r="PKE247" i="20" s="1"/>
  <c r="PKA247" i="20" s="1"/>
  <c r="PJW247" i="20" s="1"/>
  <c r="PKH247" i="20"/>
  <c r="PKD247" i="20" l="1"/>
  <c r="PJZ247" i="20" s="1"/>
  <c r="PJV247" i="20" s="1"/>
  <c r="PJR247" i="20" s="1"/>
  <c r="PKC247" i="20"/>
  <c r="PJY247" i="20" l="1"/>
  <c r="PJU247" i="20" s="1"/>
  <c r="PJQ247" i="20" s="1"/>
  <c r="PJM247" i="20" s="1"/>
  <c r="PJX247" i="20"/>
  <c r="PJT247" i="20" l="1"/>
  <c r="PJP247" i="20" s="1"/>
  <c r="PJL247" i="20" s="1"/>
  <c r="PJH247" i="20" s="1"/>
  <c r="PJS247" i="20"/>
  <c r="PJO247" i="20" l="1"/>
  <c r="PJK247" i="20" s="1"/>
  <c r="PJG247" i="20" s="1"/>
  <c r="PJC247" i="20" s="1"/>
  <c r="PJN247" i="20"/>
  <c r="PJJ247" i="20" l="1"/>
  <c r="PJF247" i="20" s="1"/>
  <c r="PJB247" i="20" s="1"/>
  <c r="PIX247" i="20" s="1"/>
  <c r="PJI247" i="20"/>
  <c r="PJE247" i="20" l="1"/>
  <c r="PJA247" i="20" s="1"/>
  <c r="PIW247" i="20" s="1"/>
  <c r="PIS247" i="20" s="1"/>
  <c r="PJD247" i="20"/>
  <c r="PIZ247" i="20" l="1"/>
  <c r="PIV247" i="20" s="1"/>
  <c r="PIR247" i="20" s="1"/>
  <c r="PIN247" i="20" s="1"/>
  <c r="PIY247" i="20"/>
  <c r="PIU247" i="20" l="1"/>
  <c r="PIQ247" i="20" s="1"/>
  <c r="PIM247" i="20" s="1"/>
  <c r="PII247" i="20" s="1"/>
  <c r="PIT247" i="20"/>
  <c r="PIP247" i="20" l="1"/>
  <c r="PIL247" i="20" s="1"/>
  <c r="PIH247" i="20" s="1"/>
  <c r="PID247" i="20" s="1"/>
  <c r="PIO247" i="20"/>
  <c r="PIK247" i="20" l="1"/>
  <c r="PIG247" i="20" s="1"/>
  <c r="PIC247" i="20" s="1"/>
  <c r="PHY247" i="20" s="1"/>
  <c r="PIJ247" i="20"/>
  <c r="PIF247" i="20" l="1"/>
  <c r="PIB247" i="20" s="1"/>
  <c r="PHX247" i="20" s="1"/>
  <c r="PHT247" i="20" s="1"/>
  <c r="PIE247" i="20"/>
  <c r="PIA247" i="20" l="1"/>
  <c r="PHW247" i="20" s="1"/>
  <c r="PHS247" i="20" s="1"/>
  <c r="PHO247" i="20" s="1"/>
  <c r="PHZ247" i="20"/>
  <c r="PHV247" i="20" l="1"/>
  <c r="PHR247" i="20" s="1"/>
  <c r="PHN247" i="20" s="1"/>
  <c r="PHJ247" i="20" s="1"/>
  <c r="PHU247" i="20"/>
  <c r="PHQ247" i="20" l="1"/>
  <c r="PHM247" i="20" s="1"/>
  <c r="PHI247" i="20" s="1"/>
  <c r="PHE247" i="20" s="1"/>
  <c r="PHP247" i="20"/>
  <c r="PHL247" i="20" l="1"/>
  <c r="PHH247" i="20" s="1"/>
  <c r="PHD247" i="20" s="1"/>
  <c r="PGZ247" i="20" s="1"/>
  <c r="PHK247" i="20"/>
  <c r="PHG247" i="20" l="1"/>
  <c r="PHC247" i="20" s="1"/>
  <c r="PGY247" i="20" s="1"/>
  <c r="PGU247" i="20" s="1"/>
  <c r="PHF247" i="20"/>
  <c r="PHB247" i="20" l="1"/>
  <c r="PGX247" i="20" s="1"/>
  <c r="PGT247" i="20" s="1"/>
  <c r="PGP247" i="20" s="1"/>
  <c r="PHA247" i="20"/>
  <c r="PGW247" i="20" l="1"/>
  <c r="PGS247" i="20" s="1"/>
  <c r="PGO247" i="20" s="1"/>
  <c r="PGK247" i="20" s="1"/>
  <c r="PGV247" i="20"/>
  <c r="PGR247" i="20" l="1"/>
  <c r="PGN247" i="20" s="1"/>
  <c r="PGJ247" i="20" s="1"/>
  <c r="PGF247" i="20" s="1"/>
  <c r="PGQ247" i="20"/>
  <c r="PGM247" i="20" l="1"/>
  <c r="PGI247" i="20" s="1"/>
  <c r="PGE247" i="20" s="1"/>
  <c r="PGA247" i="20" s="1"/>
  <c r="PGL247" i="20"/>
  <c r="PGH247" i="20" l="1"/>
  <c r="PGD247" i="20" s="1"/>
  <c r="PFZ247" i="20" s="1"/>
  <c r="PFV247" i="20" s="1"/>
  <c r="PGG247" i="20"/>
  <c r="PGC247" i="20" l="1"/>
  <c r="PFY247" i="20" s="1"/>
  <c r="PFU247" i="20" s="1"/>
  <c r="PFQ247" i="20" s="1"/>
  <c r="PGB247" i="20"/>
  <c r="PFX247" i="20" l="1"/>
  <c r="PFT247" i="20" s="1"/>
  <c r="PFP247" i="20" s="1"/>
  <c r="PFL247" i="20" s="1"/>
  <c r="PFW247" i="20"/>
  <c r="PFS247" i="20" l="1"/>
  <c r="PFO247" i="20" s="1"/>
  <c r="PFK247" i="20" s="1"/>
  <c r="PFG247" i="20" s="1"/>
  <c r="PFR247" i="20"/>
  <c r="PFN247" i="20" l="1"/>
  <c r="PFJ247" i="20" s="1"/>
  <c r="PFF247" i="20" s="1"/>
  <c r="PFB247" i="20" s="1"/>
  <c r="PFM247" i="20"/>
  <c r="PFI247" i="20" l="1"/>
  <c r="PFE247" i="20" s="1"/>
  <c r="PFA247" i="20" s="1"/>
  <c r="PEW247" i="20" s="1"/>
  <c r="PFH247" i="20"/>
  <c r="PFD247" i="20" l="1"/>
  <c r="PEZ247" i="20" s="1"/>
  <c r="PEV247" i="20" s="1"/>
  <c r="PER247" i="20" s="1"/>
  <c r="PFC247" i="20"/>
  <c r="PEY247" i="20" l="1"/>
  <c r="PEU247" i="20" s="1"/>
  <c r="PEQ247" i="20" s="1"/>
  <c r="PEM247" i="20" s="1"/>
  <c r="PEX247" i="20"/>
  <c r="PET247" i="20" l="1"/>
  <c r="PEP247" i="20" s="1"/>
  <c r="PEL247" i="20" s="1"/>
  <c r="PEH247" i="20" s="1"/>
  <c r="PES247" i="20"/>
  <c r="PEO247" i="20" l="1"/>
  <c r="PEK247" i="20" s="1"/>
  <c r="PEG247" i="20" s="1"/>
  <c r="PEC247" i="20" s="1"/>
  <c r="PEN247" i="20"/>
  <c r="PEJ247" i="20" l="1"/>
  <c r="PEF247" i="20" s="1"/>
  <c r="PEB247" i="20" s="1"/>
  <c r="PDX247" i="20" s="1"/>
  <c r="PEI247" i="20"/>
  <c r="PEE247" i="20" l="1"/>
  <c r="PEA247" i="20" s="1"/>
  <c r="PDW247" i="20" s="1"/>
  <c r="PDS247" i="20" s="1"/>
  <c r="PED247" i="20"/>
  <c r="PDZ247" i="20" l="1"/>
  <c r="PDV247" i="20" s="1"/>
  <c r="PDR247" i="20" s="1"/>
  <c r="PDN247" i="20" s="1"/>
  <c r="PDY247" i="20"/>
  <c r="PDU247" i="20" l="1"/>
  <c r="PDQ247" i="20" s="1"/>
  <c r="PDM247" i="20" s="1"/>
  <c r="PDI247" i="20" s="1"/>
  <c r="PDT247" i="20"/>
  <c r="PDP247" i="20" l="1"/>
  <c r="PDL247" i="20" s="1"/>
  <c r="PDH247" i="20" s="1"/>
  <c r="PDD247" i="20" s="1"/>
  <c r="PDO247" i="20"/>
  <c r="PDK247" i="20" l="1"/>
  <c r="PDG247" i="20" s="1"/>
  <c r="PDC247" i="20" s="1"/>
  <c r="PCY247" i="20" s="1"/>
  <c r="PDJ247" i="20"/>
  <c r="PDF247" i="20" l="1"/>
  <c r="PDB247" i="20" s="1"/>
  <c r="PCX247" i="20" s="1"/>
  <c r="PCT247" i="20" s="1"/>
  <c r="PDE247" i="20"/>
  <c r="PDA247" i="20" l="1"/>
  <c r="PCW247" i="20" s="1"/>
  <c r="PCS247" i="20" s="1"/>
  <c r="PCO247" i="20" s="1"/>
  <c r="PCZ247" i="20"/>
  <c r="PCV247" i="20" l="1"/>
  <c r="PCR247" i="20" s="1"/>
  <c r="PCN247" i="20" s="1"/>
  <c r="PCJ247" i="20" s="1"/>
  <c r="PCU247" i="20"/>
  <c r="PCQ247" i="20" l="1"/>
  <c r="PCM247" i="20" s="1"/>
  <c r="PCI247" i="20" s="1"/>
  <c r="PCE247" i="20" s="1"/>
  <c r="PCP247" i="20"/>
  <c r="PCL247" i="20" l="1"/>
  <c r="PCH247" i="20" s="1"/>
  <c r="PCD247" i="20" s="1"/>
  <c r="PBZ247" i="20" s="1"/>
  <c r="PCK247" i="20"/>
  <c r="PCG247" i="20" l="1"/>
  <c r="PCC247" i="20" s="1"/>
  <c r="PBY247" i="20" s="1"/>
  <c r="PBU247" i="20" s="1"/>
  <c r="PCF247" i="20"/>
  <c r="PCB247" i="20" l="1"/>
  <c r="PBX247" i="20" s="1"/>
  <c r="PBT247" i="20" s="1"/>
  <c r="PBP247" i="20" s="1"/>
  <c r="PCA247" i="20"/>
  <c r="PBW247" i="20" l="1"/>
  <c r="PBS247" i="20" s="1"/>
  <c r="PBO247" i="20" s="1"/>
  <c r="PBK247" i="20" s="1"/>
  <c r="PBV247" i="20"/>
  <c r="PBR247" i="20" l="1"/>
  <c r="PBN247" i="20" s="1"/>
  <c r="PBJ247" i="20" s="1"/>
  <c r="PBF247" i="20" s="1"/>
  <c r="PBQ247" i="20"/>
  <c r="PBM247" i="20" l="1"/>
  <c r="PBI247" i="20" s="1"/>
  <c r="PBE247" i="20" s="1"/>
  <c r="PBA247" i="20" s="1"/>
  <c r="PBL247" i="20"/>
  <c r="PBH247" i="20" l="1"/>
  <c r="PBD247" i="20" s="1"/>
  <c r="PAZ247" i="20" s="1"/>
  <c r="PAV247" i="20" s="1"/>
  <c r="PBG247" i="20"/>
  <c r="PBC247" i="20" l="1"/>
  <c r="PAY247" i="20" s="1"/>
  <c r="PAU247" i="20" s="1"/>
  <c r="PAQ247" i="20" s="1"/>
  <c r="PBB247" i="20"/>
  <c r="PAX247" i="20" l="1"/>
  <c r="PAT247" i="20" s="1"/>
  <c r="PAP247" i="20" s="1"/>
  <c r="PAL247" i="20" s="1"/>
  <c r="PAW247" i="20"/>
  <c r="PAS247" i="20" l="1"/>
  <c r="PAO247" i="20" s="1"/>
  <c r="PAK247" i="20" s="1"/>
  <c r="PAG247" i="20" s="1"/>
  <c r="PAR247" i="20"/>
  <c r="PAN247" i="20" l="1"/>
  <c r="PAJ247" i="20" s="1"/>
  <c r="PAF247" i="20" s="1"/>
  <c r="PAB247" i="20" s="1"/>
  <c r="PAM247" i="20"/>
  <c r="PAI247" i="20" l="1"/>
  <c r="PAE247" i="20" s="1"/>
  <c r="PAA247" i="20" s="1"/>
  <c r="OZW247" i="20" s="1"/>
  <c r="PAH247" i="20"/>
  <c r="PAD247" i="20" l="1"/>
  <c r="OZZ247" i="20" s="1"/>
  <c r="OZV247" i="20" s="1"/>
  <c r="OZR247" i="20" s="1"/>
  <c r="PAC247" i="20"/>
  <c r="OZY247" i="20" l="1"/>
  <c r="OZU247" i="20" s="1"/>
  <c r="OZQ247" i="20" s="1"/>
  <c r="OZM247" i="20" s="1"/>
  <c r="OZX247" i="20"/>
  <c r="OZT247" i="20" l="1"/>
  <c r="OZP247" i="20" s="1"/>
  <c r="OZL247" i="20" s="1"/>
  <c r="OZH247" i="20" s="1"/>
  <c r="OZS247" i="20"/>
  <c r="OZO247" i="20" l="1"/>
  <c r="OZK247" i="20" s="1"/>
  <c r="OZG247" i="20" s="1"/>
  <c r="OZC247" i="20" s="1"/>
  <c r="OZN247" i="20"/>
  <c r="OZJ247" i="20" l="1"/>
  <c r="OZF247" i="20" s="1"/>
  <c r="OZB247" i="20" s="1"/>
  <c r="OYX247" i="20" s="1"/>
  <c r="OZI247" i="20"/>
  <c r="OZE247" i="20" l="1"/>
  <c r="OZA247" i="20" s="1"/>
  <c r="OYW247" i="20" s="1"/>
  <c r="OYS247" i="20" s="1"/>
  <c r="OZD247" i="20"/>
  <c r="OYZ247" i="20" l="1"/>
  <c r="OYV247" i="20" s="1"/>
  <c r="OYR247" i="20" s="1"/>
  <c r="OYN247" i="20" s="1"/>
  <c r="OYY247" i="20"/>
  <c r="OYU247" i="20" l="1"/>
  <c r="OYQ247" i="20" s="1"/>
  <c r="OYM247" i="20" s="1"/>
  <c r="OYI247" i="20" s="1"/>
  <c r="OYT247" i="20"/>
  <c r="OYP247" i="20" l="1"/>
  <c r="OYL247" i="20" s="1"/>
  <c r="OYH247" i="20" s="1"/>
  <c r="OYD247" i="20" s="1"/>
  <c r="OYO247" i="20"/>
  <c r="OYK247" i="20" l="1"/>
  <c r="OYG247" i="20" s="1"/>
  <c r="OYC247" i="20" s="1"/>
  <c r="OXY247" i="20" s="1"/>
  <c r="OYJ247" i="20"/>
  <c r="OYF247" i="20" l="1"/>
  <c r="OYB247" i="20" s="1"/>
  <c r="OXX247" i="20" s="1"/>
  <c r="OXT247" i="20" s="1"/>
  <c r="OYE247" i="20"/>
  <c r="OYA247" i="20" l="1"/>
  <c r="OXW247" i="20" s="1"/>
  <c r="OXS247" i="20" s="1"/>
  <c r="OXO247" i="20" s="1"/>
  <c r="OXZ247" i="20"/>
  <c r="OXV247" i="20" l="1"/>
  <c r="OXR247" i="20" s="1"/>
  <c r="OXN247" i="20" s="1"/>
  <c r="OXJ247" i="20" s="1"/>
  <c r="OXU247" i="20"/>
  <c r="OXQ247" i="20" l="1"/>
  <c r="OXM247" i="20" s="1"/>
  <c r="OXI247" i="20" s="1"/>
  <c r="OXE247" i="20" s="1"/>
  <c r="OXP247" i="20"/>
  <c r="OXL247" i="20" l="1"/>
  <c r="OXH247" i="20" s="1"/>
  <c r="OXD247" i="20" s="1"/>
  <c r="OWZ247" i="20" s="1"/>
  <c r="OXK247" i="20"/>
  <c r="OXG247" i="20" l="1"/>
  <c r="OXC247" i="20" s="1"/>
  <c r="OWY247" i="20" s="1"/>
  <c r="OWU247" i="20" s="1"/>
  <c r="OXF247" i="20"/>
  <c r="OXB247" i="20" l="1"/>
  <c r="OWX247" i="20" s="1"/>
  <c r="OWT247" i="20" s="1"/>
  <c r="OWP247" i="20" s="1"/>
  <c r="OXA247" i="20"/>
  <c r="OWW247" i="20" l="1"/>
  <c r="OWS247" i="20" s="1"/>
  <c r="OWO247" i="20" s="1"/>
  <c r="OWK247" i="20" s="1"/>
  <c r="OWV247" i="20"/>
  <c r="OWR247" i="20" l="1"/>
  <c r="OWN247" i="20" s="1"/>
  <c r="OWJ247" i="20" s="1"/>
  <c r="OWF247" i="20" s="1"/>
  <c r="OWQ247" i="20"/>
  <c r="OWM247" i="20" l="1"/>
  <c r="OWI247" i="20" s="1"/>
  <c r="OWE247" i="20" s="1"/>
  <c r="OWA247" i="20" s="1"/>
  <c r="OWL247" i="20"/>
  <c r="OWH247" i="20" l="1"/>
  <c r="OWD247" i="20" s="1"/>
  <c r="OVZ247" i="20" s="1"/>
  <c r="OVV247" i="20" s="1"/>
  <c r="OWG247" i="20"/>
  <c r="OWC247" i="20" l="1"/>
  <c r="OVY247" i="20" s="1"/>
  <c r="OVU247" i="20" s="1"/>
  <c r="OVQ247" i="20" s="1"/>
  <c r="OWB247" i="20"/>
  <c r="OVX247" i="20" l="1"/>
  <c r="OVT247" i="20" s="1"/>
  <c r="OVP247" i="20" s="1"/>
  <c r="OVL247" i="20" s="1"/>
  <c r="OVW247" i="20"/>
  <c r="OVS247" i="20" l="1"/>
  <c r="OVO247" i="20" s="1"/>
  <c r="OVK247" i="20" s="1"/>
  <c r="OVG247" i="20" s="1"/>
  <c r="OVR247" i="20"/>
  <c r="OVN247" i="20" l="1"/>
  <c r="OVJ247" i="20" s="1"/>
  <c r="OVF247" i="20" s="1"/>
  <c r="OVB247" i="20" s="1"/>
  <c r="OVM247" i="20"/>
  <c r="OVI247" i="20" l="1"/>
  <c r="OVE247" i="20" s="1"/>
  <c r="OVA247" i="20" s="1"/>
  <c r="OUW247" i="20" s="1"/>
  <c r="OVH247" i="20"/>
  <c r="OVD247" i="20" l="1"/>
  <c r="OUZ247" i="20" s="1"/>
  <c r="OUV247" i="20" s="1"/>
  <c r="OUR247" i="20" s="1"/>
  <c r="OVC247" i="20"/>
  <c r="OUY247" i="20" l="1"/>
  <c r="OUU247" i="20" s="1"/>
  <c r="OUQ247" i="20" s="1"/>
  <c r="OUM247" i="20" s="1"/>
  <c r="OUX247" i="20"/>
  <c r="OUT247" i="20" l="1"/>
  <c r="OUP247" i="20" s="1"/>
  <c r="OUL247" i="20" s="1"/>
  <c r="OUH247" i="20" s="1"/>
  <c r="OUS247" i="20"/>
  <c r="OUO247" i="20" l="1"/>
  <c r="OUK247" i="20" s="1"/>
  <c r="OUG247" i="20" s="1"/>
  <c r="OUC247" i="20" s="1"/>
  <c r="OUN247" i="20"/>
  <c r="OUJ247" i="20" l="1"/>
  <c r="OUF247" i="20" s="1"/>
  <c r="OUB247" i="20" s="1"/>
  <c r="OTX247" i="20" s="1"/>
  <c r="OUI247" i="20"/>
  <c r="OUE247" i="20" l="1"/>
  <c r="OUA247" i="20" s="1"/>
  <c r="OTW247" i="20" s="1"/>
  <c r="OTS247" i="20" s="1"/>
  <c r="OUD247" i="20"/>
  <c r="OTZ247" i="20" l="1"/>
  <c r="OTV247" i="20" s="1"/>
  <c r="OTR247" i="20" s="1"/>
  <c r="OTN247" i="20" s="1"/>
  <c r="OTY247" i="20"/>
  <c r="OTU247" i="20" l="1"/>
  <c r="OTQ247" i="20" s="1"/>
  <c r="OTM247" i="20" s="1"/>
  <c r="OTI247" i="20" s="1"/>
  <c r="OTT247" i="20"/>
  <c r="OTP247" i="20" l="1"/>
  <c r="OTL247" i="20" s="1"/>
  <c r="OTH247" i="20" s="1"/>
  <c r="OTD247" i="20" s="1"/>
  <c r="OTO247" i="20"/>
  <c r="OTK247" i="20" l="1"/>
  <c r="OTG247" i="20" s="1"/>
  <c r="OTC247" i="20" s="1"/>
  <c r="OSY247" i="20" s="1"/>
  <c r="OTJ247" i="20"/>
  <c r="OTF247" i="20" l="1"/>
  <c r="OTB247" i="20" s="1"/>
  <c r="OSX247" i="20" s="1"/>
  <c r="OST247" i="20" s="1"/>
  <c r="OTE247" i="20"/>
  <c r="OTA247" i="20" l="1"/>
  <c r="OSW247" i="20" s="1"/>
  <c r="OSS247" i="20" s="1"/>
  <c r="OSO247" i="20" s="1"/>
  <c r="OSZ247" i="20"/>
  <c r="OSV247" i="20" l="1"/>
  <c r="OSR247" i="20" s="1"/>
  <c r="OSN247" i="20" s="1"/>
  <c r="OSJ247" i="20" s="1"/>
  <c r="OSU247" i="20"/>
  <c r="OSQ247" i="20" l="1"/>
  <c r="OSM247" i="20" s="1"/>
  <c r="OSI247" i="20" s="1"/>
  <c r="OSE247" i="20" s="1"/>
  <c r="OSP247" i="20"/>
  <c r="OSL247" i="20" l="1"/>
  <c r="OSH247" i="20" s="1"/>
  <c r="OSD247" i="20" s="1"/>
  <c r="ORZ247" i="20" s="1"/>
  <c r="OSK247" i="20"/>
  <c r="OSG247" i="20" l="1"/>
  <c r="OSC247" i="20" s="1"/>
  <c r="ORY247" i="20" s="1"/>
  <c r="ORU247" i="20" s="1"/>
  <c r="OSF247" i="20"/>
  <c r="OSB247" i="20" l="1"/>
  <c r="ORX247" i="20" s="1"/>
  <c r="ORT247" i="20" s="1"/>
  <c r="ORP247" i="20" s="1"/>
  <c r="OSA247" i="20"/>
  <c r="ORW247" i="20" l="1"/>
  <c r="ORS247" i="20" s="1"/>
  <c r="ORO247" i="20" s="1"/>
  <c r="ORK247" i="20" s="1"/>
  <c r="ORV247" i="20"/>
  <c r="ORR247" i="20" l="1"/>
  <c r="ORN247" i="20" s="1"/>
  <c r="ORJ247" i="20" s="1"/>
  <c r="ORF247" i="20" s="1"/>
  <c r="ORQ247" i="20"/>
  <c r="ORM247" i="20" l="1"/>
  <c r="ORI247" i="20" s="1"/>
  <c r="ORE247" i="20" s="1"/>
  <c r="ORA247" i="20" s="1"/>
  <c r="ORL247" i="20"/>
  <c r="ORH247" i="20" l="1"/>
  <c r="ORD247" i="20" s="1"/>
  <c r="OQZ247" i="20" s="1"/>
  <c r="OQV247" i="20" s="1"/>
  <c r="ORG247" i="20"/>
  <c r="ORC247" i="20" l="1"/>
  <c r="OQY247" i="20" s="1"/>
  <c r="OQU247" i="20" s="1"/>
  <c r="OQQ247" i="20" s="1"/>
  <c r="ORB247" i="20"/>
  <c r="OQX247" i="20" l="1"/>
  <c r="OQT247" i="20" s="1"/>
  <c r="OQP247" i="20" s="1"/>
  <c r="OQL247" i="20" s="1"/>
  <c r="OQW247" i="20"/>
  <c r="OQS247" i="20" l="1"/>
  <c r="OQO247" i="20" s="1"/>
  <c r="OQK247" i="20" s="1"/>
  <c r="OQG247" i="20" s="1"/>
  <c r="OQR247" i="20"/>
  <c r="OQN247" i="20" l="1"/>
  <c r="OQJ247" i="20" s="1"/>
  <c r="OQF247" i="20" s="1"/>
  <c r="OQB247" i="20" s="1"/>
  <c r="OQM247" i="20"/>
  <c r="OQI247" i="20" l="1"/>
  <c r="OQE247" i="20" s="1"/>
  <c r="OQA247" i="20" s="1"/>
  <c r="OPW247" i="20" s="1"/>
  <c r="OQH247" i="20"/>
  <c r="OQD247" i="20" l="1"/>
  <c r="OPZ247" i="20" s="1"/>
  <c r="OPV247" i="20" s="1"/>
  <c r="OPR247" i="20" s="1"/>
  <c r="OQC247" i="20"/>
  <c r="OPY247" i="20" l="1"/>
  <c r="OPU247" i="20" s="1"/>
  <c r="OPQ247" i="20" s="1"/>
  <c r="OPM247" i="20" s="1"/>
  <c r="OPX247" i="20"/>
  <c r="OPT247" i="20" l="1"/>
  <c r="OPP247" i="20" s="1"/>
  <c r="OPL247" i="20" s="1"/>
  <c r="OPH247" i="20" s="1"/>
  <c r="OPS247" i="20"/>
  <c r="OPO247" i="20" l="1"/>
  <c r="OPK247" i="20" s="1"/>
  <c r="OPG247" i="20" s="1"/>
  <c r="OPC247" i="20" s="1"/>
  <c r="OPN247" i="20"/>
  <c r="OPJ247" i="20" l="1"/>
  <c r="OPF247" i="20" s="1"/>
  <c r="OPB247" i="20" s="1"/>
  <c r="OOX247" i="20" s="1"/>
  <c r="OPI247" i="20"/>
  <c r="OPE247" i="20" l="1"/>
  <c r="OPA247" i="20" s="1"/>
  <c r="OOW247" i="20" s="1"/>
  <c r="OOS247" i="20" s="1"/>
  <c r="OPD247" i="20"/>
  <c r="OOZ247" i="20" l="1"/>
  <c r="OOV247" i="20" s="1"/>
  <c r="OOR247" i="20" s="1"/>
  <c r="OON247" i="20" s="1"/>
  <c r="OOY247" i="20"/>
  <c r="OOU247" i="20" l="1"/>
  <c r="OOQ247" i="20" s="1"/>
  <c r="OOM247" i="20" s="1"/>
  <c r="OOI247" i="20" s="1"/>
  <c r="OOT247" i="20"/>
  <c r="OOP247" i="20" l="1"/>
  <c r="OOL247" i="20" s="1"/>
  <c r="OOH247" i="20" s="1"/>
  <c r="OOD247" i="20" s="1"/>
  <c r="OOO247" i="20"/>
  <c r="OOK247" i="20" l="1"/>
  <c r="OOG247" i="20" s="1"/>
  <c r="OOC247" i="20" s="1"/>
  <c r="ONY247" i="20" s="1"/>
  <c r="OOJ247" i="20"/>
  <c r="OOF247" i="20" l="1"/>
  <c r="OOB247" i="20" s="1"/>
  <c r="ONX247" i="20" s="1"/>
  <c r="ONT247" i="20" s="1"/>
  <c r="OOE247" i="20"/>
  <c r="OOA247" i="20" l="1"/>
  <c r="ONW247" i="20" s="1"/>
  <c r="ONS247" i="20" s="1"/>
  <c r="ONO247" i="20" s="1"/>
  <c r="ONZ247" i="20"/>
  <c r="ONV247" i="20" l="1"/>
  <c r="ONR247" i="20" s="1"/>
  <c r="ONN247" i="20" s="1"/>
  <c r="ONJ247" i="20" s="1"/>
  <c r="ONU247" i="20"/>
  <c r="ONQ247" i="20" l="1"/>
  <c r="ONM247" i="20" s="1"/>
  <c r="ONI247" i="20" s="1"/>
  <c r="ONE247" i="20" s="1"/>
  <c r="ONP247" i="20"/>
  <c r="ONL247" i="20" l="1"/>
  <c r="ONH247" i="20" s="1"/>
  <c r="OND247" i="20" s="1"/>
  <c r="OMZ247" i="20" s="1"/>
  <c r="ONK247" i="20"/>
  <c r="ONG247" i="20" l="1"/>
  <c r="ONC247" i="20" s="1"/>
  <c r="OMY247" i="20" s="1"/>
  <c r="OMU247" i="20" s="1"/>
  <c r="ONF247" i="20"/>
  <c r="ONB247" i="20" l="1"/>
  <c r="OMX247" i="20" s="1"/>
  <c r="OMT247" i="20" s="1"/>
  <c r="OMP247" i="20" s="1"/>
  <c r="ONA247" i="20"/>
  <c r="OMW247" i="20" l="1"/>
  <c r="OMS247" i="20" s="1"/>
  <c r="OMO247" i="20" s="1"/>
  <c r="OMK247" i="20" s="1"/>
  <c r="OMV247" i="20"/>
  <c r="OMR247" i="20" l="1"/>
  <c r="OMN247" i="20" s="1"/>
  <c r="OMJ247" i="20" s="1"/>
  <c r="OMF247" i="20" s="1"/>
  <c r="OMQ247" i="20"/>
  <c r="OMM247" i="20" l="1"/>
  <c r="OMI247" i="20" s="1"/>
  <c r="OME247" i="20" s="1"/>
  <c r="OMA247" i="20" s="1"/>
  <c r="OML247" i="20"/>
  <c r="OMH247" i="20" l="1"/>
  <c r="OMD247" i="20" s="1"/>
  <c r="OLZ247" i="20" s="1"/>
  <c r="OLV247" i="20" s="1"/>
  <c r="OMG247" i="20"/>
  <c r="OMC247" i="20" l="1"/>
  <c r="OLY247" i="20" s="1"/>
  <c r="OLU247" i="20" s="1"/>
  <c r="OLQ247" i="20" s="1"/>
  <c r="OMB247" i="20"/>
  <c r="OLX247" i="20" l="1"/>
  <c r="OLT247" i="20" s="1"/>
  <c r="OLP247" i="20" s="1"/>
  <c r="OLL247" i="20" s="1"/>
  <c r="OLW247" i="20"/>
  <c r="OLS247" i="20" l="1"/>
  <c r="OLO247" i="20" s="1"/>
  <c r="OLK247" i="20" s="1"/>
  <c r="OLG247" i="20" s="1"/>
  <c r="OLR247" i="20"/>
  <c r="OLN247" i="20" l="1"/>
  <c r="OLJ247" i="20" s="1"/>
  <c r="OLF247" i="20" s="1"/>
  <c r="OLB247" i="20" s="1"/>
  <c r="OLM247" i="20"/>
  <c r="OLI247" i="20" l="1"/>
  <c r="OLE247" i="20" s="1"/>
  <c r="OLA247" i="20" s="1"/>
  <c r="OKW247" i="20" s="1"/>
  <c r="OLH247" i="20"/>
  <c r="OLD247" i="20" l="1"/>
  <c r="OKZ247" i="20" s="1"/>
  <c r="OKV247" i="20" s="1"/>
  <c r="OKR247" i="20" s="1"/>
  <c r="OLC247" i="20"/>
  <c r="OKY247" i="20" l="1"/>
  <c r="OKU247" i="20" s="1"/>
  <c r="OKQ247" i="20" s="1"/>
  <c r="OKM247" i="20" s="1"/>
  <c r="OKX247" i="20"/>
  <c r="OKT247" i="20" l="1"/>
  <c r="OKP247" i="20" s="1"/>
  <c r="OKL247" i="20" s="1"/>
  <c r="OKH247" i="20" s="1"/>
  <c r="OKS247" i="20"/>
  <c r="OKO247" i="20" l="1"/>
  <c r="OKK247" i="20" s="1"/>
  <c r="OKG247" i="20" s="1"/>
  <c r="OKC247" i="20" s="1"/>
  <c r="OKN247" i="20"/>
  <c r="OKJ247" i="20" l="1"/>
  <c r="OKF247" i="20" s="1"/>
  <c r="OKB247" i="20" s="1"/>
  <c r="OJX247" i="20" s="1"/>
  <c r="OKI247" i="20"/>
  <c r="OKE247" i="20" l="1"/>
  <c r="OKA247" i="20" s="1"/>
  <c r="OJW247" i="20" s="1"/>
  <c r="OJS247" i="20" s="1"/>
  <c r="OKD247" i="20"/>
  <c r="OJZ247" i="20" l="1"/>
  <c r="OJV247" i="20" s="1"/>
  <c r="OJR247" i="20" s="1"/>
  <c r="OJN247" i="20" s="1"/>
  <c r="OJY247" i="20"/>
  <c r="OJU247" i="20" l="1"/>
  <c r="OJQ247" i="20" s="1"/>
  <c r="OJM247" i="20" s="1"/>
  <c r="OJI247" i="20" s="1"/>
  <c r="OJT247" i="20"/>
  <c r="OJP247" i="20" l="1"/>
  <c r="OJL247" i="20" s="1"/>
  <c r="OJH247" i="20" s="1"/>
  <c r="OJD247" i="20" s="1"/>
  <c r="OJO247" i="20"/>
  <c r="OJK247" i="20" l="1"/>
  <c r="OJG247" i="20" s="1"/>
  <c r="OJC247" i="20" s="1"/>
  <c r="OIY247" i="20" s="1"/>
  <c r="OJJ247" i="20"/>
  <c r="OJF247" i="20" l="1"/>
  <c r="OJB247" i="20" s="1"/>
  <c r="OIX247" i="20" s="1"/>
  <c r="OIT247" i="20" s="1"/>
  <c r="OJE247" i="20"/>
  <c r="OJA247" i="20" l="1"/>
  <c r="OIW247" i="20" s="1"/>
  <c r="OIS247" i="20" s="1"/>
  <c r="OIO247" i="20" s="1"/>
  <c r="OIZ247" i="20"/>
  <c r="OIV247" i="20" l="1"/>
  <c r="OIR247" i="20" s="1"/>
  <c r="OIN247" i="20" s="1"/>
  <c r="OIJ247" i="20" s="1"/>
  <c r="OIU247" i="20"/>
  <c r="OIQ247" i="20" l="1"/>
  <c r="OIM247" i="20" s="1"/>
  <c r="OII247" i="20" s="1"/>
  <c r="OIE247" i="20" s="1"/>
  <c r="OIP247" i="20"/>
  <c r="OIL247" i="20" l="1"/>
  <c r="OIH247" i="20" s="1"/>
  <c r="OID247" i="20" s="1"/>
  <c r="OHZ247" i="20" s="1"/>
  <c r="OIK247" i="20"/>
  <c r="OIG247" i="20" l="1"/>
  <c r="OIC247" i="20" s="1"/>
  <c r="OHY247" i="20" s="1"/>
  <c r="OHU247" i="20" s="1"/>
  <c r="OIF247" i="20"/>
  <c r="OIB247" i="20" l="1"/>
  <c r="OHX247" i="20" s="1"/>
  <c r="OHT247" i="20" s="1"/>
  <c r="OHP247" i="20" s="1"/>
  <c r="OIA247" i="20"/>
  <c r="OHW247" i="20" l="1"/>
  <c r="OHS247" i="20" s="1"/>
  <c r="OHO247" i="20" s="1"/>
  <c r="OHK247" i="20" s="1"/>
  <c r="OHV247" i="20"/>
  <c r="OHR247" i="20" l="1"/>
  <c r="OHN247" i="20" s="1"/>
  <c r="OHJ247" i="20" s="1"/>
  <c r="OHF247" i="20" s="1"/>
  <c r="OHQ247" i="20"/>
  <c r="OHM247" i="20" l="1"/>
  <c r="OHI247" i="20" s="1"/>
  <c r="OHE247" i="20" s="1"/>
  <c r="OHA247" i="20" s="1"/>
  <c r="OHL247" i="20"/>
  <c r="OHH247" i="20" l="1"/>
  <c r="OHD247" i="20" s="1"/>
  <c r="OGZ247" i="20" s="1"/>
  <c r="OGV247" i="20" s="1"/>
  <c r="OHG247" i="20"/>
  <c r="OHC247" i="20" l="1"/>
  <c r="OGY247" i="20" s="1"/>
  <c r="OGU247" i="20" s="1"/>
  <c r="OGQ247" i="20" s="1"/>
  <c r="OHB247" i="20"/>
  <c r="OGX247" i="20" l="1"/>
  <c r="OGT247" i="20" s="1"/>
  <c r="OGP247" i="20" s="1"/>
  <c r="OGL247" i="20" s="1"/>
  <c r="OGW247" i="20"/>
  <c r="OGS247" i="20" l="1"/>
  <c r="OGO247" i="20" s="1"/>
  <c r="OGK247" i="20" s="1"/>
  <c r="OGG247" i="20" s="1"/>
  <c r="OGR247" i="20"/>
  <c r="OGN247" i="20" l="1"/>
  <c r="OGJ247" i="20" s="1"/>
  <c r="OGF247" i="20" s="1"/>
  <c r="OGB247" i="20" s="1"/>
  <c r="OGM247" i="20"/>
  <c r="OGI247" i="20" l="1"/>
  <c r="OGE247" i="20" s="1"/>
  <c r="OGA247" i="20" s="1"/>
  <c r="OFW247" i="20" s="1"/>
  <c r="OGH247" i="20"/>
  <c r="OGD247" i="20" l="1"/>
  <c r="OFZ247" i="20" s="1"/>
  <c r="OFV247" i="20" s="1"/>
  <c r="OFR247" i="20" s="1"/>
  <c r="OGC247" i="20"/>
  <c r="OFY247" i="20" l="1"/>
  <c r="OFU247" i="20" s="1"/>
  <c r="OFQ247" i="20" s="1"/>
  <c r="OFM247" i="20" s="1"/>
  <c r="OFX247" i="20"/>
  <c r="OFT247" i="20" l="1"/>
  <c r="OFP247" i="20" s="1"/>
  <c r="OFL247" i="20" s="1"/>
  <c r="OFH247" i="20" s="1"/>
  <c r="OFS247" i="20"/>
  <c r="OFO247" i="20" l="1"/>
  <c r="OFK247" i="20" s="1"/>
  <c r="OFG247" i="20" s="1"/>
  <c r="OFC247" i="20" s="1"/>
  <c r="OFN247" i="20"/>
  <c r="OFJ247" i="20" l="1"/>
  <c r="OFF247" i="20" s="1"/>
  <c r="OFB247" i="20" s="1"/>
  <c r="OEX247" i="20" s="1"/>
  <c r="OFI247" i="20"/>
  <c r="OFE247" i="20" l="1"/>
  <c r="OFA247" i="20" s="1"/>
  <c r="OEW247" i="20" s="1"/>
  <c r="OES247" i="20" s="1"/>
  <c r="OFD247" i="20"/>
  <c r="OEZ247" i="20" l="1"/>
  <c r="OEV247" i="20" s="1"/>
  <c r="OER247" i="20" s="1"/>
  <c r="OEN247" i="20" s="1"/>
  <c r="OEY247" i="20"/>
  <c r="OEU247" i="20" l="1"/>
  <c r="OEQ247" i="20" s="1"/>
  <c r="OEM247" i="20" s="1"/>
  <c r="OEI247" i="20" s="1"/>
  <c r="OET247" i="20"/>
  <c r="OEP247" i="20" l="1"/>
  <c r="OEL247" i="20" s="1"/>
  <c r="OEH247" i="20" s="1"/>
  <c r="OED247" i="20" s="1"/>
  <c r="OEO247" i="20"/>
  <c r="OEK247" i="20" l="1"/>
  <c r="OEG247" i="20" s="1"/>
  <c r="OEC247" i="20" s="1"/>
  <c r="ODY247" i="20" s="1"/>
  <c r="OEJ247" i="20"/>
  <c r="OEF247" i="20" l="1"/>
  <c r="OEB247" i="20" s="1"/>
  <c r="ODX247" i="20" s="1"/>
  <c r="ODT247" i="20" s="1"/>
  <c r="OEE247" i="20"/>
  <c r="OEA247" i="20" l="1"/>
  <c r="ODW247" i="20" s="1"/>
  <c r="ODS247" i="20" s="1"/>
  <c r="ODO247" i="20" s="1"/>
  <c r="ODZ247" i="20"/>
  <c r="ODV247" i="20" l="1"/>
  <c r="ODR247" i="20" s="1"/>
  <c r="ODN247" i="20" s="1"/>
  <c r="ODJ247" i="20" s="1"/>
  <c r="ODU247" i="20"/>
  <c r="ODQ247" i="20" l="1"/>
  <c r="ODM247" i="20" s="1"/>
  <c r="ODI247" i="20" s="1"/>
  <c r="ODE247" i="20" s="1"/>
  <c r="ODP247" i="20"/>
  <c r="ODL247" i="20" l="1"/>
  <c r="ODH247" i="20" s="1"/>
  <c r="ODD247" i="20" s="1"/>
  <c r="OCZ247" i="20" s="1"/>
  <c r="ODK247" i="20"/>
  <c r="ODG247" i="20" l="1"/>
  <c r="ODC247" i="20" s="1"/>
  <c r="OCY247" i="20" s="1"/>
  <c r="OCU247" i="20" s="1"/>
  <c r="ODF247" i="20"/>
  <c r="ODB247" i="20" l="1"/>
  <c r="OCX247" i="20" s="1"/>
  <c r="OCT247" i="20" s="1"/>
  <c r="OCP247" i="20" s="1"/>
  <c r="ODA247" i="20"/>
  <c r="OCW247" i="20" l="1"/>
  <c r="OCS247" i="20" s="1"/>
  <c r="OCO247" i="20" s="1"/>
  <c r="OCK247" i="20" s="1"/>
  <c r="OCV247" i="20"/>
  <c r="OCR247" i="20" l="1"/>
  <c r="OCN247" i="20" s="1"/>
  <c r="OCJ247" i="20" s="1"/>
  <c r="OCF247" i="20" s="1"/>
  <c r="OCQ247" i="20"/>
  <c r="OCM247" i="20" l="1"/>
  <c r="OCI247" i="20" s="1"/>
  <c r="OCE247" i="20" s="1"/>
  <c r="OCA247" i="20" s="1"/>
  <c r="OCL247" i="20"/>
  <c r="OCH247" i="20" l="1"/>
  <c r="OCD247" i="20" s="1"/>
  <c r="OBZ247" i="20" s="1"/>
  <c r="OBV247" i="20" s="1"/>
  <c r="OCG247" i="20"/>
  <c r="OCC247" i="20" l="1"/>
  <c r="OBY247" i="20" s="1"/>
  <c r="OBU247" i="20" s="1"/>
  <c r="OBQ247" i="20" s="1"/>
  <c r="OCB247" i="20"/>
  <c r="OBX247" i="20" l="1"/>
  <c r="OBT247" i="20" s="1"/>
  <c r="OBP247" i="20" s="1"/>
  <c r="OBL247" i="20" s="1"/>
  <c r="OBW247" i="20"/>
  <c r="OBS247" i="20" l="1"/>
  <c r="OBO247" i="20" s="1"/>
  <c r="OBK247" i="20" s="1"/>
  <c r="OBG247" i="20" s="1"/>
  <c r="OBR247" i="20"/>
  <c r="OBN247" i="20" l="1"/>
  <c r="OBJ247" i="20" s="1"/>
  <c r="OBF247" i="20" s="1"/>
  <c r="OBB247" i="20" s="1"/>
  <c r="OBM247" i="20"/>
  <c r="OBI247" i="20" l="1"/>
  <c r="OBE247" i="20" s="1"/>
  <c r="OBA247" i="20" s="1"/>
  <c r="OAW247" i="20" s="1"/>
  <c r="OBH247" i="20"/>
  <c r="OBD247" i="20" l="1"/>
  <c r="OAZ247" i="20" s="1"/>
  <c r="OAV247" i="20" s="1"/>
  <c r="OAR247" i="20" s="1"/>
  <c r="OBC247" i="20"/>
  <c r="OAY247" i="20" l="1"/>
  <c r="OAU247" i="20" s="1"/>
  <c r="OAQ247" i="20" s="1"/>
  <c r="OAM247" i="20" s="1"/>
  <c r="OAX247" i="20"/>
  <c r="OAT247" i="20" l="1"/>
  <c r="OAP247" i="20" s="1"/>
  <c r="OAL247" i="20" s="1"/>
  <c r="OAH247" i="20" s="1"/>
  <c r="OAS247" i="20"/>
  <c r="OAO247" i="20" l="1"/>
  <c r="OAK247" i="20" s="1"/>
  <c r="OAG247" i="20" s="1"/>
  <c r="OAC247" i="20" s="1"/>
  <c r="OAN247" i="20"/>
  <c r="OAJ247" i="20" l="1"/>
  <c r="OAF247" i="20" s="1"/>
  <c r="OAB247" i="20" s="1"/>
  <c r="NZX247" i="20" s="1"/>
  <c r="OAI247" i="20"/>
  <c r="OAE247" i="20" l="1"/>
  <c r="OAA247" i="20" s="1"/>
  <c r="NZW247" i="20" s="1"/>
  <c r="NZS247" i="20" s="1"/>
  <c r="OAD247" i="20"/>
  <c r="NZZ247" i="20" l="1"/>
  <c r="NZV247" i="20" s="1"/>
  <c r="NZR247" i="20" s="1"/>
  <c r="NZN247" i="20" s="1"/>
  <c r="NZY247" i="20"/>
  <c r="NZU247" i="20" l="1"/>
  <c r="NZQ247" i="20" s="1"/>
  <c r="NZM247" i="20" s="1"/>
  <c r="NZI247" i="20" s="1"/>
  <c r="NZT247" i="20"/>
  <c r="NZP247" i="20" l="1"/>
  <c r="NZL247" i="20" s="1"/>
  <c r="NZH247" i="20" s="1"/>
  <c r="NZD247" i="20" s="1"/>
  <c r="NZO247" i="20"/>
  <c r="NZK247" i="20" l="1"/>
  <c r="NZG247" i="20" s="1"/>
  <c r="NZC247" i="20" s="1"/>
  <c r="NYY247" i="20" s="1"/>
  <c r="NZJ247" i="20"/>
  <c r="NZF247" i="20" l="1"/>
  <c r="NZB247" i="20" s="1"/>
  <c r="NYX247" i="20" s="1"/>
  <c r="NYT247" i="20" s="1"/>
  <c r="NZE247" i="20"/>
  <c r="NZA247" i="20" l="1"/>
  <c r="NYW247" i="20" s="1"/>
  <c r="NYS247" i="20" s="1"/>
  <c r="NYO247" i="20" s="1"/>
  <c r="NYZ247" i="20"/>
  <c r="NYV247" i="20" l="1"/>
  <c r="NYR247" i="20" s="1"/>
  <c r="NYN247" i="20" s="1"/>
  <c r="NYJ247" i="20" s="1"/>
  <c r="NYU247" i="20"/>
  <c r="NYQ247" i="20" l="1"/>
  <c r="NYM247" i="20" s="1"/>
  <c r="NYI247" i="20" s="1"/>
  <c r="NYE247" i="20" s="1"/>
  <c r="NYP247" i="20"/>
  <c r="NYL247" i="20" l="1"/>
  <c r="NYH247" i="20" s="1"/>
  <c r="NYD247" i="20" s="1"/>
  <c r="NXZ247" i="20" s="1"/>
  <c r="NYK247" i="20"/>
  <c r="NYG247" i="20" l="1"/>
  <c r="NYC247" i="20" s="1"/>
  <c r="NXY247" i="20" s="1"/>
  <c r="NXU247" i="20" s="1"/>
  <c r="NYF247" i="20"/>
  <c r="NYB247" i="20" l="1"/>
  <c r="NXX247" i="20" s="1"/>
  <c r="NXT247" i="20" s="1"/>
  <c r="NXP247" i="20" s="1"/>
  <c r="NYA247" i="20"/>
  <c r="NXW247" i="20" l="1"/>
  <c r="NXS247" i="20" s="1"/>
  <c r="NXO247" i="20" s="1"/>
  <c r="NXK247" i="20" s="1"/>
  <c r="NXV247" i="20"/>
  <c r="NXR247" i="20" l="1"/>
  <c r="NXN247" i="20" s="1"/>
  <c r="NXJ247" i="20" s="1"/>
  <c r="NXF247" i="20" s="1"/>
  <c r="NXQ247" i="20"/>
  <c r="NXM247" i="20" l="1"/>
  <c r="NXI247" i="20" s="1"/>
  <c r="NXE247" i="20" s="1"/>
  <c r="NXA247" i="20" s="1"/>
  <c r="NXL247" i="20"/>
  <c r="NXH247" i="20" l="1"/>
  <c r="NXD247" i="20" s="1"/>
  <c r="NWZ247" i="20" s="1"/>
  <c r="NWV247" i="20" s="1"/>
  <c r="NXG247" i="20"/>
  <c r="NXC247" i="20" l="1"/>
  <c r="NWY247" i="20" s="1"/>
  <c r="NWU247" i="20" s="1"/>
  <c r="NWQ247" i="20" s="1"/>
  <c r="NXB247" i="20"/>
  <c r="NWX247" i="20" l="1"/>
  <c r="NWT247" i="20" s="1"/>
  <c r="NWP247" i="20" s="1"/>
  <c r="NWL247" i="20" s="1"/>
  <c r="NWW247" i="20"/>
  <c r="NWS247" i="20" l="1"/>
  <c r="NWO247" i="20" s="1"/>
  <c r="NWK247" i="20" s="1"/>
  <c r="NWG247" i="20" s="1"/>
  <c r="NWR247" i="20"/>
  <c r="NWN247" i="20" l="1"/>
  <c r="NWJ247" i="20" s="1"/>
  <c r="NWF247" i="20" s="1"/>
  <c r="NWB247" i="20" s="1"/>
  <c r="NWM247" i="20"/>
  <c r="NWI247" i="20" l="1"/>
  <c r="NWE247" i="20" s="1"/>
  <c r="NWA247" i="20" s="1"/>
  <c r="NVW247" i="20" s="1"/>
  <c r="NWH247" i="20"/>
  <c r="NWD247" i="20" l="1"/>
  <c r="NVZ247" i="20" s="1"/>
  <c r="NVV247" i="20" s="1"/>
  <c r="NVR247" i="20" s="1"/>
  <c r="NWC247" i="20"/>
  <c r="NVY247" i="20" l="1"/>
  <c r="NVU247" i="20" s="1"/>
  <c r="NVQ247" i="20" s="1"/>
  <c r="NVM247" i="20" s="1"/>
  <c r="NVX247" i="20"/>
  <c r="NVT247" i="20" l="1"/>
  <c r="NVP247" i="20" s="1"/>
  <c r="NVL247" i="20" s="1"/>
  <c r="NVH247" i="20" s="1"/>
  <c r="NVS247" i="20"/>
  <c r="NVO247" i="20" l="1"/>
  <c r="NVK247" i="20" s="1"/>
  <c r="NVG247" i="20" s="1"/>
  <c r="NVC247" i="20" s="1"/>
  <c r="NVN247" i="20"/>
  <c r="NVJ247" i="20" l="1"/>
  <c r="NVF247" i="20" s="1"/>
  <c r="NVB247" i="20" s="1"/>
  <c r="NUX247" i="20" s="1"/>
  <c r="NVI247" i="20"/>
  <c r="NVE247" i="20" l="1"/>
  <c r="NVA247" i="20" s="1"/>
  <c r="NUW247" i="20" s="1"/>
  <c r="NUS247" i="20" s="1"/>
  <c r="NVD247" i="20"/>
  <c r="NUZ247" i="20" l="1"/>
  <c r="NUV247" i="20" s="1"/>
  <c r="NUR247" i="20" s="1"/>
  <c r="NUN247" i="20" s="1"/>
  <c r="NUY247" i="20"/>
  <c r="NUU247" i="20" l="1"/>
  <c r="NUQ247" i="20" s="1"/>
  <c r="NUM247" i="20" s="1"/>
  <c r="NUI247" i="20" s="1"/>
  <c r="NUT247" i="20"/>
  <c r="NUP247" i="20" l="1"/>
  <c r="NUL247" i="20" s="1"/>
  <c r="NUH247" i="20" s="1"/>
  <c r="NUD247" i="20" s="1"/>
  <c r="NUO247" i="20"/>
  <c r="NUK247" i="20" l="1"/>
  <c r="NUG247" i="20" s="1"/>
  <c r="NUC247" i="20" s="1"/>
  <c r="NTY247" i="20" s="1"/>
  <c r="NUJ247" i="20"/>
  <c r="NUF247" i="20" l="1"/>
  <c r="NUB247" i="20" s="1"/>
  <c r="NTX247" i="20" s="1"/>
  <c r="NTT247" i="20" s="1"/>
  <c r="NUE247" i="20"/>
  <c r="NUA247" i="20" l="1"/>
  <c r="NTW247" i="20" s="1"/>
  <c r="NTS247" i="20" s="1"/>
  <c r="NTO247" i="20" s="1"/>
  <c r="NTZ247" i="20"/>
  <c r="NTV247" i="20" l="1"/>
  <c r="NTR247" i="20" s="1"/>
  <c r="NTN247" i="20" s="1"/>
  <c r="NTJ247" i="20" s="1"/>
  <c r="NTU247" i="20"/>
  <c r="NTQ247" i="20" l="1"/>
  <c r="NTM247" i="20" s="1"/>
  <c r="NTI247" i="20" s="1"/>
  <c r="NTE247" i="20" s="1"/>
  <c r="NTP247" i="20"/>
  <c r="NTL247" i="20" l="1"/>
  <c r="NTH247" i="20" s="1"/>
  <c r="NTD247" i="20" s="1"/>
  <c r="NSZ247" i="20" s="1"/>
  <c r="NTK247" i="20"/>
  <c r="NTG247" i="20" l="1"/>
  <c r="NTC247" i="20" s="1"/>
  <c r="NSY247" i="20" s="1"/>
  <c r="NSU247" i="20" s="1"/>
  <c r="NTF247" i="20"/>
  <c r="NTB247" i="20" l="1"/>
  <c r="NSX247" i="20" s="1"/>
  <c r="NST247" i="20" s="1"/>
  <c r="NSP247" i="20" s="1"/>
  <c r="NTA247" i="20"/>
  <c r="NSW247" i="20" l="1"/>
  <c r="NSS247" i="20" s="1"/>
  <c r="NSO247" i="20" s="1"/>
  <c r="NSK247" i="20" s="1"/>
  <c r="NSV247" i="20"/>
  <c r="NSR247" i="20" l="1"/>
  <c r="NSN247" i="20" s="1"/>
  <c r="NSJ247" i="20" s="1"/>
  <c r="NSF247" i="20" s="1"/>
  <c r="NSQ247" i="20"/>
  <c r="NSM247" i="20" l="1"/>
  <c r="NSI247" i="20" s="1"/>
  <c r="NSE247" i="20" s="1"/>
  <c r="NSA247" i="20" s="1"/>
  <c r="NSL247" i="20"/>
  <c r="NSH247" i="20" l="1"/>
  <c r="NSD247" i="20" s="1"/>
  <c r="NRZ247" i="20" s="1"/>
  <c r="NRV247" i="20" s="1"/>
  <c r="NSG247" i="20"/>
  <c r="NSC247" i="20" l="1"/>
  <c r="NRY247" i="20" s="1"/>
  <c r="NRU247" i="20" s="1"/>
  <c r="NRQ247" i="20" s="1"/>
  <c r="NSB247" i="20"/>
  <c r="NRX247" i="20" l="1"/>
  <c r="NRT247" i="20" s="1"/>
  <c r="NRP247" i="20" s="1"/>
  <c r="NRL247" i="20" s="1"/>
  <c r="NRW247" i="20"/>
  <c r="NRS247" i="20" l="1"/>
  <c r="NRO247" i="20" s="1"/>
  <c r="NRK247" i="20" s="1"/>
  <c r="NRG247" i="20" s="1"/>
  <c r="NRR247" i="20"/>
  <c r="NRN247" i="20" l="1"/>
  <c r="NRJ247" i="20" s="1"/>
  <c r="NRF247" i="20" s="1"/>
  <c r="NRB247" i="20" s="1"/>
  <c r="NRM247" i="20"/>
  <c r="NRI247" i="20" l="1"/>
  <c r="NRE247" i="20" s="1"/>
  <c r="NRA247" i="20" s="1"/>
  <c r="NQW247" i="20" s="1"/>
  <c r="NRH247" i="20"/>
  <c r="NRD247" i="20" l="1"/>
  <c r="NQZ247" i="20" s="1"/>
  <c r="NQV247" i="20" s="1"/>
  <c r="NQR247" i="20" s="1"/>
  <c r="NRC247" i="20"/>
  <c r="NQY247" i="20" l="1"/>
  <c r="NQU247" i="20" s="1"/>
  <c r="NQQ247" i="20" s="1"/>
  <c r="NQM247" i="20" s="1"/>
  <c r="NQX247" i="20"/>
  <c r="NQT247" i="20" l="1"/>
  <c r="NQP247" i="20" s="1"/>
  <c r="NQL247" i="20" s="1"/>
  <c r="NQH247" i="20" s="1"/>
  <c r="NQS247" i="20"/>
  <c r="NQO247" i="20" l="1"/>
  <c r="NQK247" i="20" s="1"/>
  <c r="NQG247" i="20" s="1"/>
  <c r="NQC247" i="20" s="1"/>
  <c r="NQN247" i="20"/>
  <c r="NQJ247" i="20" l="1"/>
  <c r="NQF247" i="20" s="1"/>
  <c r="NQB247" i="20" s="1"/>
  <c r="NPX247" i="20" s="1"/>
  <c r="NQI247" i="20"/>
  <c r="NQE247" i="20" l="1"/>
  <c r="NQA247" i="20" s="1"/>
  <c r="NPW247" i="20" s="1"/>
  <c r="NPS247" i="20" s="1"/>
  <c r="NQD247" i="20"/>
  <c r="NPZ247" i="20" l="1"/>
  <c r="NPV247" i="20" s="1"/>
  <c r="NPR247" i="20" s="1"/>
  <c r="NPN247" i="20" s="1"/>
  <c r="NPY247" i="20"/>
  <c r="NPU247" i="20" l="1"/>
  <c r="NPQ247" i="20" s="1"/>
  <c r="NPM247" i="20" s="1"/>
  <c r="NPI247" i="20" s="1"/>
  <c r="NPT247" i="20"/>
  <c r="NPP247" i="20" l="1"/>
  <c r="NPL247" i="20" s="1"/>
  <c r="NPH247" i="20" s="1"/>
  <c r="NPD247" i="20" s="1"/>
  <c r="NPO247" i="20"/>
  <c r="NPK247" i="20" l="1"/>
  <c r="NPG247" i="20" s="1"/>
  <c r="NPC247" i="20" s="1"/>
  <c r="NOY247" i="20" s="1"/>
  <c r="NPJ247" i="20"/>
  <c r="NPF247" i="20" l="1"/>
  <c r="NPB247" i="20" s="1"/>
  <c r="NOX247" i="20" s="1"/>
  <c r="NOT247" i="20" s="1"/>
  <c r="NPE247" i="20"/>
  <c r="NPA247" i="20" l="1"/>
  <c r="NOW247" i="20" s="1"/>
  <c r="NOS247" i="20" s="1"/>
  <c r="NOO247" i="20" s="1"/>
  <c r="NOZ247" i="20"/>
  <c r="NOV247" i="20" l="1"/>
  <c r="NOR247" i="20" s="1"/>
  <c r="NON247" i="20" s="1"/>
  <c r="NOJ247" i="20" s="1"/>
  <c r="NOU247" i="20"/>
  <c r="NOQ247" i="20" l="1"/>
  <c r="NOM247" i="20" s="1"/>
  <c r="NOI247" i="20" s="1"/>
  <c r="NOE247" i="20" s="1"/>
  <c r="NOP247" i="20"/>
  <c r="NOL247" i="20" l="1"/>
  <c r="NOH247" i="20" s="1"/>
  <c r="NOD247" i="20" s="1"/>
  <c r="NNZ247" i="20" s="1"/>
  <c r="NOK247" i="20"/>
  <c r="NOG247" i="20" l="1"/>
  <c r="NOC247" i="20" s="1"/>
  <c r="NNY247" i="20" s="1"/>
  <c r="NNU247" i="20" s="1"/>
  <c r="NOF247" i="20"/>
  <c r="NOB247" i="20" l="1"/>
  <c r="NNX247" i="20" s="1"/>
  <c r="NNT247" i="20" s="1"/>
  <c r="NNP247" i="20" s="1"/>
  <c r="NOA247" i="20"/>
  <c r="NNW247" i="20" l="1"/>
  <c r="NNS247" i="20" s="1"/>
  <c r="NNO247" i="20" s="1"/>
  <c r="NNK247" i="20" s="1"/>
  <c r="NNV247" i="20"/>
  <c r="NNR247" i="20" l="1"/>
  <c r="NNN247" i="20" s="1"/>
  <c r="NNJ247" i="20" s="1"/>
  <c r="NNF247" i="20" s="1"/>
  <c r="NNQ247" i="20"/>
  <c r="NNM247" i="20" l="1"/>
  <c r="NNI247" i="20" s="1"/>
  <c r="NNE247" i="20" s="1"/>
  <c r="NNA247" i="20" s="1"/>
  <c r="NNL247" i="20"/>
  <c r="NNH247" i="20" l="1"/>
  <c r="NND247" i="20" s="1"/>
  <c r="NMZ247" i="20" s="1"/>
  <c r="NMV247" i="20" s="1"/>
  <c r="NNG247" i="20"/>
  <c r="NNC247" i="20" l="1"/>
  <c r="NMY247" i="20" s="1"/>
  <c r="NMU247" i="20" s="1"/>
  <c r="NMQ247" i="20" s="1"/>
  <c r="NNB247" i="20"/>
  <c r="NMX247" i="20" l="1"/>
  <c r="NMT247" i="20" s="1"/>
  <c r="NMP247" i="20" s="1"/>
  <c r="NML247" i="20" s="1"/>
  <c r="NMW247" i="20"/>
  <c r="NMS247" i="20" l="1"/>
  <c r="NMO247" i="20" s="1"/>
  <c r="NMK247" i="20" s="1"/>
  <c r="NMG247" i="20" s="1"/>
  <c r="NMR247" i="20"/>
  <c r="NMN247" i="20" l="1"/>
  <c r="NMJ247" i="20" s="1"/>
  <c r="NMF247" i="20" s="1"/>
  <c r="NMB247" i="20" s="1"/>
  <c r="NMM247" i="20"/>
  <c r="NMI247" i="20" l="1"/>
  <c r="NME247" i="20" s="1"/>
  <c r="NMA247" i="20" s="1"/>
  <c r="NLW247" i="20" s="1"/>
  <c r="NMH247" i="20"/>
  <c r="NMD247" i="20" l="1"/>
  <c r="NLZ247" i="20" s="1"/>
  <c r="NLV247" i="20" s="1"/>
  <c r="NLR247" i="20" s="1"/>
  <c r="NMC247" i="20"/>
  <c r="NLY247" i="20" l="1"/>
  <c r="NLU247" i="20" s="1"/>
  <c r="NLQ247" i="20" s="1"/>
  <c r="NLM247" i="20" s="1"/>
  <c r="NLX247" i="20"/>
  <c r="NLT247" i="20" l="1"/>
  <c r="NLP247" i="20" s="1"/>
  <c r="NLL247" i="20" s="1"/>
  <c r="NLH247" i="20" s="1"/>
  <c r="NLS247" i="20"/>
  <c r="NLO247" i="20" l="1"/>
  <c r="NLK247" i="20" s="1"/>
  <c r="NLG247" i="20" s="1"/>
  <c r="NLC247" i="20" s="1"/>
  <c r="NLN247" i="20"/>
  <c r="NLJ247" i="20" l="1"/>
  <c r="NLF247" i="20" s="1"/>
  <c r="NLB247" i="20" s="1"/>
  <c r="NKX247" i="20" s="1"/>
  <c r="NLI247" i="20"/>
  <c r="NLE247" i="20" l="1"/>
  <c r="NLA247" i="20" s="1"/>
  <c r="NKW247" i="20" s="1"/>
  <c r="NKS247" i="20" s="1"/>
  <c r="NLD247" i="20"/>
  <c r="NKZ247" i="20" l="1"/>
  <c r="NKV247" i="20" s="1"/>
  <c r="NKR247" i="20" s="1"/>
  <c r="NKN247" i="20" s="1"/>
  <c r="NKY247" i="20"/>
  <c r="NKU247" i="20" l="1"/>
  <c r="NKQ247" i="20" s="1"/>
  <c r="NKM247" i="20" s="1"/>
  <c r="NKI247" i="20" s="1"/>
  <c r="NKT247" i="20"/>
  <c r="NKP247" i="20" l="1"/>
  <c r="NKL247" i="20" s="1"/>
  <c r="NKH247" i="20" s="1"/>
  <c r="NKD247" i="20" s="1"/>
  <c r="NKO247" i="20"/>
  <c r="NKK247" i="20" l="1"/>
  <c r="NKG247" i="20" s="1"/>
  <c r="NKC247" i="20" s="1"/>
  <c r="NJY247" i="20" s="1"/>
  <c r="NKJ247" i="20"/>
  <c r="NKF247" i="20" l="1"/>
  <c r="NKB247" i="20" s="1"/>
  <c r="NJX247" i="20" s="1"/>
  <c r="NJT247" i="20" s="1"/>
  <c r="NKE247" i="20"/>
  <c r="NKA247" i="20" l="1"/>
  <c r="NJW247" i="20" s="1"/>
  <c r="NJS247" i="20" s="1"/>
  <c r="NJO247" i="20" s="1"/>
  <c r="NJZ247" i="20"/>
  <c r="NJV247" i="20" l="1"/>
  <c r="NJR247" i="20" s="1"/>
  <c r="NJN247" i="20" s="1"/>
  <c r="NJJ247" i="20" s="1"/>
  <c r="NJU247" i="20"/>
  <c r="NJQ247" i="20" l="1"/>
  <c r="NJM247" i="20" s="1"/>
  <c r="NJI247" i="20" s="1"/>
  <c r="NJE247" i="20" s="1"/>
  <c r="NJP247" i="20"/>
  <c r="NJL247" i="20" l="1"/>
  <c r="NJH247" i="20" s="1"/>
  <c r="NJD247" i="20" s="1"/>
  <c r="NIZ247" i="20" s="1"/>
  <c r="NJK247" i="20"/>
  <c r="NJG247" i="20" l="1"/>
  <c r="NJC247" i="20" s="1"/>
  <c r="NIY247" i="20" s="1"/>
  <c r="NIU247" i="20" s="1"/>
  <c r="NJF247" i="20"/>
  <c r="NJB247" i="20" l="1"/>
  <c r="NIX247" i="20" s="1"/>
  <c r="NIT247" i="20" s="1"/>
  <c r="NIP247" i="20" s="1"/>
  <c r="NJA247" i="20"/>
  <c r="NIW247" i="20" l="1"/>
  <c r="NIS247" i="20" s="1"/>
  <c r="NIO247" i="20" s="1"/>
  <c r="NIK247" i="20" s="1"/>
  <c r="NIV247" i="20"/>
  <c r="NIR247" i="20" l="1"/>
  <c r="NIN247" i="20" s="1"/>
  <c r="NIJ247" i="20" s="1"/>
  <c r="NIF247" i="20" s="1"/>
  <c r="NIQ247" i="20"/>
  <c r="NIM247" i="20" l="1"/>
  <c r="NII247" i="20" s="1"/>
  <c r="NIE247" i="20" s="1"/>
  <c r="NIA247" i="20" s="1"/>
  <c r="NIL247" i="20"/>
  <c r="NIH247" i="20" l="1"/>
  <c r="NID247" i="20" s="1"/>
  <c r="NHZ247" i="20" s="1"/>
  <c r="NHV247" i="20" s="1"/>
  <c r="NIG247" i="20"/>
  <c r="NIC247" i="20" l="1"/>
  <c r="NHY247" i="20" s="1"/>
  <c r="NHU247" i="20" s="1"/>
  <c r="NHQ247" i="20" s="1"/>
  <c r="NIB247" i="20"/>
  <c r="NHX247" i="20" l="1"/>
  <c r="NHT247" i="20" s="1"/>
  <c r="NHP247" i="20" s="1"/>
  <c r="NHL247" i="20" s="1"/>
  <c r="NHW247" i="20"/>
  <c r="NHS247" i="20" l="1"/>
  <c r="NHO247" i="20" s="1"/>
  <c r="NHK247" i="20" s="1"/>
  <c r="NHG247" i="20" s="1"/>
  <c r="NHR247" i="20"/>
  <c r="NHN247" i="20" l="1"/>
  <c r="NHJ247" i="20" s="1"/>
  <c r="NHF247" i="20" s="1"/>
  <c r="NHB247" i="20" s="1"/>
  <c r="NHM247" i="20"/>
  <c r="NHI247" i="20" l="1"/>
  <c r="NHE247" i="20" s="1"/>
  <c r="NHA247" i="20" s="1"/>
  <c r="NGW247" i="20" s="1"/>
  <c r="NHH247" i="20"/>
  <c r="NHD247" i="20" l="1"/>
  <c r="NGZ247" i="20" s="1"/>
  <c r="NGV247" i="20" s="1"/>
  <c r="NGR247" i="20" s="1"/>
  <c r="NHC247" i="20"/>
  <c r="NGY247" i="20" l="1"/>
  <c r="NGU247" i="20" s="1"/>
  <c r="NGQ247" i="20" s="1"/>
  <c r="NGM247" i="20" s="1"/>
  <c r="NGX247" i="20"/>
  <c r="NGT247" i="20" l="1"/>
  <c r="NGP247" i="20" s="1"/>
  <c r="NGL247" i="20" s="1"/>
  <c r="NGH247" i="20" s="1"/>
  <c r="NGS247" i="20"/>
  <c r="NGO247" i="20" l="1"/>
  <c r="NGK247" i="20" s="1"/>
  <c r="NGG247" i="20" s="1"/>
  <c r="NGC247" i="20" s="1"/>
  <c r="NGN247" i="20"/>
  <c r="NGJ247" i="20" l="1"/>
  <c r="NGF247" i="20" s="1"/>
  <c r="NGB247" i="20" s="1"/>
  <c r="NFX247" i="20" s="1"/>
  <c r="NGI247" i="20"/>
  <c r="NGE247" i="20" l="1"/>
  <c r="NGA247" i="20" s="1"/>
  <c r="NFW247" i="20" s="1"/>
  <c r="NFS247" i="20" s="1"/>
  <c r="NGD247" i="20"/>
  <c r="NFZ247" i="20" l="1"/>
  <c r="NFV247" i="20" s="1"/>
  <c r="NFR247" i="20" s="1"/>
  <c r="NFN247" i="20" s="1"/>
  <c r="NFY247" i="20"/>
  <c r="NFU247" i="20" l="1"/>
  <c r="NFQ247" i="20" s="1"/>
  <c r="NFM247" i="20" s="1"/>
  <c r="NFI247" i="20" s="1"/>
  <c r="NFT247" i="20"/>
  <c r="NFP247" i="20" l="1"/>
  <c r="NFL247" i="20" s="1"/>
  <c r="NFH247" i="20" s="1"/>
  <c r="NFD247" i="20" s="1"/>
  <c r="NFO247" i="20"/>
  <c r="NFK247" i="20" l="1"/>
  <c r="NFG247" i="20" s="1"/>
  <c r="NFC247" i="20" s="1"/>
  <c r="NEY247" i="20" s="1"/>
  <c r="NFJ247" i="20"/>
  <c r="NFF247" i="20" l="1"/>
  <c r="NFB247" i="20" s="1"/>
  <c r="NEX247" i="20" s="1"/>
  <c r="NET247" i="20" s="1"/>
  <c r="NFE247" i="20"/>
  <c r="NFA247" i="20" l="1"/>
  <c r="NEW247" i="20" s="1"/>
  <c r="NES247" i="20" s="1"/>
  <c r="NEO247" i="20" s="1"/>
  <c r="NEZ247" i="20"/>
  <c r="NEV247" i="20" l="1"/>
  <c r="NER247" i="20" s="1"/>
  <c r="NEN247" i="20" s="1"/>
  <c r="NEJ247" i="20" s="1"/>
  <c r="NEU247" i="20"/>
  <c r="NEQ247" i="20" l="1"/>
  <c r="NEM247" i="20" s="1"/>
  <c r="NEI247" i="20" s="1"/>
  <c r="NEE247" i="20" s="1"/>
  <c r="NEP247" i="20"/>
  <c r="NEL247" i="20" l="1"/>
  <c r="NEH247" i="20" s="1"/>
  <c r="NED247" i="20" s="1"/>
  <c r="NDZ247" i="20" s="1"/>
  <c r="NEK247" i="20"/>
  <c r="NEG247" i="20" l="1"/>
  <c r="NEC247" i="20" s="1"/>
  <c r="NDY247" i="20" s="1"/>
  <c r="NDU247" i="20" s="1"/>
  <c r="NEF247" i="20"/>
  <c r="NEB247" i="20" l="1"/>
  <c r="NDX247" i="20" s="1"/>
  <c r="NDT247" i="20" s="1"/>
  <c r="NDP247" i="20" s="1"/>
  <c r="NEA247" i="20"/>
  <c r="NDW247" i="20" l="1"/>
  <c r="NDS247" i="20" s="1"/>
  <c r="NDO247" i="20" s="1"/>
  <c r="NDK247" i="20" s="1"/>
  <c r="NDV247" i="20"/>
  <c r="NDR247" i="20" l="1"/>
  <c r="NDN247" i="20" s="1"/>
  <c r="NDJ247" i="20" s="1"/>
  <c r="NDF247" i="20" s="1"/>
  <c r="NDQ247" i="20"/>
  <c r="NDM247" i="20" l="1"/>
  <c r="NDI247" i="20" s="1"/>
  <c r="NDE247" i="20" s="1"/>
  <c r="NDA247" i="20" s="1"/>
  <c r="NDL247" i="20"/>
  <c r="NDH247" i="20" l="1"/>
  <c r="NDD247" i="20" s="1"/>
  <c r="NCZ247" i="20" s="1"/>
  <c r="NCV247" i="20" s="1"/>
  <c r="NDG247" i="20"/>
  <c r="NDC247" i="20" l="1"/>
  <c r="NCY247" i="20" s="1"/>
  <c r="NCU247" i="20" s="1"/>
  <c r="NCQ247" i="20" s="1"/>
  <c r="NDB247" i="20"/>
  <c r="NCX247" i="20" l="1"/>
  <c r="NCT247" i="20" s="1"/>
  <c r="NCP247" i="20" s="1"/>
  <c r="NCL247" i="20" s="1"/>
  <c r="NCW247" i="20"/>
  <c r="NCS247" i="20" l="1"/>
  <c r="NCO247" i="20" s="1"/>
  <c r="NCK247" i="20" s="1"/>
  <c r="NCG247" i="20" s="1"/>
  <c r="NCR247" i="20"/>
  <c r="NCN247" i="20" l="1"/>
  <c r="NCJ247" i="20" s="1"/>
  <c r="NCF247" i="20" s="1"/>
  <c r="NCB247" i="20" s="1"/>
  <c r="NCM247" i="20"/>
  <c r="NCI247" i="20" l="1"/>
  <c r="NCE247" i="20" s="1"/>
  <c r="NCA247" i="20" s="1"/>
  <c r="NBW247" i="20" s="1"/>
  <c r="NCH247" i="20"/>
  <c r="NCD247" i="20" l="1"/>
  <c r="NBZ247" i="20" s="1"/>
  <c r="NBV247" i="20" s="1"/>
  <c r="NBR247" i="20" s="1"/>
  <c r="NCC247" i="20"/>
  <c r="NBY247" i="20" l="1"/>
  <c r="NBU247" i="20" s="1"/>
  <c r="NBQ247" i="20" s="1"/>
  <c r="NBM247" i="20" s="1"/>
  <c r="NBX247" i="20"/>
  <c r="NBT247" i="20" l="1"/>
  <c r="NBP247" i="20" s="1"/>
  <c r="NBL247" i="20" s="1"/>
  <c r="NBH247" i="20" s="1"/>
  <c r="NBS247" i="20"/>
  <c r="NBO247" i="20" l="1"/>
  <c r="NBK247" i="20" s="1"/>
  <c r="NBG247" i="20" s="1"/>
  <c r="NBC247" i="20" s="1"/>
  <c r="NBN247" i="20"/>
  <c r="NBJ247" i="20" l="1"/>
  <c r="NBF247" i="20" s="1"/>
  <c r="NBB247" i="20" s="1"/>
  <c r="NAX247" i="20" s="1"/>
  <c r="NBI247" i="20"/>
  <c r="NBE247" i="20" l="1"/>
  <c r="NBA247" i="20" s="1"/>
  <c r="NAW247" i="20" s="1"/>
  <c r="NAS247" i="20" s="1"/>
  <c r="NBD247" i="20"/>
  <c r="NAZ247" i="20" l="1"/>
  <c r="NAV247" i="20" s="1"/>
  <c r="NAR247" i="20" s="1"/>
  <c r="NAN247" i="20" s="1"/>
  <c r="NAY247" i="20"/>
  <c r="NAU247" i="20" l="1"/>
  <c r="NAQ247" i="20" s="1"/>
  <c r="NAM247" i="20" s="1"/>
  <c r="NAI247" i="20" s="1"/>
  <c r="NAT247" i="20"/>
  <c r="NAP247" i="20" l="1"/>
  <c r="NAL247" i="20" s="1"/>
  <c r="NAH247" i="20" s="1"/>
  <c r="NAD247" i="20" s="1"/>
  <c r="NAO247" i="20"/>
  <c r="NAK247" i="20" l="1"/>
  <c r="NAG247" i="20" s="1"/>
  <c r="NAC247" i="20" s="1"/>
  <c r="MZY247" i="20" s="1"/>
  <c r="NAJ247" i="20"/>
  <c r="NAF247" i="20" l="1"/>
  <c r="NAB247" i="20" s="1"/>
  <c r="MZX247" i="20" s="1"/>
  <c r="MZT247" i="20" s="1"/>
  <c r="NAE247" i="20"/>
  <c r="NAA247" i="20" l="1"/>
  <c r="MZW247" i="20" s="1"/>
  <c r="MZS247" i="20" s="1"/>
  <c r="MZO247" i="20" s="1"/>
  <c r="MZZ247" i="20"/>
  <c r="MZV247" i="20" l="1"/>
  <c r="MZR247" i="20" s="1"/>
  <c r="MZN247" i="20" s="1"/>
  <c r="MZJ247" i="20" s="1"/>
  <c r="MZU247" i="20"/>
  <c r="MZQ247" i="20" l="1"/>
  <c r="MZM247" i="20" s="1"/>
  <c r="MZI247" i="20" s="1"/>
  <c r="MZE247" i="20" s="1"/>
  <c r="MZP247" i="20"/>
  <c r="MZL247" i="20" l="1"/>
  <c r="MZH247" i="20" s="1"/>
  <c r="MZD247" i="20" s="1"/>
  <c r="MYZ247" i="20" s="1"/>
  <c r="MZK247" i="20"/>
  <c r="MZG247" i="20" l="1"/>
  <c r="MZC247" i="20" s="1"/>
  <c r="MYY247" i="20" s="1"/>
  <c r="MYU247" i="20" s="1"/>
  <c r="MZF247" i="20"/>
  <c r="MZB247" i="20" l="1"/>
  <c r="MYX247" i="20" s="1"/>
  <c r="MYT247" i="20" s="1"/>
  <c r="MYP247" i="20" s="1"/>
  <c r="MZA247" i="20"/>
  <c r="MYW247" i="20" l="1"/>
  <c r="MYS247" i="20" s="1"/>
  <c r="MYO247" i="20" s="1"/>
  <c r="MYK247" i="20" s="1"/>
  <c r="MYV247" i="20"/>
  <c r="MYR247" i="20" l="1"/>
  <c r="MYN247" i="20" s="1"/>
  <c r="MYJ247" i="20" s="1"/>
  <c r="MYF247" i="20" s="1"/>
  <c r="MYQ247" i="20"/>
  <c r="MYM247" i="20" l="1"/>
  <c r="MYI247" i="20" s="1"/>
  <c r="MYE247" i="20" s="1"/>
  <c r="MYA247" i="20" s="1"/>
  <c r="MYL247" i="20"/>
  <c r="MYH247" i="20" l="1"/>
  <c r="MYD247" i="20" s="1"/>
  <c r="MXZ247" i="20" s="1"/>
  <c r="MXV247" i="20" s="1"/>
  <c r="MYG247" i="20"/>
  <c r="MYC247" i="20" l="1"/>
  <c r="MXY247" i="20" s="1"/>
  <c r="MXU247" i="20" s="1"/>
  <c r="MXQ247" i="20" s="1"/>
  <c r="MYB247" i="20"/>
  <c r="MXX247" i="20" l="1"/>
  <c r="MXT247" i="20" s="1"/>
  <c r="MXP247" i="20" s="1"/>
  <c r="MXL247" i="20" s="1"/>
  <c r="MXW247" i="20"/>
  <c r="MXS247" i="20" l="1"/>
  <c r="MXO247" i="20" s="1"/>
  <c r="MXK247" i="20" s="1"/>
  <c r="MXG247" i="20" s="1"/>
  <c r="MXR247" i="20"/>
  <c r="MXN247" i="20" l="1"/>
  <c r="MXJ247" i="20" s="1"/>
  <c r="MXF247" i="20" s="1"/>
  <c r="MXB247" i="20" s="1"/>
  <c r="MXM247" i="20"/>
  <c r="MXI247" i="20" l="1"/>
  <c r="MXE247" i="20" s="1"/>
  <c r="MXA247" i="20" s="1"/>
  <c r="MWW247" i="20" s="1"/>
  <c r="MXH247" i="20"/>
  <c r="MXD247" i="20" l="1"/>
  <c r="MWZ247" i="20" s="1"/>
  <c r="MWV247" i="20" s="1"/>
  <c r="MWR247" i="20" s="1"/>
  <c r="MXC247" i="20"/>
  <c r="MWY247" i="20" l="1"/>
  <c r="MWU247" i="20" s="1"/>
  <c r="MWQ247" i="20" s="1"/>
  <c r="MWM247" i="20" s="1"/>
  <c r="MWX247" i="20"/>
  <c r="MWT247" i="20" l="1"/>
  <c r="MWP247" i="20" s="1"/>
  <c r="MWL247" i="20" s="1"/>
  <c r="MWH247" i="20" s="1"/>
  <c r="MWS247" i="20"/>
  <c r="MWO247" i="20" l="1"/>
  <c r="MWK247" i="20" s="1"/>
  <c r="MWG247" i="20" s="1"/>
  <c r="MWC247" i="20" s="1"/>
  <c r="MWN247" i="20"/>
  <c r="MWJ247" i="20" l="1"/>
  <c r="MWF247" i="20" s="1"/>
  <c r="MWB247" i="20" s="1"/>
  <c r="MVX247" i="20" s="1"/>
  <c r="MWI247" i="20"/>
  <c r="MWE247" i="20" l="1"/>
  <c r="MWA247" i="20" s="1"/>
  <c r="MVW247" i="20" s="1"/>
  <c r="MVS247" i="20" s="1"/>
  <c r="MWD247" i="20"/>
  <c r="MVZ247" i="20" l="1"/>
  <c r="MVV247" i="20" s="1"/>
  <c r="MVR247" i="20" s="1"/>
  <c r="MVN247" i="20" s="1"/>
  <c r="MVY247" i="20"/>
  <c r="MVU247" i="20" l="1"/>
  <c r="MVQ247" i="20" s="1"/>
  <c r="MVM247" i="20" s="1"/>
  <c r="MVI247" i="20" s="1"/>
  <c r="MVT247" i="20"/>
  <c r="MVP247" i="20" l="1"/>
  <c r="MVL247" i="20" s="1"/>
  <c r="MVH247" i="20" s="1"/>
  <c r="MVD247" i="20" s="1"/>
  <c r="MVO247" i="20"/>
  <c r="MVK247" i="20" l="1"/>
  <c r="MVG247" i="20" s="1"/>
  <c r="MVC247" i="20" s="1"/>
  <c r="MUY247" i="20" s="1"/>
  <c r="MVJ247" i="20"/>
  <c r="MVF247" i="20" l="1"/>
  <c r="MVB247" i="20" s="1"/>
  <c r="MUX247" i="20" s="1"/>
  <c r="MUT247" i="20" s="1"/>
  <c r="MVE247" i="20"/>
  <c r="MVA247" i="20" l="1"/>
  <c r="MUW247" i="20" s="1"/>
  <c r="MUS247" i="20" s="1"/>
  <c r="MUO247" i="20" s="1"/>
  <c r="MUZ247" i="20"/>
  <c r="MUV247" i="20" l="1"/>
  <c r="MUR247" i="20" s="1"/>
  <c r="MUN247" i="20" s="1"/>
  <c r="MUJ247" i="20" s="1"/>
  <c r="MUU247" i="20"/>
  <c r="MUQ247" i="20" l="1"/>
  <c r="MUM247" i="20" s="1"/>
  <c r="MUI247" i="20" s="1"/>
  <c r="MUE247" i="20" s="1"/>
  <c r="MUP247" i="20"/>
  <c r="MUL247" i="20" l="1"/>
  <c r="MUH247" i="20" s="1"/>
  <c r="MUD247" i="20" s="1"/>
  <c r="MTZ247" i="20" s="1"/>
  <c r="MUK247" i="20"/>
  <c r="MUG247" i="20" l="1"/>
  <c r="MUC247" i="20" s="1"/>
  <c r="MTY247" i="20" s="1"/>
  <c r="MTU247" i="20" s="1"/>
  <c r="MUF247" i="20"/>
  <c r="MUB247" i="20" l="1"/>
  <c r="MTX247" i="20" s="1"/>
  <c r="MTT247" i="20" s="1"/>
  <c r="MTP247" i="20" s="1"/>
  <c r="MUA247" i="20"/>
  <c r="MTW247" i="20" l="1"/>
  <c r="MTS247" i="20" s="1"/>
  <c r="MTO247" i="20" s="1"/>
  <c r="MTK247" i="20" s="1"/>
  <c r="MTV247" i="20"/>
  <c r="MTR247" i="20" l="1"/>
  <c r="MTN247" i="20" s="1"/>
  <c r="MTJ247" i="20" s="1"/>
  <c r="MTF247" i="20" s="1"/>
  <c r="MTQ247" i="20"/>
  <c r="MTM247" i="20" l="1"/>
  <c r="MTI247" i="20" s="1"/>
  <c r="MTE247" i="20" s="1"/>
  <c r="MTA247" i="20" s="1"/>
  <c r="MTL247" i="20"/>
  <c r="MTH247" i="20" l="1"/>
  <c r="MTD247" i="20" s="1"/>
  <c r="MSZ247" i="20" s="1"/>
  <c r="MSV247" i="20" s="1"/>
  <c r="MTG247" i="20"/>
  <c r="MTC247" i="20" l="1"/>
  <c r="MSY247" i="20" s="1"/>
  <c r="MSU247" i="20" s="1"/>
  <c r="MSQ247" i="20" s="1"/>
  <c r="MTB247" i="20"/>
  <c r="MSX247" i="20" l="1"/>
  <c r="MST247" i="20" s="1"/>
  <c r="MSP247" i="20" s="1"/>
  <c r="MSL247" i="20" s="1"/>
  <c r="MSW247" i="20"/>
  <c r="MSS247" i="20" l="1"/>
  <c r="MSO247" i="20" s="1"/>
  <c r="MSK247" i="20" s="1"/>
  <c r="MSG247" i="20" s="1"/>
  <c r="MSR247" i="20"/>
  <c r="MSN247" i="20" l="1"/>
  <c r="MSJ247" i="20" s="1"/>
  <c r="MSF247" i="20" s="1"/>
  <c r="MSB247" i="20" s="1"/>
  <c r="MSM247" i="20"/>
  <c r="MSI247" i="20" l="1"/>
  <c r="MSE247" i="20" s="1"/>
  <c r="MSA247" i="20" s="1"/>
  <c r="MRW247" i="20" s="1"/>
  <c r="MSH247" i="20"/>
  <c r="MSD247" i="20" l="1"/>
  <c r="MRZ247" i="20" s="1"/>
  <c r="MRV247" i="20" s="1"/>
  <c r="MRR247" i="20" s="1"/>
  <c r="MSC247" i="20"/>
  <c r="MRY247" i="20" l="1"/>
  <c r="MRU247" i="20" s="1"/>
  <c r="MRQ247" i="20" s="1"/>
  <c r="MRM247" i="20" s="1"/>
  <c r="MRX247" i="20"/>
  <c r="MRT247" i="20" l="1"/>
  <c r="MRP247" i="20" s="1"/>
  <c r="MRL247" i="20" s="1"/>
  <c r="MRH247" i="20" s="1"/>
  <c r="MRS247" i="20"/>
  <c r="MRO247" i="20" l="1"/>
  <c r="MRK247" i="20" s="1"/>
  <c r="MRG247" i="20" s="1"/>
  <c r="MRC247" i="20" s="1"/>
  <c r="MRN247" i="20"/>
  <c r="MRJ247" i="20" l="1"/>
  <c r="MRF247" i="20" s="1"/>
  <c r="MRB247" i="20" s="1"/>
  <c r="MQX247" i="20" s="1"/>
  <c r="MRI247" i="20"/>
  <c r="MRE247" i="20" l="1"/>
  <c r="MRA247" i="20" s="1"/>
  <c r="MQW247" i="20" s="1"/>
  <c r="MQS247" i="20" s="1"/>
  <c r="MRD247" i="20"/>
  <c r="MQZ247" i="20" l="1"/>
  <c r="MQV247" i="20" s="1"/>
  <c r="MQR247" i="20" s="1"/>
  <c r="MQN247" i="20" s="1"/>
  <c r="MQY247" i="20"/>
  <c r="MQU247" i="20" l="1"/>
  <c r="MQQ247" i="20" s="1"/>
  <c r="MQM247" i="20" s="1"/>
  <c r="MQI247" i="20" s="1"/>
  <c r="MQT247" i="20"/>
  <c r="MQP247" i="20" l="1"/>
  <c r="MQL247" i="20" s="1"/>
  <c r="MQH247" i="20" s="1"/>
  <c r="MQD247" i="20" s="1"/>
  <c r="MQO247" i="20"/>
  <c r="MQK247" i="20" l="1"/>
  <c r="MQG247" i="20" s="1"/>
  <c r="MQC247" i="20" s="1"/>
  <c r="MPY247" i="20" s="1"/>
  <c r="MQJ247" i="20"/>
  <c r="MQF247" i="20" l="1"/>
  <c r="MQB247" i="20" s="1"/>
  <c r="MPX247" i="20" s="1"/>
  <c r="MPT247" i="20" s="1"/>
  <c r="MQE247" i="20"/>
  <c r="MQA247" i="20" l="1"/>
  <c r="MPW247" i="20" s="1"/>
  <c r="MPS247" i="20" s="1"/>
  <c r="MPO247" i="20" s="1"/>
  <c r="MPZ247" i="20"/>
  <c r="MPV247" i="20" l="1"/>
  <c r="MPR247" i="20" s="1"/>
  <c r="MPN247" i="20" s="1"/>
  <c r="MPJ247" i="20" s="1"/>
  <c r="MPU247" i="20"/>
  <c r="MPQ247" i="20" l="1"/>
  <c r="MPM247" i="20" s="1"/>
  <c r="MPI247" i="20" s="1"/>
  <c r="MPE247" i="20" s="1"/>
  <c r="MPP247" i="20"/>
  <c r="MPL247" i="20" l="1"/>
  <c r="MPH247" i="20" s="1"/>
  <c r="MPD247" i="20" s="1"/>
  <c r="MOZ247" i="20" s="1"/>
  <c r="MPK247" i="20"/>
  <c r="MPG247" i="20" l="1"/>
  <c r="MPC247" i="20" s="1"/>
  <c r="MOY247" i="20" s="1"/>
  <c r="MOU247" i="20" s="1"/>
  <c r="MPF247" i="20"/>
  <c r="MPB247" i="20" l="1"/>
  <c r="MOX247" i="20" s="1"/>
  <c r="MOT247" i="20" s="1"/>
  <c r="MOP247" i="20" s="1"/>
  <c r="MPA247" i="20"/>
  <c r="MOW247" i="20" l="1"/>
  <c r="MOS247" i="20" s="1"/>
  <c r="MOO247" i="20" s="1"/>
  <c r="MOK247" i="20" s="1"/>
  <c r="MOV247" i="20"/>
  <c r="MOR247" i="20" l="1"/>
  <c r="MON247" i="20" s="1"/>
  <c r="MOJ247" i="20" s="1"/>
  <c r="MOF247" i="20" s="1"/>
  <c r="MOQ247" i="20"/>
  <c r="MOM247" i="20" l="1"/>
  <c r="MOI247" i="20" s="1"/>
  <c r="MOE247" i="20" s="1"/>
  <c r="MOA247" i="20" s="1"/>
  <c r="MOL247" i="20"/>
  <c r="MOH247" i="20" l="1"/>
  <c r="MOD247" i="20" s="1"/>
  <c r="MNZ247" i="20" s="1"/>
  <c r="MNV247" i="20" s="1"/>
  <c r="MOG247" i="20"/>
  <c r="MOC247" i="20" l="1"/>
  <c r="MNY247" i="20" s="1"/>
  <c r="MNU247" i="20" s="1"/>
  <c r="MNQ247" i="20" s="1"/>
  <c r="MOB247" i="20"/>
  <c r="MNX247" i="20" l="1"/>
  <c r="MNT247" i="20" s="1"/>
  <c r="MNP247" i="20" s="1"/>
  <c r="MNL247" i="20" s="1"/>
  <c r="MNW247" i="20"/>
  <c r="MNS247" i="20" l="1"/>
  <c r="MNO247" i="20" s="1"/>
  <c r="MNK247" i="20" s="1"/>
  <c r="MNG247" i="20" s="1"/>
  <c r="MNR247" i="20"/>
  <c r="MNN247" i="20" l="1"/>
  <c r="MNJ247" i="20" s="1"/>
  <c r="MNF247" i="20" s="1"/>
  <c r="MNB247" i="20" s="1"/>
  <c r="MNM247" i="20"/>
  <c r="MNI247" i="20" l="1"/>
  <c r="MNE247" i="20" s="1"/>
  <c r="MNA247" i="20" s="1"/>
  <c r="MMW247" i="20" s="1"/>
  <c r="MNH247" i="20"/>
  <c r="MND247" i="20" l="1"/>
  <c r="MMZ247" i="20" s="1"/>
  <c r="MMV247" i="20" s="1"/>
  <c r="MMR247" i="20" s="1"/>
  <c r="MNC247" i="20"/>
  <c r="MMY247" i="20" l="1"/>
  <c r="MMU247" i="20" s="1"/>
  <c r="MMQ247" i="20" s="1"/>
  <c r="MMM247" i="20" s="1"/>
  <c r="MMX247" i="20"/>
  <c r="MMT247" i="20" l="1"/>
  <c r="MMP247" i="20" s="1"/>
  <c r="MML247" i="20" s="1"/>
  <c r="MMH247" i="20" s="1"/>
  <c r="MMS247" i="20"/>
  <c r="MMO247" i="20" l="1"/>
  <c r="MMK247" i="20" s="1"/>
  <c r="MMG247" i="20" s="1"/>
  <c r="MMC247" i="20" s="1"/>
  <c r="MMN247" i="20"/>
  <c r="MMJ247" i="20" l="1"/>
  <c r="MMF247" i="20" s="1"/>
  <c r="MMB247" i="20" s="1"/>
  <c r="MLX247" i="20" s="1"/>
  <c r="MMI247" i="20"/>
  <c r="MME247" i="20" l="1"/>
  <c r="MMA247" i="20" s="1"/>
  <c r="MLW247" i="20" s="1"/>
  <c r="MLS247" i="20" s="1"/>
  <c r="MMD247" i="20"/>
  <c r="MLZ247" i="20" l="1"/>
  <c r="MLV247" i="20" s="1"/>
  <c r="MLR247" i="20" s="1"/>
  <c r="MLN247" i="20" s="1"/>
  <c r="MLY247" i="20"/>
  <c r="MLU247" i="20" l="1"/>
  <c r="MLQ247" i="20" s="1"/>
  <c r="MLM247" i="20" s="1"/>
  <c r="MLI247" i="20" s="1"/>
  <c r="MLT247" i="20"/>
  <c r="MLP247" i="20" l="1"/>
  <c r="MLL247" i="20" s="1"/>
  <c r="MLH247" i="20" s="1"/>
  <c r="MLD247" i="20" s="1"/>
  <c r="MLO247" i="20"/>
  <c r="MLK247" i="20" l="1"/>
  <c r="MLG247" i="20" s="1"/>
  <c r="MLC247" i="20" s="1"/>
  <c r="MKY247" i="20" s="1"/>
  <c r="MLJ247" i="20"/>
  <c r="MLF247" i="20" l="1"/>
  <c r="MLB247" i="20" s="1"/>
  <c r="MKX247" i="20" s="1"/>
  <c r="MKT247" i="20" s="1"/>
  <c r="MLE247" i="20"/>
  <c r="MLA247" i="20" l="1"/>
  <c r="MKW247" i="20" s="1"/>
  <c r="MKS247" i="20" s="1"/>
  <c r="MKO247" i="20" s="1"/>
  <c r="MKZ247" i="20"/>
  <c r="MKV247" i="20" l="1"/>
  <c r="MKR247" i="20" s="1"/>
  <c r="MKN247" i="20" s="1"/>
  <c r="MKJ247" i="20" s="1"/>
  <c r="MKU247" i="20"/>
  <c r="MKQ247" i="20" l="1"/>
  <c r="MKM247" i="20" s="1"/>
  <c r="MKI247" i="20" s="1"/>
  <c r="MKE247" i="20" s="1"/>
  <c r="MKP247" i="20"/>
  <c r="MKL247" i="20" l="1"/>
  <c r="MKH247" i="20" s="1"/>
  <c r="MKD247" i="20" s="1"/>
  <c r="MJZ247" i="20" s="1"/>
  <c r="MKK247" i="20"/>
  <c r="MKG247" i="20" l="1"/>
  <c r="MKC247" i="20" s="1"/>
  <c r="MJY247" i="20" s="1"/>
  <c r="MJU247" i="20" s="1"/>
  <c r="MKF247" i="20"/>
  <c r="MKB247" i="20" l="1"/>
  <c r="MJX247" i="20" s="1"/>
  <c r="MJT247" i="20" s="1"/>
  <c r="MJP247" i="20" s="1"/>
  <c r="MKA247" i="20"/>
  <c r="MJW247" i="20" l="1"/>
  <c r="MJS247" i="20" s="1"/>
  <c r="MJO247" i="20" s="1"/>
  <c r="MJK247" i="20" s="1"/>
  <c r="MJV247" i="20"/>
  <c r="MJR247" i="20" l="1"/>
  <c r="MJN247" i="20" s="1"/>
  <c r="MJJ247" i="20" s="1"/>
  <c r="MJF247" i="20" s="1"/>
  <c r="MJQ247" i="20"/>
  <c r="MJM247" i="20" l="1"/>
  <c r="MJI247" i="20" s="1"/>
  <c r="MJE247" i="20" s="1"/>
  <c r="MJA247" i="20" s="1"/>
  <c r="MJL247" i="20"/>
  <c r="MJH247" i="20" l="1"/>
  <c r="MJD247" i="20" s="1"/>
  <c r="MIZ247" i="20" s="1"/>
  <c r="MIV247" i="20" s="1"/>
  <c r="MJG247" i="20"/>
  <c r="MJC247" i="20" l="1"/>
  <c r="MIY247" i="20" s="1"/>
  <c r="MIU247" i="20" s="1"/>
  <c r="MIQ247" i="20" s="1"/>
  <c r="MJB247" i="20"/>
  <c r="MIX247" i="20" l="1"/>
  <c r="MIT247" i="20" s="1"/>
  <c r="MIP247" i="20" s="1"/>
  <c r="MIL247" i="20" s="1"/>
  <c r="MIW247" i="20"/>
  <c r="MIS247" i="20" l="1"/>
  <c r="MIO247" i="20" s="1"/>
  <c r="MIK247" i="20" s="1"/>
  <c r="MIG247" i="20" s="1"/>
  <c r="MIR247" i="20"/>
  <c r="MIN247" i="20" l="1"/>
  <c r="MIJ247" i="20" s="1"/>
  <c r="MIF247" i="20" s="1"/>
  <c r="MIB247" i="20" s="1"/>
  <c r="MIM247" i="20"/>
  <c r="MII247" i="20" l="1"/>
  <c r="MIE247" i="20" s="1"/>
  <c r="MIA247" i="20" s="1"/>
  <c r="MHW247" i="20" s="1"/>
  <c r="MIH247" i="20"/>
  <c r="MID247" i="20" l="1"/>
  <c r="MHZ247" i="20" s="1"/>
  <c r="MHV247" i="20" s="1"/>
  <c r="MHR247" i="20" s="1"/>
  <c r="MIC247" i="20"/>
  <c r="MHY247" i="20" l="1"/>
  <c r="MHU247" i="20" s="1"/>
  <c r="MHQ247" i="20" s="1"/>
  <c r="MHM247" i="20" s="1"/>
  <c r="MHX247" i="20"/>
  <c r="MHT247" i="20" l="1"/>
  <c r="MHP247" i="20" s="1"/>
  <c r="MHL247" i="20" s="1"/>
  <c r="MHH247" i="20" s="1"/>
  <c r="MHS247" i="20"/>
  <c r="MHO247" i="20" l="1"/>
  <c r="MHK247" i="20" s="1"/>
  <c r="MHG247" i="20" s="1"/>
  <c r="MHC247" i="20" s="1"/>
  <c r="MHN247" i="20"/>
  <c r="MHJ247" i="20" l="1"/>
  <c r="MHF247" i="20" s="1"/>
  <c r="MHB247" i="20" s="1"/>
  <c r="MGX247" i="20" s="1"/>
  <c r="MHI247" i="20"/>
  <c r="MHE247" i="20" l="1"/>
  <c r="MHA247" i="20" s="1"/>
  <c r="MGW247" i="20" s="1"/>
  <c r="MGS247" i="20" s="1"/>
  <c r="MHD247" i="20"/>
  <c r="MGZ247" i="20" l="1"/>
  <c r="MGV247" i="20" s="1"/>
  <c r="MGR247" i="20" s="1"/>
  <c r="MGN247" i="20" s="1"/>
  <c r="MGY247" i="20"/>
  <c r="MGU247" i="20" l="1"/>
  <c r="MGQ247" i="20" s="1"/>
  <c r="MGM247" i="20" s="1"/>
  <c r="MGI247" i="20" s="1"/>
  <c r="MGT247" i="20"/>
  <c r="MGP247" i="20" l="1"/>
  <c r="MGL247" i="20" s="1"/>
  <c r="MGH247" i="20" s="1"/>
  <c r="MGD247" i="20" s="1"/>
  <c r="MGO247" i="20"/>
  <c r="MGK247" i="20" l="1"/>
  <c r="MGG247" i="20" s="1"/>
  <c r="MGC247" i="20" s="1"/>
  <c r="MFY247" i="20" s="1"/>
  <c r="MGJ247" i="20"/>
  <c r="MGF247" i="20" l="1"/>
  <c r="MGB247" i="20" s="1"/>
  <c r="MFX247" i="20" s="1"/>
  <c r="MFT247" i="20" s="1"/>
  <c r="MGE247" i="20"/>
  <c r="MGA247" i="20" l="1"/>
  <c r="MFW247" i="20" s="1"/>
  <c r="MFS247" i="20" s="1"/>
  <c r="MFO247" i="20" s="1"/>
  <c r="MFZ247" i="20"/>
  <c r="MFV247" i="20" l="1"/>
  <c r="MFR247" i="20" s="1"/>
  <c r="MFN247" i="20" s="1"/>
  <c r="MFJ247" i="20" s="1"/>
  <c r="MFU247" i="20"/>
  <c r="MFQ247" i="20" l="1"/>
  <c r="MFM247" i="20" s="1"/>
  <c r="MFI247" i="20" s="1"/>
  <c r="MFE247" i="20" s="1"/>
  <c r="MFP247" i="20"/>
  <c r="MFL247" i="20" l="1"/>
  <c r="MFH247" i="20" s="1"/>
  <c r="MFD247" i="20" s="1"/>
  <c r="MEZ247" i="20" s="1"/>
  <c r="MFK247" i="20"/>
  <c r="MFG247" i="20" l="1"/>
  <c r="MFC247" i="20" s="1"/>
  <c r="MEY247" i="20" s="1"/>
  <c r="MEU247" i="20" s="1"/>
  <c r="MFF247" i="20"/>
  <c r="MFB247" i="20" l="1"/>
  <c r="MEX247" i="20" s="1"/>
  <c r="MET247" i="20" s="1"/>
  <c r="MEP247" i="20" s="1"/>
  <c r="MFA247" i="20"/>
  <c r="MEW247" i="20" l="1"/>
  <c r="MES247" i="20" s="1"/>
  <c r="MEO247" i="20" s="1"/>
  <c r="MEK247" i="20" s="1"/>
  <c r="MEV247" i="20"/>
  <c r="MER247" i="20" l="1"/>
  <c r="MEN247" i="20" s="1"/>
  <c r="MEJ247" i="20" s="1"/>
  <c r="MEF247" i="20" s="1"/>
  <c r="MEQ247" i="20"/>
  <c r="MEM247" i="20" l="1"/>
  <c r="MEI247" i="20" s="1"/>
  <c r="MEE247" i="20" s="1"/>
  <c r="MEA247" i="20" s="1"/>
  <c r="MEL247" i="20"/>
  <c r="MEH247" i="20" l="1"/>
  <c r="MED247" i="20" s="1"/>
  <c r="MDZ247" i="20" s="1"/>
  <c r="MDV247" i="20" s="1"/>
  <c r="MEG247" i="20"/>
  <c r="MEC247" i="20" l="1"/>
  <c r="MDY247" i="20" s="1"/>
  <c r="MDU247" i="20" s="1"/>
  <c r="MDQ247" i="20" s="1"/>
  <c r="MEB247" i="20"/>
  <c r="MDX247" i="20" l="1"/>
  <c r="MDT247" i="20" s="1"/>
  <c r="MDP247" i="20" s="1"/>
  <c r="MDL247" i="20" s="1"/>
  <c r="MDW247" i="20"/>
  <c r="MDS247" i="20" l="1"/>
  <c r="MDO247" i="20" s="1"/>
  <c r="MDK247" i="20" s="1"/>
  <c r="MDG247" i="20" s="1"/>
  <c r="MDR247" i="20"/>
  <c r="MDN247" i="20" l="1"/>
  <c r="MDJ247" i="20" s="1"/>
  <c r="MDF247" i="20" s="1"/>
  <c r="MDB247" i="20" s="1"/>
  <c r="MDM247" i="20"/>
  <c r="MDI247" i="20" l="1"/>
  <c r="MDE247" i="20" s="1"/>
  <c r="MDA247" i="20" s="1"/>
  <c r="MCW247" i="20" s="1"/>
  <c r="MDH247" i="20"/>
  <c r="MDD247" i="20" l="1"/>
  <c r="MCZ247" i="20" s="1"/>
  <c r="MCV247" i="20" s="1"/>
  <c r="MCR247" i="20" s="1"/>
  <c r="MDC247" i="20"/>
  <c r="MCY247" i="20" l="1"/>
  <c r="MCU247" i="20" s="1"/>
  <c r="MCQ247" i="20" s="1"/>
  <c r="MCM247" i="20" s="1"/>
  <c r="MCX247" i="20"/>
  <c r="MCT247" i="20" l="1"/>
  <c r="MCP247" i="20" s="1"/>
  <c r="MCL247" i="20" s="1"/>
  <c r="MCH247" i="20" s="1"/>
  <c r="MCS247" i="20"/>
  <c r="MCO247" i="20" l="1"/>
  <c r="MCK247" i="20" s="1"/>
  <c r="MCG247" i="20" s="1"/>
  <c r="MCC247" i="20" s="1"/>
  <c r="MCN247" i="20"/>
  <c r="MCJ247" i="20" l="1"/>
  <c r="MCF247" i="20" s="1"/>
  <c r="MCB247" i="20" s="1"/>
  <c r="MBX247" i="20" s="1"/>
  <c r="MCI247" i="20"/>
  <c r="MCE247" i="20" l="1"/>
  <c r="MCA247" i="20" s="1"/>
  <c r="MBW247" i="20" s="1"/>
  <c r="MBS247" i="20" s="1"/>
  <c r="MCD247" i="20"/>
  <c r="MBZ247" i="20" l="1"/>
  <c r="MBV247" i="20" s="1"/>
  <c r="MBR247" i="20" s="1"/>
  <c r="MBN247" i="20" s="1"/>
  <c r="MBY247" i="20"/>
  <c r="MBU247" i="20" l="1"/>
  <c r="MBQ247" i="20" s="1"/>
  <c r="MBM247" i="20" s="1"/>
  <c r="MBI247" i="20" s="1"/>
  <c r="MBT247" i="20"/>
  <c r="MBP247" i="20" l="1"/>
  <c r="MBL247" i="20" s="1"/>
  <c r="MBH247" i="20" s="1"/>
  <c r="MBD247" i="20" s="1"/>
  <c r="MBO247" i="20"/>
  <c r="MBK247" i="20" l="1"/>
  <c r="MBG247" i="20" s="1"/>
  <c r="MBC247" i="20" s="1"/>
  <c r="MAY247" i="20" s="1"/>
  <c r="MBJ247" i="20"/>
  <c r="MBF247" i="20" l="1"/>
  <c r="MBB247" i="20" s="1"/>
  <c r="MAX247" i="20" s="1"/>
  <c r="MAT247" i="20" s="1"/>
  <c r="MBE247" i="20"/>
  <c r="MBA247" i="20" l="1"/>
  <c r="MAW247" i="20" s="1"/>
  <c r="MAS247" i="20" s="1"/>
  <c r="MAO247" i="20" s="1"/>
  <c r="MAZ247" i="20"/>
  <c r="MAV247" i="20" l="1"/>
  <c r="MAR247" i="20" s="1"/>
  <c r="MAN247" i="20" s="1"/>
  <c r="MAJ247" i="20" s="1"/>
  <c r="MAU247" i="20"/>
  <c r="MAQ247" i="20" l="1"/>
  <c r="MAM247" i="20" s="1"/>
  <c r="MAI247" i="20" s="1"/>
  <c r="MAE247" i="20" s="1"/>
  <c r="MAP247" i="20"/>
  <c r="MAL247" i="20" l="1"/>
  <c r="MAH247" i="20" s="1"/>
  <c r="MAD247" i="20" s="1"/>
  <c r="LZZ247" i="20" s="1"/>
  <c r="MAK247" i="20"/>
  <c r="MAG247" i="20" l="1"/>
  <c r="MAC247" i="20" s="1"/>
  <c r="LZY247" i="20" s="1"/>
  <c r="LZU247" i="20" s="1"/>
  <c r="MAF247" i="20"/>
  <c r="MAB247" i="20" l="1"/>
  <c r="LZX247" i="20" s="1"/>
  <c r="LZT247" i="20" s="1"/>
  <c r="LZP247" i="20" s="1"/>
  <c r="MAA247" i="20"/>
  <c r="LZW247" i="20" l="1"/>
  <c r="LZS247" i="20" s="1"/>
  <c r="LZO247" i="20" s="1"/>
  <c r="LZK247" i="20" s="1"/>
  <c r="LZV247" i="20"/>
  <c r="LZR247" i="20" l="1"/>
  <c r="LZN247" i="20" s="1"/>
  <c r="LZJ247" i="20" s="1"/>
  <c r="LZF247" i="20" s="1"/>
  <c r="LZQ247" i="20"/>
  <c r="LZM247" i="20" l="1"/>
  <c r="LZI247" i="20" s="1"/>
  <c r="LZE247" i="20" s="1"/>
  <c r="LZA247" i="20" s="1"/>
  <c r="LZL247" i="20"/>
  <c r="LZH247" i="20" l="1"/>
  <c r="LZD247" i="20" s="1"/>
  <c r="LYZ247" i="20" s="1"/>
  <c r="LYV247" i="20" s="1"/>
  <c r="LZG247" i="20"/>
  <c r="LZC247" i="20" l="1"/>
  <c r="LYY247" i="20" s="1"/>
  <c r="LYU247" i="20" s="1"/>
  <c r="LYQ247" i="20" s="1"/>
  <c r="LZB247" i="20"/>
  <c r="LYX247" i="20" l="1"/>
  <c r="LYT247" i="20" s="1"/>
  <c r="LYP247" i="20" s="1"/>
  <c r="LYL247" i="20" s="1"/>
  <c r="LYW247" i="20"/>
  <c r="LYS247" i="20" l="1"/>
  <c r="LYO247" i="20" s="1"/>
  <c r="LYK247" i="20" s="1"/>
  <c r="LYG247" i="20" s="1"/>
  <c r="LYR247" i="20"/>
  <c r="LYN247" i="20" l="1"/>
  <c r="LYJ247" i="20" s="1"/>
  <c r="LYF247" i="20" s="1"/>
  <c r="LYB247" i="20" s="1"/>
  <c r="LYM247" i="20"/>
  <c r="LYI247" i="20" l="1"/>
  <c r="LYE247" i="20" s="1"/>
  <c r="LYA247" i="20" s="1"/>
  <c r="LXW247" i="20" s="1"/>
  <c r="LYH247" i="20"/>
  <c r="LYD247" i="20" l="1"/>
  <c r="LXZ247" i="20" s="1"/>
  <c r="LXV247" i="20" s="1"/>
  <c r="LXR247" i="20" s="1"/>
  <c r="LYC247" i="20"/>
  <c r="LXY247" i="20" l="1"/>
  <c r="LXU247" i="20" s="1"/>
  <c r="LXQ247" i="20" s="1"/>
  <c r="LXM247" i="20" s="1"/>
  <c r="LXX247" i="20"/>
  <c r="LXT247" i="20" l="1"/>
  <c r="LXP247" i="20" s="1"/>
  <c r="LXL247" i="20" s="1"/>
  <c r="LXH247" i="20" s="1"/>
  <c r="LXS247" i="20"/>
  <c r="LXO247" i="20" l="1"/>
  <c r="LXK247" i="20" s="1"/>
  <c r="LXG247" i="20" s="1"/>
  <c r="LXC247" i="20" s="1"/>
  <c r="LXN247" i="20"/>
  <c r="LXJ247" i="20" l="1"/>
  <c r="LXF247" i="20" s="1"/>
  <c r="LXB247" i="20" s="1"/>
  <c r="LWX247" i="20" s="1"/>
  <c r="LXI247" i="20"/>
  <c r="LXE247" i="20" l="1"/>
  <c r="LXA247" i="20" s="1"/>
  <c r="LWW247" i="20" s="1"/>
  <c r="LWS247" i="20" s="1"/>
  <c r="LXD247" i="20"/>
  <c r="LWZ247" i="20" l="1"/>
  <c r="LWV247" i="20" s="1"/>
  <c r="LWR247" i="20" s="1"/>
  <c r="LWN247" i="20" s="1"/>
  <c r="LWY247" i="20"/>
  <c r="LWU247" i="20" l="1"/>
  <c r="LWQ247" i="20" s="1"/>
  <c r="LWM247" i="20" s="1"/>
  <c r="LWI247" i="20" s="1"/>
  <c r="LWT247" i="20"/>
  <c r="LWP247" i="20" l="1"/>
  <c r="LWL247" i="20" s="1"/>
  <c r="LWH247" i="20" s="1"/>
  <c r="LWD247" i="20" s="1"/>
  <c r="LWO247" i="20"/>
  <c r="LWK247" i="20" l="1"/>
  <c r="LWG247" i="20" s="1"/>
  <c r="LWC247" i="20" s="1"/>
  <c r="LVY247" i="20" s="1"/>
  <c r="LWJ247" i="20"/>
  <c r="LWF247" i="20" l="1"/>
  <c r="LWB247" i="20" s="1"/>
  <c r="LVX247" i="20" s="1"/>
  <c r="LVT247" i="20" s="1"/>
  <c r="LWE247" i="20"/>
  <c r="LWA247" i="20" l="1"/>
  <c r="LVW247" i="20" s="1"/>
  <c r="LVS247" i="20" s="1"/>
  <c r="LVO247" i="20" s="1"/>
  <c r="LVZ247" i="20"/>
  <c r="LVV247" i="20" l="1"/>
  <c r="LVR247" i="20" s="1"/>
  <c r="LVN247" i="20" s="1"/>
  <c r="LVJ247" i="20" s="1"/>
  <c r="LVU247" i="20"/>
  <c r="LVQ247" i="20" l="1"/>
  <c r="LVM247" i="20" s="1"/>
  <c r="LVI247" i="20" s="1"/>
  <c r="LVE247" i="20" s="1"/>
  <c r="LVP247" i="20"/>
  <c r="LVL247" i="20" l="1"/>
  <c r="LVH247" i="20" s="1"/>
  <c r="LVD247" i="20" s="1"/>
  <c r="LUZ247" i="20" s="1"/>
  <c r="LVK247" i="20"/>
  <c r="LVG247" i="20" l="1"/>
  <c r="LVC247" i="20" s="1"/>
  <c r="LUY247" i="20" s="1"/>
  <c r="LUU247" i="20" s="1"/>
  <c r="LVF247" i="20"/>
  <c r="LVB247" i="20" l="1"/>
  <c r="LUX247" i="20" s="1"/>
  <c r="LUT247" i="20" s="1"/>
  <c r="LUP247" i="20" s="1"/>
  <c r="LVA247" i="20"/>
  <c r="LUW247" i="20" l="1"/>
  <c r="LUS247" i="20" s="1"/>
  <c r="LUO247" i="20" s="1"/>
  <c r="LUK247" i="20" s="1"/>
  <c r="LUV247" i="20"/>
  <c r="LUR247" i="20" l="1"/>
  <c r="LUN247" i="20" s="1"/>
  <c r="LUJ247" i="20" s="1"/>
  <c r="LUF247" i="20" s="1"/>
  <c r="LUQ247" i="20"/>
  <c r="LUM247" i="20" l="1"/>
  <c r="LUI247" i="20" s="1"/>
  <c r="LUE247" i="20" s="1"/>
  <c r="LUA247" i="20" s="1"/>
  <c r="LUL247" i="20"/>
  <c r="LUH247" i="20" l="1"/>
  <c r="LUD247" i="20" s="1"/>
  <c r="LTZ247" i="20" s="1"/>
  <c r="LTV247" i="20" s="1"/>
  <c r="LUG247" i="20"/>
  <c r="LUC247" i="20" l="1"/>
  <c r="LTY247" i="20" s="1"/>
  <c r="LTU247" i="20" s="1"/>
  <c r="LTQ247" i="20" s="1"/>
  <c r="LUB247" i="20"/>
  <c r="LTX247" i="20" l="1"/>
  <c r="LTT247" i="20" s="1"/>
  <c r="LTP247" i="20" s="1"/>
  <c r="LTL247" i="20" s="1"/>
  <c r="LTW247" i="20"/>
  <c r="LTS247" i="20" l="1"/>
  <c r="LTO247" i="20" s="1"/>
  <c r="LTK247" i="20" s="1"/>
  <c r="LTG247" i="20" s="1"/>
  <c r="LTR247" i="20"/>
  <c r="LTN247" i="20" l="1"/>
  <c r="LTJ247" i="20" s="1"/>
  <c r="LTF247" i="20" s="1"/>
  <c r="LTB247" i="20" s="1"/>
  <c r="LTM247" i="20"/>
  <c r="LTI247" i="20" l="1"/>
  <c r="LTE247" i="20" s="1"/>
  <c r="LTA247" i="20" s="1"/>
  <c r="LSW247" i="20" s="1"/>
  <c r="LTH247" i="20"/>
  <c r="LTD247" i="20" l="1"/>
  <c r="LSZ247" i="20" s="1"/>
  <c r="LSV247" i="20" s="1"/>
  <c r="LSR247" i="20" s="1"/>
  <c r="LTC247" i="20"/>
  <c r="LSY247" i="20" l="1"/>
  <c r="LSU247" i="20" s="1"/>
  <c r="LSQ247" i="20" s="1"/>
  <c r="LSM247" i="20" s="1"/>
  <c r="LSX247" i="20"/>
  <c r="LST247" i="20" l="1"/>
  <c r="LSP247" i="20" s="1"/>
  <c r="LSL247" i="20" s="1"/>
  <c r="LSH247" i="20" s="1"/>
  <c r="LSS247" i="20"/>
  <c r="LSO247" i="20" l="1"/>
  <c r="LSK247" i="20" s="1"/>
  <c r="LSG247" i="20" s="1"/>
  <c r="LSC247" i="20" s="1"/>
  <c r="LSN247" i="20"/>
  <c r="LSJ247" i="20" l="1"/>
  <c r="LSF247" i="20" s="1"/>
  <c r="LSB247" i="20" s="1"/>
  <c r="LRX247" i="20" s="1"/>
  <c r="LSI247" i="20"/>
  <c r="LSE247" i="20" l="1"/>
  <c r="LSA247" i="20" s="1"/>
  <c r="LRW247" i="20" s="1"/>
  <c r="LRS247" i="20" s="1"/>
  <c r="LSD247" i="20"/>
  <c r="LRZ247" i="20" l="1"/>
  <c r="LRV247" i="20" s="1"/>
  <c r="LRR247" i="20" s="1"/>
  <c r="LRN247" i="20" s="1"/>
  <c r="LRY247" i="20"/>
  <c r="LRU247" i="20" l="1"/>
  <c r="LRQ247" i="20" s="1"/>
  <c r="LRM247" i="20" s="1"/>
  <c r="LRI247" i="20" s="1"/>
  <c r="LRT247" i="20"/>
  <c r="LRP247" i="20" l="1"/>
  <c r="LRL247" i="20" s="1"/>
  <c r="LRH247" i="20" s="1"/>
  <c r="LRD247" i="20" s="1"/>
  <c r="LRO247" i="20"/>
  <c r="LRK247" i="20" l="1"/>
  <c r="LRG247" i="20" s="1"/>
  <c r="LRC247" i="20" s="1"/>
  <c r="LQY247" i="20" s="1"/>
  <c r="LRJ247" i="20"/>
  <c r="LRF247" i="20" l="1"/>
  <c r="LRB247" i="20" s="1"/>
  <c r="LQX247" i="20" s="1"/>
  <c r="LQT247" i="20" s="1"/>
  <c r="LRE247" i="20"/>
  <c r="LRA247" i="20" l="1"/>
  <c r="LQW247" i="20" s="1"/>
  <c r="LQS247" i="20" s="1"/>
  <c r="LQO247" i="20" s="1"/>
  <c r="LQZ247" i="20"/>
  <c r="LQV247" i="20" l="1"/>
  <c r="LQR247" i="20" s="1"/>
  <c r="LQN247" i="20" s="1"/>
  <c r="LQJ247" i="20" s="1"/>
  <c r="LQU247" i="20"/>
  <c r="LQQ247" i="20" l="1"/>
  <c r="LQM247" i="20" s="1"/>
  <c r="LQI247" i="20" s="1"/>
  <c r="LQE247" i="20" s="1"/>
  <c r="LQP247" i="20"/>
  <c r="LQL247" i="20" l="1"/>
  <c r="LQH247" i="20" s="1"/>
  <c r="LQD247" i="20" s="1"/>
  <c r="LPZ247" i="20" s="1"/>
  <c r="LQK247" i="20"/>
  <c r="LQG247" i="20" l="1"/>
  <c r="LQC247" i="20" s="1"/>
  <c r="LPY247" i="20" s="1"/>
  <c r="LPU247" i="20" s="1"/>
  <c r="LQF247" i="20"/>
  <c r="LQB247" i="20" l="1"/>
  <c r="LPX247" i="20" s="1"/>
  <c r="LPT247" i="20" s="1"/>
  <c r="LPP247" i="20" s="1"/>
  <c r="LQA247" i="20"/>
  <c r="LPW247" i="20" l="1"/>
  <c r="LPS247" i="20" s="1"/>
  <c r="LPO247" i="20" s="1"/>
  <c r="LPK247" i="20" s="1"/>
  <c r="LPV247" i="20"/>
  <c r="LPR247" i="20" l="1"/>
  <c r="LPN247" i="20" s="1"/>
  <c r="LPJ247" i="20" s="1"/>
  <c r="LPF247" i="20" s="1"/>
  <c r="LPQ247" i="20"/>
  <c r="LPM247" i="20" l="1"/>
  <c r="LPI247" i="20" s="1"/>
  <c r="LPE247" i="20" s="1"/>
  <c r="LPA247" i="20" s="1"/>
  <c r="LPL247" i="20"/>
  <c r="LPH247" i="20" l="1"/>
  <c r="LPD247" i="20" s="1"/>
  <c r="LOZ247" i="20" s="1"/>
  <c r="LOV247" i="20" s="1"/>
  <c r="LPG247" i="20"/>
  <c r="LPC247" i="20" l="1"/>
  <c r="LOY247" i="20" s="1"/>
  <c r="LOU247" i="20" s="1"/>
  <c r="LOQ247" i="20" s="1"/>
  <c r="LPB247" i="20"/>
  <c r="LOX247" i="20" l="1"/>
  <c r="LOT247" i="20" s="1"/>
  <c r="LOP247" i="20" s="1"/>
  <c r="LOL247" i="20" s="1"/>
  <c r="LOW247" i="20"/>
  <c r="LOS247" i="20" l="1"/>
  <c r="LOO247" i="20" s="1"/>
  <c r="LOK247" i="20" s="1"/>
  <c r="LOG247" i="20" s="1"/>
  <c r="LOR247" i="20"/>
  <c r="LON247" i="20" l="1"/>
  <c r="LOJ247" i="20" s="1"/>
  <c r="LOF247" i="20" s="1"/>
  <c r="LOB247" i="20" s="1"/>
  <c r="LOM247" i="20"/>
  <c r="LOI247" i="20" l="1"/>
  <c r="LOE247" i="20" s="1"/>
  <c r="LOA247" i="20" s="1"/>
  <c r="LNW247" i="20" s="1"/>
  <c r="LOH247" i="20"/>
  <c r="LOD247" i="20" l="1"/>
  <c r="LNZ247" i="20" s="1"/>
  <c r="LNV247" i="20" s="1"/>
  <c r="LNR247" i="20" s="1"/>
  <c r="LOC247" i="20"/>
  <c r="LNY247" i="20" l="1"/>
  <c r="LNU247" i="20" s="1"/>
  <c r="LNQ247" i="20" s="1"/>
  <c r="LNM247" i="20" s="1"/>
  <c r="LNX247" i="20"/>
  <c r="LNT247" i="20" l="1"/>
  <c r="LNP247" i="20" s="1"/>
  <c r="LNL247" i="20" s="1"/>
  <c r="LNH247" i="20" s="1"/>
  <c r="LNS247" i="20"/>
  <c r="LNO247" i="20" l="1"/>
  <c r="LNK247" i="20" s="1"/>
  <c r="LNG247" i="20" s="1"/>
  <c r="LNC247" i="20" s="1"/>
  <c r="LNN247" i="20"/>
  <c r="LNJ247" i="20" l="1"/>
  <c r="LNF247" i="20" s="1"/>
  <c r="LNB247" i="20" s="1"/>
  <c r="LMX247" i="20" s="1"/>
  <c r="LNI247" i="20"/>
  <c r="LNE247" i="20" l="1"/>
  <c r="LNA247" i="20" s="1"/>
  <c r="LMW247" i="20" s="1"/>
  <c r="LMS247" i="20" s="1"/>
  <c r="LND247" i="20"/>
  <c r="LMZ247" i="20" l="1"/>
  <c r="LMV247" i="20" s="1"/>
  <c r="LMR247" i="20" s="1"/>
  <c r="LMN247" i="20" s="1"/>
  <c r="LMY247" i="20"/>
  <c r="LMU247" i="20" l="1"/>
  <c r="LMQ247" i="20" s="1"/>
  <c r="LMM247" i="20" s="1"/>
  <c r="LMI247" i="20" s="1"/>
  <c r="LMT247" i="20"/>
  <c r="LMP247" i="20" l="1"/>
  <c r="LML247" i="20" s="1"/>
  <c r="LMH247" i="20" s="1"/>
  <c r="LMD247" i="20" s="1"/>
  <c r="LMO247" i="20"/>
  <c r="LMK247" i="20" l="1"/>
  <c r="LMG247" i="20" s="1"/>
  <c r="LMC247" i="20" s="1"/>
  <c r="LLY247" i="20" s="1"/>
  <c r="LMJ247" i="20"/>
  <c r="LMF247" i="20" l="1"/>
  <c r="LMB247" i="20" s="1"/>
  <c r="LLX247" i="20" s="1"/>
  <c r="LLT247" i="20" s="1"/>
  <c r="LME247" i="20"/>
  <c r="LMA247" i="20" l="1"/>
  <c r="LLW247" i="20" s="1"/>
  <c r="LLS247" i="20" s="1"/>
  <c r="LLO247" i="20" s="1"/>
  <c r="LLZ247" i="20"/>
  <c r="LLV247" i="20" l="1"/>
  <c r="LLR247" i="20" s="1"/>
  <c r="LLN247" i="20" s="1"/>
  <c r="LLJ247" i="20" s="1"/>
  <c r="LLU247" i="20"/>
  <c r="LLQ247" i="20" l="1"/>
  <c r="LLM247" i="20" s="1"/>
  <c r="LLI247" i="20" s="1"/>
  <c r="LLE247" i="20" s="1"/>
  <c r="LLP247" i="20"/>
  <c r="LLL247" i="20" l="1"/>
  <c r="LLH247" i="20" s="1"/>
  <c r="LLD247" i="20" s="1"/>
  <c r="LKZ247" i="20" s="1"/>
  <c r="LLK247" i="20"/>
  <c r="LLG247" i="20" l="1"/>
  <c r="LLC247" i="20" s="1"/>
  <c r="LKY247" i="20" s="1"/>
  <c r="LKU247" i="20" s="1"/>
  <c r="LLF247" i="20"/>
  <c r="LLB247" i="20" l="1"/>
  <c r="LKX247" i="20" s="1"/>
  <c r="LKT247" i="20" s="1"/>
  <c r="LKP247" i="20" s="1"/>
  <c r="LLA247" i="20"/>
  <c r="LKW247" i="20" l="1"/>
  <c r="LKS247" i="20" s="1"/>
  <c r="LKO247" i="20" s="1"/>
  <c r="LKK247" i="20" s="1"/>
  <c r="LKV247" i="20"/>
  <c r="LKR247" i="20" l="1"/>
  <c r="LKN247" i="20" s="1"/>
  <c r="LKJ247" i="20" s="1"/>
  <c r="LKF247" i="20" s="1"/>
  <c r="LKQ247" i="20"/>
  <c r="LKM247" i="20" l="1"/>
  <c r="LKI247" i="20" s="1"/>
  <c r="LKE247" i="20" s="1"/>
  <c r="LKA247" i="20" s="1"/>
  <c r="LKL247" i="20"/>
  <c r="LKH247" i="20" l="1"/>
  <c r="LKD247" i="20" s="1"/>
  <c r="LJZ247" i="20" s="1"/>
  <c r="LJV247" i="20" s="1"/>
  <c r="LKG247" i="20"/>
  <c r="LKC247" i="20" l="1"/>
  <c r="LJY247" i="20" s="1"/>
  <c r="LJU247" i="20" s="1"/>
  <c r="LJQ247" i="20" s="1"/>
  <c r="LKB247" i="20"/>
  <c r="LJX247" i="20" l="1"/>
  <c r="LJT247" i="20" s="1"/>
  <c r="LJP247" i="20" s="1"/>
  <c r="LJL247" i="20" s="1"/>
  <c r="LJW247" i="20"/>
  <c r="LJS247" i="20" l="1"/>
  <c r="LJO247" i="20" s="1"/>
  <c r="LJK247" i="20" s="1"/>
  <c r="LJG247" i="20" s="1"/>
  <c r="LJR247" i="20"/>
  <c r="LJN247" i="20" l="1"/>
  <c r="LJJ247" i="20" s="1"/>
  <c r="LJF247" i="20" s="1"/>
  <c r="LJB247" i="20" s="1"/>
  <c r="LJM247" i="20"/>
  <c r="LJI247" i="20" l="1"/>
  <c r="LJE247" i="20" s="1"/>
  <c r="LJA247" i="20" s="1"/>
  <c r="LIW247" i="20" s="1"/>
  <c r="LJH247" i="20"/>
  <c r="LJD247" i="20" l="1"/>
  <c r="LIZ247" i="20" s="1"/>
  <c r="LIV247" i="20" s="1"/>
  <c r="LIR247" i="20" s="1"/>
  <c r="LJC247" i="20"/>
  <c r="LIY247" i="20" l="1"/>
  <c r="LIU247" i="20" s="1"/>
  <c r="LIQ247" i="20" s="1"/>
  <c r="LIM247" i="20" s="1"/>
  <c r="LIX247" i="20"/>
  <c r="LIT247" i="20" l="1"/>
  <c r="LIP247" i="20" s="1"/>
  <c r="LIL247" i="20" s="1"/>
  <c r="LIH247" i="20" s="1"/>
  <c r="LIS247" i="20"/>
  <c r="LIO247" i="20" l="1"/>
  <c r="LIK247" i="20" s="1"/>
  <c r="LIG247" i="20" s="1"/>
  <c r="LIC247" i="20" s="1"/>
  <c r="LIN247" i="20"/>
  <c r="LIJ247" i="20" l="1"/>
  <c r="LIF247" i="20" s="1"/>
  <c r="LIB247" i="20" s="1"/>
  <c r="LHX247" i="20" s="1"/>
  <c r="LII247" i="20"/>
  <c r="LIE247" i="20" l="1"/>
  <c r="LIA247" i="20" s="1"/>
  <c r="LHW247" i="20" s="1"/>
  <c r="LHS247" i="20" s="1"/>
  <c r="LID247" i="20"/>
  <c r="LHZ247" i="20" l="1"/>
  <c r="LHV247" i="20" s="1"/>
  <c r="LHR247" i="20" s="1"/>
  <c r="LHN247" i="20" s="1"/>
  <c r="LHY247" i="20"/>
  <c r="LHU247" i="20" l="1"/>
  <c r="LHQ247" i="20" s="1"/>
  <c r="LHM247" i="20" s="1"/>
  <c r="LHI247" i="20" s="1"/>
  <c r="LHT247" i="20"/>
  <c r="LHP247" i="20" l="1"/>
  <c r="LHL247" i="20" s="1"/>
  <c r="LHH247" i="20" s="1"/>
  <c r="LHD247" i="20" s="1"/>
  <c r="LHO247" i="20"/>
  <c r="LHK247" i="20" l="1"/>
  <c r="LHG247" i="20" s="1"/>
  <c r="LHC247" i="20" s="1"/>
  <c r="LGY247" i="20" s="1"/>
  <c r="LHJ247" i="20"/>
  <c r="LHF247" i="20" l="1"/>
  <c r="LHB247" i="20" s="1"/>
  <c r="LGX247" i="20" s="1"/>
  <c r="LGT247" i="20" s="1"/>
  <c r="LHE247" i="20"/>
  <c r="LHA247" i="20" l="1"/>
  <c r="LGW247" i="20" s="1"/>
  <c r="LGS247" i="20" s="1"/>
  <c r="LGO247" i="20" s="1"/>
  <c r="LGZ247" i="20"/>
  <c r="LGV247" i="20" l="1"/>
  <c r="LGR247" i="20" s="1"/>
  <c r="LGN247" i="20" s="1"/>
  <c r="LGJ247" i="20" s="1"/>
  <c r="LGU247" i="20"/>
  <c r="LGQ247" i="20" l="1"/>
  <c r="LGM247" i="20" s="1"/>
  <c r="LGI247" i="20" s="1"/>
  <c r="LGE247" i="20" s="1"/>
  <c r="LGP247" i="20"/>
  <c r="LGL247" i="20" l="1"/>
  <c r="LGH247" i="20" s="1"/>
  <c r="LGD247" i="20" s="1"/>
  <c r="LFZ247" i="20" s="1"/>
  <c r="LGK247" i="20"/>
  <c r="LGG247" i="20" l="1"/>
  <c r="LGC247" i="20" s="1"/>
  <c r="LFY247" i="20" s="1"/>
  <c r="LFU247" i="20" s="1"/>
  <c r="LGF247" i="20"/>
  <c r="LGB247" i="20" l="1"/>
  <c r="LFX247" i="20" s="1"/>
  <c r="LFT247" i="20" s="1"/>
  <c r="LFP247" i="20" s="1"/>
  <c r="LGA247" i="20"/>
  <c r="LFW247" i="20" l="1"/>
  <c r="LFS247" i="20" s="1"/>
  <c r="LFO247" i="20" s="1"/>
  <c r="LFK247" i="20" s="1"/>
  <c r="LFV247" i="20"/>
  <c r="LFR247" i="20" l="1"/>
  <c r="LFN247" i="20" s="1"/>
  <c r="LFJ247" i="20" s="1"/>
  <c r="LFF247" i="20" s="1"/>
  <c r="LFQ247" i="20"/>
  <c r="LFM247" i="20" l="1"/>
  <c r="LFI247" i="20" s="1"/>
  <c r="LFE247" i="20" s="1"/>
  <c r="LFA247" i="20" s="1"/>
  <c r="LFL247" i="20"/>
  <c r="LFH247" i="20" l="1"/>
  <c r="LFD247" i="20" s="1"/>
  <c r="LEZ247" i="20" s="1"/>
  <c r="LEV247" i="20" s="1"/>
  <c r="LFG247" i="20"/>
  <c r="LFC247" i="20" l="1"/>
  <c r="LEY247" i="20" s="1"/>
  <c r="LEU247" i="20" s="1"/>
  <c r="LEQ247" i="20" s="1"/>
  <c r="LFB247" i="20"/>
  <c r="LEX247" i="20" l="1"/>
  <c r="LET247" i="20" s="1"/>
  <c r="LEP247" i="20" s="1"/>
  <c r="LEL247" i="20" s="1"/>
  <c r="LEW247" i="20"/>
  <c r="LES247" i="20" l="1"/>
  <c r="LEO247" i="20" s="1"/>
  <c r="LEK247" i="20" s="1"/>
  <c r="LEG247" i="20" s="1"/>
  <c r="LER247" i="20"/>
  <c r="LEN247" i="20" l="1"/>
  <c r="LEJ247" i="20" s="1"/>
  <c r="LEF247" i="20" s="1"/>
  <c r="LEB247" i="20" s="1"/>
  <c r="LEM247" i="20"/>
  <c r="LEI247" i="20" l="1"/>
  <c r="LEE247" i="20" s="1"/>
  <c r="LEA247" i="20" s="1"/>
  <c r="LDW247" i="20" s="1"/>
  <c r="LEH247" i="20"/>
  <c r="LED247" i="20" l="1"/>
  <c r="LDZ247" i="20" s="1"/>
  <c r="LDV247" i="20" s="1"/>
  <c r="LDR247" i="20" s="1"/>
  <c r="LEC247" i="20"/>
  <c r="LDY247" i="20" l="1"/>
  <c r="LDU247" i="20" s="1"/>
  <c r="LDQ247" i="20" s="1"/>
  <c r="LDM247" i="20" s="1"/>
  <c r="LDX247" i="20"/>
  <c r="LDT247" i="20" l="1"/>
  <c r="LDP247" i="20" s="1"/>
  <c r="LDL247" i="20" s="1"/>
  <c r="LDH247" i="20" s="1"/>
  <c r="LDS247" i="20"/>
  <c r="LDO247" i="20" l="1"/>
  <c r="LDK247" i="20" s="1"/>
  <c r="LDG247" i="20" s="1"/>
  <c r="LDC247" i="20" s="1"/>
  <c r="LDN247" i="20"/>
  <c r="LDJ247" i="20" l="1"/>
  <c r="LDF247" i="20" s="1"/>
  <c r="LDB247" i="20" s="1"/>
  <c r="LCX247" i="20" s="1"/>
  <c r="LDI247" i="20"/>
  <c r="LDE247" i="20" l="1"/>
  <c r="LDA247" i="20" s="1"/>
  <c r="LCW247" i="20" s="1"/>
  <c r="LCS247" i="20" s="1"/>
  <c r="LDD247" i="20"/>
  <c r="LCZ247" i="20" l="1"/>
  <c r="LCV247" i="20" s="1"/>
  <c r="LCR247" i="20" s="1"/>
  <c r="LCN247" i="20" s="1"/>
  <c r="LCY247" i="20"/>
  <c r="LCU247" i="20" l="1"/>
  <c r="LCQ247" i="20" s="1"/>
  <c r="LCM247" i="20" s="1"/>
  <c r="LCI247" i="20" s="1"/>
  <c r="LCT247" i="20"/>
  <c r="LCP247" i="20" l="1"/>
  <c r="LCL247" i="20" s="1"/>
  <c r="LCH247" i="20" s="1"/>
  <c r="LCD247" i="20" s="1"/>
  <c r="LCO247" i="20"/>
  <c r="LCK247" i="20" l="1"/>
  <c r="LCG247" i="20" s="1"/>
  <c r="LCC247" i="20" s="1"/>
  <c r="LBY247" i="20" s="1"/>
  <c r="LCJ247" i="20"/>
  <c r="LCF247" i="20" l="1"/>
  <c r="LCB247" i="20" s="1"/>
  <c r="LBX247" i="20" s="1"/>
  <c r="LBT247" i="20" s="1"/>
  <c r="LCE247" i="20"/>
  <c r="LCA247" i="20" l="1"/>
  <c r="LBW247" i="20" s="1"/>
  <c r="LBS247" i="20" s="1"/>
  <c r="LBO247" i="20" s="1"/>
  <c r="LBZ247" i="20"/>
  <c r="LBV247" i="20" l="1"/>
  <c r="LBR247" i="20" s="1"/>
  <c r="LBN247" i="20" s="1"/>
  <c r="LBJ247" i="20" s="1"/>
  <c r="LBU247" i="20"/>
  <c r="LBQ247" i="20" l="1"/>
  <c r="LBM247" i="20" s="1"/>
  <c r="LBI247" i="20" s="1"/>
  <c r="LBE247" i="20" s="1"/>
  <c r="LBP247" i="20"/>
  <c r="LBL247" i="20" l="1"/>
  <c r="LBH247" i="20" s="1"/>
  <c r="LBD247" i="20" s="1"/>
  <c r="LAZ247" i="20" s="1"/>
  <c r="LBK247" i="20"/>
  <c r="LBG247" i="20" l="1"/>
  <c r="LBC247" i="20" s="1"/>
  <c r="LAY247" i="20" s="1"/>
  <c r="LAU247" i="20" s="1"/>
  <c r="LBF247" i="20"/>
  <c r="LBB247" i="20" l="1"/>
  <c r="LAX247" i="20" s="1"/>
  <c r="LAT247" i="20" s="1"/>
  <c r="LAP247" i="20" s="1"/>
  <c r="LBA247" i="20"/>
  <c r="LAW247" i="20" l="1"/>
  <c r="LAS247" i="20" s="1"/>
  <c r="LAO247" i="20" s="1"/>
  <c r="LAK247" i="20" s="1"/>
  <c r="LAV247" i="20"/>
  <c r="LAR247" i="20" l="1"/>
  <c r="LAN247" i="20" s="1"/>
  <c r="LAJ247" i="20" s="1"/>
  <c r="LAF247" i="20" s="1"/>
  <c r="LAQ247" i="20"/>
  <c r="LAM247" i="20" l="1"/>
  <c r="LAI247" i="20" s="1"/>
  <c r="LAE247" i="20" s="1"/>
  <c r="LAA247" i="20" s="1"/>
  <c r="LAL247" i="20"/>
  <c r="LAH247" i="20" l="1"/>
  <c r="LAD247" i="20" s="1"/>
  <c r="KZZ247" i="20" s="1"/>
  <c r="KZV247" i="20" s="1"/>
  <c r="LAG247" i="20"/>
  <c r="LAC247" i="20" l="1"/>
  <c r="KZY247" i="20" s="1"/>
  <c r="KZU247" i="20" s="1"/>
  <c r="KZQ247" i="20" s="1"/>
  <c r="LAB247" i="20"/>
  <c r="KZX247" i="20" l="1"/>
  <c r="KZT247" i="20" s="1"/>
  <c r="KZP247" i="20" s="1"/>
  <c r="KZL247" i="20" s="1"/>
  <c r="KZW247" i="20"/>
  <c r="KZS247" i="20" l="1"/>
  <c r="KZO247" i="20" s="1"/>
  <c r="KZK247" i="20" s="1"/>
  <c r="KZG247" i="20" s="1"/>
  <c r="KZR247" i="20"/>
  <c r="KZN247" i="20" l="1"/>
  <c r="KZJ247" i="20" s="1"/>
  <c r="KZF247" i="20" s="1"/>
  <c r="KZB247" i="20" s="1"/>
  <c r="KZM247" i="20"/>
  <c r="KZI247" i="20" l="1"/>
  <c r="KZE247" i="20" s="1"/>
  <c r="KZA247" i="20" s="1"/>
  <c r="KYW247" i="20" s="1"/>
  <c r="KZH247" i="20"/>
  <c r="KZD247" i="20" l="1"/>
  <c r="KYZ247" i="20" s="1"/>
  <c r="KYV247" i="20" s="1"/>
  <c r="KYR247" i="20" s="1"/>
  <c r="KZC247" i="20"/>
  <c r="KYY247" i="20" l="1"/>
  <c r="KYU247" i="20" s="1"/>
  <c r="KYQ247" i="20" s="1"/>
  <c r="KYM247" i="20" s="1"/>
  <c r="KYX247" i="20"/>
  <c r="KYT247" i="20" l="1"/>
  <c r="KYP247" i="20" s="1"/>
  <c r="KYL247" i="20" s="1"/>
  <c r="KYH247" i="20" s="1"/>
  <c r="KYS247" i="20"/>
  <c r="KYO247" i="20" l="1"/>
  <c r="KYK247" i="20" s="1"/>
  <c r="KYG247" i="20" s="1"/>
  <c r="KYC247" i="20" s="1"/>
  <c r="KYN247" i="20"/>
  <c r="KYJ247" i="20" l="1"/>
  <c r="KYF247" i="20" s="1"/>
  <c r="KYB247" i="20" s="1"/>
  <c r="KXX247" i="20" s="1"/>
  <c r="KYI247" i="20"/>
  <c r="KYE247" i="20" l="1"/>
  <c r="KYA247" i="20" s="1"/>
  <c r="KXW247" i="20" s="1"/>
  <c r="KXS247" i="20" s="1"/>
  <c r="KYD247" i="20"/>
  <c r="KXZ247" i="20" l="1"/>
  <c r="KXV247" i="20" s="1"/>
  <c r="KXR247" i="20" s="1"/>
  <c r="KXN247" i="20" s="1"/>
  <c r="KXY247" i="20"/>
  <c r="KXU247" i="20" l="1"/>
  <c r="KXQ247" i="20" s="1"/>
  <c r="KXM247" i="20" s="1"/>
  <c r="KXI247" i="20" s="1"/>
  <c r="KXT247" i="20"/>
  <c r="KXP247" i="20" l="1"/>
  <c r="KXL247" i="20" s="1"/>
  <c r="KXH247" i="20" s="1"/>
  <c r="KXD247" i="20" s="1"/>
  <c r="KXO247" i="20"/>
  <c r="KXK247" i="20" l="1"/>
  <c r="KXG247" i="20" s="1"/>
  <c r="KXC247" i="20" s="1"/>
  <c r="KWY247" i="20" s="1"/>
  <c r="KXJ247" i="20"/>
  <c r="KXF247" i="20" l="1"/>
  <c r="KXB247" i="20" s="1"/>
  <c r="KWX247" i="20" s="1"/>
  <c r="KWT247" i="20" s="1"/>
  <c r="KXE247" i="20"/>
  <c r="KXA247" i="20" l="1"/>
  <c r="KWW247" i="20" s="1"/>
  <c r="KWS247" i="20" s="1"/>
  <c r="KWO247" i="20" s="1"/>
  <c r="KWZ247" i="20"/>
  <c r="KWV247" i="20" l="1"/>
  <c r="KWR247" i="20" s="1"/>
  <c r="KWN247" i="20" s="1"/>
  <c r="KWJ247" i="20" s="1"/>
  <c r="KWU247" i="20"/>
  <c r="KWQ247" i="20" l="1"/>
  <c r="KWM247" i="20" s="1"/>
  <c r="KWI247" i="20" s="1"/>
  <c r="KWE247" i="20" s="1"/>
  <c r="KWP247" i="20"/>
  <c r="KWL247" i="20" l="1"/>
  <c r="KWH247" i="20" s="1"/>
  <c r="KWD247" i="20" s="1"/>
  <c r="KVZ247" i="20" s="1"/>
  <c r="KWK247" i="20"/>
  <c r="KWG247" i="20" l="1"/>
  <c r="KWC247" i="20" s="1"/>
  <c r="KVY247" i="20" s="1"/>
  <c r="KVU247" i="20" s="1"/>
  <c r="KWF247" i="20"/>
  <c r="KWB247" i="20" l="1"/>
  <c r="KVX247" i="20" s="1"/>
  <c r="KVT247" i="20" s="1"/>
  <c r="KVP247" i="20" s="1"/>
  <c r="KWA247" i="20"/>
  <c r="KVW247" i="20" l="1"/>
  <c r="KVS247" i="20" s="1"/>
  <c r="KVO247" i="20" s="1"/>
  <c r="KVK247" i="20" s="1"/>
  <c r="KVV247" i="20"/>
  <c r="KVR247" i="20" l="1"/>
  <c r="KVN247" i="20" s="1"/>
  <c r="KVJ247" i="20" s="1"/>
  <c r="KVF247" i="20" s="1"/>
  <c r="KVQ247" i="20"/>
  <c r="KVM247" i="20" l="1"/>
  <c r="KVI247" i="20" s="1"/>
  <c r="KVE247" i="20" s="1"/>
  <c r="KVA247" i="20" s="1"/>
  <c r="KVL247" i="20"/>
  <c r="KVH247" i="20" l="1"/>
  <c r="KVD247" i="20" s="1"/>
  <c r="KUZ247" i="20" s="1"/>
  <c r="KUV247" i="20" s="1"/>
  <c r="KVG247" i="20"/>
  <c r="KVC247" i="20" l="1"/>
  <c r="KUY247" i="20" s="1"/>
  <c r="KUU247" i="20" s="1"/>
  <c r="KUQ247" i="20" s="1"/>
  <c r="KVB247" i="20"/>
  <c r="KUX247" i="20" l="1"/>
  <c r="KUT247" i="20" s="1"/>
  <c r="KUP247" i="20" s="1"/>
  <c r="KUL247" i="20" s="1"/>
  <c r="KUW247" i="20"/>
  <c r="KUS247" i="20" l="1"/>
  <c r="KUO247" i="20" s="1"/>
  <c r="KUK247" i="20" s="1"/>
  <c r="KUG247" i="20" s="1"/>
  <c r="KUR247" i="20"/>
  <c r="KUN247" i="20" l="1"/>
  <c r="KUJ247" i="20" s="1"/>
  <c r="KUF247" i="20" s="1"/>
  <c r="KUB247" i="20" s="1"/>
  <c r="KUM247" i="20"/>
  <c r="KUI247" i="20" l="1"/>
  <c r="KUE247" i="20" s="1"/>
  <c r="KUA247" i="20" s="1"/>
  <c r="KTW247" i="20" s="1"/>
  <c r="KUH247" i="20"/>
  <c r="KUD247" i="20" l="1"/>
  <c r="KTZ247" i="20" s="1"/>
  <c r="KTV247" i="20" s="1"/>
  <c r="KTR247" i="20" s="1"/>
  <c r="KUC247" i="20"/>
  <c r="KTY247" i="20" l="1"/>
  <c r="KTU247" i="20" s="1"/>
  <c r="KTQ247" i="20" s="1"/>
  <c r="KTM247" i="20" s="1"/>
  <c r="KTX247" i="20"/>
  <c r="KTT247" i="20" l="1"/>
  <c r="KTP247" i="20" s="1"/>
  <c r="KTL247" i="20" s="1"/>
  <c r="KTH247" i="20" s="1"/>
  <c r="KTS247" i="20"/>
  <c r="KTO247" i="20" l="1"/>
  <c r="KTK247" i="20" s="1"/>
  <c r="KTG247" i="20" s="1"/>
  <c r="KTC247" i="20" s="1"/>
  <c r="KTN247" i="20"/>
  <c r="KTJ247" i="20" l="1"/>
  <c r="KTF247" i="20" s="1"/>
  <c r="KTB247" i="20" s="1"/>
  <c r="KSX247" i="20" s="1"/>
  <c r="KTI247" i="20"/>
  <c r="KTE247" i="20" l="1"/>
  <c r="KTA247" i="20" s="1"/>
  <c r="KSW247" i="20" s="1"/>
  <c r="KSS247" i="20" s="1"/>
  <c r="KTD247" i="20"/>
  <c r="KSZ247" i="20" l="1"/>
  <c r="KSV247" i="20" s="1"/>
  <c r="KSR247" i="20" s="1"/>
  <c r="KSN247" i="20" s="1"/>
  <c r="KSY247" i="20"/>
  <c r="KSU247" i="20" l="1"/>
  <c r="KSQ247" i="20" s="1"/>
  <c r="KSM247" i="20" s="1"/>
  <c r="KSI247" i="20" s="1"/>
  <c r="KST247" i="20"/>
  <c r="KSP247" i="20" l="1"/>
  <c r="KSL247" i="20" s="1"/>
  <c r="KSH247" i="20" s="1"/>
  <c r="KSD247" i="20" s="1"/>
  <c r="KSO247" i="20"/>
  <c r="KSK247" i="20" l="1"/>
  <c r="KSG247" i="20" s="1"/>
  <c r="KSC247" i="20" s="1"/>
  <c r="KRY247" i="20" s="1"/>
  <c r="KSJ247" i="20"/>
  <c r="KSF247" i="20" l="1"/>
  <c r="KSB247" i="20" s="1"/>
  <c r="KRX247" i="20" s="1"/>
  <c r="KRT247" i="20" s="1"/>
  <c r="KSE247" i="20"/>
  <c r="KSA247" i="20" l="1"/>
  <c r="KRW247" i="20" s="1"/>
  <c r="KRS247" i="20" s="1"/>
  <c r="KRO247" i="20" s="1"/>
  <c r="KRZ247" i="20"/>
  <c r="KRV247" i="20" l="1"/>
  <c r="KRR247" i="20" s="1"/>
  <c r="KRN247" i="20" s="1"/>
  <c r="KRJ247" i="20" s="1"/>
  <c r="KRU247" i="20"/>
  <c r="KRQ247" i="20" l="1"/>
  <c r="KRM247" i="20" s="1"/>
  <c r="KRI247" i="20" s="1"/>
  <c r="KRE247" i="20" s="1"/>
  <c r="KRP247" i="20"/>
  <c r="KRL247" i="20" l="1"/>
  <c r="KRH247" i="20" s="1"/>
  <c r="KRD247" i="20" s="1"/>
  <c r="KQZ247" i="20" s="1"/>
  <c r="KRK247" i="20"/>
  <c r="KRG247" i="20" l="1"/>
  <c r="KRC247" i="20" s="1"/>
  <c r="KQY247" i="20" s="1"/>
  <c r="KQU247" i="20" s="1"/>
  <c r="KRF247" i="20"/>
  <c r="KRB247" i="20" l="1"/>
  <c r="KQX247" i="20" s="1"/>
  <c r="KQT247" i="20" s="1"/>
  <c r="KQP247" i="20" s="1"/>
  <c r="KRA247" i="20"/>
  <c r="KQW247" i="20" l="1"/>
  <c r="KQS247" i="20" s="1"/>
  <c r="KQO247" i="20" s="1"/>
  <c r="KQK247" i="20" s="1"/>
  <c r="KQV247" i="20"/>
  <c r="KQR247" i="20" l="1"/>
  <c r="KQN247" i="20" s="1"/>
  <c r="KQJ247" i="20" s="1"/>
  <c r="KQF247" i="20" s="1"/>
  <c r="KQQ247" i="20"/>
  <c r="KQM247" i="20" l="1"/>
  <c r="KQI247" i="20" s="1"/>
  <c r="KQE247" i="20" s="1"/>
  <c r="KQA247" i="20" s="1"/>
  <c r="KQL247" i="20"/>
  <c r="KQH247" i="20" l="1"/>
  <c r="KQD247" i="20" s="1"/>
  <c r="KPZ247" i="20" s="1"/>
  <c r="KPV247" i="20" s="1"/>
  <c r="KQG247" i="20"/>
  <c r="KQC247" i="20" l="1"/>
  <c r="KPY247" i="20" s="1"/>
  <c r="KPU247" i="20" s="1"/>
  <c r="KPQ247" i="20" s="1"/>
  <c r="KQB247" i="20"/>
  <c r="KPX247" i="20" l="1"/>
  <c r="KPT247" i="20" s="1"/>
  <c r="KPP247" i="20" s="1"/>
  <c r="KPL247" i="20" s="1"/>
  <c r="KPW247" i="20"/>
  <c r="KPS247" i="20" l="1"/>
  <c r="KPO247" i="20" s="1"/>
  <c r="KPK247" i="20" s="1"/>
  <c r="KPG247" i="20" s="1"/>
  <c r="KPR247" i="20"/>
  <c r="KPN247" i="20" l="1"/>
  <c r="KPJ247" i="20" s="1"/>
  <c r="KPF247" i="20" s="1"/>
  <c r="KPB247" i="20" s="1"/>
  <c r="KPM247" i="20"/>
  <c r="KPI247" i="20" l="1"/>
  <c r="KPE247" i="20" s="1"/>
  <c r="KPA247" i="20" s="1"/>
  <c r="KOW247" i="20" s="1"/>
  <c r="KPH247" i="20"/>
  <c r="KPD247" i="20" l="1"/>
  <c r="KOZ247" i="20" s="1"/>
  <c r="KOV247" i="20" s="1"/>
  <c r="KOR247" i="20" s="1"/>
  <c r="KPC247" i="20"/>
  <c r="KOY247" i="20" l="1"/>
  <c r="KOU247" i="20" s="1"/>
  <c r="KOQ247" i="20" s="1"/>
  <c r="KOM247" i="20" s="1"/>
  <c r="KOX247" i="20"/>
  <c r="KOT247" i="20" l="1"/>
  <c r="KOP247" i="20" s="1"/>
  <c r="KOL247" i="20" s="1"/>
  <c r="KOH247" i="20" s="1"/>
  <c r="KOS247" i="20"/>
  <c r="KOO247" i="20" l="1"/>
  <c r="KOK247" i="20" s="1"/>
  <c r="KOG247" i="20" s="1"/>
  <c r="KOC247" i="20" s="1"/>
  <c r="KON247" i="20"/>
  <c r="KOJ247" i="20" l="1"/>
  <c r="KOF247" i="20" s="1"/>
  <c r="KOB247" i="20" s="1"/>
  <c r="KNX247" i="20" s="1"/>
  <c r="KOI247" i="20"/>
  <c r="KOE247" i="20" l="1"/>
  <c r="KOA247" i="20" s="1"/>
  <c r="KNW247" i="20" s="1"/>
  <c r="KNS247" i="20" s="1"/>
  <c r="KOD247" i="20"/>
  <c r="KNZ247" i="20" l="1"/>
  <c r="KNV247" i="20" s="1"/>
  <c r="KNR247" i="20" s="1"/>
  <c r="KNN247" i="20" s="1"/>
  <c r="KNY247" i="20"/>
  <c r="KNU247" i="20" l="1"/>
  <c r="KNQ247" i="20" s="1"/>
  <c r="KNM247" i="20" s="1"/>
  <c r="KNI247" i="20" s="1"/>
  <c r="KNT247" i="20"/>
  <c r="KNP247" i="20" l="1"/>
  <c r="KNL247" i="20" s="1"/>
  <c r="KNH247" i="20" s="1"/>
  <c r="KND247" i="20" s="1"/>
  <c r="KNO247" i="20"/>
  <c r="KNK247" i="20" l="1"/>
  <c r="KNG247" i="20" s="1"/>
  <c r="KNC247" i="20" s="1"/>
  <c r="KMY247" i="20" s="1"/>
  <c r="KNJ247" i="20"/>
  <c r="KNF247" i="20" l="1"/>
  <c r="KNB247" i="20" s="1"/>
  <c r="KMX247" i="20" s="1"/>
  <c r="KMT247" i="20" s="1"/>
  <c r="KNE247" i="20"/>
  <c r="KNA247" i="20" l="1"/>
  <c r="KMW247" i="20" s="1"/>
  <c r="KMS247" i="20" s="1"/>
  <c r="KMO247" i="20" s="1"/>
  <c r="KMZ247" i="20"/>
  <c r="KMV247" i="20" l="1"/>
  <c r="KMR247" i="20" s="1"/>
  <c r="KMN247" i="20" s="1"/>
  <c r="KMJ247" i="20" s="1"/>
  <c r="KMU247" i="20"/>
  <c r="KMQ247" i="20" l="1"/>
  <c r="KMM247" i="20" s="1"/>
  <c r="KMI247" i="20" s="1"/>
  <c r="KME247" i="20" s="1"/>
  <c r="KMP247" i="20"/>
  <c r="KML247" i="20" l="1"/>
  <c r="KMH247" i="20" s="1"/>
  <c r="KMD247" i="20" s="1"/>
  <c r="KLZ247" i="20" s="1"/>
  <c r="KMK247" i="20"/>
  <c r="KMG247" i="20" l="1"/>
  <c r="KMC247" i="20" s="1"/>
  <c r="KLY247" i="20" s="1"/>
  <c r="KLU247" i="20" s="1"/>
  <c r="KMF247" i="20"/>
  <c r="KMB247" i="20" l="1"/>
  <c r="KLX247" i="20" s="1"/>
  <c r="KLT247" i="20" s="1"/>
  <c r="KLP247" i="20" s="1"/>
  <c r="KMA247" i="20"/>
  <c r="KLW247" i="20" l="1"/>
  <c r="KLS247" i="20" s="1"/>
  <c r="KLO247" i="20" s="1"/>
  <c r="KLK247" i="20" s="1"/>
  <c r="KLV247" i="20"/>
  <c r="KLR247" i="20" l="1"/>
  <c r="KLN247" i="20" s="1"/>
  <c r="KLJ247" i="20" s="1"/>
  <c r="KLF247" i="20" s="1"/>
  <c r="KLQ247" i="20"/>
  <c r="KLM247" i="20" l="1"/>
  <c r="KLI247" i="20" s="1"/>
  <c r="KLE247" i="20" s="1"/>
  <c r="KLA247" i="20" s="1"/>
  <c r="KLL247" i="20"/>
  <c r="KLH247" i="20" l="1"/>
  <c r="KLD247" i="20" s="1"/>
  <c r="KKZ247" i="20" s="1"/>
  <c r="KKV247" i="20" s="1"/>
  <c r="KLG247" i="20"/>
  <c r="KLC247" i="20" l="1"/>
  <c r="KKY247" i="20" s="1"/>
  <c r="KKU247" i="20" s="1"/>
  <c r="KKQ247" i="20" s="1"/>
  <c r="KLB247" i="20"/>
  <c r="KKX247" i="20" l="1"/>
  <c r="KKT247" i="20" s="1"/>
  <c r="KKP247" i="20" s="1"/>
  <c r="KKL247" i="20" s="1"/>
  <c r="KKW247" i="20"/>
  <c r="KKS247" i="20" l="1"/>
  <c r="KKO247" i="20" s="1"/>
  <c r="KKK247" i="20" s="1"/>
  <c r="KKG247" i="20" s="1"/>
  <c r="KKR247" i="20"/>
  <c r="KKN247" i="20" l="1"/>
  <c r="KKJ247" i="20" s="1"/>
  <c r="KKF247" i="20" s="1"/>
  <c r="KKB247" i="20" s="1"/>
  <c r="KKM247" i="20"/>
  <c r="KKI247" i="20" l="1"/>
  <c r="KKE247" i="20" s="1"/>
  <c r="KKA247" i="20" s="1"/>
  <c r="KJW247" i="20" s="1"/>
  <c r="KKH247" i="20"/>
  <c r="KKD247" i="20" l="1"/>
  <c r="KJZ247" i="20" s="1"/>
  <c r="KJV247" i="20" s="1"/>
  <c r="KJR247" i="20" s="1"/>
  <c r="KKC247" i="20"/>
  <c r="KJY247" i="20" l="1"/>
  <c r="KJU247" i="20" s="1"/>
  <c r="KJQ247" i="20" s="1"/>
  <c r="KJM247" i="20" s="1"/>
  <c r="KJX247" i="20"/>
  <c r="KJT247" i="20" l="1"/>
  <c r="KJP247" i="20" s="1"/>
  <c r="KJL247" i="20" s="1"/>
  <c r="KJH247" i="20" s="1"/>
  <c r="KJS247" i="20"/>
  <c r="KJO247" i="20" l="1"/>
  <c r="KJK247" i="20" s="1"/>
  <c r="KJG247" i="20" s="1"/>
  <c r="KJC247" i="20" s="1"/>
  <c r="KJN247" i="20"/>
  <c r="KJJ247" i="20" l="1"/>
  <c r="KJF247" i="20" s="1"/>
  <c r="KJB247" i="20" s="1"/>
  <c r="KIX247" i="20" s="1"/>
  <c r="KJI247" i="20"/>
  <c r="KJE247" i="20" l="1"/>
  <c r="KJA247" i="20" s="1"/>
  <c r="KIW247" i="20" s="1"/>
  <c r="KIS247" i="20" s="1"/>
  <c r="KJD247" i="20"/>
  <c r="KIZ247" i="20" l="1"/>
  <c r="KIV247" i="20" s="1"/>
  <c r="KIR247" i="20" s="1"/>
  <c r="KIN247" i="20" s="1"/>
  <c r="KIY247" i="20"/>
  <c r="KIU247" i="20" l="1"/>
  <c r="KIQ247" i="20" s="1"/>
  <c r="KIM247" i="20" s="1"/>
  <c r="KII247" i="20" s="1"/>
  <c r="KIT247" i="20"/>
  <c r="KIP247" i="20" l="1"/>
  <c r="KIL247" i="20" s="1"/>
  <c r="KIH247" i="20" s="1"/>
  <c r="KID247" i="20" s="1"/>
  <c r="KIO247" i="20"/>
  <c r="KIK247" i="20" l="1"/>
  <c r="KIG247" i="20" s="1"/>
  <c r="KIC247" i="20" s="1"/>
  <c r="KHY247" i="20" s="1"/>
  <c r="KIJ247" i="20"/>
  <c r="KIF247" i="20" l="1"/>
  <c r="KIB247" i="20" s="1"/>
  <c r="KHX247" i="20" s="1"/>
  <c r="KHT247" i="20" s="1"/>
  <c r="KIE247" i="20"/>
  <c r="KIA247" i="20" l="1"/>
  <c r="KHW247" i="20" s="1"/>
  <c r="KHS247" i="20" s="1"/>
  <c r="KHO247" i="20" s="1"/>
  <c r="KHZ247" i="20"/>
  <c r="KHV247" i="20" l="1"/>
  <c r="KHR247" i="20" s="1"/>
  <c r="KHN247" i="20" s="1"/>
  <c r="KHJ247" i="20" s="1"/>
  <c r="KHU247" i="20"/>
  <c r="KHQ247" i="20" l="1"/>
  <c r="KHM247" i="20" s="1"/>
  <c r="KHI247" i="20" s="1"/>
  <c r="KHE247" i="20" s="1"/>
  <c r="KHP247" i="20"/>
  <c r="KHL247" i="20" l="1"/>
  <c r="KHH247" i="20" s="1"/>
  <c r="KHD247" i="20" s="1"/>
  <c r="KGZ247" i="20" s="1"/>
  <c r="KHK247" i="20"/>
  <c r="KHG247" i="20" l="1"/>
  <c r="KHC247" i="20" s="1"/>
  <c r="KGY247" i="20" s="1"/>
  <c r="KGU247" i="20" s="1"/>
  <c r="KHF247" i="20"/>
  <c r="KHB247" i="20" l="1"/>
  <c r="KGX247" i="20" s="1"/>
  <c r="KGT247" i="20" s="1"/>
  <c r="KGP247" i="20" s="1"/>
  <c r="KHA247" i="20"/>
  <c r="KGW247" i="20" l="1"/>
  <c r="KGS247" i="20" s="1"/>
  <c r="KGO247" i="20" s="1"/>
  <c r="KGK247" i="20" s="1"/>
  <c r="KGV247" i="20"/>
  <c r="KGR247" i="20" l="1"/>
  <c r="KGN247" i="20" s="1"/>
  <c r="KGJ247" i="20" s="1"/>
  <c r="KGF247" i="20" s="1"/>
  <c r="KGQ247" i="20"/>
  <c r="KGM247" i="20" l="1"/>
  <c r="KGI247" i="20" s="1"/>
  <c r="KGE247" i="20" s="1"/>
  <c r="KGA247" i="20" s="1"/>
  <c r="KGL247" i="20"/>
  <c r="KGH247" i="20" l="1"/>
  <c r="KGD247" i="20" s="1"/>
  <c r="KFZ247" i="20" s="1"/>
  <c r="KFV247" i="20" s="1"/>
  <c r="KGG247" i="20"/>
  <c r="KGC247" i="20" l="1"/>
  <c r="KFY247" i="20" s="1"/>
  <c r="KFU247" i="20" s="1"/>
  <c r="KFQ247" i="20" s="1"/>
  <c r="KGB247" i="20"/>
  <c r="KFX247" i="20" l="1"/>
  <c r="KFT247" i="20" s="1"/>
  <c r="KFP247" i="20" s="1"/>
  <c r="KFL247" i="20" s="1"/>
  <c r="KFW247" i="20"/>
  <c r="KFS247" i="20" l="1"/>
  <c r="KFO247" i="20" s="1"/>
  <c r="KFK247" i="20" s="1"/>
  <c r="KFG247" i="20" s="1"/>
  <c r="KFR247" i="20"/>
  <c r="KFN247" i="20" l="1"/>
  <c r="KFJ247" i="20" s="1"/>
  <c r="KFF247" i="20" s="1"/>
  <c r="KFB247" i="20" s="1"/>
  <c r="KFM247" i="20"/>
  <c r="KFI247" i="20" l="1"/>
  <c r="KFE247" i="20" s="1"/>
  <c r="KFA247" i="20" s="1"/>
  <c r="KEW247" i="20" s="1"/>
  <c r="KFH247" i="20"/>
  <c r="KFD247" i="20" l="1"/>
  <c r="KEZ247" i="20" s="1"/>
  <c r="KEV247" i="20" s="1"/>
  <c r="KER247" i="20" s="1"/>
  <c r="KFC247" i="20"/>
  <c r="KEY247" i="20" l="1"/>
  <c r="KEU247" i="20" s="1"/>
  <c r="KEQ247" i="20" s="1"/>
  <c r="KEM247" i="20" s="1"/>
  <c r="KEX247" i="20"/>
  <c r="KET247" i="20" l="1"/>
  <c r="KEP247" i="20" s="1"/>
  <c r="KEL247" i="20" s="1"/>
  <c r="KEH247" i="20" s="1"/>
  <c r="KES247" i="20"/>
  <c r="KEO247" i="20" l="1"/>
  <c r="KEK247" i="20" s="1"/>
  <c r="KEG247" i="20" s="1"/>
  <c r="KEC247" i="20" s="1"/>
  <c r="KEN247" i="20"/>
  <c r="KEJ247" i="20" l="1"/>
  <c r="KEF247" i="20" s="1"/>
  <c r="KEB247" i="20" s="1"/>
  <c r="KDX247" i="20" s="1"/>
  <c r="KEI247" i="20"/>
  <c r="KEE247" i="20" l="1"/>
  <c r="KEA247" i="20" s="1"/>
  <c r="KDW247" i="20" s="1"/>
  <c r="KDS247" i="20" s="1"/>
  <c r="KED247" i="20"/>
  <c r="KDZ247" i="20" l="1"/>
  <c r="KDV247" i="20" s="1"/>
  <c r="KDR247" i="20" s="1"/>
  <c r="KDN247" i="20" s="1"/>
  <c r="KDY247" i="20"/>
  <c r="KDU247" i="20" l="1"/>
  <c r="KDQ247" i="20" s="1"/>
  <c r="KDM247" i="20" s="1"/>
  <c r="KDI247" i="20" s="1"/>
  <c r="KDT247" i="20"/>
  <c r="KDP247" i="20" l="1"/>
  <c r="KDL247" i="20" s="1"/>
  <c r="KDH247" i="20" s="1"/>
  <c r="KDD247" i="20" s="1"/>
  <c r="KDO247" i="20"/>
  <c r="KDK247" i="20" l="1"/>
  <c r="KDG247" i="20" s="1"/>
  <c r="KDC247" i="20" s="1"/>
  <c r="KCY247" i="20" s="1"/>
  <c r="KDJ247" i="20"/>
  <c r="KDF247" i="20" l="1"/>
  <c r="KDB247" i="20" s="1"/>
  <c r="KCX247" i="20" s="1"/>
  <c r="KCT247" i="20" s="1"/>
  <c r="KDE247" i="20"/>
  <c r="KDA247" i="20" l="1"/>
  <c r="KCW247" i="20" s="1"/>
  <c r="KCS247" i="20" s="1"/>
  <c r="KCO247" i="20" s="1"/>
  <c r="KCZ247" i="20"/>
  <c r="KCV247" i="20" l="1"/>
  <c r="KCR247" i="20" s="1"/>
  <c r="KCN247" i="20" s="1"/>
  <c r="KCJ247" i="20" s="1"/>
  <c r="KCU247" i="20"/>
  <c r="KCQ247" i="20" l="1"/>
  <c r="KCM247" i="20" s="1"/>
  <c r="KCI247" i="20" s="1"/>
  <c r="KCE247" i="20" s="1"/>
  <c r="KCP247" i="20"/>
  <c r="KCL247" i="20" l="1"/>
  <c r="KCH247" i="20" s="1"/>
  <c r="KCD247" i="20" s="1"/>
  <c r="KBZ247" i="20" s="1"/>
  <c r="KCK247" i="20"/>
  <c r="KCG247" i="20" l="1"/>
  <c r="KCC247" i="20" s="1"/>
  <c r="KBY247" i="20" s="1"/>
  <c r="KBU247" i="20" s="1"/>
  <c r="KCF247" i="20"/>
  <c r="KCB247" i="20" l="1"/>
  <c r="KBX247" i="20" s="1"/>
  <c r="KBT247" i="20" s="1"/>
  <c r="KBP247" i="20" s="1"/>
  <c r="KCA247" i="20"/>
  <c r="KBW247" i="20" l="1"/>
  <c r="KBS247" i="20" s="1"/>
  <c r="KBO247" i="20" s="1"/>
  <c r="KBK247" i="20" s="1"/>
  <c r="KBV247" i="20"/>
  <c r="KBR247" i="20" l="1"/>
  <c r="KBN247" i="20" s="1"/>
  <c r="KBJ247" i="20" s="1"/>
  <c r="KBF247" i="20" s="1"/>
  <c r="KBQ247" i="20"/>
  <c r="KBM247" i="20" l="1"/>
  <c r="KBI247" i="20" s="1"/>
  <c r="KBE247" i="20" s="1"/>
  <c r="KBA247" i="20" s="1"/>
  <c r="KBL247" i="20"/>
  <c r="KBH247" i="20" l="1"/>
  <c r="KBD247" i="20" s="1"/>
  <c r="KAZ247" i="20" s="1"/>
  <c r="KAV247" i="20" s="1"/>
  <c r="KBG247" i="20"/>
  <c r="KBC247" i="20" l="1"/>
  <c r="KAY247" i="20" s="1"/>
  <c r="KAU247" i="20" s="1"/>
  <c r="KAQ247" i="20" s="1"/>
  <c r="KBB247" i="20"/>
  <c r="KAX247" i="20" l="1"/>
  <c r="KAT247" i="20" s="1"/>
  <c r="KAP247" i="20" s="1"/>
  <c r="KAL247" i="20" s="1"/>
  <c r="KAW247" i="20"/>
  <c r="KAS247" i="20" l="1"/>
  <c r="KAO247" i="20" s="1"/>
  <c r="KAK247" i="20" s="1"/>
  <c r="KAG247" i="20" s="1"/>
  <c r="KAR247" i="20"/>
  <c r="KAN247" i="20" l="1"/>
  <c r="KAJ247" i="20" s="1"/>
  <c r="KAF247" i="20" s="1"/>
  <c r="KAB247" i="20" s="1"/>
  <c r="KAM247" i="20"/>
  <c r="KAI247" i="20" l="1"/>
  <c r="KAE247" i="20" s="1"/>
  <c r="KAA247" i="20" s="1"/>
  <c r="JZW247" i="20" s="1"/>
  <c r="KAH247" i="20"/>
  <c r="KAD247" i="20" l="1"/>
  <c r="JZZ247" i="20" s="1"/>
  <c r="JZV247" i="20" s="1"/>
  <c r="JZR247" i="20" s="1"/>
  <c r="KAC247" i="20"/>
  <c r="JZY247" i="20" l="1"/>
  <c r="JZU247" i="20" s="1"/>
  <c r="JZQ247" i="20" s="1"/>
  <c r="JZM247" i="20" s="1"/>
  <c r="JZX247" i="20"/>
  <c r="JZT247" i="20" l="1"/>
  <c r="JZP247" i="20" s="1"/>
  <c r="JZL247" i="20" s="1"/>
  <c r="JZH247" i="20" s="1"/>
  <c r="JZS247" i="20"/>
  <c r="JZO247" i="20" l="1"/>
  <c r="JZK247" i="20" s="1"/>
  <c r="JZG247" i="20" s="1"/>
  <c r="JZC247" i="20" s="1"/>
  <c r="JZN247" i="20"/>
  <c r="JZJ247" i="20" l="1"/>
  <c r="JZF247" i="20" s="1"/>
  <c r="JZB247" i="20" s="1"/>
  <c r="JYX247" i="20" s="1"/>
  <c r="JZI247" i="20"/>
  <c r="JZE247" i="20" l="1"/>
  <c r="JZA247" i="20" s="1"/>
  <c r="JYW247" i="20" s="1"/>
  <c r="JYS247" i="20" s="1"/>
  <c r="JZD247" i="20"/>
  <c r="JYZ247" i="20" l="1"/>
  <c r="JYV247" i="20" s="1"/>
  <c r="JYR247" i="20" s="1"/>
  <c r="JYN247" i="20" s="1"/>
  <c r="JYY247" i="20"/>
  <c r="JYU247" i="20" l="1"/>
  <c r="JYQ247" i="20" s="1"/>
  <c r="JYM247" i="20" s="1"/>
  <c r="JYI247" i="20" s="1"/>
  <c r="JYT247" i="20"/>
  <c r="JYP247" i="20" l="1"/>
  <c r="JYL247" i="20" s="1"/>
  <c r="JYH247" i="20" s="1"/>
  <c r="JYD247" i="20" s="1"/>
  <c r="JYO247" i="20"/>
  <c r="JYK247" i="20" l="1"/>
  <c r="JYG247" i="20" s="1"/>
  <c r="JYC247" i="20" s="1"/>
  <c r="JXY247" i="20" s="1"/>
  <c r="JYJ247" i="20"/>
  <c r="JYF247" i="20" l="1"/>
  <c r="JYB247" i="20" s="1"/>
  <c r="JXX247" i="20" s="1"/>
  <c r="JXT247" i="20" s="1"/>
  <c r="JYE247" i="20"/>
  <c r="JYA247" i="20" l="1"/>
  <c r="JXW247" i="20" s="1"/>
  <c r="JXS247" i="20" s="1"/>
  <c r="JXO247" i="20" s="1"/>
  <c r="JXZ247" i="20"/>
  <c r="JXV247" i="20" l="1"/>
  <c r="JXR247" i="20" s="1"/>
  <c r="JXN247" i="20" s="1"/>
  <c r="JXJ247" i="20" s="1"/>
  <c r="JXU247" i="20"/>
  <c r="JXQ247" i="20" l="1"/>
  <c r="JXM247" i="20" s="1"/>
  <c r="JXI247" i="20" s="1"/>
  <c r="JXE247" i="20" s="1"/>
  <c r="JXP247" i="20"/>
  <c r="JXL247" i="20" l="1"/>
  <c r="JXH247" i="20" s="1"/>
  <c r="JXD247" i="20" s="1"/>
  <c r="JWZ247" i="20" s="1"/>
  <c r="JXK247" i="20"/>
  <c r="JXG247" i="20" l="1"/>
  <c r="JXC247" i="20" s="1"/>
  <c r="JWY247" i="20" s="1"/>
  <c r="JWU247" i="20" s="1"/>
  <c r="JXF247" i="20"/>
  <c r="JXB247" i="20" l="1"/>
  <c r="JWX247" i="20" s="1"/>
  <c r="JWT247" i="20" s="1"/>
  <c r="JWP247" i="20" s="1"/>
  <c r="JXA247" i="20"/>
  <c r="JWW247" i="20" l="1"/>
  <c r="JWS247" i="20" s="1"/>
  <c r="JWO247" i="20" s="1"/>
  <c r="JWK247" i="20" s="1"/>
  <c r="JWV247" i="20"/>
  <c r="JWR247" i="20" l="1"/>
  <c r="JWN247" i="20" s="1"/>
  <c r="JWJ247" i="20" s="1"/>
  <c r="JWF247" i="20" s="1"/>
  <c r="JWQ247" i="20"/>
  <c r="JWM247" i="20" l="1"/>
  <c r="JWI247" i="20" s="1"/>
  <c r="JWE247" i="20" s="1"/>
  <c r="JWA247" i="20" s="1"/>
  <c r="JWL247" i="20"/>
  <c r="JWH247" i="20" l="1"/>
  <c r="JWD247" i="20" s="1"/>
  <c r="JVZ247" i="20" s="1"/>
  <c r="JVV247" i="20" s="1"/>
  <c r="JWG247" i="20"/>
  <c r="JWC247" i="20" l="1"/>
  <c r="JVY247" i="20" s="1"/>
  <c r="JVU247" i="20" s="1"/>
  <c r="JVQ247" i="20" s="1"/>
  <c r="JWB247" i="20"/>
  <c r="JVX247" i="20" l="1"/>
  <c r="JVT247" i="20" s="1"/>
  <c r="JVP247" i="20" s="1"/>
  <c r="JVL247" i="20" s="1"/>
  <c r="JVW247" i="20"/>
  <c r="JVS247" i="20" l="1"/>
  <c r="JVO247" i="20" s="1"/>
  <c r="JVK247" i="20" s="1"/>
  <c r="JVG247" i="20" s="1"/>
  <c r="JVR247" i="20"/>
  <c r="JVN247" i="20" l="1"/>
  <c r="JVJ247" i="20" s="1"/>
  <c r="JVF247" i="20" s="1"/>
  <c r="JVB247" i="20" s="1"/>
  <c r="JVM247" i="20"/>
  <c r="JVI247" i="20" l="1"/>
  <c r="JVE247" i="20" s="1"/>
  <c r="JVA247" i="20" s="1"/>
  <c r="JUW247" i="20" s="1"/>
  <c r="JVH247" i="20"/>
  <c r="JVD247" i="20" l="1"/>
  <c r="JUZ247" i="20" s="1"/>
  <c r="JUV247" i="20" s="1"/>
  <c r="JUR247" i="20" s="1"/>
  <c r="JVC247" i="20"/>
  <c r="JUY247" i="20" l="1"/>
  <c r="JUU247" i="20" s="1"/>
  <c r="JUQ247" i="20" s="1"/>
  <c r="JUM247" i="20" s="1"/>
  <c r="JUX247" i="20"/>
  <c r="JUT247" i="20" l="1"/>
  <c r="JUP247" i="20" s="1"/>
  <c r="JUL247" i="20" s="1"/>
  <c r="JUH247" i="20" s="1"/>
  <c r="JUS247" i="20"/>
  <c r="JUO247" i="20" l="1"/>
  <c r="JUK247" i="20" s="1"/>
  <c r="JUG247" i="20" s="1"/>
  <c r="JUC247" i="20" s="1"/>
  <c r="JUN247" i="20"/>
  <c r="JUJ247" i="20" l="1"/>
  <c r="JUF247" i="20" s="1"/>
  <c r="JUB247" i="20" s="1"/>
  <c r="JTX247" i="20" s="1"/>
  <c r="JUI247" i="20"/>
  <c r="JUE247" i="20" l="1"/>
  <c r="JUA247" i="20" s="1"/>
  <c r="JTW247" i="20" s="1"/>
  <c r="JTS247" i="20" s="1"/>
  <c r="JUD247" i="20"/>
  <c r="JTZ247" i="20" l="1"/>
  <c r="JTV247" i="20" s="1"/>
  <c r="JTR247" i="20" s="1"/>
  <c r="JTN247" i="20" s="1"/>
  <c r="JTY247" i="20"/>
  <c r="JTU247" i="20" l="1"/>
  <c r="JTQ247" i="20" s="1"/>
  <c r="JTM247" i="20" s="1"/>
  <c r="JTI247" i="20" s="1"/>
  <c r="JTT247" i="20"/>
  <c r="JTP247" i="20" l="1"/>
  <c r="JTL247" i="20" s="1"/>
  <c r="JTH247" i="20" s="1"/>
  <c r="JTD247" i="20" s="1"/>
  <c r="JTO247" i="20"/>
  <c r="JTK247" i="20" l="1"/>
  <c r="JTG247" i="20" s="1"/>
  <c r="JTC247" i="20" s="1"/>
  <c r="JSY247" i="20" s="1"/>
  <c r="JTJ247" i="20"/>
  <c r="JTF247" i="20" l="1"/>
  <c r="JTB247" i="20" s="1"/>
  <c r="JSX247" i="20" s="1"/>
  <c r="JST247" i="20" s="1"/>
  <c r="JTE247" i="20"/>
  <c r="JTA247" i="20" l="1"/>
  <c r="JSW247" i="20" s="1"/>
  <c r="JSS247" i="20" s="1"/>
  <c r="JSO247" i="20" s="1"/>
  <c r="JSZ247" i="20"/>
  <c r="JSV247" i="20" l="1"/>
  <c r="JSR247" i="20" s="1"/>
  <c r="JSN247" i="20" s="1"/>
  <c r="JSJ247" i="20" s="1"/>
  <c r="JSU247" i="20"/>
  <c r="JSQ247" i="20" l="1"/>
  <c r="JSM247" i="20" s="1"/>
  <c r="JSI247" i="20" s="1"/>
  <c r="JSE247" i="20" s="1"/>
  <c r="JSP247" i="20"/>
  <c r="JSL247" i="20" l="1"/>
  <c r="JSH247" i="20" s="1"/>
  <c r="JSD247" i="20" s="1"/>
  <c r="JRZ247" i="20" s="1"/>
  <c r="JSK247" i="20"/>
  <c r="JSG247" i="20" l="1"/>
  <c r="JSC247" i="20" s="1"/>
  <c r="JRY247" i="20" s="1"/>
  <c r="JRU247" i="20" s="1"/>
  <c r="JSF247" i="20"/>
  <c r="JSB247" i="20" l="1"/>
  <c r="JRX247" i="20" s="1"/>
  <c r="JRT247" i="20" s="1"/>
  <c r="JRP247" i="20" s="1"/>
  <c r="JSA247" i="20"/>
  <c r="JRW247" i="20" l="1"/>
  <c r="JRS247" i="20" s="1"/>
  <c r="JRO247" i="20" s="1"/>
  <c r="JRK247" i="20" s="1"/>
  <c r="JRV247" i="20"/>
  <c r="JRR247" i="20" l="1"/>
  <c r="JRN247" i="20" s="1"/>
  <c r="JRJ247" i="20" s="1"/>
  <c r="JRF247" i="20" s="1"/>
  <c r="JRQ247" i="20"/>
  <c r="JRM247" i="20" l="1"/>
  <c r="JRI247" i="20" s="1"/>
  <c r="JRE247" i="20" s="1"/>
  <c r="JRA247" i="20" s="1"/>
  <c r="JRL247" i="20"/>
  <c r="JRH247" i="20" l="1"/>
  <c r="JRD247" i="20" s="1"/>
  <c r="JQZ247" i="20" s="1"/>
  <c r="JQV247" i="20" s="1"/>
  <c r="JRG247" i="20"/>
  <c r="JRC247" i="20" l="1"/>
  <c r="JQY247" i="20" s="1"/>
  <c r="JQU247" i="20" s="1"/>
  <c r="JQQ247" i="20" s="1"/>
  <c r="JRB247" i="20"/>
  <c r="JQX247" i="20" l="1"/>
  <c r="JQT247" i="20" s="1"/>
  <c r="JQP247" i="20" s="1"/>
  <c r="JQL247" i="20" s="1"/>
  <c r="JQW247" i="20"/>
  <c r="JQS247" i="20" l="1"/>
  <c r="JQO247" i="20" s="1"/>
  <c r="JQK247" i="20" s="1"/>
  <c r="JQG247" i="20" s="1"/>
  <c r="JQR247" i="20"/>
  <c r="JQN247" i="20" l="1"/>
  <c r="JQJ247" i="20" s="1"/>
  <c r="JQF247" i="20" s="1"/>
  <c r="JQB247" i="20" s="1"/>
  <c r="JQM247" i="20"/>
  <c r="JQI247" i="20" l="1"/>
  <c r="JQE247" i="20" s="1"/>
  <c r="JQA247" i="20" s="1"/>
  <c r="JPW247" i="20" s="1"/>
  <c r="JQH247" i="20"/>
  <c r="JQD247" i="20" l="1"/>
  <c r="JPZ247" i="20" s="1"/>
  <c r="JPV247" i="20" s="1"/>
  <c r="JPR247" i="20" s="1"/>
  <c r="JQC247" i="20"/>
  <c r="JPY247" i="20" l="1"/>
  <c r="JPU247" i="20" s="1"/>
  <c r="JPQ247" i="20" s="1"/>
  <c r="JPM247" i="20" s="1"/>
  <c r="JPX247" i="20"/>
  <c r="JPT247" i="20" l="1"/>
  <c r="JPP247" i="20" s="1"/>
  <c r="JPL247" i="20" s="1"/>
  <c r="JPH247" i="20" s="1"/>
  <c r="JPS247" i="20"/>
  <c r="JPO247" i="20" l="1"/>
  <c r="JPK247" i="20" s="1"/>
  <c r="JPG247" i="20" s="1"/>
  <c r="JPC247" i="20" s="1"/>
  <c r="JPN247" i="20"/>
  <c r="JPJ247" i="20" l="1"/>
  <c r="JPF247" i="20" s="1"/>
  <c r="JPB247" i="20" s="1"/>
  <c r="JOX247" i="20" s="1"/>
  <c r="JPI247" i="20"/>
  <c r="JPE247" i="20" l="1"/>
  <c r="JPA247" i="20" s="1"/>
  <c r="JOW247" i="20" s="1"/>
  <c r="JOS247" i="20" s="1"/>
  <c r="JPD247" i="20"/>
  <c r="JOZ247" i="20" l="1"/>
  <c r="JOV247" i="20" s="1"/>
  <c r="JOR247" i="20" s="1"/>
  <c r="JON247" i="20" s="1"/>
  <c r="JOY247" i="20"/>
  <c r="JOU247" i="20" l="1"/>
  <c r="JOQ247" i="20" s="1"/>
  <c r="JOM247" i="20" s="1"/>
  <c r="JOI247" i="20" s="1"/>
  <c r="JOT247" i="20"/>
  <c r="JOP247" i="20" l="1"/>
  <c r="JOL247" i="20" s="1"/>
  <c r="JOH247" i="20" s="1"/>
  <c r="JOD247" i="20" s="1"/>
  <c r="JOO247" i="20"/>
  <c r="JOK247" i="20" l="1"/>
  <c r="JOG247" i="20" s="1"/>
  <c r="JOC247" i="20" s="1"/>
  <c r="JNY247" i="20" s="1"/>
  <c r="JOJ247" i="20"/>
  <c r="JOF247" i="20" l="1"/>
  <c r="JOB247" i="20" s="1"/>
  <c r="JNX247" i="20" s="1"/>
  <c r="JNT247" i="20" s="1"/>
  <c r="JOE247" i="20"/>
  <c r="JOA247" i="20" l="1"/>
  <c r="JNW247" i="20" s="1"/>
  <c r="JNS247" i="20" s="1"/>
  <c r="JNO247" i="20" s="1"/>
  <c r="JNZ247" i="20"/>
  <c r="JNV247" i="20" l="1"/>
  <c r="JNR247" i="20" s="1"/>
  <c r="JNN247" i="20" s="1"/>
  <c r="JNJ247" i="20" s="1"/>
  <c r="JNU247" i="20"/>
  <c r="JNQ247" i="20" l="1"/>
  <c r="JNM247" i="20" s="1"/>
  <c r="JNI247" i="20" s="1"/>
  <c r="JNE247" i="20" s="1"/>
  <c r="JNP247" i="20"/>
  <c r="JNL247" i="20" l="1"/>
  <c r="JNH247" i="20" s="1"/>
  <c r="JND247" i="20" s="1"/>
  <c r="JMZ247" i="20" s="1"/>
  <c r="JNK247" i="20"/>
  <c r="JNG247" i="20" l="1"/>
  <c r="JNC247" i="20" s="1"/>
  <c r="JMY247" i="20" s="1"/>
  <c r="JMU247" i="20" s="1"/>
  <c r="JNF247" i="20"/>
  <c r="JNB247" i="20" l="1"/>
  <c r="JMX247" i="20" s="1"/>
  <c r="JMT247" i="20" s="1"/>
  <c r="JMP247" i="20" s="1"/>
  <c r="JNA247" i="20"/>
  <c r="JMW247" i="20" l="1"/>
  <c r="JMS247" i="20" s="1"/>
  <c r="JMO247" i="20" s="1"/>
  <c r="JMK247" i="20" s="1"/>
  <c r="JMV247" i="20"/>
  <c r="JMR247" i="20" l="1"/>
  <c r="JMN247" i="20" s="1"/>
  <c r="JMJ247" i="20" s="1"/>
  <c r="JMF247" i="20" s="1"/>
  <c r="JMQ247" i="20"/>
  <c r="JMM247" i="20" l="1"/>
  <c r="JMI247" i="20" s="1"/>
  <c r="JME247" i="20" s="1"/>
  <c r="JMA247" i="20" s="1"/>
  <c r="JML247" i="20"/>
  <c r="JMH247" i="20" l="1"/>
  <c r="JMD247" i="20" s="1"/>
  <c r="JLZ247" i="20" s="1"/>
  <c r="JLV247" i="20" s="1"/>
  <c r="JMG247" i="20"/>
  <c r="JMC247" i="20" l="1"/>
  <c r="JLY247" i="20" s="1"/>
  <c r="JLU247" i="20" s="1"/>
  <c r="JLQ247" i="20" s="1"/>
  <c r="JMB247" i="20"/>
  <c r="JLX247" i="20" l="1"/>
  <c r="JLT247" i="20" s="1"/>
  <c r="JLP247" i="20" s="1"/>
  <c r="JLL247" i="20" s="1"/>
  <c r="JLW247" i="20"/>
  <c r="JLS247" i="20" l="1"/>
  <c r="JLO247" i="20" s="1"/>
  <c r="JLK247" i="20" s="1"/>
  <c r="JLG247" i="20" s="1"/>
  <c r="JLR247" i="20"/>
  <c r="JLN247" i="20" l="1"/>
  <c r="JLJ247" i="20" s="1"/>
  <c r="JLF247" i="20" s="1"/>
  <c r="JLB247" i="20" s="1"/>
  <c r="JLM247" i="20"/>
  <c r="JLI247" i="20" l="1"/>
  <c r="JLE247" i="20" s="1"/>
  <c r="JLA247" i="20" s="1"/>
  <c r="JKW247" i="20" s="1"/>
  <c r="JLH247" i="20"/>
  <c r="JLD247" i="20" l="1"/>
  <c r="JKZ247" i="20" s="1"/>
  <c r="JKV247" i="20" s="1"/>
  <c r="JKR247" i="20" s="1"/>
  <c r="JLC247" i="20"/>
  <c r="JKY247" i="20" l="1"/>
  <c r="JKU247" i="20" s="1"/>
  <c r="JKQ247" i="20" s="1"/>
  <c r="JKM247" i="20" s="1"/>
  <c r="JKX247" i="20"/>
  <c r="JKT247" i="20" l="1"/>
  <c r="JKP247" i="20" s="1"/>
  <c r="JKL247" i="20" s="1"/>
  <c r="JKH247" i="20" s="1"/>
  <c r="JKS247" i="20"/>
  <c r="JKO247" i="20" l="1"/>
  <c r="JKK247" i="20" s="1"/>
  <c r="JKG247" i="20" s="1"/>
  <c r="JKC247" i="20" s="1"/>
  <c r="JKN247" i="20"/>
  <c r="JKJ247" i="20" l="1"/>
  <c r="JKF247" i="20" s="1"/>
  <c r="JKB247" i="20" s="1"/>
  <c r="JJX247" i="20" s="1"/>
  <c r="JKI247" i="20"/>
  <c r="JKE247" i="20" l="1"/>
  <c r="JKA247" i="20" s="1"/>
  <c r="JJW247" i="20" s="1"/>
  <c r="JJS247" i="20" s="1"/>
  <c r="JKD247" i="20"/>
  <c r="JJZ247" i="20" l="1"/>
  <c r="JJV247" i="20" s="1"/>
  <c r="JJR247" i="20" s="1"/>
  <c r="JJN247" i="20" s="1"/>
  <c r="JJY247" i="20"/>
  <c r="JJU247" i="20" l="1"/>
  <c r="JJQ247" i="20" s="1"/>
  <c r="JJM247" i="20" s="1"/>
  <c r="JJI247" i="20" s="1"/>
  <c r="JJT247" i="20"/>
  <c r="JJP247" i="20" l="1"/>
  <c r="JJL247" i="20" s="1"/>
  <c r="JJH247" i="20" s="1"/>
  <c r="JJD247" i="20" s="1"/>
  <c r="JJO247" i="20"/>
  <c r="JJK247" i="20" l="1"/>
  <c r="JJG247" i="20" s="1"/>
  <c r="JJC247" i="20" s="1"/>
  <c r="JIY247" i="20" s="1"/>
  <c r="JJJ247" i="20"/>
  <c r="JJF247" i="20" l="1"/>
  <c r="JJB247" i="20" s="1"/>
  <c r="JIX247" i="20" s="1"/>
  <c r="JIT247" i="20" s="1"/>
  <c r="JJE247" i="20"/>
  <c r="JJA247" i="20" l="1"/>
  <c r="JIW247" i="20" s="1"/>
  <c r="JIS247" i="20" s="1"/>
  <c r="JIO247" i="20" s="1"/>
  <c r="JIZ247" i="20"/>
  <c r="JIV247" i="20" l="1"/>
  <c r="JIR247" i="20" s="1"/>
  <c r="JIN247" i="20" s="1"/>
  <c r="JIJ247" i="20" s="1"/>
  <c r="JIU247" i="20"/>
  <c r="JIQ247" i="20" l="1"/>
  <c r="JIM247" i="20" s="1"/>
  <c r="JII247" i="20" s="1"/>
  <c r="JIE247" i="20" s="1"/>
  <c r="JIP247" i="20"/>
  <c r="JIL247" i="20" l="1"/>
  <c r="JIH247" i="20" s="1"/>
  <c r="JID247" i="20" s="1"/>
  <c r="JHZ247" i="20" s="1"/>
  <c r="JIK247" i="20"/>
  <c r="JIG247" i="20" l="1"/>
  <c r="JIC247" i="20" s="1"/>
  <c r="JHY247" i="20" s="1"/>
  <c r="JHU247" i="20" s="1"/>
  <c r="JIF247" i="20"/>
  <c r="JIB247" i="20" l="1"/>
  <c r="JHX247" i="20" s="1"/>
  <c r="JHT247" i="20" s="1"/>
  <c r="JHP247" i="20" s="1"/>
  <c r="JIA247" i="20"/>
  <c r="JHW247" i="20" l="1"/>
  <c r="JHS247" i="20" s="1"/>
  <c r="JHO247" i="20" s="1"/>
  <c r="JHK247" i="20" s="1"/>
  <c r="JHV247" i="20"/>
  <c r="JHR247" i="20" l="1"/>
  <c r="JHN247" i="20" s="1"/>
  <c r="JHJ247" i="20" s="1"/>
  <c r="JHF247" i="20" s="1"/>
  <c r="JHQ247" i="20"/>
  <c r="JHM247" i="20" l="1"/>
  <c r="JHI247" i="20" s="1"/>
  <c r="JHE247" i="20" s="1"/>
  <c r="JHA247" i="20" s="1"/>
  <c r="JHL247" i="20"/>
  <c r="JHH247" i="20" l="1"/>
  <c r="JHD247" i="20" s="1"/>
  <c r="JGZ247" i="20" s="1"/>
  <c r="JGV247" i="20" s="1"/>
  <c r="JHG247" i="20"/>
  <c r="JHC247" i="20" l="1"/>
  <c r="JGY247" i="20" s="1"/>
  <c r="JGU247" i="20" s="1"/>
  <c r="JGQ247" i="20" s="1"/>
  <c r="JHB247" i="20"/>
  <c r="JGX247" i="20" l="1"/>
  <c r="JGT247" i="20" s="1"/>
  <c r="JGP247" i="20" s="1"/>
  <c r="JGL247" i="20" s="1"/>
  <c r="JGW247" i="20"/>
  <c r="JGS247" i="20" l="1"/>
  <c r="JGO247" i="20" s="1"/>
  <c r="JGK247" i="20" s="1"/>
  <c r="JGG247" i="20" s="1"/>
  <c r="JGR247" i="20"/>
  <c r="JGN247" i="20" l="1"/>
  <c r="JGJ247" i="20" s="1"/>
  <c r="JGF247" i="20" s="1"/>
  <c r="JGB247" i="20" s="1"/>
  <c r="JGM247" i="20"/>
  <c r="JGI247" i="20" l="1"/>
  <c r="JGE247" i="20" s="1"/>
  <c r="JGA247" i="20" s="1"/>
  <c r="JFW247" i="20" s="1"/>
  <c r="JGH247" i="20"/>
  <c r="JGD247" i="20" l="1"/>
  <c r="JFZ247" i="20" s="1"/>
  <c r="JFV247" i="20" s="1"/>
  <c r="JFR247" i="20" s="1"/>
  <c r="JGC247" i="20"/>
  <c r="JFY247" i="20" l="1"/>
  <c r="JFU247" i="20" s="1"/>
  <c r="JFQ247" i="20" s="1"/>
  <c r="JFM247" i="20" s="1"/>
  <c r="JFX247" i="20"/>
  <c r="JFT247" i="20" l="1"/>
  <c r="JFP247" i="20" s="1"/>
  <c r="JFL247" i="20" s="1"/>
  <c r="JFH247" i="20" s="1"/>
  <c r="JFS247" i="20"/>
  <c r="JFO247" i="20" l="1"/>
  <c r="JFK247" i="20" s="1"/>
  <c r="JFG247" i="20" s="1"/>
  <c r="JFC247" i="20" s="1"/>
  <c r="JFN247" i="20"/>
  <c r="JFJ247" i="20" l="1"/>
  <c r="JFF247" i="20" s="1"/>
  <c r="JFB247" i="20" s="1"/>
  <c r="JEX247" i="20" s="1"/>
  <c r="JFI247" i="20"/>
  <c r="JFE247" i="20" l="1"/>
  <c r="JFA247" i="20" s="1"/>
  <c r="JEW247" i="20" s="1"/>
  <c r="JES247" i="20" s="1"/>
  <c r="JFD247" i="20"/>
  <c r="JEZ247" i="20" l="1"/>
  <c r="JEV247" i="20" s="1"/>
  <c r="JER247" i="20" s="1"/>
  <c r="JEN247" i="20" s="1"/>
  <c r="JEY247" i="20"/>
  <c r="JEU247" i="20" l="1"/>
  <c r="JEQ247" i="20" s="1"/>
  <c r="JEM247" i="20" s="1"/>
  <c r="JEI247" i="20" s="1"/>
  <c r="JET247" i="20"/>
  <c r="JEP247" i="20" l="1"/>
  <c r="JEL247" i="20" s="1"/>
  <c r="JEH247" i="20" s="1"/>
  <c r="JED247" i="20" s="1"/>
  <c r="JEO247" i="20"/>
  <c r="JEK247" i="20" l="1"/>
  <c r="JEG247" i="20" s="1"/>
  <c r="JEC247" i="20" s="1"/>
  <c r="JDY247" i="20" s="1"/>
  <c r="JEJ247" i="20"/>
  <c r="JEF247" i="20" l="1"/>
  <c r="JEB247" i="20" s="1"/>
  <c r="JDX247" i="20" s="1"/>
  <c r="JDT247" i="20" s="1"/>
  <c r="JEE247" i="20"/>
  <c r="JEA247" i="20" l="1"/>
  <c r="JDW247" i="20" s="1"/>
  <c r="JDS247" i="20" s="1"/>
  <c r="JDO247" i="20" s="1"/>
  <c r="JDZ247" i="20"/>
  <c r="JDV247" i="20" l="1"/>
  <c r="JDR247" i="20" s="1"/>
  <c r="JDN247" i="20" s="1"/>
  <c r="JDJ247" i="20" s="1"/>
  <c r="JDU247" i="20"/>
  <c r="JDQ247" i="20" l="1"/>
  <c r="JDM247" i="20" s="1"/>
  <c r="JDI247" i="20" s="1"/>
  <c r="JDE247" i="20" s="1"/>
  <c r="JDP247" i="20"/>
  <c r="JDL247" i="20" l="1"/>
  <c r="JDH247" i="20" s="1"/>
  <c r="JDD247" i="20" s="1"/>
  <c r="JCZ247" i="20" s="1"/>
  <c r="JDK247" i="20"/>
  <c r="JDG247" i="20" l="1"/>
  <c r="JDC247" i="20" s="1"/>
  <c r="JCY247" i="20" s="1"/>
  <c r="JCU247" i="20" s="1"/>
  <c r="JDF247" i="20"/>
  <c r="JDB247" i="20" l="1"/>
  <c r="JCX247" i="20" s="1"/>
  <c r="JCT247" i="20" s="1"/>
  <c r="JCP247" i="20" s="1"/>
  <c r="JDA247" i="20"/>
  <c r="JCW247" i="20" l="1"/>
  <c r="JCS247" i="20" s="1"/>
  <c r="JCO247" i="20" s="1"/>
  <c r="JCK247" i="20" s="1"/>
  <c r="JCV247" i="20"/>
  <c r="JCR247" i="20" l="1"/>
  <c r="JCN247" i="20" s="1"/>
  <c r="JCJ247" i="20" s="1"/>
  <c r="JCF247" i="20" s="1"/>
  <c r="JCQ247" i="20"/>
  <c r="JCM247" i="20" l="1"/>
  <c r="JCI247" i="20" s="1"/>
  <c r="JCE247" i="20" s="1"/>
  <c r="JCA247" i="20" s="1"/>
  <c r="JCL247" i="20"/>
  <c r="JCH247" i="20" l="1"/>
  <c r="JCD247" i="20" s="1"/>
  <c r="JBZ247" i="20" s="1"/>
  <c r="JBV247" i="20" s="1"/>
  <c r="JCG247" i="20"/>
  <c r="JCC247" i="20" l="1"/>
  <c r="JBY247" i="20" s="1"/>
  <c r="JBU247" i="20" s="1"/>
  <c r="JBQ247" i="20" s="1"/>
  <c r="JCB247" i="20"/>
  <c r="JBX247" i="20" l="1"/>
  <c r="JBT247" i="20" s="1"/>
  <c r="JBP247" i="20" s="1"/>
  <c r="JBL247" i="20" s="1"/>
  <c r="JBW247" i="20"/>
  <c r="JBS247" i="20" l="1"/>
  <c r="JBO247" i="20" s="1"/>
  <c r="JBK247" i="20" s="1"/>
  <c r="JBG247" i="20" s="1"/>
  <c r="JBR247" i="20"/>
  <c r="JBN247" i="20" l="1"/>
  <c r="JBJ247" i="20" s="1"/>
  <c r="JBF247" i="20" s="1"/>
  <c r="JBB247" i="20" s="1"/>
  <c r="JBM247" i="20"/>
  <c r="JBI247" i="20" l="1"/>
  <c r="JBE247" i="20" s="1"/>
  <c r="JBA247" i="20" s="1"/>
  <c r="JAW247" i="20" s="1"/>
  <c r="JBH247" i="20"/>
  <c r="JBD247" i="20" l="1"/>
  <c r="JAZ247" i="20" s="1"/>
  <c r="JAV247" i="20" s="1"/>
  <c r="JAR247" i="20" s="1"/>
  <c r="JBC247" i="20"/>
  <c r="JAY247" i="20" l="1"/>
  <c r="JAU247" i="20" s="1"/>
  <c r="JAQ247" i="20" s="1"/>
  <c r="JAM247" i="20" s="1"/>
  <c r="JAX247" i="20"/>
  <c r="JAT247" i="20" l="1"/>
  <c r="JAP247" i="20" s="1"/>
  <c r="JAL247" i="20" s="1"/>
  <c r="JAH247" i="20" s="1"/>
  <c r="JAS247" i="20"/>
  <c r="JAO247" i="20" l="1"/>
  <c r="JAK247" i="20" s="1"/>
  <c r="JAG247" i="20" s="1"/>
  <c r="JAC247" i="20" s="1"/>
  <c r="JAN247" i="20"/>
  <c r="JAJ247" i="20" l="1"/>
  <c r="JAF247" i="20" s="1"/>
  <c r="JAB247" i="20" s="1"/>
  <c r="IZX247" i="20" s="1"/>
  <c r="JAI247" i="20"/>
  <c r="JAE247" i="20" l="1"/>
  <c r="JAA247" i="20" s="1"/>
  <c r="IZW247" i="20" s="1"/>
  <c r="IZS247" i="20" s="1"/>
  <c r="JAD247" i="20"/>
  <c r="IZZ247" i="20" l="1"/>
  <c r="IZV247" i="20" s="1"/>
  <c r="IZR247" i="20" s="1"/>
  <c r="IZN247" i="20" s="1"/>
  <c r="IZY247" i="20"/>
  <c r="IZU247" i="20" l="1"/>
  <c r="IZQ247" i="20" s="1"/>
  <c r="IZM247" i="20" s="1"/>
  <c r="IZI247" i="20" s="1"/>
  <c r="IZT247" i="20"/>
  <c r="IZP247" i="20" l="1"/>
  <c r="IZL247" i="20" s="1"/>
  <c r="IZH247" i="20" s="1"/>
  <c r="IZD247" i="20" s="1"/>
  <c r="IZO247" i="20"/>
  <c r="IZK247" i="20" l="1"/>
  <c r="IZG247" i="20" s="1"/>
  <c r="IZC247" i="20" s="1"/>
  <c r="IYY247" i="20" s="1"/>
  <c r="IZJ247" i="20"/>
  <c r="IZF247" i="20" l="1"/>
  <c r="IZB247" i="20" s="1"/>
  <c r="IYX247" i="20" s="1"/>
  <c r="IYT247" i="20" s="1"/>
  <c r="IZE247" i="20"/>
  <c r="IZA247" i="20" l="1"/>
  <c r="IYW247" i="20" s="1"/>
  <c r="IYS247" i="20" s="1"/>
  <c r="IYO247" i="20" s="1"/>
  <c r="IYZ247" i="20"/>
  <c r="IYV247" i="20" l="1"/>
  <c r="IYR247" i="20" s="1"/>
  <c r="IYN247" i="20" s="1"/>
  <c r="IYJ247" i="20" s="1"/>
  <c r="IYU247" i="20"/>
  <c r="IYQ247" i="20" l="1"/>
  <c r="IYM247" i="20" s="1"/>
  <c r="IYI247" i="20" s="1"/>
  <c r="IYE247" i="20" s="1"/>
  <c r="IYP247" i="20"/>
  <c r="IYL247" i="20" l="1"/>
  <c r="IYH247" i="20" s="1"/>
  <c r="IYD247" i="20" s="1"/>
  <c r="IXZ247" i="20" s="1"/>
  <c r="IYK247" i="20"/>
  <c r="IYG247" i="20" l="1"/>
  <c r="IYC247" i="20" s="1"/>
  <c r="IXY247" i="20" s="1"/>
  <c r="IXU247" i="20" s="1"/>
  <c r="IYF247" i="20"/>
  <c r="IYB247" i="20" l="1"/>
  <c r="IXX247" i="20" s="1"/>
  <c r="IXT247" i="20" s="1"/>
  <c r="IXP247" i="20" s="1"/>
  <c r="IYA247" i="20"/>
  <c r="IXW247" i="20" l="1"/>
  <c r="IXS247" i="20" s="1"/>
  <c r="IXO247" i="20" s="1"/>
  <c r="IXK247" i="20" s="1"/>
  <c r="IXV247" i="20"/>
  <c r="IXR247" i="20" l="1"/>
  <c r="IXN247" i="20" s="1"/>
  <c r="IXJ247" i="20" s="1"/>
  <c r="IXF247" i="20" s="1"/>
  <c r="IXQ247" i="20"/>
  <c r="IXM247" i="20" l="1"/>
  <c r="IXI247" i="20" s="1"/>
  <c r="IXE247" i="20" s="1"/>
  <c r="IXA247" i="20" s="1"/>
  <c r="IXL247" i="20"/>
  <c r="IXH247" i="20" l="1"/>
  <c r="IXD247" i="20" s="1"/>
  <c r="IWZ247" i="20" s="1"/>
  <c r="IWV247" i="20" s="1"/>
  <c r="IXG247" i="20"/>
  <c r="IXC247" i="20" l="1"/>
  <c r="IWY247" i="20" s="1"/>
  <c r="IWU247" i="20" s="1"/>
  <c r="IWQ247" i="20" s="1"/>
  <c r="IXB247" i="20"/>
  <c r="IWX247" i="20" l="1"/>
  <c r="IWT247" i="20" s="1"/>
  <c r="IWP247" i="20" s="1"/>
  <c r="IWL247" i="20" s="1"/>
  <c r="IWW247" i="20"/>
  <c r="IWS247" i="20" l="1"/>
  <c r="IWO247" i="20" s="1"/>
  <c r="IWK247" i="20" s="1"/>
  <c r="IWG247" i="20" s="1"/>
  <c r="IWR247" i="20"/>
  <c r="IWN247" i="20" l="1"/>
  <c r="IWJ247" i="20" s="1"/>
  <c r="IWF247" i="20" s="1"/>
  <c r="IWB247" i="20" s="1"/>
  <c r="IWM247" i="20"/>
  <c r="IWI247" i="20" l="1"/>
  <c r="IWE247" i="20" s="1"/>
  <c r="IWA247" i="20" s="1"/>
  <c r="IVW247" i="20" s="1"/>
  <c r="IWH247" i="20"/>
  <c r="IWD247" i="20" l="1"/>
  <c r="IVZ247" i="20" s="1"/>
  <c r="IVV247" i="20" s="1"/>
  <c r="IVR247" i="20" s="1"/>
  <c r="IWC247" i="20"/>
  <c r="IVY247" i="20" l="1"/>
  <c r="IVU247" i="20" s="1"/>
  <c r="IVQ247" i="20" s="1"/>
  <c r="IVM247" i="20" s="1"/>
  <c r="IVX247" i="20"/>
  <c r="IVT247" i="20" l="1"/>
  <c r="IVP247" i="20" s="1"/>
  <c r="IVL247" i="20" s="1"/>
  <c r="IVH247" i="20" s="1"/>
  <c r="IVS247" i="20"/>
  <c r="IVO247" i="20" l="1"/>
  <c r="IVK247" i="20" s="1"/>
  <c r="IVG247" i="20" s="1"/>
  <c r="IVC247" i="20" s="1"/>
  <c r="IVN247" i="20"/>
  <c r="IVJ247" i="20" l="1"/>
  <c r="IVF247" i="20" s="1"/>
  <c r="IVB247" i="20" s="1"/>
  <c r="IUX247" i="20" s="1"/>
  <c r="IVI247" i="20"/>
  <c r="IVE247" i="20" l="1"/>
  <c r="IVA247" i="20" s="1"/>
  <c r="IUW247" i="20" s="1"/>
  <c r="IUS247" i="20" s="1"/>
  <c r="IVD247" i="20"/>
  <c r="IUZ247" i="20" l="1"/>
  <c r="IUV247" i="20" s="1"/>
  <c r="IUR247" i="20" s="1"/>
  <c r="IUN247" i="20" s="1"/>
  <c r="IUY247" i="20"/>
  <c r="IUU247" i="20" l="1"/>
  <c r="IUQ247" i="20" s="1"/>
  <c r="IUM247" i="20" s="1"/>
  <c r="IUI247" i="20" s="1"/>
  <c r="IUT247" i="20"/>
  <c r="IUP247" i="20" l="1"/>
  <c r="IUL247" i="20" s="1"/>
  <c r="IUH247" i="20" s="1"/>
  <c r="IUD247" i="20" s="1"/>
  <c r="IUO247" i="20"/>
  <c r="IUK247" i="20" l="1"/>
  <c r="IUG247" i="20" s="1"/>
  <c r="IUC247" i="20" s="1"/>
  <c r="ITY247" i="20" s="1"/>
  <c r="IUJ247" i="20"/>
  <c r="IUF247" i="20" l="1"/>
  <c r="IUB247" i="20" s="1"/>
  <c r="ITX247" i="20" s="1"/>
  <c r="ITT247" i="20" s="1"/>
  <c r="IUE247" i="20"/>
  <c r="IUA247" i="20" l="1"/>
  <c r="ITW247" i="20" s="1"/>
  <c r="ITS247" i="20" s="1"/>
  <c r="ITO247" i="20" s="1"/>
  <c r="ITZ247" i="20"/>
  <c r="ITV247" i="20" l="1"/>
  <c r="ITR247" i="20" s="1"/>
  <c r="ITN247" i="20" s="1"/>
  <c r="ITJ247" i="20" s="1"/>
  <c r="ITU247" i="20"/>
  <c r="ITQ247" i="20" l="1"/>
  <c r="ITM247" i="20" s="1"/>
  <c r="ITI247" i="20" s="1"/>
  <c r="ITE247" i="20" s="1"/>
  <c r="ITP247" i="20"/>
  <c r="ITL247" i="20" l="1"/>
  <c r="ITH247" i="20" s="1"/>
  <c r="ITD247" i="20" s="1"/>
  <c r="ISZ247" i="20" s="1"/>
  <c r="ITK247" i="20"/>
  <c r="ITG247" i="20" l="1"/>
  <c r="ITC247" i="20" s="1"/>
  <c r="ISY247" i="20" s="1"/>
  <c r="ISU247" i="20" s="1"/>
  <c r="ITF247" i="20"/>
  <c r="ITB247" i="20" l="1"/>
  <c r="ISX247" i="20" s="1"/>
  <c r="IST247" i="20" s="1"/>
  <c r="ISP247" i="20" s="1"/>
  <c r="ITA247" i="20"/>
  <c r="ISW247" i="20" l="1"/>
  <c r="ISS247" i="20" s="1"/>
  <c r="ISO247" i="20" s="1"/>
  <c r="ISK247" i="20" s="1"/>
  <c r="ISV247" i="20"/>
  <c r="ISR247" i="20" l="1"/>
  <c r="ISN247" i="20" s="1"/>
  <c r="ISJ247" i="20" s="1"/>
  <c r="ISF247" i="20" s="1"/>
  <c r="ISQ247" i="20"/>
  <c r="ISM247" i="20" l="1"/>
  <c r="ISI247" i="20" s="1"/>
  <c r="ISE247" i="20" s="1"/>
  <c r="ISA247" i="20" s="1"/>
  <c r="ISL247" i="20"/>
  <c r="ISH247" i="20" l="1"/>
  <c r="ISD247" i="20" s="1"/>
  <c r="IRZ247" i="20" s="1"/>
  <c r="IRV247" i="20" s="1"/>
  <c r="ISG247" i="20"/>
  <c r="ISC247" i="20" l="1"/>
  <c r="IRY247" i="20" s="1"/>
  <c r="IRU247" i="20" s="1"/>
  <c r="IRQ247" i="20" s="1"/>
  <c r="ISB247" i="20"/>
  <c r="IRX247" i="20" l="1"/>
  <c r="IRT247" i="20" s="1"/>
  <c r="IRP247" i="20" s="1"/>
  <c r="IRL247" i="20" s="1"/>
  <c r="IRW247" i="20"/>
  <c r="IRS247" i="20" l="1"/>
  <c r="IRO247" i="20" s="1"/>
  <c r="IRK247" i="20" s="1"/>
  <c r="IRG247" i="20" s="1"/>
  <c r="IRR247" i="20"/>
  <c r="IRN247" i="20" l="1"/>
  <c r="IRJ247" i="20" s="1"/>
  <c r="IRF247" i="20" s="1"/>
  <c r="IRB247" i="20" s="1"/>
  <c r="IRM247" i="20"/>
  <c r="IRI247" i="20" l="1"/>
  <c r="IRE247" i="20" s="1"/>
  <c r="IRA247" i="20" s="1"/>
  <c r="IQW247" i="20" s="1"/>
  <c r="IRH247" i="20"/>
  <c r="IRD247" i="20" l="1"/>
  <c r="IQZ247" i="20" s="1"/>
  <c r="IQV247" i="20" s="1"/>
  <c r="IQR247" i="20" s="1"/>
  <c r="IRC247" i="20"/>
  <c r="IQY247" i="20" l="1"/>
  <c r="IQU247" i="20" s="1"/>
  <c r="IQQ247" i="20" s="1"/>
  <c r="IQM247" i="20" s="1"/>
  <c r="IQX247" i="20"/>
  <c r="IQT247" i="20" l="1"/>
  <c r="IQP247" i="20" s="1"/>
  <c r="IQL247" i="20" s="1"/>
  <c r="IQH247" i="20" s="1"/>
  <c r="IQS247" i="20"/>
  <c r="IQO247" i="20" l="1"/>
  <c r="IQK247" i="20" s="1"/>
  <c r="IQG247" i="20" s="1"/>
  <c r="IQC247" i="20" s="1"/>
  <c r="IQN247" i="20"/>
  <c r="IQJ247" i="20" l="1"/>
  <c r="IQF247" i="20" s="1"/>
  <c r="IQB247" i="20" s="1"/>
  <c r="IPX247" i="20" s="1"/>
  <c r="IQI247" i="20"/>
  <c r="IQE247" i="20" l="1"/>
  <c r="IQA247" i="20" s="1"/>
  <c r="IPW247" i="20" s="1"/>
  <c r="IPS247" i="20" s="1"/>
  <c r="IQD247" i="20"/>
  <c r="IPZ247" i="20" l="1"/>
  <c r="IPV247" i="20" s="1"/>
  <c r="IPR247" i="20" s="1"/>
  <c r="IPN247" i="20" s="1"/>
  <c r="IPY247" i="20"/>
  <c r="IPU247" i="20" l="1"/>
  <c r="IPQ247" i="20" s="1"/>
  <c r="IPM247" i="20" s="1"/>
  <c r="IPI247" i="20" s="1"/>
  <c r="IPT247" i="20"/>
  <c r="IPP247" i="20" l="1"/>
  <c r="IPL247" i="20" s="1"/>
  <c r="IPH247" i="20" s="1"/>
  <c r="IPD247" i="20" s="1"/>
  <c r="IPO247" i="20"/>
  <c r="IPK247" i="20" l="1"/>
  <c r="IPG247" i="20" s="1"/>
  <c r="IPC247" i="20" s="1"/>
  <c r="IOY247" i="20" s="1"/>
  <c r="IPJ247" i="20"/>
  <c r="IPF247" i="20" l="1"/>
  <c r="IPB247" i="20" s="1"/>
  <c r="IOX247" i="20" s="1"/>
  <c r="IOT247" i="20" s="1"/>
  <c r="IPE247" i="20"/>
  <c r="IPA247" i="20" l="1"/>
  <c r="IOW247" i="20" s="1"/>
  <c r="IOS247" i="20" s="1"/>
  <c r="IOO247" i="20" s="1"/>
  <c r="IOZ247" i="20"/>
  <c r="IOV247" i="20" l="1"/>
  <c r="IOR247" i="20" s="1"/>
  <c r="ION247" i="20" s="1"/>
  <c r="IOJ247" i="20" s="1"/>
  <c r="IOU247" i="20"/>
  <c r="IOQ247" i="20" l="1"/>
  <c r="IOM247" i="20" s="1"/>
  <c r="IOI247" i="20" s="1"/>
  <c r="IOE247" i="20" s="1"/>
  <c r="IOP247" i="20"/>
  <c r="IOL247" i="20" l="1"/>
  <c r="IOH247" i="20" s="1"/>
  <c r="IOD247" i="20" s="1"/>
  <c r="INZ247" i="20" s="1"/>
  <c r="IOK247" i="20"/>
  <c r="IOG247" i="20" l="1"/>
  <c r="IOC247" i="20" s="1"/>
  <c r="INY247" i="20" s="1"/>
  <c r="INU247" i="20" s="1"/>
  <c r="IOF247" i="20"/>
  <c r="IOB247" i="20" l="1"/>
  <c r="INX247" i="20" s="1"/>
  <c r="INT247" i="20" s="1"/>
  <c r="INP247" i="20" s="1"/>
  <c r="IOA247" i="20"/>
  <c r="INW247" i="20" l="1"/>
  <c r="INS247" i="20" s="1"/>
  <c r="INO247" i="20" s="1"/>
  <c r="INK247" i="20" s="1"/>
  <c r="INV247" i="20"/>
  <c r="INR247" i="20" l="1"/>
  <c r="INN247" i="20" s="1"/>
  <c r="INJ247" i="20" s="1"/>
  <c r="INF247" i="20" s="1"/>
  <c r="INQ247" i="20"/>
  <c r="INM247" i="20" l="1"/>
  <c r="INI247" i="20" s="1"/>
  <c r="INE247" i="20" s="1"/>
  <c r="INA247" i="20" s="1"/>
  <c r="INL247" i="20"/>
  <c r="INH247" i="20" l="1"/>
  <c r="IND247" i="20" s="1"/>
  <c r="IMZ247" i="20" s="1"/>
  <c r="IMV247" i="20" s="1"/>
  <c r="ING247" i="20"/>
  <c r="INC247" i="20" l="1"/>
  <c r="IMY247" i="20" s="1"/>
  <c r="IMU247" i="20" s="1"/>
  <c r="IMQ247" i="20" s="1"/>
  <c r="INB247" i="20"/>
  <c r="IMX247" i="20" l="1"/>
  <c r="IMT247" i="20" s="1"/>
  <c r="IMP247" i="20" s="1"/>
  <c r="IML247" i="20" s="1"/>
  <c r="IMW247" i="20"/>
  <c r="IMS247" i="20" l="1"/>
  <c r="IMO247" i="20" s="1"/>
  <c r="IMK247" i="20" s="1"/>
  <c r="IMG247" i="20" s="1"/>
  <c r="IMR247" i="20"/>
  <c r="IMN247" i="20" l="1"/>
  <c r="IMJ247" i="20" s="1"/>
  <c r="IMF247" i="20" s="1"/>
  <c r="IMB247" i="20" s="1"/>
  <c r="IMM247" i="20"/>
  <c r="IMI247" i="20" l="1"/>
  <c r="IME247" i="20" s="1"/>
  <c r="IMA247" i="20" s="1"/>
  <c r="ILW247" i="20" s="1"/>
  <c r="IMH247" i="20"/>
  <c r="IMD247" i="20" l="1"/>
  <c r="ILZ247" i="20" s="1"/>
  <c r="ILV247" i="20" s="1"/>
  <c r="ILR247" i="20" s="1"/>
  <c r="IMC247" i="20"/>
  <c r="ILY247" i="20" l="1"/>
  <c r="ILU247" i="20" s="1"/>
  <c r="ILQ247" i="20" s="1"/>
  <c r="ILM247" i="20" s="1"/>
  <c r="ILX247" i="20"/>
  <c r="ILT247" i="20" l="1"/>
  <c r="ILP247" i="20" s="1"/>
  <c r="ILL247" i="20" s="1"/>
  <c r="ILH247" i="20" s="1"/>
  <c r="ILS247" i="20"/>
  <c r="ILO247" i="20" l="1"/>
  <c r="ILK247" i="20" s="1"/>
  <c r="ILG247" i="20" s="1"/>
  <c r="ILC247" i="20" s="1"/>
  <c r="ILN247" i="20"/>
  <c r="ILJ247" i="20" l="1"/>
  <c r="ILF247" i="20" s="1"/>
  <c r="ILB247" i="20" s="1"/>
  <c r="IKX247" i="20" s="1"/>
  <c r="ILI247" i="20"/>
  <c r="ILE247" i="20" l="1"/>
  <c r="ILA247" i="20" s="1"/>
  <c r="IKW247" i="20" s="1"/>
  <c r="IKS247" i="20" s="1"/>
  <c r="ILD247" i="20"/>
  <c r="IKZ247" i="20" l="1"/>
  <c r="IKV247" i="20" s="1"/>
  <c r="IKR247" i="20" s="1"/>
  <c r="IKN247" i="20" s="1"/>
  <c r="IKY247" i="20"/>
  <c r="IKU247" i="20" l="1"/>
  <c r="IKQ247" i="20" s="1"/>
  <c r="IKM247" i="20" s="1"/>
  <c r="IKI247" i="20" s="1"/>
  <c r="IKT247" i="20"/>
  <c r="IKP247" i="20" l="1"/>
  <c r="IKL247" i="20" s="1"/>
  <c r="IKH247" i="20" s="1"/>
  <c r="IKD247" i="20" s="1"/>
  <c r="IKO247" i="20"/>
  <c r="IKK247" i="20" l="1"/>
  <c r="IKG247" i="20" s="1"/>
  <c r="IKC247" i="20" s="1"/>
  <c r="IJY247" i="20" s="1"/>
  <c r="IKJ247" i="20"/>
  <c r="IKF247" i="20" l="1"/>
  <c r="IKB247" i="20" s="1"/>
  <c r="IJX247" i="20" s="1"/>
  <c r="IJT247" i="20" s="1"/>
  <c r="IKE247" i="20"/>
  <c r="IKA247" i="20" l="1"/>
  <c r="IJW247" i="20" s="1"/>
  <c r="IJS247" i="20" s="1"/>
  <c r="IJO247" i="20" s="1"/>
  <c r="IJZ247" i="20"/>
  <c r="IJV247" i="20" l="1"/>
  <c r="IJR247" i="20" s="1"/>
  <c r="IJN247" i="20" s="1"/>
  <c r="IJJ247" i="20" s="1"/>
  <c r="IJU247" i="20"/>
  <c r="IJQ247" i="20" l="1"/>
  <c r="IJM247" i="20" s="1"/>
  <c r="IJI247" i="20" s="1"/>
  <c r="IJE247" i="20" s="1"/>
  <c r="IJP247" i="20"/>
  <c r="IJL247" i="20" l="1"/>
  <c r="IJH247" i="20" s="1"/>
  <c r="IJD247" i="20" s="1"/>
  <c r="IIZ247" i="20" s="1"/>
  <c r="IJK247" i="20"/>
  <c r="IJG247" i="20" l="1"/>
  <c r="IJC247" i="20" s="1"/>
  <c r="IIY247" i="20" s="1"/>
  <c r="IIU247" i="20" s="1"/>
  <c r="IJF247" i="20"/>
  <c r="IJB247" i="20" l="1"/>
  <c r="IIX247" i="20" s="1"/>
  <c r="IIT247" i="20" s="1"/>
  <c r="IIP247" i="20" s="1"/>
  <c r="IJA247" i="20"/>
  <c r="IIW247" i="20" l="1"/>
  <c r="IIS247" i="20" s="1"/>
  <c r="IIO247" i="20" s="1"/>
  <c r="IIK247" i="20" s="1"/>
  <c r="IIV247" i="20"/>
  <c r="IIR247" i="20" l="1"/>
  <c r="IIN247" i="20" s="1"/>
  <c r="IIJ247" i="20" s="1"/>
  <c r="IIF247" i="20" s="1"/>
  <c r="IIQ247" i="20"/>
  <c r="IIM247" i="20" l="1"/>
  <c r="III247" i="20" s="1"/>
  <c r="IIE247" i="20" s="1"/>
  <c r="IIA247" i="20" s="1"/>
  <c r="IIL247" i="20"/>
  <c r="IIH247" i="20" l="1"/>
  <c r="IID247" i="20" s="1"/>
  <c r="IHZ247" i="20" s="1"/>
  <c r="IHV247" i="20" s="1"/>
  <c r="IIG247" i="20"/>
  <c r="IIC247" i="20" l="1"/>
  <c r="IHY247" i="20" s="1"/>
  <c r="IHU247" i="20" s="1"/>
  <c r="IHQ247" i="20" s="1"/>
  <c r="IIB247" i="20"/>
  <c r="IHX247" i="20" l="1"/>
  <c r="IHT247" i="20" s="1"/>
  <c r="IHP247" i="20" s="1"/>
  <c r="IHL247" i="20" s="1"/>
  <c r="IHW247" i="20"/>
  <c r="IHS247" i="20" l="1"/>
  <c r="IHO247" i="20" s="1"/>
  <c r="IHK247" i="20" s="1"/>
  <c r="IHG247" i="20" s="1"/>
  <c r="IHR247" i="20"/>
  <c r="IHN247" i="20" l="1"/>
  <c r="IHJ247" i="20" s="1"/>
  <c r="IHF247" i="20" s="1"/>
  <c r="IHB247" i="20" s="1"/>
  <c r="IHM247" i="20"/>
  <c r="IHI247" i="20" l="1"/>
  <c r="IHE247" i="20" s="1"/>
  <c r="IHA247" i="20" s="1"/>
  <c r="IGW247" i="20" s="1"/>
  <c r="IHH247" i="20"/>
  <c r="IHD247" i="20" l="1"/>
  <c r="IGZ247" i="20" s="1"/>
  <c r="IGV247" i="20" s="1"/>
  <c r="IGR247" i="20" s="1"/>
  <c r="IHC247" i="20"/>
  <c r="IGY247" i="20" l="1"/>
  <c r="IGU247" i="20" s="1"/>
  <c r="IGQ247" i="20" s="1"/>
  <c r="IGM247" i="20" s="1"/>
  <c r="IGX247" i="20"/>
  <c r="IGT247" i="20" l="1"/>
  <c r="IGP247" i="20" s="1"/>
  <c r="IGL247" i="20" s="1"/>
  <c r="IGH247" i="20" s="1"/>
  <c r="IGS247" i="20"/>
  <c r="IGO247" i="20" l="1"/>
  <c r="IGK247" i="20" s="1"/>
  <c r="IGG247" i="20" s="1"/>
  <c r="IGC247" i="20" s="1"/>
  <c r="IGN247" i="20"/>
  <c r="IGJ247" i="20" l="1"/>
  <c r="IGF247" i="20" s="1"/>
  <c r="IGB247" i="20" s="1"/>
  <c r="IFX247" i="20" s="1"/>
  <c r="IGI247" i="20"/>
  <c r="IGE247" i="20" l="1"/>
  <c r="IGA247" i="20" s="1"/>
  <c r="IFW247" i="20" s="1"/>
  <c r="IFS247" i="20" s="1"/>
  <c r="IGD247" i="20"/>
  <c r="IFZ247" i="20" l="1"/>
  <c r="IFV247" i="20" s="1"/>
  <c r="IFR247" i="20" s="1"/>
  <c r="IFN247" i="20" s="1"/>
  <c r="IFY247" i="20"/>
  <c r="IFU247" i="20" l="1"/>
  <c r="IFQ247" i="20" s="1"/>
  <c r="IFM247" i="20" s="1"/>
  <c r="IFI247" i="20" s="1"/>
  <c r="IFT247" i="20"/>
  <c r="IFP247" i="20" l="1"/>
  <c r="IFL247" i="20" s="1"/>
  <c r="IFH247" i="20" s="1"/>
  <c r="IFD247" i="20" s="1"/>
  <c r="IFO247" i="20"/>
  <c r="IFK247" i="20" l="1"/>
  <c r="IFG247" i="20" s="1"/>
  <c r="IFC247" i="20" s="1"/>
  <c r="IEY247" i="20" s="1"/>
  <c r="IFJ247" i="20"/>
  <c r="IFF247" i="20" l="1"/>
  <c r="IFB247" i="20" s="1"/>
  <c r="IEX247" i="20" s="1"/>
  <c r="IET247" i="20" s="1"/>
  <c r="IFE247" i="20"/>
  <c r="IFA247" i="20" l="1"/>
  <c r="IEW247" i="20" s="1"/>
  <c r="IES247" i="20" s="1"/>
  <c r="IEO247" i="20" s="1"/>
  <c r="IEZ247" i="20"/>
  <c r="IEV247" i="20" l="1"/>
  <c r="IER247" i="20" s="1"/>
  <c r="IEN247" i="20" s="1"/>
  <c r="IEJ247" i="20" s="1"/>
  <c r="IEU247" i="20"/>
  <c r="IEQ247" i="20" l="1"/>
  <c r="IEM247" i="20" s="1"/>
  <c r="IEI247" i="20" s="1"/>
  <c r="IEE247" i="20" s="1"/>
  <c r="IEP247" i="20"/>
  <c r="IEL247" i="20" l="1"/>
  <c r="IEH247" i="20" s="1"/>
  <c r="IED247" i="20" s="1"/>
  <c r="IDZ247" i="20" s="1"/>
  <c r="IEK247" i="20"/>
  <c r="IEG247" i="20" l="1"/>
  <c r="IEC247" i="20" s="1"/>
  <c r="IDY247" i="20" s="1"/>
  <c r="IDU247" i="20" s="1"/>
  <c r="IEF247" i="20"/>
  <c r="IEB247" i="20" l="1"/>
  <c r="IDX247" i="20" s="1"/>
  <c r="IDT247" i="20" s="1"/>
  <c r="IDP247" i="20" s="1"/>
  <c r="IEA247" i="20"/>
  <c r="IDW247" i="20" l="1"/>
  <c r="IDS247" i="20" s="1"/>
  <c r="IDO247" i="20" s="1"/>
  <c r="IDK247" i="20" s="1"/>
  <c r="IDV247" i="20"/>
  <c r="IDR247" i="20" l="1"/>
  <c r="IDN247" i="20" s="1"/>
  <c r="IDJ247" i="20" s="1"/>
  <c r="IDF247" i="20" s="1"/>
  <c r="IDQ247" i="20"/>
  <c r="IDM247" i="20" l="1"/>
  <c r="IDI247" i="20" s="1"/>
  <c r="IDE247" i="20" s="1"/>
  <c r="IDA247" i="20" s="1"/>
  <c r="IDL247" i="20"/>
  <c r="IDH247" i="20" l="1"/>
  <c r="IDD247" i="20" s="1"/>
  <c r="ICZ247" i="20" s="1"/>
  <c r="ICV247" i="20" s="1"/>
  <c r="IDG247" i="20"/>
  <c r="IDC247" i="20" l="1"/>
  <c r="ICY247" i="20" s="1"/>
  <c r="ICU247" i="20" s="1"/>
  <c r="ICQ247" i="20" s="1"/>
  <c r="IDB247" i="20"/>
  <c r="ICX247" i="20" l="1"/>
  <c r="ICT247" i="20" s="1"/>
  <c r="ICP247" i="20" s="1"/>
  <c r="ICL247" i="20" s="1"/>
  <c r="ICW247" i="20"/>
  <c r="ICS247" i="20" l="1"/>
  <c r="ICO247" i="20" s="1"/>
  <c r="ICK247" i="20" s="1"/>
  <c r="ICG247" i="20" s="1"/>
  <c r="ICR247" i="20"/>
  <c r="ICN247" i="20" l="1"/>
  <c r="ICJ247" i="20" s="1"/>
  <c r="ICF247" i="20" s="1"/>
  <c r="ICB247" i="20" s="1"/>
  <c r="ICM247" i="20"/>
  <c r="ICI247" i="20" l="1"/>
  <c r="ICE247" i="20" s="1"/>
  <c r="ICA247" i="20" s="1"/>
  <c r="IBW247" i="20" s="1"/>
  <c r="ICH247" i="20"/>
  <c r="ICD247" i="20" l="1"/>
  <c r="IBZ247" i="20" s="1"/>
  <c r="IBV247" i="20" s="1"/>
  <c r="IBR247" i="20" s="1"/>
  <c r="ICC247" i="20"/>
  <c r="IBY247" i="20" l="1"/>
  <c r="IBU247" i="20" s="1"/>
  <c r="IBQ247" i="20" s="1"/>
  <c r="IBM247" i="20" s="1"/>
  <c r="IBX247" i="20"/>
  <c r="IBT247" i="20" l="1"/>
  <c r="IBP247" i="20" s="1"/>
  <c r="IBL247" i="20" s="1"/>
  <c r="IBH247" i="20" s="1"/>
  <c r="IBS247" i="20"/>
  <c r="IBO247" i="20" l="1"/>
  <c r="IBK247" i="20" s="1"/>
  <c r="IBG247" i="20" s="1"/>
  <c r="IBC247" i="20" s="1"/>
  <c r="IBN247" i="20"/>
  <c r="IBJ247" i="20" l="1"/>
  <c r="IBF247" i="20" s="1"/>
  <c r="IBB247" i="20" s="1"/>
  <c r="IAX247" i="20" s="1"/>
  <c r="IBI247" i="20"/>
  <c r="IBE247" i="20" l="1"/>
  <c r="IBA247" i="20" s="1"/>
  <c r="IAW247" i="20" s="1"/>
  <c r="IAS247" i="20" s="1"/>
  <c r="IBD247" i="20"/>
  <c r="IAZ247" i="20" l="1"/>
  <c r="IAV247" i="20" s="1"/>
  <c r="IAR247" i="20" s="1"/>
  <c r="IAN247" i="20" s="1"/>
  <c r="IAY247" i="20"/>
  <c r="IAU247" i="20" l="1"/>
  <c r="IAQ247" i="20" s="1"/>
  <c r="IAM247" i="20" s="1"/>
  <c r="IAI247" i="20" s="1"/>
  <c r="IAT247" i="20"/>
  <c r="IAP247" i="20" l="1"/>
  <c r="IAL247" i="20" s="1"/>
  <c r="IAH247" i="20" s="1"/>
  <c r="IAD247" i="20" s="1"/>
  <c r="IAO247" i="20"/>
  <c r="IAK247" i="20" l="1"/>
  <c r="IAG247" i="20" s="1"/>
  <c r="IAC247" i="20" s="1"/>
  <c r="HZY247" i="20" s="1"/>
  <c r="IAJ247" i="20"/>
  <c r="IAF247" i="20" l="1"/>
  <c r="IAB247" i="20" s="1"/>
  <c r="HZX247" i="20" s="1"/>
  <c r="HZT247" i="20" s="1"/>
  <c r="IAE247" i="20"/>
  <c r="IAA247" i="20" l="1"/>
  <c r="HZW247" i="20" s="1"/>
  <c r="HZS247" i="20" s="1"/>
  <c r="HZO247" i="20" s="1"/>
  <c r="HZZ247" i="20"/>
  <c r="HZV247" i="20" l="1"/>
  <c r="HZR247" i="20" s="1"/>
  <c r="HZN247" i="20" s="1"/>
  <c r="HZJ247" i="20" s="1"/>
  <c r="HZU247" i="20"/>
  <c r="HZQ247" i="20" l="1"/>
  <c r="HZM247" i="20" s="1"/>
  <c r="HZI247" i="20" s="1"/>
  <c r="HZE247" i="20" s="1"/>
  <c r="HZP247" i="20"/>
  <c r="HZL247" i="20" l="1"/>
  <c r="HZH247" i="20" s="1"/>
  <c r="HZD247" i="20" s="1"/>
  <c r="HYZ247" i="20" s="1"/>
  <c r="HZK247" i="20"/>
  <c r="HZG247" i="20" l="1"/>
  <c r="HZC247" i="20" s="1"/>
  <c r="HYY247" i="20" s="1"/>
  <c r="HYU247" i="20" s="1"/>
  <c r="HZF247" i="20"/>
  <c r="HZB247" i="20" l="1"/>
  <c r="HYX247" i="20" s="1"/>
  <c r="HYT247" i="20" s="1"/>
  <c r="HYP247" i="20" s="1"/>
  <c r="HZA247" i="20"/>
  <c r="HYW247" i="20" l="1"/>
  <c r="HYS247" i="20" s="1"/>
  <c r="HYO247" i="20" s="1"/>
  <c r="HYK247" i="20" s="1"/>
  <c r="HYV247" i="20"/>
  <c r="HYR247" i="20" l="1"/>
  <c r="HYN247" i="20" s="1"/>
  <c r="HYJ247" i="20" s="1"/>
  <c r="HYF247" i="20" s="1"/>
  <c r="HYQ247" i="20"/>
  <c r="HYM247" i="20" l="1"/>
  <c r="HYI247" i="20" s="1"/>
  <c r="HYE247" i="20" s="1"/>
  <c r="HYA247" i="20" s="1"/>
  <c r="HYL247" i="20"/>
  <c r="HYH247" i="20" l="1"/>
  <c r="HYD247" i="20" s="1"/>
  <c r="HXZ247" i="20" s="1"/>
  <c r="HXV247" i="20" s="1"/>
  <c r="HYG247" i="20"/>
  <c r="HYC247" i="20" l="1"/>
  <c r="HXY247" i="20" s="1"/>
  <c r="HXU247" i="20" s="1"/>
  <c r="HXQ247" i="20" s="1"/>
  <c r="HYB247" i="20"/>
  <c r="HXX247" i="20" l="1"/>
  <c r="HXT247" i="20" s="1"/>
  <c r="HXP247" i="20" s="1"/>
  <c r="HXL247" i="20" s="1"/>
  <c r="HXW247" i="20"/>
  <c r="HXS247" i="20" l="1"/>
  <c r="HXO247" i="20" s="1"/>
  <c r="HXK247" i="20" s="1"/>
  <c r="HXG247" i="20" s="1"/>
  <c r="HXR247" i="20"/>
  <c r="HXN247" i="20" l="1"/>
  <c r="HXJ247" i="20" s="1"/>
  <c r="HXF247" i="20" s="1"/>
  <c r="HXB247" i="20" s="1"/>
  <c r="HXM247" i="20"/>
  <c r="HXI247" i="20" l="1"/>
  <c r="HXE247" i="20" s="1"/>
  <c r="HXA247" i="20" s="1"/>
  <c r="HWW247" i="20" s="1"/>
  <c r="HXH247" i="20"/>
  <c r="HXD247" i="20" l="1"/>
  <c r="HWZ247" i="20" s="1"/>
  <c r="HWV247" i="20" s="1"/>
  <c r="HWR247" i="20" s="1"/>
  <c r="HXC247" i="20"/>
  <c r="HWY247" i="20" l="1"/>
  <c r="HWU247" i="20" s="1"/>
  <c r="HWQ247" i="20" s="1"/>
  <c r="HWM247" i="20" s="1"/>
  <c r="HWX247" i="20"/>
  <c r="HWT247" i="20" l="1"/>
  <c r="HWP247" i="20" s="1"/>
  <c r="HWL247" i="20" s="1"/>
  <c r="HWH247" i="20" s="1"/>
  <c r="HWS247" i="20"/>
  <c r="HWO247" i="20" l="1"/>
  <c r="HWK247" i="20" s="1"/>
  <c r="HWG247" i="20" s="1"/>
  <c r="HWC247" i="20" s="1"/>
  <c r="HWN247" i="20"/>
  <c r="HWJ247" i="20" l="1"/>
  <c r="HWF247" i="20" s="1"/>
  <c r="HWB247" i="20" s="1"/>
  <c r="HVX247" i="20" s="1"/>
  <c r="HWI247" i="20"/>
  <c r="HWE247" i="20" l="1"/>
  <c r="HWA247" i="20" s="1"/>
  <c r="HVW247" i="20" s="1"/>
  <c r="HVS247" i="20" s="1"/>
  <c r="HWD247" i="20"/>
  <c r="HVZ247" i="20" l="1"/>
  <c r="HVV247" i="20" s="1"/>
  <c r="HVR247" i="20" s="1"/>
  <c r="HVN247" i="20" s="1"/>
  <c r="HVY247" i="20"/>
  <c r="HVU247" i="20" l="1"/>
  <c r="HVQ247" i="20" s="1"/>
  <c r="HVM247" i="20" s="1"/>
  <c r="HVI247" i="20" s="1"/>
  <c r="HVT247" i="20"/>
  <c r="HVP247" i="20" l="1"/>
  <c r="HVL247" i="20" s="1"/>
  <c r="HVH247" i="20" s="1"/>
  <c r="HVD247" i="20" s="1"/>
  <c r="HVO247" i="20"/>
  <c r="HVK247" i="20" l="1"/>
  <c r="HVG247" i="20" s="1"/>
  <c r="HVC247" i="20" s="1"/>
  <c r="HUY247" i="20" s="1"/>
  <c r="HVJ247" i="20"/>
  <c r="HVF247" i="20" l="1"/>
  <c r="HVB247" i="20" s="1"/>
  <c r="HUX247" i="20" s="1"/>
  <c r="HUT247" i="20" s="1"/>
  <c r="HVE247" i="20"/>
  <c r="HVA247" i="20" l="1"/>
  <c r="HUW247" i="20" s="1"/>
  <c r="HUS247" i="20" s="1"/>
  <c r="HUO247" i="20" s="1"/>
  <c r="HUZ247" i="20"/>
  <c r="HUV247" i="20" l="1"/>
  <c r="HUR247" i="20" s="1"/>
  <c r="HUN247" i="20" s="1"/>
  <c r="HUJ247" i="20" s="1"/>
  <c r="HUU247" i="20"/>
  <c r="HUQ247" i="20" l="1"/>
  <c r="HUM247" i="20" s="1"/>
  <c r="HUI247" i="20" s="1"/>
  <c r="HUE247" i="20" s="1"/>
  <c r="HUP247" i="20"/>
  <c r="HUL247" i="20" l="1"/>
  <c r="HUH247" i="20" s="1"/>
  <c r="HUD247" i="20" s="1"/>
  <c r="HTZ247" i="20" s="1"/>
  <c r="HUK247" i="20"/>
  <c r="HUG247" i="20" l="1"/>
  <c r="HUC247" i="20" s="1"/>
  <c r="HTY247" i="20" s="1"/>
  <c r="HTU247" i="20" s="1"/>
  <c r="HUF247" i="20"/>
  <c r="HUB247" i="20" l="1"/>
  <c r="HTX247" i="20" s="1"/>
  <c r="HTT247" i="20" s="1"/>
  <c r="HTP247" i="20" s="1"/>
  <c r="HUA247" i="20"/>
  <c r="HTW247" i="20" l="1"/>
  <c r="HTS247" i="20" s="1"/>
  <c r="HTO247" i="20" s="1"/>
  <c r="HTK247" i="20" s="1"/>
  <c r="HTV247" i="20"/>
  <c r="HTR247" i="20" l="1"/>
  <c r="HTN247" i="20" s="1"/>
  <c r="HTJ247" i="20" s="1"/>
  <c r="HTF247" i="20" s="1"/>
  <c r="HTQ247" i="20"/>
  <c r="HTM247" i="20" l="1"/>
  <c r="HTI247" i="20" s="1"/>
  <c r="HTE247" i="20" s="1"/>
  <c r="HTA247" i="20" s="1"/>
  <c r="HTL247" i="20"/>
  <c r="HTH247" i="20" l="1"/>
  <c r="HTD247" i="20" s="1"/>
  <c r="HSZ247" i="20" s="1"/>
  <c r="HSV247" i="20" s="1"/>
  <c r="HTG247" i="20"/>
  <c r="HTC247" i="20" l="1"/>
  <c r="HSY247" i="20" s="1"/>
  <c r="HSU247" i="20" s="1"/>
  <c r="HSQ247" i="20" s="1"/>
  <c r="HTB247" i="20"/>
  <c r="HSX247" i="20" l="1"/>
  <c r="HST247" i="20" s="1"/>
  <c r="HSP247" i="20" s="1"/>
  <c r="HSL247" i="20" s="1"/>
  <c r="HSW247" i="20"/>
  <c r="HSS247" i="20" l="1"/>
  <c r="HSO247" i="20" s="1"/>
  <c r="HSK247" i="20" s="1"/>
  <c r="HSG247" i="20" s="1"/>
  <c r="HSR247" i="20"/>
  <c r="HSN247" i="20" l="1"/>
  <c r="HSJ247" i="20" s="1"/>
  <c r="HSF247" i="20" s="1"/>
  <c r="HSB247" i="20" s="1"/>
  <c r="HSM247" i="20"/>
  <c r="HSI247" i="20" l="1"/>
  <c r="HSE247" i="20" s="1"/>
  <c r="HSA247" i="20" s="1"/>
  <c r="HRW247" i="20" s="1"/>
  <c r="HSH247" i="20"/>
  <c r="HSD247" i="20" l="1"/>
  <c r="HRZ247" i="20" s="1"/>
  <c r="HRV247" i="20" s="1"/>
  <c r="HRR247" i="20" s="1"/>
  <c r="HSC247" i="20"/>
  <c r="HRY247" i="20" l="1"/>
  <c r="HRU247" i="20" s="1"/>
  <c r="HRQ247" i="20" s="1"/>
  <c r="HRM247" i="20" s="1"/>
  <c r="HRX247" i="20"/>
  <c r="HRT247" i="20" l="1"/>
  <c r="HRP247" i="20" s="1"/>
  <c r="HRL247" i="20" s="1"/>
  <c r="HRH247" i="20" s="1"/>
  <c r="HRS247" i="20"/>
  <c r="HRO247" i="20" l="1"/>
  <c r="HRK247" i="20" s="1"/>
  <c r="HRG247" i="20" s="1"/>
  <c r="HRC247" i="20" s="1"/>
  <c r="HRN247" i="20"/>
  <c r="HRJ247" i="20" l="1"/>
  <c r="HRF247" i="20" s="1"/>
  <c r="HRB247" i="20" s="1"/>
  <c r="HQX247" i="20" s="1"/>
  <c r="HRI247" i="20"/>
  <c r="HRE247" i="20" l="1"/>
  <c r="HRA247" i="20" s="1"/>
  <c r="HQW247" i="20" s="1"/>
  <c r="HQS247" i="20" s="1"/>
  <c r="HRD247" i="20"/>
  <c r="HQZ247" i="20" l="1"/>
  <c r="HQV247" i="20" s="1"/>
  <c r="HQR247" i="20" s="1"/>
  <c r="HQN247" i="20" s="1"/>
  <c r="HQY247" i="20"/>
  <c r="HQU247" i="20" l="1"/>
  <c r="HQQ247" i="20" s="1"/>
  <c r="HQM247" i="20" s="1"/>
  <c r="HQI247" i="20" s="1"/>
  <c r="HQT247" i="20"/>
  <c r="HQP247" i="20" l="1"/>
  <c r="HQL247" i="20" s="1"/>
  <c r="HQH247" i="20" s="1"/>
  <c r="HQD247" i="20" s="1"/>
  <c r="HQO247" i="20"/>
  <c r="HQK247" i="20" l="1"/>
  <c r="HQG247" i="20" s="1"/>
  <c r="HQC247" i="20" s="1"/>
  <c r="HPY247" i="20" s="1"/>
  <c r="HQJ247" i="20"/>
  <c r="HQF247" i="20" l="1"/>
  <c r="HQB247" i="20" s="1"/>
  <c r="HPX247" i="20" s="1"/>
  <c r="HPT247" i="20" s="1"/>
  <c r="HQE247" i="20"/>
  <c r="HQA247" i="20" l="1"/>
  <c r="HPW247" i="20" s="1"/>
  <c r="HPS247" i="20" s="1"/>
  <c r="HPO247" i="20" s="1"/>
  <c r="HPZ247" i="20"/>
  <c r="HPV247" i="20" l="1"/>
  <c r="HPR247" i="20" s="1"/>
  <c r="HPN247" i="20" s="1"/>
  <c r="HPJ247" i="20" s="1"/>
  <c r="HPU247" i="20"/>
  <c r="HPQ247" i="20" l="1"/>
  <c r="HPM247" i="20" s="1"/>
  <c r="HPI247" i="20" s="1"/>
  <c r="HPE247" i="20" s="1"/>
  <c r="HPP247" i="20"/>
  <c r="HPL247" i="20" l="1"/>
  <c r="HPH247" i="20" s="1"/>
  <c r="HPD247" i="20" s="1"/>
  <c r="HOZ247" i="20" s="1"/>
  <c r="HPK247" i="20"/>
  <c r="HPG247" i="20" l="1"/>
  <c r="HPC247" i="20" s="1"/>
  <c r="HOY247" i="20" s="1"/>
  <c r="HOU247" i="20" s="1"/>
  <c r="HPF247" i="20"/>
  <c r="HPB247" i="20" l="1"/>
  <c r="HOX247" i="20" s="1"/>
  <c r="HOT247" i="20" s="1"/>
  <c r="HOP247" i="20" s="1"/>
  <c r="HPA247" i="20"/>
  <c r="HOW247" i="20" l="1"/>
  <c r="HOS247" i="20" s="1"/>
  <c r="HOO247" i="20" s="1"/>
  <c r="HOK247" i="20" s="1"/>
  <c r="HOV247" i="20"/>
  <c r="HOR247" i="20" l="1"/>
  <c r="HON247" i="20" s="1"/>
  <c r="HOJ247" i="20" s="1"/>
  <c r="HOF247" i="20" s="1"/>
  <c r="HOQ247" i="20"/>
  <c r="HOM247" i="20" l="1"/>
  <c r="HOI247" i="20" s="1"/>
  <c r="HOE247" i="20" s="1"/>
  <c r="HOA247" i="20" s="1"/>
  <c r="HOL247" i="20"/>
  <c r="HOH247" i="20" l="1"/>
  <c r="HOD247" i="20" s="1"/>
  <c r="HNZ247" i="20" s="1"/>
  <c r="HNV247" i="20" s="1"/>
  <c r="HOG247" i="20"/>
  <c r="HOC247" i="20" l="1"/>
  <c r="HNY247" i="20" s="1"/>
  <c r="HNU247" i="20" s="1"/>
  <c r="HNQ247" i="20" s="1"/>
  <c r="HOB247" i="20"/>
  <c r="HNX247" i="20" l="1"/>
  <c r="HNT247" i="20" s="1"/>
  <c r="HNP247" i="20" s="1"/>
  <c r="HNL247" i="20" s="1"/>
  <c r="HNW247" i="20"/>
  <c r="HNS247" i="20" l="1"/>
  <c r="HNO247" i="20" s="1"/>
  <c r="HNK247" i="20" s="1"/>
  <c r="HNG247" i="20" s="1"/>
  <c r="HNR247" i="20"/>
  <c r="HNN247" i="20" l="1"/>
  <c r="HNJ247" i="20" s="1"/>
  <c r="HNF247" i="20" s="1"/>
  <c r="HNB247" i="20" s="1"/>
  <c r="HNM247" i="20"/>
  <c r="HNI247" i="20" l="1"/>
  <c r="HNE247" i="20" s="1"/>
  <c r="HNA247" i="20" s="1"/>
  <c r="HMW247" i="20" s="1"/>
  <c r="HNH247" i="20"/>
  <c r="HND247" i="20" l="1"/>
  <c r="HMZ247" i="20" s="1"/>
  <c r="HMV247" i="20" s="1"/>
  <c r="HMR247" i="20" s="1"/>
  <c r="HNC247" i="20"/>
  <c r="HMY247" i="20" l="1"/>
  <c r="HMU247" i="20" s="1"/>
  <c r="HMQ247" i="20" s="1"/>
  <c r="HMM247" i="20" s="1"/>
  <c r="HMX247" i="20"/>
  <c r="HMT247" i="20" l="1"/>
  <c r="HMP247" i="20" s="1"/>
  <c r="HML247" i="20" s="1"/>
  <c r="HMH247" i="20" s="1"/>
  <c r="HMS247" i="20"/>
  <c r="HMO247" i="20" l="1"/>
  <c r="HMK247" i="20" s="1"/>
  <c r="HMG247" i="20" s="1"/>
  <c r="HMC247" i="20" s="1"/>
  <c r="HMN247" i="20"/>
  <c r="HMJ247" i="20" l="1"/>
  <c r="HMF247" i="20" s="1"/>
  <c r="HMB247" i="20" s="1"/>
  <c r="HLX247" i="20" s="1"/>
  <c r="HMI247" i="20"/>
  <c r="HME247" i="20" l="1"/>
  <c r="HMA247" i="20" s="1"/>
  <c r="HLW247" i="20" s="1"/>
  <c r="HLS247" i="20" s="1"/>
  <c r="HMD247" i="20"/>
  <c r="HLZ247" i="20" l="1"/>
  <c r="HLV247" i="20" s="1"/>
  <c r="HLR247" i="20" s="1"/>
  <c r="HLN247" i="20" s="1"/>
  <c r="HLY247" i="20"/>
  <c r="HLU247" i="20" l="1"/>
  <c r="HLQ247" i="20" s="1"/>
  <c r="HLM247" i="20" s="1"/>
  <c r="HLI247" i="20" s="1"/>
  <c r="HLT247" i="20"/>
  <c r="HLP247" i="20" l="1"/>
  <c r="HLL247" i="20" s="1"/>
  <c r="HLH247" i="20" s="1"/>
  <c r="HLD247" i="20" s="1"/>
  <c r="HLO247" i="20"/>
  <c r="HLK247" i="20" l="1"/>
  <c r="HLG247" i="20" s="1"/>
  <c r="HLC247" i="20" s="1"/>
  <c r="HKY247" i="20" s="1"/>
  <c r="HLJ247" i="20"/>
  <c r="HLF247" i="20" l="1"/>
  <c r="HLB247" i="20" s="1"/>
  <c r="HKX247" i="20" s="1"/>
  <c r="HKT247" i="20" s="1"/>
  <c r="HLE247" i="20"/>
  <c r="HLA247" i="20" l="1"/>
  <c r="HKW247" i="20" s="1"/>
  <c r="HKS247" i="20" s="1"/>
  <c r="HKO247" i="20" s="1"/>
  <c r="HKZ247" i="20"/>
  <c r="HKV247" i="20" l="1"/>
  <c r="HKR247" i="20" s="1"/>
  <c r="HKN247" i="20" s="1"/>
  <c r="HKJ247" i="20" s="1"/>
  <c r="HKU247" i="20"/>
  <c r="HKQ247" i="20" l="1"/>
  <c r="HKM247" i="20" s="1"/>
  <c r="HKI247" i="20" s="1"/>
  <c r="HKE247" i="20" s="1"/>
  <c r="HKP247" i="20"/>
  <c r="HKL247" i="20" l="1"/>
  <c r="HKH247" i="20" s="1"/>
  <c r="HKD247" i="20" s="1"/>
  <c r="HJZ247" i="20" s="1"/>
  <c r="HKK247" i="20"/>
  <c r="HKG247" i="20" l="1"/>
  <c r="HKC247" i="20" s="1"/>
  <c r="HJY247" i="20" s="1"/>
  <c r="HJU247" i="20" s="1"/>
  <c r="HKF247" i="20"/>
  <c r="HKB247" i="20" l="1"/>
  <c r="HJX247" i="20" s="1"/>
  <c r="HJT247" i="20" s="1"/>
  <c r="HJP247" i="20" s="1"/>
  <c r="HKA247" i="20"/>
  <c r="HJW247" i="20" l="1"/>
  <c r="HJS247" i="20" s="1"/>
  <c r="HJO247" i="20" s="1"/>
  <c r="HJK247" i="20" s="1"/>
  <c r="HJV247" i="20"/>
  <c r="HJR247" i="20" l="1"/>
  <c r="HJN247" i="20" s="1"/>
  <c r="HJJ247" i="20" s="1"/>
  <c r="HJF247" i="20" s="1"/>
  <c r="HJQ247" i="20"/>
  <c r="HJM247" i="20" l="1"/>
  <c r="HJI247" i="20" s="1"/>
  <c r="HJE247" i="20" s="1"/>
  <c r="HJA247" i="20" s="1"/>
  <c r="HJL247" i="20"/>
  <c r="HJH247" i="20" l="1"/>
  <c r="HJD247" i="20" s="1"/>
  <c r="HIZ247" i="20" s="1"/>
  <c r="HIV247" i="20" s="1"/>
  <c r="HJG247" i="20"/>
  <c r="HJC247" i="20" l="1"/>
  <c r="HIY247" i="20" s="1"/>
  <c r="HIU247" i="20" s="1"/>
  <c r="HIQ247" i="20" s="1"/>
  <c r="HJB247" i="20"/>
  <c r="HIX247" i="20" l="1"/>
  <c r="HIT247" i="20" s="1"/>
  <c r="HIP247" i="20" s="1"/>
  <c r="HIL247" i="20" s="1"/>
  <c r="HIW247" i="20"/>
  <c r="HIS247" i="20" l="1"/>
  <c r="HIO247" i="20" s="1"/>
  <c r="HIK247" i="20" s="1"/>
  <c r="HIG247" i="20" s="1"/>
  <c r="HIR247" i="20"/>
  <c r="HIN247" i="20" l="1"/>
  <c r="HIJ247" i="20" s="1"/>
  <c r="HIF247" i="20" s="1"/>
  <c r="HIB247" i="20" s="1"/>
  <c r="HIM247" i="20"/>
  <c r="HII247" i="20" l="1"/>
  <c r="HIE247" i="20" s="1"/>
  <c r="HIA247" i="20" s="1"/>
  <c r="HHW247" i="20" s="1"/>
  <c r="HIH247" i="20"/>
  <c r="HID247" i="20" l="1"/>
  <c r="HHZ247" i="20" s="1"/>
  <c r="HHV247" i="20" s="1"/>
  <c r="HHR247" i="20" s="1"/>
  <c r="HIC247" i="20"/>
  <c r="HHY247" i="20" l="1"/>
  <c r="HHU247" i="20" s="1"/>
  <c r="HHQ247" i="20" s="1"/>
  <c r="HHM247" i="20" s="1"/>
  <c r="HHX247" i="20"/>
  <c r="HHT247" i="20" l="1"/>
  <c r="HHP247" i="20" s="1"/>
  <c r="HHL247" i="20" s="1"/>
  <c r="HHH247" i="20" s="1"/>
  <c r="HHS247" i="20"/>
  <c r="HHO247" i="20" l="1"/>
  <c r="HHK247" i="20" s="1"/>
  <c r="HHG247" i="20" s="1"/>
  <c r="HHC247" i="20" s="1"/>
  <c r="HHN247" i="20"/>
  <c r="HHJ247" i="20" l="1"/>
  <c r="HHF247" i="20" s="1"/>
  <c r="HHB247" i="20" s="1"/>
  <c r="HGX247" i="20" s="1"/>
  <c r="HHI247" i="20"/>
  <c r="HHE247" i="20" l="1"/>
  <c r="HHA247" i="20" s="1"/>
  <c r="HGW247" i="20" s="1"/>
  <c r="HGS247" i="20" s="1"/>
  <c r="HHD247" i="20"/>
  <c r="HGZ247" i="20" l="1"/>
  <c r="HGV247" i="20" s="1"/>
  <c r="HGR247" i="20" s="1"/>
  <c r="HGN247" i="20" s="1"/>
  <c r="HGY247" i="20"/>
  <c r="HGU247" i="20" l="1"/>
  <c r="HGQ247" i="20" s="1"/>
  <c r="HGM247" i="20" s="1"/>
  <c r="HGI247" i="20" s="1"/>
  <c r="HGT247" i="20"/>
  <c r="HGP247" i="20" l="1"/>
  <c r="HGL247" i="20" s="1"/>
  <c r="HGH247" i="20" s="1"/>
  <c r="HGD247" i="20" s="1"/>
  <c r="HGO247" i="20"/>
  <c r="HGK247" i="20" l="1"/>
  <c r="HGG247" i="20" s="1"/>
  <c r="HGC247" i="20" s="1"/>
  <c r="HFY247" i="20" s="1"/>
  <c r="HGJ247" i="20"/>
  <c r="HGF247" i="20" l="1"/>
  <c r="HGB247" i="20" s="1"/>
  <c r="HFX247" i="20" s="1"/>
  <c r="HFT247" i="20" s="1"/>
  <c r="HGE247" i="20"/>
  <c r="HGA247" i="20" l="1"/>
  <c r="HFW247" i="20" s="1"/>
  <c r="HFS247" i="20" s="1"/>
  <c r="HFO247" i="20" s="1"/>
  <c r="HFZ247" i="20"/>
  <c r="HFV247" i="20" l="1"/>
  <c r="HFR247" i="20" s="1"/>
  <c r="HFN247" i="20" s="1"/>
  <c r="HFJ247" i="20" s="1"/>
  <c r="HFU247" i="20"/>
  <c r="HFQ247" i="20" l="1"/>
  <c r="HFM247" i="20" s="1"/>
  <c r="HFI247" i="20" s="1"/>
  <c r="HFE247" i="20" s="1"/>
  <c r="HFP247" i="20"/>
  <c r="HFL247" i="20" l="1"/>
  <c r="HFH247" i="20" s="1"/>
  <c r="HFD247" i="20" s="1"/>
  <c r="HEZ247" i="20" s="1"/>
  <c r="HFK247" i="20"/>
  <c r="HFG247" i="20" l="1"/>
  <c r="HFC247" i="20" s="1"/>
  <c r="HEY247" i="20" s="1"/>
  <c r="HEU247" i="20" s="1"/>
  <c r="HFF247" i="20"/>
  <c r="HFB247" i="20" l="1"/>
  <c r="HEX247" i="20" s="1"/>
  <c r="HET247" i="20" s="1"/>
  <c r="HEP247" i="20" s="1"/>
  <c r="HFA247" i="20"/>
  <c r="HEW247" i="20" l="1"/>
  <c r="HES247" i="20" s="1"/>
  <c r="HEO247" i="20" s="1"/>
  <c r="HEK247" i="20" s="1"/>
  <c r="HEV247" i="20"/>
  <c r="HER247" i="20" l="1"/>
  <c r="HEN247" i="20" s="1"/>
  <c r="HEJ247" i="20" s="1"/>
  <c r="HEF247" i="20" s="1"/>
  <c r="HEQ247" i="20"/>
  <c r="HEM247" i="20" l="1"/>
  <c r="HEI247" i="20" s="1"/>
  <c r="HEE247" i="20" s="1"/>
  <c r="HEA247" i="20" s="1"/>
  <c r="HEL247" i="20"/>
  <c r="HEH247" i="20" l="1"/>
  <c r="HED247" i="20" s="1"/>
  <c r="HDZ247" i="20" s="1"/>
  <c r="HDV247" i="20" s="1"/>
  <c r="HEG247" i="20"/>
  <c r="HEC247" i="20" l="1"/>
  <c r="HDY247" i="20" s="1"/>
  <c r="HDU247" i="20" s="1"/>
  <c r="HDQ247" i="20" s="1"/>
  <c r="HEB247" i="20"/>
  <c r="HDX247" i="20" l="1"/>
  <c r="HDT247" i="20" s="1"/>
  <c r="HDP247" i="20" s="1"/>
  <c r="HDL247" i="20" s="1"/>
  <c r="HDW247" i="20"/>
  <c r="HDS247" i="20" l="1"/>
  <c r="HDO247" i="20" s="1"/>
  <c r="HDK247" i="20" s="1"/>
  <c r="HDG247" i="20" s="1"/>
  <c r="HDR247" i="20"/>
  <c r="HDN247" i="20" l="1"/>
  <c r="HDJ247" i="20" s="1"/>
  <c r="HDF247" i="20" s="1"/>
  <c r="HDB247" i="20" s="1"/>
  <c r="HDM247" i="20"/>
  <c r="HDI247" i="20" l="1"/>
  <c r="HDE247" i="20" s="1"/>
  <c r="HDA247" i="20" s="1"/>
  <c r="HCW247" i="20" s="1"/>
  <c r="HDH247" i="20"/>
  <c r="HDD247" i="20" l="1"/>
  <c r="HCZ247" i="20" s="1"/>
  <c r="HCV247" i="20" s="1"/>
  <c r="HCR247" i="20" s="1"/>
  <c r="HDC247" i="20"/>
  <c r="HCY247" i="20" l="1"/>
  <c r="HCU247" i="20" s="1"/>
  <c r="HCQ247" i="20" s="1"/>
  <c r="HCM247" i="20" s="1"/>
  <c r="HCX247" i="20"/>
  <c r="HCT247" i="20" l="1"/>
  <c r="HCP247" i="20" s="1"/>
  <c r="HCL247" i="20" s="1"/>
  <c r="HCH247" i="20" s="1"/>
  <c r="HCS247" i="20"/>
  <c r="HCO247" i="20" l="1"/>
  <c r="HCK247" i="20" s="1"/>
  <c r="HCG247" i="20" s="1"/>
  <c r="HCC247" i="20" s="1"/>
  <c r="HCN247" i="20"/>
  <c r="HCJ247" i="20" l="1"/>
  <c r="HCF247" i="20" s="1"/>
  <c r="HCB247" i="20" s="1"/>
  <c r="HBX247" i="20" s="1"/>
  <c r="HCI247" i="20"/>
  <c r="HCE247" i="20" l="1"/>
  <c r="HCA247" i="20" s="1"/>
  <c r="HBW247" i="20" s="1"/>
  <c r="HBS247" i="20" s="1"/>
  <c r="HCD247" i="20"/>
  <c r="HBZ247" i="20" l="1"/>
  <c r="HBV247" i="20" s="1"/>
  <c r="HBR247" i="20" s="1"/>
  <c r="HBN247" i="20" s="1"/>
  <c r="HBY247" i="20"/>
  <c r="HBU247" i="20" l="1"/>
  <c r="HBQ247" i="20" s="1"/>
  <c r="HBM247" i="20" s="1"/>
  <c r="HBI247" i="20" s="1"/>
  <c r="HBT247" i="20"/>
  <c r="HBP247" i="20" l="1"/>
  <c r="HBL247" i="20" s="1"/>
  <c r="HBH247" i="20" s="1"/>
  <c r="HBD247" i="20" s="1"/>
  <c r="HBO247" i="20"/>
  <c r="HBK247" i="20" l="1"/>
  <c r="HBG247" i="20" s="1"/>
  <c r="HBC247" i="20" s="1"/>
  <c r="HAY247" i="20" s="1"/>
  <c r="HBJ247" i="20"/>
  <c r="HBF247" i="20" l="1"/>
  <c r="HBB247" i="20" s="1"/>
  <c r="HAX247" i="20" s="1"/>
  <c r="HAT247" i="20" s="1"/>
  <c r="HBE247" i="20"/>
  <c r="HBA247" i="20" l="1"/>
  <c r="HAW247" i="20" s="1"/>
  <c r="HAS247" i="20" s="1"/>
  <c r="HAO247" i="20" s="1"/>
  <c r="HAZ247" i="20"/>
  <c r="HAV247" i="20" l="1"/>
  <c r="HAR247" i="20" s="1"/>
  <c r="HAN247" i="20" s="1"/>
  <c r="HAJ247" i="20" s="1"/>
  <c r="HAU247" i="20"/>
  <c r="HAQ247" i="20" l="1"/>
  <c r="HAM247" i="20" s="1"/>
  <c r="HAI247" i="20" s="1"/>
  <c r="HAE247" i="20" s="1"/>
  <c r="HAP247" i="20"/>
  <c r="HAL247" i="20" l="1"/>
  <c r="HAH247" i="20" s="1"/>
  <c r="HAD247" i="20" s="1"/>
  <c r="GZZ247" i="20" s="1"/>
  <c r="HAK247" i="20"/>
  <c r="HAG247" i="20" l="1"/>
  <c r="HAC247" i="20" s="1"/>
  <c r="GZY247" i="20" s="1"/>
  <c r="GZU247" i="20" s="1"/>
  <c r="HAF247" i="20"/>
  <c r="HAB247" i="20" l="1"/>
  <c r="GZX247" i="20" s="1"/>
  <c r="GZT247" i="20" s="1"/>
  <c r="GZP247" i="20" s="1"/>
  <c r="HAA247" i="20"/>
  <c r="GZW247" i="20" l="1"/>
  <c r="GZS247" i="20" s="1"/>
  <c r="GZO247" i="20" s="1"/>
  <c r="GZK247" i="20" s="1"/>
  <c r="GZV247" i="20"/>
  <c r="GZR247" i="20" l="1"/>
  <c r="GZN247" i="20" s="1"/>
  <c r="GZJ247" i="20" s="1"/>
  <c r="GZF247" i="20" s="1"/>
  <c r="GZQ247" i="20"/>
  <c r="GZM247" i="20" l="1"/>
  <c r="GZI247" i="20" s="1"/>
  <c r="GZE247" i="20" s="1"/>
  <c r="GZA247" i="20" s="1"/>
  <c r="GZL247" i="20"/>
  <c r="GZH247" i="20" l="1"/>
  <c r="GZD247" i="20" s="1"/>
  <c r="GYZ247" i="20" s="1"/>
  <c r="GYV247" i="20" s="1"/>
  <c r="GZG247" i="20"/>
  <c r="GZC247" i="20" l="1"/>
  <c r="GYY247" i="20" s="1"/>
  <c r="GYU247" i="20" s="1"/>
  <c r="GYQ247" i="20" s="1"/>
  <c r="GZB247" i="20"/>
  <c r="GYX247" i="20" l="1"/>
  <c r="GYT247" i="20" s="1"/>
  <c r="GYP247" i="20" s="1"/>
  <c r="GYL247" i="20" s="1"/>
  <c r="GYW247" i="20"/>
  <c r="GYS247" i="20" l="1"/>
  <c r="GYO247" i="20" s="1"/>
  <c r="GYK247" i="20" s="1"/>
  <c r="GYG247" i="20" s="1"/>
  <c r="GYR247" i="20"/>
  <c r="GYN247" i="20" l="1"/>
  <c r="GYJ247" i="20" s="1"/>
  <c r="GYF247" i="20" s="1"/>
  <c r="GYB247" i="20" s="1"/>
  <c r="GYM247" i="20"/>
  <c r="GYI247" i="20" l="1"/>
  <c r="GYE247" i="20" s="1"/>
  <c r="GYA247" i="20" s="1"/>
  <c r="GXW247" i="20" s="1"/>
  <c r="GYH247" i="20"/>
  <c r="GYD247" i="20" l="1"/>
  <c r="GXZ247" i="20" s="1"/>
  <c r="GXV247" i="20" s="1"/>
  <c r="GXR247" i="20" s="1"/>
  <c r="GYC247" i="20"/>
  <c r="GXY247" i="20" l="1"/>
  <c r="GXU247" i="20" s="1"/>
  <c r="GXQ247" i="20" s="1"/>
  <c r="GXM247" i="20" s="1"/>
  <c r="GXX247" i="20"/>
  <c r="GXT247" i="20" l="1"/>
  <c r="GXP247" i="20" s="1"/>
  <c r="GXL247" i="20" s="1"/>
  <c r="GXH247" i="20" s="1"/>
  <c r="GXS247" i="20"/>
  <c r="GXO247" i="20" l="1"/>
  <c r="GXK247" i="20" s="1"/>
  <c r="GXG247" i="20" s="1"/>
  <c r="GXC247" i="20" s="1"/>
  <c r="GXN247" i="20"/>
  <c r="GXJ247" i="20" l="1"/>
  <c r="GXF247" i="20" s="1"/>
  <c r="GXB247" i="20" s="1"/>
  <c r="GWX247" i="20" s="1"/>
  <c r="GXI247" i="20"/>
  <c r="GXE247" i="20" l="1"/>
  <c r="GXA247" i="20" s="1"/>
  <c r="GWW247" i="20" s="1"/>
  <c r="GWS247" i="20" s="1"/>
  <c r="GXD247" i="20"/>
  <c r="GWZ247" i="20" l="1"/>
  <c r="GWV247" i="20" s="1"/>
  <c r="GWR247" i="20" s="1"/>
  <c r="GWN247" i="20" s="1"/>
  <c r="GWY247" i="20"/>
  <c r="GWU247" i="20" l="1"/>
  <c r="GWQ247" i="20" s="1"/>
  <c r="GWM247" i="20" s="1"/>
  <c r="GWI247" i="20" s="1"/>
  <c r="GWT247" i="20"/>
  <c r="GWP247" i="20" l="1"/>
  <c r="GWL247" i="20" s="1"/>
  <c r="GWH247" i="20" s="1"/>
  <c r="GWD247" i="20" s="1"/>
  <c r="GWO247" i="20"/>
  <c r="GWK247" i="20" l="1"/>
  <c r="GWG247" i="20" s="1"/>
  <c r="GWC247" i="20" s="1"/>
  <c r="GVY247" i="20" s="1"/>
  <c r="GWJ247" i="20"/>
  <c r="GWF247" i="20" l="1"/>
  <c r="GWB247" i="20" s="1"/>
  <c r="GVX247" i="20" s="1"/>
  <c r="GVT247" i="20" s="1"/>
  <c r="GWE247" i="20"/>
  <c r="GWA247" i="20" l="1"/>
  <c r="GVW247" i="20" s="1"/>
  <c r="GVS247" i="20" s="1"/>
  <c r="GVO247" i="20" s="1"/>
  <c r="GVZ247" i="20"/>
  <c r="GVV247" i="20" l="1"/>
  <c r="GVR247" i="20" s="1"/>
  <c r="GVN247" i="20" s="1"/>
  <c r="GVJ247" i="20" s="1"/>
  <c r="GVU247" i="20"/>
  <c r="GVQ247" i="20" l="1"/>
  <c r="GVM247" i="20" s="1"/>
  <c r="GVI247" i="20" s="1"/>
  <c r="GVE247" i="20" s="1"/>
  <c r="GVP247" i="20"/>
  <c r="GVL247" i="20" l="1"/>
  <c r="GVH247" i="20" s="1"/>
  <c r="GVD247" i="20" s="1"/>
  <c r="GUZ247" i="20" s="1"/>
  <c r="GVK247" i="20"/>
  <c r="GVG247" i="20" l="1"/>
  <c r="GVC247" i="20" s="1"/>
  <c r="GUY247" i="20" s="1"/>
  <c r="GUU247" i="20" s="1"/>
  <c r="GVF247" i="20"/>
  <c r="GVB247" i="20" l="1"/>
  <c r="GUX247" i="20" s="1"/>
  <c r="GUT247" i="20" s="1"/>
  <c r="GUP247" i="20" s="1"/>
  <c r="GVA247" i="20"/>
  <c r="GUW247" i="20" l="1"/>
  <c r="GUS247" i="20" s="1"/>
  <c r="GUO247" i="20" s="1"/>
  <c r="GUK247" i="20" s="1"/>
  <c r="GUV247" i="20"/>
  <c r="GUR247" i="20" l="1"/>
  <c r="GUN247" i="20" s="1"/>
  <c r="GUJ247" i="20" s="1"/>
  <c r="GUF247" i="20" s="1"/>
  <c r="GUQ247" i="20"/>
  <c r="GUM247" i="20" l="1"/>
  <c r="GUI247" i="20" s="1"/>
  <c r="GUE247" i="20" s="1"/>
  <c r="GUA247" i="20" s="1"/>
  <c r="GUL247" i="20"/>
  <c r="GUH247" i="20" l="1"/>
  <c r="GUD247" i="20" s="1"/>
  <c r="GTZ247" i="20" s="1"/>
  <c r="GTV247" i="20" s="1"/>
  <c r="GUG247" i="20"/>
  <c r="GUC247" i="20" l="1"/>
  <c r="GTY247" i="20" s="1"/>
  <c r="GTU247" i="20" s="1"/>
  <c r="GTQ247" i="20" s="1"/>
  <c r="GUB247" i="20"/>
  <c r="GTX247" i="20" l="1"/>
  <c r="GTT247" i="20" s="1"/>
  <c r="GTP247" i="20" s="1"/>
  <c r="GTL247" i="20" s="1"/>
  <c r="GTW247" i="20"/>
  <c r="GTS247" i="20" l="1"/>
  <c r="GTO247" i="20" s="1"/>
  <c r="GTK247" i="20" s="1"/>
  <c r="GTG247" i="20" s="1"/>
  <c r="GTR247" i="20"/>
  <c r="GTN247" i="20" l="1"/>
  <c r="GTJ247" i="20" s="1"/>
  <c r="GTF247" i="20" s="1"/>
  <c r="GTB247" i="20" s="1"/>
  <c r="GTM247" i="20"/>
  <c r="GTI247" i="20" l="1"/>
  <c r="GTE247" i="20" s="1"/>
  <c r="GTA247" i="20" s="1"/>
  <c r="GSW247" i="20" s="1"/>
  <c r="GTH247" i="20"/>
  <c r="GTD247" i="20" l="1"/>
  <c r="GSZ247" i="20" s="1"/>
  <c r="GSV247" i="20" s="1"/>
  <c r="GSR247" i="20" s="1"/>
  <c r="GTC247" i="20"/>
  <c r="GSY247" i="20" l="1"/>
  <c r="GSU247" i="20" s="1"/>
  <c r="GSQ247" i="20" s="1"/>
  <c r="GSM247" i="20" s="1"/>
  <c r="GSX247" i="20"/>
  <c r="GST247" i="20" l="1"/>
  <c r="GSP247" i="20" s="1"/>
  <c r="GSL247" i="20" s="1"/>
  <c r="GSH247" i="20" s="1"/>
  <c r="GSS247" i="20"/>
  <c r="GSO247" i="20" l="1"/>
  <c r="GSK247" i="20" s="1"/>
  <c r="GSG247" i="20" s="1"/>
  <c r="GSC247" i="20" s="1"/>
  <c r="GSN247" i="20"/>
  <c r="GSJ247" i="20" l="1"/>
  <c r="GSF247" i="20" s="1"/>
  <c r="GSB247" i="20" s="1"/>
  <c r="GRX247" i="20" s="1"/>
  <c r="GSI247" i="20"/>
  <c r="GSE247" i="20" l="1"/>
  <c r="GSA247" i="20" s="1"/>
  <c r="GRW247" i="20" s="1"/>
  <c r="GRS247" i="20" s="1"/>
  <c r="GSD247" i="20"/>
  <c r="GRZ247" i="20" l="1"/>
  <c r="GRV247" i="20" s="1"/>
  <c r="GRR247" i="20" s="1"/>
  <c r="GRN247" i="20" s="1"/>
  <c r="GRY247" i="20"/>
  <c r="GRU247" i="20" l="1"/>
  <c r="GRQ247" i="20" s="1"/>
  <c r="GRM247" i="20" s="1"/>
  <c r="GRI247" i="20" s="1"/>
  <c r="GRT247" i="20"/>
  <c r="GRP247" i="20" l="1"/>
  <c r="GRL247" i="20" s="1"/>
  <c r="GRH247" i="20" s="1"/>
  <c r="GRD247" i="20" s="1"/>
  <c r="GRO247" i="20"/>
  <c r="GRK247" i="20" l="1"/>
  <c r="GRG247" i="20" s="1"/>
  <c r="GRC247" i="20" s="1"/>
  <c r="GQY247" i="20" s="1"/>
  <c r="GRJ247" i="20"/>
  <c r="GRF247" i="20" l="1"/>
  <c r="GRB247" i="20" s="1"/>
  <c r="GQX247" i="20" s="1"/>
  <c r="GQT247" i="20" s="1"/>
  <c r="GRE247" i="20"/>
  <c r="GRA247" i="20" l="1"/>
  <c r="GQW247" i="20" s="1"/>
  <c r="GQS247" i="20" s="1"/>
  <c r="GQO247" i="20" s="1"/>
  <c r="GQZ247" i="20"/>
  <c r="GQV247" i="20" l="1"/>
  <c r="GQR247" i="20" s="1"/>
  <c r="GQN247" i="20" s="1"/>
  <c r="GQJ247" i="20" s="1"/>
  <c r="GQU247" i="20"/>
  <c r="GQQ247" i="20" l="1"/>
  <c r="GQM247" i="20" s="1"/>
  <c r="GQI247" i="20" s="1"/>
  <c r="GQE247" i="20" s="1"/>
  <c r="GQP247" i="20"/>
  <c r="GQL247" i="20" l="1"/>
  <c r="GQH247" i="20" s="1"/>
  <c r="GQD247" i="20" s="1"/>
  <c r="GPZ247" i="20" s="1"/>
  <c r="GQK247" i="20"/>
  <c r="GQG247" i="20" l="1"/>
  <c r="GQC247" i="20" s="1"/>
  <c r="GPY247" i="20" s="1"/>
  <c r="GPU247" i="20" s="1"/>
  <c r="GQF247" i="20"/>
  <c r="GQB247" i="20" l="1"/>
  <c r="GPX247" i="20" s="1"/>
  <c r="GPT247" i="20" s="1"/>
  <c r="GPP247" i="20" s="1"/>
  <c r="GQA247" i="20"/>
  <c r="GPW247" i="20" l="1"/>
  <c r="GPS247" i="20" s="1"/>
  <c r="GPO247" i="20" s="1"/>
  <c r="GPK247" i="20" s="1"/>
  <c r="GPV247" i="20"/>
  <c r="GPR247" i="20" l="1"/>
  <c r="GPN247" i="20" s="1"/>
  <c r="GPJ247" i="20" s="1"/>
  <c r="GPF247" i="20" s="1"/>
  <c r="GPQ247" i="20"/>
  <c r="GPM247" i="20" l="1"/>
  <c r="GPI247" i="20" s="1"/>
  <c r="GPE247" i="20" s="1"/>
  <c r="GPA247" i="20" s="1"/>
  <c r="GPL247" i="20"/>
  <c r="GPH247" i="20" l="1"/>
  <c r="GPD247" i="20" s="1"/>
  <c r="GOZ247" i="20" s="1"/>
  <c r="GOV247" i="20" s="1"/>
  <c r="GPG247" i="20"/>
  <c r="GPC247" i="20" l="1"/>
  <c r="GOY247" i="20" s="1"/>
  <c r="GOU247" i="20" s="1"/>
  <c r="GOQ247" i="20" s="1"/>
  <c r="GPB247" i="20"/>
  <c r="GOX247" i="20" l="1"/>
  <c r="GOT247" i="20" s="1"/>
  <c r="GOP247" i="20" s="1"/>
  <c r="GOL247" i="20" s="1"/>
  <c r="GOW247" i="20"/>
  <c r="GOS247" i="20" l="1"/>
  <c r="GOO247" i="20" s="1"/>
  <c r="GOK247" i="20" s="1"/>
  <c r="GOG247" i="20" s="1"/>
  <c r="GOR247" i="20"/>
  <c r="GON247" i="20" l="1"/>
  <c r="GOJ247" i="20" s="1"/>
  <c r="GOF247" i="20" s="1"/>
  <c r="GOB247" i="20" s="1"/>
  <c r="GOM247" i="20"/>
  <c r="GOI247" i="20" l="1"/>
  <c r="GOE247" i="20" s="1"/>
  <c r="GOA247" i="20" s="1"/>
  <c r="GNW247" i="20" s="1"/>
  <c r="GOH247" i="20"/>
  <c r="GOD247" i="20" l="1"/>
  <c r="GNZ247" i="20" s="1"/>
  <c r="GNV247" i="20" s="1"/>
  <c r="GNR247" i="20" s="1"/>
  <c r="GOC247" i="20"/>
  <c r="GNY247" i="20" l="1"/>
  <c r="GNU247" i="20" s="1"/>
  <c r="GNQ247" i="20" s="1"/>
  <c r="GNM247" i="20" s="1"/>
  <c r="GNX247" i="20"/>
  <c r="GNT247" i="20" l="1"/>
  <c r="GNP247" i="20" s="1"/>
  <c r="GNL247" i="20" s="1"/>
  <c r="GNH247" i="20" s="1"/>
  <c r="GNS247" i="20"/>
  <c r="GNO247" i="20" l="1"/>
  <c r="GNK247" i="20" s="1"/>
  <c r="GNG247" i="20" s="1"/>
  <c r="GNC247" i="20" s="1"/>
  <c r="GNN247" i="20"/>
  <c r="GNJ247" i="20" l="1"/>
  <c r="GNF247" i="20" s="1"/>
  <c r="GNB247" i="20" s="1"/>
  <c r="GMX247" i="20" s="1"/>
  <c r="GNI247" i="20"/>
  <c r="GNE247" i="20" l="1"/>
  <c r="GNA247" i="20" s="1"/>
  <c r="GMW247" i="20" s="1"/>
  <c r="GMS247" i="20" s="1"/>
  <c r="GND247" i="20"/>
  <c r="GMZ247" i="20" l="1"/>
  <c r="GMV247" i="20" s="1"/>
  <c r="GMR247" i="20" s="1"/>
  <c r="GMN247" i="20" s="1"/>
  <c r="GMY247" i="20"/>
  <c r="GMU247" i="20" l="1"/>
  <c r="GMQ247" i="20" s="1"/>
  <c r="GMM247" i="20" s="1"/>
  <c r="GMI247" i="20" s="1"/>
  <c r="GMT247" i="20"/>
  <c r="GMP247" i="20" l="1"/>
  <c r="GML247" i="20" s="1"/>
  <c r="GMH247" i="20" s="1"/>
  <c r="GMD247" i="20" s="1"/>
  <c r="GMO247" i="20"/>
  <c r="GMK247" i="20" l="1"/>
  <c r="GMG247" i="20" s="1"/>
  <c r="GMC247" i="20" s="1"/>
  <c r="GLY247" i="20" s="1"/>
  <c r="GMJ247" i="20"/>
  <c r="GMF247" i="20" l="1"/>
  <c r="GMB247" i="20" s="1"/>
  <c r="GLX247" i="20" s="1"/>
  <c r="GLT247" i="20" s="1"/>
  <c r="GME247" i="20"/>
  <c r="GMA247" i="20" l="1"/>
  <c r="GLW247" i="20" s="1"/>
  <c r="GLS247" i="20" s="1"/>
  <c r="GLO247" i="20" s="1"/>
  <c r="GLZ247" i="20"/>
  <c r="GLV247" i="20" l="1"/>
  <c r="GLR247" i="20" s="1"/>
  <c r="GLN247" i="20" s="1"/>
  <c r="GLJ247" i="20" s="1"/>
  <c r="GLU247" i="20"/>
  <c r="GLQ247" i="20" l="1"/>
  <c r="GLM247" i="20" s="1"/>
  <c r="GLI247" i="20" s="1"/>
  <c r="GLE247" i="20" s="1"/>
  <c r="GLP247" i="20"/>
  <c r="GLL247" i="20" l="1"/>
  <c r="GLH247" i="20" s="1"/>
  <c r="GLD247" i="20" s="1"/>
  <c r="GKZ247" i="20" s="1"/>
  <c r="GLK247" i="20"/>
  <c r="GLG247" i="20" l="1"/>
  <c r="GLC247" i="20" s="1"/>
  <c r="GKY247" i="20" s="1"/>
  <c r="GKU247" i="20" s="1"/>
  <c r="GLF247" i="20"/>
  <c r="GLB247" i="20" l="1"/>
  <c r="GKX247" i="20" s="1"/>
  <c r="GKT247" i="20" s="1"/>
  <c r="GKP247" i="20" s="1"/>
  <c r="GLA247" i="20"/>
  <c r="GKW247" i="20" l="1"/>
  <c r="GKS247" i="20" s="1"/>
  <c r="GKO247" i="20" s="1"/>
  <c r="GKK247" i="20" s="1"/>
  <c r="GKV247" i="20"/>
  <c r="GKR247" i="20" l="1"/>
  <c r="GKN247" i="20" s="1"/>
  <c r="GKJ247" i="20" s="1"/>
  <c r="GKF247" i="20" s="1"/>
  <c r="GKQ247" i="20"/>
  <c r="GKM247" i="20" l="1"/>
  <c r="GKI247" i="20" s="1"/>
  <c r="GKE247" i="20" s="1"/>
  <c r="GKA247" i="20" s="1"/>
  <c r="GKL247" i="20"/>
  <c r="GKH247" i="20" l="1"/>
  <c r="GKD247" i="20" s="1"/>
  <c r="GJZ247" i="20" s="1"/>
  <c r="GJV247" i="20" s="1"/>
  <c r="GKG247" i="20"/>
  <c r="GKC247" i="20" l="1"/>
  <c r="GJY247" i="20" s="1"/>
  <c r="GJU247" i="20" s="1"/>
  <c r="GJQ247" i="20" s="1"/>
  <c r="GKB247" i="20"/>
  <c r="GJX247" i="20" l="1"/>
  <c r="GJT247" i="20" s="1"/>
  <c r="GJP247" i="20" s="1"/>
  <c r="GJL247" i="20" s="1"/>
  <c r="GJW247" i="20"/>
  <c r="GJS247" i="20" l="1"/>
  <c r="GJO247" i="20" s="1"/>
  <c r="GJK247" i="20" s="1"/>
  <c r="GJG247" i="20" s="1"/>
  <c r="GJR247" i="20"/>
  <c r="GJN247" i="20" l="1"/>
  <c r="GJJ247" i="20" s="1"/>
  <c r="GJF247" i="20" s="1"/>
  <c r="GJB247" i="20" s="1"/>
  <c r="GJM247" i="20"/>
  <c r="GJI247" i="20" l="1"/>
  <c r="GJE247" i="20" s="1"/>
  <c r="GJA247" i="20" s="1"/>
  <c r="GIW247" i="20" s="1"/>
  <c r="GJH247" i="20"/>
  <c r="GJD247" i="20" l="1"/>
  <c r="GIZ247" i="20" s="1"/>
  <c r="GIV247" i="20" s="1"/>
  <c r="GIR247" i="20" s="1"/>
  <c r="GJC247" i="20"/>
  <c r="GIY247" i="20" l="1"/>
  <c r="GIU247" i="20" s="1"/>
  <c r="GIQ247" i="20" s="1"/>
  <c r="GIM247" i="20" s="1"/>
  <c r="GIX247" i="20"/>
  <c r="GIT247" i="20" l="1"/>
  <c r="GIP247" i="20" s="1"/>
  <c r="GIL247" i="20" s="1"/>
  <c r="GIH247" i="20" s="1"/>
  <c r="GIS247" i="20"/>
  <c r="GIO247" i="20" l="1"/>
  <c r="GIK247" i="20" s="1"/>
  <c r="GIG247" i="20" s="1"/>
  <c r="GIC247" i="20" s="1"/>
  <c r="GIN247" i="20"/>
  <c r="GIJ247" i="20" l="1"/>
  <c r="GIF247" i="20" s="1"/>
  <c r="GIB247" i="20" s="1"/>
  <c r="GHX247" i="20" s="1"/>
  <c r="GII247" i="20"/>
  <c r="GIE247" i="20" l="1"/>
  <c r="GIA247" i="20" s="1"/>
  <c r="GHW247" i="20" s="1"/>
  <c r="GHS247" i="20" s="1"/>
  <c r="GID247" i="20"/>
  <c r="GHZ247" i="20" l="1"/>
  <c r="GHV247" i="20" s="1"/>
  <c r="GHR247" i="20" s="1"/>
  <c r="GHN247" i="20" s="1"/>
  <c r="GHY247" i="20"/>
  <c r="GHU247" i="20" l="1"/>
  <c r="GHQ247" i="20" s="1"/>
  <c r="GHM247" i="20" s="1"/>
  <c r="GHI247" i="20" s="1"/>
  <c r="GHT247" i="20"/>
  <c r="GHP247" i="20" l="1"/>
  <c r="GHL247" i="20" s="1"/>
  <c r="GHH247" i="20" s="1"/>
  <c r="GHD247" i="20" s="1"/>
  <c r="GHO247" i="20"/>
  <c r="GHK247" i="20" l="1"/>
  <c r="GHG247" i="20" s="1"/>
  <c r="GHC247" i="20" s="1"/>
  <c r="GGY247" i="20" s="1"/>
  <c r="GHJ247" i="20"/>
  <c r="GHF247" i="20" l="1"/>
  <c r="GHB247" i="20" s="1"/>
  <c r="GGX247" i="20" s="1"/>
  <c r="GGT247" i="20" s="1"/>
  <c r="GHE247" i="20"/>
  <c r="GHA247" i="20" l="1"/>
  <c r="GGW247" i="20" s="1"/>
  <c r="GGS247" i="20" s="1"/>
  <c r="GGO247" i="20" s="1"/>
  <c r="GGZ247" i="20"/>
  <c r="GGV247" i="20" l="1"/>
  <c r="GGR247" i="20" s="1"/>
  <c r="GGN247" i="20" s="1"/>
  <c r="GGJ247" i="20" s="1"/>
  <c r="GGU247" i="20"/>
  <c r="GGQ247" i="20" l="1"/>
  <c r="GGM247" i="20" s="1"/>
  <c r="GGI247" i="20" s="1"/>
  <c r="GGE247" i="20" s="1"/>
  <c r="GGP247" i="20"/>
  <c r="GGL247" i="20" l="1"/>
  <c r="GGH247" i="20" s="1"/>
  <c r="GGD247" i="20" s="1"/>
  <c r="GFZ247" i="20" s="1"/>
  <c r="GGK247" i="20"/>
  <c r="GGG247" i="20" l="1"/>
  <c r="GGC247" i="20" s="1"/>
  <c r="GFY247" i="20" s="1"/>
  <c r="GFU247" i="20" s="1"/>
  <c r="GGF247" i="20"/>
  <c r="GGB247" i="20" l="1"/>
  <c r="GFX247" i="20" s="1"/>
  <c r="GFT247" i="20" s="1"/>
  <c r="GFP247" i="20" s="1"/>
  <c r="GGA247" i="20"/>
  <c r="GFW247" i="20" l="1"/>
  <c r="GFS247" i="20" s="1"/>
  <c r="GFO247" i="20" s="1"/>
  <c r="GFK247" i="20" s="1"/>
  <c r="GFV247" i="20"/>
  <c r="GFR247" i="20" l="1"/>
  <c r="GFN247" i="20" s="1"/>
  <c r="GFJ247" i="20" s="1"/>
  <c r="GFF247" i="20" s="1"/>
  <c r="GFQ247" i="20"/>
  <c r="GFM247" i="20" l="1"/>
  <c r="GFI247" i="20" s="1"/>
  <c r="GFE247" i="20" s="1"/>
  <c r="GFA247" i="20" s="1"/>
  <c r="GFL247" i="20"/>
  <c r="GFH247" i="20" l="1"/>
  <c r="GFD247" i="20" s="1"/>
  <c r="GEZ247" i="20" s="1"/>
  <c r="GEV247" i="20" s="1"/>
  <c r="GFG247" i="20"/>
  <c r="GFC247" i="20" l="1"/>
  <c r="GEY247" i="20" s="1"/>
  <c r="GEU247" i="20" s="1"/>
  <c r="GEQ247" i="20" s="1"/>
  <c r="GFB247" i="20"/>
  <c r="GEX247" i="20" l="1"/>
  <c r="GET247" i="20" s="1"/>
  <c r="GEP247" i="20" s="1"/>
  <c r="GEL247" i="20" s="1"/>
  <c r="GEW247" i="20"/>
  <c r="GES247" i="20" l="1"/>
  <c r="GEO247" i="20" s="1"/>
  <c r="GEK247" i="20" s="1"/>
  <c r="GEG247" i="20" s="1"/>
  <c r="GER247" i="20"/>
  <c r="GEN247" i="20" l="1"/>
  <c r="GEJ247" i="20" s="1"/>
  <c r="GEF247" i="20" s="1"/>
  <c r="GEB247" i="20" s="1"/>
  <c r="GEM247" i="20"/>
  <c r="GEI247" i="20" l="1"/>
  <c r="GEE247" i="20" s="1"/>
  <c r="GEA247" i="20" s="1"/>
  <c r="GDW247" i="20" s="1"/>
  <c r="GEH247" i="20"/>
  <c r="GED247" i="20" l="1"/>
  <c r="GDZ247" i="20" s="1"/>
  <c r="GDV247" i="20" s="1"/>
  <c r="GDR247" i="20" s="1"/>
  <c r="GEC247" i="20"/>
  <c r="GDY247" i="20" l="1"/>
  <c r="GDU247" i="20" s="1"/>
  <c r="GDQ247" i="20" s="1"/>
  <c r="GDM247" i="20" s="1"/>
  <c r="GDX247" i="20"/>
  <c r="GDT247" i="20" l="1"/>
  <c r="GDP247" i="20" s="1"/>
  <c r="GDL247" i="20" s="1"/>
  <c r="GDH247" i="20" s="1"/>
  <c r="GDS247" i="20"/>
  <c r="GDO247" i="20" l="1"/>
  <c r="GDK247" i="20" s="1"/>
  <c r="GDG247" i="20" s="1"/>
  <c r="GDC247" i="20" s="1"/>
  <c r="GDN247" i="20"/>
  <c r="GDJ247" i="20" l="1"/>
  <c r="GDF247" i="20" s="1"/>
  <c r="GDB247" i="20" s="1"/>
  <c r="GCX247" i="20" s="1"/>
  <c r="GDI247" i="20"/>
  <c r="GDE247" i="20" l="1"/>
  <c r="GDA247" i="20" s="1"/>
  <c r="GCW247" i="20" s="1"/>
  <c r="GCS247" i="20" s="1"/>
  <c r="GDD247" i="20"/>
  <c r="GCZ247" i="20" l="1"/>
  <c r="GCV247" i="20" s="1"/>
  <c r="GCR247" i="20" s="1"/>
  <c r="GCN247" i="20" s="1"/>
  <c r="GCY247" i="20"/>
  <c r="GCU247" i="20" l="1"/>
  <c r="GCQ247" i="20" s="1"/>
  <c r="GCM247" i="20" s="1"/>
  <c r="GCI247" i="20" s="1"/>
  <c r="GCT247" i="20"/>
  <c r="GCP247" i="20" l="1"/>
  <c r="GCL247" i="20" s="1"/>
  <c r="GCH247" i="20" s="1"/>
  <c r="GCD247" i="20" s="1"/>
  <c r="GCO247" i="20"/>
  <c r="GCK247" i="20" l="1"/>
  <c r="GCG247" i="20" s="1"/>
  <c r="GCC247" i="20" s="1"/>
  <c r="GBY247" i="20" s="1"/>
  <c r="GCJ247" i="20"/>
  <c r="GCF247" i="20" l="1"/>
  <c r="GCB247" i="20" s="1"/>
  <c r="GBX247" i="20" s="1"/>
  <c r="GBT247" i="20" s="1"/>
  <c r="GCE247" i="20"/>
  <c r="GCA247" i="20" l="1"/>
  <c r="GBW247" i="20" s="1"/>
  <c r="GBS247" i="20" s="1"/>
  <c r="GBO247" i="20" s="1"/>
  <c r="GBZ247" i="20"/>
  <c r="GBV247" i="20" l="1"/>
  <c r="GBR247" i="20" s="1"/>
  <c r="GBN247" i="20" s="1"/>
  <c r="GBJ247" i="20" s="1"/>
  <c r="GBU247" i="20"/>
  <c r="GBQ247" i="20" l="1"/>
  <c r="GBM247" i="20" s="1"/>
  <c r="GBI247" i="20" s="1"/>
  <c r="GBE247" i="20" s="1"/>
  <c r="GBP247" i="20"/>
  <c r="GBL247" i="20" l="1"/>
  <c r="GBH247" i="20" s="1"/>
  <c r="GBD247" i="20" s="1"/>
  <c r="GAZ247" i="20" s="1"/>
  <c r="GBK247" i="20"/>
  <c r="GBG247" i="20" l="1"/>
  <c r="GBC247" i="20" s="1"/>
  <c r="GAY247" i="20" s="1"/>
  <c r="GAU247" i="20" s="1"/>
  <c r="GBF247" i="20"/>
  <c r="GBB247" i="20" l="1"/>
  <c r="GAX247" i="20" s="1"/>
  <c r="GAT247" i="20" s="1"/>
  <c r="GAP247" i="20" s="1"/>
  <c r="GBA247" i="20"/>
  <c r="GAW247" i="20" l="1"/>
  <c r="GAS247" i="20" s="1"/>
  <c r="GAO247" i="20" s="1"/>
  <c r="GAK247" i="20" s="1"/>
  <c r="GAV247" i="20"/>
  <c r="GAR247" i="20" l="1"/>
  <c r="GAN247" i="20" s="1"/>
  <c r="GAJ247" i="20" s="1"/>
  <c r="GAF247" i="20" s="1"/>
  <c r="GAQ247" i="20"/>
  <c r="GAM247" i="20" l="1"/>
  <c r="GAI247" i="20" s="1"/>
  <c r="GAE247" i="20" s="1"/>
  <c r="GAA247" i="20" s="1"/>
  <c r="GAL247" i="20"/>
  <c r="GAH247" i="20" l="1"/>
  <c r="GAD247" i="20" s="1"/>
  <c r="FZZ247" i="20" s="1"/>
  <c r="FZV247" i="20" s="1"/>
  <c r="GAG247" i="20"/>
  <c r="GAC247" i="20" l="1"/>
  <c r="FZY247" i="20" s="1"/>
  <c r="FZU247" i="20" s="1"/>
  <c r="FZQ247" i="20" s="1"/>
  <c r="GAB247" i="20"/>
  <c r="FZX247" i="20" l="1"/>
  <c r="FZT247" i="20" s="1"/>
  <c r="FZP247" i="20" s="1"/>
  <c r="FZL247" i="20" s="1"/>
  <c r="FZW247" i="20"/>
  <c r="FZS247" i="20" l="1"/>
  <c r="FZO247" i="20" s="1"/>
  <c r="FZK247" i="20" s="1"/>
  <c r="FZG247" i="20" s="1"/>
  <c r="FZR247" i="20"/>
  <c r="FZN247" i="20" l="1"/>
  <c r="FZJ247" i="20" s="1"/>
  <c r="FZF247" i="20" s="1"/>
  <c r="FZB247" i="20" s="1"/>
  <c r="FZM247" i="20"/>
  <c r="FZI247" i="20" l="1"/>
  <c r="FZE247" i="20" s="1"/>
  <c r="FZA247" i="20" s="1"/>
  <c r="FYW247" i="20" s="1"/>
  <c r="FZH247" i="20"/>
  <c r="FZD247" i="20" l="1"/>
  <c r="FYZ247" i="20" s="1"/>
  <c r="FYV247" i="20" s="1"/>
  <c r="FYR247" i="20" s="1"/>
  <c r="FZC247" i="20"/>
  <c r="FYY247" i="20" l="1"/>
  <c r="FYU247" i="20" s="1"/>
  <c r="FYQ247" i="20" s="1"/>
  <c r="FYM247" i="20" s="1"/>
  <c r="FYX247" i="20"/>
  <c r="FYT247" i="20" l="1"/>
  <c r="FYP247" i="20" s="1"/>
  <c r="FYL247" i="20" s="1"/>
  <c r="FYH247" i="20" s="1"/>
  <c r="FYS247" i="20"/>
  <c r="FYO247" i="20" l="1"/>
  <c r="FYK247" i="20" s="1"/>
  <c r="FYG247" i="20" s="1"/>
  <c r="FYC247" i="20" s="1"/>
  <c r="FYN247" i="20"/>
  <c r="FYJ247" i="20" l="1"/>
  <c r="FYF247" i="20" s="1"/>
  <c r="FYB247" i="20" s="1"/>
  <c r="FXX247" i="20" s="1"/>
  <c r="FYI247" i="20"/>
  <c r="FYE247" i="20" l="1"/>
  <c r="FYA247" i="20" s="1"/>
  <c r="FXW247" i="20" s="1"/>
  <c r="FXS247" i="20" s="1"/>
  <c r="FYD247" i="20"/>
  <c r="FXZ247" i="20" l="1"/>
  <c r="FXV247" i="20" s="1"/>
  <c r="FXR247" i="20" s="1"/>
  <c r="FXN247" i="20" s="1"/>
  <c r="FXY247" i="20"/>
  <c r="FXU247" i="20" l="1"/>
  <c r="FXQ247" i="20" s="1"/>
  <c r="FXM247" i="20" s="1"/>
  <c r="FXI247" i="20" s="1"/>
  <c r="FXT247" i="20"/>
  <c r="FXP247" i="20" l="1"/>
  <c r="FXL247" i="20" s="1"/>
  <c r="FXH247" i="20" s="1"/>
  <c r="FXD247" i="20" s="1"/>
  <c r="FXO247" i="20"/>
  <c r="FXK247" i="20" l="1"/>
  <c r="FXG247" i="20" s="1"/>
  <c r="FXC247" i="20" s="1"/>
  <c r="FWY247" i="20" s="1"/>
  <c r="FXJ247" i="20"/>
  <c r="FXF247" i="20" l="1"/>
  <c r="FXB247" i="20" s="1"/>
  <c r="FWX247" i="20" s="1"/>
  <c r="FWT247" i="20" s="1"/>
  <c r="FXE247" i="20"/>
  <c r="FXA247" i="20" l="1"/>
  <c r="FWW247" i="20" s="1"/>
  <c r="FWS247" i="20" s="1"/>
  <c r="FWO247" i="20" s="1"/>
  <c r="FWZ247" i="20"/>
  <c r="FWV247" i="20" l="1"/>
  <c r="FWR247" i="20" s="1"/>
  <c r="FWN247" i="20" s="1"/>
  <c r="FWJ247" i="20" s="1"/>
  <c r="FWU247" i="20"/>
  <c r="FWQ247" i="20" l="1"/>
  <c r="FWM247" i="20" s="1"/>
  <c r="FWI247" i="20" s="1"/>
  <c r="FWE247" i="20" s="1"/>
  <c r="FWP247" i="20"/>
  <c r="FWL247" i="20" l="1"/>
  <c r="FWH247" i="20" s="1"/>
  <c r="FWD247" i="20" s="1"/>
  <c r="FVZ247" i="20" s="1"/>
  <c r="FWK247" i="20"/>
  <c r="FWG247" i="20" l="1"/>
  <c r="FWC247" i="20" s="1"/>
  <c r="FVY247" i="20" s="1"/>
  <c r="FVU247" i="20" s="1"/>
  <c r="FWF247" i="20"/>
  <c r="FWB247" i="20" l="1"/>
  <c r="FVX247" i="20" s="1"/>
  <c r="FVT247" i="20" s="1"/>
  <c r="FVP247" i="20" s="1"/>
  <c r="FWA247" i="20"/>
  <c r="FVW247" i="20" l="1"/>
  <c r="FVS247" i="20" s="1"/>
  <c r="FVO247" i="20" s="1"/>
  <c r="FVK247" i="20" s="1"/>
  <c r="FVV247" i="20"/>
  <c r="FVR247" i="20" l="1"/>
  <c r="FVN247" i="20" s="1"/>
  <c r="FVJ247" i="20" s="1"/>
  <c r="FVF247" i="20" s="1"/>
  <c r="FVQ247" i="20"/>
  <c r="FVM247" i="20" l="1"/>
  <c r="FVI247" i="20" s="1"/>
  <c r="FVE247" i="20" s="1"/>
  <c r="FVA247" i="20" s="1"/>
  <c r="FVL247" i="20"/>
  <c r="FVH247" i="20" l="1"/>
  <c r="FVD247" i="20" s="1"/>
  <c r="FUZ247" i="20" s="1"/>
  <c r="FUV247" i="20" s="1"/>
  <c r="FVG247" i="20"/>
  <c r="FVC247" i="20" l="1"/>
  <c r="FUY247" i="20" s="1"/>
  <c r="FUU247" i="20" s="1"/>
  <c r="FUQ247" i="20" s="1"/>
  <c r="FVB247" i="20"/>
  <c r="FUX247" i="20" l="1"/>
  <c r="FUT247" i="20" s="1"/>
  <c r="FUP247" i="20" s="1"/>
  <c r="FUL247" i="20" s="1"/>
  <c r="FUW247" i="20"/>
  <c r="FUS247" i="20" l="1"/>
  <c r="FUO247" i="20" s="1"/>
  <c r="FUK247" i="20" s="1"/>
  <c r="FUG247" i="20" s="1"/>
  <c r="FUR247" i="20"/>
  <c r="FUN247" i="20" l="1"/>
  <c r="FUJ247" i="20" s="1"/>
  <c r="FUF247" i="20" s="1"/>
  <c r="FUB247" i="20" s="1"/>
  <c r="FUM247" i="20"/>
  <c r="FUI247" i="20" l="1"/>
  <c r="FUE247" i="20" s="1"/>
  <c r="FUA247" i="20" s="1"/>
  <c r="FTW247" i="20" s="1"/>
  <c r="FUH247" i="20"/>
  <c r="FUD247" i="20" l="1"/>
  <c r="FTZ247" i="20" s="1"/>
  <c r="FTV247" i="20" s="1"/>
  <c r="FTR247" i="20" s="1"/>
  <c r="FUC247" i="20"/>
  <c r="FTY247" i="20" l="1"/>
  <c r="FTU247" i="20" s="1"/>
  <c r="FTQ247" i="20" s="1"/>
  <c r="FTM247" i="20" s="1"/>
  <c r="FTX247" i="20"/>
  <c r="FTT247" i="20" l="1"/>
  <c r="FTP247" i="20" s="1"/>
  <c r="FTL247" i="20" s="1"/>
  <c r="FTH247" i="20" s="1"/>
  <c r="FTS247" i="20"/>
  <c r="FTO247" i="20" l="1"/>
  <c r="FTK247" i="20" s="1"/>
  <c r="FTG247" i="20" s="1"/>
  <c r="FTC247" i="20" s="1"/>
  <c r="FTN247" i="20"/>
  <c r="FTJ247" i="20" l="1"/>
  <c r="FTF247" i="20" s="1"/>
  <c r="FTB247" i="20" s="1"/>
  <c r="FSX247" i="20" s="1"/>
  <c r="FTI247" i="20"/>
  <c r="FTE247" i="20" l="1"/>
  <c r="FTA247" i="20" s="1"/>
  <c r="FSW247" i="20" s="1"/>
  <c r="FSS247" i="20" s="1"/>
  <c r="FTD247" i="20"/>
  <c r="FSZ247" i="20" l="1"/>
  <c r="FSV247" i="20" s="1"/>
  <c r="FSR247" i="20" s="1"/>
  <c r="FSN247" i="20" s="1"/>
  <c r="FSY247" i="20"/>
  <c r="FSU247" i="20" l="1"/>
  <c r="FSQ247" i="20" s="1"/>
  <c r="FSM247" i="20" s="1"/>
  <c r="FSI247" i="20" s="1"/>
  <c r="FST247" i="20"/>
  <c r="FSP247" i="20" l="1"/>
  <c r="FSL247" i="20" s="1"/>
  <c r="FSH247" i="20" s="1"/>
  <c r="FSD247" i="20" s="1"/>
  <c r="FSO247" i="20"/>
  <c r="FSK247" i="20" l="1"/>
  <c r="FSG247" i="20" s="1"/>
  <c r="FSC247" i="20" s="1"/>
  <c r="FRY247" i="20" s="1"/>
  <c r="FSJ247" i="20"/>
  <c r="FSF247" i="20" l="1"/>
  <c r="FSB247" i="20" s="1"/>
  <c r="FRX247" i="20" s="1"/>
  <c r="FRT247" i="20" s="1"/>
  <c r="FSE247" i="20"/>
  <c r="FSA247" i="20" l="1"/>
  <c r="FRW247" i="20" s="1"/>
  <c r="FRS247" i="20" s="1"/>
  <c r="FRO247" i="20" s="1"/>
  <c r="FRZ247" i="20"/>
  <c r="FRV247" i="20" l="1"/>
  <c r="FRR247" i="20" s="1"/>
  <c r="FRN247" i="20" s="1"/>
  <c r="FRJ247" i="20" s="1"/>
  <c r="FRU247" i="20"/>
  <c r="FRQ247" i="20" l="1"/>
  <c r="FRM247" i="20" s="1"/>
  <c r="FRI247" i="20" s="1"/>
  <c r="FRE247" i="20" s="1"/>
  <c r="FRP247" i="20"/>
  <c r="FRL247" i="20" l="1"/>
  <c r="FRH247" i="20" s="1"/>
  <c r="FRD247" i="20" s="1"/>
  <c r="FQZ247" i="20" s="1"/>
  <c r="FRK247" i="20"/>
  <c r="FRG247" i="20" l="1"/>
  <c r="FRC247" i="20" s="1"/>
  <c r="FQY247" i="20" s="1"/>
  <c r="FQU247" i="20" s="1"/>
  <c r="FRF247" i="20"/>
  <c r="FRB247" i="20" l="1"/>
  <c r="FQX247" i="20" s="1"/>
  <c r="FQT247" i="20" s="1"/>
  <c r="FQP247" i="20" s="1"/>
  <c r="FRA247" i="20"/>
  <c r="FQW247" i="20" l="1"/>
  <c r="FQS247" i="20" s="1"/>
  <c r="FQO247" i="20" s="1"/>
  <c r="FQK247" i="20" s="1"/>
  <c r="FQV247" i="20"/>
  <c r="FQR247" i="20" l="1"/>
  <c r="FQN247" i="20" s="1"/>
  <c r="FQJ247" i="20" s="1"/>
  <c r="FQF247" i="20" s="1"/>
  <c r="FQQ247" i="20"/>
  <c r="FQM247" i="20" l="1"/>
  <c r="FQI247" i="20" s="1"/>
  <c r="FQE247" i="20" s="1"/>
  <c r="FQA247" i="20" s="1"/>
  <c r="FQL247" i="20"/>
  <c r="FQH247" i="20" l="1"/>
  <c r="FQD247" i="20" s="1"/>
  <c r="FPZ247" i="20" s="1"/>
  <c r="FPV247" i="20" s="1"/>
  <c r="FQG247" i="20"/>
  <c r="FQC247" i="20" l="1"/>
  <c r="FPY247" i="20" s="1"/>
  <c r="FPU247" i="20" s="1"/>
  <c r="FPQ247" i="20" s="1"/>
  <c r="FQB247" i="20"/>
  <c r="FPX247" i="20" l="1"/>
  <c r="FPT247" i="20" s="1"/>
  <c r="FPP247" i="20" s="1"/>
  <c r="FPL247" i="20" s="1"/>
  <c r="FPW247" i="20"/>
  <c r="FPS247" i="20" l="1"/>
  <c r="FPO247" i="20" s="1"/>
  <c r="FPK247" i="20" s="1"/>
  <c r="FPG247" i="20" s="1"/>
  <c r="FPR247" i="20"/>
  <c r="FPN247" i="20" l="1"/>
  <c r="FPJ247" i="20" s="1"/>
  <c r="FPF247" i="20" s="1"/>
  <c r="FPB247" i="20" s="1"/>
  <c r="FPM247" i="20"/>
  <c r="FPI247" i="20" l="1"/>
  <c r="FPE247" i="20" s="1"/>
  <c r="FPA247" i="20" s="1"/>
  <c r="FOW247" i="20" s="1"/>
  <c r="FPH247" i="20"/>
  <c r="FPD247" i="20" l="1"/>
  <c r="FOZ247" i="20" s="1"/>
  <c r="FOV247" i="20" s="1"/>
  <c r="FOR247" i="20" s="1"/>
  <c r="FPC247" i="20"/>
  <c r="FOY247" i="20" l="1"/>
  <c r="FOU247" i="20" s="1"/>
  <c r="FOQ247" i="20" s="1"/>
  <c r="FOM247" i="20" s="1"/>
  <c r="FOX247" i="20"/>
  <c r="FOT247" i="20" l="1"/>
  <c r="FOP247" i="20" s="1"/>
  <c r="FOL247" i="20" s="1"/>
  <c r="FOH247" i="20" s="1"/>
  <c r="FOS247" i="20"/>
  <c r="FOO247" i="20" l="1"/>
  <c r="FOK247" i="20" s="1"/>
  <c r="FOG247" i="20" s="1"/>
  <c r="FOC247" i="20" s="1"/>
  <c r="FON247" i="20"/>
  <c r="FOJ247" i="20" l="1"/>
  <c r="FOF247" i="20" s="1"/>
  <c r="FOB247" i="20" s="1"/>
  <c r="FNX247" i="20" s="1"/>
  <c r="FOI247" i="20"/>
  <c r="FOE247" i="20" l="1"/>
  <c r="FOA247" i="20" s="1"/>
  <c r="FNW247" i="20" s="1"/>
  <c r="FNS247" i="20" s="1"/>
  <c r="FOD247" i="20"/>
  <c r="FNZ247" i="20" l="1"/>
  <c r="FNV247" i="20" s="1"/>
  <c r="FNR247" i="20" s="1"/>
  <c r="FNN247" i="20" s="1"/>
  <c r="FNY247" i="20"/>
  <c r="FNU247" i="20" l="1"/>
  <c r="FNQ247" i="20" s="1"/>
  <c r="FNM247" i="20" s="1"/>
  <c r="FNI247" i="20" s="1"/>
  <c r="FNT247" i="20"/>
  <c r="FNP247" i="20" l="1"/>
  <c r="FNL247" i="20" s="1"/>
  <c r="FNH247" i="20" s="1"/>
  <c r="FND247" i="20" s="1"/>
  <c r="FNO247" i="20"/>
  <c r="FNK247" i="20" l="1"/>
  <c r="FNG247" i="20" s="1"/>
  <c r="FNC247" i="20" s="1"/>
  <c r="FMY247" i="20" s="1"/>
  <c r="FNJ247" i="20"/>
  <c r="FNF247" i="20" l="1"/>
  <c r="FNB247" i="20" s="1"/>
  <c r="FMX247" i="20" s="1"/>
  <c r="FMT247" i="20" s="1"/>
  <c r="FNE247" i="20"/>
  <c r="FNA247" i="20" l="1"/>
  <c r="FMW247" i="20" s="1"/>
  <c r="FMS247" i="20" s="1"/>
  <c r="FMO247" i="20" s="1"/>
  <c r="FMZ247" i="20"/>
  <c r="FMV247" i="20" l="1"/>
  <c r="FMR247" i="20" s="1"/>
  <c r="FMN247" i="20" s="1"/>
  <c r="FMJ247" i="20" s="1"/>
  <c r="FMU247" i="20"/>
  <c r="FMQ247" i="20" l="1"/>
  <c r="FMM247" i="20" s="1"/>
  <c r="FMI247" i="20" s="1"/>
  <c r="FME247" i="20" s="1"/>
  <c r="FMP247" i="20"/>
  <c r="FML247" i="20" l="1"/>
  <c r="FMH247" i="20" s="1"/>
  <c r="FMD247" i="20" s="1"/>
  <c r="FLZ247" i="20" s="1"/>
  <c r="FMK247" i="20"/>
  <c r="FMG247" i="20" l="1"/>
  <c r="FMC247" i="20" s="1"/>
  <c r="FLY247" i="20" s="1"/>
  <c r="FLU247" i="20" s="1"/>
  <c r="FMF247" i="20"/>
  <c r="FMB247" i="20" l="1"/>
  <c r="FLX247" i="20" s="1"/>
  <c r="FLT247" i="20" s="1"/>
  <c r="FLP247" i="20" s="1"/>
  <c r="FMA247" i="20"/>
  <c r="FLW247" i="20" l="1"/>
  <c r="FLS247" i="20" s="1"/>
  <c r="FLO247" i="20" s="1"/>
  <c r="FLK247" i="20" s="1"/>
  <c r="FLV247" i="20"/>
  <c r="FLR247" i="20" l="1"/>
  <c r="FLN247" i="20" s="1"/>
  <c r="FLJ247" i="20" s="1"/>
  <c r="FLF247" i="20" s="1"/>
  <c r="FLQ247" i="20"/>
  <c r="FLM247" i="20" l="1"/>
  <c r="FLI247" i="20" s="1"/>
  <c r="FLE247" i="20" s="1"/>
  <c r="FLA247" i="20" s="1"/>
  <c r="FLL247" i="20"/>
  <c r="FLH247" i="20" l="1"/>
  <c r="FLD247" i="20" s="1"/>
  <c r="FKZ247" i="20" s="1"/>
  <c r="FKV247" i="20" s="1"/>
  <c r="FLG247" i="20"/>
  <c r="FLC247" i="20" l="1"/>
  <c r="FKY247" i="20" s="1"/>
  <c r="FKU247" i="20" s="1"/>
  <c r="FKQ247" i="20" s="1"/>
  <c r="FLB247" i="20"/>
  <c r="FKX247" i="20" l="1"/>
  <c r="FKT247" i="20" s="1"/>
  <c r="FKP247" i="20" s="1"/>
  <c r="FKL247" i="20" s="1"/>
  <c r="FKW247" i="20"/>
  <c r="FKS247" i="20" l="1"/>
  <c r="FKO247" i="20" s="1"/>
  <c r="FKK247" i="20" s="1"/>
  <c r="FKG247" i="20" s="1"/>
  <c r="FKR247" i="20"/>
  <c r="FKN247" i="20" l="1"/>
  <c r="FKJ247" i="20" s="1"/>
  <c r="FKF247" i="20" s="1"/>
  <c r="FKB247" i="20" s="1"/>
  <c r="FKM247" i="20"/>
  <c r="FKI247" i="20" l="1"/>
  <c r="FKE247" i="20" s="1"/>
  <c r="FKA247" i="20" s="1"/>
  <c r="FJW247" i="20" s="1"/>
  <c r="FKH247" i="20"/>
  <c r="FKD247" i="20" l="1"/>
  <c r="FJZ247" i="20" s="1"/>
  <c r="FJV247" i="20" s="1"/>
  <c r="FJR247" i="20" s="1"/>
  <c r="FKC247" i="20"/>
  <c r="FJY247" i="20" l="1"/>
  <c r="FJU247" i="20" s="1"/>
  <c r="FJQ247" i="20" s="1"/>
  <c r="FJM247" i="20" s="1"/>
  <c r="FJX247" i="20"/>
  <c r="FJT247" i="20" l="1"/>
  <c r="FJP247" i="20" s="1"/>
  <c r="FJL247" i="20" s="1"/>
  <c r="FJH247" i="20" s="1"/>
  <c r="FJS247" i="20"/>
  <c r="FJO247" i="20" l="1"/>
  <c r="FJK247" i="20" s="1"/>
  <c r="FJG247" i="20" s="1"/>
  <c r="FJC247" i="20" s="1"/>
  <c r="FJN247" i="20"/>
  <c r="FJJ247" i="20" l="1"/>
  <c r="FJF247" i="20" s="1"/>
  <c r="FJB247" i="20" s="1"/>
  <c r="FIX247" i="20" s="1"/>
  <c r="FJI247" i="20"/>
  <c r="FJE247" i="20" l="1"/>
  <c r="FJA247" i="20" s="1"/>
  <c r="FIW247" i="20" s="1"/>
  <c r="FIS247" i="20" s="1"/>
  <c r="FJD247" i="20"/>
  <c r="FIZ247" i="20" l="1"/>
  <c r="FIV247" i="20" s="1"/>
  <c r="FIR247" i="20" s="1"/>
  <c r="FIN247" i="20" s="1"/>
  <c r="FIY247" i="20"/>
  <c r="FIU247" i="20" l="1"/>
  <c r="FIQ247" i="20" s="1"/>
  <c r="FIM247" i="20" s="1"/>
  <c r="FII247" i="20" s="1"/>
  <c r="FIT247" i="20"/>
  <c r="FIP247" i="20" l="1"/>
  <c r="FIL247" i="20" s="1"/>
  <c r="FIH247" i="20" s="1"/>
  <c r="FID247" i="20" s="1"/>
  <c r="FIO247" i="20"/>
  <c r="FIK247" i="20" l="1"/>
  <c r="FIG247" i="20" s="1"/>
  <c r="FIC247" i="20" s="1"/>
  <c r="FHY247" i="20" s="1"/>
  <c r="FIJ247" i="20"/>
  <c r="FIF247" i="20" l="1"/>
  <c r="FIB247" i="20" s="1"/>
  <c r="FHX247" i="20" s="1"/>
  <c r="FHT247" i="20" s="1"/>
  <c r="FIE247" i="20"/>
  <c r="FIA247" i="20" l="1"/>
  <c r="FHW247" i="20" s="1"/>
  <c r="FHS247" i="20" s="1"/>
  <c r="FHO247" i="20" s="1"/>
  <c r="FHZ247" i="20"/>
  <c r="FHV247" i="20" l="1"/>
  <c r="FHR247" i="20" s="1"/>
  <c r="FHN247" i="20" s="1"/>
  <c r="FHJ247" i="20" s="1"/>
  <c r="FHU247" i="20"/>
  <c r="FHQ247" i="20" l="1"/>
  <c r="FHM247" i="20" s="1"/>
  <c r="FHI247" i="20" s="1"/>
  <c r="FHE247" i="20" s="1"/>
  <c r="FHP247" i="20"/>
  <c r="FHL247" i="20" l="1"/>
  <c r="FHH247" i="20" s="1"/>
  <c r="FHD247" i="20" s="1"/>
  <c r="FGZ247" i="20" s="1"/>
  <c r="FHK247" i="20"/>
  <c r="FHG247" i="20" l="1"/>
  <c r="FHC247" i="20" s="1"/>
  <c r="FGY247" i="20" s="1"/>
  <c r="FGU247" i="20" s="1"/>
  <c r="FHF247" i="20"/>
  <c r="FHB247" i="20" l="1"/>
  <c r="FGX247" i="20" s="1"/>
  <c r="FGT247" i="20" s="1"/>
  <c r="FGP247" i="20" s="1"/>
  <c r="FHA247" i="20"/>
  <c r="FGW247" i="20" l="1"/>
  <c r="FGS247" i="20" s="1"/>
  <c r="FGO247" i="20" s="1"/>
  <c r="FGK247" i="20" s="1"/>
  <c r="FGV247" i="20"/>
  <c r="FGR247" i="20" l="1"/>
  <c r="FGN247" i="20" s="1"/>
  <c r="FGJ247" i="20" s="1"/>
  <c r="FGF247" i="20" s="1"/>
  <c r="FGQ247" i="20"/>
  <c r="FGM247" i="20" l="1"/>
  <c r="FGI247" i="20" s="1"/>
  <c r="FGE247" i="20" s="1"/>
  <c r="FGA247" i="20" s="1"/>
  <c r="FGL247" i="20"/>
  <c r="FGH247" i="20" l="1"/>
  <c r="FGD247" i="20" s="1"/>
  <c r="FFZ247" i="20" s="1"/>
  <c r="FFV247" i="20" s="1"/>
  <c r="FGG247" i="20"/>
  <c r="FGC247" i="20" l="1"/>
  <c r="FFY247" i="20" s="1"/>
  <c r="FFU247" i="20" s="1"/>
  <c r="FFQ247" i="20" s="1"/>
  <c r="FGB247" i="20"/>
  <c r="FFX247" i="20" l="1"/>
  <c r="FFT247" i="20" s="1"/>
  <c r="FFP247" i="20" s="1"/>
  <c r="FFL247" i="20" s="1"/>
  <c r="FFW247" i="20"/>
  <c r="FFS247" i="20" l="1"/>
  <c r="FFO247" i="20" s="1"/>
  <c r="FFK247" i="20" s="1"/>
  <c r="FFG247" i="20" s="1"/>
  <c r="FFR247" i="20"/>
  <c r="FFN247" i="20" l="1"/>
  <c r="FFJ247" i="20" s="1"/>
  <c r="FFF247" i="20" s="1"/>
  <c r="FFB247" i="20" s="1"/>
  <c r="FFM247" i="20"/>
  <c r="FFI247" i="20" l="1"/>
  <c r="FFE247" i="20" s="1"/>
  <c r="FFA247" i="20" s="1"/>
  <c r="FEW247" i="20" s="1"/>
  <c r="FFH247" i="20"/>
  <c r="FFD247" i="20" l="1"/>
  <c r="FEZ247" i="20" s="1"/>
  <c r="FEV247" i="20" s="1"/>
  <c r="FER247" i="20" s="1"/>
  <c r="FFC247" i="20"/>
  <c r="FEY247" i="20" l="1"/>
  <c r="FEU247" i="20" s="1"/>
  <c r="FEQ247" i="20" s="1"/>
  <c r="FEM247" i="20" s="1"/>
  <c r="FEX247" i="20"/>
  <c r="FET247" i="20" l="1"/>
  <c r="FEP247" i="20" s="1"/>
  <c r="FEL247" i="20" s="1"/>
  <c r="FEH247" i="20" s="1"/>
  <c r="FES247" i="20"/>
  <c r="FEO247" i="20" l="1"/>
  <c r="FEK247" i="20" s="1"/>
  <c r="FEG247" i="20" s="1"/>
  <c r="FEC247" i="20" s="1"/>
  <c r="FEN247" i="20"/>
  <c r="FEJ247" i="20" l="1"/>
  <c r="FEF247" i="20" s="1"/>
  <c r="FEB247" i="20" s="1"/>
  <c r="FDX247" i="20" s="1"/>
  <c r="FEI247" i="20"/>
  <c r="FEE247" i="20" l="1"/>
  <c r="FEA247" i="20" s="1"/>
  <c r="FDW247" i="20" s="1"/>
  <c r="FDS247" i="20" s="1"/>
  <c r="FED247" i="20"/>
  <c r="FDZ247" i="20" l="1"/>
  <c r="FDV247" i="20" s="1"/>
  <c r="FDR247" i="20" s="1"/>
  <c r="FDN247" i="20" s="1"/>
  <c r="FDY247" i="20"/>
  <c r="FDU247" i="20" l="1"/>
  <c r="FDQ247" i="20" s="1"/>
  <c r="FDM247" i="20" s="1"/>
  <c r="FDI247" i="20" s="1"/>
  <c r="FDT247" i="20"/>
  <c r="FDP247" i="20" l="1"/>
  <c r="FDL247" i="20" s="1"/>
  <c r="FDH247" i="20" s="1"/>
  <c r="FDD247" i="20" s="1"/>
  <c r="FDO247" i="20"/>
  <c r="FDK247" i="20" l="1"/>
  <c r="FDG247" i="20" s="1"/>
  <c r="FDC247" i="20" s="1"/>
  <c r="FCY247" i="20" s="1"/>
  <c r="FDJ247" i="20"/>
  <c r="FDF247" i="20" l="1"/>
  <c r="FDB247" i="20" s="1"/>
  <c r="FCX247" i="20" s="1"/>
  <c r="FCT247" i="20" s="1"/>
  <c r="FDE247" i="20"/>
  <c r="FDA247" i="20" l="1"/>
  <c r="FCW247" i="20" s="1"/>
  <c r="FCS247" i="20" s="1"/>
  <c r="FCO247" i="20" s="1"/>
  <c r="FCZ247" i="20"/>
  <c r="FCV247" i="20" l="1"/>
  <c r="FCR247" i="20" s="1"/>
  <c r="FCN247" i="20" s="1"/>
  <c r="FCJ247" i="20" s="1"/>
  <c r="FCU247" i="20"/>
  <c r="FCQ247" i="20" l="1"/>
  <c r="FCM247" i="20" s="1"/>
  <c r="FCI247" i="20" s="1"/>
  <c r="FCE247" i="20" s="1"/>
  <c r="FCP247" i="20"/>
  <c r="FCL247" i="20" l="1"/>
  <c r="FCH247" i="20" s="1"/>
  <c r="FCD247" i="20" s="1"/>
  <c r="FBZ247" i="20" s="1"/>
  <c r="FCK247" i="20"/>
  <c r="FCG247" i="20" l="1"/>
  <c r="FCC247" i="20" s="1"/>
  <c r="FBY247" i="20" s="1"/>
  <c r="FBU247" i="20" s="1"/>
  <c r="FCF247" i="20"/>
  <c r="FCB247" i="20" l="1"/>
  <c r="FBX247" i="20" s="1"/>
  <c r="FBT247" i="20" s="1"/>
  <c r="FBP247" i="20" s="1"/>
  <c r="FCA247" i="20"/>
  <c r="FBW247" i="20" l="1"/>
  <c r="FBS247" i="20" s="1"/>
  <c r="FBO247" i="20" s="1"/>
  <c r="FBK247" i="20" s="1"/>
  <c r="FBV247" i="20"/>
  <c r="FBR247" i="20" l="1"/>
  <c r="FBN247" i="20" s="1"/>
  <c r="FBJ247" i="20" s="1"/>
  <c r="FBF247" i="20" s="1"/>
  <c r="FBQ247" i="20"/>
  <c r="FBM247" i="20" l="1"/>
  <c r="FBI247" i="20" s="1"/>
  <c r="FBE247" i="20" s="1"/>
  <c r="FBA247" i="20" s="1"/>
  <c r="FBL247" i="20"/>
  <c r="FBH247" i="20" l="1"/>
  <c r="FBD247" i="20" s="1"/>
  <c r="FAZ247" i="20" s="1"/>
  <c r="FAV247" i="20" s="1"/>
  <c r="FBG247" i="20"/>
  <c r="FBC247" i="20" l="1"/>
  <c r="FAY247" i="20" s="1"/>
  <c r="FAU247" i="20" s="1"/>
  <c r="FAQ247" i="20" s="1"/>
  <c r="FBB247" i="20"/>
  <c r="FAX247" i="20" l="1"/>
  <c r="FAT247" i="20" s="1"/>
  <c r="FAP247" i="20" s="1"/>
  <c r="FAL247" i="20" s="1"/>
  <c r="FAW247" i="20"/>
  <c r="FAS247" i="20" l="1"/>
  <c r="FAO247" i="20" s="1"/>
  <c r="FAK247" i="20" s="1"/>
  <c r="FAG247" i="20" s="1"/>
  <c r="FAR247" i="20"/>
  <c r="FAN247" i="20" l="1"/>
  <c r="FAJ247" i="20" s="1"/>
  <c r="FAF247" i="20" s="1"/>
  <c r="FAB247" i="20" s="1"/>
  <c r="FAM247" i="20"/>
  <c r="FAI247" i="20" l="1"/>
  <c r="FAE247" i="20" s="1"/>
  <c r="FAA247" i="20" s="1"/>
  <c r="EZW247" i="20" s="1"/>
  <c r="FAH247" i="20"/>
  <c r="FAD247" i="20" l="1"/>
  <c r="EZZ247" i="20" s="1"/>
  <c r="EZV247" i="20" s="1"/>
  <c r="EZR247" i="20" s="1"/>
  <c r="FAC247" i="20"/>
  <c r="EZY247" i="20" l="1"/>
  <c r="EZU247" i="20" s="1"/>
  <c r="EZQ247" i="20" s="1"/>
  <c r="EZM247" i="20" s="1"/>
  <c r="EZX247" i="20"/>
  <c r="EZT247" i="20" l="1"/>
  <c r="EZP247" i="20" s="1"/>
  <c r="EZL247" i="20" s="1"/>
  <c r="EZH247" i="20" s="1"/>
  <c r="EZS247" i="20"/>
  <c r="EZO247" i="20" l="1"/>
  <c r="EZK247" i="20" s="1"/>
  <c r="EZG247" i="20" s="1"/>
  <c r="EZC247" i="20" s="1"/>
  <c r="EZN247" i="20"/>
  <c r="EZJ247" i="20" l="1"/>
  <c r="EZF247" i="20" s="1"/>
  <c r="EZB247" i="20" s="1"/>
  <c r="EYX247" i="20" s="1"/>
  <c r="EZI247" i="20"/>
  <c r="EZE247" i="20" l="1"/>
  <c r="EZA247" i="20" s="1"/>
  <c r="EYW247" i="20" s="1"/>
  <c r="EYS247" i="20" s="1"/>
  <c r="EZD247" i="20"/>
  <c r="EYZ247" i="20" l="1"/>
  <c r="EYV247" i="20" s="1"/>
  <c r="EYR247" i="20" s="1"/>
  <c r="EYN247" i="20" s="1"/>
  <c r="EYY247" i="20"/>
  <c r="EYU247" i="20" l="1"/>
  <c r="EYQ247" i="20" s="1"/>
  <c r="EYM247" i="20" s="1"/>
  <c r="EYI247" i="20" s="1"/>
  <c r="EYT247" i="20"/>
  <c r="EYP247" i="20" l="1"/>
  <c r="EYL247" i="20" s="1"/>
  <c r="EYH247" i="20" s="1"/>
  <c r="EYD247" i="20" s="1"/>
  <c r="EYO247" i="20"/>
  <c r="EYK247" i="20" l="1"/>
  <c r="EYG247" i="20" s="1"/>
  <c r="EYC247" i="20" s="1"/>
  <c r="EXY247" i="20" s="1"/>
  <c r="EYJ247" i="20"/>
  <c r="EYF247" i="20" l="1"/>
  <c r="EYB247" i="20" s="1"/>
  <c r="EXX247" i="20" s="1"/>
  <c r="EXT247" i="20" s="1"/>
  <c r="EYE247" i="20"/>
  <c r="EYA247" i="20" l="1"/>
  <c r="EXW247" i="20" s="1"/>
  <c r="EXS247" i="20" s="1"/>
  <c r="EXO247" i="20" s="1"/>
  <c r="EXZ247" i="20"/>
  <c r="EXV247" i="20" l="1"/>
  <c r="EXR247" i="20" s="1"/>
  <c r="EXN247" i="20" s="1"/>
  <c r="EXJ247" i="20" s="1"/>
  <c r="EXU247" i="20"/>
  <c r="EXQ247" i="20" l="1"/>
  <c r="EXM247" i="20" s="1"/>
  <c r="EXI247" i="20" s="1"/>
  <c r="EXE247" i="20" s="1"/>
  <c r="EXP247" i="20"/>
  <c r="EXL247" i="20" l="1"/>
  <c r="EXH247" i="20" s="1"/>
  <c r="EXD247" i="20" s="1"/>
  <c r="EWZ247" i="20" s="1"/>
  <c r="EXK247" i="20"/>
  <c r="EXG247" i="20" l="1"/>
  <c r="EXC247" i="20" s="1"/>
  <c r="EWY247" i="20" s="1"/>
  <c r="EWU247" i="20" s="1"/>
  <c r="EXF247" i="20"/>
  <c r="EXB247" i="20" l="1"/>
  <c r="EWX247" i="20" s="1"/>
  <c r="EWT247" i="20" s="1"/>
  <c r="EWP247" i="20" s="1"/>
  <c r="EXA247" i="20"/>
  <c r="EWW247" i="20" l="1"/>
  <c r="EWS247" i="20" s="1"/>
  <c r="EWO247" i="20" s="1"/>
  <c r="EWK247" i="20" s="1"/>
  <c r="EWV247" i="20"/>
  <c r="EWR247" i="20" l="1"/>
  <c r="EWN247" i="20" s="1"/>
  <c r="EWJ247" i="20" s="1"/>
  <c r="EWF247" i="20" s="1"/>
  <c r="EWQ247" i="20"/>
  <c r="EWM247" i="20" l="1"/>
  <c r="EWI247" i="20" s="1"/>
  <c r="EWE247" i="20" s="1"/>
  <c r="EWA247" i="20" s="1"/>
  <c r="EWL247" i="20"/>
  <c r="EWH247" i="20" l="1"/>
  <c r="EWD247" i="20" s="1"/>
  <c r="EVZ247" i="20" s="1"/>
  <c r="EVV247" i="20" s="1"/>
  <c r="EWG247" i="20"/>
  <c r="EWC247" i="20" l="1"/>
  <c r="EVY247" i="20" s="1"/>
  <c r="EVU247" i="20" s="1"/>
  <c r="EVQ247" i="20" s="1"/>
  <c r="EWB247" i="20"/>
  <c r="EVX247" i="20" l="1"/>
  <c r="EVT247" i="20" s="1"/>
  <c r="EVP247" i="20" s="1"/>
  <c r="EVL247" i="20" s="1"/>
  <c r="EVW247" i="20"/>
  <c r="EVS247" i="20" l="1"/>
  <c r="EVO247" i="20" s="1"/>
  <c r="EVK247" i="20" s="1"/>
  <c r="EVG247" i="20" s="1"/>
  <c r="EVR247" i="20"/>
  <c r="EVN247" i="20" l="1"/>
  <c r="EVJ247" i="20" s="1"/>
  <c r="EVF247" i="20" s="1"/>
  <c r="EVB247" i="20" s="1"/>
  <c r="EVM247" i="20"/>
  <c r="EVI247" i="20" l="1"/>
  <c r="EVE247" i="20" s="1"/>
  <c r="EVA247" i="20" s="1"/>
  <c r="EUW247" i="20" s="1"/>
  <c r="EVH247" i="20"/>
  <c r="EVD247" i="20" l="1"/>
  <c r="EUZ247" i="20" s="1"/>
  <c r="EUV247" i="20" s="1"/>
  <c r="EUR247" i="20" s="1"/>
  <c r="EVC247" i="20"/>
  <c r="EUY247" i="20" l="1"/>
  <c r="EUU247" i="20" s="1"/>
  <c r="EUQ247" i="20" s="1"/>
  <c r="EUM247" i="20" s="1"/>
  <c r="EUX247" i="20"/>
  <c r="EUT247" i="20" l="1"/>
  <c r="EUP247" i="20" s="1"/>
  <c r="EUL247" i="20" s="1"/>
  <c r="EUH247" i="20" s="1"/>
  <c r="EUS247" i="20"/>
  <c r="EUO247" i="20" l="1"/>
  <c r="EUK247" i="20" s="1"/>
  <c r="EUG247" i="20" s="1"/>
  <c r="EUC247" i="20" s="1"/>
  <c r="EUN247" i="20"/>
  <c r="EUJ247" i="20" l="1"/>
  <c r="EUF247" i="20" s="1"/>
  <c r="EUB247" i="20" s="1"/>
  <c r="ETX247" i="20" s="1"/>
  <c r="EUI247" i="20"/>
  <c r="EUE247" i="20" l="1"/>
  <c r="EUA247" i="20" s="1"/>
  <c r="ETW247" i="20" s="1"/>
  <c r="ETS247" i="20" s="1"/>
  <c r="EUD247" i="20"/>
  <c r="ETZ247" i="20" l="1"/>
  <c r="ETV247" i="20" s="1"/>
  <c r="ETR247" i="20" s="1"/>
  <c r="ETN247" i="20" s="1"/>
  <c r="ETY247" i="20"/>
  <c r="ETU247" i="20" l="1"/>
  <c r="ETQ247" i="20" s="1"/>
  <c r="ETM247" i="20" s="1"/>
  <c r="ETI247" i="20" s="1"/>
  <c r="ETT247" i="20"/>
  <c r="ETP247" i="20" l="1"/>
  <c r="ETL247" i="20" s="1"/>
  <c r="ETH247" i="20" s="1"/>
  <c r="ETD247" i="20" s="1"/>
  <c r="ETO247" i="20"/>
  <c r="ETK247" i="20" l="1"/>
  <c r="ETG247" i="20" s="1"/>
  <c r="ETC247" i="20" s="1"/>
  <c r="ESY247" i="20" s="1"/>
  <c r="ETJ247" i="20"/>
  <c r="ETF247" i="20" l="1"/>
  <c r="ETB247" i="20" s="1"/>
  <c r="ESX247" i="20" s="1"/>
  <c r="EST247" i="20" s="1"/>
  <c r="ETE247" i="20"/>
  <c r="ETA247" i="20" l="1"/>
  <c r="ESW247" i="20" s="1"/>
  <c r="ESS247" i="20" s="1"/>
  <c r="ESO247" i="20" s="1"/>
  <c r="ESZ247" i="20"/>
  <c r="ESV247" i="20" l="1"/>
  <c r="ESR247" i="20" s="1"/>
  <c r="ESN247" i="20" s="1"/>
  <c r="ESJ247" i="20" s="1"/>
  <c r="ESU247" i="20"/>
  <c r="ESQ247" i="20" l="1"/>
  <c r="ESM247" i="20" s="1"/>
  <c r="ESI247" i="20" s="1"/>
  <c r="ESE247" i="20" s="1"/>
  <c r="ESP247" i="20"/>
  <c r="ESL247" i="20" l="1"/>
  <c r="ESH247" i="20" s="1"/>
  <c r="ESD247" i="20" s="1"/>
  <c r="ERZ247" i="20" s="1"/>
  <c r="ESK247" i="20"/>
  <c r="ESG247" i="20" l="1"/>
  <c r="ESC247" i="20" s="1"/>
  <c r="ERY247" i="20" s="1"/>
  <c r="ERU247" i="20" s="1"/>
  <c r="ESF247" i="20"/>
  <c r="ESB247" i="20" l="1"/>
  <c r="ERX247" i="20" s="1"/>
  <c r="ERT247" i="20" s="1"/>
  <c r="ERP247" i="20" s="1"/>
  <c r="ESA247" i="20"/>
  <c r="ERW247" i="20" l="1"/>
  <c r="ERS247" i="20" s="1"/>
  <c r="ERO247" i="20" s="1"/>
  <c r="ERK247" i="20" s="1"/>
  <c r="ERV247" i="20"/>
  <c r="ERR247" i="20" l="1"/>
  <c r="ERN247" i="20" s="1"/>
  <c r="ERJ247" i="20" s="1"/>
  <c r="ERF247" i="20" s="1"/>
  <c r="ERQ247" i="20"/>
  <c r="ERM247" i="20" l="1"/>
  <c r="ERI247" i="20" s="1"/>
  <c r="ERE247" i="20" s="1"/>
  <c r="ERA247" i="20" s="1"/>
  <c r="ERL247" i="20"/>
  <c r="ERH247" i="20" l="1"/>
  <c r="ERD247" i="20" s="1"/>
  <c r="EQZ247" i="20" s="1"/>
  <c r="EQV247" i="20" s="1"/>
  <c r="ERG247" i="20"/>
  <c r="ERC247" i="20" l="1"/>
  <c r="EQY247" i="20" s="1"/>
  <c r="EQU247" i="20" s="1"/>
  <c r="EQQ247" i="20" s="1"/>
  <c r="ERB247" i="20"/>
  <c r="EQX247" i="20" l="1"/>
  <c r="EQT247" i="20" s="1"/>
  <c r="EQP247" i="20" s="1"/>
  <c r="EQL247" i="20" s="1"/>
  <c r="EQW247" i="20"/>
  <c r="EQS247" i="20" l="1"/>
  <c r="EQO247" i="20" s="1"/>
  <c r="EQK247" i="20" s="1"/>
  <c r="EQG247" i="20" s="1"/>
  <c r="EQR247" i="20"/>
  <c r="EQN247" i="20" l="1"/>
  <c r="EQJ247" i="20" s="1"/>
  <c r="EQF247" i="20" s="1"/>
  <c r="EQB247" i="20" s="1"/>
  <c r="EQM247" i="20"/>
  <c r="EQI247" i="20" l="1"/>
  <c r="EQE247" i="20" s="1"/>
  <c r="EQA247" i="20" s="1"/>
  <c r="EPW247" i="20" s="1"/>
  <c r="EQH247" i="20"/>
  <c r="EQD247" i="20" l="1"/>
  <c r="EPZ247" i="20" s="1"/>
  <c r="EPV247" i="20" s="1"/>
  <c r="EPR247" i="20" s="1"/>
  <c r="EQC247" i="20"/>
  <c r="EPY247" i="20" l="1"/>
  <c r="EPU247" i="20" s="1"/>
  <c r="EPQ247" i="20" s="1"/>
  <c r="EPM247" i="20" s="1"/>
  <c r="EPX247" i="20"/>
  <c r="EPT247" i="20" l="1"/>
  <c r="EPP247" i="20" s="1"/>
  <c r="EPL247" i="20" s="1"/>
  <c r="EPH247" i="20" s="1"/>
  <c r="EPS247" i="20"/>
  <c r="EPO247" i="20" l="1"/>
  <c r="EPK247" i="20" s="1"/>
  <c r="EPG247" i="20" s="1"/>
  <c r="EPC247" i="20" s="1"/>
  <c r="EPN247" i="20"/>
  <c r="EPJ247" i="20" l="1"/>
  <c r="EPF247" i="20" s="1"/>
  <c r="EPB247" i="20" s="1"/>
  <c r="EOX247" i="20" s="1"/>
  <c r="EPI247" i="20"/>
  <c r="EPE247" i="20" l="1"/>
  <c r="EPA247" i="20" s="1"/>
  <c r="EOW247" i="20" s="1"/>
  <c r="EOS247" i="20" s="1"/>
  <c r="EPD247" i="20"/>
  <c r="EOZ247" i="20" l="1"/>
  <c r="EOV247" i="20" s="1"/>
  <c r="EOR247" i="20" s="1"/>
  <c r="EON247" i="20" s="1"/>
  <c r="EOY247" i="20"/>
  <c r="EOU247" i="20" l="1"/>
  <c r="EOQ247" i="20" s="1"/>
  <c r="EOM247" i="20" s="1"/>
  <c r="EOI247" i="20" s="1"/>
  <c r="EOT247" i="20"/>
  <c r="EOP247" i="20" l="1"/>
  <c r="EOL247" i="20" s="1"/>
  <c r="EOH247" i="20" s="1"/>
  <c r="EOD247" i="20" s="1"/>
  <c r="EOO247" i="20"/>
  <c r="EOK247" i="20" l="1"/>
  <c r="EOG247" i="20" s="1"/>
  <c r="EOC247" i="20" s="1"/>
  <c r="ENY247" i="20" s="1"/>
  <c r="EOJ247" i="20"/>
  <c r="EOF247" i="20" l="1"/>
  <c r="EOB247" i="20" s="1"/>
  <c r="ENX247" i="20" s="1"/>
  <c r="ENT247" i="20" s="1"/>
  <c r="EOE247" i="20"/>
  <c r="EOA247" i="20" l="1"/>
  <c r="ENW247" i="20" s="1"/>
  <c r="ENS247" i="20" s="1"/>
  <c r="ENO247" i="20" s="1"/>
  <c r="ENZ247" i="20"/>
  <c r="ENV247" i="20" l="1"/>
  <c r="ENR247" i="20" s="1"/>
  <c r="ENN247" i="20" s="1"/>
  <c r="ENJ247" i="20" s="1"/>
  <c r="ENU247" i="20"/>
  <c r="ENQ247" i="20" l="1"/>
  <c r="ENM247" i="20" s="1"/>
  <c r="ENI247" i="20" s="1"/>
  <c r="ENE247" i="20" s="1"/>
  <c r="ENP247" i="20"/>
  <c r="ENL247" i="20" l="1"/>
  <c r="ENH247" i="20" s="1"/>
  <c r="END247" i="20" s="1"/>
  <c r="EMZ247" i="20" s="1"/>
  <c r="ENK247" i="20"/>
  <c r="ENG247" i="20" l="1"/>
  <c r="ENC247" i="20" s="1"/>
  <c r="EMY247" i="20" s="1"/>
  <c r="EMU247" i="20" s="1"/>
  <c r="ENF247" i="20"/>
  <c r="ENB247" i="20" l="1"/>
  <c r="EMX247" i="20" s="1"/>
  <c r="EMT247" i="20" s="1"/>
  <c r="EMP247" i="20" s="1"/>
  <c r="ENA247" i="20"/>
  <c r="EMW247" i="20" l="1"/>
  <c r="EMS247" i="20" s="1"/>
  <c r="EMO247" i="20" s="1"/>
  <c r="EMK247" i="20" s="1"/>
  <c r="EMV247" i="20"/>
  <c r="EMR247" i="20" l="1"/>
  <c r="EMN247" i="20" s="1"/>
  <c r="EMJ247" i="20" s="1"/>
  <c r="EMF247" i="20" s="1"/>
  <c r="EMQ247" i="20"/>
  <c r="EMM247" i="20" l="1"/>
  <c r="EMI247" i="20" s="1"/>
  <c r="EME247" i="20" s="1"/>
  <c r="EMA247" i="20" s="1"/>
  <c r="EML247" i="20"/>
  <c r="EMH247" i="20" l="1"/>
  <c r="EMD247" i="20" s="1"/>
  <c r="ELZ247" i="20" s="1"/>
  <c r="ELV247" i="20" s="1"/>
  <c r="EMG247" i="20"/>
  <c r="EMC247" i="20" l="1"/>
  <c r="ELY247" i="20" s="1"/>
  <c r="ELU247" i="20" s="1"/>
  <c r="ELQ247" i="20" s="1"/>
  <c r="EMB247" i="20"/>
  <c r="ELX247" i="20" l="1"/>
  <c r="ELT247" i="20" s="1"/>
  <c r="ELP247" i="20" s="1"/>
  <c r="ELL247" i="20" s="1"/>
  <c r="ELW247" i="20"/>
  <c r="ELS247" i="20" l="1"/>
  <c r="ELO247" i="20" s="1"/>
  <c r="ELK247" i="20" s="1"/>
  <c r="ELG247" i="20" s="1"/>
  <c r="ELR247" i="20"/>
  <c r="ELN247" i="20" l="1"/>
  <c r="ELJ247" i="20" s="1"/>
  <c r="ELF247" i="20" s="1"/>
  <c r="ELB247" i="20" s="1"/>
  <c r="ELM247" i="20"/>
  <c r="ELI247" i="20" l="1"/>
  <c r="ELE247" i="20" s="1"/>
  <c r="ELA247" i="20" s="1"/>
  <c r="EKW247" i="20" s="1"/>
  <c r="ELH247" i="20"/>
  <c r="ELD247" i="20" l="1"/>
  <c r="EKZ247" i="20" s="1"/>
  <c r="EKV247" i="20" s="1"/>
  <c r="EKR247" i="20" s="1"/>
  <c r="ELC247" i="20"/>
  <c r="EKY247" i="20" l="1"/>
  <c r="EKU247" i="20" s="1"/>
  <c r="EKQ247" i="20" s="1"/>
  <c r="EKM247" i="20" s="1"/>
  <c r="EKX247" i="20"/>
  <c r="EKT247" i="20" l="1"/>
  <c r="EKP247" i="20" s="1"/>
  <c r="EKL247" i="20" s="1"/>
  <c r="EKH247" i="20" s="1"/>
  <c r="EKS247" i="20"/>
  <c r="EKO247" i="20" l="1"/>
  <c r="EKK247" i="20" s="1"/>
  <c r="EKG247" i="20" s="1"/>
  <c r="EKC247" i="20" s="1"/>
  <c r="EKN247" i="20"/>
  <c r="EKJ247" i="20" l="1"/>
  <c r="EKF247" i="20" s="1"/>
  <c r="EKB247" i="20" s="1"/>
  <c r="EJX247" i="20" s="1"/>
  <c r="EKI247" i="20"/>
  <c r="EKE247" i="20" l="1"/>
  <c r="EKA247" i="20" s="1"/>
  <c r="EJW247" i="20" s="1"/>
  <c r="EJS247" i="20" s="1"/>
  <c r="EKD247" i="20"/>
  <c r="EJZ247" i="20" l="1"/>
  <c r="EJV247" i="20" s="1"/>
  <c r="EJR247" i="20" s="1"/>
  <c r="EJN247" i="20" s="1"/>
  <c r="EJY247" i="20"/>
  <c r="EJU247" i="20" l="1"/>
  <c r="EJQ247" i="20" s="1"/>
  <c r="EJM247" i="20" s="1"/>
  <c r="EJI247" i="20" s="1"/>
  <c r="EJT247" i="20"/>
  <c r="EJP247" i="20" l="1"/>
  <c r="EJL247" i="20" s="1"/>
  <c r="EJH247" i="20" s="1"/>
  <c r="EJD247" i="20" s="1"/>
  <c r="EJO247" i="20"/>
  <c r="EJK247" i="20" l="1"/>
  <c r="EJG247" i="20" s="1"/>
  <c r="EJC247" i="20" s="1"/>
  <c r="EIY247" i="20" s="1"/>
  <c r="EJJ247" i="20"/>
  <c r="EJF247" i="20" l="1"/>
  <c r="EJB247" i="20" s="1"/>
  <c r="EIX247" i="20" s="1"/>
  <c r="EIT247" i="20" s="1"/>
  <c r="EJE247" i="20"/>
  <c r="EJA247" i="20" l="1"/>
  <c r="EIW247" i="20" s="1"/>
  <c r="EIS247" i="20" s="1"/>
  <c r="EIO247" i="20" s="1"/>
  <c r="EIZ247" i="20"/>
  <c r="EIV247" i="20" l="1"/>
  <c r="EIR247" i="20" s="1"/>
  <c r="EIN247" i="20" s="1"/>
  <c r="EIJ247" i="20" s="1"/>
  <c r="EIU247" i="20"/>
  <c r="EIQ247" i="20" l="1"/>
  <c r="EIM247" i="20" s="1"/>
  <c r="EII247" i="20" s="1"/>
  <c r="EIE247" i="20" s="1"/>
  <c r="EIP247" i="20"/>
  <c r="EIL247" i="20" l="1"/>
  <c r="EIH247" i="20" s="1"/>
  <c r="EID247" i="20" s="1"/>
  <c r="EHZ247" i="20" s="1"/>
  <c r="EIK247" i="20"/>
  <c r="EIG247" i="20" l="1"/>
  <c r="EIC247" i="20" s="1"/>
  <c r="EHY247" i="20" s="1"/>
  <c r="EHU247" i="20" s="1"/>
  <c r="EIF247" i="20"/>
  <c r="EIB247" i="20" l="1"/>
  <c r="EHX247" i="20" s="1"/>
  <c r="EHT247" i="20" s="1"/>
  <c r="EHP247" i="20" s="1"/>
  <c r="EIA247" i="20"/>
  <c r="EHW247" i="20" l="1"/>
  <c r="EHS247" i="20" s="1"/>
  <c r="EHO247" i="20" s="1"/>
  <c r="EHK247" i="20" s="1"/>
  <c r="EHV247" i="20"/>
  <c r="EHR247" i="20" l="1"/>
  <c r="EHN247" i="20" s="1"/>
  <c r="EHJ247" i="20" s="1"/>
  <c r="EHF247" i="20" s="1"/>
  <c r="EHQ247" i="20"/>
  <c r="EHM247" i="20" l="1"/>
  <c r="EHI247" i="20" s="1"/>
  <c r="EHE247" i="20" s="1"/>
  <c r="EHA247" i="20" s="1"/>
  <c r="EHL247" i="20"/>
  <c r="EHH247" i="20" l="1"/>
  <c r="EHD247" i="20" s="1"/>
  <c r="EGZ247" i="20" s="1"/>
  <c r="EGV247" i="20" s="1"/>
  <c r="EHG247" i="20"/>
  <c r="EHC247" i="20" l="1"/>
  <c r="EGY247" i="20" s="1"/>
  <c r="EGU247" i="20" s="1"/>
  <c r="EGQ247" i="20" s="1"/>
  <c r="EHB247" i="20"/>
  <c r="EGX247" i="20" l="1"/>
  <c r="EGT247" i="20" s="1"/>
  <c r="EGP247" i="20" s="1"/>
  <c r="EGL247" i="20" s="1"/>
  <c r="EGW247" i="20"/>
  <c r="EGS247" i="20" l="1"/>
  <c r="EGO247" i="20" s="1"/>
  <c r="EGK247" i="20" s="1"/>
  <c r="EGG247" i="20" s="1"/>
  <c r="EGR247" i="20"/>
  <c r="EGN247" i="20" l="1"/>
  <c r="EGJ247" i="20" s="1"/>
  <c r="EGF247" i="20" s="1"/>
  <c r="EGB247" i="20" s="1"/>
  <c r="EGM247" i="20"/>
  <c r="EGI247" i="20" l="1"/>
  <c r="EGE247" i="20" s="1"/>
  <c r="EGA247" i="20" s="1"/>
  <c r="EFW247" i="20" s="1"/>
  <c r="EGH247" i="20"/>
  <c r="EGD247" i="20" l="1"/>
  <c r="EFZ247" i="20" s="1"/>
  <c r="EFV247" i="20" s="1"/>
  <c r="EFR247" i="20" s="1"/>
  <c r="EGC247" i="20"/>
  <c r="EFY247" i="20" l="1"/>
  <c r="EFU247" i="20" s="1"/>
  <c r="EFQ247" i="20" s="1"/>
  <c r="EFM247" i="20" s="1"/>
  <c r="EFX247" i="20"/>
  <c r="EFT247" i="20" l="1"/>
  <c r="EFP247" i="20" s="1"/>
  <c r="EFL247" i="20" s="1"/>
  <c r="EFH247" i="20" s="1"/>
  <c r="EFS247" i="20"/>
  <c r="EFO247" i="20" l="1"/>
  <c r="EFK247" i="20" s="1"/>
  <c r="EFG247" i="20" s="1"/>
  <c r="EFC247" i="20" s="1"/>
  <c r="EFN247" i="20"/>
  <c r="EFJ247" i="20" l="1"/>
  <c r="EFF247" i="20" s="1"/>
  <c r="EFB247" i="20" s="1"/>
  <c r="EEX247" i="20" s="1"/>
  <c r="EFI247" i="20"/>
  <c r="EFE247" i="20" l="1"/>
  <c r="EFA247" i="20" s="1"/>
  <c r="EEW247" i="20" s="1"/>
  <c r="EES247" i="20" s="1"/>
  <c r="EFD247" i="20"/>
  <c r="EEZ247" i="20" l="1"/>
  <c r="EEV247" i="20" s="1"/>
  <c r="EER247" i="20" s="1"/>
  <c r="EEN247" i="20" s="1"/>
  <c r="EEY247" i="20"/>
  <c r="EEU247" i="20" l="1"/>
  <c r="EEQ247" i="20" s="1"/>
  <c r="EEM247" i="20" s="1"/>
  <c r="EEI247" i="20" s="1"/>
  <c r="EET247" i="20"/>
  <c r="EEP247" i="20" l="1"/>
  <c r="EEL247" i="20" s="1"/>
  <c r="EEH247" i="20" s="1"/>
  <c r="EED247" i="20" s="1"/>
  <c r="EEO247" i="20"/>
  <c r="EEK247" i="20" l="1"/>
  <c r="EEG247" i="20" s="1"/>
  <c r="EEC247" i="20" s="1"/>
  <c r="EDY247" i="20" s="1"/>
  <c r="EEJ247" i="20"/>
  <c r="EEF247" i="20" l="1"/>
  <c r="EEB247" i="20" s="1"/>
  <c r="EDX247" i="20" s="1"/>
  <c r="EDT247" i="20" s="1"/>
  <c r="EEE247" i="20"/>
  <c r="EEA247" i="20" l="1"/>
  <c r="EDW247" i="20" s="1"/>
  <c r="EDS247" i="20" s="1"/>
  <c r="EDO247" i="20" s="1"/>
  <c r="EDZ247" i="20"/>
  <c r="EDV247" i="20" l="1"/>
  <c r="EDR247" i="20" s="1"/>
  <c r="EDN247" i="20" s="1"/>
  <c r="EDJ247" i="20" s="1"/>
  <c r="EDU247" i="20"/>
  <c r="EDQ247" i="20" l="1"/>
  <c r="EDM247" i="20" s="1"/>
  <c r="EDI247" i="20" s="1"/>
  <c r="EDE247" i="20" s="1"/>
  <c r="EDP247" i="20"/>
  <c r="EDL247" i="20" l="1"/>
  <c r="EDH247" i="20" s="1"/>
  <c r="EDD247" i="20" s="1"/>
  <c r="ECZ247" i="20" s="1"/>
  <c r="EDK247" i="20"/>
  <c r="EDG247" i="20" l="1"/>
  <c r="EDC247" i="20" s="1"/>
  <c r="ECY247" i="20" s="1"/>
  <c r="ECU247" i="20" s="1"/>
  <c r="EDF247" i="20"/>
  <c r="EDB247" i="20" l="1"/>
  <c r="ECX247" i="20" s="1"/>
  <c r="ECT247" i="20" s="1"/>
  <c r="ECP247" i="20" s="1"/>
  <c r="EDA247" i="20"/>
  <c r="ECW247" i="20" l="1"/>
  <c r="ECS247" i="20" s="1"/>
  <c r="ECO247" i="20" s="1"/>
  <c r="ECK247" i="20" s="1"/>
  <c r="ECV247" i="20"/>
  <c r="ECR247" i="20" l="1"/>
  <c r="ECN247" i="20" s="1"/>
  <c r="ECJ247" i="20" s="1"/>
  <c r="ECF247" i="20" s="1"/>
  <c r="ECQ247" i="20"/>
  <c r="ECM247" i="20" l="1"/>
  <c r="ECI247" i="20" s="1"/>
  <c r="ECE247" i="20" s="1"/>
  <c r="ECA247" i="20" s="1"/>
  <c r="ECL247" i="20"/>
  <c r="ECH247" i="20" l="1"/>
  <c r="ECD247" i="20" s="1"/>
  <c r="EBZ247" i="20" s="1"/>
  <c r="EBV247" i="20" s="1"/>
  <c r="ECG247" i="20"/>
  <c r="ECC247" i="20" l="1"/>
  <c r="EBY247" i="20" s="1"/>
  <c r="EBU247" i="20" s="1"/>
  <c r="EBQ247" i="20" s="1"/>
  <c r="ECB247" i="20"/>
  <c r="EBX247" i="20" l="1"/>
  <c r="EBT247" i="20" s="1"/>
  <c r="EBP247" i="20" s="1"/>
  <c r="EBL247" i="20" s="1"/>
  <c r="EBW247" i="20"/>
  <c r="EBS247" i="20" l="1"/>
  <c r="EBO247" i="20" s="1"/>
  <c r="EBK247" i="20" s="1"/>
  <c r="EBG247" i="20" s="1"/>
  <c r="EBR247" i="20"/>
  <c r="EBN247" i="20" l="1"/>
  <c r="EBJ247" i="20" s="1"/>
  <c r="EBF247" i="20" s="1"/>
  <c r="EBB247" i="20" s="1"/>
  <c r="EBM247" i="20"/>
  <c r="EBI247" i="20" l="1"/>
  <c r="EBE247" i="20" s="1"/>
  <c r="EBA247" i="20" s="1"/>
  <c r="EAW247" i="20" s="1"/>
  <c r="EBH247" i="20"/>
  <c r="EBD247" i="20" l="1"/>
  <c r="EAZ247" i="20" s="1"/>
  <c r="EAV247" i="20" s="1"/>
  <c r="EAR247" i="20" s="1"/>
  <c r="EBC247" i="20"/>
  <c r="EAY247" i="20" l="1"/>
  <c r="EAU247" i="20" s="1"/>
  <c r="EAQ247" i="20" s="1"/>
  <c r="EAM247" i="20" s="1"/>
  <c r="EAX247" i="20"/>
  <c r="EAT247" i="20" l="1"/>
  <c r="EAP247" i="20" s="1"/>
  <c r="EAL247" i="20" s="1"/>
  <c r="EAH247" i="20" s="1"/>
  <c r="EAS247" i="20"/>
  <c r="EAO247" i="20" l="1"/>
  <c r="EAK247" i="20" s="1"/>
  <c r="EAG247" i="20" s="1"/>
  <c r="EAC247" i="20" s="1"/>
  <c r="EAN247" i="20"/>
  <c r="EAJ247" i="20" l="1"/>
  <c r="EAF247" i="20" s="1"/>
  <c r="EAB247" i="20" s="1"/>
  <c r="DZX247" i="20" s="1"/>
  <c r="EAI247" i="20"/>
  <c r="EAE247" i="20" l="1"/>
  <c r="EAA247" i="20" s="1"/>
  <c r="DZW247" i="20" s="1"/>
  <c r="DZS247" i="20" s="1"/>
  <c r="EAD247" i="20"/>
  <c r="DZZ247" i="20" l="1"/>
  <c r="DZV247" i="20" s="1"/>
  <c r="DZR247" i="20" s="1"/>
  <c r="DZN247" i="20" s="1"/>
  <c r="DZY247" i="20"/>
  <c r="DZU247" i="20" l="1"/>
  <c r="DZQ247" i="20" s="1"/>
  <c r="DZM247" i="20" s="1"/>
  <c r="DZI247" i="20" s="1"/>
  <c r="DZT247" i="20"/>
  <c r="DZP247" i="20" l="1"/>
  <c r="DZL247" i="20" s="1"/>
  <c r="DZH247" i="20" s="1"/>
  <c r="DZD247" i="20" s="1"/>
  <c r="DZO247" i="20"/>
  <c r="DZK247" i="20" l="1"/>
  <c r="DZG247" i="20" s="1"/>
  <c r="DZC247" i="20" s="1"/>
  <c r="DYY247" i="20" s="1"/>
  <c r="DZJ247" i="20"/>
  <c r="DZF247" i="20" l="1"/>
  <c r="DZB247" i="20" s="1"/>
  <c r="DYX247" i="20" s="1"/>
  <c r="DYT247" i="20" s="1"/>
  <c r="DZE247" i="20"/>
  <c r="DZA247" i="20" l="1"/>
  <c r="DYW247" i="20" s="1"/>
  <c r="DYS247" i="20" s="1"/>
  <c r="DYO247" i="20" s="1"/>
  <c r="DYZ247" i="20"/>
  <c r="DYV247" i="20" l="1"/>
  <c r="DYR247" i="20" s="1"/>
  <c r="DYN247" i="20" s="1"/>
  <c r="DYJ247" i="20" s="1"/>
  <c r="DYU247" i="20"/>
  <c r="DYQ247" i="20" l="1"/>
  <c r="DYM247" i="20" s="1"/>
  <c r="DYI247" i="20" s="1"/>
  <c r="DYE247" i="20" s="1"/>
  <c r="DYP247" i="20"/>
  <c r="DYL247" i="20" l="1"/>
  <c r="DYH247" i="20" s="1"/>
  <c r="DYD247" i="20" s="1"/>
  <c r="DXZ247" i="20" s="1"/>
  <c r="DYK247" i="20"/>
  <c r="DYG247" i="20" l="1"/>
  <c r="DYC247" i="20" s="1"/>
  <c r="DXY247" i="20" s="1"/>
  <c r="DXU247" i="20" s="1"/>
  <c r="DYF247" i="20"/>
  <c r="DYB247" i="20" l="1"/>
  <c r="DXX247" i="20" s="1"/>
  <c r="DXT247" i="20" s="1"/>
  <c r="DXP247" i="20" s="1"/>
  <c r="DYA247" i="20"/>
  <c r="DXW247" i="20" l="1"/>
  <c r="DXS247" i="20" s="1"/>
  <c r="DXO247" i="20" s="1"/>
  <c r="DXK247" i="20" s="1"/>
  <c r="DXV247" i="20"/>
  <c r="DXR247" i="20" l="1"/>
  <c r="DXN247" i="20" s="1"/>
  <c r="DXJ247" i="20" s="1"/>
  <c r="DXF247" i="20" s="1"/>
  <c r="DXQ247" i="20"/>
  <c r="DXM247" i="20" l="1"/>
  <c r="DXI247" i="20" s="1"/>
  <c r="DXE247" i="20" s="1"/>
  <c r="DXA247" i="20" s="1"/>
  <c r="DXL247" i="20"/>
  <c r="DXH247" i="20" l="1"/>
  <c r="DXD247" i="20" s="1"/>
  <c r="DWZ247" i="20" s="1"/>
  <c r="DWV247" i="20" s="1"/>
  <c r="DXG247" i="20"/>
  <c r="DXC247" i="20" l="1"/>
  <c r="DWY247" i="20" s="1"/>
  <c r="DWU247" i="20" s="1"/>
  <c r="DWQ247" i="20" s="1"/>
  <c r="DXB247" i="20"/>
  <c r="DWX247" i="20" l="1"/>
  <c r="DWT247" i="20" s="1"/>
  <c r="DWP247" i="20" s="1"/>
  <c r="DWL247" i="20" s="1"/>
  <c r="DWW247" i="20"/>
  <c r="DWS247" i="20" l="1"/>
  <c r="DWO247" i="20" s="1"/>
  <c r="DWK247" i="20" s="1"/>
  <c r="DWG247" i="20" s="1"/>
  <c r="DWR247" i="20"/>
  <c r="DWN247" i="20" l="1"/>
  <c r="DWJ247" i="20" s="1"/>
  <c r="DWF247" i="20" s="1"/>
  <c r="DWB247" i="20" s="1"/>
  <c r="DWM247" i="20"/>
  <c r="DWI247" i="20" l="1"/>
  <c r="DWE247" i="20" s="1"/>
  <c r="DWA247" i="20" s="1"/>
  <c r="DVW247" i="20" s="1"/>
  <c r="DWH247" i="20"/>
  <c r="DWD247" i="20" l="1"/>
  <c r="DVZ247" i="20" s="1"/>
  <c r="DVV247" i="20" s="1"/>
  <c r="DVR247" i="20" s="1"/>
  <c r="DWC247" i="20"/>
  <c r="DVY247" i="20" l="1"/>
  <c r="DVU247" i="20" s="1"/>
  <c r="DVQ247" i="20" s="1"/>
  <c r="DVM247" i="20" s="1"/>
  <c r="DVX247" i="20"/>
  <c r="DVT247" i="20" l="1"/>
  <c r="DVP247" i="20" s="1"/>
  <c r="DVL247" i="20" s="1"/>
  <c r="DVH247" i="20" s="1"/>
  <c r="DVS247" i="20"/>
  <c r="DVO247" i="20" l="1"/>
  <c r="DVK247" i="20" s="1"/>
  <c r="DVG247" i="20" s="1"/>
  <c r="DVC247" i="20" s="1"/>
  <c r="DVN247" i="20"/>
  <c r="DVJ247" i="20" l="1"/>
  <c r="DVF247" i="20" s="1"/>
  <c r="DVB247" i="20" s="1"/>
  <c r="DUX247" i="20" s="1"/>
  <c r="DVI247" i="20"/>
  <c r="DVE247" i="20" l="1"/>
  <c r="DVA247" i="20" s="1"/>
  <c r="DUW247" i="20" s="1"/>
  <c r="DUS247" i="20" s="1"/>
  <c r="DVD247" i="20"/>
  <c r="DUZ247" i="20" l="1"/>
  <c r="DUV247" i="20" s="1"/>
  <c r="DUR247" i="20" s="1"/>
  <c r="DUN247" i="20" s="1"/>
  <c r="DUY247" i="20"/>
  <c r="DUU247" i="20" l="1"/>
  <c r="DUQ247" i="20" s="1"/>
  <c r="DUM247" i="20" s="1"/>
  <c r="DUI247" i="20" s="1"/>
  <c r="DUT247" i="20"/>
  <c r="DUP247" i="20" l="1"/>
  <c r="DUL247" i="20" s="1"/>
  <c r="DUH247" i="20" s="1"/>
  <c r="DUD247" i="20" s="1"/>
  <c r="DUO247" i="20"/>
  <c r="DUK247" i="20" l="1"/>
  <c r="DUG247" i="20" s="1"/>
  <c r="DUC247" i="20" s="1"/>
  <c r="DTY247" i="20" s="1"/>
  <c r="DUJ247" i="20"/>
  <c r="DUF247" i="20" l="1"/>
  <c r="DUB247" i="20" s="1"/>
  <c r="DTX247" i="20" s="1"/>
  <c r="DTT247" i="20" s="1"/>
  <c r="DUE247" i="20"/>
  <c r="DUA247" i="20" l="1"/>
  <c r="DTW247" i="20" s="1"/>
  <c r="DTS247" i="20" s="1"/>
  <c r="DTO247" i="20" s="1"/>
  <c r="DTZ247" i="20"/>
  <c r="DTV247" i="20" l="1"/>
  <c r="DTR247" i="20" s="1"/>
  <c r="DTN247" i="20" s="1"/>
  <c r="DTJ247" i="20" s="1"/>
  <c r="DTU247" i="20"/>
  <c r="DTQ247" i="20" l="1"/>
  <c r="DTM247" i="20" s="1"/>
  <c r="DTI247" i="20" s="1"/>
  <c r="DTE247" i="20" s="1"/>
  <c r="DTP247" i="20"/>
  <c r="DTL247" i="20" l="1"/>
  <c r="DTH247" i="20" s="1"/>
  <c r="DTD247" i="20" s="1"/>
  <c r="DSZ247" i="20" s="1"/>
  <c r="DTK247" i="20"/>
  <c r="DTG247" i="20" l="1"/>
  <c r="DTC247" i="20" s="1"/>
  <c r="DSY247" i="20" s="1"/>
  <c r="DSU247" i="20" s="1"/>
  <c r="DTF247" i="20"/>
  <c r="DTB247" i="20" l="1"/>
  <c r="DSX247" i="20" s="1"/>
  <c r="DST247" i="20" s="1"/>
  <c r="DSP247" i="20" s="1"/>
  <c r="DTA247" i="20"/>
  <c r="DSW247" i="20" l="1"/>
  <c r="DSS247" i="20" s="1"/>
  <c r="DSO247" i="20" s="1"/>
  <c r="DSK247" i="20" s="1"/>
  <c r="DSV247" i="20"/>
  <c r="DSR247" i="20" l="1"/>
  <c r="DSN247" i="20" s="1"/>
  <c r="DSJ247" i="20" s="1"/>
  <c r="DSF247" i="20" s="1"/>
  <c r="DSQ247" i="20"/>
  <c r="DSM247" i="20" l="1"/>
  <c r="DSI247" i="20" s="1"/>
  <c r="DSE247" i="20" s="1"/>
  <c r="DSA247" i="20" s="1"/>
  <c r="DSL247" i="20"/>
  <c r="DSH247" i="20" l="1"/>
  <c r="DSD247" i="20" s="1"/>
  <c r="DRZ247" i="20" s="1"/>
  <c r="DRV247" i="20" s="1"/>
  <c r="DSG247" i="20"/>
  <c r="DSC247" i="20" l="1"/>
  <c r="DRY247" i="20" s="1"/>
  <c r="DRU247" i="20" s="1"/>
  <c r="DRQ247" i="20" s="1"/>
  <c r="DSB247" i="20"/>
  <c r="DRX247" i="20" l="1"/>
  <c r="DRT247" i="20" s="1"/>
  <c r="DRP247" i="20" s="1"/>
  <c r="DRL247" i="20" s="1"/>
  <c r="DRW247" i="20"/>
  <c r="DRS247" i="20" l="1"/>
  <c r="DRO247" i="20" s="1"/>
  <c r="DRK247" i="20" s="1"/>
  <c r="DRG247" i="20" s="1"/>
  <c r="DRR247" i="20"/>
  <c r="DRN247" i="20" l="1"/>
  <c r="DRJ247" i="20" s="1"/>
  <c r="DRF247" i="20" s="1"/>
  <c r="DRB247" i="20" s="1"/>
  <c r="DRM247" i="20"/>
  <c r="DRI247" i="20" l="1"/>
  <c r="DRE247" i="20" s="1"/>
  <c r="DRA247" i="20" s="1"/>
  <c r="DQW247" i="20" s="1"/>
  <c r="DRH247" i="20"/>
  <c r="DRD247" i="20" l="1"/>
  <c r="DQZ247" i="20" s="1"/>
  <c r="DQV247" i="20" s="1"/>
  <c r="DQR247" i="20" s="1"/>
  <c r="DRC247" i="20"/>
  <c r="DQY247" i="20" l="1"/>
  <c r="DQU247" i="20" s="1"/>
  <c r="DQQ247" i="20" s="1"/>
  <c r="DQM247" i="20" s="1"/>
  <c r="DQX247" i="20"/>
  <c r="DQT247" i="20" l="1"/>
  <c r="DQP247" i="20" s="1"/>
  <c r="DQL247" i="20" s="1"/>
  <c r="DQH247" i="20" s="1"/>
  <c r="DQS247" i="20"/>
  <c r="DQO247" i="20" l="1"/>
  <c r="DQK247" i="20" s="1"/>
  <c r="DQG247" i="20" s="1"/>
  <c r="DQC247" i="20" s="1"/>
  <c r="DQN247" i="20"/>
  <c r="DQJ247" i="20" l="1"/>
  <c r="DQF247" i="20" s="1"/>
  <c r="DQB247" i="20" s="1"/>
  <c r="DPX247" i="20" s="1"/>
  <c r="DQI247" i="20"/>
  <c r="DQE247" i="20" l="1"/>
  <c r="DQA247" i="20" s="1"/>
  <c r="DPW247" i="20" s="1"/>
  <c r="DPS247" i="20" s="1"/>
  <c r="DQD247" i="20"/>
  <c r="DPZ247" i="20" l="1"/>
  <c r="DPV247" i="20" s="1"/>
  <c r="DPR247" i="20" s="1"/>
  <c r="DPN247" i="20" s="1"/>
  <c r="DPY247" i="20"/>
  <c r="DPU247" i="20" l="1"/>
  <c r="DPQ247" i="20" s="1"/>
  <c r="DPM247" i="20" s="1"/>
  <c r="DPI247" i="20" s="1"/>
  <c r="DPT247" i="20"/>
  <c r="DPP247" i="20" l="1"/>
  <c r="DPL247" i="20" s="1"/>
  <c r="DPH247" i="20" s="1"/>
  <c r="DPD247" i="20" s="1"/>
  <c r="DPO247" i="20"/>
  <c r="DPK247" i="20" l="1"/>
  <c r="DPG247" i="20" s="1"/>
  <c r="DPC247" i="20" s="1"/>
  <c r="DOY247" i="20" s="1"/>
  <c r="DPJ247" i="20"/>
  <c r="DPF247" i="20" l="1"/>
  <c r="DPB247" i="20" s="1"/>
  <c r="DOX247" i="20" s="1"/>
  <c r="DOT247" i="20" s="1"/>
  <c r="DPE247" i="20"/>
  <c r="DPA247" i="20" l="1"/>
  <c r="DOW247" i="20" s="1"/>
  <c r="DOS247" i="20" s="1"/>
  <c r="DOO247" i="20" s="1"/>
  <c r="DOZ247" i="20"/>
  <c r="DOV247" i="20" l="1"/>
  <c r="DOR247" i="20" s="1"/>
  <c r="DON247" i="20" s="1"/>
  <c r="DOJ247" i="20" s="1"/>
  <c r="DOU247" i="20"/>
  <c r="DOQ247" i="20" l="1"/>
  <c r="DOM247" i="20" s="1"/>
  <c r="DOI247" i="20" s="1"/>
  <c r="DOE247" i="20" s="1"/>
  <c r="DOP247" i="20"/>
  <c r="DOL247" i="20" l="1"/>
  <c r="DOH247" i="20" s="1"/>
  <c r="DOD247" i="20" s="1"/>
  <c r="DNZ247" i="20" s="1"/>
  <c r="DOK247" i="20"/>
  <c r="DOG247" i="20" l="1"/>
  <c r="DOC247" i="20" s="1"/>
  <c r="DNY247" i="20" s="1"/>
  <c r="DNU247" i="20" s="1"/>
  <c r="DOF247" i="20"/>
  <c r="DOB247" i="20" l="1"/>
  <c r="DNX247" i="20" s="1"/>
  <c r="DNT247" i="20" s="1"/>
  <c r="DNP247" i="20" s="1"/>
  <c r="DOA247" i="20"/>
  <c r="DNW247" i="20" l="1"/>
  <c r="DNS247" i="20" s="1"/>
  <c r="DNO247" i="20" s="1"/>
  <c r="DNK247" i="20" s="1"/>
  <c r="DNV247" i="20"/>
  <c r="DNR247" i="20" l="1"/>
  <c r="DNN247" i="20" s="1"/>
  <c r="DNJ247" i="20" s="1"/>
  <c r="DNF247" i="20" s="1"/>
  <c r="DNQ247" i="20"/>
  <c r="DNM247" i="20" l="1"/>
  <c r="DNI247" i="20" s="1"/>
  <c r="DNE247" i="20" s="1"/>
  <c r="DNA247" i="20" s="1"/>
  <c r="DNL247" i="20"/>
  <c r="DNH247" i="20" l="1"/>
  <c r="DND247" i="20" s="1"/>
  <c r="DMZ247" i="20" s="1"/>
  <c r="DMV247" i="20" s="1"/>
  <c r="DNG247" i="20"/>
  <c r="DNC247" i="20" l="1"/>
  <c r="DMY247" i="20" s="1"/>
  <c r="DMU247" i="20" s="1"/>
  <c r="DMQ247" i="20" s="1"/>
  <c r="DNB247" i="20"/>
  <c r="DMX247" i="20" l="1"/>
  <c r="DMT247" i="20" s="1"/>
  <c r="DMP247" i="20" s="1"/>
  <c r="DML247" i="20" s="1"/>
  <c r="DMW247" i="20"/>
  <c r="DMS247" i="20" l="1"/>
  <c r="DMO247" i="20" s="1"/>
  <c r="DMK247" i="20" s="1"/>
  <c r="DMG247" i="20" s="1"/>
  <c r="DMR247" i="20"/>
  <c r="DMN247" i="20" l="1"/>
  <c r="DMJ247" i="20" s="1"/>
  <c r="DMF247" i="20" s="1"/>
  <c r="DMB247" i="20" s="1"/>
  <c r="DMM247" i="20"/>
  <c r="DMI247" i="20" l="1"/>
  <c r="DME247" i="20" s="1"/>
  <c r="DMA247" i="20" s="1"/>
  <c r="DLW247" i="20" s="1"/>
  <c r="DMH247" i="20"/>
  <c r="DMD247" i="20" l="1"/>
  <c r="DLZ247" i="20" s="1"/>
  <c r="DLV247" i="20" s="1"/>
  <c r="DLR247" i="20" s="1"/>
  <c r="DMC247" i="20"/>
  <c r="DLY247" i="20" l="1"/>
  <c r="DLU247" i="20" s="1"/>
  <c r="DLQ247" i="20" s="1"/>
  <c r="DLM247" i="20" s="1"/>
  <c r="DLX247" i="20"/>
  <c r="DLT247" i="20" l="1"/>
  <c r="DLP247" i="20" s="1"/>
  <c r="DLL247" i="20" s="1"/>
  <c r="DLH247" i="20" s="1"/>
  <c r="DLS247" i="20"/>
  <c r="DLO247" i="20" l="1"/>
  <c r="DLK247" i="20" s="1"/>
  <c r="DLG247" i="20" s="1"/>
  <c r="DLC247" i="20" s="1"/>
  <c r="DLN247" i="20"/>
  <c r="DLJ247" i="20" l="1"/>
  <c r="DLF247" i="20" s="1"/>
  <c r="DLB247" i="20" s="1"/>
  <c r="DKX247" i="20" s="1"/>
  <c r="DLI247" i="20"/>
  <c r="DLE247" i="20" l="1"/>
  <c r="DLA247" i="20" s="1"/>
  <c r="DKW247" i="20" s="1"/>
  <c r="DKS247" i="20" s="1"/>
  <c r="DLD247" i="20"/>
  <c r="DKZ247" i="20" l="1"/>
  <c r="DKV247" i="20" s="1"/>
  <c r="DKR247" i="20" s="1"/>
  <c r="DKN247" i="20" s="1"/>
  <c r="DKY247" i="20"/>
  <c r="DKU247" i="20" l="1"/>
  <c r="DKQ247" i="20" s="1"/>
  <c r="DKM247" i="20" s="1"/>
  <c r="DKI247" i="20" s="1"/>
  <c r="DKT247" i="20"/>
  <c r="DKP247" i="20" l="1"/>
  <c r="DKL247" i="20" s="1"/>
  <c r="DKH247" i="20" s="1"/>
  <c r="DKD247" i="20" s="1"/>
  <c r="DKO247" i="20"/>
  <c r="DKK247" i="20" l="1"/>
  <c r="DKG247" i="20" s="1"/>
  <c r="DKC247" i="20" s="1"/>
  <c r="DJY247" i="20" s="1"/>
  <c r="DKJ247" i="20"/>
  <c r="DKF247" i="20" l="1"/>
  <c r="DKB247" i="20" s="1"/>
  <c r="DJX247" i="20" s="1"/>
  <c r="DJT247" i="20" s="1"/>
  <c r="DKE247" i="20"/>
  <c r="DKA247" i="20" l="1"/>
  <c r="DJW247" i="20" s="1"/>
  <c r="DJS247" i="20" s="1"/>
  <c r="DJO247" i="20" s="1"/>
  <c r="DJZ247" i="20"/>
  <c r="DJV247" i="20" l="1"/>
  <c r="DJR247" i="20" s="1"/>
  <c r="DJN247" i="20" s="1"/>
  <c r="DJJ247" i="20" s="1"/>
  <c r="DJU247" i="20"/>
  <c r="DJQ247" i="20" l="1"/>
  <c r="DJM247" i="20" s="1"/>
  <c r="DJI247" i="20" s="1"/>
  <c r="DJE247" i="20" s="1"/>
  <c r="DJP247" i="20"/>
  <c r="DJL247" i="20" l="1"/>
  <c r="DJH247" i="20" s="1"/>
  <c r="DJD247" i="20" s="1"/>
  <c r="DIZ247" i="20" s="1"/>
  <c r="DJK247" i="20"/>
  <c r="DJG247" i="20" l="1"/>
  <c r="DJC247" i="20" s="1"/>
  <c r="DIY247" i="20" s="1"/>
  <c r="DIU247" i="20" s="1"/>
  <c r="DJF247" i="20"/>
  <c r="DJB247" i="20" l="1"/>
  <c r="DIX247" i="20" s="1"/>
  <c r="DIT247" i="20" s="1"/>
  <c r="DIP247" i="20" s="1"/>
  <c r="DJA247" i="20"/>
  <c r="DIW247" i="20" l="1"/>
  <c r="DIS247" i="20" s="1"/>
  <c r="DIO247" i="20" s="1"/>
  <c r="DIK247" i="20" s="1"/>
  <c r="DIV247" i="20"/>
  <c r="DIR247" i="20" l="1"/>
  <c r="DIN247" i="20" s="1"/>
  <c r="DIJ247" i="20" s="1"/>
  <c r="DIF247" i="20" s="1"/>
  <c r="DIQ247" i="20"/>
  <c r="DIM247" i="20" l="1"/>
  <c r="DII247" i="20" s="1"/>
  <c r="DIE247" i="20" s="1"/>
  <c r="DIA247" i="20" s="1"/>
  <c r="DIL247" i="20"/>
  <c r="DIH247" i="20" l="1"/>
  <c r="DID247" i="20" s="1"/>
  <c r="DHZ247" i="20" s="1"/>
  <c r="DHV247" i="20" s="1"/>
  <c r="DIG247" i="20"/>
  <c r="DIC247" i="20" l="1"/>
  <c r="DHY247" i="20" s="1"/>
  <c r="DHU247" i="20" s="1"/>
  <c r="DHQ247" i="20" s="1"/>
  <c r="DIB247" i="20"/>
  <c r="DHX247" i="20" l="1"/>
  <c r="DHT247" i="20" s="1"/>
  <c r="DHP247" i="20" s="1"/>
  <c r="DHL247" i="20" s="1"/>
  <c r="DHW247" i="20"/>
  <c r="DHS247" i="20" l="1"/>
  <c r="DHO247" i="20" s="1"/>
  <c r="DHK247" i="20" s="1"/>
  <c r="DHG247" i="20" s="1"/>
  <c r="DHR247" i="20"/>
  <c r="DHN247" i="20" l="1"/>
  <c r="DHJ247" i="20" s="1"/>
  <c r="DHF247" i="20" s="1"/>
  <c r="DHB247" i="20" s="1"/>
  <c r="DHM247" i="20"/>
  <c r="DHI247" i="20" l="1"/>
  <c r="DHE247" i="20" s="1"/>
  <c r="DHA247" i="20" s="1"/>
  <c r="DGW247" i="20" s="1"/>
  <c r="DHH247" i="20"/>
  <c r="DHD247" i="20" l="1"/>
  <c r="DGZ247" i="20" s="1"/>
  <c r="DGV247" i="20" s="1"/>
  <c r="DGR247" i="20" s="1"/>
  <c r="DHC247" i="20"/>
  <c r="DGY247" i="20" l="1"/>
  <c r="DGU247" i="20" s="1"/>
  <c r="DGQ247" i="20" s="1"/>
  <c r="DGM247" i="20" s="1"/>
  <c r="DGX247" i="20"/>
  <c r="DGT247" i="20" l="1"/>
  <c r="DGP247" i="20" s="1"/>
  <c r="DGL247" i="20" s="1"/>
  <c r="DGH247" i="20" s="1"/>
  <c r="DGS247" i="20"/>
  <c r="DGO247" i="20" l="1"/>
  <c r="DGK247" i="20" s="1"/>
  <c r="DGG247" i="20" s="1"/>
  <c r="DGC247" i="20" s="1"/>
  <c r="DGN247" i="20"/>
  <c r="DGJ247" i="20" l="1"/>
  <c r="DGF247" i="20" s="1"/>
  <c r="DGB247" i="20" s="1"/>
  <c r="DFX247" i="20" s="1"/>
  <c r="DGI247" i="20"/>
  <c r="DGE247" i="20" l="1"/>
  <c r="DGA247" i="20" s="1"/>
  <c r="DFW247" i="20" s="1"/>
  <c r="DFS247" i="20" s="1"/>
  <c r="DGD247" i="20"/>
  <c r="DFZ247" i="20" l="1"/>
  <c r="DFV247" i="20" s="1"/>
  <c r="DFR247" i="20" s="1"/>
  <c r="DFN247" i="20" s="1"/>
  <c r="DFY247" i="20"/>
  <c r="DFU247" i="20" l="1"/>
  <c r="DFQ247" i="20" s="1"/>
  <c r="DFM247" i="20" s="1"/>
  <c r="DFI247" i="20" s="1"/>
  <c r="DFT247" i="20"/>
  <c r="DFP247" i="20" l="1"/>
  <c r="DFL247" i="20" s="1"/>
  <c r="DFH247" i="20" s="1"/>
  <c r="DFD247" i="20" s="1"/>
  <c r="DFO247" i="20"/>
  <c r="DFK247" i="20" l="1"/>
  <c r="DFG247" i="20" s="1"/>
  <c r="DFC247" i="20" s="1"/>
  <c r="DEY247" i="20" s="1"/>
  <c r="DFJ247" i="20"/>
  <c r="DFF247" i="20" l="1"/>
  <c r="DFB247" i="20" s="1"/>
  <c r="DEX247" i="20" s="1"/>
  <c r="DET247" i="20" s="1"/>
  <c r="DFE247" i="20"/>
  <c r="DFA247" i="20" l="1"/>
  <c r="DEW247" i="20" s="1"/>
  <c r="DES247" i="20" s="1"/>
  <c r="DEO247" i="20" s="1"/>
  <c r="DEZ247" i="20"/>
  <c r="DEV247" i="20" l="1"/>
  <c r="DER247" i="20" s="1"/>
  <c r="DEN247" i="20" s="1"/>
  <c r="DEJ247" i="20" s="1"/>
  <c r="DEU247" i="20"/>
  <c r="DEQ247" i="20" l="1"/>
  <c r="DEM247" i="20" s="1"/>
  <c r="DEI247" i="20" s="1"/>
  <c r="DEE247" i="20" s="1"/>
  <c r="DEP247" i="20"/>
  <c r="DEL247" i="20" l="1"/>
  <c r="DEH247" i="20" s="1"/>
  <c r="DED247" i="20" s="1"/>
  <c r="DDZ247" i="20" s="1"/>
  <c r="DEK247" i="20"/>
  <c r="DEG247" i="20" l="1"/>
  <c r="DEC247" i="20" s="1"/>
  <c r="DDY247" i="20" s="1"/>
  <c r="DDU247" i="20" s="1"/>
  <c r="DEF247" i="20"/>
  <c r="DEB247" i="20" l="1"/>
  <c r="DDX247" i="20" s="1"/>
  <c r="DDT247" i="20" s="1"/>
  <c r="DDP247" i="20" s="1"/>
  <c r="DEA247" i="20"/>
  <c r="DDW247" i="20" l="1"/>
  <c r="DDS247" i="20" s="1"/>
  <c r="DDO247" i="20" s="1"/>
  <c r="DDK247" i="20" s="1"/>
  <c r="DDV247" i="20"/>
  <c r="DDR247" i="20" l="1"/>
  <c r="DDN247" i="20" s="1"/>
  <c r="DDJ247" i="20" s="1"/>
  <c r="DDF247" i="20" s="1"/>
  <c r="DDQ247" i="20"/>
  <c r="DDM247" i="20" l="1"/>
  <c r="DDI247" i="20" s="1"/>
  <c r="DDE247" i="20" s="1"/>
  <c r="DDA247" i="20" s="1"/>
  <c r="DDL247" i="20"/>
  <c r="DDH247" i="20" l="1"/>
  <c r="DDD247" i="20" s="1"/>
  <c r="DCZ247" i="20" s="1"/>
  <c r="DCV247" i="20" s="1"/>
  <c r="DDG247" i="20"/>
  <c r="DDC247" i="20" l="1"/>
  <c r="DCY247" i="20" s="1"/>
  <c r="DCU247" i="20" s="1"/>
  <c r="DCQ247" i="20" s="1"/>
  <c r="DDB247" i="20"/>
  <c r="DCX247" i="20" l="1"/>
  <c r="DCT247" i="20" s="1"/>
  <c r="DCP247" i="20" s="1"/>
  <c r="DCL247" i="20" s="1"/>
  <c r="DCW247" i="20"/>
  <c r="DCS247" i="20" l="1"/>
  <c r="DCO247" i="20" s="1"/>
  <c r="DCK247" i="20" s="1"/>
  <c r="DCG247" i="20" s="1"/>
  <c r="DCR247" i="20"/>
  <c r="DCN247" i="20" l="1"/>
  <c r="DCJ247" i="20" s="1"/>
  <c r="DCF247" i="20" s="1"/>
  <c r="DCB247" i="20" s="1"/>
  <c r="DCM247" i="20"/>
  <c r="DCI247" i="20" l="1"/>
  <c r="DCE247" i="20" s="1"/>
  <c r="DCA247" i="20" s="1"/>
  <c r="DBW247" i="20" s="1"/>
  <c r="DCH247" i="20"/>
  <c r="DCD247" i="20" l="1"/>
  <c r="DBZ247" i="20" s="1"/>
  <c r="DBV247" i="20" s="1"/>
  <c r="DBR247" i="20" s="1"/>
  <c r="DCC247" i="20"/>
  <c r="DBY247" i="20" l="1"/>
  <c r="DBU247" i="20" s="1"/>
  <c r="DBQ247" i="20" s="1"/>
  <c r="DBM247" i="20" s="1"/>
  <c r="DBX247" i="20"/>
  <c r="DBT247" i="20" l="1"/>
  <c r="DBP247" i="20" s="1"/>
  <c r="DBL247" i="20" s="1"/>
  <c r="DBH247" i="20" s="1"/>
  <c r="DBS247" i="20"/>
  <c r="DBO247" i="20" l="1"/>
  <c r="DBK247" i="20" s="1"/>
  <c r="DBG247" i="20" s="1"/>
  <c r="DBC247" i="20" s="1"/>
  <c r="DBN247" i="20"/>
  <c r="DBJ247" i="20" l="1"/>
  <c r="DBF247" i="20" s="1"/>
  <c r="DBB247" i="20" s="1"/>
  <c r="DAX247" i="20" s="1"/>
  <c r="DBI247" i="20"/>
  <c r="DBE247" i="20" l="1"/>
  <c r="DBA247" i="20" s="1"/>
  <c r="DAW247" i="20" s="1"/>
  <c r="DAS247" i="20" s="1"/>
  <c r="DBD247" i="20"/>
  <c r="DAZ247" i="20" l="1"/>
  <c r="DAV247" i="20" s="1"/>
  <c r="DAR247" i="20" s="1"/>
  <c r="DAN247" i="20" s="1"/>
  <c r="DAY247" i="20"/>
  <c r="DAU247" i="20" l="1"/>
  <c r="DAQ247" i="20" s="1"/>
  <c r="DAM247" i="20" s="1"/>
  <c r="DAI247" i="20" s="1"/>
  <c r="DAT247" i="20"/>
  <c r="DAP247" i="20" l="1"/>
  <c r="DAL247" i="20" s="1"/>
  <c r="DAH247" i="20" s="1"/>
  <c r="DAD247" i="20" s="1"/>
  <c r="DAO247" i="20"/>
  <c r="DAK247" i="20" l="1"/>
  <c r="DAG247" i="20" s="1"/>
  <c r="DAC247" i="20" s="1"/>
  <c r="CZY247" i="20" s="1"/>
  <c r="DAJ247" i="20"/>
  <c r="DAF247" i="20" l="1"/>
  <c r="DAB247" i="20" s="1"/>
  <c r="CZX247" i="20" s="1"/>
  <c r="CZT247" i="20" s="1"/>
  <c r="DAE247" i="20"/>
  <c r="DAA247" i="20" l="1"/>
  <c r="CZW247" i="20" s="1"/>
  <c r="CZS247" i="20" s="1"/>
  <c r="CZO247" i="20" s="1"/>
  <c r="CZZ247" i="20"/>
  <c r="CZV247" i="20" l="1"/>
  <c r="CZR247" i="20" s="1"/>
  <c r="CZN247" i="20" s="1"/>
  <c r="CZJ247" i="20" s="1"/>
  <c r="CZU247" i="20"/>
  <c r="CZQ247" i="20" l="1"/>
  <c r="CZM247" i="20" s="1"/>
  <c r="CZI247" i="20" s="1"/>
  <c r="CZE247" i="20" s="1"/>
  <c r="CZP247" i="20"/>
  <c r="CZL247" i="20" l="1"/>
  <c r="CZH247" i="20" s="1"/>
  <c r="CZD247" i="20" s="1"/>
  <c r="CYZ247" i="20" s="1"/>
  <c r="CZK247" i="20"/>
  <c r="CZG247" i="20" l="1"/>
  <c r="CZC247" i="20" s="1"/>
  <c r="CYY247" i="20" s="1"/>
  <c r="CYU247" i="20" s="1"/>
  <c r="CZF247" i="20"/>
  <c r="CZB247" i="20" l="1"/>
  <c r="CYX247" i="20" s="1"/>
  <c r="CYT247" i="20" s="1"/>
  <c r="CYP247" i="20" s="1"/>
  <c r="CZA247" i="20"/>
  <c r="CYW247" i="20" l="1"/>
  <c r="CYS247" i="20" s="1"/>
  <c r="CYO247" i="20" s="1"/>
  <c r="CYK247" i="20" s="1"/>
  <c r="CYV247" i="20"/>
  <c r="CYR247" i="20" l="1"/>
  <c r="CYN247" i="20" s="1"/>
  <c r="CYJ247" i="20" s="1"/>
  <c r="CYF247" i="20" s="1"/>
  <c r="CYQ247" i="20"/>
  <c r="CYM247" i="20" l="1"/>
  <c r="CYI247" i="20" s="1"/>
  <c r="CYE247" i="20" s="1"/>
  <c r="CYA247" i="20" s="1"/>
  <c r="CYL247" i="20"/>
  <c r="CYH247" i="20" l="1"/>
  <c r="CYD247" i="20" s="1"/>
  <c r="CXZ247" i="20" s="1"/>
  <c r="CXV247" i="20" s="1"/>
  <c r="CYG247" i="20"/>
  <c r="CYC247" i="20" l="1"/>
  <c r="CXY247" i="20" s="1"/>
  <c r="CXU247" i="20" s="1"/>
  <c r="CXQ247" i="20" s="1"/>
  <c r="CYB247" i="20"/>
  <c r="CXX247" i="20" l="1"/>
  <c r="CXT247" i="20" s="1"/>
  <c r="CXP247" i="20" s="1"/>
  <c r="CXL247" i="20" s="1"/>
  <c r="CXW247" i="20"/>
  <c r="CXS247" i="20" l="1"/>
  <c r="CXO247" i="20" s="1"/>
  <c r="CXK247" i="20" s="1"/>
  <c r="CXG247" i="20" s="1"/>
  <c r="CXR247" i="20"/>
  <c r="CXN247" i="20" l="1"/>
  <c r="CXJ247" i="20" s="1"/>
  <c r="CXF247" i="20" s="1"/>
  <c r="CXB247" i="20" s="1"/>
  <c r="CXM247" i="20"/>
  <c r="CXI247" i="20" l="1"/>
  <c r="CXE247" i="20" s="1"/>
  <c r="CXA247" i="20" s="1"/>
  <c r="CWW247" i="20" s="1"/>
  <c r="CXH247" i="20"/>
  <c r="CXD247" i="20" l="1"/>
  <c r="CWZ247" i="20" s="1"/>
  <c r="CWV247" i="20" s="1"/>
  <c r="CWR247" i="20" s="1"/>
  <c r="CXC247" i="20"/>
  <c r="CWY247" i="20" l="1"/>
  <c r="CWU247" i="20" s="1"/>
  <c r="CWQ247" i="20" s="1"/>
  <c r="CWM247" i="20" s="1"/>
  <c r="CWX247" i="20"/>
  <c r="CWT247" i="20" l="1"/>
  <c r="CWP247" i="20" s="1"/>
  <c r="CWL247" i="20" s="1"/>
  <c r="CWH247" i="20" s="1"/>
  <c r="CWS247" i="20"/>
  <c r="CWO247" i="20" l="1"/>
  <c r="CWK247" i="20" s="1"/>
  <c r="CWG247" i="20" s="1"/>
  <c r="CWC247" i="20" s="1"/>
  <c r="CWN247" i="20"/>
  <c r="CWJ247" i="20" l="1"/>
  <c r="CWF247" i="20" s="1"/>
  <c r="CWB247" i="20" s="1"/>
  <c r="CVX247" i="20" s="1"/>
  <c r="CWI247" i="20"/>
  <c r="CWE247" i="20" l="1"/>
  <c r="CWA247" i="20" s="1"/>
  <c r="CVW247" i="20" s="1"/>
  <c r="CVS247" i="20" s="1"/>
  <c r="CWD247" i="20"/>
  <c r="CVZ247" i="20" l="1"/>
  <c r="CVV247" i="20" s="1"/>
  <c r="CVR247" i="20" s="1"/>
  <c r="CVN247" i="20" s="1"/>
  <c r="CVY247" i="20"/>
  <c r="CVU247" i="20" l="1"/>
  <c r="CVQ247" i="20" s="1"/>
  <c r="CVM247" i="20" s="1"/>
  <c r="CVI247" i="20" s="1"/>
  <c r="CVT247" i="20"/>
  <c r="CVP247" i="20" l="1"/>
  <c r="CVL247" i="20" s="1"/>
  <c r="CVH247" i="20" s="1"/>
  <c r="CVD247" i="20" s="1"/>
  <c r="CVO247" i="20"/>
  <c r="CVK247" i="20" l="1"/>
  <c r="CVG247" i="20" s="1"/>
  <c r="CVC247" i="20" s="1"/>
  <c r="CUY247" i="20" s="1"/>
  <c r="CVJ247" i="20"/>
  <c r="CVF247" i="20" l="1"/>
  <c r="CVB247" i="20" s="1"/>
  <c r="CUX247" i="20" s="1"/>
  <c r="CUT247" i="20" s="1"/>
  <c r="CVE247" i="20"/>
  <c r="CVA247" i="20" l="1"/>
  <c r="CUW247" i="20" s="1"/>
  <c r="CUS247" i="20" s="1"/>
  <c r="CUO247" i="20" s="1"/>
  <c r="CUZ247" i="20"/>
  <c r="CUV247" i="20" l="1"/>
  <c r="CUR247" i="20" s="1"/>
  <c r="CUN247" i="20" s="1"/>
  <c r="CUJ247" i="20" s="1"/>
  <c r="CUU247" i="20"/>
  <c r="CUQ247" i="20" l="1"/>
  <c r="CUM247" i="20" s="1"/>
  <c r="CUI247" i="20" s="1"/>
  <c r="CUE247" i="20" s="1"/>
  <c r="CUP247" i="20"/>
  <c r="CUL247" i="20" l="1"/>
  <c r="CUH247" i="20" s="1"/>
  <c r="CUD247" i="20" s="1"/>
  <c r="CTZ247" i="20" s="1"/>
  <c r="CUK247" i="20"/>
  <c r="CUG247" i="20" l="1"/>
  <c r="CUC247" i="20" s="1"/>
  <c r="CTY247" i="20" s="1"/>
  <c r="CTU247" i="20" s="1"/>
  <c r="CUF247" i="20"/>
  <c r="CUB247" i="20" l="1"/>
  <c r="CTX247" i="20" s="1"/>
  <c r="CTT247" i="20" s="1"/>
  <c r="CTP247" i="20" s="1"/>
  <c r="CUA247" i="20"/>
  <c r="CTW247" i="20" l="1"/>
  <c r="CTS247" i="20" s="1"/>
  <c r="CTO247" i="20" s="1"/>
  <c r="CTK247" i="20" s="1"/>
  <c r="CTV247" i="20"/>
  <c r="CTR247" i="20" l="1"/>
  <c r="CTN247" i="20" s="1"/>
  <c r="CTJ247" i="20" s="1"/>
  <c r="CTF247" i="20" s="1"/>
  <c r="CTQ247" i="20"/>
  <c r="CTM247" i="20" l="1"/>
  <c r="CTI247" i="20" s="1"/>
  <c r="CTE247" i="20" s="1"/>
  <c r="CTA247" i="20" s="1"/>
  <c r="CTL247" i="20"/>
  <c r="CTH247" i="20" l="1"/>
  <c r="CTD247" i="20" s="1"/>
  <c r="CSZ247" i="20" s="1"/>
  <c r="CSV247" i="20" s="1"/>
  <c r="CTG247" i="20"/>
  <c r="CTC247" i="20" l="1"/>
  <c r="CSY247" i="20" s="1"/>
  <c r="CSU247" i="20" s="1"/>
  <c r="CSQ247" i="20" s="1"/>
  <c r="CTB247" i="20"/>
  <c r="CSX247" i="20" l="1"/>
  <c r="CST247" i="20" s="1"/>
  <c r="CSP247" i="20" s="1"/>
  <c r="CSL247" i="20" s="1"/>
  <c r="CSW247" i="20"/>
  <c r="CSS247" i="20" l="1"/>
  <c r="CSO247" i="20" s="1"/>
  <c r="CSK247" i="20" s="1"/>
  <c r="CSG247" i="20" s="1"/>
  <c r="CSR247" i="20"/>
  <c r="CSN247" i="20" l="1"/>
  <c r="CSJ247" i="20" s="1"/>
  <c r="CSF247" i="20" s="1"/>
  <c r="CSB247" i="20" s="1"/>
  <c r="CSM247" i="20"/>
  <c r="CSI247" i="20" l="1"/>
  <c r="CSE247" i="20" s="1"/>
  <c r="CSA247" i="20" s="1"/>
  <c r="CRW247" i="20" s="1"/>
  <c r="CSH247" i="20"/>
  <c r="CSD247" i="20" l="1"/>
  <c r="CRZ247" i="20" s="1"/>
  <c r="CRV247" i="20" s="1"/>
  <c r="CRR247" i="20" s="1"/>
  <c r="CSC247" i="20"/>
  <c r="CRY247" i="20" l="1"/>
  <c r="CRU247" i="20" s="1"/>
  <c r="CRQ247" i="20" s="1"/>
  <c r="CRM247" i="20" s="1"/>
  <c r="CRX247" i="20"/>
  <c r="CRT247" i="20" l="1"/>
  <c r="CRP247" i="20" s="1"/>
  <c r="CRL247" i="20" s="1"/>
  <c r="CRH247" i="20" s="1"/>
  <c r="CRS247" i="20"/>
  <c r="CRO247" i="20" l="1"/>
  <c r="CRK247" i="20" s="1"/>
  <c r="CRG247" i="20" s="1"/>
  <c r="CRC247" i="20" s="1"/>
  <c r="CRN247" i="20"/>
  <c r="CRJ247" i="20" l="1"/>
  <c r="CRF247" i="20" s="1"/>
  <c r="CRB247" i="20" s="1"/>
  <c r="CQX247" i="20" s="1"/>
  <c r="CRI247" i="20"/>
  <c r="CRE247" i="20" l="1"/>
  <c r="CRA247" i="20" s="1"/>
  <c r="CQW247" i="20" s="1"/>
  <c r="CQS247" i="20" s="1"/>
  <c r="CRD247" i="20"/>
  <c r="CQZ247" i="20" l="1"/>
  <c r="CQV247" i="20" s="1"/>
  <c r="CQR247" i="20" s="1"/>
  <c r="CQN247" i="20" s="1"/>
  <c r="CQY247" i="20"/>
  <c r="CQU247" i="20" l="1"/>
  <c r="CQQ247" i="20" s="1"/>
  <c r="CQM247" i="20" s="1"/>
  <c r="CQI247" i="20" s="1"/>
  <c r="CQT247" i="20"/>
  <c r="CQP247" i="20" l="1"/>
  <c r="CQL247" i="20" s="1"/>
  <c r="CQH247" i="20" s="1"/>
  <c r="CQD247" i="20" s="1"/>
  <c r="CQO247" i="20"/>
  <c r="CQK247" i="20" l="1"/>
  <c r="CQG247" i="20" s="1"/>
  <c r="CQC247" i="20" s="1"/>
  <c r="CPY247" i="20" s="1"/>
  <c r="CQJ247" i="20"/>
  <c r="CQF247" i="20" l="1"/>
  <c r="CQB247" i="20" s="1"/>
  <c r="CPX247" i="20" s="1"/>
  <c r="CPT247" i="20" s="1"/>
  <c r="CQE247" i="20"/>
  <c r="CQA247" i="20" l="1"/>
  <c r="CPW247" i="20" s="1"/>
  <c r="CPS247" i="20" s="1"/>
  <c r="CPO247" i="20" s="1"/>
  <c r="CPZ247" i="20"/>
  <c r="CPV247" i="20" l="1"/>
  <c r="CPR247" i="20" s="1"/>
  <c r="CPN247" i="20" s="1"/>
  <c r="CPJ247" i="20" s="1"/>
  <c r="CPU247" i="20"/>
  <c r="CPQ247" i="20" l="1"/>
  <c r="CPM247" i="20" s="1"/>
  <c r="CPI247" i="20" s="1"/>
  <c r="CPE247" i="20" s="1"/>
  <c r="CPP247" i="20"/>
  <c r="CPL247" i="20" l="1"/>
  <c r="CPH247" i="20" s="1"/>
  <c r="CPD247" i="20" s="1"/>
  <c r="COZ247" i="20" s="1"/>
  <c r="CPK247" i="20"/>
  <c r="CPG247" i="20" l="1"/>
  <c r="CPC247" i="20" s="1"/>
  <c r="COY247" i="20" s="1"/>
  <c r="COU247" i="20" s="1"/>
  <c r="CPF247" i="20"/>
  <c r="CPB247" i="20" l="1"/>
  <c r="COX247" i="20" s="1"/>
  <c r="COT247" i="20" s="1"/>
  <c r="COP247" i="20" s="1"/>
  <c r="CPA247" i="20"/>
  <c r="COW247" i="20" l="1"/>
  <c r="COS247" i="20" s="1"/>
  <c r="COO247" i="20" s="1"/>
  <c r="COK247" i="20" s="1"/>
  <c r="COV247" i="20"/>
  <c r="COR247" i="20" l="1"/>
  <c r="CON247" i="20" s="1"/>
  <c r="COJ247" i="20" s="1"/>
  <c r="COF247" i="20" s="1"/>
  <c r="COQ247" i="20"/>
  <c r="COM247" i="20" l="1"/>
  <c r="COI247" i="20" s="1"/>
  <c r="COE247" i="20" s="1"/>
  <c r="COA247" i="20" s="1"/>
  <c r="COL247" i="20"/>
  <c r="COH247" i="20" l="1"/>
  <c r="COD247" i="20" s="1"/>
  <c r="CNZ247" i="20" s="1"/>
  <c r="CNV247" i="20" s="1"/>
  <c r="COG247" i="20"/>
  <c r="COC247" i="20" l="1"/>
  <c r="CNY247" i="20" s="1"/>
  <c r="CNU247" i="20" s="1"/>
  <c r="CNQ247" i="20" s="1"/>
  <c r="COB247" i="20"/>
  <c r="CNX247" i="20" l="1"/>
  <c r="CNT247" i="20" s="1"/>
  <c r="CNP247" i="20" s="1"/>
  <c r="CNL247" i="20" s="1"/>
  <c r="CNW247" i="20"/>
  <c r="CNS247" i="20" l="1"/>
  <c r="CNO247" i="20" s="1"/>
  <c r="CNK247" i="20" s="1"/>
  <c r="CNG247" i="20" s="1"/>
  <c r="CNR247" i="20"/>
  <c r="CNN247" i="20" l="1"/>
  <c r="CNJ247" i="20" s="1"/>
  <c r="CNF247" i="20" s="1"/>
  <c r="CNB247" i="20" s="1"/>
  <c r="CNM247" i="20"/>
  <c r="CNI247" i="20" l="1"/>
  <c r="CNE247" i="20" s="1"/>
  <c r="CNA247" i="20" s="1"/>
  <c r="CMW247" i="20" s="1"/>
  <c r="CNH247" i="20"/>
  <c r="CND247" i="20" l="1"/>
  <c r="CMZ247" i="20" s="1"/>
  <c r="CMV247" i="20" s="1"/>
  <c r="CMR247" i="20" s="1"/>
  <c r="CNC247" i="20"/>
  <c r="CMY247" i="20" l="1"/>
  <c r="CMU247" i="20" s="1"/>
  <c r="CMQ247" i="20" s="1"/>
  <c r="CMM247" i="20" s="1"/>
  <c r="CMX247" i="20"/>
  <c r="CMT247" i="20" l="1"/>
  <c r="CMP247" i="20" s="1"/>
  <c r="CML247" i="20" s="1"/>
  <c r="CMH247" i="20" s="1"/>
  <c r="CMS247" i="20"/>
  <c r="CMO247" i="20" l="1"/>
  <c r="CMK247" i="20" s="1"/>
  <c r="CMG247" i="20" s="1"/>
  <c r="CMC247" i="20" s="1"/>
  <c r="CMN247" i="20"/>
  <c r="CMJ247" i="20" l="1"/>
  <c r="CMF247" i="20" s="1"/>
  <c r="CMB247" i="20" s="1"/>
  <c r="CLX247" i="20" s="1"/>
  <c r="CMI247" i="20"/>
  <c r="CME247" i="20" l="1"/>
  <c r="CMA247" i="20" s="1"/>
  <c r="CLW247" i="20" s="1"/>
  <c r="CLS247" i="20" s="1"/>
  <c r="CMD247" i="20"/>
  <c r="CLZ247" i="20" l="1"/>
  <c r="CLV247" i="20" s="1"/>
  <c r="CLR247" i="20" s="1"/>
  <c r="CLN247" i="20" s="1"/>
  <c r="CLY247" i="20"/>
  <c r="CLU247" i="20" l="1"/>
  <c r="CLQ247" i="20" s="1"/>
  <c r="CLM247" i="20" s="1"/>
  <c r="CLI247" i="20" s="1"/>
  <c r="CLT247" i="20"/>
  <c r="CLP247" i="20" l="1"/>
  <c r="CLL247" i="20" s="1"/>
  <c r="CLH247" i="20" s="1"/>
  <c r="CLD247" i="20" s="1"/>
  <c r="CLO247" i="20"/>
  <c r="CLK247" i="20" l="1"/>
  <c r="CLG247" i="20" s="1"/>
  <c r="CLC247" i="20" s="1"/>
  <c r="CKY247" i="20" s="1"/>
  <c r="CLJ247" i="20"/>
  <c r="CLF247" i="20" l="1"/>
  <c r="CLB247" i="20" s="1"/>
  <c r="CKX247" i="20" s="1"/>
  <c r="CKT247" i="20" s="1"/>
  <c r="CLE247" i="20"/>
  <c r="CLA247" i="20" l="1"/>
  <c r="CKW247" i="20" s="1"/>
  <c r="CKS247" i="20" s="1"/>
  <c r="CKO247" i="20" s="1"/>
  <c r="CKZ247" i="20"/>
  <c r="CKV247" i="20" l="1"/>
  <c r="CKR247" i="20" s="1"/>
  <c r="CKN247" i="20" s="1"/>
  <c r="CKJ247" i="20" s="1"/>
  <c r="CKU247" i="20"/>
  <c r="CKQ247" i="20" l="1"/>
  <c r="CKM247" i="20" s="1"/>
  <c r="CKI247" i="20" s="1"/>
  <c r="CKE247" i="20" s="1"/>
  <c r="CKP247" i="20"/>
  <c r="CKL247" i="20" l="1"/>
  <c r="CKH247" i="20" s="1"/>
  <c r="CKD247" i="20" s="1"/>
  <c r="CJZ247" i="20" s="1"/>
  <c r="CKK247" i="20"/>
  <c r="CKG247" i="20" l="1"/>
  <c r="CKC247" i="20" s="1"/>
  <c r="CJY247" i="20" s="1"/>
  <c r="CJU247" i="20" s="1"/>
  <c r="CKF247" i="20"/>
  <c r="CKB247" i="20" l="1"/>
  <c r="CJX247" i="20" s="1"/>
  <c r="CJT247" i="20" s="1"/>
  <c r="CJP247" i="20" s="1"/>
  <c r="CKA247" i="20"/>
  <c r="CJW247" i="20" l="1"/>
  <c r="CJS247" i="20" s="1"/>
  <c r="CJO247" i="20" s="1"/>
  <c r="CJK247" i="20" s="1"/>
  <c r="CJV247" i="20"/>
  <c r="CJR247" i="20" l="1"/>
  <c r="CJN247" i="20" s="1"/>
  <c r="CJJ247" i="20" s="1"/>
  <c r="CJF247" i="20" s="1"/>
  <c r="CJQ247" i="20"/>
  <c r="CJM247" i="20" l="1"/>
  <c r="CJI247" i="20" s="1"/>
  <c r="CJE247" i="20" s="1"/>
  <c r="CJA247" i="20" s="1"/>
  <c r="CJL247" i="20"/>
  <c r="CJH247" i="20" l="1"/>
  <c r="CJD247" i="20" s="1"/>
  <c r="CIZ247" i="20" s="1"/>
  <c r="CIV247" i="20" s="1"/>
  <c r="CJG247" i="20"/>
  <c r="CJC247" i="20" l="1"/>
  <c r="CIY247" i="20" s="1"/>
  <c r="CIU247" i="20" s="1"/>
  <c r="CIQ247" i="20" s="1"/>
  <c r="CJB247" i="20"/>
  <c r="CIX247" i="20" l="1"/>
  <c r="CIT247" i="20" s="1"/>
  <c r="CIP247" i="20" s="1"/>
  <c r="CIL247" i="20" s="1"/>
  <c r="CIW247" i="20"/>
  <c r="CIS247" i="20" l="1"/>
  <c r="CIO247" i="20" s="1"/>
  <c r="CIK247" i="20" s="1"/>
  <c r="CIG247" i="20" s="1"/>
  <c r="CIR247" i="20"/>
  <c r="CIN247" i="20" l="1"/>
  <c r="CIJ247" i="20" s="1"/>
  <c r="CIF247" i="20" s="1"/>
  <c r="CIB247" i="20" s="1"/>
  <c r="CIM247" i="20"/>
  <c r="CII247" i="20" l="1"/>
  <c r="CIE247" i="20" s="1"/>
  <c r="CIA247" i="20" s="1"/>
  <c r="CHW247" i="20" s="1"/>
  <c r="CIH247" i="20"/>
  <c r="CID247" i="20" l="1"/>
  <c r="CHZ247" i="20" s="1"/>
  <c r="CHV247" i="20" s="1"/>
  <c r="CHR247" i="20" s="1"/>
  <c r="CIC247" i="20"/>
  <c r="CHY247" i="20" l="1"/>
  <c r="CHU247" i="20" s="1"/>
  <c r="CHQ247" i="20" s="1"/>
  <c r="CHM247" i="20" s="1"/>
  <c r="CHX247" i="20"/>
  <c r="CHT247" i="20" l="1"/>
  <c r="CHP247" i="20" s="1"/>
  <c r="CHL247" i="20" s="1"/>
  <c r="CHH247" i="20" s="1"/>
  <c r="CHS247" i="20"/>
  <c r="CHO247" i="20" l="1"/>
  <c r="CHK247" i="20" s="1"/>
  <c r="CHG247" i="20" s="1"/>
  <c r="CHC247" i="20" s="1"/>
  <c r="CHN247" i="20"/>
  <c r="CHJ247" i="20" l="1"/>
  <c r="CHF247" i="20" s="1"/>
  <c r="CHB247" i="20" s="1"/>
  <c r="CGX247" i="20" s="1"/>
  <c r="CHI247" i="20"/>
  <c r="CHE247" i="20" l="1"/>
  <c r="CHA247" i="20" s="1"/>
  <c r="CGW247" i="20" s="1"/>
  <c r="CGS247" i="20" s="1"/>
  <c r="CHD247" i="20"/>
  <c r="CGZ247" i="20" l="1"/>
  <c r="CGV247" i="20" s="1"/>
  <c r="CGR247" i="20" s="1"/>
  <c r="CGN247" i="20" s="1"/>
  <c r="CGY247" i="20"/>
  <c r="CGU247" i="20" l="1"/>
  <c r="CGQ247" i="20" s="1"/>
  <c r="CGM247" i="20" s="1"/>
  <c r="CGI247" i="20" s="1"/>
  <c r="CGT247" i="20"/>
  <c r="CGP247" i="20" l="1"/>
  <c r="CGL247" i="20" s="1"/>
  <c r="CGH247" i="20" s="1"/>
  <c r="CGD247" i="20" s="1"/>
  <c r="CGO247" i="20"/>
  <c r="CGK247" i="20" l="1"/>
  <c r="CGG247" i="20" s="1"/>
  <c r="CGC247" i="20" s="1"/>
  <c r="CFY247" i="20" s="1"/>
  <c r="CGJ247" i="20"/>
  <c r="CGF247" i="20" l="1"/>
  <c r="CGB247" i="20" s="1"/>
  <c r="CFX247" i="20" s="1"/>
  <c r="CFT247" i="20" s="1"/>
  <c r="CGE247" i="20"/>
  <c r="CGA247" i="20" l="1"/>
  <c r="CFW247" i="20" s="1"/>
  <c r="CFS247" i="20" s="1"/>
  <c r="CFO247" i="20" s="1"/>
  <c r="CFZ247" i="20"/>
  <c r="CFV247" i="20" l="1"/>
  <c r="CFR247" i="20" s="1"/>
  <c r="CFN247" i="20" s="1"/>
  <c r="CFJ247" i="20" s="1"/>
  <c r="CFU247" i="20"/>
  <c r="CFQ247" i="20" l="1"/>
  <c r="CFM247" i="20" s="1"/>
  <c r="CFI247" i="20" s="1"/>
  <c r="CFE247" i="20" s="1"/>
  <c r="CFP247" i="20"/>
  <c r="CFL247" i="20" l="1"/>
  <c r="CFH247" i="20" s="1"/>
  <c r="CFD247" i="20" s="1"/>
  <c r="CEZ247" i="20" s="1"/>
  <c r="CFK247" i="20"/>
  <c r="CFG247" i="20" l="1"/>
  <c r="CFC247" i="20" s="1"/>
  <c r="CEY247" i="20" s="1"/>
  <c r="CEU247" i="20" s="1"/>
  <c r="CFF247" i="20"/>
  <c r="CFB247" i="20" l="1"/>
  <c r="CEX247" i="20" s="1"/>
  <c r="CET247" i="20" s="1"/>
  <c r="CEP247" i="20" s="1"/>
  <c r="CFA247" i="20"/>
  <c r="CEW247" i="20" l="1"/>
  <c r="CES247" i="20" s="1"/>
  <c r="CEO247" i="20" s="1"/>
  <c r="CEK247" i="20" s="1"/>
  <c r="CEV247" i="20"/>
  <c r="CER247" i="20" l="1"/>
  <c r="CEN247" i="20" s="1"/>
  <c r="CEJ247" i="20" s="1"/>
  <c r="CEF247" i="20" s="1"/>
  <c r="CEQ247" i="20"/>
  <c r="CEM247" i="20" l="1"/>
  <c r="CEI247" i="20" s="1"/>
  <c r="CEE247" i="20" s="1"/>
  <c r="CEA247" i="20" s="1"/>
  <c r="CEL247" i="20"/>
  <c r="CEH247" i="20" l="1"/>
  <c r="CED247" i="20" s="1"/>
  <c r="CDZ247" i="20" s="1"/>
  <c r="CDV247" i="20" s="1"/>
  <c r="CEG247" i="20"/>
  <c r="CEC247" i="20" l="1"/>
  <c r="CDY247" i="20" s="1"/>
  <c r="CDU247" i="20" s="1"/>
  <c r="CDQ247" i="20" s="1"/>
  <c r="CEB247" i="20"/>
  <c r="CDX247" i="20" l="1"/>
  <c r="CDT247" i="20" s="1"/>
  <c r="CDP247" i="20" s="1"/>
  <c r="CDL247" i="20" s="1"/>
  <c r="CDW247" i="20"/>
  <c r="CDS247" i="20" l="1"/>
  <c r="CDO247" i="20" s="1"/>
  <c r="CDK247" i="20" s="1"/>
  <c r="CDG247" i="20" s="1"/>
  <c r="CDR247" i="20"/>
  <c r="CDN247" i="20" l="1"/>
  <c r="CDJ247" i="20" s="1"/>
  <c r="CDF247" i="20" s="1"/>
  <c r="CDB247" i="20" s="1"/>
  <c r="CDM247" i="20"/>
  <c r="CDI247" i="20" l="1"/>
  <c r="CDE247" i="20" s="1"/>
  <c r="CDA247" i="20" s="1"/>
  <c r="CCW247" i="20" s="1"/>
  <c r="CDH247" i="20"/>
  <c r="CDD247" i="20" l="1"/>
  <c r="CCZ247" i="20" s="1"/>
  <c r="CCV247" i="20" s="1"/>
  <c r="CCR247" i="20" s="1"/>
  <c r="CDC247" i="20"/>
  <c r="CCY247" i="20" l="1"/>
  <c r="CCU247" i="20" s="1"/>
  <c r="CCQ247" i="20" s="1"/>
  <c r="CCM247" i="20" s="1"/>
  <c r="CCX247" i="20"/>
  <c r="CCT247" i="20" l="1"/>
  <c r="CCP247" i="20" s="1"/>
  <c r="CCL247" i="20" s="1"/>
  <c r="CCH247" i="20" s="1"/>
  <c r="CCS247" i="20"/>
  <c r="CCO247" i="20" l="1"/>
  <c r="CCK247" i="20" s="1"/>
  <c r="CCG247" i="20" s="1"/>
  <c r="CCC247" i="20" s="1"/>
  <c r="CCN247" i="20"/>
  <c r="CCJ247" i="20" l="1"/>
  <c r="CCF247" i="20" s="1"/>
  <c r="CCB247" i="20" s="1"/>
  <c r="CBX247" i="20" s="1"/>
  <c r="CCI247" i="20"/>
  <c r="CCE247" i="20" l="1"/>
  <c r="CCA247" i="20" s="1"/>
  <c r="CBW247" i="20" s="1"/>
  <c r="CBS247" i="20" s="1"/>
  <c r="CCD247" i="20"/>
  <c r="CBZ247" i="20" l="1"/>
  <c r="CBV247" i="20" s="1"/>
  <c r="CBR247" i="20" s="1"/>
  <c r="CBN247" i="20" s="1"/>
  <c r="CBY247" i="20"/>
  <c r="CBU247" i="20" l="1"/>
  <c r="CBQ247" i="20" s="1"/>
  <c r="CBM247" i="20" s="1"/>
  <c r="CBI247" i="20" s="1"/>
  <c r="CBT247" i="20"/>
  <c r="CBP247" i="20" l="1"/>
  <c r="CBL247" i="20" s="1"/>
  <c r="CBH247" i="20" s="1"/>
  <c r="CBD247" i="20" s="1"/>
  <c r="CBO247" i="20"/>
  <c r="CBK247" i="20" l="1"/>
  <c r="CBG247" i="20" s="1"/>
  <c r="CBC247" i="20" s="1"/>
  <c r="CAY247" i="20" s="1"/>
  <c r="CBJ247" i="20"/>
  <c r="CBF247" i="20" l="1"/>
  <c r="CBB247" i="20" s="1"/>
  <c r="CAX247" i="20" s="1"/>
  <c r="CAT247" i="20" s="1"/>
  <c r="CBE247" i="20"/>
  <c r="CBA247" i="20" l="1"/>
  <c r="CAW247" i="20" s="1"/>
  <c r="CAS247" i="20" s="1"/>
  <c r="CAO247" i="20" s="1"/>
  <c r="CAZ247" i="20"/>
  <c r="CAV247" i="20" l="1"/>
  <c r="CAR247" i="20" s="1"/>
  <c r="CAN247" i="20" s="1"/>
  <c r="CAJ247" i="20" s="1"/>
  <c r="CAU247" i="20"/>
  <c r="CAQ247" i="20" l="1"/>
  <c r="CAM247" i="20" s="1"/>
  <c r="CAI247" i="20" s="1"/>
  <c r="CAE247" i="20" s="1"/>
  <c r="CAP247" i="20"/>
  <c r="CAL247" i="20" l="1"/>
  <c r="CAH247" i="20" s="1"/>
  <c r="CAD247" i="20" s="1"/>
  <c r="BZZ247" i="20" s="1"/>
  <c r="CAK247" i="20"/>
  <c r="CAG247" i="20" l="1"/>
  <c r="CAC247" i="20" s="1"/>
  <c r="BZY247" i="20" s="1"/>
  <c r="BZU247" i="20" s="1"/>
  <c r="CAF247" i="20"/>
  <c r="CAB247" i="20" l="1"/>
  <c r="BZX247" i="20" s="1"/>
  <c r="BZT247" i="20" s="1"/>
  <c r="BZP247" i="20" s="1"/>
  <c r="CAA247" i="20"/>
  <c r="BZW247" i="20" l="1"/>
  <c r="BZS247" i="20" s="1"/>
  <c r="BZO247" i="20" s="1"/>
  <c r="BZK247" i="20" s="1"/>
  <c r="BZV247" i="20"/>
  <c r="BZR247" i="20" l="1"/>
  <c r="BZN247" i="20" s="1"/>
  <c r="BZJ247" i="20" s="1"/>
  <c r="BZF247" i="20" s="1"/>
  <c r="BZQ247" i="20"/>
  <c r="BZM247" i="20" l="1"/>
  <c r="BZI247" i="20" s="1"/>
  <c r="BZE247" i="20" s="1"/>
  <c r="BZA247" i="20" s="1"/>
  <c r="BZL247" i="20"/>
  <c r="BZH247" i="20" l="1"/>
  <c r="BZD247" i="20" s="1"/>
  <c r="BYZ247" i="20" s="1"/>
  <c r="BYV247" i="20" s="1"/>
  <c r="BZG247" i="20"/>
  <c r="BZC247" i="20" l="1"/>
  <c r="BYY247" i="20" s="1"/>
  <c r="BYU247" i="20" s="1"/>
  <c r="BYQ247" i="20" s="1"/>
  <c r="BZB247" i="20"/>
  <c r="BYX247" i="20" l="1"/>
  <c r="BYT247" i="20" s="1"/>
  <c r="BYP247" i="20" s="1"/>
  <c r="BYL247" i="20" s="1"/>
  <c r="BYW247" i="20"/>
  <c r="BYS247" i="20" l="1"/>
  <c r="BYO247" i="20" s="1"/>
  <c r="BYK247" i="20" s="1"/>
  <c r="BYG247" i="20" s="1"/>
  <c r="BYR247" i="20"/>
  <c r="BYN247" i="20" l="1"/>
  <c r="BYJ247" i="20" s="1"/>
  <c r="BYF247" i="20" s="1"/>
  <c r="BYB247" i="20" s="1"/>
  <c r="BYM247" i="20"/>
  <c r="BYI247" i="20" l="1"/>
  <c r="BYE247" i="20" s="1"/>
  <c r="BYA247" i="20" s="1"/>
  <c r="BXW247" i="20" s="1"/>
  <c r="BYH247" i="20"/>
  <c r="BYD247" i="20" l="1"/>
  <c r="BXZ247" i="20" s="1"/>
  <c r="BXV247" i="20" s="1"/>
  <c r="BXR247" i="20" s="1"/>
  <c r="BYC247" i="20"/>
  <c r="BXY247" i="20" l="1"/>
  <c r="BXU247" i="20" s="1"/>
  <c r="BXQ247" i="20" s="1"/>
  <c r="BXM247" i="20" s="1"/>
  <c r="BXX247" i="20"/>
  <c r="BXT247" i="20" l="1"/>
  <c r="BXP247" i="20" s="1"/>
  <c r="BXL247" i="20" s="1"/>
  <c r="BXH247" i="20" s="1"/>
  <c r="BXS247" i="20"/>
  <c r="BXO247" i="20" l="1"/>
  <c r="BXK247" i="20" s="1"/>
  <c r="BXG247" i="20" s="1"/>
  <c r="BXC247" i="20" s="1"/>
  <c r="BXN247" i="20"/>
  <c r="BXJ247" i="20" l="1"/>
  <c r="BXF247" i="20" s="1"/>
  <c r="BXB247" i="20" s="1"/>
  <c r="BWX247" i="20" s="1"/>
  <c r="BXI247" i="20"/>
  <c r="BXE247" i="20" l="1"/>
  <c r="BXA247" i="20" s="1"/>
  <c r="BWW247" i="20" s="1"/>
  <c r="BWS247" i="20" s="1"/>
  <c r="BXD247" i="20"/>
  <c r="BWZ247" i="20" l="1"/>
  <c r="BWV247" i="20" s="1"/>
  <c r="BWR247" i="20" s="1"/>
  <c r="BWN247" i="20" s="1"/>
  <c r="BWY247" i="20"/>
  <c r="BWU247" i="20" l="1"/>
  <c r="BWQ247" i="20" s="1"/>
  <c r="BWM247" i="20" s="1"/>
  <c r="BWI247" i="20" s="1"/>
  <c r="BWT247" i="20"/>
  <c r="BWP247" i="20" l="1"/>
  <c r="BWL247" i="20" s="1"/>
  <c r="BWH247" i="20" s="1"/>
  <c r="BWD247" i="20" s="1"/>
  <c r="BWO247" i="20"/>
  <c r="BWK247" i="20" l="1"/>
  <c r="BWG247" i="20" s="1"/>
  <c r="BWC247" i="20" s="1"/>
  <c r="BVY247" i="20" s="1"/>
  <c r="BWJ247" i="20"/>
  <c r="BWF247" i="20" l="1"/>
  <c r="BWB247" i="20" s="1"/>
  <c r="BVX247" i="20" s="1"/>
  <c r="BVT247" i="20" s="1"/>
  <c r="BWE247" i="20"/>
  <c r="BWA247" i="20" l="1"/>
  <c r="BVW247" i="20" s="1"/>
  <c r="BVS247" i="20" s="1"/>
  <c r="BVO247" i="20" s="1"/>
  <c r="BVZ247" i="20"/>
  <c r="BVV247" i="20" l="1"/>
  <c r="BVR247" i="20" s="1"/>
  <c r="BVN247" i="20" s="1"/>
  <c r="BVJ247" i="20" s="1"/>
  <c r="BVU247" i="20"/>
  <c r="BVQ247" i="20" l="1"/>
  <c r="BVM247" i="20" s="1"/>
  <c r="BVI247" i="20" s="1"/>
  <c r="BVE247" i="20" s="1"/>
  <c r="BVP247" i="20"/>
  <c r="BVL247" i="20" l="1"/>
  <c r="BVH247" i="20" s="1"/>
  <c r="BVD247" i="20" s="1"/>
  <c r="BUZ247" i="20" s="1"/>
  <c r="BVK247" i="20"/>
  <c r="BVG247" i="20" l="1"/>
  <c r="BVC247" i="20" s="1"/>
  <c r="BUY247" i="20" s="1"/>
  <c r="BUU247" i="20" s="1"/>
  <c r="BVF247" i="20"/>
  <c r="BVB247" i="20" l="1"/>
  <c r="BUX247" i="20" s="1"/>
  <c r="BUT247" i="20" s="1"/>
  <c r="BUP247" i="20" s="1"/>
  <c r="BVA247" i="20"/>
  <c r="BUW247" i="20" l="1"/>
  <c r="BUS247" i="20" s="1"/>
  <c r="BUO247" i="20" s="1"/>
  <c r="BUK247" i="20" s="1"/>
  <c r="BUV247" i="20"/>
  <c r="BUR247" i="20" l="1"/>
  <c r="BUN247" i="20" s="1"/>
  <c r="BUJ247" i="20" s="1"/>
  <c r="BUF247" i="20" s="1"/>
  <c r="BUQ247" i="20"/>
  <c r="BUM247" i="20" l="1"/>
  <c r="BUI247" i="20" s="1"/>
  <c r="BUE247" i="20" s="1"/>
  <c r="BUA247" i="20" s="1"/>
  <c r="BUL247" i="20"/>
  <c r="BUH247" i="20" l="1"/>
  <c r="BUD247" i="20" s="1"/>
  <c r="BTZ247" i="20" s="1"/>
  <c r="BTV247" i="20" s="1"/>
  <c r="BUG247" i="20"/>
  <c r="BUC247" i="20" l="1"/>
  <c r="BTY247" i="20" s="1"/>
  <c r="BTU247" i="20" s="1"/>
  <c r="BTQ247" i="20" s="1"/>
  <c r="BUB247" i="20"/>
  <c r="BTX247" i="20" l="1"/>
  <c r="BTT247" i="20" s="1"/>
  <c r="BTP247" i="20" s="1"/>
  <c r="BTL247" i="20" s="1"/>
  <c r="BTW247" i="20"/>
  <c r="BTS247" i="20" l="1"/>
  <c r="BTO247" i="20" s="1"/>
  <c r="BTK247" i="20" s="1"/>
  <c r="BTG247" i="20" s="1"/>
  <c r="BTR247" i="20"/>
  <c r="BTN247" i="20" l="1"/>
  <c r="BTJ247" i="20" s="1"/>
  <c r="BTF247" i="20" s="1"/>
  <c r="BTB247" i="20" s="1"/>
  <c r="BTM247" i="20"/>
  <c r="BTI247" i="20" l="1"/>
  <c r="BTE247" i="20" s="1"/>
  <c r="BTA247" i="20" s="1"/>
  <c r="BSW247" i="20" s="1"/>
  <c r="BTH247" i="20"/>
  <c r="BTD247" i="20" l="1"/>
  <c r="BSZ247" i="20" s="1"/>
  <c r="BSV247" i="20" s="1"/>
  <c r="BSR247" i="20" s="1"/>
  <c r="BTC247" i="20"/>
  <c r="BSY247" i="20" l="1"/>
  <c r="BSU247" i="20" s="1"/>
  <c r="BSQ247" i="20" s="1"/>
  <c r="BSM247" i="20" s="1"/>
  <c r="BSX247" i="20"/>
  <c r="BST247" i="20" l="1"/>
  <c r="BSP247" i="20" s="1"/>
  <c r="BSL247" i="20" s="1"/>
  <c r="BSH247" i="20" s="1"/>
  <c r="BSS247" i="20"/>
  <c r="BSO247" i="20" l="1"/>
  <c r="BSK247" i="20" s="1"/>
  <c r="BSG247" i="20" s="1"/>
  <c r="BSC247" i="20" s="1"/>
  <c r="BSN247" i="20"/>
  <c r="BSJ247" i="20" l="1"/>
  <c r="BSF247" i="20" s="1"/>
  <c r="BSB247" i="20" s="1"/>
  <c r="BRX247" i="20" s="1"/>
  <c r="BSI247" i="20"/>
  <c r="BSE247" i="20" l="1"/>
  <c r="BSA247" i="20" s="1"/>
  <c r="BRW247" i="20" s="1"/>
  <c r="BRS247" i="20" s="1"/>
  <c r="BSD247" i="20"/>
  <c r="BRZ247" i="20" l="1"/>
  <c r="BRV247" i="20" s="1"/>
  <c r="BRR247" i="20" s="1"/>
  <c r="BRN247" i="20" s="1"/>
  <c r="BRY247" i="20"/>
  <c r="BRU247" i="20" l="1"/>
  <c r="BRQ247" i="20" s="1"/>
  <c r="BRM247" i="20" s="1"/>
  <c r="BRI247" i="20" s="1"/>
  <c r="BRT247" i="20"/>
  <c r="BRP247" i="20" l="1"/>
  <c r="BRL247" i="20" s="1"/>
  <c r="BRH247" i="20" s="1"/>
  <c r="BRD247" i="20" s="1"/>
  <c r="BRO247" i="20"/>
  <c r="BRK247" i="20" l="1"/>
  <c r="BRG247" i="20" s="1"/>
  <c r="BRC247" i="20" s="1"/>
  <c r="BQY247" i="20" s="1"/>
  <c r="BRJ247" i="20"/>
  <c r="BRF247" i="20" l="1"/>
  <c r="BRB247" i="20" s="1"/>
  <c r="BQX247" i="20" s="1"/>
  <c r="BQT247" i="20" s="1"/>
  <c r="BRE247" i="20"/>
  <c r="BRA247" i="20" l="1"/>
  <c r="BQW247" i="20" s="1"/>
  <c r="BQS247" i="20" s="1"/>
  <c r="BQO247" i="20" s="1"/>
  <c r="BQZ247" i="20"/>
  <c r="BQV247" i="20" l="1"/>
  <c r="BQR247" i="20" s="1"/>
  <c r="BQN247" i="20" s="1"/>
  <c r="BQJ247" i="20" s="1"/>
  <c r="BQU247" i="20"/>
  <c r="BQQ247" i="20" l="1"/>
  <c r="BQM247" i="20" s="1"/>
  <c r="BQI247" i="20" s="1"/>
  <c r="BQE247" i="20" s="1"/>
  <c r="BQP247" i="20"/>
  <c r="BQL247" i="20" l="1"/>
  <c r="BQH247" i="20" s="1"/>
  <c r="BQD247" i="20" s="1"/>
  <c r="BPZ247" i="20" s="1"/>
  <c r="BQK247" i="20"/>
  <c r="BQG247" i="20" l="1"/>
  <c r="BQC247" i="20" s="1"/>
  <c r="BPY247" i="20" s="1"/>
  <c r="BPU247" i="20" s="1"/>
  <c r="BQF247" i="20"/>
  <c r="BQB247" i="20" l="1"/>
  <c r="BPX247" i="20" s="1"/>
  <c r="BPT247" i="20" s="1"/>
  <c r="BPP247" i="20" s="1"/>
  <c r="BQA247" i="20"/>
  <c r="BPW247" i="20" l="1"/>
  <c r="BPS247" i="20" s="1"/>
  <c r="BPO247" i="20" s="1"/>
  <c r="BPK247" i="20" s="1"/>
  <c r="BPV247" i="20"/>
  <c r="BPR247" i="20" l="1"/>
  <c r="BPN247" i="20" s="1"/>
  <c r="BPJ247" i="20" s="1"/>
  <c r="BPF247" i="20" s="1"/>
  <c r="BPQ247" i="20"/>
  <c r="BPM247" i="20" l="1"/>
  <c r="BPI247" i="20" s="1"/>
  <c r="BPE247" i="20" s="1"/>
  <c r="BPA247" i="20" s="1"/>
  <c r="BPL247" i="20"/>
  <c r="BPH247" i="20" l="1"/>
  <c r="BPD247" i="20" s="1"/>
  <c r="BOZ247" i="20" s="1"/>
  <c r="BOV247" i="20" s="1"/>
  <c r="BPG247" i="20"/>
  <c r="BPC247" i="20" l="1"/>
  <c r="BOY247" i="20" s="1"/>
  <c r="BOU247" i="20" s="1"/>
  <c r="BOQ247" i="20" s="1"/>
  <c r="BPB247" i="20"/>
  <c r="BOX247" i="20" l="1"/>
  <c r="BOT247" i="20" s="1"/>
  <c r="BOP247" i="20" s="1"/>
  <c r="BOL247" i="20" s="1"/>
  <c r="BOW247" i="20"/>
  <c r="BOS247" i="20" l="1"/>
  <c r="BOO247" i="20" s="1"/>
  <c r="BOK247" i="20" s="1"/>
  <c r="BOG247" i="20" s="1"/>
  <c r="BOR247" i="20"/>
  <c r="BON247" i="20" l="1"/>
  <c r="BOJ247" i="20" s="1"/>
  <c r="BOF247" i="20" s="1"/>
  <c r="BOB247" i="20" s="1"/>
  <c r="BOM247" i="20"/>
  <c r="BOI247" i="20" l="1"/>
  <c r="BOE247" i="20" s="1"/>
  <c r="BOA247" i="20" s="1"/>
  <c r="BNW247" i="20" s="1"/>
  <c r="BOH247" i="20"/>
  <c r="BOD247" i="20" l="1"/>
  <c r="BNZ247" i="20" s="1"/>
  <c r="BNV247" i="20" s="1"/>
  <c r="BNR247" i="20" s="1"/>
  <c r="BOC247" i="20"/>
  <c r="BNY247" i="20" l="1"/>
  <c r="BNU247" i="20" s="1"/>
  <c r="BNQ247" i="20" s="1"/>
  <c r="BNM247" i="20" s="1"/>
  <c r="BNX247" i="20"/>
  <c r="BNT247" i="20" l="1"/>
  <c r="BNP247" i="20" s="1"/>
  <c r="BNL247" i="20" s="1"/>
  <c r="BNH247" i="20" s="1"/>
  <c r="BNS247" i="20"/>
  <c r="BNO247" i="20" l="1"/>
  <c r="BNK247" i="20" s="1"/>
  <c r="BNG247" i="20" s="1"/>
  <c r="BNC247" i="20" s="1"/>
  <c r="BNN247" i="20"/>
  <c r="BNJ247" i="20" l="1"/>
  <c r="BNF247" i="20" s="1"/>
  <c r="BNB247" i="20" s="1"/>
  <c r="BMX247" i="20" s="1"/>
  <c r="BNI247" i="20"/>
  <c r="BNE247" i="20" l="1"/>
  <c r="BNA247" i="20" s="1"/>
  <c r="BMW247" i="20" s="1"/>
  <c r="BMS247" i="20" s="1"/>
  <c r="BND247" i="20"/>
  <c r="BMZ247" i="20" l="1"/>
  <c r="BMV247" i="20" s="1"/>
  <c r="BMR247" i="20" s="1"/>
  <c r="BMN247" i="20" s="1"/>
  <c r="BMY247" i="20"/>
  <c r="BMU247" i="20" l="1"/>
  <c r="BMQ247" i="20" s="1"/>
  <c r="BMM247" i="20" s="1"/>
  <c r="BMI247" i="20" s="1"/>
  <c r="BMT247" i="20"/>
  <c r="BMP247" i="20" l="1"/>
  <c r="BML247" i="20" s="1"/>
  <c r="BMH247" i="20" s="1"/>
  <c r="BMD247" i="20" s="1"/>
  <c r="BMO247" i="20"/>
  <c r="BMK247" i="20" l="1"/>
  <c r="BMG247" i="20" s="1"/>
  <c r="BMC247" i="20" s="1"/>
  <c r="BLY247" i="20" s="1"/>
  <c r="BMJ247" i="20"/>
  <c r="BMF247" i="20" l="1"/>
  <c r="BMB247" i="20" s="1"/>
  <c r="BLX247" i="20" s="1"/>
  <c r="BLT247" i="20" s="1"/>
  <c r="BME247" i="20"/>
  <c r="BMA247" i="20" l="1"/>
  <c r="BLW247" i="20" s="1"/>
  <c r="BLS247" i="20" s="1"/>
  <c r="BLO247" i="20" s="1"/>
  <c r="BLZ247" i="20"/>
  <c r="BLV247" i="20" l="1"/>
  <c r="BLR247" i="20" s="1"/>
  <c r="BLN247" i="20" s="1"/>
  <c r="BLJ247" i="20" s="1"/>
  <c r="BLU247" i="20"/>
  <c r="BLQ247" i="20" l="1"/>
  <c r="BLM247" i="20" s="1"/>
  <c r="BLI247" i="20" s="1"/>
  <c r="BLE247" i="20" s="1"/>
  <c r="BLP247" i="20"/>
  <c r="BLL247" i="20" l="1"/>
  <c r="BLH247" i="20" s="1"/>
  <c r="BLD247" i="20" s="1"/>
  <c r="BKZ247" i="20" s="1"/>
  <c r="BLK247" i="20"/>
  <c r="BLG247" i="20" l="1"/>
  <c r="BLC247" i="20" s="1"/>
  <c r="BKY247" i="20" s="1"/>
  <c r="BKU247" i="20" s="1"/>
  <c r="BLF247" i="20"/>
  <c r="BLB247" i="20" l="1"/>
  <c r="BKX247" i="20" s="1"/>
  <c r="BKT247" i="20" s="1"/>
  <c r="BKP247" i="20" s="1"/>
  <c r="BLA247" i="20"/>
  <c r="BKW247" i="20" l="1"/>
  <c r="BKS247" i="20" s="1"/>
  <c r="BKO247" i="20" s="1"/>
  <c r="BKK247" i="20" s="1"/>
  <c r="BKV247" i="20"/>
  <c r="BKR247" i="20" l="1"/>
  <c r="BKN247" i="20" s="1"/>
  <c r="BKJ247" i="20" s="1"/>
  <c r="BKF247" i="20" s="1"/>
  <c r="BKQ247" i="20"/>
  <c r="BKM247" i="20" l="1"/>
  <c r="BKI247" i="20" s="1"/>
  <c r="BKE247" i="20" s="1"/>
  <c r="BKA247" i="20" s="1"/>
  <c r="BKL247" i="20"/>
  <c r="BKH247" i="20" l="1"/>
  <c r="BKD247" i="20" s="1"/>
  <c r="BJZ247" i="20" s="1"/>
  <c r="BJV247" i="20" s="1"/>
  <c r="BKG247" i="20"/>
  <c r="BKC247" i="20" l="1"/>
  <c r="BJY247" i="20" s="1"/>
  <c r="BJU247" i="20" s="1"/>
  <c r="BJQ247" i="20" s="1"/>
  <c r="BKB247" i="20"/>
  <c r="BJX247" i="20" l="1"/>
  <c r="BJT247" i="20" s="1"/>
  <c r="BJP247" i="20" s="1"/>
  <c r="BJL247" i="20" s="1"/>
  <c r="BJW247" i="20"/>
  <c r="BJS247" i="20" l="1"/>
  <c r="BJO247" i="20" s="1"/>
  <c r="BJK247" i="20" s="1"/>
  <c r="BJG247" i="20" s="1"/>
  <c r="BJR247" i="20"/>
  <c r="BJN247" i="20" l="1"/>
  <c r="BJJ247" i="20" s="1"/>
  <c r="BJF247" i="20" s="1"/>
  <c r="BJB247" i="20" s="1"/>
  <c r="BJM247" i="20"/>
  <c r="BJI247" i="20" l="1"/>
  <c r="BJE247" i="20" s="1"/>
  <c r="BJA247" i="20" s="1"/>
  <c r="BIW247" i="20" s="1"/>
  <c r="BJH247" i="20"/>
  <c r="BJD247" i="20" l="1"/>
  <c r="BIZ247" i="20" s="1"/>
  <c r="BIV247" i="20" s="1"/>
  <c r="BIR247" i="20" s="1"/>
  <c r="BJC247" i="20"/>
  <c r="BIY247" i="20" l="1"/>
  <c r="BIU247" i="20" s="1"/>
  <c r="BIQ247" i="20" s="1"/>
  <c r="BIM247" i="20" s="1"/>
  <c r="BIX247" i="20"/>
  <c r="BIT247" i="20" l="1"/>
  <c r="BIP247" i="20" s="1"/>
  <c r="BIL247" i="20" s="1"/>
  <c r="BIH247" i="20" s="1"/>
  <c r="BIS247" i="20"/>
  <c r="BIO247" i="20" l="1"/>
  <c r="BIK247" i="20" s="1"/>
  <c r="BIG247" i="20" s="1"/>
  <c r="BIC247" i="20" s="1"/>
  <c r="BIN247" i="20"/>
  <c r="BIJ247" i="20" l="1"/>
  <c r="BIF247" i="20" s="1"/>
  <c r="BIB247" i="20" s="1"/>
  <c r="BHX247" i="20" s="1"/>
  <c r="BII247" i="20"/>
  <c r="BIE247" i="20" l="1"/>
  <c r="BIA247" i="20" s="1"/>
  <c r="BHW247" i="20" s="1"/>
  <c r="BHS247" i="20" s="1"/>
  <c r="BID247" i="20"/>
  <c r="BHZ247" i="20" l="1"/>
  <c r="BHV247" i="20" s="1"/>
  <c r="BHR247" i="20" s="1"/>
  <c r="BHN247" i="20" s="1"/>
  <c r="BHY247" i="20"/>
  <c r="BHU247" i="20" l="1"/>
  <c r="BHQ247" i="20" s="1"/>
  <c r="BHM247" i="20" s="1"/>
  <c r="BHI247" i="20" s="1"/>
  <c r="BHT247" i="20"/>
  <c r="BHP247" i="20" l="1"/>
  <c r="BHL247" i="20" s="1"/>
  <c r="BHH247" i="20" s="1"/>
  <c r="BHD247" i="20" s="1"/>
  <c r="BHO247" i="20"/>
  <c r="BHK247" i="20" l="1"/>
  <c r="BHG247" i="20" s="1"/>
  <c r="BHC247" i="20" s="1"/>
  <c r="BGY247" i="20" s="1"/>
  <c r="BHJ247" i="20"/>
  <c r="BHF247" i="20" l="1"/>
  <c r="BHB247" i="20" s="1"/>
  <c r="BGX247" i="20" s="1"/>
  <c r="BGT247" i="20" s="1"/>
  <c r="BHE247" i="20"/>
  <c r="BHA247" i="20" l="1"/>
  <c r="BGW247" i="20" s="1"/>
  <c r="BGS247" i="20" s="1"/>
  <c r="BGO247" i="20" s="1"/>
  <c r="BGZ247" i="20"/>
  <c r="BGV247" i="20" l="1"/>
  <c r="BGR247" i="20" s="1"/>
  <c r="BGN247" i="20" s="1"/>
  <c r="BGJ247" i="20" s="1"/>
  <c r="BGU247" i="20"/>
  <c r="BGQ247" i="20" l="1"/>
  <c r="BGM247" i="20" s="1"/>
  <c r="BGI247" i="20" s="1"/>
  <c r="BGE247" i="20" s="1"/>
  <c r="BGP247" i="20"/>
  <c r="BGL247" i="20" l="1"/>
  <c r="BGH247" i="20" s="1"/>
  <c r="BGD247" i="20" s="1"/>
  <c r="BFZ247" i="20" s="1"/>
  <c r="BGK247" i="20"/>
  <c r="BGG247" i="20" l="1"/>
  <c r="BGC247" i="20" s="1"/>
  <c r="BFY247" i="20" s="1"/>
  <c r="BFU247" i="20" s="1"/>
  <c r="BGF247" i="20"/>
  <c r="BGB247" i="20" l="1"/>
  <c r="BFX247" i="20" s="1"/>
  <c r="BFT247" i="20" s="1"/>
  <c r="BFP247" i="20" s="1"/>
  <c r="BGA247" i="20"/>
  <c r="BFW247" i="20" l="1"/>
  <c r="BFS247" i="20" s="1"/>
  <c r="BFO247" i="20" s="1"/>
  <c r="BFK247" i="20" s="1"/>
  <c r="BFV247" i="20"/>
  <c r="BFR247" i="20" l="1"/>
  <c r="BFN247" i="20" s="1"/>
  <c r="BFJ247" i="20" s="1"/>
  <c r="BFF247" i="20" s="1"/>
  <c r="BFQ247" i="20"/>
  <c r="BFM247" i="20" l="1"/>
  <c r="BFI247" i="20" s="1"/>
  <c r="BFE247" i="20" s="1"/>
  <c r="BFA247" i="20" s="1"/>
  <c r="BFL247" i="20"/>
  <c r="BFH247" i="20" l="1"/>
  <c r="BFD247" i="20" s="1"/>
  <c r="BEZ247" i="20" s="1"/>
  <c r="BEV247" i="20" s="1"/>
  <c r="BFG247" i="20"/>
  <c r="BFC247" i="20" l="1"/>
  <c r="BEY247" i="20" s="1"/>
  <c r="BEU247" i="20" s="1"/>
  <c r="BEQ247" i="20" s="1"/>
  <c r="BFB247" i="20"/>
  <c r="BEX247" i="20" l="1"/>
  <c r="BET247" i="20" s="1"/>
  <c r="BEP247" i="20" s="1"/>
  <c r="BEL247" i="20" s="1"/>
  <c r="BEW247" i="20"/>
  <c r="BES247" i="20" l="1"/>
  <c r="BEO247" i="20" s="1"/>
  <c r="BEK247" i="20" s="1"/>
  <c r="BEG247" i="20" s="1"/>
  <c r="BER247" i="20"/>
  <c r="BEN247" i="20" l="1"/>
  <c r="BEJ247" i="20" s="1"/>
  <c r="BEF247" i="20" s="1"/>
  <c r="BEB247" i="20" s="1"/>
  <c r="BEM247" i="20"/>
  <c r="BEI247" i="20" l="1"/>
  <c r="BEE247" i="20" s="1"/>
  <c r="BEA247" i="20" s="1"/>
  <c r="BDW247" i="20" s="1"/>
  <c r="BEH247" i="20"/>
  <c r="BED247" i="20" l="1"/>
  <c r="BDZ247" i="20" s="1"/>
  <c r="BDV247" i="20" s="1"/>
  <c r="BDR247" i="20" s="1"/>
  <c r="BEC247" i="20"/>
  <c r="BDY247" i="20" l="1"/>
  <c r="BDU247" i="20" s="1"/>
  <c r="BDQ247" i="20" s="1"/>
  <c r="BDM247" i="20" s="1"/>
  <c r="BDX247" i="20"/>
  <c r="BDT247" i="20" l="1"/>
  <c r="BDP247" i="20" s="1"/>
  <c r="BDL247" i="20" s="1"/>
  <c r="BDH247" i="20" s="1"/>
  <c r="BDS247" i="20"/>
  <c r="BDO247" i="20" l="1"/>
  <c r="BDK247" i="20" s="1"/>
  <c r="BDG247" i="20" s="1"/>
  <c r="BDC247" i="20" s="1"/>
  <c r="BDN247" i="20"/>
  <c r="BDJ247" i="20" l="1"/>
  <c r="BDF247" i="20" s="1"/>
  <c r="BDB247" i="20" s="1"/>
  <c r="BCX247" i="20" s="1"/>
  <c r="BDI247" i="20"/>
  <c r="BDE247" i="20" l="1"/>
  <c r="BDA247" i="20" s="1"/>
  <c r="BCW247" i="20" s="1"/>
  <c r="BCS247" i="20" s="1"/>
  <c r="BDD247" i="20"/>
  <c r="BCZ247" i="20" l="1"/>
  <c r="BCV247" i="20" s="1"/>
  <c r="BCR247" i="20" s="1"/>
  <c r="BCN247" i="20" s="1"/>
  <c r="BCY247" i="20"/>
  <c r="BCU247" i="20" l="1"/>
  <c r="BCQ247" i="20" s="1"/>
  <c r="BCM247" i="20" s="1"/>
  <c r="BCI247" i="20" s="1"/>
  <c r="BCT247" i="20"/>
  <c r="BCP247" i="20" l="1"/>
  <c r="BCL247" i="20" s="1"/>
  <c r="BCH247" i="20" s="1"/>
  <c r="BCD247" i="20" s="1"/>
  <c r="BCO247" i="20"/>
  <c r="BCK247" i="20" l="1"/>
  <c r="BCG247" i="20" s="1"/>
  <c r="BCC247" i="20" s="1"/>
  <c r="BBY247" i="20" s="1"/>
  <c r="BCJ247" i="20"/>
  <c r="BCF247" i="20" l="1"/>
  <c r="BCB247" i="20" s="1"/>
  <c r="BBX247" i="20" s="1"/>
  <c r="BBT247" i="20" s="1"/>
  <c r="BCE247" i="20"/>
  <c r="BCA247" i="20" l="1"/>
  <c r="BBW247" i="20" s="1"/>
  <c r="BBS247" i="20" s="1"/>
  <c r="BBO247" i="20" s="1"/>
  <c r="BBZ247" i="20"/>
  <c r="BBV247" i="20" l="1"/>
  <c r="BBR247" i="20" s="1"/>
  <c r="BBN247" i="20" s="1"/>
  <c r="BBJ247" i="20" s="1"/>
  <c r="BBU247" i="20"/>
  <c r="BBQ247" i="20" l="1"/>
  <c r="BBM247" i="20" s="1"/>
  <c r="BBI247" i="20" s="1"/>
  <c r="BBE247" i="20" s="1"/>
  <c r="BBP247" i="20"/>
  <c r="BBL247" i="20" l="1"/>
  <c r="BBH247" i="20" s="1"/>
  <c r="BBD247" i="20" s="1"/>
  <c r="BAZ247" i="20" s="1"/>
  <c r="BBK247" i="20"/>
  <c r="BBG247" i="20" l="1"/>
  <c r="BBC247" i="20" s="1"/>
  <c r="BAY247" i="20" s="1"/>
  <c r="BAU247" i="20" s="1"/>
  <c r="BBF247" i="20"/>
  <c r="BBB247" i="20" l="1"/>
  <c r="BAX247" i="20" s="1"/>
  <c r="BAT247" i="20" s="1"/>
  <c r="BAP247" i="20" s="1"/>
  <c r="BBA247" i="20"/>
  <c r="BAW247" i="20" l="1"/>
  <c r="BAS247" i="20" s="1"/>
  <c r="BAO247" i="20" s="1"/>
  <c r="BAK247" i="20" s="1"/>
  <c r="BAV247" i="20"/>
  <c r="BAR247" i="20" l="1"/>
  <c r="BAN247" i="20" s="1"/>
  <c r="BAJ247" i="20" s="1"/>
  <c r="BAF247" i="20" s="1"/>
  <c r="BAQ247" i="20"/>
  <c r="BAM247" i="20" l="1"/>
  <c r="BAI247" i="20" s="1"/>
  <c r="BAE247" i="20" s="1"/>
  <c r="BAA247" i="20" s="1"/>
  <c r="BAL247" i="20"/>
  <c r="BAH247" i="20" l="1"/>
  <c r="BAD247" i="20" s="1"/>
  <c r="AZZ247" i="20" s="1"/>
  <c r="AZV247" i="20" s="1"/>
  <c r="BAG247" i="20"/>
  <c r="BAC247" i="20" l="1"/>
  <c r="AZY247" i="20" s="1"/>
  <c r="AZU247" i="20" s="1"/>
  <c r="AZQ247" i="20" s="1"/>
  <c r="BAB247" i="20"/>
  <c r="AZX247" i="20" l="1"/>
  <c r="AZT247" i="20" s="1"/>
  <c r="AZP247" i="20" s="1"/>
  <c r="AZL247" i="20" s="1"/>
  <c r="AZW247" i="20"/>
  <c r="AZS247" i="20" l="1"/>
  <c r="AZO247" i="20" s="1"/>
  <c r="AZK247" i="20" s="1"/>
  <c r="AZG247" i="20" s="1"/>
  <c r="AZR247" i="20"/>
  <c r="AZN247" i="20" l="1"/>
  <c r="AZJ247" i="20" s="1"/>
  <c r="AZF247" i="20" s="1"/>
  <c r="AZB247" i="20" s="1"/>
  <c r="AZM247" i="20"/>
  <c r="AZI247" i="20" l="1"/>
  <c r="AZE247" i="20" s="1"/>
  <c r="AZA247" i="20" s="1"/>
  <c r="AYW247" i="20" s="1"/>
  <c r="AZH247" i="20"/>
  <c r="AZD247" i="20" l="1"/>
  <c r="AYZ247" i="20" s="1"/>
  <c r="AYV247" i="20" s="1"/>
  <c r="AYR247" i="20" s="1"/>
  <c r="AZC247" i="20"/>
  <c r="AYY247" i="20" l="1"/>
  <c r="AYU247" i="20" s="1"/>
  <c r="AYQ247" i="20" s="1"/>
  <c r="AYM247" i="20" s="1"/>
  <c r="AYX247" i="20"/>
  <c r="AYT247" i="20" l="1"/>
  <c r="AYP247" i="20" s="1"/>
  <c r="AYL247" i="20" s="1"/>
  <c r="AYH247" i="20" s="1"/>
  <c r="AYS247" i="20"/>
  <c r="AYO247" i="20" l="1"/>
  <c r="AYK247" i="20" s="1"/>
  <c r="AYG247" i="20" s="1"/>
  <c r="AYC247" i="20" s="1"/>
  <c r="AYN247" i="20"/>
  <c r="AYJ247" i="20" l="1"/>
  <c r="AYF247" i="20" s="1"/>
  <c r="AYB247" i="20" s="1"/>
  <c r="AXX247" i="20" s="1"/>
  <c r="AYI247" i="20"/>
  <c r="AYE247" i="20" l="1"/>
  <c r="AYA247" i="20" s="1"/>
  <c r="AXW247" i="20" s="1"/>
  <c r="AXS247" i="20" s="1"/>
  <c r="AYD247" i="20"/>
  <c r="AXZ247" i="20" l="1"/>
  <c r="AXV247" i="20" s="1"/>
  <c r="AXR247" i="20" s="1"/>
  <c r="AXN247" i="20" s="1"/>
  <c r="AXY247" i="20"/>
  <c r="AXU247" i="20" l="1"/>
  <c r="AXQ247" i="20" s="1"/>
  <c r="AXM247" i="20" s="1"/>
  <c r="AXI247" i="20" s="1"/>
  <c r="AXT247" i="20"/>
  <c r="AXP247" i="20" l="1"/>
  <c r="AXL247" i="20" s="1"/>
  <c r="AXH247" i="20" s="1"/>
  <c r="AXD247" i="20" s="1"/>
  <c r="AXO247" i="20"/>
  <c r="AXK247" i="20" l="1"/>
  <c r="AXG247" i="20" s="1"/>
  <c r="AXC247" i="20" s="1"/>
  <c r="AWY247" i="20" s="1"/>
  <c r="AXJ247" i="20"/>
  <c r="AXF247" i="20" l="1"/>
  <c r="AXB247" i="20" s="1"/>
  <c r="AWX247" i="20" s="1"/>
  <c r="AWT247" i="20" s="1"/>
  <c r="AXE247" i="20"/>
  <c r="AXA247" i="20" l="1"/>
  <c r="AWW247" i="20" s="1"/>
  <c r="AWS247" i="20" s="1"/>
  <c r="AWO247" i="20" s="1"/>
  <c r="AWZ247" i="20"/>
  <c r="AWV247" i="20" l="1"/>
  <c r="AWR247" i="20" s="1"/>
  <c r="AWN247" i="20" s="1"/>
  <c r="AWJ247" i="20" s="1"/>
  <c r="AWU247" i="20"/>
  <c r="AWQ247" i="20" l="1"/>
  <c r="AWM247" i="20" s="1"/>
  <c r="AWI247" i="20" s="1"/>
  <c r="AWE247" i="20" s="1"/>
  <c r="AWP247" i="20"/>
  <c r="AWL247" i="20" l="1"/>
  <c r="AWH247" i="20" s="1"/>
  <c r="AWD247" i="20" s="1"/>
  <c r="AVZ247" i="20" s="1"/>
  <c r="AWK247" i="20"/>
  <c r="AWG247" i="20" l="1"/>
  <c r="AWC247" i="20" s="1"/>
  <c r="AVY247" i="20" s="1"/>
  <c r="AVU247" i="20" s="1"/>
  <c r="AWF247" i="20"/>
  <c r="AWB247" i="20" l="1"/>
  <c r="AVX247" i="20" s="1"/>
  <c r="AVT247" i="20" s="1"/>
  <c r="AVP247" i="20" s="1"/>
  <c r="AWA247" i="20"/>
  <c r="AVW247" i="20" l="1"/>
  <c r="AVS247" i="20" s="1"/>
  <c r="AVO247" i="20" s="1"/>
  <c r="AVK247" i="20" s="1"/>
  <c r="AVV247" i="20"/>
  <c r="AVR247" i="20" l="1"/>
  <c r="AVN247" i="20" s="1"/>
  <c r="AVJ247" i="20" s="1"/>
  <c r="AVF247" i="20" s="1"/>
  <c r="AVQ247" i="20"/>
  <c r="AVM247" i="20" l="1"/>
  <c r="AVI247" i="20" s="1"/>
  <c r="AVE247" i="20" s="1"/>
  <c r="AVA247" i="20" s="1"/>
  <c r="AVL247" i="20"/>
  <c r="AVH247" i="20" l="1"/>
  <c r="AVD247" i="20" s="1"/>
  <c r="AUZ247" i="20" s="1"/>
  <c r="AUV247" i="20" s="1"/>
  <c r="AVG247" i="20"/>
  <c r="AVC247" i="20" l="1"/>
  <c r="AUY247" i="20" s="1"/>
  <c r="AUU247" i="20" s="1"/>
  <c r="AUQ247" i="20" s="1"/>
  <c r="AVB247" i="20"/>
  <c r="AUX247" i="20" l="1"/>
  <c r="AUT247" i="20" s="1"/>
  <c r="AUP247" i="20" s="1"/>
  <c r="AUL247" i="20" s="1"/>
  <c r="AUW247" i="20"/>
  <c r="AUS247" i="20" l="1"/>
  <c r="AUO247" i="20" s="1"/>
  <c r="AUK247" i="20" s="1"/>
  <c r="AUG247" i="20" s="1"/>
  <c r="AUR247" i="20"/>
  <c r="AUN247" i="20" l="1"/>
  <c r="AUJ247" i="20" s="1"/>
  <c r="AUF247" i="20" s="1"/>
  <c r="AUB247" i="20" s="1"/>
  <c r="AUM247" i="20"/>
  <c r="AUI247" i="20" l="1"/>
  <c r="AUE247" i="20" s="1"/>
  <c r="AUA247" i="20" s="1"/>
  <c r="ATW247" i="20" s="1"/>
  <c r="AUH247" i="20"/>
  <c r="AUD247" i="20" l="1"/>
  <c r="ATZ247" i="20" s="1"/>
  <c r="ATV247" i="20" s="1"/>
  <c r="ATR247" i="20" s="1"/>
  <c r="AUC247" i="20"/>
  <c r="ATY247" i="20" l="1"/>
  <c r="ATU247" i="20" s="1"/>
  <c r="ATQ247" i="20" s="1"/>
  <c r="ATM247" i="20" s="1"/>
  <c r="ATX247" i="20"/>
  <c r="ATT247" i="20" l="1"/>
  <c r="ATP247" i="20" s="1"/>
  <c r="ATL247" i="20" s="1"/>
  <c r="ATH247" i="20" s="1"/>
  <c r="ATS247" i="20"/>
  <c r="ATO247" i="20" l="1"/>
  <c r="ATK247" i="20" s="1"/>
  <c r="ATG247" i="20" s="1"/>
  <c r="ATC247" i="20" s="1"/>
  <c r="ATN247" i="20"/>
  <c r="ATJ247" i="20" l="1"/>
  <c r="ATF247" i="20" s="1"/>
  <c r="ATB247" i="20" s="1"/>
  <c r="ASX247" i="20" s="1"/>
  <c r="ATI247" i="20"/>
  <c r="ATE247" i="20" l="1"/>
  <c r="ATA247" i="20" s="1"/>
  <c r="ASW247" i="20" s="1"/>
  <c r="ASS247" i="20" s="1"/>
  <c r="ATD247" i="20"/>
  <c r="ASZ247" i="20" l="1"/>
  <c r="ASV247" i="20" s="1"/>
  <c r="ASR247" i="20" s="1"/>
  <c r="ASN247" i="20" s="1"/>
  <c r="ASY247" i="20"/>
  <c r="ASU247" i="20" l="1"/>
  <c r="ASQ247" i="20" s="1"/>
  <c r="ASM247" i="20" s="1"/>
  <c r="ASI247" i="20" s="1"/>
  <c r="AST247" i="20"/>
  <c r="ASP247" i="20" l="1"/>
  <c r="ASL247" i="20" s="1"/>
  <c r="ASH247" i="20" s="1"/>
  <c r="ASD247" i="20" s="1"/>
  <c r="ASO247" i="20"/>
  <c r="ASK247" i="20" l="1"/>
  <c r="ASG247" i="20" s="1"/>
  <c r="ASC247" i="20" s="1"/>
  <c r="ARY247" i="20" s="1"/>
  <c r="ASJ247" i="20"/>
  <c r="ASF247" i="20" l="1"/>
  <c r="ASB247" i="20" s="1"/>
  <c r="ARX247" i="20" s="1"/>
  <c r="ART247" i="20" s="1"/>
  <c r="ASE247" i="20"/>
  <c r="ASA247" i="20" l="1"/>
  <c r="ARW247" i="20" s="1"/>
  <c r="ARS247" i="20" s="1"/>
  <c r="ARO247" i="20" s="1"/>
  <c r="ARZ247" i="20"/>
  <c r="ARV247" i="20" l="1"/>
  <c r="ARR247" i="20" s="1"/>
  <c r="ARN247" i="20" s="1"/>
  <c r="ARJ247" i="20" s="1"/>
  <c r="ARU247" i="20"/>
  <c r="ARQ247" i="20" l="1"/>
  <c r="ARM247" i="20" s="1"/>
  <c r="ARI247" i="20" s="1"/>
  <c r="ARE247" i="20" s="1"/>
  <c r="ARP247" i="20"/>
  <c r="ARL247" i="20" l="1"/>
  <c r="ARH247" i="20" s="1"/>
  <c r="ARD247" i="20" s="1"/>
  <c r="AQZ247" i="20" s="1"/>
  <c r="ARK247" i="20"/>
  <c r="ARG247" i="20" l="1"/>
  <c r="ARC247" i="20" s="1"/>
  <c r="AQY247" i="20" s="1"/>
  <c r="AQU247" i="20" s="1"/>
  <c r="ARF247" i="20"/>
  <c r="ARB247" i="20" l="1"/>
  <c r="AQX247" i="20" s="1"/>
  <c r="AQT247" i="20" s="1"/>
  <c r="AQP247" i="20" s="1"/>
  <c r="ARA247" i="20"/>
  <c r="AQW247" i="20" l="1"/>
  <c r="AQS247" i="20" s="1"/>
  <c r="AQO247" i="20" s="1"/>
  <c r="AQK247" i="20" s="1"/>
  <c r="AQV247" i="20"/>
  <c r="AQR247" i="20" l="1"/>
  <c r="AQN247" i="20" s="1"/>
  <c r="AQJ247" i="20" s="1"/>
  <c r="AQF247" i="20" s="1"/>
  <c r="AQQ247" i="20"/>
  <c r="AQM247" i="20" l="1"/>
  <c r="AQI247" i="20" s="1"/>
  <c r="AQE247" i="20" s="1"/>
  <c r="AQA247" i="20" s="1"/>
  <c r="AQL247" i="20"/>
  <c r="AQH247" i="20" l="1"/>
  <c r="AQD247" i="20" s="1"/>
  <c r="APZ247" i="20" s="1"/>
  <c r="APV247" i="20" s="1"/>
  <c r="AQG247" i="20"/>
  <c r="AQC247" i="20" l="1"/>
  <c r="APY247" i="20" s="1"/>
  <c r="APU247" i="20" s="1"/>
  <c r="APQ247" i="20" s="1"/>
  <c r="AQB247" i="20"/>
  <c r="APX247" i="20" l="1"/>
  <c r="APT247" i="20" s="1"/>
  <c r="APP247" i="20" s="1"/>
  <c r="APL247" i="20" s="1"/>
  <c r="APW247" i="20"/>
  <c r="APS247" i="20" l="1"/>
  <c r="APO247" i="20" s="1"/>
  <c r="APK247" i="20" s="1"/>
  <c r="APG247" i="20" s="1"/>
  <c r="APR247" i="20"/>
  <c r="APN247" i="20" l="1"/>
  <c r="APJ247" i="20" s="1"/>
  <c r="APF247" i="20" s="1"/>
  <c r="APB247" i="20" s="1"/>
  <c r="APM247" i="20"/>
  <c r="API247" i="20" l="1"/>
  <c r="APE247" i="20" s="1"/>
  <c r="APA247" i="20" s="1"/>
  <c r="AOW247" i="20" s="1"/>
  <c r="APH247" i="20"/>
  <c r="APD247" i="20" l="1"/>
  <c r="AOZ247" i="20" s="1"/>
  <c r="AOV247" i="20" s="1"/>
  <c r="AOR247" i="20" s="1"/>
  <c r="APC247" i="20"/>
  <c r="AOY247" i="20" l="1"/>
  <c r="AOU247" i="20" s="1"/>
  <c r="AOQ247" i="20" s="1"/>
  <c r="AOM247" i="20" s="1"/>
  <c r="AOX247" i="20"/>
  <c r="AOT247" i="20" l="1"/>
  <c r="AOP247" i="20" s="1"/>
  <c r="AOL247" i="20" s="1"/>
  <c r="AOH247" i="20" s="1"/>
  <c r="AOS247" i="20"/>
  <c r="AOO247" i="20" l="1"/>
  <c r="AOK247" i="20" s="1"/>
  <c r="AOG247" i="20" s="1"/>
  <c r="AOC247" i="20" s="1"/>
  <c r="AON247" i="20"/>
  <c r="AOJ247" i="20" l="1"/>
  <c r="AOF247" i="20" s="1"/>
  <c r="AOB247" i="20" s="1"/>
  <c r="ANX247" i="20" s="1"/>
  <c r="AOI247" i="20"/>
  <c r="AOE247" i="20" l="1"/>
  <c r="AOA247" i="20" s="1"/>
  <c r="ANW247" i="20" s="1"/>
  <c r="ANS247" i="20" s="1"/>
  <c r="AOD247" i="20"/>
  <c r="ANZ247" i="20" l="1"/>
  <c r="ANV247" i="20" s="1"/>
  <c r="ANR247" i="20" s="1"/>
  <c r="ANN247" i="20" s="1"/>
  <c r="ANY247" i="20"/>
  <c r="ANU247" i="20" l="1"/>
  <c r="ANQ247" i="20" s="1"/>
  <c r="ANM247" i="20" s="1"/>
  <c r="ANI247" i="20" s="1"/>
  <c r="ANT247" i="20"/>
  <c r="ANP247" i="20" l="1"/>
  <c r="ANL247" i="20" s="1"/>
  <c r="ANH247" i="20" s="1"/>
  <c r="AND247" i="20" s="1"/>
  <c r="ANO247" i="20"/>
  <c r="ANK247" i="20" l="1"/>
  <c r="ANG247" i="20" s="1"/>
  <c r="ANC247" i="20" s="1"/>
  <c r="AMY247" i="20" s="1"/>
  <c r="ANJ247" i="20"/>
  <c r="ANF247" i="20" l="1"/>
  <c r="ANB247" i="20" s="1"/>
  <c r="AMX247" i="20" s="1"/>
  <c r="AMT247" i="20" s="1"/>
  <c r="ANE247" i="20"/>
  <c r="ANA247" i="20" l="1"/>
  <c r="AMW247" i="20" s="1"/>
  <c r="AMS247" i="20" s="1"/>
  <c r="AMO247" i="20" s="1"/>
  <c r="AMZ247" i="20"/>
  <c r="AMV247" i="20" l="1"/>
  <c r="AMR247" i="20" s="1"/>
  <c r="AMN247" i="20" s="1"/>
  <c r="AMJ247" i="20" s="1"/>
  <c r="AMU247" i="20"/>
  <c r="AMQ247" i="20" l="1"/>
  <c r="AMM247" i="20" s="1"/>
  <c r="AMI247" i="20" s="1"/>
  <c r="AME247" i="20" s="1"/>
  <c r="AMP247" i="20"/>
  <c r="AML247" i="20" l="1"/>
  <c r="AMH247" i="20" s="1"/>
  <c r="AMD247" i="20" s="1"/>
  <c r="ALZ247" i="20" s="1"/>
  <c r="AMK247" i="20"/>
  <c r="AMG247" i="20" l="1"/>
  <c r="AMC247" i="20" s="1"/>
  <c r="ALY247" i="20" s="1"/>
  <c r="ALU247" i="20" s="1"/>
  <c r="AMF247" i="20"/>
  <c r="AMB247" i="20" l="1"/>
  <c r="ALX247" i="20" s="1"/>
  <c r="ALT247" i="20" s="1"/>
  <c r="ALP247" i="20" s="1"/>
  <c r="AMA247" i="20"/>
  <c r="ALW247" i="20" l="1"/>
  <c r="ALS247" i="20" s="1"/>
  <c r="ALO247" i="20" s="1"/>
  <c r="ALK247" i="20" s="1"/>
  <c r="ALV247" i="20"/>
  <c r="ALR247" i="20" l="1"/>
  <c r="ALN247" i="20" s="1"/>
  <c r="ALJ247" i="20" s="1"/>
  <c r="ALF247" i="20" s="1"/>
  <c r="ALQ247" i="20"/>
  <c r="ALM247" i="20" l="1"/>
  <c r="ALI247" i="20" s="1"/>
  <c r="ALE247" i="20" s="1"/>
  <c r="ALA247" i="20" s="1"/>
  <c r="ALL247" i="20"/>
  <c r="ALH247" i="20" l="1"/>
  <c r="ALD247" i="20" s="1"/>
  <c r="AKZ247" i="20" s="1"/>
  <c r="AKV247" i="20" s="1"/>
  <c r="ALG247" i="20"/>
  <c r="ALC247" i="20" l="1"/>
  <c r="AKY247" i="20" s="1"/>
  <c r="AKU247" i="20" s="1"/>
  <c r="AKQ247" i="20" s="1"/>
  <c r="ALB247" i="20"/>
  <c r="AKX247" i="20" l="1"/>
  <c r="AKT247" i="20" s="1"/>
  <c r="AKP247" i="20" s="1"/>
  <c r="AKL247" i="20" s="1"/>
  <c r="AKW247" i="20"/>
  <c r="AKS247" i="20" l="1"/>
  <c r="AKO247" i="20" s="1"/>
  <c r="AKK247" i="20" s="1"/>
  <c r="AKG247" i="20" s="1"/>
  <c r="AKR247" i="20"/>
  <c r="AKN247" i="20" l="1"/>
  <c r="AKJ247" i="20" s="1"/>
  <c r="AKF247" i="20" s="1"/>
  <c r="AKB247" i="20" s="1"/>
  <c r="AKM247" i="20"/>
  <c r="AKI247" i="20" l="1"/>
  <c r="AKE247" i="20" s="1"/>
  <c r="AKA247" i="20" s="1"/>
  <c r="AJW247" i="20" s="1"/>
  <c r="AKH247" i="20"/>
  <c r="AKD247" i="20" l="1"/>
  <c r="AJZ247" i="20" s="1"/>
  <c r="AJV247" i="20" s="1"/>
  <c r="AJR247" i="20" s="1"/>
  <c r="AKC247" i="20"/>
  <c r="AJY247" i="20" l="1"/>
  <c r="AJU247" i="20" s="1"/>
  <c r="AJQ247" i="20" s="1"/>
  <c r="AJM247" i="20" s="1"/>
  <c r="AJX247" i="20"/>
  <c r="AJT247" i="20" l="1"/>
  <c r="AJP247" i="20" s="1"/>
  <c r="AJL247" i="20" s="1"/>
  <c r="AJH247" i="20" s="1"/>
  <c r="AJS247" i="20"/>
  <c r="AJO247" i="20" l="1"/>
  <c r="AJK247" i="20" s="1"/>
  <c r="AJG247" i="20" s="1"/>
  <c r="AJC247" i="20" s="1"/>
  <c r="AJN247" i="20"/>
  <c r="AJJ247" i="20" l="1"/>
  <c r="AJF247" i="20" s="1"/>
  <c r="AJB247" i="20" s="1"/>
  <c r="AIX247" i="20" s="1"/>
  <c r="AJI247" i="20"/>
  <c r="AJE247" i="20" l="1"/>
  <c r="AJA247" i="20" s="1"/>
  <c r="AIW247" i="20" s="1"/>
  <c r="AIS247" i="20" s="1"/>
  <c r="AJD247" i="20"/>
  <c r="AIZ247" i="20" l="1"/>
  <c r="AIV247" i="20" s="1"/>
  <c r="AIR247" i="20" s="1"/>
  <c r="AIN247" i="20" s="1"/>
  <c r="AIY247" i="20"/>
  <c r="AIU247" i="20" l="1"/>
  <c r="AIQ247" i="20" s="1"/>
  <c r="AIM247" i="20" s="1"/>
  <c r="AII247" i="20" s="1"/>
  <c r="AIT247" i="20"/>
  <c r="AIP247" i="20" l="1"/>
  <c r="AIL247" i="20" s="1"/>
  <c r="AIH247" i="20" s="1"/>
  <c r="AID247" i="20" s="1"/>
  <c r="AIO247" i="20"/>
  <c r="AIK247" i="20" l="1"/>
  <c r="AIG247" i="20" s="1"/>
  <c r="AIC247" i="20" s="1"/>
  <c r="AHY247" i="20" s="1"/>
  <c r="AIJ247" i="20"/>
  <c r="AIF247" i="20" l="1"/>
  <c r="AIB247" i="20" s="1"/>
  <c r="AHX247" i="20" s="1"/>
  <c r="AHT247" i="20" s="1"/>
  <c r="AIE247" i="20"/>
  <c r="AIA247" i="20" l="1"/>
  <c r="AHW247" i="20" s="1"/>
  <c r="AHS247" i="20" s="1"/>
  <c r="AHO247" i="20" s="1"/>
  <c r="AHZ247" i="20"/>
  <c r="AHV247" i="20" l="1"/>
  <c r="AHR247" i="20" s="1"/>
  <c r="AHN247" i="20" s="1"/>
  <c r="AHJ247" i="20" s="1"/>
  <c r="AHU247" i="20"/>
  <c r="AHQ247" i="20" l="1"/>
  <c r="AHM247" i="20" s="1"/>
  <c r="AHI247" i="20" s="1"/>
  <c r="AHE247" i="20" s="1"/>
  <c r="AHP247" i="20"/>
  <c r="AHL247" i="20" l="1"/>
  <c r="AHH247" i="20" s="1"/>
  <c r="AHD247" i="20" s="1"/>
  <c r="AGZ247" i="20" s="1"/>
  <c r="AHK247" i="20"/>
  <c r="AHG247" i="20" l="1"/>
  <c r="AHC247" i="20" s="1"/>
  <c r="AGY247" i="20" s="1"/>
  <c r="AGU247" i="20" s="1"/>
  <c r="AHF247" i="20"/>
  <c r="AHB247" i="20" l="1"/>
  <c r="AGX247" i="20" s="1"/>
  <c r="AGT247" i="20" s="1"/>
  <c r="AGP247" i="20" s="1"/>
  <c r="AHA247" i="20"/>
  <c r="AGW247" i="20" l="1"/>
  <c r="AGS247" i="20" s="1"/>
  <c r="AGO247" i="20" s="1"/>
  <c r="AGK247" i="20" s="1"/>
  <c r="AGV247" i="20"/>
  <c r="AGR247" i="20" l="1"/>
  <c r="AGN247" i="20" s="1"/>
  <c r="AGJ247" i="20" s="1"/>
  <c r="AGF247" i="20" s="1"/>
  <c r="AGQ247" i="20"/>
  <c r="AGM247" i="20" l="1"/>
  <c r="AGI247" i="20" s="1"/>
  <c r="AGE247" i="20" s="1"/>
  <c r="AGA247" i="20" s="1"/>
  <c r="AGL247" i="20"/>
  <c r="AGH247" i="20" l="1"/>
  <c r="AGD247" i="20" s="1"/>
  <c r="AFZ247" i="20" s="1"/>
  <c r="AFV247" i="20" s="1"/>
  <c r="AGG247" i="20"/>
  <c r="AGC247" i="20" l="1"/>
  <c r="AFY247" i="20" s="1"/>
  <c r="AFU247" i="20" s="1"/>
  <c r="AFQ247" i="20" s="1"/>
  <c r="AGB247" i="20"/>
  <c r="AFX247" i="20" l="1"/>
  <c r="AFT247" i="20" s="1"/>
  <c r="AFP247" i="20" s="1"/>
  <c r="AFL247" i="20" s="1"/>
  <c r="AFW247" i="20"/>
  <c r="AFS247" i="20" l="1"/>
  <c r="AFO247" i="20" s="1"/>
  <c r="AFK247" i="20" s="1"/>
  <c r="AFG247" i="20" s="1"/>
  <c r="AFR247" i="20"/>
  <c r="AFN247" i="20" l="1"/>
  <c r="AFJ247" i="20" s="1"/>
  <c r="AFF247" i="20" s="1"/>
  <c r="AFB247" i="20" s="1"/>
  <c r="AFM247" i="20"/>
  <c r="AFI247" i="20" l="1"/>
  <c r="AFE247" i="20" s="1"/>
  <c r="AFA247" i="20" s="1"/>
  <c r="AEW247" i="20" s="1"/>
  <c r="AFH247" i="20"/>
  <c r="AFD247" i="20" l="1"/>
  <c r="AEZ247" i="20" s="1"/>
  <c r="AEV247" i="20" s="1"/>
  <c r="AER247" i="20" s="1"/>
  <c r="AFC247" i="20"/>
  <c r="AEY247" i="20" l="1"/>
  <c r="AEU247" i="20" s="1"/>
  <c r="AEQ247" i="20" s="1"/>
  <c r="AEM247" i="20" s="1"/>
  <c r="AEX247" i="20"/>
  <c r="AET247" i="20" l="1"/>
  <c r="AEP247" i="20" s="1"/>
  <c r="AEL247" i="20" s="1"/>
  <c r="AEH247" i="20" s="1"/>
  <c r="AES247" i="20"/>
  <c r="AEO247" i="20" l="1"/>
  <c r="AEK247" i="20" s="1"/>
  <c r="AEG247" i="20" s="1"/>
  <c r="AEC247" i="20" s="1"/>
  <c r="AEN247" i="20"/>
  <c r="AEJ247" i="20" l="1"/>
  <c r="AEF247" i="20" s="1"/>
  <c r="AEB247" i="20" s="1"/>
  <c r="ADX247" i="20" s="1"/>
  <c r="AEI247" i="20"/>
  <c r="AEE247" i="20" l="1"/>
  <c r="AEA247" i="20" s="1"/>
  <c r="ADW247" i="20" s="1"/>
  <c r="ADS247" i="20" s="1"/>
  <c r="AED247" i="20"/>
  <c r="ADZ247" i="20" l="1"/>
  <c r="ADV247" i="20" s="1"/>
  <c r="ADR247" i="20" s="1"/>
  <c r="ADN247" i="20" s="1"/>
  <c r="ADY247" i="20"/>
  <c r="ADU247" i="20" l="1"/>
  <c r="ADQ247" i="20" s="1"/>
  <c r="ADM247" i="20" s="1"/>
  <c r="ADI247" i="20" s="1"/>
  <c r="ADT247" i="20"/>
  <c r="ADP247" i="20" l="1"/>
  <c r="ADL247" i="20" s="1"/>
  <c r="ADH247" i="20" s="1"/>
  <c r="ADD247" i="20" s="1"/>
  <c r="ADO247" i="20"/>
  <c r="ADK247" i="20" l="1"/>
  <c r="ADG247" i="20" s="1"/>
  <c r="ADC247" i="20" s="1"/>
  <c r="ACY247" i="20" s="1"/>
  <c r="ADJ247" i="20"/>
  <c r="ADF247" i="20" l="1"/>
  <c r="ADB247" i="20" s="1"/>
  <c r="ACX247" i="20" s="1"/>
  <c r="ACT247" i="20" s="1"/>
  <c r="ADE247" i="20"/>
  <c r="ADA247" i="20" l="1"/>
  <c r="ACW247" i="20" s="1"/>
  <c r="ACS247" i="20" s="1"/>
  <c r="ACO247" i="20" s="1"/>
  <c r="ACZ247" i="20"/>
  <c r="ACV247" i="20" l="1"/>
  <c r="ACR247" i="20" s="1"/>
  <c r="ACN247" i="20" s="1"/>
  <c r="ACJ247" i="20" s="1"/>
  <c r="ACU247" i="20"/>
  <c r="ACQ247" i="20" l="1"/>
  <c r="ACM247" i="20" s="1"/>
  <c r="ACI247" i="20" s="1"/>
  <c r="ACE247" i="20" s="1"/>
  <c r="ACP247" i="20"/>
  <c r="ACL247" i="20" l="1"/>
  <c r="ACH247" i="20" s="1"/>
  <c r="ACD247" i="20" s="1"/>
  <c r="ABZ247" i="20" s="1"/>
  <c r="ACK247" i="20"/>
  <c r="ACG247" i="20" l="1"/>
  <c r="ACC247" i="20" s="1"/>
  <c r="ABY247" i="20" s="1"/>
  <c r="ABU247" i="20" s="1"/>
  <c r="ACF247" i="20"/>
  <c r="ACB247" i="20" l="1"/>
  <c r="ABX247" i="20" s="1"/>
  <c r="ABT247" i="20" s="1"/>
  <c r="ABP247" i="20" s="1"/>
  <c r="ACA247" i="20"/>
  <c r="ABW247" i="20" l="1"/>
  <c r="ABS247" i="20" s="1"/>
  <c r="ABO247" i="20" s="1"/>
  <c r="ABK247" i="20" s="1"/>
  <c r="ABV247" i="20"/>
  <c r="ABR247" i="20" l="1"/>
  <c r="ABN247" i="20" s="1"/>
  <c r="ABJ247" i="20" s="1"/>
  <c r="ABF247" i="20" s="1"/>
  <c r="ABQ247" i="20"/>
  <c r="ABM247" i="20" l="1"/>
  <c r="ABI247" i="20" s="1"/>
  <c r="ABE247" i="20" s="1"/>
  <c r="ABA247" i="20" s="1"/>
  <c r="ABL247" i="20"/>
  <c r="ABH247" i="20" l="1"/>
  <c r="ABD247" i="20" s="1"/>
  <c r="AAZ247" i="20" s="1"/>
  <c r="AAV247" i="20" s="1"/>
  <c r="ABG247" i="20"/>
  <c r="ABC247" i="20" l="1"/>
  <c r="AAY247" i="20" s="1"/>
  <c r="AAU247" i="20" s="1"/>
  <c r="AAQ247" i="20" s="1"/>
  <c r="ABB247" i="20"/>
  <c r="AAX247" i="20" l="1"/>
  <c r="AAT247" i="20" s="1"/>
  <c r="AAP247" i="20" s="1"/>
  <c r="AAL247" i="20" s="1"/>
  <c r="AAW247" i="20"/>
  <c r="AAS247" i="20" l="1"/>
  <c r="AAO247" i="20" s="1"/>
  <c r="AAK247" i="20" s="1"/>
  <c r="AAG247" i="20" s="1"/>
  <c r="AAR247" i="20"/>
  <c r="AAN247" i="20" l="1"/>
  <c r="AAJ247" i="20" s="1"/>
  <c r="AAF247" i="20" s="1"/>
  <c r="AAB247" i="20" s="1"/>
  <c r="AAM247" i="20"/>
  <c r="AAI247" i="20" l="1"/>
  <c r="AAE247" i="20" s="1"/>
  <c r="AAA247" i="20" s="1"/>
  <c r="ZW247" i="20" s="1"/>
  <c r="AAH247" i="20"/>
  <c r="AAD247" i="20" l="1"/>
  <c r="ZZ247" i="20" s="1"/>
  <c r="ZV247" i="20" s="1"/>
  <c r="ZR247" i="20" s="1"/>
  <c r="AAC247" i="20"/>
  <c r="ZY247" i="20" l="1"/>
  <c r="ZU247" i="20" s="1"/>
  <c r="ZQ247" i="20" s="1"/>
  <c r="ZM247" i="20" s="1"/>
  <c r="ZX247" i="20"/>
  <c r="ZT247" i="20" l="1"/>
  <c r="ZP247" i="20" s="1"/>
  <c r="ZL247" i="20" s="1"/>
  <c r="ZH247" i="20" s="1"/>
  <c r="ZS247" i="20"/>
  <c r="ZO247" i="20" l="1"/>
  <c r="ZK247" i="20" s="1"/>
  <c r="ZG247" i="20" s="1"/>
  <c r="ZC247" i="20" s="1"/>
  <c r="ZN247" i="20"/>
  <c r="ZJ247" i="20" l="1"/>
  <c r="ZF247" i="20" s="1"/>
  <c r="ZB247" i="20" s="1"/>
  <c r="YX247" i="20" s="1"/>
  <c r="ZI247" i="20"/>
  <c r="ZE247" i="20" l="1"/>
  <c r="ZA247" i="20" s="1"/>
  <c r="YW247" i="20" s="1"/>
  <c r="YS247" i="20" s="1"/>
  <c r="ZD247" i="20"/>
  <c r="YZ247" i="20" l="1"/>
  <c r="YV247" i="20" s="1"/>
  <c r="YR247" i="20" s="1"/>
  <c r="YN247" i="20" s="1"/>
  <c r="YY247" i="20"/>
  <c r="YU247" i="20" l="1"/>
  <c r="YQ247" i="20" s="1"/>
  <c r="YM247" i="20" s="1"/>
  <c r="YI247" i="20" s="1"/>
  <c r="YT247" i="20"/>
  <c r="YP247" i="20" l="1"/>
  <c r="YL247" i="20" s="1"/>
  <c r="YH247" i="20" s="1"/>
  <c r="YD247" i="20" s="1"/>
  <c r="YO247" i="20"/>
  <c r="YK247" i="20" l="1"/>
  <c r="YG247" i="20" s="1"/>
  <c r="YC247" i="20" s="1"/>
  <c r="XY247" i="20" s="1"/>
  <c r="YJ247" i="20"/>
  <c r="YF247" i="20" l="1"/>
  <c r="YB247" i="20" s="1"/>
  <c r="XX247" i="20" s="1"/>
  <c r="XT247" i="20" s="1"/>
  <c r="YE247" i="20"/>
  <c r="YA247" i="20" l="1"/>
  <c r="XW247" i="20" s="1"/>
  <c r="XS247" i="20" s="1"/>
  <c r="XO247" i="20" s="1"/>
  <c r="XZ247" i="20"/>
  <c r="XV247" i="20" l="1"/>
  <c r="XR247" i="20" s="1"/>
  <c r="XN247" i="20" s="1"/>
  <c r="XJ247" i="20" s="1"/>
  <c r="XU247" i="20"/>
  <c r="XQ247" i="20" l="1"/>
  <c r="XM247" i="20" s="1"/>
  <c r="XI247" i="20" s="1"/>
  <c r="XE247" i="20" s="1"/>
  <c r="XP247" i="20"/>
  <c r="XL247" i="20" l="1"/>
  <c r="XH247" i="20" s="1"/>
  <c r="XD247" i="20" s="1"/>
  <c r="WZ247" i="20" s="1"/>
  <c r="XK247" i="20"/>
  <c r="XG247" i="20" l="1"/>
  <c r="XC247" i="20" s="1"/>
  <c r="WY247" i="20" s="1"/>
  <c r="WU247" i="20" s="1"/>
  <c r="XF247" i="20"/>
  <c r="XB247" i="20" l="1"/>
  <c r="WX247" i="20" s="1"/>
  <c r="WT247" i="20" s="1"/>
  <c r="WP247" i="20" s="1"/>
  <c r="XA247" i="20"/>
  <c r="WW247" i="20" l="1"/>
  <c r="WS247" i="20" s="1"/>
  <c r="WO247" i="20" s="1"/>
  <c r="WK247" i="20" s="1"/>
  <c r="WV247" i="20"/>
  <c r="WR247" i="20" l="1"/>
  <c r="WN247" i="20" s="1"/>
  <c r="WJ247" i="20" s="1"/>
  <c r="WF247" i="20" s="1"/>
  <c r="WQ247" i="20"/>
  <c r="WM247" i="20" l="1"/>
  <c r="WI247" i="20" s="1"/>
  <c r="WE247" i="20" s="1"/>
  <c r="WA247" i="20" s="1"/>
  <c r="WL247" i="20"/>
  <c r="WH247" i="20" l="1"/>
  <c r="WD247" i="20" s="1"/>
  <c r="VZ247" i="20" s="1"/>
  <c r="VV247" i="20" s="1"/>
  <c r="WG247" i="20"/>
  <c r="WC247" i="20" l="1"/>
  <c r="VY247" i="20" s="1"/>
  <c r="VU247" i="20" s="1"/>
  <c r="VQ247" i="20" s="1"/>
  <c r="WB247" i="20"/>
  <c r="VX247" i="20" l="1"/>
  <c r="VT247" i="20" s="1"/>
  <c r="VP247" i="20" s="1"/>
  <c r="VL247" i="20" s="1"/>
  <c r="VW247" i="20"/>
  <c r="VS247" i="20" l="1"/>
  <c r="VO247" i="20" s="1"/>
  <c r="VK247" i="20" s="1"/>
  <c r="VG247" i="20" s="1"/>
  <c r="VR247" i="20"/>
  <c r="VN247" i="20" l="1"/>
  <c r="VJ247" i="20" s="1"/>
  <c r="VF247" i="20" s="1"/>
  <c r="VB247" i="20" s="1"/>
  <c r="VM247" i="20"/>
  <c r="VI247" i="20" l="1"/>
  <c r="VE247" i="20" s="1"/>
  <c r="VA247" i="20" s="1"/>
  <c r="UW247" i="20" s="1"/>
  <c r="VH247" i="20"/>
  <c r="VD247" i="20" l="1"/>
  <c r="UZ247" i="20" s="1"/>
  <c r="UV247" i="20" s="1"/>
  <c r="UR247" i="20" s="1"/>
  <c r="VC247" i="20"/>
  <c r="UY247" i="20" l="1"/>
  <c r="UU247" i="20" s="1"/>
  <c r="UQ247" i="20" s="1"/>
  <c r="UM247" i="20" s="1"/>
  <c r="UX247" i="20"/>
  <c r="UT247" i="20" l="1"/>
  <c r="UP247" i="20" s="1"/>
  <c r="UL247" i="20" s="1"/>
  <c r="UH247" i="20" s="1"/>
  <c r="US247" i="20"/>
  <c r="UO247" i="20" l="1"/>
  <c r="UK247" i="20" s="1"/>
  <c r="UG247" i="20" s="1"/>
  <c r="UC247" i="20" s="1"/>
  <c r="UN247" i="20"/>
  <c r="UJ247" i="20" l="1"/>
  <c r="UF247" i="20" s="1"/>
  <c r="UB247" i="20" s="1"/>
  <c r="TX247" i="20" s="1"/>
  <c r="UI247" i="20"/>
  <c r="UE247" i="20" l="1"/>
  <c r="UA247" i="20" s="1"/>
  <c r="TW247" i="20" s="1"/>
  <c r="TS247" i="20" s="1"/>
  <c r="UD247" i="20"/>
  <c r="TZ247" i="20" l="1"/>
  <c r="TV247" i="20" s="1"/>
  <c r="TR247" i="20" s="1"/>
  <c r="TN247" i="20" s="1"/>
  <c r="TY247" i="20"/>
  <c r="TU247" i="20" l="1"/>
  <c r="TQ247" i="20" s="1"/>
  <c r="TM247" i="20" s="1"/>
  <c r="TI247" i="20" s="1"/>
  <c r="TT247" i="20"/>
  <c r="TP247" i="20" l="1"/>
  <c r="TL247" i="20" s="1"/>
  <c r="TH247" i="20" s="1"/>
  <c r="TD247" i="20" s="1"/>
  <c r="TO247" i="20"/>
  <c r="TK247" i="20" l="1"/>
  <c r="TG247" i="20" s="1"/>
  <c r="TC247" i="20" s="1"/>
  <c r="SY247" i="20" s="1"/>
  <c r="TJ247" i="20"/>
  <c r="TF247" i="20" l="1"/>
  <c r="TB247" i="20" s="1"/>
  <c r="SX247" i="20" s="1"/>
  <c r="ST247" i="20" s="1"/>
  <c r="TE247" i="20"/>
  <c r="TA247" i="20" l="1"/>
  <c r="SW247" i="20" s="1"/>
  <c r="SS247" i="20" s="1"/>
  <c r="SO247" i="20" s="1"/>
  <c r="SZ247" i="20"/>
  <c r="SV247" i="20" l="1"/>
  <c r="SR247" i="20" s="1"/>
  <c r="SN247" i="20" s="1"/>
  <c r="SJ247" i="20" s="1"/>
  <c r="SU247" i="20"/>
  <c r="SQ247" i="20" l="1"/>
  <c r="SM247" i="20" s="1"/>
  <c r="SI247" i="20" s="1"/>
  <c r="SE247" i="20" s="1"/>
  <c r="SP247" i="20"/>
  <c r="SL247" i="20" l="1"/>
  <c r="SH247" i="20" s="1"/>
  <c r="SD247" i="20" s="1"/>
  <c r="RZ247" i="20" s="1"/>
  <c r="SK247" i="20"/>
  <c r="SG247" i="20" l="1"/>
  <c r="SC247" i="20" s="1"/>
  <c r="RY247" i="20" s="1"/>
  <c r="RU247" i="20" s="1"/>
  <c r="SF247" i="20"/>
  <c r="SB247" i="20" l="1"/>
  <c r="RX247" i="20" s="1"/>
  <c r="RT247" i="20" s="1"/>
  <c r="RP247" i="20" s="1"/>
  <c r="SA247" i="20"/>
  <c r="RW247" i="20" l="1"/>
  <c r="RS247" i="20" s="1"/>
  <c r="RO247" i="20" s="1"/>
  <c r="RK247" i="20" s="1"/>
  <c r="RV247" i="20"/>
  <c r="RR247" i="20" l="1"/>
  <c r="RN247" i="20" s="1"/>
  <c r="RJ247" i="20" s="1"/>
  <c r="RF247" i="20" s="1"/>
  <c r="RQ247" i="20"/>
  <c r="RM247" i="20" l="1"/>
  <c r="RI247" i="20" s="1"/>
  <c r="RE247" i="20" s="1"/>
  <c r="RA247" i="20" s="1"/>
  <c r="RL247" i="20"/>
  <c r="RH247" i="20" l="1"/>
  <c r="RD247" i="20" s="1"/>
  <c r="QZ247" i="20" s="1"/>
  <c r="QV247" i="20" s="1"/>
  <c r="RG247" i="20"/>
  <c r="RC247" i="20" l="1"/>
  <c r="QY247" i="20" s="1"/>
  <c r="QU247" i="20" s="1"/>
  <c r="QQ247" i="20" s="1"/>
  <c r="RB247" i="20"/>
  <c r="QX247" i="20" l="1"/>
  <c r="QT247" i="20" s="1"/>
  <c r="QP247" i="20" s="1"/>
  <c r="QL247" i="20" s="1"/>
  <c r="QW247" i="20"/>
  <c r="QS247" i="20" l="1"/>
  <c r="QO247" i="20" s="1"/>
  <c r="QK247" i="20" s="1"/>
  <c r="QG247" i="20" s="1"/>
  <c r="QR247" i="20"/>
  <c r="QN247" i="20" l="1"/>
  <c r="QJ247" i="20" s="1"/>
  <c r="QF247" i="20" s="1"/>
  <c r="QB247" i="20" s="1"/>
  <c r="QM247" i="20"/>
  <c r="QI247" i="20" l="1"/>
  <c r="QE247" i="20" s="1"/>
  <c r="QA247" i="20" s="1"/>
  <c r="PW247" i="20" s="1"/>
  <c r="QH247" i="20"/>
  <c r="QD247" i="20" l="1"/>
  <c r="PZ247" i="20" s="1"/>
  <c r="PV247" i="20" s="1"/>
  <c r="PR247" i="20" s="1"/>
  <c r="QC247" i="20"/>
  <c r="PY247" i="20" l="1"/>
  <c r="PU247" i="20" s="1"/>
  <c r="PQ247" i="20" s="1"/>
  <c r="PM247" i="20" s="1"/>
  <c r="PX247" i="20"/>
  <c r="PT247" i="20" l="1"/>
  <c r="PP247" i="20" s="1"/>
  <c r="PL247" i="20" s="1"/>
  <c r="PH247" i="20" s="1"/>
  <c r="PS247" i="20"/>
  <c r="PO247" i="20" l="1"/>
  <c r="PK247" i="20" s="1"/>
  <c r="PG247" i="20" s="1"/>
  <c r="PC247" i="20" s="1"/>
  <c r="PN247" i="20"/>
  <c r="PJ247" i="20" l="1"/>
  <c r="PF247" i="20" s="1"/>
  <c r="PB247" i="20" s="1"/>
  <c r="OX247" i="20" s="1"/>
  <c r="PI247" i="20"/>
  <c r="PE247" i="20" l="1"/>
  <c r="PA247" i="20" s="1"/>
  <c r="OW247" i="20" s="1"/>
  <c r="OS247" i="20" s="1"/>
  <c r="PD247" i="20"/>
  <c r="OZ247" i="20" l="1"/>
  <c r="OV247" i="20" s="1"/>
  <c r="OR247" i="20" s="1"/>
  <c r="ON247" i="20" s="1"/>
  <c r="OY247" i="20"/>
  <c r="OU247" i="20" l="1"/>
  <c r="OQ247" i="20" s="1"/>
  <c r="OM247" i="20" s="1"/>
  <c r="OI247" i="20" s="1"/>
  <c r="OT247" i="20"/>
  <c r="OP247" i="20" l="1"/>
  <c r="OL247" i="20" s="1"/>
  <c r="OH247" i="20" s="1"/>
  <c r="OD247" i="20" s="1"/>
  <c r="OO247" i="20"/>
  <c r="OK247" i="20" l="1"/>
  <c r="OG247" i="20" s="1"/>
  <c r="OC247" i="20" s="1"/>
  <c r="NY247" i="20" s="1"/>
  <c r="OJ247" i="20"/>
  <c r="OF247" i="20" l="1"/>
  <c r="OB247" i="20" s="1"/>
  <c r="NX247" i="20" s="1"/>
  <c r="NT247" i="20" s="1"/>
  <c r="OE247" i="20"/>
  <c r="OA247" i="20" l="1"/>
  <c r="NW247" i="20" s="1"/>
  <c r="NS247" i="20" s="1"/>
  <c r="NO247" i="20" s="1"/>
  <c r="NZ247" i="20"/>
  <c r="NV247" i="20" l="1"/>
  <c r="NR247" i="20" s="1"/>
  <c r="NN247" i="20" s="1"/>
  <c r="NJ247" i="20" s="1"/>
  <c r="NU247" i="20"/>
  <c r="NQ247" i="20" l="1"/>
  <c r="NM247" i="20" s="1"/>
  <c r="NI247" i="20" s="1"/>
  <c r="NE247" i="20" s="1"/>
  <c r="NP247" i="20"/>
  <c r="NL247" i="20" l="1"/>
  <c r="NH247" i="20" s="1"/>
  <c r="ND247" i="20" s="1"/>
  <c r="MZ247" i="20" s="1"/>
  <c r="NK247" i="20"/>
  <c r="NG247" i="20" l="1"/>
  <c r="NC247" i="20" s="1"/>
  <c r="MY247" i="20" s="1"/>
  <c r="MU247" i="20" s="1"/>
  <c r="NF247" i="20"/>
  <c r="NB247" i="20" l="1"/>
  <c r="MX247" i="20" s="1"/>
  <c r="MT247" i="20" s="1"/>
  <c r="MP247" i="20" s="1"/>
  <c r="NA247" i="20"/>
  <c r="MW247" i="20" l="1"/>
  <c r="MS247" i="20" s="1"/>
  <c r="MO247" i="20" s="1"/>
  <c r="MK247" i="20" s="1"/>
  <c r="MV247" i="20"/>
  <c r="MR247" i="20" l="1"/>
  <c r="MN247" i="20" s="1"/>
  <c r="MJ247" i="20" s="1"/>
  <c r="MF247" i="20" s="1"/>
  <c r="MQ247" i="20"/>
  <c r="MM247" i="20" l="1"/>
  <c r="MI247" i="20" s="1"/>
  <c r="ME247" i="20" s="1"/>
  <c r="MA247" i="20" s="1"/>
  <c r="ML247" i="20"/>
  <c r="MH247" i="20" l="1"/>
  <c r="MD247" i="20" s="1"/>
  <c r="LZ247" i="20" s="1"/>
  <c r="LV247" i="20" s="1"/>
  <c r="MG247" i="20"/>
  <c r="MC247" i="20" l="1"/>
  <c r="LY247" i="20" s="1"/>
  <c r="LU247" i="20" s="1"/>
  <c r="LQ247" i="20" s="1"/>
  <c r="MB247" i="20"/>
  <c r="LX247" i="20" l="1"/>
  <c r="LT247" i="20" s="1"/>
  <c r="LP247" i="20" s="1"/>
  <c r="LL247" i="20" s="1"/>
  <c r="LW247" i="20"/>
  <c r="LS247" i="20" l="1"/>
  <c r="LO247" i="20" s="1"/>
  <c r="LK247" i="20" s="1"/>
  <c r="LG247" i="20" s="1"/>
  <c r="LR247" i="20"/>
  <c r="LN247" i="20" l="1"/>
  <c r="LJ247" i="20" s="1"/>
  <c r="LF247" i="20" s="1"/>
  <c r="LB247" i="20" s="1"/>
  <c r="LM247" i="20"/>
  <c r="LI247" i="20" l="1"/>
  <c r="LE247" i="20" s="1"/>
  <c r="LA247" i="20" s="1"/>
  <c r="KW247" i="20" s="1"/>
  <c r="LH247" i="20"/>
  <c r="LD247" i="20" l="1"/>
  <c r="KZ247" i="20" s="1"/>
  <c r="KV247" i="20" s="1"/>
  <c r="KR247" i="20" s="1"/>
  <c r="LC247" i="20"/>
  <c r="KY247" i="20" l="1"/>
  <c r="KU247" i="20" s="1"/>
  <c r="KQ247" i="20" s="1"/>
  <c r="KM247" i="20" s="1"/>
  <c r="KX247" i="20"/>
  <c r="KT247" i="20" l="1"/>
  <c r="KP247" i="20" s="1"/>
  <c r="KL247" i="20" s="1"/>
  <c r="KH247" i="20" s="1"/>
  <c r="KS247" i="20"/>
  <c r="KO247" i="20" l="1"/>
  <c r="KK247" i="20" s="1"/>
  <c r="KG247" i="20" s="1"/>
  <c r="KC247" i="20" s="1"/>
  <c r="KN247" i="20"/>
  <c r="KJ247" i="20" l="1"/>
  <c r="KF247" i="20" s="1"/>
  <c r="KB247" i="20" s="1"/>
  <c r="JX247" i="20" s="1"/>
  <c r="KI247" i="20"/>
  <c r="KE247" i="20" l="1"/>
  <c r="KA247" i="20" s="1"/>
  <c r="JW247" i="20" s="1"/>
  <c r="JS247" i="20" s="1"/>
  <c r="KD247" i="20"/>
  <c r="JZ247" i="20" l="1"/>
  <c r="JV247" i="20" s="1"/>
  <c r="JR247" i="20" s="1"/>
  <c r="JN247" i="20" s="1"/>
  <c r="JY247" i="20"/>
  <c r="JU247" i="20" l="1"/>
  <c r="JQ247" i="20" s="1"/>
  <c r="JM247" i="20" s="1"/>
  <c r="JI247" i="20" s="1"/>
  <c r="JT247" i="20"/>
  <c r="JP247" i="20" l="1"/>
  <c r="JL247" i="20" s="1"/>
  <c r="JH247" i="20" s="1"/>
  <c r="JD247" i="20" s="1"/>
  <c r="JO247" i="20"/>
  <c r="JK247" i="20" l="1"/>
  <c r="JG247" i="20" s="1"/>
  <c r="JC247" i="20" s="1"/>
  <c r="IY247" i="20" s="1"/>
  <c r="JJ247" i="20"/>
  <c r="JF247" i="20" l="1"/>
  <c r="JB247" i="20" s="1"/>
  <c r="IX247" i="20" s="1"/>
  <c r="IT247" i="20" s="1"/>
  <c r="JE247" i="20"/>
  <c r="JA247" i="20" l="1"/>
  <c r="IW247" i="20" s="1"/>
  <c r="IS247" i="20" s="1"/>
  <c r="IO247" i="20" s="1"/>
  <c r="IZ247" i="20"/>
  <c r="IV247" i="20" l="1"/>
  <c r="IR247" i="20" s="1"/>
  <c r="IN247" i="20" s="1"/>
  <c r="IJ247" i="20" s="1"/>
  <c r="IU247" i="20"/>
  <c r="IQ247" i="20" l="1"/>
  <c r="IM247" i="20" s="1"/>
  <c r="II247" i="20" s="1"/>
  <c r="IE247" i="20" s="1"/>
  <c r="IP247" i="20"/>
  <c r="IL247" i="20" l="1"/>
  <c r="IH247" i="20" s="1"/>
  <c r="ID247" i="20" s="1"/>
  <c r="HZ247" i="20" s="1"/>
  <c r="IK247" i="20"/>
  <c r="IG247" i="20" l="1"/>
  <c r="IC247" i="20" s="1"/>
  <c r="HY247" i="20" s="1"/>
  <c r="HU247" i="20" s="1"/>
  <c r="IF247" i="20"/>
  <c r="IB247" i="20" l="1"/>
  <c r="HX247" i="20" s="1"/>
  <c r="HT247" i="20" s="1"/>
  <c r="HP247" i="20" s="1"/>
  <c r="IA247" i="20"/>
  <c r="HW247" i="20" l="1"/>
  <c r="HS247" i="20" s="1"/>
  <c r="HO247" i="20" s="1"/>
  <c r="HK247" i="20" s="1"/>
  <c r="HV247" i="20"/>
  <c r="HR247" i="20" l="1"/>
  <c r="HN247" i="20" s="1"/>
  <c r="HJ247" i="20" s="1"/>
  <c r="HF247" i="20" s="1"/>
  <c r="HQ247" i="20"/>
  <c r="HM247" i="20" l="1"/>
  <c r="HI247" i="20" s="1"/>
  <c r="HE247" i="20" s="1"/>
  <c r="HA247" i="20" s="1"/>
  <c r="HL247" i="20"/>
  <c r="HH247" i="20" l="1"/>
  <c r="HD247" i="20" s="1"/>
  <c r="GZ247" i="20" s="1"/>
  <c r="GV247" i="20" s="1"/>
  <c r="HG247" i="20"/>
  <c r="HC247" i="20" l="1"/>
  <c r="GY247" i="20" s="1"/>
  <c r="GU247" i="20" s="1"/>
  <c r="GQ247" i="20" s="1"/>
  <c r="HB247" i="20"/>
  <c r="GX247" i="20" l="1"/>
  <c r="GT247" i="20" s="1"/>
  <c r="GP247" i="20" s="1"/>
  <c r="GL247" i="20" s="1"/>
  <c r="GW247" i="20"/>
  <c r="GS247" i="20" l="1"/>
  <c r="GO247" i="20" s="1"/>
  <c r="GK247" i="20" s="1"/>
  <c r="GG247" i="20" s="1"/>
  <c r="GR247" i="20"/>
  <c r="GN247" i="20" l="1"/>
  <c r="GJ247" i="20" s="1"/>
  <c r="GF247" i="20" s="1"/>
  <c r="GB247" i="20" s="1"/>
  <c r="GM247" i="20"/>
  <c r="GI247" i="20" l="1"/>
  <c r="GE247" i="20" s="1"/>
  <c r="GA247" i="20" s="1"/>
  <c r="FW247" i="20" s="1"/>
  <c r="GH247" i="20"/>
  <c r="GD247" i="20" l="1"/>
  <c r="FZ247" i="20" s="1"/>
  <c r="FV247" i="20" s="1"/>
  <c r="FR247" i="20" s="1"/>
  <c r="GC247" i="20"/>
  <c r="FY247" i="20" l="1"/>
  <c r="FU247" i="20" s="1"/>
  <c r="FQ247" i="20" s="1"/>
  <c r="FM247" i="20" s="1"/>
  <c r="FX247" i="20"/>
  <c r="FT247" i="20" l="1"/>
  <c r="FP247" i="20" s="1"/>
  <c r="FL247" i="20" s="1"/>
  <c r="FH247" i="20" s="1"/>
  <c r="FS247" i="20"/>
  <c r="FO247" i="20" l="1"/>
  <c r="FK247" i="20" s="1"/>
  <c r="FG247" i="20" s="1"/>
  <c r="FC247" i="20" s="1"/>
  <c r="FN247" i="20"/>
  <c r="FJ247" i="20" l="1"/>
  <c r="FF247" i="20" s="1"/>
  <c r="FB247" i="20" s="1"/>
  <c r="EX247" i="20" s="1"/>
  <c r="FI247" i="20"/>
  <c r="FE247" i="20" l="1"/>
  <c r="FA247" i="20" s="1"/>
  <c r="EW247" i="20" s="1"/>
  <c r="ES247" i="20" s="1"/>
  <c r="FD247" i="20"/>
  <c r="EZ247" i="20" l="1"/>
  <c r="EV247" i="20" s="1"/>
  <c r="ER247" i="20" s="1"/>
  <c r="EY247" i="20"/>
  <c r="ES10" i="20"/>
  <c r="ES6" i="20" s="1"/>
  <c r="EU247" i="20" l="1"/>
  <c r="EQ247" i="20" s="1"/>
  <c r="ET247" i="20"/>
  <c r="EN247" i="20"/>
  <c r="ER10" i="20"/>
  <c r="ER6" i="20" s="1"/>
  <c r="EN10" i="20" l="1"/>
  <c r="EN6" i="20" s="1"/>
  <c r="EP247" i="20"/>
  <c r="EO247" i="20"/>
  <c r="EM247" i="20"/>
  <c r="EQ10" i="20"/>
  <c r="EQ6" i="20" s="1"/>
  <c r="EK247" i="20" l="1"/>
  <c r="EO10" i="20"/>
  <c r="EO6" i="20" s="1"/>
  <c r="EI247" i="20"/>
  <c r="EM10" i="20"/>
  <c r="EM6" i="20" s="1"/>
  <c r="EL247" i="20"/>
  <c r="EP10" i="20"/>
  <c r="EP6" i="20" s="1"/>
  <c r="EJ247" i="20"/>
  <c r="EH247" i="20" l="1"/>
  <c r="EL10" i="20"/>
  <c r="EL6" i="20" s="1"/>
  <c r="EF247" i="20"/>
  <c r="EJ10" i="20"/>
  <c r="EJ6" i="20" s="1"/>
  <c r="EE247" i="20"/>
  <c r="EI10" i="20"/>
  <c r="EI6" i="20" s="1"/>
  <c r="EG247" i="20"/>
  <c r="EK10" i="20"/>
  <c r="EK6" i="20" s="1"/>
  <c r="EC247" i="20" l="1"/>
  <c r="EG10" i="20"/>
  <c r="EG6" i="20" s="1"/>
  <c r="EA247" i="20"/>
  <c r="EE10" i="20"/>
  <c r="EE6" i="20" s="1"/>
  <c r="EB247" i="20"/>
  <c r="EF10" i="20"/>
  <c r="EF6" i="20" s="1"/>
  <c r="ED247" i="20"/>
  <c r="EH10" i="20"/>
  <c r="EH6" i="20" s="1"/>
  <c r="DZ247" i="20" l="1"/>
  <c r="ED10" i="20"/>
  <c r="ED6" i="20" s="1"/>
  <c r="DX247" i="20"/>
  <c r="EB10" i="20"/>
  <c r="EB6" i="20" s="1"/>
  <c r="DW247" i="20"/>
  <c r="EA10" i="20"/>
  <c r="EA6" i="20" s="1"/>
  <c r="DY247" i="20"/>
  <c r="EC10" i="20"/>
  <c r="EC6" i="20" s="1"/>
  <c r="DS247" i="20" l="1"/>
  <c r="DW10" i="20"/>
  <c r="DW6" i="20" s="1"/>
  <c r="DU247" i="20"/>
  <c r="DY10" i="20"/>
  <c r="DY6" i="20" s="1"/>
  <c r="DT247" i="20"/>
  <c r="DX10" i="20"/>
  <c r="DX6" i="20" s="1"/>
  <c r="DV247" i="20"/>
  <c r="DZ10" i="20"/>
  <c r="DZ6" i="20" s="1"/>
  <c r="DR247" i="20" l="1"/>
  <c r="DV10" i="20"/>
  <c r="DV6" i="20" s="1"/>
  <c r="DP247" i="20"/>
  <c r="DT10" i="20"/>
  <c r="DT6" i="20" s="1"/>
  <c r="DQ247" i="20"/>
  <c r="DU10" i="20"/>
  <c r="DU6" i="20" s="1"/>
  <c r="DO247" i="20"/>
  <c r="DS10" i="20"/>
  <c r="DS6" i="20" s="1"/>
  <c r="DK247" i="20" l="1"/>
  <c r="DO10" i="20"/>
  <c r="DO6" i="20" s="1"/>
  <c r="DL247" i="20"/>
  <c r="DP10" i="20"/>
  <c r="DP6" i="20" s="1"/>
  <c r="DM247" i="20"/>
  <c r="DQ10" i="20"/>
  <c r="DQ6" i="20" s="1"/>
  <c r="DN247" i="20"/>
  <c r="DR10" i="20"/>
  <c r="DR6" i="20" s="1"/>
  <c r="DH247" i="20" l="1"/>
  <c r="DL10" i="20"/>
  <c r="DL6" i="20" s="1"/>
  <c r="DJ247" i="20"/>
  <c r="DN10" i="20"/>
  <c r="DN6" i="20" s="1"/>
  <c r="DI247" i="20"/>
  <c r="DM10" i="20"/>
  <c r="DM6" i="20" s="1"/>
  <c r="DG247" i="20"/>
  <c r="DK10" i="20"/>
  <c r="DK6" i="20" s="1"/>
  <c r="DC247" i="20" l="1"/>
  <c r="DG10" i="20"/>
  <c r="DG6" i="20" s="1"/>
  <c r="DF247" i="20"/>
  <c r="DJ10" i="20"/>
  <c r="DJ6" i="20" s="1"/>
  <c r="DE247" i="20"/>
  <c r="DI10" i="20"/>
  <c r="DI6" i="20" s="1"/>
  <c r="DD247" i="20"/>
  <c r="DH10" i="20"/>
  <c r="DH6" i="20" s="1"/>
  <c r="CZ247" i="20" l="1"/>
  <c r="DD10" i="20"/>
  <c r="DD6" i="20" s="1"/>
  <c r="DA247" i="20"/>
  <c r="DE10" i="20"/>
  <c r="DE6" i="20" s="1"/>
  <c r="DB247" i="20"/>
  <c r="DF10" i="20"/>
  <c r="DF6" i="20" s="1"/>
  <c r="CY247" i="20"/>
  <c r="DC10" i="20"/>
  <c r="DC6" i="20" s="1"/>
  <c r="CU247" i="20" l="1"/>
  <c r="CY10" i="20"/>
  <c r="CY6" i="20" s="1"/>
  <c r="CX247" i="20"/>
  <c r="DB10" i="20"/>
  <c r="DB6" i="20" s="1"/>
  <c r="CW247" i="20"/>
  <c r="DA10" i="20"/>
  <c r="DA6" i="20" s="1"/>
  <c r="CV247" i="20"/>
  <c r="CZ10" i="20"/>
  <c r="CZ6" i="20" s="1"/>
  <c r="CR247" i="20" l="1"/>
  <c r="CV10" i="20"/>
  <c r="CV6" i="20" s="1"/>
  <c r="CS247" i="20"/>
  <c r="CW10" i="20"/>
  <c r="CW6" i="20" s="1"/>
  <c r="CT247" i="20"/>
  <c r="CX10" i="20"/>
  <c r="CX6" i="20" s="1"/>
  <c r="CQ247" i="20"/>
  <c r="CU10" i="20"/>
  <c r="CU6" i="20" s="1"/>
  <c r="CM247" i="20" l="1"/>
  <c r="CQ10" i="20"/>
  <c r="CQ6" i="20" s="1"/>
  <c r="CP247" i="20"/>
  <c r="CT10" i="20"/>
  <c r="CT6" i="20" s="1"/>
  <c r="CO247" i="20"/>
  <c r="CS10" i="20"/>
  <c r="CS6" i="20" s="1"/>
  <c r="CN247" i="20"/>
  <c r="CR10" i="20"/>
  <c r="CR6" i="20" s="1"/>
  <c r="CJ247" i="20" l="1"/>
  <c r="CN10" i="20"/>
  <c r="CN6" i="20" s="1"/>
  <c r="CK247" i="20"/>
  <c r="CO10" i="20"/>
  <c r="CO6" i="20" s="1"/>
  <c r="CL247" i="20"/>
  <c r="CP10" i="20"/>
  <c r="CP6" i="20" s="1"/>
  <c r="CI247" i="20"/>
  <c r="CM10" i="20"/>
  <c r="CM6" i="20" s="1"/>
  <c r="CE247" i="20" l="1"/>
  <c r="CI10" i="20"/>
  <c r="CI6" i="20" s="1"/>
  <c r="CH247" i="20"/>
  <c r="CL10" i="20"/>
  <c r="CL6" i="20" s="1"/>
  <c r="CG247" i="20"/>
  <c r="CK10" i="20"/>
  <c r="CK6" i="20" s="1"/>
  <c r="CF247" i="20"/>
  <c r="CJ10" i="20"/>
  <c r="CJ6" i="20" s="1"/>
  <c r="CB247" i="20" l="1"/>
  <c r="CF10" i="20"/>
  <c r="CF6" i="20" s="1"/>
  <c r="CC247" i="20"/>
  <c r="CG10" i="20"/>
  <c r="CG6" i="20" s="1"/>
  <c r="CD247" i="20"/>
  <c r="CH10" i="20"/>
  <c r="CH6" i="20" s="1"/>
  <c r="CA247" i="20"/>
  <c r="CE10" i="20"/>
  <c r="CE6" i="20" s="1"/>
  <c r="BW247" i="20" l="1"/>
  <c r="CA10" i="20"/>
  <c r="CA6" i="20" s="1"/>
  <c r="BZ247" i="20"/>
  <c r="CD10" i="20"/>
  <c r="CD6" i="20" s="1"/>
  <c r="BY247" i="20"/>
  <c r="CC10" i="20"/>
  <c r="CC6" i="20" s="1"/>
  <c r="BX247" i="20"/>
  <c r="CB10" i="20"/>
  <c r="CB6" i="20" s="1"/>
  <c r="BT247" i="20" l="1"/>
  <c r="BX10" i="20"/>
  <c r="BX6" i="20" s="1"/>
  <c r="BU247" i="20"/>
  <c r="BY10" i="20"/>
  <c r="BY6" i="20" s="1"/>
  <c r="BV247" i="20"/>
  <c r="BZ10" i="20"/>
  <c r="BZ6" i="20" s="1"/>
  <c r="BS247" i="20"/>
  <c r="BW10" i="20"/>
  <c r="BW6" i="20" s="1"/>
  <c r="BO247" i="20" l="1"/>
  <c r="BS10" i="20"/>
  <c r="BS6" i="20" s="1"/>
  <c r="BR247" i="20"/>
  <c r="BV10" i="20"/>
  <c r="BV6" i="20" s="1"/>
  <c r="BQ247" i="20"/>
  <c r="BU10" i="20"/>
  <c r="BU6" i="20" s="1"/>
  <c r="BP247" i="20"/>
  <c r="BT10" i="20"/>
  <c r="BT6" i="20" s="1"/>
  <c r="BM247" i="20" l="1"/>
  <c r="BQ10" i="20"/>
  <c r="BQ6" i="20" s="1"/>
  <c r="BN247" i="20"/>
  <c r="BR10" i="20"/>
  <c r="BR6" i="20" s="1"/>
  <c r="BL247" i="20"/>
  <c r="BP10" i="20"/>
  <c r="BP6" i="20" s="1"/>
  <c r="BK247" i="20"/>
  <c r="BO10" i="20"/>
  <c r="BO6" i="20" s="1"/>
  <c r="BG247" i="20" l="1"/>
  <c r="BK10" i="20"/>
  <c r="BK6" i="20" s="1"/>
  <c r="BH247" i="20"/>
  <c r="BL10" i="20"/>
  <c r="BL6" i="20" s="1"/>
  <c r="BJ247" i="20"/>
  <c r="BN10" i="20"/>
  <c r="BN6" i="20" s="1"/>
  <c r="BI247" i="20"/>
  <c r="BM10" i="20"/>
  <c r="BM6" i="20" s="1"/>
  <c r="BE247" i="20" l="1"/>
  <c r="BI10" i="20"/>
  <c r="BI6" i="20" s="1"/>
  <c r="BF247" i="20"/>
  <c r="BJ10" i="20"/>
  <c r="BJ6" i="20" s="1"/>
  <c r="BD247" i="20"/>
  <c r="BH10" i="20"/>
  <c r="BH6" i="20" s="1"/>
  <c r="BC247" i="20"/>
  <c r="BG10" i="20"/>
  <c r="BG6" i="20" s="1"/>
  <c r="AZ247" i="20" l="1"/>
  <c r="BD10" i="20"/>
  <c r="BD6" i="20" s="1"/>
  <c r="AY247" i="20"/>
  <c r="BC10" i="20"/>
  <c r="BC6" i="20" s="1"/>
  <c r="BB247" i="20"/>
  <c r="BF10" i="20"/>
  <c r="BF6" i="20" s="1"/>
  <c r="BA247" i="20"/>
  <c r="BE10" i="20"/>
  <c r="BE6" i="20" s="1"/>
  <c r="AX247" i="20" l="1"/>
  <c r="BB10" i="20"/>
  <c r="BB6" i="20" s="1"/>
  <c r="AU247" i="20"/>
  <c r="AY10" i="20"/>
  <c r="AY6" i="20" s="1"/>
  <c r="AW247" i="20"/>
  <c r="BA10" i="20"/>
  <c r="BA6" i="20" s="1"/>
  <c r="AV247" i="20"/>
  <c r="AZ10" i="20"/>
  <c r="AZ6" i="20" s="1"/>
  <c r="AS247" i="20" l="1"/>
  <c r="AW10" i="20"/>
  <c r="AW6" i="20" s="1"/>
  <c r="AQ247" i="20"/>
  <c r="AU10" i="20"/>
  <c r="AU6" i="20" s="1"/>
  <c r="AR247" i="20"/>
  <c r="AV10" i="20"/>
  <c r="AV6" i="20" s="1"/>
  <c r="AT247" i="20"/>
  <c r="AX10" i="20"/>
  <c r="AX6" i="20" s="1"/>
  <c r="AP247" i="20" l="1"/>
  <c r="AT10" i="20"/>
  <c r="AT6" i="20" s="1"/>
  <c r="AM247" i="20"/>
  <c r="AQ10" i="20"/>
  <c r="AQ6" i="20" s="1"/>
  <c r="AN247" i="20"/>
  <c r="AR10" i="20"/>
  <c r="AR6" i="20" s="1"/>
  <c r="AO247" i="20"/>
  <c r="AS10" i="20"/>
  <c r="AS6" i="20" s="1"/>
  <c r="AK247" i="20" l="1"/>
  <c r="AO10" i="20"/>
  <c r="AO6" i="20" s="1"/>
  <c r="AI247" i="20"/>
  <c r="AM10" i="20"/>
  <c r="AM6" i="20" s="1"/>
  <c r="AJ247" i="20"/>
  <c r="AN10" i="20"/>
  <c r="AN6" i="20" s="1"/>
  <c r="AL247" i="20"/>
  <c r="AP10" i="20"/>
  <c r="AP6" i="20" s="1"/>
  <c r="AH247" i="20" l="1"/>
  <c r="AL10" i="20"/>
  <c r="AL6" i="20" s="1"/>
  <c r="AF247" i="20"/>
  <c r="AJ10" i="20"/>
  <c r="AJ6" i="20" s="1"/>
  <c r="AE247" i="20"/>
  <c r="AI10" i="20"/>
  <c r="AI6" i="20" s="1"/>
  <c r="AG247" i="20"/>
  <c r="AK10" i="20"/>
  <c r="AK6" i="20" s="1"/>
  <c r="AC247" i="20" l="1"/>
  <c r="AG10" i="20"/>
  <c r="AG6" i="20" s="1"/>
  <c r="AB247" i="20"/>
  <c r="AF10" i="20"/>
  <c r="AF6" i="20" s="1"/>
  <c r="AA247" i="20"/>
  <c r="AE10" i="20"/>
  <c r="AE6" i="20" s="1"/>
  <c r="AD247" i="20"/>
  <c r="AH10" i="20"/>
  <c r="AH6" i="20" s="1"/>
  <c r="W247" i="20" l="1"/>
  <c r="AA10" i="20"/>
  <c r="AA6" i="20" s="1"/>
  <c r="X247" i="20"/>
  <c r="AB10" i="20"/>
  <c r="AB6" i="20" s="1"/>
  <c r="Z247" i="20"/>
  <c r="AD10" i="20"/>
  <c r="AD6" i="20" s="1"/>
  <c r="Y247" i="20"/>
  <c r="AC10" i="20"/>
  <c r="AC6" i="20" s="1"/>
  <c r="U247" i="20" l="1"/>
  <c r="Y10" i="20"/>
  <c r="Y6" i="20" s="1"/>
  <c r="T247" i="20"/>
  <c r="X10" i="20"/>
  <c r="X6" i="20" s="1"/>
  <c r="V247" i="20"/>
  <c r="Z10" i="20"/>
  <c r="Z6" i="20" s="1"/>
  <c r="S247" i="20"/>
  <c r="W10" i="20"/>
  <c r="W6" i="20" s="1"/>
  <c r="T10" i="20" l="1"/>
  <c r="T6" i="20" s="1"/>
  <c r="S10" i="20"/>
  <c r="S6" i="20" s="1"/>
  <c r="R247" i="20"/>
  <c r="V10" i="20"/>
  <c r="V6" i="20" s="1"/>
  <c r="Q247" i="20"/>
  <c r="U10" i="20"/>
  <c r="U6" i="20" s="1"/>
  <c r="R10" i="20" l="1"/>
  <c r="R6" i="20" s="1"/>
  <c r="G159" i="17" l="1"/>
  <c r="G515" i="17"/>
  <c r="G602" i="17"/>
  <c r="G237" i="17"/>
  <c r="G205" i="17"/>
  <c r="G682" i="17"/>
  <c r="G715" i="17"/>
  <c r="H105" i="21" s="1"/>
  <c r="O105" i="21" s="1"/>
  <c r="G589" i="17"/>
  <c r="H119" i="21" s="1"/>
  <c r="O119" i="21" s="1"/>
  <c r="Q119" i="21" s="1"/>
  <c r="G529" i="17"/>
  <c r="G621" i="17"/>
  <c r="H68" i="21" s="1"/>
  <c r="O68" i="21" s="1"/>
  <c r="Q68" i="21" s="1"/>
  <c r="G120" i="17"/>
  <c r="H197" i="21" s="1"/>
  <c r="O197" i="21" s="1"/>
  <c r="Q197" i="21" s="1"/>
  <c r="G582" i="17"/>
  <c r="H112" i="21" s="1"/>
  <c r="O112" i="21" s="1"/>
  <c r="Q112" i="21" s="1"/>
  <c r="G648" i="17"/>
  <c r="H202" i="21" s="1"/>
  <c r="O202" i="21" s="1"/>
  <c r="Q202" i="21" s="1"/>
  <c r="G691" i="17"/>
  <c r="G117" i="17"/>
  <c r="H194" i="21" s="1"/>
  <c r="O194" i="21" s="1"/>
  <c r="G470" i="17"/>
  <c r="G521" i="17"/>
  <c r="G565" i="17"/>
  <c r="G556" i="17"/>
  <c r="G435" i="17"/>
  <c r="G25" i="17"/>
  <c r="G427" i="17"/>
  <c r="G49" i="17"/>
  <c r="G576" i="17"/>
  <c r="G525" i="17"/>
  <c r="G513" i="17"/>
  <c r="G676" i="17"/>
  <c r="G615" i="17"/>
  <c r="H62" i="21" s="1"/>
  <c r="O62" i="21" s="1"/>
  <c r="G692" i="17"/>
  <c r="G457" i="17"/>
  <c r="G436" i="17"/>
  <c r="G232" i="17"/>
  <c r="G160" i="17"/>
  <c r="G165" i="17"/>
  <c r="G503" i="17"/>
  <c r="G469" i="17"/>
  <c r="G242" i="17"/>
  <c r="G13" i="17"/>
  <c r="G720" i="17"/>
  <c r="G473" i="17"/>
  <c r="G130" i="17"/>
  <c r="G672" i="17"/>
  <c r="G594" i="17"/>
  <c r="H147" i="21" s="1"/>
  <c r="O147" i="21" s="1"/>
  <c r="Q147" i="21" s="1"/>
  <c r="G527" i="17"/>
  <c r="G119" i="17"/>
  <c r="H196" i="21" s="1"/>
  <c r="O196" i="21" s="1"/>
  <c r="Q196" i="21" s="1"/>
  <c r="G535" i="17"/>
  <c r="G534" i="17"/>
  <c r="G642" i="17"/>
  <c r="H135" i="21" s="1"/>
  <c r="O135" i="21" s="1"/>
  <c r="Q135" i="21" s="1"/>
  <c r="G243" i="17"/>
  <c r="G171" i="17"/>
  <c r="H84" i="21" s="1"/>
  <c r="O84" i="21" s="1"/>
  <c r="G518" i="17"/>
  <c r="G35" i="17"/>
  <c r="G652" i="17"/>
  <c r="H162" i="21" s="1"/>
  <c r="O162" i="21" s="1"/>
  <c r="G234" i="17"/>
  <c r="G647" i="17"/>
  <c r="H201" i="21" s="1"/>
  <c r="O201" i="21" s="1"/>
  <c r="Q201" i="21" s="1"/>
  <c r="G135" i="17"/>
  <c r="G455" i="17"/>
  <c r="G639" i="17"/>
  <c r="H129" i="21" s="1"/>
  <c r="O129" i="21" s="1"/>
  <c r="G497" i="17"/>
  <c r="G640" i="17"/>
  <c r="H133" i="21" s="1"/>
  <c r="O133" i="21" s="1"/>
  <c r="G627" i="17"/>
  <c r="H73" i="21" s="1"/>
  <c r="O73" i="21" s="1"/>
  <c r="Q73" i="21" s="1"/>
  <c r="G595" i="17"/>
  <c r="H143" i="21" s="1"/>
  <c r="O143" i="21" s="1"/>
  <c r="Q143" i="21" s="1"/>
  <c r="G674" i="17"/>
  <c r="G506" i="17"/>
  <c r="G195" i="17"/>
  <c r="G151" i="17"/>
  <c r="G153" i="17"/>
  <c r="G658" i="17"/>
  <c r="H54" i="21" s="1"/>
  <c r="O54" i="21" s="1"/>
  <c r="Q54" i="21" s="1"/>
  <c r="G653" i="17"/>
  <c r="H163" i="21" s="1"/>
  <c r="O163" i="21" s="1"/>
  <c r="Q163" i="21" s="1"/>
  <c r="G548" i="17"/>
  <c r="G185" i="17"/>
  <c r="G693" i="17"/>
  <c r="G107" i="17"/>
  <c r="H154" i="21" s="1"/>
  <c r="O154" i="21" s="1"/>
  <c r="Q154" i="21" s="1"/>
  <c r="G685" i="17"/>
  <c r="G543" i="17"/>
  <c r="G670" i="17"/>
  <c r="G629" i="17"/>
  <c r="H89" i="21" s="1"/>
  <c r="O89" i="21" s="1"/>
  <c r="G516" i="17"/>
  <c r="G169" i="17"/>
  <c r="H93" i="21" s="1"/>
  <c r="O93" i="21" s="1"/>
  <c r="G451" i="17"/>
  <c r="G471" i="17"/>
  <c r="G131" i="17"/>
  <c r="G669" i="17"/>
  <c r="G500" i="17"/>
  <c r="G98" i="17"/>
  <c r="G510" i="17"/>
  <c r="G198" i="17"/>
  <c r="G541" i="17"/>
  <c r="G628" i="17"/>
  <c r="H74" i="21" s="1"/>
  <c r="O74" i="21" s="1"/>
  <c r="Q74" i="21" s="1"/>
  <c r="G616" i="17"/>
  <c r="H63" i="21" s="1"/>
  <c r="O63" i="21" s="1"/>
  <c r="Q63" i="21" s="1"/>
  <c r="G618" i="17"/>
  <c r="H65" i="21" s="1"/>
  <c r="O65" i="21" s="1"/>
  <c r="Q65" i="21" s="1"/>
  <c r="G424" i="17"/>
  <c r="G448" i="17"/>
  <c r="G572" i="17"/>
  <c r="G649" i="17"/>
  <c r="H203" i="21" s="1"/>
  <c r="O203" i="21" s="1"/>
  <c r="Q203" i="21" s="1"/>
  <c r="G440" i="17"/>
  <c r="G631" i="17"/>
  <c r="H150" i="21" s="1"/>
  <c r="O150" i="21" s="1"/>
  <c r="Q150" i="21" s="1"/>
  <c r="G193" i="17"/>
  <c r="G148" i="17"/>
  <c r="G568" i="17"/>
  <c r="H22" i="21" s="1"/>
  <c r="O22" i="21" s="1"/>
  <c r="Q22" i="21" s="1"/>
  <c r="G247" i="17"/>
  <c r="G717" i="17"/>
  <c r="G108" i="17"/>
  <c r="H155" i="21" s="1"/>
  <c r="O155" i="21" s="1"/>
  <c r="Q155" i="21" s="1"/>
  <c r="G522" i="17"/>
  <c r="G655" i="17"/>
  <c r="H51" i="21" s="1"/>
  <c r="O51" i="21" s="1"/>
  <c r="G617" i="17"/>
  <c r="H64" i="21" s="1"/>
  <c r="O64" i="21" s="1"/>
  <c r="Q64" i="21" s="1"/>
  <c r="G182" i="17"/>
  <c r="H138" i="21" s="1"/>
  <c r="O138" i="21" s="1"/>
  <c r="Q138" i="21" s="1"/>
  <c r="G181" i="17"/>
  <c r="H137" i="21" s="1"/>
  <c r="O137" i="21" s="1"/>
  <c r="G454" i="17"/>
  <c r="G701" i="17"/>
  <c r="G463" i="17"/>
  <c r="G664" i="17"/>
  <c r="H60" i="21" s="1"/>
  <c r="O60" i="21" s="1"/>
  <c r="Q60" i="21" s="1"/>
  <c r="G132" i="17"/>
  <c r="G557" i="17"/>
  <c r="G175" i="17"/>
  <c r="H164" i="21" s="1"/>
  <c r="O164" i="21" s="1"/>
  <c r="Q164" i="21" s="1"/>
  <c r="G30" i="17"/>
  <c r="G492" i="17"/>
  <c r="G214" i="17"/>
  <c r="G608" i="17"/>
  <c r="H126" i="21" s="1"/>
  <c r="O126" i="21" s="1"/>
  <c r="Q126" i="21" s="1"/>
  <c r="G604" i="17"/>
  <c r="H124" i="21" s="1"/>
  <c r="O124" i="21" s="1"/>
  <c r="G564" i="17"/>
  <c r="G507" i="17"/>
  <c r="G560" i="17"/>
  <c r="G432" i="17"/>
  <c r="G719" i="17"/>
  <c r="G605" i="17"/>
  <c r="H125" i="21" s="1"/>
  <c r="O125" i="21" s="1"/>
  <c r="Q125" i="21" s="1"/>
  <c r="G574" i="17"/>
  <c r="H26" i="21" s="1"/>
  <c r="O26" i="21" s="1"/>
  <c r="Q26" i="21" s="1"/>
  <c r="G438" i="17"/>
  <c r="G186" i="17"/>
  <c r="G141" i="17"/>
  <c r="G458" i="17"/>
  <c r="G678" i="17"/>
  <c r="G138" i="17"/>
  <c r="G680" i="17"/>
  <c r="G625" i="17"/>
  <c r="H71" i="21" s="1"/>
  <c r="O71" i="21" s="1"/>
  <c r="Q71" i="21" s="1"/>
  <c r="G597" i="17"/>
  <c r="G626" i="17"/>
  <c r="H72" i="21" s="1"/>
  <c r="O72" i="21" s="1"/>
  <c r="Q72" i="21" s="1"/>
  <c r="G591" i="17"/>
  <c r="H145" i="21" s="1"/>
  <c r="O145" i="21" s="1"/>
  <c r="Q145" i="21" s="1"/>
  <c r="G581" i="17"/>
  <c r="H111" i="21" s="1"/>
  <c r="O111" i="21" s="1"/>
  <c r="Q111" i="21" s="1"/>
  <c r="G668" i="17"/>
  <c r="G526" i="17"/>
  <c r="G447" i="17"/>
  <c r="G462" i="17"/>
  <c r="G667" i="17"/>
  <c r="G583" i="17"/>
  <c r="H113" i="21" s="1"/>
  <c r="O113" i="21" s="1"/>
  <c r="Q113" i="21" s="1"/>
  <c r="G590" i="17"/>
  <c r="H120" i="21" s="1"/>
  <c r="O120" i="21" s="1"/>
  <c r="Q120" i="21" s="1"/>
  <c r="G575" i="17"/>
  <c r="H27" i="21" s="1"/>
  <c r="O27" i="21" s="1"/>
  <c r="Q27" i="21" s="1"/>
  <c r="G231" i="17"/>
  <c r="G694" i="17"/>
  <c r="G12" i="17"/>
  <c r="G520" i="17"/>
  <c r="G567" i="17"/>
  <c r="H21" i="21" s="1"/>
  <c r="O21" i="21" s="1"/>
  <c r="Q21" i="21" s="1"/>
  <c r="G467" i="17"/>
  <c r="G249" i="17"/>
  <c r="G553" i="17"/>
  <c r="G558" i="17"/>
  <c r="G633" i="17"/>
  <c r="H75" i="21" s="1"/>
  <c r="O75" i="21" s="1"/>
  <c r="Q75" i="21" s="1"/>
  <c r="G593" i="17"/>
  <c r="H142" i="21" s="1"/>
  <c r="O142" i="21" s="1"/>
  <c r="G566" i="17"/>
  <c r="H20" i="21" s="1"/>
  <c r="O20" i="21" s="1"/>
  <c r="G611" i="17"/>
  <c r="G215" i="17"/>
  <c r="G166" i="17"/>
  <c r="G209" i="17"/>
  <c r="G727" i="17"/>
  <c r="H170" i="21" s="1"/>
  <c r="O170" i="21" s="1"/>
  <c r="Q170" i="21" s="1"/>
  <c r="G459" i="17"/>
  <c r="G474" i="17"/>
  <c r="G113" i="17"/>
  <c r="H158" i="21" s="1"/>
  <c r="O158" i="21" s="1"/>
  <c r="Q158" i="21" s="1"/>
  <c r="G673" i="17"/>
  <c r="G584" i="17"/>
  <c r="H114" i="21" s="1"/>
  <c r="O114" i="21" s="1"/>
  <c r="Q114" i="21" s="1"/>
  <c r="G179" i="17"/>
  <c r="G519" i="17"/>
  <c r="G116" i="17"/>
  <c r="H140" i="21" s="1"/>
  <c r="O140" i="21" s="1"/>
  <c r="G559" i="17"/>
  <c r="G508" i="17"/>
  <c r="G666" i="17"/>
  <c r="G443" i="17"/>
  <c r="G555" i="17"/>
  <c r="G105" i="17"/>
  <c r="H224" i="21" s="1"/>
  <c r="O224" i="21" s="1"/>
  <c r="Q224" i="21" s="1"/>
  <c r="G21" i="17"/>
  <c r="G561" i="17"/>
  <c r="G210" i="17"/>
  <c r="G110" i="17"/>
  <c r="H157" i="21" s="1"/>
  <c r="O157" i="21" s="1"/>
  <c r="Q157" i="21" s="1"/>
  <c r="G415" i="17"/>
  <c r="G613" i="17"/>
  <c r="G238" i="17"/>
  <c r="G586" i="17"/>
  <c r="H116" i="21" s="1"/>
  <c r="O116" i="21" s="1"/>
  <c r="Q116" i="21" s="1"/>
  <c r="G683" i="17"/>
  <c r="G29" i="17"/>
  <c r="G22" i="17"/>
  <c r="G468" i="17"/>
  <c r="G730" i="17"/>
  <c r="H173" i="21" s="1"/>
  <c r="O173" i="21" s="1"/>
  <c r="Q173" i="21" s="1"/>
  <c r="G580" i="17"/>
  <c r="H110" i="21" s="1"/>
  <c r="O110" i="21" s="1"/>
  <c r="Q110" i="21" s="1"/>
  <c r="G671" i="17"/>
  <c r="G140" i="17"/>
  <c r="G709" i="17"/>
  <c r="G118" i="17"/>
  <c r="H195" i="21" s="1"/>
  <c r="O195" i="21" s="1"/>
  <c r="Q195" i="21" s="1"/>
  <c r="G552" i="17"/>
  <c r="G511" i="17"/>
  <c r="G180" i="17"/>
  <c r="H131" i="21" s="1"/>
  <c r="O131" i="21" s="1"/>
  <c r="Q131" i="21" s="1"/>
  <c r="G172" i="17"/>
  <c r="H190" i="21" s="1"/>
  <c r="O190" i="21" s="1"/>
  <c r="G681" i="17"/>
  <c r="G244" i="17"/>
  <c r="G726" i="17"/>
  <c r="G665" i="17"/>
  <c r="G573" i="17"/>
  <c r="H25" i="21" s="1"/>
  <c r="O25" i="21" s="1"/>
  <c r="Q25" i="21" s="1"/>
  <c r="G731" i="17"/>
  <c r="G223" i="17"/>
  <c r="H228" i="21" s="1"/>
  <c r="O228" i="21" s="1"/>
  <c r="Q228" i="21" s="1"/>
  <c r="G97" i="17"/>
  <c r="G656" i="17"/>
  <c r="H52" i="21" s="1"/>
  <c r="O52" i="21" s="1"/>
  <c r="Q52" i="21" s="1"/>
  <c r="G740" i="17"/>
  <c r="G725" i="17"/>
  <c r="G733" i="17"/>
  <c r="G721" i="17"/>
  <c r="G40" i="17"/>
  <c r="G654" i="17"/>
  <c r="H18" i="21" s="1"/>
  <c r="O18" i="21" s="1"/>
  <c r="G170" i="17"/>
  <c r="H101" i="21" s="1"/>
  <c r="O101" i="21" s="1"/>
  <c r="Q101" i="21" s="1"/>
  <c r="G531" i="17"/>
  <c r="G661" i="17"/>
  <c r="H57" i="21" s="1"/>
  <c r="O57" i="21" s="1"/>
  <c r="Q57" i="21" s="1"/>
  <c r="G570" i="17"/>
  <c r="H23" i="21" s="1"/>
  <c r="O23" i="21" s="1"/>
  <c r="Q23" i="21" s="1"/>
  <c r="G614" i="17"/>
  <c r="G34" i="17"/>
  <c r="G31" i="17"/>
  <c r="G542" i="17"/>
  <c r="G20" i="17"/>
  <c r="G472" i="17"/>
  <c r="G644" i="17"/>
  <c r="H85" i="21" s="1"/>
  <c r="O85" i="21" s="1"/>
  <c r="Q85" i="21" s="1"/>
  <c r="G146" i="17"/>
  <c r="G155" i="17"/>
  <c r="G208" i="17"/>
  <c r="G101" i="17"/>
  <c r="G714" i="17"/>
  <c r="H175" i="21" s="1"/>
  <c r="O175" i="21" s="1"/>
  <c r="G422" i="17"/>
  <c r="G449" i="17"/>
  <c r="G660" i="17"/>
  <c r="H56" i="21" s="1"/>
  <c r="O56" i="21" s="1"/>
  <c r="Q56" i="21" s="1"/>
  <c r="G33" i="17"/>
  <c r="G433" i="17"/>
  <c r="G28" i="17"/>
  <c r="G704" i="17"/>
  <c r="G735" i="17"/>
  <c r="G675" i="17"/>
  <c r="G26" i="17"/>
  <c r="G619" i="17"/>
  <c r="H66" i="21" s="1"/>
  <c r="O66" i="21" s="1"/>
  <c r="Q66" i="21" s="1"/>
  <c r="G739" i="17"/>
  <c r="G250" i="17"/>
  <c r="G225" i="17"/>
  <c r="G638" i="17"/>
  <c r="H95" i="21" s="1"/>
  <c r="O95" i="21" s="1"/>
  <c r="G416" i="17"/>
  <c r="G592" i="17"/>
  <c r="H146" i="21" s="1"/>
  <c r="O146" i="21" s="1"/>
  <c r="Q146" i="21" s="1"/>
  <c r="G645" i="17"/>
  <c r="H199" i="21" s="1"/>
  <c r="O199" i="21" s="1"/>
  <c r="G622" i="17"/>
  <c r="H69" i="21" s="1"/>
  <c r="O69" i="21" s="1"/>
  <c r="Q69" i="21" s="1"/>
  <c r="G710" i="17"/>
  <c r="G489" i="17"/>
  <c r="G679" i="17"/>
  <c r="G224" i="17"/>
  <c r="G8" i="17"/>
  <c r="G452" i="17"/>
  <c r="G100" i="17"/>
  <c r="G481" i="17"/>
  <c r="G698" i="17"/>
  <c r="G162" i="17"/>
  <c r="G708" i="17"/>
  <c r="G233" i="17"/>
  <c r="G599" i="17"/>
  <c r="G128" i="17"/>
  <c r="G578" i="17"/>
  <c r="H108" i="21" s="1"/>
  <c r="O108" i="21" s="1"/>
  <c r="Q108" i="21" s="1"/>
  <c r="G712" i="17"/>
  <c r="H99" i="21" s="1"/>
  <c r="O99" i="21" s="1"/>
  <c r="G32" i="17"/>
  <c r="G537" i="17"/>
  <c r="G19" i="17"/>
  <c r="G221" i="17"/>
  <c r="H226" i="21" s="1"/>
  <c r="O226" i="21" s="1"/>
  <c r="G16" i="17"/>
  <c r="G173" i="17"/>
  <c r="H191" i="21" s="1"/>
  <c r="O191" i="21" s="1"/>
  <c r="Q191" i="21" s="1"/>
  <c r="G189" i="17"/>
  <c r="G239" i="17"/>
  <c r="G23" i="17"/>
  <c r="G610" i="17"/>
  <c r="H49" i="21" s="1"/>
  <c r="O49" i="21" s="1"/>
  <c r="Q49" i="21" s="1"/>
  <c r="G39" i="17"/>
  <c r="H166" i="21"/>
  <c r="O166" i="21" s="1"/>
  <c r="G426" i="17"/>
  <c r="G596" i="17"/>
  <c r="G635" i="17"/>
  <c r="H122" i="21" s="1"/>
  <c r="O122" i="21" s="1"/>
  <c r="G245" i="17"/>
  <c r="G499" i="17"/>
  <c r="G732" i="17"/>
  <c r="G480" i="17"/>
  <c r="G194" i="17"/>
  <c r="G200" i="17"/>
  <c r="G509" i="17"/>
  <c r="G230" i="17"/>
  <c r="G517" i="17"/>
  <c r="G643" i="17"/>
  <c r="H87" i="21" s="1"/>
  <c r="O87" i="21" s="1"/>
  <c r="G139" i="17"/>
  <c r="G197" i="17"/>
  <c r="G703" i="17"/>
  <c r="G183" i="17"/>
  <c r="H160" i="21" s="1"/>
  <c r="O160" i="21" s="1"/>
  <c r="G545" i="17"/>
  <c r="G428" i="17"/>
  <c r="G37" i="17"/>
  <c r="G420" i="17"/>
  <c r="G36" i="17"/>
  <c r="G723" i="17"/>
  <c r="G207" i="17"/>
  <c r="G700" i="17"/>
  <c r="G191" i="17"/>
  <c r="G662" i="17"/>
  <c r="H58" i="21" s="1"/>
  <c r="O58" i="21" s="1"/>
  <c r="Q58" i="21" s="1"/>
  <c r="G18" i="17"/>
  <c r="G168" i="17"/>
  <c r="G220" i="17"/>
  <c r="G442" i="17"/>
  <c r="G577" i="17"/>
  <c r="H107" i="21" s="1"/>
  <c r="O107" i="21" s="1"/>
  <c r="G126" i="17"/>
  <c r="G716" i="17"/>
  <c r="H168" i="21" s="1"/>
  <c r="O168" i="21" s="1"/>
  <c r="G102" i="17"/>
  <c r="H221" i="21" s="1"/>
  <c r="O221" i="21" s="1"/>
  <c r="G174" i="17"/>
  <c r="H192" i="21" s="1"/>
  <c r="O192" i="21" s="1"/>
  <c r="Q192" i="21" s="1"/>
  <c r="G737" i="17"/>
  <c r="G536" i="17"/>
  <c r="G235" i="17"/>
  <c r="G201" i="17"/>
  <c r="G587" i="17"/>
  <c r="H117" i="21" s="1"/>
  <c r="O117" i="21" s="1"/>
  <c r="Q117" i="21" s="1"/>
  <c r="G10" i="17"/>
  <c r="G524" i="17"/>
  <c r="G502" i="17"/>
  <c r="G150" i="17"/>
  <c r="G164" i="17"/>
  <c r="G199" i="17"/>
  <c r="G142" i="17"/>
  <c r="G729" i="17"/>
  <c r="H171" i="21" s="1"/>
  <c r="O171" i="21" s="1"/>
  <c r="Q171" i="21" s="1"/>
  <c r="G562" i="17"/>
  <c r="G498" i="17"/>
  <c r="G227" i="17"/>
  <c r="G490" i="17"/>
  <c r="G228" i="17"/>
  <c r="G425" i="17"/>
  <c r="G11" i="17"/>
  <c r="G696" i="17"/>
  <c r="G211" i="17"/>
  <c r="H81" i="21"/>
  <c r="O81" i="21" s="1"/>
  <c r="G192" i="17"/>
  <c r="G133" i="17"/>
  <c r="G532" i="17"/>
  <c r="G429" i="17"/>
  <c r="G530" i="17"/>
  <c r="G663" i="17"/>
  <c r="H59" i="21" s="1"/>
  <c r="O59" i="21" s="1"/>
  <c r="Q59" i="21" s="1"/>
  <c r="G431" i="17"/>
  <c r="G167" i="17"/>
  <c r="G706" i="17"/>
  <c r="G17" i="17"/>
  <c r="G482" i="17"/>
  <c r="G218" i="17"/>
  <c r="G217" i="17"/>
  <c r="G501" i="17"/>
  <c r="G204" i="17"/>
  <c r="G624" i="17"/>
  <c r="H70" i="21" s="1"/>
  <c r="O70" i="21" s="1"/>
  <c r="Q70" i="21" s="1"/>
  <c r="G533" i="17"/>
  <c r="G149" i="17"/>
  <c r="G156" i="17"/>
  <c r="G42" i="17"/>
  <c r="G699" i="17"/>
  <c r="G736" i="17"/>
  <c r="G603" i="17"/>
  <c r="H47" i="21" s="1"/>
  <c r="O47" i="21" s="1"/>
  <c r="G485" i="17"/>
  <c r="G41" i="17"/>
  <c r="G505" i="17"/>
  <c r="G206" i="17"/>
  <c r="G106" i="17"/>
  <c r="H153" i="21" s="1"/>
  <c r="O153" i="21" s="1"/>
  <c r="G46" i="17"/>
  <c r="G528" i="17"/>
  <c r="G212" i="17"/>
  <c r="G464" i="17"/>
  <c r="G15" i="17"/>
  <c r="G104" i="17"/>
  <c r="H223" i="21" s="1"/>
  <c r="O223" i="21" s="1"/>
  <c r="Q223" i="21" s="1"/>
  <c r="G504" i="17"/>
  <c r="G145" i="17"/>
  <c r="G241" i="17"/>
  <c r="G236" i="17"/>
  <c r="G609" i="17"/>
  <c r="H127" i="21" s="1"/>
  <c r="O127" i="21" s="1"/>
  <c r="Q127" i="21" s="1"/>
  <c r="G738" i="17"/>
  <c r="G491" i="17"/>
  <c r="G202" i="17"/>
  <c r="G722" i="17"/>
  <c r="G48" i="17"/>
  <c r="G47" i="17"/>
  <c r="G579" i="17"/>
  <c r="H109" i="21" s="1"/>
  <c r="O109" i="21" s="1"/>
  <c r="Q109" i="21" s="1"/>
  <c r="G188" i="17"/>
  <c r="G222" i="17"/>
  <c r="H227" i="21" s="1"/>
  <c r="O227" i="21" s="1"/>
  <c r="Q227" i="21" s="1"/>
  <c r="G600" i="17"/>
  <c r="G154" i="17"/>
  <c r="G184" i="17"/>
  <c r="G493" i="17"/>
  <c r="G27" i="17"/>
  <c r="G437" i="17"/>
  <c r="G103" i="17"/>
  <c r="H222" i="21" s="1"/>
  <c r="O222" i="21" s="1"/>
  <c r="Q222" i="21" s="1"/>
  <c r="G196" i="17"/>
  <c r="G419" i="17"/>
  <c r="G44" i="17"/>
  <c r="G651" i="17"/>
  <c r="H78" i="21" s="1"/>
  <c r="O78" i="21" s="1"/>
  <c r="G550" i="17"/>
  <c r="G612" i="17"/>
  <c r="G707" i="17"/>
  <c r="G563" i="17"/>
  <c r="G711" i="17"/>
  <c r="H103" i="21" s="1"/>
  <c r="O103" i="21" s="1"/>
  <c r="G494" i="17"/>
  <c r="G718" i="17"/>
  <c r="G634" i="17"/>
  <c r="H76" i="21" s="1"/>
  <c r="O76" i="21" s="1"/>
  <c r="Q76" i="21" s="1"/>
  <c r="G585" i="17"/>
  <c r="H115" i="21" s="1"/>
  <c r="O115" i="21" s="1"/>
  <c r="Q115" i="21" s="1"/>
  <c r="G646" i="17"/>
  <c r="H200" i="21" s="1"/>
  <c r="O200" i="21" s="1"/>
  <c r="Q200" i="21" s="1"/>
  <c r="G423" i="17"/>
  <c r="G24" i="17"/>
  <c r="G544" i="17"/>
  <c r="G9" i="17"/>
  <c r="G547" i="17"/>
  <c r="G158" i="17"/>
  <c r="G512" i="17"/>
  <c r="G115" i="17"/>
  <c r="H82" i="21" s="1"/>
  <c r="O82" i="21" s="1"/>
  <c r="Q82" i="21" s="1"/>
  <c r="G45" i="17"/>
  <c r="G444" i="17"/>
  <c r="G551" i="17"/>
  <c r="G152" i="17"/>
  <c r="G129" i="17"/>
  <c r="G571" i="17"/>
  <c r="H24" i="21" s="1"/>
  <c r="O24" i="21" s="1"/>
  <c r="Q24" i="21" s="1"/>
  <c r="G99" i="17"/>
  <c r="G538" i="17"/>
  <c r="G484" i="17"/>
  <c r="G43" i="17"/>
  <c r="G641" i="17"/>
  <c r="H134" i="21" s="1"/>
  <c r="O134" i="21" s="1"/>
  <c r="Q134" i="21" s="1"/>
  <c r="G187" i="17"/>
  <c r="G637" i="17"/>
  <c r="H91" i="21" s="1"/>
  <c r="O91" i="21" s="1"/>
  <c r="Q91" i="21" s="1"/>
  <c r="H79" i="21"/>
  <c r="O79" i="21" s="1"/>
  <c r="Q79" i="21" s="1"/>
  <c r="G109" i="17"/>
  <c r="H156" i="21" s="1"/>
  <c r="O156" i="21" s="1"/>
  <c r="Q156" i="21" s="1"/>
  <c r="G439" i="17"/>
  <c r="G540" i="17"/>
  <c r="G127" i="17"/>
  <c r="G476" i="17"/>
  <c r="G486" i="17"/>
  <c r="G456" i="17"/>
  <c r="G496" i="17"/>
  <c r="G461" i="17"/>
  <c r="G588" i="17"/>
  <c r="H118" i="21" s="1"/>
  <c r="O118" i="21" s="1"/>
  <c r="Q118" i="21" s="1"/>
  <c r="G226" i="17"/>
  <c r="G598" i="17"/>
  <c r="G14" i="17"/>
  <c r="G657" i="17"/>
  <c r="H53" i="21" s="1"/>
  <c r="O53" i="21" s="1"/>
  <c r="Q53" i="21" s="1"/>
  <c r="G695" i="17"/>
  <c r="G478" i="17"/>
  <c r="G702" i="17"/>
  <c r="G514" i="17"/>
  <c r="G523" i="17"/>
  <c r="G147" i="17"/>
  <c r="G161" i="17"/>
  <c r="G441" i="17"/>
  <c r="G620" i="17"/>
  <c r="H67" i="21" s="1"/>
  <c r="O67" i="21" s="1"/>
  <c r="Q67" i="21" s="1"/>
  <c r="G229" i="17"/>
  <c r="G623" i="17"/>
  <c r="H90" i="21" s="1"/>
  <c r="O90" i="21" s="1"/>
  <c r="Q90" i="21" s="1"/>
  <c r="G690" i="17"/>
  <c r="G219" i="17"/>
  <c r="G697" i="17"/>
  <c r="G689" i="17"/>
  <c r="G465" i="17"/>
  <c r="G677" i="17"/>
  <c r="G601" i="17"/>
  <c r="G632" i="17"/>
  <c r="H151" i="21" s="1"/>
  <c r="O151" i="21" s="1"/>
  <c r="Q151" i="21" s="1"/>
  <c r="G713" i="17"/>
  <c r="H100" i="21" s="1"/>
  <c r="O100" i="21" s="1"/>
  <c r="Q100" i="21" s="1"/>
  <c r="G137" i="17"/>
  <c r="G686" i="17"/>
  <c r="G607" i="17"/>
  <c r="G659" i="17"/>
  <c r="H55" i="21" s="1"/>
  <c r="O55" i="21" s="1"/>
  <c r="Q55" i="21" s="1"/>
  <c r="G488" i="17"/>
  <c r="G554" i="17"/>
  <c r="G606" i="17"/>
  <c r="H48" i="21" s="1"/>
  <c r="O48" i="21" s="1"/>
  <c r="Q48" i="21" s="1"/>
  <c r="G203" i="17"/>
  <c r="G477" i="17"/>
  <c r="G213" i="17"/>
  <c r="G495" i="17"/>
  <c r="G434" i="17"/>
  <c r="G418" i="17"/>
  <c r="G483" i="17"/>
  <c r="G636" i="17"/>
  <c r="H97" i="21" s="1"/>
  <c r="O97" i="21" s="1"/>
  <c r="G728" i="17"/>
  <c r="H172" i="21" s="1"/>
  <c r="O172" i="21" s="1"/>
  <c r="Q172" i="21" s="1"/>
  <c r="G157" i="17"/>
  <c r="G143" i="17"/>
  <c r="G246" i="17"/>
  <c r="G549" i="17"/>
  <c r="G190" i="17"/>
  <c r="G487" i="17"/>
  <c r="G724" i="17"/>
  <c r="G421" i="17"/>
  <c r="G688" i="17"/>
  <c r="G687" i="17"/>
  <c r="G479" i="17"/>
  <c r="G460" i="17"/>
  <c r="G134" i="17"/>
  <c r="G705" i="17"/>
  <c r="G539" i="17"/>
  <c r="G466" i="17"/>
  <c r="G475" i="17"/>
  <c r="G569" i="17"/>
  <c r="G650" i="17"/>
  <c r="H204" i="21" s="1"/>
  <c r="O204" i="21" s="1"/>
  <c r="Q204" i="21" s="1"/>
  <c r="G453" i="17"/>
  <c r="G38" i="17"/>
  <c r="G445" i="17"/>
  <c r="G216" i="17"/>
  <c r="G546" i="17"/>
  <c r="G417" i="17"/>
  <c r="G136" i="17"/>
  <c r="G430" i="17"/>
  <c r="G630" i="17"/>
  <c r="H149" i="21" s="1"/>
  <c r="O149" i="21" s="1"/>
  <c r="Q149" i="21" s="1"/>
  <c r="G450" i="17"/>
  <c r="G684" i="17"/>
  <c r="G446" i="17"/>
  <c r="G734" i="17"/>
  <c r="G144" i="17"/>
  <c r="G163" i="17"/>
  <c r="U57" i="15" l="1"/>
  <c r="V57" i="15" s="1"/>
  <c r="O19" i="21"/>
  <c r="Q19" i="21" s="1"/>
  <c r="Q20" i="21"/>
  <c r="O92" i="21"/>
  <c r="Q92" i="21" s="1"/>
  <c r="Q93" i="21"/>
  <c r="O193" i="21"/>
  <c r="Q193" i="21" s="1"/>
  <c r="Q194" i="21"/>
  <c r="O225" i="21"/>
  <c r="Q225" i="21" s="1"/>
  <c r="Q226" i="21"/>
  <c r="O141" i="21"/>
  <c r="Q141" i="21" s="1"/>
  <c r="Q142" i="21"/>
  <c r="O96" i="21"/>
  <c r="Q96" i="21" s="1"/>
  <c r="Q97" i="21"/>
  <c r="O152" i="21"/>
  <c r="Q153" i="21"/>
  <c r="O77" i="21"/>
  <c r="Q77" i="21" s="1"/>
  <c r="Q78" i="21"/>
  <c r="O139" i="21"/>
  <c r="Q139" i="21" s="1"/>
  <c r="Q140" i="21"/>
  <c r="O88" i="21"/>
  <c r="Q88" i="21" s="1"/>
  <c r="Q89" i="21"/>
  <c r="O136" i="21"/>
  <c r="Q136" i="21" s="1"/>
  <c r="Q137" i="21"/>
  <c r="O132" i="21"/>
  <c r="Q133" i="21"/>
  <c r="O61" i="21"/>
  <c r="Q61" i="21" s="1"/>
  <c r="Q62" i="21"/>
  <c r="O102" i="21"/>
  <c r="Q102" i="21" s="1"/>
  <c r="Q103" i="21"/>
  <c r="O98" i="21"/>
  <c r="Q98" i="21" s="1"/>
  <c r="Q99" i="21"/>
  <c r="O220" i="21"/>
  <c r="Q220" i="21" s="1"/>
  <c r="Q221" i="21"/>
  <c r="O121" i="21"/>
  <c r="Q121" i="21" s="1"/>
  <c r="Q122" i="21"/>
  <c r="O198" i="21"/>
  <c r="Q198" i="21" s="1"/>
  <c r="Q199" i="21"/>
  <c r="O128" i="21"/>
  <c r="Q128" i="21" s="1"/>
  <c r="Q129" i="21"/>
  <c r="O123" i="21"/>
  <c r="Q123" i="21" s="1"/>
  <c r="Q124" i="21"/>
  <c r="O50" i="21"/>
  <c r="Q50" i="21" s="1"/>
  <c r="Q51" i="21"/>
  <c r="O167" i="21"/>
  <c r="Q167" i="21" s="1"/>
  <c r="Q168" i="21"/>
  <c r="O189" i="21"/>
  <c r="Q189" i="21" s="1"/>
  <c r="Q190" i="21"/>
  <c r="U159" i="15"/>
  <c r="U54" i="15"/>
  <c r="V54" i="15" s="1"/>
  <c r="U101" i="15"/>
  <c r="V101" i="15" s="1"/>
  <c r="U67" i="15"/>
  <c r="V67" i="15" s="1"/>
  <c r="U114" i="15"/>
  <c r="V114" i="15" s="1"/>
  <c r="U50" i="15"/>
  <c r="V50" i="15" s="1"/>
  <c r="U55" i="15"/>
  <c r="V55" i="15" s="1"/>
  <c r="U98" i="15"/>
  <c r="V98" i="15" s="1"/>
  <c r="U109" i="15"/>
  <c r="V109" i="15" s="1"/>
  <c r="U163" i="15"/>
  <c r="V163" i="15" s="1"/>
  <c r="U102" i="15"/>
  <c r="V102" i="15" s="1"/>
  <c r="U70" i="15"/>
  <c r="V70" i="15" s="1"/>
  <c r="U47" i="15"/>
  <c r="U69" i="15"/>
  <c r="V69" i="15" s="1"/>
  <c r="U110" i="15"/>
  <c r="V110" i="15" s="1"/>
  <c r="U61" i="15"/>
  <c r="V61" i="15" s="1"/>
  <c r="U91" i="15"/>
  <c r="U160" i="15"/>
  <c r="U151" i="15"/>
  <c r="V151" i="15" s="1"/>
  <c r="U111" i="15"/>
  <c r="V111" i="15" s="1"/>
  <c r="U48" i="15"/>
  <c r="U148" i="15"/>
  <c r="U96" i="15"/>
  <c r="V96" i="15" s="1"/>
  <c r="U62" i="15"/>
  <c r="V62" i="15" s="1"/>
  <c r="U59" i="15"/>
  <c r="V59" i="15" s="1"/>
  <c r="U155" i="15"/>
  <c r="V155" i="15" s="1"/>
  <c r="U66" i="15"/>
  <c r="V66" i="15" s="1"/>
  <c r="U53" i="15"/>
  <c r="V53" i="15" s="1"/>
  <c r="U104" i="15"/>
  <c r="V104" i="15" s="1"/>
  <c r="U92" i="15"/>
  <c r="U179" i="15"/>
  <c r="V179" i="15" s="1"/>
  <c r="U175" i="15"/>
  <c r="V175" i="15" s="1"/>
  <c r="U108" i="15"/>
  <c r="V108" i="15" s="1"/>
  <c r="U105" i="15"/>
  <c r="V105" i="15" s="1"/>
  <c r="U71" i="15"/>
  <c r="V71" i="15" s="1"/>
  <c r="U112" i="15"/>
  <c r="V112" i="15" s="1"/>
  <c r="U147" i="15"/>
  <c r="U152" i="15"/>
  <c r="V152" i="15" s="1"/>
  <c r="U60" i="15"/>
  <c r="V60" i="15" s="1"/>
  <c r="U58" i="15"/>
  <c r="V58" i="15" s="1"/>
  <c r="U113" i="15"/>
  <c r="V113" i="15" s="1"/>
  <c r="U168" i="15"/>
  <c r="V168" i="15" s="1"/>
  <c r="U52" i="15"/>
  <c r="V52" i="15" s="1"/>
  <c r="U117" i="15"/>
  <c r="V117" i="15" s="1"/>
  <c r="U68" i="15"/>
  <c r="V68" i="15" s="1"/>
  <c r="U64" i="15"/>
  <c r="V64" i="15" s="1"/>
  <c r="U46" i="15"/>
  <c r="U156" i="15"/>
  <c r="V156" i="15" s="1"/>
  <c r="U172" i="15"/>
  <c r="V172" i="15" s="1"/>
  <c r="U116" i="15"/>
  <c r="V116" i="15" s="1"/>
  <c r="U94" i="15"/>
  <c r="V94" i="15" s="1"/>
  <c r="U51" i="15"/>
  <c r="V51" i="15" s="1"/>
  <c r="U176" i="15"/>
  <c r="V176" i="15" s="1"/>
  <c r="U65" i="15"/>
  <c r="V65" i="15" s="1"/>
  <c r="U63" i="15"/>
  <c r="V63" i="15" s="1"/>
  <c r="U103" i="15"/>
  <c r="V103" i="15" s="1"/>
  <c r="U56" i="15"/>
  <c r="V56" i="15" s="1"/>
  <c r="U93" i="15"/>
  <c r="U167" i="15"/>
  <c r="V167" i="15" s="1"/>
  <c r="U180" i="15"/>
  <c r="V180" i="15" s="1"/>
  <c r="U115" i="15"/>
  <c r="V115" i="15" s="1"/>
  <c r="U106" i="15"/>
  <c r="V106" i="15" s="1"/>
  <c r="U97" i="15"/>
  <c r="V97" i="15" s="1"/>
  <c r="U99" i="15"/>
  <c r="V99" i="15" s="1"/>
  <c r="U100" i="15"/>
  <c r="V100" i="15" s="1"/>
  <c r="U164" i="15"/>
  <c r="V164" i="15" s="1"/>
  <c r="U171" i="15"/>
  <c r="V171" i="15" s="1"/>
  <c r="U95" i="15"/>
  <c r="V95" i="15" s="1"/>
  <c r="U72" i="15"/>
  <c r="V72" i="15" s="1"/>
  <c r="U107" i="15"/>
  <c r="V107" i="15" s="1"/>
  <c r="U49" i="15"/>
  <c r="V49" i="15" s="1"/>
  <c r="O159" i="21"/>
  <c r="Q159" i="21" s="1"/>
  <c r="Q160" i="21"/>
  <c r="O174" i="21"/>
  <c r="Q174" i="21" s="1"/>
  <c r="Q175" i="21"/>
  <c r="O17" i="21"/>
  <c r="Q17" i="21" s="1"/>
  <c r="Q18" i="21"/>
  <c r="O165" i="21"/>
  <c r="Q165" i="21" s="1"/>
  <c r="Q166" i="21"/>
  <c r="O94" i="21"/>
  <c r="Q94" i="21" s="1"/>
  <c r="Q95" i="21"/>
  <c r="O104" i="21"/>
  <c r="Q104" i="21" s="1"/>
  <c r="Q105" i="21"/>
  <c r="O106" i="21"/>
  <c r="Q106" i="21" s="1"/>
  <c r="Q107" i="21"/>
  <c r="U177" i="15"/>
  <c r="V177" i="15" s="1"/>
  <c r="U170" i="15"/>
  <c r="V170" i="15" s="1"/>
  <c r="U150" i="15"/>
  <c r="U166" i="15"/>
  <c r="V166" i="15" s="1"/>
  <c r="U182" i="15"/>
  <c r="V182" i="15" s="1"/>
  <c r="U178" i="15"/>
  <c r="V178" i="15" s="1"/>
  <c r="U154" i="15"/>
  <c r="V154" i="15" s="1"/>
  <c r="U174" i="15"/>
  <c r="V174" i="15" s="1"/>
  <c r="U173" i="15"/>
  <c r="V173" i="15" s="1"/>
  <c r="U169" i="15"/>
  <c r="V169" i="15" s="1"/>
  <c r="U162" i="15"/>
  <c r="V162" i="15" s="1"/>
  <c r="U153" i="15"/>
  <c r="V153" i="15" s="1"/>
  <c r="U161" i="15"/>
  <c r="V161" i="15" s="1"/>
  <c r="U165" i="15"/>
  <c r="V165" i="15" s="1"/>
  <c r="U158" i="15"/>
  <c r="V158" i="15" s="1"/>
  <c r="U149" i="15"/>
  <c r="U181" i="15"/>
  <c r="V181" i="15" s="1"/>
  <c r="U157" i="15"/>
  <c r="V157" i="15" s="1"/>
  <c r="O161" i="21"/>
  <c r="Q161" i="21" s="1"/>
  <c r="Q162" i="21"/>
  <c r="O86" i="21"/>
  <c r="Q86" i="21" s="1"/>
  <c r="Q87" i="21"/>
  <c r="O46" i="21"/>
  <c r="Q46" i="21" s="1"/>
  <c r="Q47" i="21"/>
  <c r="O80" i="21"/>
  <c r="Q80" i="21" s="1"/>
  <c r="Q81" i="21"/>
  <c r="O83" i="21"/>
  <c r="Q83" i="21" s="1"/>
  <c r="Q84" i="21"/>
  <c r="T13" i="15" l="1"/>
  <c r="N21" i="15"/>
  <c r="T12" i="15"/>
  <c r="N20" i="15"/>
  <c r="M18" i="15"/>
  <c r="N18" i="15" s="1"/>
  <c r="T16" i="15"/>
  <c r="N17" i="15"/>
  <c r="M15" i="15"/>
  <c r="N15" i="15" s="1"/>
  <c r="T14" i="15"/>
  <c r="T160" i="15"/>
  <c r="T184" i="15" s="1"/>
  <c r="T15" i="15"/>
  <c r="T159" i="15"/>
  <c r="T183" i="15" s="1"/>
  <c r="N19" i="15"/>
  <c r="N16" i="15"/>
  <c r="V91" i="15"/>
  <c r="U118" i="15"/>
  <c r="V46" i="15"/>
  <c r="U73" i="15"/>
  <c r="O148" i="21"/>
  <c r="Q152" i="21"/>
  <c r="V149" i="15"/>
  <c r="U185" i="15"/>
  <c r="U119" i="15"/>
  <c r="V119" i="15" s="1"/>
  <c r="V92" i="15"/>
  <c r="V47" i="15"/>
  <c r="U74" i="15"/>
  <c r="V74" i="15" s="1"/>
  <c r="U120" i="15"/>
  <c r="V120" i="15" s="1"/>
  <c r="V93" i="15"/>
  <c r="O130" i="21"/>
  <c r="Q130" i="21" s="1"/>
  <c r="Q132" i="21"/>
  <c r="V150" i="15"/>
  <c r="U186" i="15"/>
  <c r="V186" i="15" s="1"/>
  <c r="V148" i="15"/>
  <c r="U184" i="15"/>
  <c r="U183" i="15"/>
  <c r="V147" i="15"/>
  <c r="V48" i="15"/>
  <c r="U75" i="15"/>
  <c r="V75" i="15" s="1"/>
  <c r="V183" i="15" l="1"/>
  <c r="M22" i="15"/>
  <c r="N13" i="15"/>
  <c r="N22" i="15" s="1"/>
  <c r="R37" i="15"/>
  <c r="T17" i="15"/>
  <c r="V159" i="15"/>
  <c r="V160" i="15"/>
  <c r="E156" i="15"/>
  <c r="V185" i="15"/>
  <c r="O144" i="21"/>
  <c r="Q144" i="21" s="1"/>
  <c r="Q148" i="21"/>
  <c r="V184" i="15"/>
  <c r="E176" i="15"/>
  <c r="V73" i="15"/>
  <c r="D55" i="15"/>
  <c r="V118" i="15"/>
  <c r="D103" i="15"/>
</calcChain>
</file>

<file path=xl/comments1.xml><?xml version="1.0" encoding="utf-8"?>
<comments xmlns="http://schemas.openxmlformats.org/spreadsheetml/2006/main">
  <authors>
    <author>tc={803F0E32-87E9-4F81-ABD6-87DDD70E836A}</author>
  </authors>
  <commentList>
    <comment ref="I26" authorId="0" shapeId="0">
      <text>
        <r>
          <rPr>
            <sz val="11"/>
            <color theme="1"/>
            <rFont val="Arial"/>
            <family val="2"/>
            <scheme val="minor"/>
          </rPr>
          <t>[Threaded comment]
Your version of Excel allows you to read this threaded comment; however, any edits to it will get removed if the file is opened in a newer version of Excel. Learn more: https://go.microsoft.com/fwlink/?linkid=870924
Comment:
    Uma manha todas as semanas</t>
        </r>
      </text>
    </comment>
  </commentList>
</comments>
</file>

<file path=xl/connections.xml><?xml version="1.0" encoding="utf-8"?>
<connections xmlns="http://schemas.openxmlformats.org/spreadsheetml/2006/main">
  <connection id="1" keepAlive="1" name="ThisWorkbookDataModel" description="Data Model" type="5" refreshedVersion="6"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name="WorksheetConnection_2. Status Detalhe Campos!$B$6:$G$605" type="102" refreshedVersion="6" minRefreshableVersion="5">
    <extLst>
      <ext xmlns:x15="http://schemas.microsoft.com/office/spreadsheetml/2010/11/main" uri="{DE250136-89BD-433C-8126-D09CA5730AF9}">
        <x15:connection id="Range 2" autoDelete="1">
          <x15:rangePr sourceName="_xlcn.WorksheetConnection_2.StatusDetalheCamposB6G6051"/>
        </x15:connection>
      </ext>
    </extLst>
  </connection>
  <connection id="3" name="WorksheetConnection_Sheet2!$B$2:$G$545" type="102" refreshedVersion="6" minRefreshableVersion="5">
    <extLst>
      <ext xmlns:x15="http://schemas.microsoft.com/office/spreadsheetml/2010/11/main" uri="{DE250136-89BD-433C-8126-D09CA5730AF9}">
        <x15:connection id="Range" autoDelete="1">
          <x15:rangePr sourceName="_xlcn.WorksheetConnection_Sheet2B2G5451"/>
        </x15:connection>
      </ext>
    </extLst>
  </connection>
  <connection id="4" name="WorksheetConnection_Testes GD Pilar 3 - Plano_versão trabalho_V1.2.xlsx!Table4" type="102" refreshedVersion="6" minRefreshableVersion="5">
    <extLst>
      <ext xmlns:x15="http://schemas.microsoft.com/office/spreadsheetml/2010/11/main" uri="{DE250136-89BD-433C-8126-D09CA5730AF9}">
        <x15:connection id="Table4" autoDelete="1">
          <x15:rangePr sourceName="_xlcn.WorksheetConnection_TestesGDPilar3Plano_versãotrabalho_V1.2.xlsxTable41"/>
        </x15:connection>
      </ext>
    </extLst>
  </connection>
  <connection id="5" name="WorksheetConnection_Tipologias de Testes GD &amp; ModeloVerde &amp; BensImov_V0.11.xlsx!Table1" type="102" refreshedVersion="6" minRefreshableVersion="5">
    <extLst>
      <ext xmlns:x15="http://schemas.microsoft.com/office/spreadsheetml/2010/11/main" uri="{DE250136-89BD-433C-8126-D09CA5730AF9}">
        <x15:connection id="Table1" autoDelete="1">
          <x15:rangePr sourceName="_xlcn.WorksheetConnection_TipologiasdeTestesGDModeloVerdeBensImov_V0.11.xlsxTable11"/>
        </x15:connection>
      </ext>
    </extLst>
  </connection>
</connections>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7">
    <s v="ThisWorkbookDataModel"/>
    <s v="{[Table4].[Âmbito].&amp;[Pilar III]}"/>
    <s v="{[Table4].[Sub-âmbito].&amp;[Bens Imóveis - Input],[Table4].[Sub-âmbito].&amp;[Bens Imóveis - Output]}"/>
    <s v="{[Table4].[Tipo de teste].&amp;[2. Campo]}"/>
    <s v="{[Table4].[Sub-âmbito].&amp;[Modelo Verde - Input],[Table4].[Sub-âmbito].&amp;[Modelo Verde - Output]}"/>
    <s v="{[Table4].[Sub-âmbito].&amp;[Pilar III]}"/>
    <s v="{[Table4].[Âmbito].[All]}"/>
  </metadataStrings>
  <mdxMetadata count="6">
    <mdx n="0" f="s">
      <ms ns="1" c="0"/>
    </mdx>
    <mdx n="0" f="s">
      <ms ns="2" c="0"/>
    </mdx>
    <mdx n="0" f="s">
      <ms ns="3" c="0"/>
    </mdx>
    <mdx n="0" f="s">
      <ms ns="4" c="0"/>
    </mdx>
    <mdx n="0" f="s">
      <ms ns="5" c="0"/>
    </mdx>
    <mdx n="0" f="s">
      <ms ns="6" c="0"/>
    </mdx>
  </mdxMetadata>
  <valueMetadata count="6">
    <bk>
      <rc t="1" v="0"/>
    </bk>
    <bk>
      <rc t="1" v="1"/>
    </bk>
    <bk>
      <rc t="1" v="2"/>
    </bk>
    <bk>
      <rc t="1" v="3"/>
    </bk>
    <bk>
      <rc t="1" v="4"/>
    </bk>
    <bk>
      <rc t="1" v="5"/>
    </bk>
  </valueMetadata>
</metadata>
</file>

<file path=xl/sharedStrings.xml><?xml version="1.0" encoding="utf-8"?>
<sst xmlns="http://schemas.openxmlformats.org/spreadsheetml/2006/main" count="35581" uniqueCount="2470">
  <si>
    <t>Re-testes - input</t>
  </si>
  <si>
    <t>Re-testes - output</t>
  </si>
  <si>
    <t>Julho</t>
  </si>
  <si>
    <t>Agosto</t>
  </si>
  <si>
    <t>Setembro</t>
  </si>
  <si>
    <t>Outubro</t>
  </si>
  <si>
    <t>Novembro</t>
  </si>
  <si>
    <t>Dezembro</t>
  </si>
  <si>
    <t>Âmbito</t>
  </si>
  <si>
    <t>Sub-âmbito</t>
  </si>
  <si>
    <t>Tipo de teste</t>
  </si>
  <si>
    <t>Tabela</t>
  </si>
  <si>
    <t>Campo</t>
  </si>
  <si>
    <t>Status</t>
  </si>
  <si>
    <t>Status2</t>
  </si>
  <si>
    <t>Horas previstas</t>
  </si>
  <si>
    <t>Dias</t>
  </si>
  <si>
    <t>Horas efetivas</t>
  </si>
  <si>
    <t>Dias efetivos</t>
  </si>
  <si>
    <t>Status Estimado</t>
  </si>
  <si>
    <t>Status Real</t>
  </si>
  <si>
    <t>Desvios</t>
  </si>
  <si>
    <t>Observações</t>
  </si>
  <si>
    <t>Val</t>
  </si>
  <si>
    <t>1. Assessment</t>
  </si>
  <si>
    <t>N/A</t>
  </si>
  <si>
    <t>Pilar III</t>
  </si>
  <si>
    <t>Bens Imóveis</t>
  </si>
  <si>
    <t>7. Por iniciar</t>
  </si>
  <si>
    <t>Modelo Verde</t>
  </si>
  <si>
    <t>LT Pilar III</t>
  </si>
  <si>
    <t>GD</t>
  </si>
  <si>
    <t>2. Re-especificação</t>
  </si>
  <si>
    <t>3. Testes / Re-testes</t>
  </si>
  <si>
    <t>Bens Imóveis - Input</t>
  </si>
  <si>
    <t>- Pendência de desenvolvimentos de IT: Tabela da Gloval</t>
  </si>
  <si>
    <t>1. Universo</t>
  </si>
  <si>
    <t>ENERGY_CERTIFICATE_EST_INPUT</t>
  </si>
  <si>
    <t>n.a.</t>
  </si>
  <si>
    <t>sem pendencia</t>
  </si>
  <si>
    <t>2. Campo</t>
  </si>
  <si>
    <t>PROPERTY_BANK_ID</t>
  </si>
  <si>
    <t>ENCRYPTED_KEY</t>
  </si>
  <si>
    <t>PROPERTY_BRANCH_CODE</t>
  </si>
  <si>
    <t>PROPERTY_CONTRACT_ID</t>
  </si>
  <si>
    <t>PROPERTY_REFERENCE_CODE</t>
  </si>
  <si>
    <t>DATA_EXTRACTION_DATE</t>
  </si>
  <si>
    <t>EPC</t>
  </si>
  <si>
    <t>DATA_PROVIDER</t>
  </si>
  <si>
    <t>ACTUAL_VALUE_IND</t>
  </si>
  <si>
    <t>QUALITY_SCORE</t>
  </si>
  <si>
    <t>ENERGY_CONSUMPTION_VALUE_YEAR</t>
  </si>
  <si>
    <t>CARBON_EMISSION_VALUE_YEAR</t>
  </si>
  <si>
    <t>Re-testes</t>
  </si>
  <si>
    <t>Bens Imóveis - Output</t>
  </si>
  <si>
    <t>PROCESS</t>
  </si>
  <si>
    <t>cd_imv_out_trz_cred_prc</t>
  </si>
  <si>
    <t>PROCESS_BANK_ID</t>
  </si>
  <si>
    <t>PROCESS_BRANCH_CODE</t>
  </si>
  <si>
    <t>PROCESS_ACCOUNT_ID</t>
  </si>
  <si>
    <t>cod_estd_prcs</t>
  </si>
  <si>
    <t>GUARANTEE_CODE</t>
  </si>
  <si>
    <t>CURRENCY_CODE</t>
  </si>
  <si>
    <t>PROCESS_CAMPAIGN_CODE</t>
  </si>
  <si>
    <t>PROCESS_PRODUCT_ID</t>
  </si>
  <si>
    <t>PROCESS_SUBPRODUCT_ID</t>
  </si>
  <si>
    <t>GUARANTEE_TYPE_CODE</t>
  </si>
  <si>
    <t>PROCESS_REFERENCE_CODE</t>
  </si>
  <si>
    <t>PROCESS_START_DATE</t>
  </si>
  <si>
    <t>PROCESS_DUE_DATE</t>
  </si>
  <si>
    <t>montante_eur</t>
  </si>
  <si>
    <t>montante_org</t>
  </si>
  <si>
    <t>origem</t>
  </si>
  <si>
    <t>DATA_DATE_PART</t>
  </si>
  <si>
    <t>RESPONSIBILITY_PROCESS_REL</t>
  </si>
  <si>
    <t>BANK_ID</t>
  </si>
  <si>
    <t>BRANCH_CODE</t>
  </si>
  <si>
    <t>CONTRACT_ID</t>
  </si>
  <si>
    <t>REFERENCE_CODE</t>
  </si>
  <si>
    <t>PURPOSE_CODE</t>
  </si>
  <si>
    <t>INDIVIDUAL_OCCUPATION_CODE</t>
  </si>
  <si>
    <t>PRODUCT_ID</t>
  </si>
  <si>
    <t>cod_sit</t>
  </si>
  <si>
    <t>SUBPRODUCT_ID</t>
  </si>
  <si>
    <t>EFFECTIVE_RELATION_END_DATE</t>
  </si>
  <si>
    <t>idetgar</t>
  </si>
  <si>
    <t>num_prop</t>
  </si>
  <si>
    <t>SOURCE_CODE</t>
  </si>
  <si>
    <t>PROCESS_PROPERTY_REL</t>
  </si>
  <si>
    <t>data_assc</t>
  </si>
  <si>
    <t>SEIZED_PROPERTY_IND</t>
  </si>
  <si>
    <t>COLLATERAL_PROPERTY_IND</t>
  </si>
  <si>
    <t>FINANCED_PROPERTY_IND</t>
  </si>
  <si>
    <t>OWNED_PROPERTY_IND</t>
  </si>
  <si>
    <t>PROPERTY</t>
  </si>
  <si>
    <t xml:space="preserve">cd_imv_out_trz_prc_bens_imv ; cd_imv_out_prc ; cd_imv_out_trz_cred_prc </t>
  </si>
  <si>
    <t>CONSTRUCTION_YEAR</t>
  </si>
  <si>
    <t>NET_FLOOR_AREA</t>
  </si>
  <si>
    <t>CADASTRAL_REGISTER_CODE</t>
  </si>
  <si>
    <t>APPRAISAL_CODE</t>
  </si>
  <si>
    <t>cod_bem</t>
  </si>
  <si>
    <t>DISTRICT_MUNICIP_PARISH_CODE</t>
  </si>
  <si>
    <t>PROPERTY_PURPOSE_CODE</t>
  </si>
  <si>
    <t>PROPERTY_LIFETIME_CODE</t>
  </si>
  <si>
    <t>ADDRESS_CODE</t>
  </si>
  <si>
    <t>COUNTRY_CODE</t>
  </si>
  <si>
    <t>POSTAL_CODE</t>
  </si>
  <si>
    <t>PROPERTY_TYPE_CODE</t>
  </si>
  <si>
    <t>LAST_APPRAISAL_DATE</t>
  </si>
  <si>
    <t>USAGE_PERMIT_START_DATE</t>
  </si>
  <si>
    <t>CONSERVATORY_REG_FILE_ID</t>
  </si>
  <si>
    <t>FLOOR_NUMBER</t>
  </si>
  <si>
    <t>LOCALITY</t>
  </si>
  <si>
    <t>PROPERTY_LOT</t>
  </si>
  <si>
    <t>LAST_APPRAISAL_AMOUNT</t>
  </si>
  <si>
    <t>NET_APPRAISAL_AMOUNT</t>
  </si>
  <si>
    <t>COLLATERAL_FAST_SALE_AMOUNT</t>
  </si>
  <si>
    <t>ADDRESS</t>
  </si>
  <si>
    <t>PROPERTY_NUMBER</t>
  </si>
  <si>
    <t>Origem</t>
  </si>
  <si>
    <t>CURRENT_CONSTRUCTION_PCT</t>
  </si>
  <si>
    <t>CONSTRUCTION_COMPLETED_PCT</t>
  </si>
  <si>
    <t>URBANIZATION</t>
  </si>
  <si>
    <t>PROPERTY_ENERGY_CERTIFICATE</t>
  </si>
  <si>
    <t>cd_imv_out_bens; cd_imv_inp_certif_estimativa</t>
  </si>
  <si>
    <t>LAND_REGISTRY_OFFICE_CODE</t>
  </si>
  <si>
    <t>PROPERTY_IDENTIFICATION_CODE</t>
  </si>
  <si>
    <t>ENERGY_CERTIFICATION_SYSTEM_CODE</t>
  </si>
  <si>
    <t>EPC_ISSUING_DATE</t>
  </si>
  <si>
    <t>EPC_EXPIRATION_DATE</t>
  </si>
  <si>
    <t>ENERGY_CONSUMPTION_TYPE_S_IND</t>
  </si>
  <si>
    <t>ENERGY_CONSUMPTION_TYPE_T_IND</t>
  </si>
  <si>
    <t>ENERGY_EFFICIENCY_IND</t>
  </si>
  <si>
    <t>REN_ENERGY_EFFICIENCY_IND</t>
  </si>
  <si>
    <t>NZEB_IND</t>
  </si>
  <si>
    <t>EP_SCORE</t>
  </si>
  <si>
    <t>CERTIFICATE_TYPE</t>
  </si>
  <si>
    <t>BUILDING_DOMEST_HOTWATER_VALUE</t>
  </si>
  <si>
    <t>RENEWABLE_DOMEST_HOTWATER_VALUE</t>
  </si>
  <si>
    <t>DOMEST_HOTWATER_REF_VALUE</t>
  </si>
  <si>
    <t>HEIGHT</t>
  </si>
  <si>
    <t>BUILDING_SPACE_HEATING_VALUE</t>
  </si>
  <si>
    <t>SPACE_HEATING_REF_VALUE</t>
  </si>
  <si>
    <t>RENEWABLE_SPACE_HEATING_VALUE</t>
  </si>
  <si>
    <t>BUILDING_SPACE_COOLING_VALUE</t>
  </si>
  <si>
    <t>RENEWABLE_SPACE_COOLING_VALUE</t>
  </si>
  <si>
    <t>SPACE_COOLING_REF_VALUE</t>
  </si>
  <si>
    <t>ENERGY_CLASS_AFTER_MEASUREMENT</t>
  </si>
  <si>
    <t>THERMAL_BEHAVIOUR_ROOF</t>
  </si>
  <si>
    <t>THERMAL_BEHAVIOUR_WINDOWS</t>
  </si>
  <si>
    <t>THERMAL_BEHAVIOUR_WALL</t>
  </si>
  <si>
    <t>THERMAL_BEHAVIOUR_FLOORS</t>
  </si>
  <si>
    <t>THERMAL_BEHAVIOUR_TECH_SYS_VENT</t>
  </si>
  <si>
    <t>TOTAL_INVSTMNT_ESTMTD_VALUE</t>
  </si>
  <si>
    <t>DURATION_SUMMER</t>
  </si>
  <si>
    <t>DURATION_WINTER</t>
  </si>
  <si>
    <t>CARBON_EMISSION_VALUE</t>
  </si>
  <si>
    <t>USEFUL_ENERGY_FANS_REQ_VALUE</t>
  </si>
  <si>
    <t>REN_ENERGY_PRODUCED_OTHER_VALUE</t>
  </si>
  <si>
    <t>REN_ENERGY_PRODUCED_REG_VALUE</t>
  </si>
  <si>
    <t>REN_ENERGY_PRODUCED_VALUE</t>
  </si>
  <si>
    <t>USEFUL_ENERGY_DOM_HOTWATER_VALUE</t>
  </si>
  <si>
    <t>USEFUL_ENERGY_COOLING_VALUE</t>
  </si>
  <si>
    <t>TEMPERATURE_DAY_VALUE</t>
  </si>
  <si>
    <t>PRIMARY_ENERGY_REQ_VALUE</t>
  </si>
  <si>
    <t>USEFUL_ENERGY_HEATING_REQ_VALUE</t>
  </si>
  <si>
    <t>PNL_WINTER_WALLS_DOORS_VALUE</t>
  </si>
  <si>
    <t>PNL_WINTER_FLOORS_VALUE</t>
  </si>
  <si>
    <t>PNL_WINTER_ROOF_VALUE</t>
  </si>
  <si>
    <t>PNL_WINTER_WINDOWS_VALUE</t>
  </si>
  <si>
    <t>PNL_WINTER_REF_VALUE</t>
  </si>
  <si>
    <t>PNL_WINTER_FANS_VALUE</t>
  </si>
  <si>
    <t>PNL_SUMMER_ROOF_VALUE</t>
  </si>
  <si>
    <t>PNL_SUMMER_WINDOWS_VALUE</t>
  </si>
  <si>
    <t>PNL_SUMMER_WALLS_DOORS_VALUE</t>
  </si>
  <si>
    <t>PNL_SUMMER_REF_VALUE</t>
  </si>
  <si>
    <t>INVOICE_RED_ANNUAL_ESTMTD_VALUE</t>
  </si>
  <si>
    <t>TEMPERATURE_OUTDOOR_AVG_VALUE</t>
  </si>
  <si>
    <t>CLIMATE_ZONE_WINTER</t>
  </si>
  <si>
    <t>CLIMATE_ZONE_SUMMER</t>
  </si>
  <si>
    <t>2. Em Teste</t>
  </si>
  <si>
    <t>Modelo Verde - Input</t>
  </si>
  <si>
    <t>modesg_param_sfcs_taxon_europeia</t>
  </si>
  <si>
    <t>cbalcao</t>
  </si>
  <si>
    <t>cempresa</t>
  </si>
  <si>
    <t>ckmetamis</t>
  </si>
  <si>
    <t>ckprodmi</t>
  </si>
  <si>
    <t>cmetanseg</t>
  </si>
  <si>
    <t>cnsm_co2</t>
  </si>
  <si>
    <t>cnumecta</t>
  </si>
  <si>
    <t>cod_lease</t>
  </si>
  <si>
    <t>cod_regra</t>
  </si>
  <si>
    <t>comite</t>
  </si>
  <si>
    <t>data_aprvc</t>
  </si>
  <si>
    <t>data_final</t>
  </si>
  <si>
    <t>data_inicial</t>
  </si>
  <si>
    <t>dominio</t>
  </si>
  <si>
    <t>dscrc</t>
  </si>
  <si>
    <t>epc</t>
  </si>
  <si>
    <t>flag_project_finance</t>
  </si>
  <si>
    <t>cfinalidad</t>
  </si>
  <si>
    <t>tipo_combust</t>
  </si>
  <si>
    <t>montante_pndrc</t>
  </si>
  <si>
    <t>nome_ctgr_sfcs</t>
  </si>
  <si>
    <t>nome_general_specific_purpose</t>
  </si>
  <si>
    <t>nome_purpose_esg</t>
  </si>
  <si>
    <t>nome_specific_eligible</t>
  </si>
  <si>
    <t>nome_specific_sustainable</t>
  </si>
  <si>
    <t>ref_date</t>
  </si>
  <si>
    <t>zcliente</t>
  </si>
  <si>
    <t>zdeposit</t>
  </si>
  <si>
    <t>ordem</t>
  </si>
  <si>
    <t>modesg_inp_emss_vcls</t>
  </si>
  <si>
    <t>modesg_inp_km_medios_emss_vcls</t>
  </si>
  <si>
    <t>modesg_inp_empr_excl_paris</t>
  </si>
  <si>
    <t>modesg_inp_nfrd_alinhamento_tax</t>
  </si>
  <si>
    <t>modesg_inp_risco_fisico</t>
  </si>
  <si>
    <t>modesg_inp_emss_scib</t>
  </si>
  <si>
    <t>modesg_inp_emss_nace</t>
  </si>
  <si>
    <t>modesg_inp_emss_bens_imoveis</t>
  </si>
  <si>
    <t>nome_regiao</t>
  </si>
  <si>
    <t>nome_pais</t>
  </si>
  <si>
    <t>nome_estado</t>
  </si>
  <si>
    <t>tipo_veiculo</t>
  </si>
  <si>
    <t>tipo_motor</t>
  </si>
  <si>
    <t>marca</t>
  </si>
  <si>
    <t>modelo</t>
  </si>
  <si>
    <t>subgrupo</t>
  </si>
  <si>
    <t>nome_unidade_funcional</t>
  </si>
  <si>
    <t>unidade_funcional</t>
  </si>
  <si>
    <t>nome_fator_emissao</t>
  </si>
  <si>
    <t>unidade_fator_de_emissao</t>
  </si>
  <si>
    <t>score_qualidade</t>
  </si>
  <si>
    <t>scp1_ftr_emss</t>
  </si>
  <si>
    <t>scp2_ftr_emss</t>
  </si>
  <si>
    <t>scp3_ftr_emss</t>
  </si>
  <si>
    <t>tipo_vcl</t>
  </si>
  <si>
    <t>media_km</t>
  </si>
  <si>
    <t>isin</t>
  </si>
  <si>
    <t>clei</t>
  </si>
  <si>
    <t>ccli_kgl</t>
  </si>
  <si>
    <t>nome_entidade</t>
  </si>
  <si>
    <t>flg_scib</t>
  </si>
  <si>
    <t>perm_id</t>
  </si>
  <si>
    <t>flg_nfrd</t>
  </si>
  <si>
    <t>cca_trnvr_ttl_elgbl</t>
  </si>
  <si>
    <t>cca_trnvr_enblng_alignd</t>
  </si>
  <si>
    <t>cca_turnover_own_prfrmnce_algnd</t>
  </si>
  <si>
    <t>cca_capex_ttl_elgbl</t>
  </si>
  <si>
    <t>cca_capex_enblng_algnd</t>
  </si>
  <si>
    <t>cca_capex_own_prfrmnce_algnd</t>
  </si>
  <si>
    <t>ccm_trnvr_ttl_elgbl</t>
  </si>
  <si>
    <t>ccm_trnvr_enblng_algnd</t>
  </si>
  <si>
    <t>ccm_trnvr_trnstn_alignd</t>
  </si>
  <si>
    <t>ccm_trnvr_own_prfrmnce_algnd</t>
  </si>
  <si>
    <t>ccm_capex_ttl_elgbl</t>
  </si>
  <si>
    <t>ccm_capex_enblng_algnd</t>
  </si>
  <si>
    <t>ccm_capex_trnstn_algnd</t>
  </si>
  <si>
    <t>ccm_capex_own_prfrmnce_algnd</t>
  </si>
  <si>
    <t>ppc_trnvr_ttl_elgbl</t>
  </si>
  <si>
    <t>ppc_turnover_own_prfrmnce_algnd</t>
  </si>
  <si>
    <t>ppc_capex_ttl_elgbl</t>
  </si>
  <si>
    <t>ppc_capex_own_prfrmnce_algnd</t>
  </si>
  <si>
    <t>bio_trnvr_ttl_elgbl</t>
  </si>
  <si>
    <t>bio_turnover_own_prfrmnce_algnd</t>
  </si>
  <si>
    <t>bio_capex_ttl_elgbl</t>
  </si>
  <si>
    <t>bio_capex_own_prfrmnce_algnd</t>
  </si>
  <si>
    <t>wtr_trnvr_ttl_elgbl</t>
  </si>
  <si>
    <t>wtr_trnvr_enblng_alignd</t>
  </si>
  <si>
    <t>wtr_turnover_own_prfrmnce_algnd</t>
  </si>
  <si>
    <t>wtr_capex_ttl_elgbl</t>
  </si>
  <si>
    <t>wtr_capex_enblng_algnd</t>
  </si>
  <si>
    <t>wtr_capex_own_prfrmnce_algnd</t>
  </si>
  <si>
    <t>ce_trnvr_ttl_elgbl</t>
  </si>
  <si>
    <t>ce_trnvr_enblng_alignd</t>
  </si>
  <si>
    <t>ce_turnover_own_prfrmnce_algnd</t>
  </si>
  <si>
    <t>ce_capex_ttl_elgbl</t>
  </si>
  <si>
    <t>ce_capex_enblng_algnd</t>
  </si>
  <si>
    <t>ce_capex_own_prfrmnce_algnd</t>
  </si>
  <si>
    <t>cod_pais</t>
  </si>
  <si>
    <t>cod_nutiii</t>
  </si>
  <si>
    <t>cod_nace_esg</t>
  </si>
  <si>
    <t>flg_rsc_fsc_agd</t>
  </si>
  <si>
    <t>flg_rsc_fsc_crnc</t>
  </si>
  <si>
    <t>nome_grupo</t>
  </si>
  <si>
    <t>scp1_emss</t>
  </si>
  <si>
    <t>scp2_emss</t>
  </si>
  <si>
    <t>scp3_emss</t>
  </si>
  <si>
    <t>score_scp1</t>
  </si>
  <si>
    <t>score_scp2</t>
  </si>
  <si>
    <t>score_scp3</t>
  </si>
  <si>
    <t>origem_scp1</t>
  </si>
  <si>
    <t>origem_scp2</t>
  </si>
  <si>
    <t>origem_scp3</t>
  </si>
  <si>
    <t>ano_info</t>
  </si>
  <si>
    <t>divida_total</t>
  </si>
  <si>
    <t>capital_proprio</t>
  </si>
  <si>
    <t>ano</t>
  </si>
  <si>
    <t>cod_class_indust</t>
  </si>
  <si>
    <t>nivel_classificacao_1</t>
  </si>
  <si>
    <t>classe_ativo</t>
  </si>
  <si>
    <t>opcao_metodologia</t>
  </si>
  <si>
    <t>unidades_fator_de_emissao</t>
  </si>
  <si>
    <t>tipo_fator_emissao</t>
  </si>
  <si>
    <t>regiao</t>
  </si>
  <si>
    <t>tipo_bem</t>
  </si>
  <si>
    <t>tipo_finalidade_bem</t>
  </si>
  <si>
    <t>flg_ftr_emss_area</t>
  </si>
  <si>
    <t>ano_fator_emissao</t>
  </si>
  <si>
    <t>3. Pendente</t>
  </si>
  <si>
    <t>Modelo Verde - Output</t>
  </si>
  <si>
    <t>modesg_out_bens_imoveis</t>
  </si>
  <si>
    <t>cd_imv_out_bens; modesg_inp_risco_fisico; modesg_inp_emss_bens_imoveis</t>
  </si>
  <si>
    <t>cempbem</t>
  </si>
  <si>
    <t>ckbalbem</t>
  </si>
  <si>
    <t>ckctabem</t>
  </si>
  <si>
    <t>ckrefbem</t>
  </si>
  <si>
    <t>origem_flg_rsc_fsc_agd</t>
  </si>
  <si>
    <t>origem_flg_rsc_fsc_crnc</t>
  </si>
  <si>
    <t>origem_scp1_emss</t>
  </si>
  <si>
    <t>origem_scp2_emss</t>
  </si>
  <si>
    <t>origem_scp3_emss</t>
  </si>
  <si>
    <t>unidade_funcional_scp1_emss</t>
  </si>
  <si>
    <t>unidade_funcional_scp2_emss</t>
  </si>
  <si>
    <t>unidade_funcional_scp3_emss</t>
  </si>
  <si>
    <t>modesg_out_empr_info_nfin</t>
  </si>
  <si>
    <t>modesg_inp_empr_excl_paris; modesg_inp_nfrd_alinhamento_tax; modesg_inp_risco_fisico; modesg_inp_emss_scib; modesg_inp_emss_nace</t>
  </si>
  <si>
    <t>flg_emprs_excl_paris</t>
  </si>
  <si>
    <t>origem_alinhamentos</t>
  </si>
  <si>
    <t>origem_flg_emprs_excl_paris</t>
  </si>
  <si>
    <t>origem_flg_nfrd</t>
  </si>
  <si>
    <t>modesg_out_emss_vcls</t>
  </si>
  <si>
    <t>modesg_inp_emss_vcls; modesg_inp_km_medios_emss_vcls</t>
  </si>
  <si>
    <t>modesg_out_sfcs_taxon_europeia</t>
  </si>
  <si>
    <t>modesg_param_sfcs_taxon_europeia; cd_imv_out_trz_cred_prc; cd_imv_out_trz_prc_bens_imv ; cd_imv_out_certif; cd_mv_out_bens ; modesg_out_emss_vcls ;</t>
  </si>
  <si>
    <t>lt003_entity</t>
  </si>
  <si>
    <t>nace_esg</t>
  </si>
  <si>
    <t xml:space="preserve">modesg_out_empr_info_nfin </t>
  </si>
  <si>
    <t>txnmy_elgbl_capex_ccm</t>
  </si>
  <si>
    <t>txnmy_elgbl_trnvr_ccm</t>
  </si>
  <si>
    <t>txnmy_elgbl_capex_cca</t>
  </si>
  <si>
    <t>txnmy_elgbl_trnvr_cca</t>
  </si>
  <si>
    <t>enblng_capex_ccm</t>
  </si>
  <si>
    <t>enblng_capex_cca</t>
  </si>
  <si>
    <t>trnstnl_capex</t>
  </si>
  <si>
    <t>pure_capex_ccm</t>
  </si>
  <si>
    <t>pure_capex_cca</t>
  </si>
  <si>
    <t>enblng_trnvr_ccm</t>
  </si>
  <si>
    <t>enblng_trnvr_cca</t>
  </si>
  <si>
    <t>trnstnl_trnvr</t>
  </si>
  <si>
    <t>pure_trnvr_ccm</t>
  </si>
  <si>
    <t>pure_trnvr_cca</t>
  </si>
  <si>
    <t>flg_nfrd_applcblty</t>
  </si>
  <si>
    <t>cntrprty_emssns_scp1</t>
  </si>
  <si>
    <t>cntrprty_emssns_scp2</t>
  </si>
  <si>
    <t>cntrprty_emssns_scp3</t>
  </si>
  <si>
    <t>flg_excldd_eu_prs_algnd_bnchmrk</t>
  </si>
  <si>
    <t>flg_act_physcl_rsk</t>
  </si>
  <si>
    <t>flg_chrnc_physcl_rsk</t>
  </si>
  <si>
    <t>pst_cd</t>
  </si>
  <si>
    <t>esg_sbsctr</t>
  </si>
  <si>
    <t>ttl_lblty</t>
  </si>
  <si>
    <t>grp_annl_trnvr_le</t>
  </si>
  <si>
    <t>grp_ttl_lblty</t>
  </si>
  <si>
    <t>flg_grp_nfrd_applcblty</t>
  </si>
  <si>
    <t>grp_emssns_scp1</t>
  </si>
  <si>
    <t>grp_emssns_scp2</t>
  </si>
  <si>
    <t>grp_emssns_scp3</t>
  </si>
  <si>
    <t>lt004_protection</t>
  </si>
  <si>
    <t>typ_ep_scr</t>
  </si>
  <si>
    <t>ep_scr</t>
  </si>
  <si>
    <t>typ_epc_lbl</t>
  </si>
  <si>
    <t>epc_lbl</t>
  </si>
  <si>
    <t>emssns_scp1_prtctn</t>
  </si>
  <si>
    <t>emssns_scp2_prtctn</t>
  </si>
  <si>
    <t>emssns_scp3_prtctn</t>
  </si>
  <si>
    <t>mthd_usd_prtctn_scp_1</t>
  </si>
  <si>
    <t>mthd_usd_prtctn_scp_2</t>
  </si>
  <si>
    <t>mthd_usd_prtctn_scp_3</t>
  </si>
  <si>
    <t>lt002_instrument</t>
  </si>
  <si>
    <t>rsk_mtgtd_cct</t>
  </si>
  <si>
    <t>rsk_mtgtd_ccp</t>
  </si>
  <si>
    <t>envrnmntl_objctv</t>
  </si>
  <si>
    <t>typ_actvty</t>
  </si>
  <si>
    <t>lns_clltrlzd_clssfctn</t>
  </si>
  <si>
    <t>mthd_usd_instrmnt_scp_1</t>
  </si>
  <si>
    <t>mthd_usd_instrmnt_scp_2</t>
  </si>
  <si>
    <t>mthd_usd_instrmnt_scp_3</t>
  </si>
  <si>
    <t>sstnbl_ctgry_txnmy</t>
  </si>
  <si>
    <t>lt825_mthd_usd_instrmnt</t>
  </si>
  <si>
    <t>ambito</t>
  </si>
  <si>
    <t>tabela</t>
  </si>
  <si>
    <t>lt826_esg_sbsctr</t>
  </si>
  <si>
    <t>nace_code</t>
  </si>
  <si>
    <t>contraparte</t>
  </si>
  <si>
    <t>cnatureza_juri</t>
  </si>
  <si>
    <t>idcomb</t>
  </si>
  <si>
    <t>descrição</t>
  </si>
  <si>
    <t>dt_rfrnc</t>
  </si>
  <si>
    <t>LT ESTR</t>
  </si>
  <si>
    <t>instrmnt_id</t>
  </si>
  <si>
    <t>dt_incptn</t>
  </si>
  <si>
    <t>dflt_stts_instrmnt</t>
  </si>
  <si>
    <t>imprmnt_stts</t>
  </si>
  <si>
    <t>prfrmng_stts</t>
  </si>
  <si>
    <t>prjct_fnnc_ln</t>
  </si>
  <si>
    <t>typ_instrmnt</t>
  </si>
  <si>
    <t>grss_crryng_amnt_instrmnt</t>
  </si>
  <si>
    <t>accmltd_chngs_fv_cr_instrmnt</t>
  </si>
  <si>
    <t>accntng_clssfctn</t>
  </si>
  <si>
    <t>dt_lgl_fnl_mtrty</t>
  </si>
  <si>
    <t>accmltd_imprmnt_instrmnt</t>
  </si>
  <si>
    <t>issr_cntry</t>
  </si>
  <si>
    <t>issr_nace_sctr</t>
  </si>
  <si>
    <t>prmry_asst_clssf</t>
  </si>
  <si>
    <t>subportfolio_id</t>
  </si>
  <si>
    <t>cod_soc</t>
  </si>
  <si>
    <t>lcl_instmrnt_id</t>
  </si>
  <si>
    <t>sstnbl_indctr</t>
  </si>
  <si>
    <t>sstnbl_ctgry</t>
  </si>
  <si>
    <t>grss_intrst_incm</t>
  </si>
  <si>
    <t>grss_cmmssn_incm</t>
  </si>
  <si>
    <t>grss_cmmssn_incm_off_blnc</t>
  </si>
  <si>
    <t>idcmb</t>
  </si>
  <si>
    <t>cntry</t>
  </si>
  <si>
    <t>entty_id</t>
  </si>
  <si>
    <t>lei</t>
  </si>
  <si>
    <t>ecnmc_actvty</t>
  </si>
  <si>
    <t>grp_eqty</t>
  </si>
  <si>
    <t>annl_trnvr_le</t>
  </si>
  <si>
    <t>eqty</t>
  </si>
  <si>
    <t>grp_ttl_dbt</t>
  </si>
  <si>
    <t>ttl_dbt</t>
  </si>
  <si>
    <t>prtctn_id</t>
  </si>
  <si>
    <t>rl_estt_clltrl_lctn</t>
  </si>
  <si>
    <t>rl_estt_pst_cd</t>
  </si>
  <si>
    <t>typ_prtctn</t>
  </si>
  <si>
    <t>orgnl_prtctn_vl</t>
  </si>
  <si>
    <t>prtctn_vl</t>
  </si>
  <si>
    <t>lt005_instr_ent</t>
  </si>
  <si>
    <t>mn_entty_id</t>
  </si>
  <si>
    <t>lt006_instr_prot</t>
  </si>
  <si>
    <t>prtctn_allctd_vl</t>
  </si>
  <si>
    <t>x</t>
  </si>
  <si>
    <r>
      <t xml:space="preserve">4. </t>
    </r>
    <r>
      <rPr>
        <b/>
        <i/>
        <sz val="11"/>
        <color theme="1"/>
        <rFont val="Santander Text"/>
        <family val="2"/>
      </rPr>
      <t xml:space="preserve">Status </t>
    </r>
    <r>
      <rPr>
        <b/>
        <sz val="11"/>
        <color theme="1"/>
        <rFont val="Santander Text"/>
        <family val="2"/>
      </rPr>
      <t xml:space="preserve">Global </t>
    </r>
  </si>
  <si>
    <t>Janeiro</t>
  </si>
  <si>
    <t>Horas</t>
  </si>
  <si>
    <t>Pendências</t>
  </si>
  <si>
    <t>Testes Regressivos</t>
  </si>
  <si>
    <t>cd_imv_inp_certif_estimativa</t>
  </si>
  <si>
    <t>chave_encriptada</t>
  </si>
  <si>
    <t>data_extraccao_info</t>
  </si>
  <si>
    <t>fornecedor</t>
  </si>
  <si>
    <t>metodo_info</t>
  </si>
  <si>
    <t>vlr_cnsm_ano</t>
  </si>
  <si>
    <t>vlr_emss_ano</t>
  </si>
  <si>
    <t>cd_imv_out_prc</t>
  </si>
  <si>
    <t>ckbalcao</t>
  </si>
  <si>
    <t>cknumcta</t>
  </si>
  <si>
    <t>cod_grt</t>
  </si>
  <si>
    <t>cod_moeda</t>
  </si>
  <si>
    <t>cod_observacao</t>
  </si>
  <si>
    <t>cod_prd_grnt</t>
  </si>
  <si>
    <t>cod_sprd_grnt</t>
  </si>
  <si>
    <t>cod_tipo</t>
  </si>
  <si>
    <t>comp_id_gar</t>
  </si>
  <si>
    <t>data_inicio</t>
  </si>
  <si>
    <t>data_vcmt</t>
  </si>
  <si>
    <t>cempresp</t>
  </si>
  <si>
    <t>ckbalres</t>
  </si>
  <si>
    <t>ckctares</t>
  </si>
  <si>
    <t>ckrefresp</t>
  </si>
  <si>
    <t>cod_fnld</t>
  </si>
  <si>
    <t>cod_ocupacao</t>
  </si>
  <si>
    <t>cod_prd_resp</t>
  </si>
  <si>
    <t>cod_sprd_resp</t>
  </si>
  <si>
    <t>data_fim</t>
  </si>
  <si>
    <t>cd_imv_out_trz_prc_bens_imv</t>
  </si>
  <si>
    <t>flg_adj</t>
  </si>
  <si>
    <t>flg_col</t>
  </si>
  <si>
    <t>flg_fin</t>
  </si>
  <si>
    <t>flg_pro</t>
  </si>
  <si>
    <t>cd_imv_out_bens</t>
  </si>
  <si>
    <t>ano_construcao</t>
  </si>
  <si>
    <t>area_util</t>
  </si>
  <si>
    <t>cod_art_matr</t>
  </si>
  <si>
    <t>cod_avl</t>
  </si>
  <si>
    <t>cod_disconf</t>
  </si>
  <si>
    <t>cod_fin_bem</t>
  </si>
  <si>
    <t>cod_idd_pred</t>
  </si>
  <si>
    <t>cod_morada</t>
  </si>
  <si>
    <t>cod_post</t>
  </si>
  <si>
    <t>cod_tp_bem</t>
  </si>
  <si>
    <t>data_avl</t>
  </si>
  <si>
    <t>data_lic_util</t>
  </si>
  <si>
    <t>ficha</t>
  </si>
  <si>
    <t>id_frac</t>
  </si>
  <si>
    <t>localid</t>
  </si>
  <si>
    <t>lote</t>
  </si>
  <si>
    <t>montante_avl</t>
  </si>
  <si>
    <t>montante_avl_dist</t>
  </si>
  <si>
    <t>montante_vnd_rap</t>
  </si>
  <si>
    <t>morada</t>
  </si>
  <si>
    <t>num</t>
  </si>
  <si>
    <t>perc_obra</t>
  </si>
  <si>
    <t>prealcons</t>
  </si>
  <si>
    <t>urbaniz</t>
  </si>
  <si>
    <t>cd_imv_out_certif</t>
  </si>
  <si>
    <t>cod_cnsrvtr_rgst_prdl</t>
  </si>
  <si>
    <t>cod_inscrc</t>
  </si>
  <si>
    <t>cod_sce</t>
  </si>
  <si>
    <t>data_epc</t>
  </si>
  <si>
    <t>data_exprc_epc</t>
  </si>
  <si>
    <t>flg_efcc_enrg_cnsm_tp_s</t>
  </si>
  <si>
    <t>flg_efcnc_enrg_cnsm_tp_t</t>
  </si>
  <si>
    <t>flg_efcnc_enrgtc</t>
  </si>
  <si>
    <t>flg_efcnc_enrgtc_rnvv</t>
  </si>
  <si>
    <t>flg_nzeb</t>
  </si>
  <si>
    <t>nvl_efcc_enrg</t>
  </si>
  <si>
    <t>tp_crtfcd</t>
  </si>
  <si>
    <t>vlr_agua_qnt_sant_edfc</t>
  </si>
  <si>
    <t>vlr_agua_qnt_snt_rnvv</t>
  </si>
  <si>
    <t>vlr_agua_qnt_sntr_rfrc</t>
  </si>
  <si>
    <t>vlr_alttt</t>
  </si>
  <si>
    <t>vlr_aqcmnt_ambnt_edfc</t>
  </si>
  <si>
    <t>vlr_aqcmnt_ambnt_rfrc</t>
  </si>
  <si>
    <t>vlr_aqcmnt_ambnt_rnvv</t>
  </si>
  <si>
    <t>vlr_arrfcmnt_ambnt_edfc</t>
  </si>
  <si>
    <t>vlr_arrfcmnt_ambnt_renvv</t>
  </si>
  <si>
    <t>vlr_arrfcmnt_ambnt_rfrc</t>
  </si>
  <si>
    <t>vlr_class_enrg_aps_mdd</t>
  </si>
  <si>
    <t>vlr_comp_trmc_cbrtrs</t>
  </si>
  <si>
    <t>vlr_comp_trmc_jnls</t>
  </si>
  <si>
    <t>vlr_comp_trmc_prds</t>
  </si>
  <si>
    <t>vlr_comp_trmc_pvmnts</t>
  </si>
  <si>
    <t>vlr_comp_trmc_sstmtcn_vntld</t>
  </si>
  <si>
    <t>vlr_cst_ttl_invstmnt_estmd</t>
  </si>
  <si>
    <t>vlr_drc_estc_aqcmnt</t>
  </si>
  <si>
    <t>vlr_drc_estc_arrfcmnt</t>
  </si>
  <si>
    <t>vlr_emss_co2</t>
  </si>
  <si>
    <t>vlr_enrg_eltc_vntldr</t>
  </si>
  <si>
    <t>vlr_enrg_fnts_rnvv_otr_uso</t>
  </si>
  <si>
    <t>vlr_enrg_fnts_rnvv_regl</t>
  </si>
  <si>
    <t>vlr_enrg_renew</t>
  </si>
  <si>
    <t>vlr_enrg_utl_agua_qt_snt</t>
  </si>
  <si>
    <t>vlr_enrg_utl_arrfcmnt</t>
  </si>
  <si>
    <t>vlr_grs_dia</t>
  </si>
  <si>
    <t>vlr_ncssdd_enrg_prmr</t>
  </si>
  <si>
    <t>vlr_ncssdd_enrg_utl_aqcd</t>
  </si>
  <si>
    <t>vlr_prd_gnh_invrn_prd_prt</t>
  </si>
  <si>
    <t>vlr_prd_gnh_invrn_pvmnt</t>
  </si>
  <si>
    <t>vlr_prds_gnhs_invrn_cbrtr</t>
  </si>
  <si>
    <t>vlr_prds_gnhs_invrn_jnl</t>
  </si>
  <si>
    <t>vlr_prds_gnhs_invrn_rfc</t>
  </si>
  <si>
    <t>vlr_prds_gnhs_invrn_vntnh</t>
  </si>
  <si>
    <t>vlr_prds_gnhs_vr_cbrtr</t>
  </si>
  <si>
    <t>vlr_prds_gnhs_vr_jnl</t>
  </si>
  <si>
    <t>vlr_prds_gnhs_vr_prd_prt</t>
  </si>
  <si>
    <t>vlr_prds_gnhs_vr_rfrc</t>
  </si>
  <si>
    <t>vlr_rdc_anl_estmd_ftr</t>
  </si>
  <si>
    <t>vlr_tmprtr_md_extrr</t>
  </si>
  <si>
    <t>zn_clmtc_invrn</t>
  </si>
  <si>
    <t>zn_clmtc_vr</t>
  </si>
  <si>
    <t>data_level_5</t>
  </si>
  <si>
    <t>classification_level_1</t>
  </si>
  <si>
    <t>asset_class</t>
  </si>
  <si>
    <t>methodology_option</t>
  </si>
  <si>
    <t>emission_factor_type</t>
  </si>
  <si>
    <t>unidade_fator_emissao</t>
  </si>
  <si>
    <t>scp_ftr_emss_ano1</t>
  </si>
  <si>
    <t>Documentação</t>
  </si>
  <si>
    <t>Green Dashboard</t>
  </si>
  <si>
    <t>Re-especificação</t>
  </si>
  <si>
    <t>Testes</t>
  </si>
  <si>
    <t>lt002_insrmnt</t>
  </si>
  <si>
    <t>off_blnc_sht_amnt_instrmnt</t>
  </si>
  <si>
    <t>prvsns_off_blnc_sht</t>
  </si>
  <si>
    <t>rwa</t>
  </si>
  <si>
    <t>cod_soc_intrgrp</t>
  </si>
  <si>
    <t>bsnss_area_dstntn</t>
  </si>
  <si>
    <t>flg_intrbsnss</t>
  </si>
  <si>
    <t>intrbsnss_adj_cod</t>
  </si>
  <si>
    <t>cod_soc_dstntn</t>
  </si>
  <si>
    <t>rwa_off_blnc</t>
  </si>
  <si>
    <t>intrnl_trnsfr_rt_off_blnc</t>
  </si>
  <si>
    <t>bsnss_area</t>
  </si>
  <si>
    <t>avrg_blnc</t>
  </si>
  <si>
    <t>nt_ln_lss_prvsn</t>
  </si>
  <si>
    <t>mngmnt_prdct</t>
  </si>
  <si>
    <t>nw_bsnss</t>
  </si>
  <si>
    <t>grss_intrst_incm_ccrr</t>
  </si>
  <si>
    <t>nt_ln_lss_prvsn_off_blnc</t>
  </si>
  <si>
    <t>avrg_blnc_off_blnc</t>
  </si>
  <si>
    <t>bsnss_area_ccrr</t>
  </si>
  <si>
    <t>grss_cmmssn_expns_off_blnc_ccrr</t>
  </si>
  <si>
    <t>grss_cmmssn_expns_off_blnc</t>
  </si>
  <si>
    <t>grss_cmmssn_incm_off_blnc_ccrr</t>
  </si>
  <si>
    <t>grss_cmmssn_incm_ccrr</t>
  </si>
  <si>
    <t>intrnl_trnsfr_rt</t>
  </si>
  <si>
    <t>grss_cmmssn_expns</t>
  </si>
  <si>
    <t>grss_cmmssn_expns_ccrr</t>
  </si>
  <si>
    <t>grss_intrst_expns</t>
  </si>
  <si>
    <t>grss_intrst_expns_ccrr</t>
  </si>
  <si>
    <t>gns_fnncl_trnsctn_exchng_dffrncs</t>
  </si>
  <si>
    <t>gns_fnncl_trnsctn_exchng_ccrr</t>
  </si>
  <si>
    <t>cnclld_instrmnt_stts</t>
  </si>
  <si>
    <t>Resumo</t>
  </si>
  <si>
    <t>Detalhe por Tabela</t>
  </si>
  <si>
    <t>Status (campos)</t>
  </si>
  <si>
    <t>∆</t>
  </si>
  <si>
    <t>Highlights</t>
  </si>
  <si>
    <t>0. Cancelado</t>
  </si>
  <si>
    <t>1. Concluído</t>
  </si>
  <si>
    <t>3. Pendente de outros desenvolvimentos</t>
  </si>
  <si>
    <t>4. Validação EF</t>
  </si>
  <si>
    <t>5. Em Correção</t>
  </si>
  <si>
    <t>(incidências)</t>
  </si>
  <si>
    <t>Status (Tabelas)</t>
  </si>
  <si>
    <t>Status (Universos)</t>
  </si>
  <si>
    <t>&gt;</t>
  </si>
  <si>
    <t>Tabela de Bens Imóveis</t>
  </si>
  <si>
    <t>OK</t>
  </si>
  <si>
    <t>Universo Bens Colateralizados (MUG)</t>
  </si>
  <si>
    <t>Tabelas de Processos Imobiliários</t>
  </si>
  <si>
    <t>Universo Bens Não Colateralizados (GP)</t>
  </si>
  <si>
    <t xml:space="preserve">Tabela de Traçabilidade Processo -Bem </t>
  </si>
  <si>
    <t>Universo Bens Adjudicados</t>
  </si>
  <si>
    <t>Não serão testados neste projeto</t>
  </si>
  <si>
    <t>Tabela de Traçabilidade Crédito - Processo</t>
  </si>
  <si>
    <t>Tabela input de Cerificados Energéticos (Gloval)</t>
  </si>
  <si>
    <t>Tabela Output de Cerificados Energéticos</t>
  </si>
  <si>
    <t xml:space="preserve"> </t>
  </si>
  <si>
    <r>
      <t xml:space="preserve">Status (Universos - </t>
    </r>
    <r>
      <rPr>
        <b/>
        <i/>
        <sz val="11"/>
        <color theme="1"/>
        <rFont val="Santander Text"/>
        <family val="2"/>
      </rPr>
      <t>Inputs</t>
    </r>
    <r>
      <rPr>
        <b/>
        <sz val="11"/>
        <color theme="1"/>
        <rFont val="Santander Text"/>
        <family val="2"/>
      </rPr>
      <t>)</t>
    </r>
  </si>
  <si>
    <r>
      <t xml:space="preserve">Status (Universos - </t>
    </r>
    <r>
      <rPr>
        <b/>
        <i/>
        <sz val="11"/>
        <color theme="1"/>
        <rFont val="Santander Text"/>
        <family val="2"/>
      </rPr>
      <t>Outputs</t>
    </r>
    <r>
      <rPr>
        <b/>
        <sz val="11"/>
        <color theme="1"/>
        <rFont val="Santander Text"/>
        <family val="2"/>
      </rPr>
      <t>)</t>
    </r>
  </si>
  <si>
    <t>modesg_out_ems_vcls</t>
  </si>
  <si>
    <t>OK (coerente com Modelo de Bens Imóveis)</t>
  </si>
  <si>
    <t>Status Atual</t>
  </si>
  <si>
    <t>Status Anterior</t>
  </si>
  <si>
    <t>Data de Pedido correção/esclarecimento</t>
  </si>
  <si>
    <t>Data de correção prevista</t>
  </si>
  <si>
    <t>Data de correção efetiva</t>
  </si>
  <si>
    <t>Novo Campo</t>
  </si>
  <si>
    <t xml:space="preserve">Re-especificação </t>
  </si>
  <si>
    <t>area_atividade</t>
  </si>
  <si>
    <t>tipo_atividade</t>
  </si>
  <si>
    <t>sub_tipo_atividade_1</t>
  </si>
  <si>
    <t>sub_tipo_atividade_2</t>
  </si>
  <si>
    <t>unidades_unidade_funcional</t>
  </si>
  <si>
    <t>fator_emissao</t>
  </si>
  <si>
    <t>media_scp1_emss</t>
  </si>
  <si>
    <t>media_scp2_emss</t>
  </si>
  <si>
    <t>media_scp3_emss</t>
  </si>
  <si>
    <t>concat</t>
  </si>
  <si>
    <t>Max of Status2</t>
  </si>
  <si>
    <t>ENERGY_CERTIFICATE_EST_INPUTn.a.</t>
  </si>
  <si>
    <t>ENERGY_CERTIFICATE_EST_INPUTPROPERTY_BANK_ID</t>
  </si>
  <si>
    <t>ENERGY_CERTIFICATE_EST_INPUTPROPERTY_BRANCH_CODE</t>
  </si>
  <si>
    <t>ENERGY_CERTIFICATE_EST_INPUTPROPERTY_CONTRACT_ID</t>
  </si>
  <si>
    <t>ENERGY_CERTIFICATE_EST_INPUTPROPERTY_REFERENCE_CODE</t>
  </si>
  <si>
    <t>lt002_instrumentaccmltd_chngs_fv_cr_instrmnt</t>
  </si>
  <si>
    <t>lt002_instrumentaccmltd_imprmnt_instrmnt</t>
  </si>
  <si>
    <t>lt002_instrumentaccntng_clssfctn</t>
  </si>
  <si>
    <t>lt002_instrumentcod_soc</t>
  </si>
  <si>
    <t>lt002_instrumentdflt_stts_instrmnt</t>
  </si>
  <si>
    <t>lt002_instrumentdt_incptn</t>
  </si>
  <si>
    <t>lt002_instrumentdt_lgl_fnl_mtrty</t>
  </si>
  <si>
    <t>lt002_instrumentdt_rfrnc</t>
  </si>
  <si>
    <t>lt002_instrumentgrss_cmmssn_incm</t>
  </si>
  <si>
    <t>lt002_instrumentgrss_cmmssn_incm_off_blnc</t>
  </si>
  <si>
    <t>lt002_instrumentgrss_crryng_amnt_instrmnt</t>
  </si>
  <si>
    <t>lt002_instrumentgrss_intrst_incm</t>
  </si>
  <si>
    <t>lt002_instrumentidcmb</t>
  </si>
  <si>
    <t>lt002_instrumentimprmnt_stts</t>
  </si>
  <si>
    <t>lt002_instrumentinstrmnt_id</t>
  </si>
  <si>
    <t>lt002_instrumentissr_cntry</t>
  </si>
  <si>
    <t>lt002_instrumentissr_nace_sctr</t>
  </si>
  <si>
    <t>lt002_instrumentlcl_instmrnt_id</t>
  </si>
  <si>
    <t>lt002_instrumentlns_clltrlzd_clssfctn</t>
  </si>
  <si>
    <t>lt002_instrumentmthd_usd_instrmnt_scp_1</t>
  </si>
  <si>
    <t>lt002_instrumentmthd_usd_instrmnt_scp_2</t>
  </si>
  <si>
    <t>lt002_instrumentmthd_usd_instrmnt_scp_3</t>
  </si>
  <si>
    <t>lt002_instrumentprfrmng_stts</t>
  </si>
  <si>
    <t>lt002_instrumentprjct_fnnc_ln</t>
  </si>
  <si>
    <t>lt002_instrumentprmry_asst_clssf</t>
  </si>
  <si>
    <t>lt002_instrumentrsk_mtgtd_ccp</t>
  </si>
  <si>
    <t>lt002_instrumentrsk_mtgtd_cct</t>
  </si>
  <si>
    <t>lt002_instrumentsubportfolio_id</t>
  </si>
  <si>
    <t>lt002_instrumenttyp_instrmnt</t>
  </si>
  <si>
    <t>lt003_entityannl_trnvr_le</t>
  </si>
  <si>
    <t>lt003_entitycntrprty_emssns_scp1</t>
  </si>
  <si>
    <t>lt003_entitycntrprty_emssns_scp2</t>
  </si>
  <si>
    <t>lt003_entitycntrprty_emssns_scp3</t>
  </si>
  <si>
    <t>lt003_entitycntry</t>
  </si>
  <si>
    <t>lt003_entitycod_soc</t>
  </si>
  <si>
    <t>lt003_entitydt_rfrnc</t>
  </si>
  <si>
    <t>lt003_entityecnmc_actvty</t>
  </si>
  <si>
    <t>lt003_entityenblng_capex_cca</t>
  </si>
  <si>
    <t>lt003_entityenblng_capex_ccm</t>
  </si>
  <si>
    <t>lt003_entityenblng_trnvr_cca</t>
  </si>
  <si>
    <t>lt003_entityenblng_trnvr_ccm</t>
  </si>
  <si>
    <t>lt003_entityentty_id</t>
  </si>
  <si>
    <t>lt003_entityeqty</t>
  </si>
  <si>
    <t>lt003_entityesg_sbsctr</t>
  </si>
  <si>
    <t>lt003_entityflg_act_physcl_rsk</t>
  </si>
  <si>
    <t>lt003_entityflg_chrnc_physcl_rsk</t>
  </si>
  <si>
    <t>lt003_entityflg_excldd_eu_prs_algnd_bnchmrk</t>
  </si>
  <si>
    <t>lt003_entityflg_grp_nfrd_applcblty</t>
  </si>
  <si>
    <t>lt003_entityflg_nfrd_applcblty</t>
  </si>
  <si>
    <t>lt003_entitygrp_annl_trnvr_le</t>
  </si>
  <si>
    <t>lt003_entitygrp_emssns_scp1</t>
  </si>
  <si>
    <t>lt003_entitygrp_emssns_scp2</t>
  </si>
  <si>
    <t>lt003_entitygrp_emssns_scp3</t>
  </si>
  <si>
    <t>lt003_entitygrp_eqty</t>
  </si>
  <si>
    <t>lt003_entitygrp_ttl_dbt</t>
  </si>
  <si>
    <t>lt003_entitygrp_ttl_lblty</t>
  </si>
  <si>
    <t>lt003_entityisin</t>
  </si>
  <si>
    <t>lt003_entitylei</t>
  </si>
  <si>
    <t>lt003_entitynace_esg</t>
  </si>
  <si>
    <t>lt003_entitypst_cd</t>
  </si>
  <si>
    <t>lt003_entitypure_capex_cca</t>
  </si>
  <si>
    <t>lt003_entitypure_capex_ccm</t>
  </si>
  <si>
    <t>lt003_entitypure_trnvr_cca</t>
  </si>
  <si>
    <t>lt003_entitypure_trnvr_ccm</t>
  </si>
  <si>
    <t>lt003_entitytrnstnl_capex</t>
  </si>
  <si>
    <t>lt003_entitytrnstnl_trnvr</t>
  </si>
  <si>
    <t>lt003_entityttl_dbt</t>
  </si>
  <si>
    <t>lt003_entityttl_lblty</t>
  </si>
  <si>
    <t>lt003_entitytxnmy_elgbl_capex_cca</t>
  </si>
  <si>
    <t>lt003_entitytxnmy_elgbl_capex_ccm</t>
  </si>
  <si>
    <t>lt003_entitytxnmy_elgbl_trnvr_cca</t>
  </si>
  <si>
    <t>lt003_entitytxnmy_elgbl_trnvr_ccm</t>
  </si>
  <si>
    <t>lt004_protectioncod_soc</t>
  </si>
  <si>
    <t>lt004_protectiondt_rfrnc</t>
  </si>
  <si>
    <t>lt004_protectionemssns_scp1_prtctn</t>
  </si>
  <si>
    <t>lt004_protectionemssns_scp2_prtctn</t>
  </si>
  <si>
    <t>lt004_protectionemssns_scp3_prtctn</t>
  </si>
  <si>
    <t>lt004_protectionep_scr</t>
  </si>
  <si>
    <t>lt004_protectionepc_lbl</t>
  </si>
  <si>
    <t>lt004_protectionflg_act_physcl_rsk</t>
  </si>
  <si>
    <t>lt004_protectionflg_chrnc_physcl_rsk</t>
  </si>
  <si>
    <t>lt004_protectionflg_col</t>
  </si>
  <si>
    <t>lt004_protectionflg_exec</t>
  </si>
  <si>
    <t>lt004_protectionflg_fin</t>
  </si>
  <si>
    <t>lt004_protectionflg_pro</t>
  </si>
  <si>
    <t>lt004_protectionmthd_usd_prtctn_scp_1</t>
  </si>
  <si>
    <t>lt004_protectionmthd_usd_prtctn_scp_2</t>
  </si>
  <si>
    <t>lt004_protectionmthd_usd_prtctn_scp_3</t>
  </si>
  <si>
    <t>lt004_protectionorgnl_prtctn_vl</t>
  </si>
  <si>
    <t>lt004_protectionprtctn_id</t>
  </si>
  <si>
    <t>lt004_protectionprtctn_vl</t>
  </si>
  <si>
    <t>lt004_protectionrl_estt_clltrl_lctn</t>
  </si>
  <si>
    <t>lt004_protectionrl_estt_pst_cd</t>
  </si>
  <si>
    <t>lt004_protectiontyp_ep_scr</t>
  </si>
  <si>
    <t>lt004_protectiontyp_epc_lbl</t>
  </si>
  <si>
    <t>lt004_protectiontyp_prtctn</t>
  </si>
  <si>
    <t>lt005_instr_entcod_soc</t>
  </si>
  <si>
    <t>lt005_instr_entdt_rfrnc</t>
  </si>
  <si>
    <t>lt005_instr_ententty_id</t>
  </si>
  <si>
    <t>lt005_instr_entinstrmnt_id</t>
  </si>
  <si>
    <t>lt005_instr_entmn_entty_id</t>
  </si>
  <si>
    <t>lt006_instr_protcod_soc</t>
  </si>
  <si>
    <t>lt006_instr_protdt_rfrnc</t>
  </si>
  <si>
    <t>lt006_instr_protinstrmnt_id</t>
  </si>
  <si>
    <t>lt006_instr_protprtctn_allctd_vl</t>
  </si>
  <si>
    <t>lt006_instr_protprtctn_id</t>
  </si>
  <si>
    <t>lt826_esg_sbsctrambito</t>
  </si>
  <si>
    <t>lt826_esg_sbsctrcnatureza_juri</t>
  </si>
  <si>
    <t>lt826_esg_sbsctrcontraparte</t>
  </si>
  <si>
    <t>lt826_esg_sbsctrdescrição</t>
  </si>
  <si>
    <t>lt826_esg_sbsctresg_sbsctr</t>
  </si>
  <si>
    <t>lt826_esg_sbsctridcomb</t>
  </si>
  <si>
    <t>lt826_esg_sbsctrnace_code</t>
  </si>
  <si>
    <t>lt826_esg_sbsctrordem</t>
  </si>
  <si>
    <t>lt826_esg_sbsctrref_date</t>
  </si>
  <si>
    <t>modesg_inp_empr_excl_parisccli_kgl</t>
  </si>
  <si>
    <t>modesg_inp_empr_excl_parisclei</t>
  </si>
  <si>
    <t>modesg_inp_empr_excl_parisflg_scib</t>
  </si>
  <si>
    <t>modesg_inp_empr_excl_parisisin</t>
  </si>
  <si>
    <t>modesg_inp_empr_excl_parisn.a.</t>
  </si>
  <si>
    <t>modesg_inp_empr_excl_parisnome_entidade</t>
  </si>
  <si>
    <t>modesg_inp_empr_excl_parisnome_pais</t>
  </si>
  <si>
    <t>modesg_inp_empr_excl_parisref_date</t>
  </si>
  <si>
    <t>modesg_inp_emss_bens_imoveisano_fator_emissao</t>
  </si>
  <si>
    <t>modesg_inp_emss_bens_imoveisclasse_ativo</t>
  </si>
  <si>
    <t>modesg_inp_emss_bens_imoveisepc</t>
  </si>
  <si>
    <t>modesg_inp_emss_bens_imoveisflg_ftr_emss_area</t>
  </si>
  <si>
    <t>modesg_inp_emss_bens_imoveisn.a.</t>
  </si>
  <si>
    <t>modesg_inp_emss_bens_imoveisnome_estado</t>
  </si>
  <si>
    <t>modesg_inp_emss_bens_imoveisnome_fator_emissao</t>
  </si>
  <si>
    <t>modesg_inp_emss_bens_imoveisnome_pais</t>
  </si>
  <si>
    <t>modesg_inp_emss_bens_imoveisnome_unidade_funcional</t>
  </si>
  <si>
    <t>modesg_inp_emss_bens_imoveisref_date</t>
  </si>
  <si>
    <t>modesg_inp_emss_bens_imoveisregiao</t>
  </si>
  <si>
    <t>modesg_inp_emss_bens_imoveisscore_qualidade</t>
  </si>
  <si>
    <t>modesg_inp_emss_bens_imoveisscp1_ftr_emss</t>
  </si>
  <si>
    <t>modesg_inp_emss_bens_imoveisscp2_ftr_emss</t>
  </si>
  <si>
    <t>modesg_inp_emss_bens_imoveistipo_bem</t>
  </si>
  <si>
    <t>modesg_inp_emss_bens_imoveistipo_fator_emissao</t>
  </si>
  <si>
    <t>modesg_inp_emss_bens_imoveistipo_finalidade_bem</t>
  </si>
  <si>
    <t>modesg_inp_emss_bens_imoveisunidade_fator_de_emissao</t>
  </si>
  <si>
    <t>modesg_inp_emss_bens_imoveisunidade_funcional</t>
  </si>
  <si>
    <t>modesg_inp_emss_naceano</t>
  </si>
  <si>
    <t>modesg_inp_emss_nacearea_atividade</t>
  </si>
  <si>
    <t>modesg_inp_emss_naceclasse_ativo</t>
  </si>
  <si>
    <t>modesg_inp_emss_nacecod_class_indust</t>
  </si>
  <si>
    <t>modesg_inp_emss_nacecod_nace_esg</t>
  </si>
  <si>
    <t>modesg_inp_emss_nacefator_emissao</t>
  </si>
  <si>
    <t>modesg_inp_emss_nacen.a.</t>
  </si>
  <si>
    <t>modesg_inp_emss_nacenivel_classificacao_1</t>
  </si>
  <si>
    <t>modesg_inp_emss_nacenome_pais</t>
  </si>
  <si>
    <t>modesg_inp_emss_nacenome_regiao</t>
  </si>
  <si>
    <t>modesg_inp_emss_naceopcao_metodologia</t>
  </si>
  <si>
    <t>modesg_inp_emss_naceref_date</t>
  </si>
  <si>
    <t>modesg_inp_emss_nacescore_qualidade</t>
  </si>
  <si>
    <t>modesg_inp_emss_nacescp1_ftr_emss</t>
  </si>
  <si>
    <t>modesg_inp_emss_nacescp2_ftr_emss</t>
  </si>
  <si>
    <t>modesg_inp_emss_nacescp3_ftr_emss</t>
  </si>
  <si>
    <t>modesg_inp_emss_nacesub_tipo_atividade_1</t>
  </si>
  <si>
    <t>modesg_inp_emss_nacesub_tipo_atividade_2</t>
  </si>
  <si>
    <t>modesg_inp_emss_nacetipo_atividade</t>
  </si>
  <si>
    <t>modesg_inp_emss_naceunidade_funcional</t>
  </si>
  <si>
    <t>modesg_inp_emss_naceunidades_fator_de_emissao</t>
  </si>
  <si>
    <t>modesg_inp_emss_naceunidades_unidade_funcional</t>
  </si>
  <si>
    <t>modesg_inp_emss_scibano_info</t>
  </si>
  <si>
    <t>modesg_inp_emss_scibcapital_proprio</t>
  </si>
  <si>
    <t>modesg_inp_emss_scibccli_kgl</t>
  </si>
  <si>
    <t>modesg_inp_emss_scibclei</t>
  </si>
  <si>
    <t>modesg_inp_emss_scibdivida_total</t>
  </si>
  <si>
    <t>modesg_inp_emss_scibisin</t>
  </si>
  <si>
    <t>modesg_inp_emss_scibn.a.</t>
  </si>
  <si>
    <t>modesg_inp_emss_scibnome_grupo</t>
  </si>
  <si>
    <t>modesg_inp_emss_sciborigem_scp1</t>
  </si>
  <si>
    <t>modesg_inp_emss_sciborigem_scp2</t>
  </si>
  <si>
    <t>modesg_inp_emss_sciborigem_scp3</t>
  </si>
  <si>
    <t>modesg_inp_emss_scibref_date</t>
  </si>
  <si>
    <t>modesg_inp_emss_scibscore_scp1</t>
  </si>
  <si>
    <t>modesg_inp_emss_scibscore_scp2</t>
  </si>
  <si>
    <t>modesg_inp_emss_scibscore_scp3</t>
  </si>
  <si>
    <t>modesg_inp_emss_scibscp1_emss</t>
  </si>
  <si>
    <t>modesg_inp_emss_scibscp2_emss</t>
  </si>
  <si>
    <t>modesg_inp_emss_scibscp3_emss</t>
  </si>
  <si>
    <t>modesg_inp_emss_vclsmarca</t>
  </si>
  <si>
    <t>modesg_inp_emss_vclsmodelo</t>
  </si>
  <si>
    <t>modesg_inp_emss_vclsn.a.</t>
  </si>
  <si>
    <t>modesg_inp_emss_vclsnome_estado</t>
  </si>
  <si>
    <t>modesg_inp_emss_vclsnome_fator_emissao</t>
  </si>
  <si>
    <t>modesg_inp_emss_vclsnome_pais</t>
  </si>
  <si>
    <t>modesg_inp_emss_vclsnome_regiao</t>
  </si>
  <si>
    <t>modesg_inp_emss_vclsnome_unidade_funcional</t>
  </si>
  <si>
    <t>modesg_inp_emss_vclsref_date</t>
  </si>
  <si>
    <t>modesg_inp_emss_vclsscore_qualidade</t>
  </si>
  <si>
    <t>modesg_inp_emss_vclsscp1_ftr_emss</t>
  </si>
  <si>
    <t>modesg_inp_emss_vclsscp2_ftr_emss</t>
  </si>
  <si>
    <t>modesg_inp_emss_vclsscp3_ftr_emss</t>
  </si>
  <si>
    <t>modesg_inp_emss_vclssubgrupo</t>
  </si>
  <si>
    <t>modesg_inp_emss_vclstipo_motor</t>
  </si>
  <si>
    <t>modesg_inp_emss_vclstipo_veiculo</t>
  </si>
  <si>
    <t>modesg_inp_emss_vclsunidade_fator_de_emissao</t>
  </si>
  <si>
    <t>modesg_inp_emss_vclsunidade_funcional</t>
  </si>
  <si>
    <t>modesg_inp_km_medios_emss_vclsmedia_km</t>
  </si>
  <si>
    <t>modesg_inp_km_medios_emss_vclsmedia_scp1_emss</t>
  </si>
  <si>
    <t>modesg_inp_km_medios_emss_vclsmedia_scp2_emss</t>
  </si>
  <si>
    <t>modesg_inp_km_medios_emss_vclsmedia_scp3_emss</t>
  </si>
  <si>
    <t>modesg_inp_km_medios_emss_vclsn.a.</t>
  </si>
  <si>
    <t>modesg_inp_km_medios_emss_vclsnome_pais</t>
  </si>
  <si>
    <t>modesg_inp_km_medios_emss_vclsref_date</t>
  </si>
  <si>
    <t>modesg_inp_km_medios_emss_vclssubgrupo</t>
  </si>
  <si>
    <t>modesg_inp_km_medios_emss_vclstipo_motor</t>
  </si>
  <si>
    <t>modesg_inp_km_medios_emss_vclstipo_vcl</t>
  </si>
  <si>
    <t>modesg_inp_nfrd_alinhamento_taxbio_capex_own_prfrmnce_algnd</t>
  </si>
  <si>
    <t>modesg_inp_nfrd_alinhamento_taxbio_capex_ttl_elgbl</t>
  </si>
  <si>
    <t>modesg_inp_nfrd_alinhamento_taxbio_trnvr_ttl_elgbl</t>
  </si>
  <si>
    <t>modesg_inp_nfrd_alinhamento_taxbio_turnover_own_prfrmnce_algnd</t>
  </si>
  <si>
    <t>modesg_inp_nfrd_alinhamento_taxcca_capex_enblng_algnd</t>
  </si>
  <si>
    <t>modesg_inp_nfrd_alinhamento_taxcca_capex_own_prfrmnce_algnd</t>
  </si>
  <si>
    <t>modesg_inp_nfrd_alinhamento_taxcca_capex_ttl_elgbl</t>
  </si>
  <si>
    <t>modesg_inp_nfrd_alinhamento_taxcca_trnvr_enblng_alignd</t>
  </si>
  <si>
    <t>modesg_inp_nfrd_alinhamento_taxcca_trnvr_ttl_elgbl</t>
  </si>
  <si>
    <t>modesg_inp_nfrd_alinhamento_taxcca_turnover_own_prfrmnce_algnd</t>
  </si>
  <si>
    <t>modesg_inp_nfrd_alinhamento_taxccli_kgl</t>
  </si>
  <si>
    <t>modesg_inp_nfrd_alinhamento_taxccm_capex_enblng_algnd</t>
  </si>
  <si>
    <t>modesg_inp_nfrd_alinhamento_taxccm_capex_own_prfrmnce_algnd</t>
  </si>
  <si>
    <t>modesg_inp_nfrd_alinhamento_taxccm_capex_trnstn_algnd</t>
  </si>
  <si>
    <t>modesg_inp_nfrd_alinhamento_taxccm_capex_ttl_elgbl</t>
  </si>
  <si>
    <t>modesg_inp_nfrd_alinhamento_taxccm_trnvr_enblng_algnd</t>
  </si>
  <si>
    <t>modesg_inp_nfrd_alinhamento_taxccm_trnvr_own_prfrmnce_algnd</t>
  </si>
  <si>
    <t>modesg_inp_nfrd_alinhamento_taxccm_trnvr_trnstn_alignd</t>
  </si>
  <si>
    <t>modesg_inp_nfrd_alinhamento_taxccm_trnvr_ttl_elgbl</t>
  </si>
  <si>
    <t>modesg_inp_nfrd_alinhamento_taxce_capex_enblng_algnd</t>
  </si>
  <si>
    <t>modesg_inp_nfrd_alinhamento_taxce_capex_own_prfrmnce_algnd</t>
  </si>
  <si>
    <t>modesg_inp_nfrd_alinhamento_taxce_capex_ttl_elgbl</t>
  </si>
  <si>
    <t>modesg_inp_nfrd_alinhamento_taxce_trnvr_enblng_alignd</t>
  </si>
  <si>
    <t>modesg_inp_nfrd_alinhamento_taxce_trnvr_ttl_elgbl</t>
  </si>
  <si>
    <t>modesg_inp_nfrd_alinhamento_taxce_turnover_own_prfrmnce_algnd</t>
  </si>
  <si>
    <t>modesg_inp_nfrd_alinhamento_taxclei</t>
  </si>
  <si>
    <t>modesg_inp_nfrd_alinhamento_taxflg_nfrd</t>
  </si>
  <si>
    <t>modesg_inp_nfrd_alinhamento_taxn.a.</t>
  </si>
  <si>
    <t>modesg_inp_nfrd_alinhamento_taxnome_entidade</t>
  </si>
  <si>
    <t>modesg_inp_nfrd_alinhamento_taxnome_pais</t>
  </si>
  <si>
    <t>modesg_inp_nfrd_alinhamento_taxperm_id</t>
  </si>
  <si>
    <t>modesg_inp_nfrd_alinhamento_taxppc_capex_own_prfrmnce_algnd</t>
  </si>
  <si>
    <t>modesg_inp_nfrd_alinhamento_taxppc_capex_ttl_elgbl</t>
  </si>
  <si>
    <t>modesg_inp_nfrd_alinhamento_taxppc_trnvr_ttl_elgbl</t>
  </si>
  <si>
    <t>modesg_inp_nfrd_alinhamento_taxppc_turnover_own_prfrmnce_algnd</t>
  </si>
  <si>
    <t>modesg_inp_nfrd_alinhamento_taxref_date</t>
  </si>
  <si>
    <t>modesg_inp_nfrd_alinhamento_taxwtr_capex_enblng_algnd</t>
  </si>
  <si>
    <t>modesg_inp_nfrd_alinhamento_taxwtr_capex_own_prfrmnce_algnd</t>
  </si>
  <si>
    <t>modesg_inp_nfrd_alinhamento_taxwtr_capex_ttl_elgbl</t>
  </si>
  <si>
    <t>modesg_inp_nfrd_alinhamento_taxwtr_trnvr_enblng_alignd</t>
  </si>
  <si>
    <t>modesg_inp_nfrd_alinhamento_taxwtr_trnvr_ttl_elgbl</t>
  </si>
  <si>
    <t>modesg_inp_nfrd_alinhamento_taxwtr_turnover_own_prfrmnce_algnd</t>
  </si>
  <si>
    <t>modesg_inp_risco_fisicocod_nace_esg</t>
  </si>
  <si>
    <t>modesg_inp_risco_fisicocod_nutiii</t>
  </si>
  <si>
    <t>modesg_inp_risco_fisicocod_pais</t>
  </si>
  <si>
    <t>modesg_inp_risco_fisicoflg_rsc_fsc_agd</t>
  </si>
  <si>
    <t>modesg_inp_risco_fisicoflg_rsc_fsc_crnc</t>
  </si>
  <si>
    <t>modesg_inp_risco_fisicon.a.</t>
  </si>
  <si>
    <t>modesg_inp_risco_fisicoref_date</t>
  </si>
  <si>
    <t>modesg_out_bens_imoveiscempbem</t>
  </si>
  <si>
    <t>modesg_out_bens_imoveisckbalbem</t>
  </si>
  <si>
    <t>modesg_out_bens_imoveisckctabem</t>
  </si>
  <si>
    <t>modesg_out_bens_imoveisckrefbem</t>
  </si>
  <si>
    <t>modesg_out_bens_imoveisflg_rsc_fsc_agd</t>
  </si>
  <si>
    <t>modesg_out_bens_imoveisflg_rsc_fsc_crnc</t>
  </si>
  <si>
    <t>modesg_out_bens_imoveisn.a.</t>
  </si>
  <si>
    <t>modesg_out_bens_imoveisorigem_flg_rsc_fsc_agd</t>
  </si>
  <si>
    <t>modesg_out_bens_imoveisorigem_flg_rsc_fsc_crnc</t>
  </si>
  <si>
    <t>modesg_out_bens_imoveisorigem_scp1_emss</t>
  </si>
  <si>
    <t>modesg_out_bens_imoveisorigem_scp2_emss</t>
  </si>
  <si>
    <t>modesg_out_bens_imoveisorigem_scp3_emss</t>
  </si>
  <si>
    <t>modesg_out_bens_imoveisref_date</t>
  </si>
  <si>
    <t>modesg_out_bens_imoveisscp1_emss</t>
  </si>
  <si>
    <t>modesg_out_bens_imoveisscp2_emss</t>
  </si>
  <si>
    <t>modesg_out_bens_imoveisscp3_emss</t>
  </si>
  <si>
    <t>modesg_out_bens_imoveisunidade_funcional_scp1_emss</t>
  </si>
  <si>
    <t>modesg_out_bens_imoveisunidade_funcional_scp2_emss</t>
  </si>
  <si>
    <t>modesg_out_bens_imoveisunidade_funcional_scp3_emss</t>
  </si>
  <si>
    <t>modesg_out_empr_info_nfincca_capex_enblng_algnd</t>
  </si>
  <si>
    <t>modesg_out_empr_info_nfincca_capex_own_prfrmnce_algnd</t>
  </si>
  <si>
    <t>modesg_out_empr_info_nfincca_capex_ttl_elgbl</t>
  </si>
  <si>
    <t>modesg_out_empr_info_nfincca_trnvr_enblng_alignd</t>
  </si>
  <si>
    <t>modesg_out_empr_info_nfincca_trnvr_ttl_elgbl</t>
  </si>
  <si>
    <t>modesg_out_empr_info_nfincca_turnover_own_prfrmnce_algnd</t>
  </si>
  <si>
    <t>modesg_out_empr_info_nfinccm_capex_enblng_algnd</t>
  </si>
  <si>
    <t>modesg_out_empr_info_nfinccm_capex_own_prfrmnce_algnd</t>
  </si>
  <si>
    <t>modesg_out_empr_info_nfinccm_capex_trnstn_algnd</t>
  </si>
  <si>
    <t>modesg_out_empr_info_nfinccm_capex_ttl_elgbl</t>
  </si>
  <si>
    <t>modesg_out_empr_info_nfinccm_trnvr_enblng_algnd</t>
  </si>
  <si>
    <t>modesg_out_empr_info_nfinccm_trnvr_own_prfrmnce_algnd</t>
  </si>
  <si>
    <t>modesg_out_empr_info_nfinccm_trnvr_trnstn_alignd</t>
  </si>
  <si>
    <t>modesg_out_empr_info_nfinccm_trnvr_ttl_elgbl</t>
  </si>
  <si>
    <t>modesg_out_empr_info_nfincod_nace_esg</t>
  </si>
  <si>
    <t>modesg_out_empr_info_nfinflg_emprs_excl_paris</t>
  </si>
  <si>
    <t>modesg_out_empr_info_nfinflg_nfrd</t>
  </si>
  <si>
    <t>modesg_out_empr_info_nfinflg_rsc_fsc_agd</t>
  </si>
  <si>
    <t>modesg_out_empr_info_nfinflg_rsc_fsc_crnc</t>
  </si>
  <si>
    <t>modesg_out_empr_info_nfinn.a.</t>
  </si>
  <si>
    <t>modesg_out_empr_info_nfinorigem_alinhamentos</t>
  </si>
  <si>
    <t>modesg_out_empr_info_nfinorigem_flg_emprs_excl_paris</t>
  </si>
  <si>
    <t>modesg_out_empr_info_nfinorigem_flg_nfrd</t>
  </si>
  <si>
    <t>modesg_out_empr_info_nfinorigem_flg_rsc_fsc_agd</t>
  </si>
  <si>
    <t>modesg_out_empr_info_nfinorigem_flg_rsc_fsc_crnc</t>
  </si>
  <si>
    <t>modesg_out_empr_info_nfinorigem_scp1_emss</t>
  </si>
  <si>
    <t>modesg_out_empr_info_nfinorigem_scp2_emss</t>
  </si>
  <si>
    <t>modesg_out_empr_info_nfinorigem_scp3_emss</t>
  </si>
  <si>
    <t>modesg_out_empr_info_nfinref_date</t>
  </si>
  <si>
    <t>modesg_out_empr_info_nfinscp1_emss</t>
  </si>
  <si>
    <t>modesg_out_empr_info_nfinscp2_emss</t>
  </si>
  <si>
    <t>modesg_out_empr_info_nfinscp3_emss</t>
  </si>
  <si>
    <t>modesg_out_empr_info_nfinzcliente</t>
  </si>
  <si>
    <t>modesg_out_emss_vclscempbem</t>
  </si>
  <si>
    <t>modesg_out_emss_vclsckbalbem</t>
  </si>
  <si>
    <t>modesg_out_emss_vclsckctabem</t>
  </si>
  <si>
    <t>modesg_out_emss_vclsckrefbem</t>
  </si>
  <si>
    <t>modesg_out_emss_vclscnsm_co2</t>
  </si>
  <si>
    <t>modesg_out_emss_vclsn.a.</t>
  </si>
  <si>
    <t>modesg_out_emss_vclsorigem_scp1_emss</t>
  </si>
  <si>
    <t>modesg_out_emss_vclsorigem_scp2_emss</t>
  </si>
  <si>
    <t>modesg_out_emss_vclsorigem_scp3_emss</t>
  </si>
  <si>
    <t>modesg_out_emss_vclsref_date</t>
  </si>
  <si>
    <t>modesg_out_emss_vclsscp1_emss</t>
  </si>
  <si>
    <t>modesg_out_emss_vclsscp2_emss</t>
  </si>
  <si>
    <t>modesg_out_emss_vclsscp3_emss</t>
  </si>
  <si>
    <t>modesg_out_emss_vclsunidade_funcional_scp1_emss</t>
  </si>
  <si>
    <t>modesg_out_emss_vclsunidade_funcional_scp2_emss</t>
  </si>
  <si>
    <t>modesg_out_emss_vclsunidade_funcional_scp3_emss</t>
  </si>
  <si>
    <t>PROCESS_PROPERTY_RELCOLLATERAL_PROPERTY_IND</t>
  </si>
  <si>
    <t>PROCESS_PROPERTY_RELdata_assc</t>
  </si>
  <si>
    <t>PROCESS_PROPERTY_RELDATA_DATE_PART</t>
  </si>
  <si>
    <t>PROCESS_PROPERTY_RELFINANCED_PROPERTY_IND</t>
  </si>
  <si>
    <t>PROCESS_PROPERTY_RELn.a.</t>
  </si>
  <si>
    <t>PROCESS_PROPERTY_RELOWNED_PROPERTY_IND</t>
  </si>
  <si>
    <t>PROCESS_PROPERTY_RELPROCESS_ACCOUNT_ID</t>
  </si>
  <si>
    <t>PROCESS_PROPERTY_RELPROCESS_BANK_ID</t>
  </si>
  <si>
    <t>PROCESS_PROPERTY_RELPROCESS_BRANCH_CODE</t>
  </si>
  <si>
    <t>PROCESS_PROPERTY_RELPROCESS_REFERENCE_CODE</t>
  </si>
  <si>
    <t>PROCESS_PROPERTY_RELPROPERTY_BANK_ID</t>
  </si>
  <si>
    <t>PROCESS_PROPERTY_RELPROPERTY_BRANCH_CODE</t>
  </si>
  <si>
    <t>PROCESS_PROPERTY_RELPROPERTY_CONTRACT_ID</t>
  </si>
  <si>
    <t>PROCESS_PROPERTY_RELPROPERTY_REFERENCE_CODE</t>
  </si>
  <si>
    <t>PROCESS_PROPERTY_RELSEIZED_PROPERTY_IND</t>
  </si>
  <si>
    <t>PROCESS_PROPERTY_RELSOURCE_CODE</t>
  </si>
  <si>
    <t>PROCESScod_estd_prcs</t>
  </si>
  <si>
    <t>PROCESSCURRENCY_CODE</t>
  </si>
  <si>
    <t>PROCESSDATA_DATE_PART</t>
  </si>
  <si>
    <t>PROCESSGUARANTEE_CODE</t>
  </si>
  <si>
    <t>PROCESSGUARANTEE_TYPE_CODE</t>
  </si>
  <si>
    <t>PROCESSmontante_eur</t>
  </si>
  <si>
    <t>PROCESSmontante_org</t>
  </si>
  <si>
    <t>PROCESSn.a.</t>
  </si>
  <si>
    <t>PROCESSorigem</t>
  </si>
  <si>
    <t>PROCESSPROCESS_ACCOUNT_ID</t>
  </si>
  <si>
    <t>PROCESSPROCESS_BANK_ID</t>
  </si>
  <si>
    <t>PROCESSPROCESS_BRANCH_CODE</t>
  </si>
  <si>
    <t>PROCESSPROCESS_CAMPAIGN_CODE</t>
  </si>
  <si>
    <t>PROCESSPROCESS_DUE_DATE</t>
  </si>
  <si>
    <t>PROCESSPROCESS_PRODUCT_ID</t>
  </si>
  <si>
    <t>PROCESSPROCESS_REFERENCE_CODE</t>
  </si>
  <si>
    <t>PROCESSPROCESS_START_DATE</t>
  </si>
  <si>
    <t>PROCESSPROCESS_SUBPRODUCT_ID</t>
  </si>
  <si>
    <t>PROPERTY_ENERGY_CERTIFICATEADDRESS_CODE</t>
  </si>
  <si>
    <t>PROPERTY_ENERGY_CERTIFICATEBUILDING_DOMEST_HOTWATER_VALUE</t>
  </si>
  <si>
    <t>PROPERTY_ENERGY_CERTIFICATEBUILDING_SPACE_COOLING_VALUE</t>
  </si>
  <si>
    <t>PROPERTY_ENERGY_CERTIFICATEBUILDING_SPACE_HEATING_VALUE</t>
  </si>
  <si>
    <t>PROPERTY_ENERGY_CERTIFICATECADASTRAL_REGISTER_CODE</t>
  </si>
  <si>
    <t>PROPERTY_ENERGY_CERTIFICATECARBON_EMISSION_VALUE</t>
  </si>
  <si>
    <t>PROPERTY_ENERGY_CERTIFICATECARBON_EMISSION_VALUE_YEAR</t>
  </si>
  <si>
    <t>PROPERTY_ENERGY_CERTIFICATECERTIFICATE_TYPE</t>
  </si>
  <si>
    <t>PROPERTY_ENERGY_CERTIFICATECLIMATE_ZONE_SUMMER</t>
  </si>
  <si>
    <t>PROPERTY_ENERGY_CERTIFICATECLIMATE_ZONE_WINTER</t>
  </si>
  <si>
    <t>PROPERTY_ENERGY_CERTIFICATEDATA_DATE_PART</t>
  </si>
  <si>
    <t>PROPERTY_ENERGY_CERTIFICATEDISTRICT_MUNICIP_PARISH_CODE</t>
  </si>
  <si>
    <t>PROPERTY_ENERGY_CERTIFICATEDOMEST_HOTWATER_REF_VALUE</t>
  </si>
  <si>
    <t>PROPERTY_ENERGY_CERTIFICATEDURATION_SUMMER</t>
  </si>
  <si>
    <t>PROPERTY_ENERGY_CERTIFICATEDURATION_WINTER</t>
  </si>
  <si>
    <t>PROPERTY_ENERGY_CERTIFICATEENERGY_CERTIFICATION_SYSTEM_CODE</t>
  </si>
  <si>
    <t>PROPERTY_ENERGY_CERTIFICATEENERGY_CLASS_AFTER_MEASUREMENT</t>
  </si>
  <si>
    <t>PROPERTY_ENERGY_CERTIFICATEENERGY_CONSUMPTION_TYPE_S_IND</t>
  </si>
  <si>
    <t>PROPERTY_ENERGY_CERTIFICATEENERGY_CONSUMPTION_TYPE_T_IND</t>
  </si>
  <si>
    <t>PROPERTY_ENERGY_CERTIFICATEENERGY_CONSUMPTION_VALUE_YEAR</t>
  </si>
  <si>
    <t>PROPERTY_ENERGY_CERTIFICATEENERGY_EFFICIENCY_IND</t>
  </si>
  <si>
    <t>PROPERTY_ENERGY_CERTIFICATEEP_SCORE</t>
  </si>
  <si>
    <t>PROPERTY_ENERGY_CERTIFICATEEPC</t>
  </si>
  <si>
    <t>PROPERTY_ENERGY_CERTIFICATEEPC_EXPIRATION_DATE</t>
  </si>
  <si>
    <t>PROPERTY_ENERGY_CERTIFICATEEPC_ISSUING_DATE</t>
  </si>
  <si>
    <t>PROPERTY_ENERGY_CERTIFICATEFLOOR_NUMBER</t>
  </si>
  <si>
    <t>PROPERTY_ENERGY_CERTIFICATEHEIGHT</t>
  </si>
  <si>
    <t>PROPERTY_ENERGY_CERTIFICATEINVOICE_RED_ANNUAL_ESTMTD_VALUE</t>
  </si>
  <si>
    <t>PROPERTY_ENERGY_CERTIFICATELAND_REGISTRY_OFFICE_CODE</t>
  </si>
  <si>
    <t>PROPERTY_ENERGY_CERTIFICATELOCALITY</t>
  </si>
  <si>
    <t>PROPERTY_ENERGY_CERTIFICATEn.a.</t>
  </si>
  <si>
    <t>PROPERTY_ENERGY_CERTIFICATENET_FLOOR_AREA</t>
  </si>
  <si>
    <t>PROPERTY_ENERGY_CERTIFICATENZEB_IND</t>
  </si>
  <si>
    <t>PROPERTY_ENERGY_CERTIFICATEPNL_SUMMER_REF_VALUE</t>
  </si>
  <si>
    <t>PROPERTY_ENERGY_CERTIFICATEPNL_SUMMER_ROOF_VALUE</t>
  </si>
  <si>
    <t>PROPERTY_ENERGY_CERTIFICATEPNL_SUMMER_WALLS_DOORS_VALUE</t>
  </si>
  <si>
    <t>PROPERTY_ENERGY_CERTIFICATEPNL_SUMMER_WINDOWS_VALUE</t>
  </si>
  <si>
    <t>PROPERTY_ENERGY_CERTIFICATEPNL_WINTER_FANS_VALUE</t>
  </si>
  <si>
    <t>PROPERTY_ENERGY_CERTIFICATEPNL_WINTER_FLOORS_VALUE</t>
  </si>
  <si>
    <t>PROPERTY_ENERGY_CERTIFICATEPNL_WINTER_REF_VALUE</t>
  </si>
  <si>
    <t>PROPERTY_ENERGY_CERTIFICATEPNL_WINTER_ROOF_VALUE</t>
  </si>
  <si>
    <t>PROPERTY_ENERGY_CERTIFICATEPNL_WINTER_WALLS_DOORS_VALUE</t>
  </si>
  <si>
    <t>PROPERTY_ENERGY_CERTIFICATEPNL_WINTER_WINDOWS_VALUE</t>
  </si>
  <si>
    <t>PROPERTY_ENERGY_CERTIFICATEPRIMARY_ENERGY_REQ_VALUE</t>
  </si>
  <si>
    <t>PROPERTY_ENERGY_CERTIFICATEPROPERTY_BANK_ID</t>
  </si>
  <si>
    <t>PROPERTY_ENERGY_CERTIFICATEPROPERTY_BRANCH_CODE</t>
  </si>
  <si>
    <t>PROPERTY_ENERGY_CERTIFICATEPROPERTY_CONTRACT_ID</t>
  </si>
  <si>
    <t>PROPERTY_ENERGY_CERTIFICATEPROPERTY_IDENTIFICATION_CODE</t>
  </si>
  <si>
    <t>PROPERTY_ENERGY_CERTIFICATEPROPERTY_PURPOSE_CODE</t>
  </si>
  <si>
    <t>PROPERTY_ENERGY_CERTIFICATEPROPERTY_REFERENCE_CODE</t>
  </si>
  <si>
    <t>PROPERTY_ENERGY_CERTIFICATEREN_ENERGY_EFFICIENCY_IND</t>
  </si>
  <si>
    <t>PROPERTY_ENERGY_CERTIFICATEREN_ENERGY_PRODUCED_OTHER_VALUE</t>
  </si>
  <si>
    <t>PROPERTY_ENERGY_CERTIFICATEREN_ENERGY_PRODUCED_REG_VALUE</t>
  </si>
  <si>
    <t>PROPERTY_ENERGY_CERTIFICATEREN_ENERGY_PRODUCED_VALUE</t>
  </si>
  <si>
    <t>PROPERTY_ENERGY_CERTIFICATERENEWABLE_DOMEST_HOTWATER_VALUE</t>
  </si>
  <si>
    <t>PROPERTY_ENERGY_CERTIFICATERENEWABLE_SPACE_COOLING_VALUE</t>
  </si>
  <si>
    <t>PROPERTY_ENERGY_CERTIFICATERENEWABLE_SPACE_HEATING_VALUE</t>
  </si>
  <si>
    <t>PROPERTY_ENERGY_CERTIFICATESOURCE_CODE</t>
  </si>
  <si>
    <t>PROPERTY_ENERGY_CERTIFICATESPACE_COOLING_REF_VALUE</t>
  </si>
  <si>
    <t>PROPERTY_ENERGY_CERTIFICATESPACE_HEATING_REF_VALUE</t>
  </si>
  <si>
    <t>PROPERTY_ENERGY_CERTIFICATETEMPERATURE_DAY_VALUE</t>
  </si>
  <si>
    <t>PROPERTY_ENERGY_CERTIFICATETEMPERATURE_OUTDOOR_AVG_VALUE</t>
  </si>
  <si>
    <t>PROPERTY_ENERGY_CERTIFICATETHERMAL_BEHAVIOUR_FLOORS</t>
  </si>
  <si>
    <t>PROPERTY_ENERGY_CERTIFICATETHERMAL_BEHAVIOUR_ROOF</t>
  </si>
  <si>
    <t>PROPERTY_ENERGY_CERTIFICATETHERMAL_BEHAVIOUR_TECH_SYS_VENT</t>
  </si>
  <si>
    <t>PROPERTY_ENERGY_CERTIFICATETHERMAL_BEHAVIOUR_WALL</t>
  </si>
  <si>
    <t>PROPERTY_ENERGY_CERTIFICATETHERMAL_BEHAVIOUR_WINDOWS</t>
  </si>
  <si>
    <t>PROPERTY_ENERGY_CERTIFICATETOTAL_INVSTMNT_ESTMTD_VALUE</t>
  </si>
  <si>
    <t>PROPERTY_ENERGY_CERTIFICATEUSEFUL_ENERGY_COOLING_VALUE</t>
  </si>
  <si>
    <t>PROPERTY_ENERGY_CERTIFICATEUSEFUL_ENERGY_DOM_HOTWATER_VALUE</t>
  </si>
  <si>
    <t>PROPERTY_ENERGY_CERTIFICATEUSEFUL_ENERGY_FANS_REQ_VALUE</t>
  </si>
  <si>
    <t>PROPERTY_ENERGY_CERTIFICATEUSEFUL_ENERGY_HEATING_REQ_VALUE</t>
  </si>
  <si>
    <t>PROPERTYADDRESS</t>
  </si>
  <si>
    <t>PROPERTYADDRESS_CODE</t>
  </si>
  <si>
    <t>PROPERTYAPPRAISAL_CODE</t>
  </si>
  <si>
    <t>PROPERTYCADASTRAL_REGISTER_CODE</t>
  </si>
  <si>
    <t>PROPERTYcod_bem</t>
  </si>
  <si>
    <t>PROPERTYCOLLATERAL_FAST_SALE_AMOUNT</t>
  </si>
  <si>
    <t>PROPERTYCONSERVATORY_REG_FILE_ID</t>
  </si>
  <si>
    <t>PROPERTYCONSTRUCTION_COMPLETED_PCT</t>
  </si>
  <si>
    <t>PROPERTYCONSTRUCTION_YEAR</t>
  </si>
  <si>
    <t>PROPERTYCOUNTRY_CODE</t>
  </si>
  <si>
    <t>PROPERTYCURRENT_CONSTRUCTION_PCT</t>
  </si>
  <si>
    <t>PROPERTYDATA_DATE_PART</t>
  </si>
  <si>
    <t>PROPERTYDISTRICT_MUNICIP_PARISH_CODE</t>
  </si>
  <si>
    <t>PROPERTYFLOOR_NUMBER</t>
  </si>
  <si>
    <t>PROPERTYLAST_APPRAISAL_AMOUNT</t>
  </si>
  <si>
    <t>PROPERTYLAST_APPRAISAL_DATE</t>
  </si>
  <si>
    <t>PROPERTYLOCALITY</t>
  </si>
  <si>
    <t>PROPERTYn.a.</t>
  </si>
  <si>
    <t>PROPERTYNET_APPRAISAL_AMOUNT</t>
  </si>
  <si>
    <t>PROPERTYNET_FLOOR_AREA</t>
  </si>
  <si>
    <t>PROPERTYorigem</t>
  </si>
  <si>
    <t>PROPERTYPOSTAL_CODE</t>
  </si>
  <si>
    <t>PROPERTYPROPERTY_BANK_ID</t>
  </si>
  <si>
    <t>PROPERTYPROPERTY_BRANCH_CODE</t>
  </si>
  <si>
    <t>PROPERTYPROPERTY_CONTRACT_ID</t>
  </si>
  <si>
    <t>PROPERTYPROPERTY_LIFETIME_CODE</t>
  </si>
  <si>
    <t>PROPERTYPROPERTY_LOT</t>
  </si>
  <si>
    <t>PROPERTYPROPERTY_NUMBER</t>
  </si>
  <si>
    <t>PROPERTYPROPERTY_PURPOSE_CODE</t>
  </si>
  <si>
    <t>PROPERTYPROPERTY_REFERENCE_CODE</t>
  </si>
  <si>
    <t>PROPERTYPROPERTY_TYPE_CODE</t>
  </si>
  <si>
    <t>PROPERTYURBANIZATION</t>
  </si>
  <si>
    <t>PROPERTYUSAGE_PERMIT_START_DATE</t>
  </si>
  <si>
    <t>RESPONSIBILITY_PROCESS_RELBANK_ID</t>
  </si>
  <si>
    <t>RESPONSIBILITY_PROCESS_RELBRANCH_CODE</t>
  </si>
  <si>
    <t>RESPONSIBILITY_PROCESS_RELcod_sit</t>
  </si>
  <si>
    <t>RESPONSIBILITY_PROCESS_RELCONTRACT_ID</t>
  </si>
  <si>
    <t>RESPONSIBILITY_PROCESS_RELDATA_DATE_PART</t>
  </si>
  <si>
    <t>RESPONSIBILITY_PROCESS_RELEFFECTIVE_RELATION_END_DATE</t>
  </si>
  <si>
    <t>RESPONSIBILITY_PROCESS_RELidetgar</t>
  </si>
  <si>
    <t>RESPONSIBILITY_PROCESS_RELINDIVIDUAL_OCCUPATION_CODE</t>
  </si>
  <si>
    <t>RESPONSIBILITY_PROCESS_RELn.a.</t>
  </si>
  <si>
    <t>RESPONSIBILITY_PROCESS_RELnum_prop</t>
  </si>
  <si>
    <t>RESPONSIBILITY_PROCESS_RELPROCESS_ACCOUNT_ID</t>
  </si>
  <si>
    <t>RESPONSIBILITY_PROCESS_RELPROCESS_BANK_ID</t>
  </si>
  <si>
    <t>RESPONSIBILITY_PROCESS_RELPROCESS_BRANCH_CODE</t>
  </si>
  <si>
    <t>RESPONSIBILITY_PROCESS_RELPROCESS_REFERENCE_CODE</t>
  </si>
  <si>
    <t>RESPONSIBILITY_PROCESS_RELPRODUCT_ID</t>
  </si>
  <si>
    <t>RESPONSIBILITY_PROCESS_RELPURPOSE_CODE</t>
  </si>
  <si>
    <t>RESPONSIBILITY_PROCESS_RELREFERENCE_CODE</t>
  </si>
  <si>
    <t>RESPONSIBILITY_PROCESS_RELSOURCE_CODE</t>
  </si>
  <si>
    <t>RESPONSIBILITY_PROCESS_RELSUBPRODUCT_ID</t>
  </si>
  <si>
    <t>Grand Total</t>
  </si>
  <si>
    <t>(Multiple Items)</t>
  </si>
  <si>
    <t>Count of Campo</t>
  </si>
  <si>
    <t>Column Labels</t>
  </si>
  <si>
    <t>Row Labels</t>
  </si>
  <si>
    <t>(alterar quando necessário)</t>
  </si>
  <si>
    <t>(data default - Dez2023)</t>
  </si>
  <si>
    <t>Campo Origem</t>
  </si>
  <si>
    <t>Tipologia_Testes</t>
  </si>
  <si>
    <t>Necessidade de re-especificação? (campo)</t>
  </si>
  <si>
    <t>Complexidade</t>
  </si>
  <si>
    <t>Data de Alteração Status</t>
  </si>
  <si>
    <t>Estimação (horas)</t>
  </si>
  <si>
    <t>Notas</t>
  </si>
  <si>
    <t>Owner</t>
  </si>
  <si>
    <t>Data alteração especificação</t>
  </si>
  <si>
    <t>Data de inicio testes</t>
  </si>
  <si>
    <t>Data de incidência / pedido esclarecimento</t>
  </si>
  <si>
    <t>Data de correção/resposta prevista</t>
  </si>
  <si>
    <t>Data de correção/resposta efetiva</t>
  </si>
  <si>
    <t>Query</t>
  </si>
  <si>
    <t>1. Teste de universo</t>
  </si>
  <si>
    <t>Sim</t>
  </si>
  <si>
    <t>Alta</t>
  </si>
  <si>
    <t>2. Simulação</t>
  </si>
  <si>
    <t>3. Testes comparativos (Espec. VS Impl.)</t>
  </si>
  <si>
    <t>4. Validação de parametrizações</t>
  </si>
  <si>
    <t>6. Validação de formatos</t>
  </si>
  <si>
    <t>7. Validação de controlos corporativos</t>
  </si>
  <si>
    <t>5. Teste comparativos com LT</t>
  </si>
  <si>
    <t>Não</t>
  </si>
  <si>
    <t>Baixa</t>
  </si>
  <si>
    <t>Média</t>
  </si>
  <si>
    <t>26/07/2024: Entrega de correção de incidência para testes</t>
  </si>
  <si>
    <t xml:space="preserve"> bu_esg_work.kt_chave_gloval; bu_esg_work.gloval_clase_energetica_dez23</t>
  </si>
  <si>
    <t>9. Teste de Integridade</t>
  </si>
  <si>
    <t>Comentário da Susana ao paralelo: Efetivamente recebemos informação da Gloval mas para este efeito devemos apenas tomar os dados reais (e não as estimativas); existe um campo que indica essa situação</t>
  </si>
  <si>
    <t>Cempresa não está incluída na chave - mas a especificação no excel diz: Chave encriptada do bem, gerada com base na concatenação das variáveis cempbem, ckbalbem, ckctabem e ckrefbem</t>
  </si>
  <si>
    <t>Chave primária na especificação não está de acordo com a especificação mas está bem implementado</t>
  </si>
  <si>
    <t>Controlos errados na EF</t>
  </si>
  <si>
    <t>Gestão processual (validação igual à cd_imv_out_trz_prc_bens_imv)
Modelo de Garantias
Adjudicados (especificação igual à cd_imv_out_trz_prc_bens_imv)</t>
  </si>
  <si>
    <t>HC</t>
  </si>
  <si>
    <t>Eliminado</t>
  </si>
  <si>
    <t>Validar se as restrições ao preenchimento do campo são aplicáveis quando existe para o mesmo bem duas linhas: uma a vazio e outra aprovisionada; Campo apagado</t>
  </si>
  <si>
    <t>26/07/2024: Universo MUG - OK; Universo GP - OK; Universo Adjudicados sem informação no Modelo de Bens imóveis. Adjudicados serão testados apenas em bloco no âmbito do projeto de especificação dos satélites</t>
  </si>
  <si>
    <t>Campo cbem gt009 incorretamente especificado; Campo apagado</t>
  </si>
  <si>
    <t>Este universo depende da especificação do universo da tabela cd_imv_out_bens
Nota do Afonso: Em aberto, regra de aprovisionamento para informação proveniente do OCR (para todos os campos)</t>
  </si>
  <si>
    <t>Nota do Afonso: Em aberto, regra de aprovisionamento para informação proveniente do OCR; 26/07/2024: Universo MUG - OK; Universo GP - OK; Universo Adjudicados sem informação no Modelo de Bens imóveis. Adjudicados serão testados apenas em bloco no âmbito do projeto de especificação dos satélites</t>
  </si>
  <si>
    <t>Nota do Afonso: Em aberto, regra de aprovisionamento para informação proveniente do OCR</t>
  </si>
  <si>
    <t>Gestão processual (validação igual à cd_imv_out_trz_cred_prc)
Modelo de Garantias
Adjudicados (especificação igual à cd_imv_out_trz_cred_prc)</t>
  </si>
  <si>
    <t>Campo Apagado</t>
  </si>
  <si>
    <t>Gestão processual (necessário reespecificar (corte e cruzamento)
Modelo de Garantias
Adjudicados (corte das linhas)</t>
  </si>
  <si>
    <t>Está em especificação na outra tabela de traçabilidade</t>
  </si>
  <si>
    <t>Códigos do tipo finalidade bem do input da corporação tem maior granularidade que os o tipo finalidade bem do DL</t>
  </si>
  <si>
    <t>Tema de dependência: Encontra-se tudo com "Corporação" ao contrário da EF (incorreto para Janeiro e por coincidência correto para março)</t>
  </si>
  <si>
    <t xml:space="preserve">Alterações: 
1) Filtrar a tabela que serve de base ao universo com origem = 'AUT';
2) Deve considerar-se a contraparte mais recente preenchida sem definição de horizonte temporal
Temas do Cod Nace:
Código Nace:
- Identificar se é necessário algum tipo de saldo para fazermos a substituição do Code Nace da holding por outra empresa
- Verificar no caso em que não existe nenhum saldo o que devemos considerar
- Identificar os critérios de escolha caso tenham o mesmo saldo
- Requisitos da tabela de tradução (códigos nace DL vs códigos nace corporação)
</t>
  </si>
  <si>
    <t>metodologia a aplicar para os casos em que um ccli_grupo tem mais que um clei deveria ser a metodologia aplicada na Loan Tape, isto é, o clei máximo do grupo.</t>
  </si>
  <si>
    <t>A fechar reespecificação</t>
  </si>
  <si>
    <t>Enviado o novo universo da tabela para o IT</t>
  </si>
  <si>
    <t>Input a NULL e output com 0</t>
  </si>
  <si>
    <t>Ver resumo da especificação do Rio com Susana : confirmar se é o nosso entendimento e se estamos a fazer a nossa simulação com base neste entendimento;
Caracteres Especiais</t>
  </si>
  <si>
    <t>Universo Clientes / Nota excel (por isso o amarelo)
Universo Operações / Nota Excel: Nova especificação Susana email paralelo: quando um cliente é verde só marcas as suas operações verdes nas quais ele é um aderente e não um devedor
Universo Produtos Rentabilidade / Nota Excel 
Universo Bens Imóveis 
Garantir que temos informação para fazer o Cruzamento com as tabelas necessárias dos bens imóveis (para ir buscar o epc)
Nova especificação Susana no email do paralelo: Efetivamente recebemos informação da Gloval mas para este efeito devemos apenas tomar os dados reais (e não as estimativas); existe um campo que indica essa situação
Nova especificação: Só se tem em conta os bens com cod finalidade de financiamento
Universo Bens Móveis / Novo Universo
Garantir que temos informação para fazer o Cruzamento com as tabelas necessárias dos bens imóveis (cod lease e consumo CO2)
Confirmar se é necessário fazer algum filtro por cod finalidade conforme nos bens imóveis (ver nota do campo desta tabela montante de ponderação)</t>
  </si>
  <si>
    <t>Preenchimento do Cod Regra para validar com LCM</t>
  </si>
  <si>
    <t>Cancelado</t>
  </si>
  <si>
    <t xml:space="preserve">Alteração EF: Para os bens imóveis o LCM disse que para o montante de ponderação era necessário ver os imóveis financiados (cod finalidade). 
Para os bens móveis ele disse: No leasing, por definicao tudo o que é garantido é financiado. Portanto não tem que existir nenhum filtro para os bens móveis com cod finalidade financiado? 
</t>
  </si>
  <si>
    <t>Definir a priorização das categorias e novos códigos 
Controlo de input não está de acordo com a chave primária da tabela de output - Email recebido no dia 28/08 da corporação</t>
  </si>
  <si>
    <t>Nota Excel</t>
  </si>
  <si>
    <t>20240625 Modelo Verde - Parametrização SFCS e Taxonomia Europeia_Maio2024 v1.3</t>
  </si>
  <si>
    <t>8. Teste de Carregamento</t>
  </si>
  <si>
    <t>Necessário pedir também alteração da ordem das colunas
Temos que questionar os campos flag e cfinalidade , enviar email com o campo cod finalidade e enviar email pr causa dos controlos do campo comite e campos técnicos (os tenicos o gustavo vai enviar)</t>
  </si>
  <si>
    <t>No excel é chave primária, mas é entregue a vazio na parametrização, mas o IT preenche com a ordem das linhsa / validar com o LCM o entendimento</t>
  </si>
  <si>
    <t>Este campo foi entregue na parametrização e fazem referência na tabela de output de marcação verde, contudo não aparece na especificação desta tabela. É necessário acrescentar. Mas o IT já o tem implementado</t>
  </si>
  <si>
    <t>Este campo foi entregue na parametrização, contudo não aparece na especificação desta tabela. É necessário acrescentar. Mas o IT já o tem implementado</t>
  </si>
  <si>
    <t>Enviar e-mail a confirmar que este campo não pode estar a vazio de acordo com o discutido com a equipa de IT e Susana 
Controlo de input não está de acordo com a chave primária da tabela de output</t>
  </si>
  <si>
    <t>20240612 Pillar 3 ESG - Emissions data Junio 2024</t>
  </si>
  <si>
    <t>Novos campos - alterar front</t>
  </si>
  <si>
    <t>Troca de colunas no ficheitro. Email enviado ao LCM</t>
  </si>
  <si>
    <t>JC</t>
  </si>
  <si>
    <t>20240607 Pillar 3 ESG - List of Paris excluded companies June 2024</t>
  </si>
  <si>
    <t>Validar com Diogo - Greenvolt</t>
  </si>
  <si>
    <t>Manualidades necessárias</t>
  </si>
  <si>
    <t>20240615_Pillar 3 ESG - GAR External Data_v2</t>
  </si>
  <si>
    <t>20240607 Pillar 3 ESG - Physical risk.v6</t>
  </si>
  <si>
    <t xml:space="preserve">Manualidades necessárias - sheet </t>
  </si>
  <si>
    <t xml:space="preserve">Parte dos testes foram feitos exportando a versão do IT e feita a comparação direta em excel (está nas análises equipa) </t>
  </si>
  <si>
    <r>
      <t xml:space="preserve">À excepção das variáveis </t>
    </r>
    <r>
      <rPr>
        <i/>
        <sz val="9"/>
        <color theme="1"/>
        <rFont val="Verdana"/>
        <family val="2"/>
      </rPr>
      <t>nome_estado</t>
    </r>
    <r>
      <rPr>
        <sz val="9"/>
        <color theme="1"/>
        <rFont val="Verdana"/>
        <family val="2"/>
      </rPr>
      <t>, nome_pais, subgrupo, scp1_ftr_emss, scp2_ftr_emss e scp3_ftr_emss as restantes variáveis devem estar preenchidas</t>
    </r>
  </si>
  <si>
    <t xml:space="preserve">Mudança de posição
Parte dos testes foram feitos exportando a versão do IT e feita a comparação direta em excel (está nas análises equipa) 
</t>
  </si>
  <si>
    <t xml:space="preserve">Os valores associados às variáveis scp1_ftr_emss, scp2_ftr_emss e scp3_ftr_emss devem ser superiores a 0, quando preenchidos.
</t>
  </si>
  <si>
    <t>Os valores associados às variáveis scp1_ftr_emss, scp2_ftr_emss e scp3_ftr_emss devem ser superiores a 0, quando preenchidos.
 A scp3_ftr_emss não deverá estar preenchida com valores numéricos, uma vez que os veículos não emitem este tipo de scopes</t>
  </si>
  <si>
    <t xml:space="preserve"> A scp3_ftr_emss não deverá estar preenchida com valores numéricos, uma vez que os veículos não emitem este tipo de scopes</t>
  </si>
  <si>
    <t>Garantir o controlo: todas as variáveis devem estar preenchidas.</t>
  </si>
  <si>
    <t>Garantir o controlo: todas as variáveis devem estar preenchidas.; Manualidades necessárias &gt; mapeamento no próprio ficheiro antes de importar</t>
  </si>
  <si>
    <t>Manualidades necessárias &gt; mapeamento no próprio ficheiro antes de importar</t>
  </si>
  <si>
    <t>Garantir o controlo: todos os registos a carregar devem ter pelo menos uma das seguintes variáveis preenchidas: ccli_kgl, clei ou isin.</t>
  </si>
  <si>
    <t>Garantir o controlo: todos os registos a carregar devem ter pelo menos uma das seguintes variáveis preenchidas: ccli_kgl ou clei.</t>
  </si>
  <si>
    <t>Garantir o controlo: os valores das variáveis cca_trnvr_ttl_elgbl, cca_trnvr_enblng_alignd, cca_turnover_own_prfrmnce_algnd, cca_capex_ttl_elgbl, cca_capex_enblng_algnd, cca_capex_own_prfrmnce_algnd, ccm_trnvr_ttl_elgbl, ccm_trnvr_enblng_algnd, ccm_trnvr_trnstn_alignd, ccm_trnvr_own_prfrmnce_algnd, ccm_capex_ttl_elgbl, ccm_capex_enblng_algnd, ccm_capex_trnstn_algnd, ccm_capex_own_prfrmnce_algnd devem estar compreendidos entre 0 e 100.</t>
  </si>
  <si>
    <t>Garantir o controlo: os valores das variáveis cca_trnvr_ttl_elgbl, cca_trnvr_enblng_alignd, cca_turnover_own_prfrmnce_algnd, cca_capex_ttl_elgbl, cca_capex_enblng_algnd, cca_capex_own_prfrmnce_algnd, ccm_trnvr_ttl_elgbl, ccm_trnvr_enblng_algnd, ccm_trnvr_trnstn_alignd, ccm_trnvr_own_prfrmnce_algnd, ccm_capex_ttl_elgbl, ccm_capex_enblng_algnd, ccm_capex_trnstn_algnd, ccm_capex_own_prfrmnce_algnd, devem estar compreendidos entre 0 e 100.</t>
  </si>
  <si>
    <t>Garantir o controlo: os valores das variáveis cca_trnvr_ttl_elgbl, cca_trnvr_enblng_alignd, cca_turnover_own_prfrmnce_algnd, cca_capex_ttl_elgbl, cca_capex_enblng_algnd, cca_capex_own_prfrmnce_algnd, ccm_trnvr_ttl_elgbl, ccm_trnvr_enblng_algnd, ccm_trnvr_trnstn_alignd, ccm_trnvr_own_prfrmnce_algnd, ccm_capex_ttl_elgbl, ccm_capex_enblng_algnd, ccm_capex_trnstn_algnd, ccm_capex_own_prfrmnce_algnd, devem estar compreendidos entre 0 e 100. Note-se que este campo ainda não está refletido na especificação.</t>
  </si>
  <si>
    <t>Garantir o controlo: todos os registos a carregar devem ter as seguintes variáveis preenchidas: cod_pais e cod_nace_esg.</t>
  </si>
  <si>
    <t>Garantir o controlo: as variáveis flg_rsc_fsc_agd e flg_rsc_fsc_crnc devem ter sempre um de dois valores: Yes, No.</t>
  </si>
  <si>
    <t>Garantir o controlo: os valores associados às variáveis scp1_emss, scp2_emss e scp3_emss devem ser superiores a 0.</t>
  </si>
  <si>
    <t>Mudança de posição</t>
  </si>
  <si>
    <t>Diogo: Validar o nace recebido pela corporação vs o mais granular (ver se podemos avançar com a alteração de usar o menos granular)
Garantir o controlo: todos os registos a carregar devem ter as variáveis cod_nace_esg e unidade_funcional preenchidas.</t>
  </si>
  <si>
    <t>Parte do universo foi testado através de validação manual</t>
  </si>
  <si>
    <t>Garantir o controlo: todos os registos a carregar devem ter as variáveis cod_nace_esg e unidade_funcional preenchidas.</t>
  </si>
  <si>
    <t>Garantir o controlo: os valores associados às variáveis scp1_ftr_emss, scp2_ftr_emss e scp3_ftr_emss devem ser superiores a 0.</t>
  </si>
  <si>
    <t>Devido aos caracteres especiais, parte dos testes foi realizado através de counts para garantir que as diferenças eram apenas dos caracteres especiais</t>
  </si>
  <si>
    <t>Garantir o controlo: os valores associados às variáveis scp1_ftr_emss e scp2_ftr_emss devem ser superiores a 0.</t>
  </si>
  <si>
    <t>valor_lt</t>
  </si>
  <si>
    <t>Atualizar</t>
  </si>
  <si>
    <t>cd_estruturais.interface_moradas</t>
  </si>
  <si>
    <t>clyr7003_cpostal
clyr7003_cpaismor</t>
  </si>
  <si>
    <t>Teste</t>
  </si>
  <si>
    <t>land_riscos.MAT18_BALZCLIA</t>
  </si>
  <si>
    <t>MPTOT</t>
  </si>
  <si>
    <t>Re-especificação pequena</t>
  </si>
  <si>
    <t>cd_mercados.ttt35_titlgru</t>
  </si>
  <si>
    <t>CTITISIN
CISINREF</t>
  </si>
  <si>
    <t>land_riscos.MAT22_DEMZGPIA</t>
  </si>
  <si>
    <t>MVDSRPRE</t>
  </si>
  <si>
    <t>land_riscos.MAT19_BALZGPIA</t>
  </si>
  <si>
    <t>flg_nfrd
origem_flg_nfrd</t>
  </si>
  <si>
    <t>scp1_emss
origem_scp1_emss</t>
  </si>
  <si>
    <t>Re-especificação estrutural</t>
  </si>
  <si>
    <t>scp2_emss
origem_scp2_emss</t>
  </si>
  <si>
    <t>scp3_emss
origem_scp3_emss</t>
  </si>
  <si>
    <t>lt803_codigos_lt</t>
  </si>
  <si>
    <t>Re-especificação pequena &amp; atualizar</t>
  </si>
  <si>
    <t>modesg_out_bens_imoveis
modesg_out_emss_vcls</t>
  </si>
  <si>
    <t>scp1_emss
scp1_emss</t>
  </si>
  <si>
    <t>scp2_emss
scp2_emss</t>
  </si>
  <si>
    <t>scp3_emss
scp3_emss</t>
  </si>
  <si>
    <t>flg_exec</t>
  </si>
  <si>
    <t>Teste (sem visibilidade de atualização)</t>
  </si>
  <si>
    <t>Código Montado; Em validação de pq tantas diferenças</t>
  </si>
  <si>
    <t xml:space="preserve">Campo </t>
  </si>
  <si>
    <t>LT_VALIDATION_LABEL</t>
  </si>
  <si>
    <t>LT_VALIDATION_DESCRIPTION</t>
  </si>
  <si>
    <t>LT_VALIDAT_TABLE</t>
  </si>
  <si>
    <t>LT_VALIDAT_FIELD</t>
  </si>
  <si>
    <t>LT_VALIDATION_TYPE</t>
  </si>
  <si>
    <t>LT_PROC_STEP_ID</t>
  </si>
  <si>
    <t>LT_PROC_VAL_NEW_STATUS</t>
  </si>
  <si>
    <t>LT_VAL_EXECUTED</t>
  </si>
  <si>
    <t>LT_VAL_INCIDENTS</t>
  </si>
  <si>
    <t>VL_PERCENT</t>
  </si>
  <si>
    <t>LT_C_EN_001_01</t>
  </si>
  <si>
    <t>"Entity code of the informing society." should be a Char not null (default values not allowed)</t>
  </si>
  <si>
    <t>INTRA_N1_EN</t>
  </si>
  <si>
    <t>COD_SOC</t>
  </si>
  <si>
    <t>NOT_NULL_CHAR</t>
  </si>
  <si>
    <t>LT_C_EN</t>
  </si>
  <si>
    <t>LT_C_EN_009_01</t>
  </si>
  <si>
    <t>"Reference date." should be a Date not null (default values not allowed)</t>
  </si>
  <si>
    <t>DT_RFRNC</t>
  </si>
  <si>
    <t>NOT_NULL_DATE</t>
  </si>
  <si>
    <t>LT_C_IE_001_01</t>
  </si>
  <si>
    <t>INTRA_N1_IE</t>
  </si>
  <si>
    <t>LT_C_IE</t>
  </si>
  <si>
    <t>LT_C_IE_002_01</t>
  </si>
  <si>
    <t>"Reference date" should be a Date not null (default values not allowed)</t>
  </si>
  <si>
    <t>LT_C_IE_004_01</t>
  </si>
  <si>
    <t>"Instrument ID" should be a Char not null (default values not allowed)</t>
  </si>
  <si>
    <t>INSTRMNT_ID</t>
  </si>
  <si>
    <t>LT_C_IN_001_01</t>
  </si>
  <si>
    <t>INTRA_N1_IN</t>
  </si>
  <si>
    <t>LT_C_IN</t>
  </si>
  <si>
    <t>LT_C_IN_007_01</t>
  </si>
  <si>
    <t>LT_C_IN_008_01</t>
  </si>
  <si>
    <t>LT_C_IN_020_01</t>
  </si>
  <si>
    <t>"Default status of the instrument" should be a num not null  (default values for not applicable fields not allowed)</t>
  </si>
  <si>
    <t>INSTRUMENT</t>
  </si>
  <si>
    <t>DFLT_STTS_INSTRMNT</t>
  </si>
  <si>
    <t>NOT_NULL_NUM_NA</t>
  </si>
  <si>
    <t>KO</t>
  </si>
  <si>
    <t>LT_C_IN_044_01</t>
  </si>
  <si>
    <t>"Performing status" should be a num not null  (default values for not applicable fields not allowed)</t>
  </si>
  <si>
    <t>PRFRMNG_STTS</t>
  </si>
  <si>
    <t>LT_C_IN_193_01</t>
  </si>
  <si>
    <t>"Local Instrument ID" should be a Char not null (default values not allowed)</t>
  </si>
  <si>
    <t>LCL_INSTMRNT_ID</t>
  </si>
  <si>
    <t>LT_C_IN_194_01</t>
  </si>
  <si>
    <t>"Sustainable Indicator" should be a Char not null (default values for not applicable fields not allowed)</t>
  </si>
  <si>
    <t>SSTNBL_INDCTR</t>
  </si>
  <si>
    <t>NOT_NULL_NA</t>
  </si>
  <si>
    <t>LT_C_IN_195_01</t>
  </si>
  <si>
    <t>"Sustainable Category" should be a Char not null (default values for not applicable fields not allowed)</t>
  </si>
  <si>
    <t>SSTNBL_CTGRY</t>
  </si>
  <si>
    <t>LT_C_IN_197_01</t>
  </si>
  <si>
    <t>"New Business" should be a Char not null (default values for not applicable fields not allowed)</t>
  </si>
  <si>
    <t>NW_BSNSS</t>
  </si>
  <si>
    <t>LT_C_IN_202_01</t>
  </si>
  <si>
    <t>"Business Area" should be a Char not null (default values for not applicable fields not allowed)</t>
  </si>
  <si>
    <t>BSNSS_AREA</t>
  </si>
  <si>
    <t>LT_C_IN_206_01</t>
  </si>
  <si>
    <t>"Flag of interbusiness" should be a Char not null (default values for not applicable fields not allowed)</t>
  </si>
  <si>
    <t>FLG_INTRBSNSS</t>
  </si>
  <si>
    <t>LT_C_IN_222_01</t>
  </si>
  <si>
    <t>"Business Area related to CIB" should be a Char not null (default values for not applicable fields not allowed)</t>
  </si>
  <si>
    <t>BSNSS_AREA_CCRR</t>
  </si>
  <si>
    <t>CNCLLD_INSTRMNT_STTS</t>
  </si>
  <si>
    <t>LT_C_IN_245_01</t>
  </si>
  <si>
    <t>"Flag of instrument cancelled" should be a Char not null (default values for not applicable fields not allowed)</t>
  </si>
  <si>
    <t>FLG_INSTRMNT_CNCLLD</t>
  </si>
  <si>
    <t>LT_C_IN_246_01</t>
  </si>
  <si>
    <t>"IDCOMB" should be a Char not null (default values not allowed)</t>
  </si>
  <si>
    <t>IDCMB</t>
  </si>
  <si>
    <t>LT_C_IP_001_01</t>
  </si>
  <si>
    <t>INTRA_N1_IP</t>
  </si>
  <si>
    <t>LT_C_IP</t>
  </si>
  <si>
    <t>LT_C_IP_002_01</t>
  </si>
  <si>
    <t>LT_C_IP_003_01</t>
  </si>
  <si>
    <t>LT_C_PR_001_01</t>
  </si>
  <si>
    <t>INTRA_N1_PR</t>
  </si>
  <si>
    <t>LT_C_PR</t>
  </si>
  <si>
    <t>LT_C_PR_003_01</t>
  </si>
  <si>
    <t>LT_D_IN_008_01</t>
  </si>
  <si>
    <t>Duplicates by "Instrument ID" in INSTRUMENT table</t>
  </si>
  <si>
    <t>DUPLICATES PK</t>
  </si>
  <si>
    <t>LT_D_</t>
  </si>
  <si>
    <t>LT_D_IP_003_01</t>
  </si>
  <si>
    <t>Duplicates by "Instrument ID" and "Protection ID" in INSTR_PROTECTION table</t>
  </si>
  <si>
    <t>INSTR_PROTECTION</t>
  </si>
  <si>
    <t>LT_F_EN_001_01</t>
  </si>
  <si>
    <t>"Entity code of the informing society." should match the information on the Codelist</t>
  </si>
  <si>
    <t>ENTITY</t>
  </si>
  <si>
    <t>LISTA</t>
  </si>
  <si>
    <t>LT_F_EN</t>
  </si>
  <si>
    <t>LT_F_EN_009_01</t>
  </si>
  <si>
    <t>"Reference date." must have a Date format (yyyy-mm-dd)</t>
  </si>
  <si>
    <t>FORMAT_DATE</t>
  </si>
  <si>
    <t>LT_F_IE_001_01</t>
  </si>
  <si>
    <t>INSTR_ENTITY</t>
  </si>
  <si>
    <t>LT_F_IE</t>
  </si>
  <si>
    <t>LT_F_IE_002_01</t>
  </si>
  <si>
    <t>"Reference date" must have a Date format (yyyy-mm-dd)</t>
  </si>
  <si>
    <t>LT_F_IE_004_01</t>
  </si>
  <si>
    <t>"Instrument ID" should have Char format (variable length allowed between 1 and 60 characters)</t>
  </si>
  <si>
    <t>FORMAT_CHAR</t>
  </si>
  <si>
    <t>LT_F_IN_001_01</t>
  </si>
  <si>
    <t>LT_F_IN</t>
  </si>
  <si>
    <t>LT_F_IN_002_01</t>
  </si>
  <si>
    <t>"Subportfolio ID" should match the information on the Codelist</t>
  </si>
  <si>
    <t>SUBPORTFOLIO_ID</t>
  </si>
  <si>
    <t>LT_F_IN_007_01</t>
  </si>
  <si>
    <t>LT_F_IN_008_01</t>
  </si>
  <si>
    <t>LT_F_IN_020_01</t>
  </si>
  <si>
    <t>"Default status of the instrument" should match the information on the Codelist</t>
  </si>
  <si>
    <t>LT_F_IN_034_01</t>
  </si>
  <si>
    <t>"Impairment status" should match the information on the Codelist</t>
  </si>
  <si>
    <t>IMPRMNT_STTS</t>
  </si>
  <si>
    <t>LT_F_IN_044_01</t>
  </si>
  <si>
    <t>"Performing status" should match the information on the Codelist</t>
  </si>
  <si>
    <t>LT_F_IN_055_01</t>
  </si>
  <si>
    <t>"Type of instrument" should match the information on the Codelist</t>
  </si>
  <si>
    <t>TYP_INSTRMNT</t>
  </si>
  <si>
    <t>LT_F_IN_060_01</t>
  </si>
  <si>
    <t>"Gross carrying amount" should have a Format numeric (2 decimal places)</t>
  </si>
  <si>
    <t>GRSS_CRRYNG_AMNT_INSTRMNT</t>
  </si>
  <si>
    <t>FORMAT_NUM</t>
  </si>
  <si>
    <t>LT_F_IN_061_01</t>
  </si>
  <si>
    <t>"Accumulated changes in fair value due to credit risk" should have a Format numeric (2 decimal places)</t>
  </si>
  <si>
    <t>ACCMLTD_CHNGS_FV_CR_INSTRMNT</t>
  </si>
  <si>
    <t>LT_F_IN_062_01</t>
  </si>
  <si>
    <t>"Accounting portfolio" should match the information on the Codelist</t>
  </si>
  <si>
    <t>ACCNTNG_CLSSFCTN</t>
  </si>
  <si>
    <t>LT_F_IN_078_01</t>
  </si>
  <si>
    <t>"Off-balance sheet amount" should have a Format numeric (2 decimal places)</t>
  </si>
  <si>
    <t>OFF_BLNC_SHT_AMNT_INSTRMNT</t>
  </si>
  <si>
    <t>LT_F_IN_082_01</t>
  </si>
  <si>
    <t>"Provisions associated with off-balance sheet exposures " should have a Format numeric (2 decimal places)</t>
  </si>
  <si>
    <t>PRVSNS_OFF_BLNC_SHT</t>
  </si>
  <si>
    <t>LT_F_IN_085_01</t>
  </si>
  <si>
    <t>"RWA" should have a Format numeric (2 decimal places)</t>
  </si>
  <si>
    <t>RWA</t>
  </si>
  <si>
    <t>LT_F_IN_088_01</t>
  </si>
  <si>
    <t>"Sum of LLPs and other allowances" should have a Format numeric (2 decimal places)</t>
  </si>
  <si>
    <t>ACCMLTD_IMPRMNT_INSTRMNT</t>
  </si>
  <si>
    <t>LT_F_IN_192_01</t>
  </si>
  <si>
    <t>"Cargabal society code of the intragroup exposure" should match the information on the Codelist</t>
  </si>
  <si>
    <t>COD_SOC_INTRGRP</t>
  </si>
  <si>
    <t>LT_F_IN_193_01</t>
  </si>
  <si>
    <t>"Local Instrument ID" should have Char format (variable length allowed between 1 and 60 characters)</t>
  </si>
  <si>
    <t>LT_F_IN_194_01</t>
  </si>
  <si>
    <t>"Sustainable Indicator" should match the information on the Codelist</t>
  </si>
  <si>
    <t>LT_F_IN_195_01</t>
  </si>
  <si>
    <t>"Sustainable Category" should match the information on the Codelist</t>
  </si>
  <si>
    <t>LT_F_IN_196_01</t>
  </si>
  <si>
    <t>"Average balance" should have a Format numeric (2 decimal places)</t>
  </si>
  <si>
    <t>AVRG_BLNC</t>
  </si>
  <si>
    <t>LT_F_IN_197_01</t>
  </si>
  <si>
    <t>"New Business" should match the information on the Codelist</t>
  </si>
  <si>
    <t>LT_F_IN_198_01</t>
  </si>
  <si>
    <t>"Gross Interest income before distribution to SCIB under the Collabotarion Revenues distribution agreement" should have a Format numeric (2 decimal places)</t>
  </si>
  <si>
    <t>GRSS_INTRST_INCM</t>
  </si>
  <si>
    <t>GRSS_CMMSSN_INCM</t>
  </si>
  <si>
    <t>LT_F_IN_199_01</t>
  </si>
  <si>
    <t>"Gross fee and commission income before distribution to SCIB under the Collabotarion Revenues distribution agreement" should have a Format numeric (2 decimal places)</t>
  </si>
  <si>
    <t>GRSS_FEE_CMMSSN_INCM</t>
  </si>
  <si>
    <t>LT_F_IN_200_01</t>
  </si>
  <si>
    <t>"Internal transfer rate amount" should have a Format numeric (2 decimal places)</t>
  </si>
  <si>
    <t>INTRNL_TRNSFR_RT</t>
  </si>
  <si>
    <t>LT_F_IN_201_01</t>
  </si>
  <si>
    <t>"Net loan-loss provisions" should have a Format numeric (2 decimal places)</t>
  </si>
  <si>
    <t>NT_LN_LSS_PRVSN</t>
  </si>
  <si>
    <t>LT_F_IN_202_01</t>
  </si>
  <si>
    <t>"Business Area" should match the information on the Codelist</t>
  </si>
  <si>
    <t>LT_F_IN_203_01</t>
  </si>
  <si>
    <t>"Management Product" should match the information on the Codelist</t>
  </si>
  <si>
    <t>MNGMNT_PRDCT</t>
  </si>
  <si>
    <t>GRSS_CMMSSN_EXPNS</t>
  </si>
  <si>
    <t>LT_F_IN_204_01</t>
  </si>
  <si>
    <t>"Gross fee and commission expense before distribution to SCIB under the Collabotarion Revenues distribution agreement" should have a Format numeric (2 decimal places)</t>
  </si>
  <si>
    <t>GRSS_FEE_CMMSSN_EXPNS</t>
  </si>
  <si>
    <t>LT_F_IN_205_01</t>
  </si>
  <si>
    <t>"Gains (Losses) On Financial Transaction (gft) And Exchange Differences, before distribution to SCIB under the Collabotarion Revenues distribution agreement" should have a Format numeric (2 decimal places)</t>
  </si>
  <si>
    <t>GNS_FNNCL_TRNSCTN_EXCHNG_DFFRNCS</t>
  </si>
  <si>
    <t>LT_F_IN_206_01</t>
  </si>
  <si>
    <t>"Flag of interbusiness" should match the information on the Codelist</t>
  </si>
  <si>
    <t>LT_F_IN_207_01</t>
  </si>
  <si>
    <t>"Interbusiness adjustment code" should match the information on the Codelist</t>
  </si>
  <si>
    <t>INTRBSNSS_ADJ_COD</t>
  </si>
  <si>
    <t>LT_F_IN_208_01</t>
  </si>
  <si>
    <t>"Cargabal identification code of the destination entity" should match the information on the Codelist</t>
  </si>
  <si>
    <t>COD_SOC_DSTNTN</t>
  </si>
  <si>
    <t>LT_F_IN_209_01</t>
  </si>
  <si>
    <t>"Destination Business area" should match the information on the Codelist</t>
  </si>
  <si>
    <t>BSNSS_AREA_DSTNTN</t>
  </si>
  <si>
    <t>LT_F_IN_210_01</t>
  </si>
  <si>
    <t>"Average balance corresponding to undrawn balances committed" should have a Format numeric (2 decimal places)</t>
  </si>
  <si>
    <t>AVRG_BLNC_OFF_BLNC</t>
  </si>
  <si>
    <t>LT_F_IN_211_01</t>
  </si>
  <si>
    <t>"Internal transfer rate amount" corresponding to undrawn balances committed should have a Format numeric (2 decimal places)</t>
  </si>
  <si>
    <t>INTRNL_TRNSFR_RT_OFF_BLNC</t>
  </si>
  <si>
    <t>GRSS_CMMSSN_INCM_OFF_BLNC</t>
  </si>
  <si>
    <t>LT_F_IN_212_01</t>
  </si>
  <si>
    <t>"Gross fee and commission income corresponding to undrawn balances committed" should have a Format numeric (2 decimal places)</t>
  </si>
  <si>
    <t>GRSS_FEE_CMMSSN_INCM_OFF_BLNC</t>
  </si>
  <si>
    <t>GRSS_CMMSSN_EXPNS_OFF_BLNC</t>
  </si>
  <si>
    <t>LT_F_IN_213_01</t>
  </si>
  <si>
    <t>"Gross fee and commission expense corresponding to undrawn balances committed" should have a Format numeric (2 decimal places)</t>
  </si>
  <si>
    <t>GRSS_FEE_CMMSSN_EXPNS_OFF_BLNC</t>
  </si>
  <si>
    <t>LT_F_IN_214_01</t>
  </si>
  <si>
    <t>"RWA Off Balance" should have a Format numeric (2 decimal places)</t>
  </si>
  <si>
    <t>RWA_OFF_BLNC</t>
  </si>
  <si>
    <t>LT_F_IN_215_01</t>
  </si>
  <si>
    <t>"Gross Interest expense before distribution to SCIB under the Collabotarion Revenues distribution agreement" should have a Format numeric (2 decimal places)</t>
  </si>
  <si>
    <t>GRSS_INTRST_EXPNS</t>
  </si>
  <si>
    <t>LT_F_IN_216_01</t>
  </si>
  <si>
    <t>"Net loan-loss provisions corresponding to undrawn balances committed" should have a Format numeric (2 decimal places)</t>
  </si>
  <si>
    <t>NT_LN_LSS_PRVSN_OFF_BLNC</t>
  </si>
  <si>
    <t>LT_F_IN_217_01</t>
  </si>
  <si>
    <t>"Gross Interest income distributed to SCIB under the Collabotarion Revenues distribution agreement" should have a Format numeric (2 decimal places)</t>
  </si>
  <si>
    <t>GRSS_INTRST_INCM_CCRR</t>
  </si>
  <si>
    <t>LT_F_IN_218_01</t>
  </si>
  <si>
    <t>"Gross Interest expense distributed to SCIB under the Collabotarion Revenues distribution agreement" should have a Format numeric (2 decimal places)</t>
  </si>
  <si>
    <t>GRSS_INTRST_EXPNS_CCRR</t>
  </si>
  <si>
    <t>GRSS_CMMSSN_INCM_CCRR</t>
  </si>
  <si>
    <t>LT_F_IN_219_01</t>
  </si>
  <si>
    <t>"Gross fee and commission income distributed to SCIB under the Collabotarion Revenues distribution agreement" should have a Format numeric (2 decimal places)</t>
  </si>
  <si>
    <t>GRSS_FEE_CMMSSN_INCM_CCRR</t>
  </si>
  <si>
    <t>GRSS_CMMSSN_EXPNS_CCRR</t>
  </si>
  <si>
    <t>LT_F_IN_220_01</t>
  </si>
  <si>
    <t>"Gross fee and commission expense distributed to SCIB under the Collabotarion Revenues distribution agreement" should have a Format numeric (2 decimal places)</t>
  </si>
  <si>
    <t>GRSS_FEE_CMMSSN_EXPNS_CCRR</t>
  </si>
  <si>
    <t>LT_F_IN_221_01</t>
  </si>
  <si>
    <t>"Gains (Losses) On Financial Transaction (gft) And Exchange Differences distributed to SCIB under the Collabotarion Revenues distribution agreement" should have a Format numeric (2 decimal places)</t>
  </si>
  <si>
    <t>GNS_FNNCL_TRNSCTN_EXCHNG_CCRR</t>
  </si>
  <si>
    <t>LT_F_IN_222_01</t>
  </si>
  <si>
    <t>"Business Area related to CIB" should match the information on the Codelist</t>
  </si>
  <si>
    <t>GRSS_CMMSSN_INCM_OFF_BLNC_CCRR</t>
  </si>
  <si>
    <t>LT_F_IN_223_01</t>
  </si>
  <si>
    <t>"Gross fee and commission income corresponding to undrawn balances committed distributed to SCIB under the Collabotarion Revenues distribution agreement" should have a Format numeric (2 decimal places)</t>
  </si>
  <si>
    <t>GRSS_FEE_CMMSSN_INCM_OFF_BLNC_CCRR</t>
  </si>
  <si>
    <t>GRSS_CMMSSN_EXPNS_OFF_BLNC_CCRR</t>
  </si>
  <si>
    <t>LT_F_IN_224_01</t>
  </si>
  <si>
    <t>"Gross fee and commission expense corresponding to undrawn balances committed distributed to SCIB under the Collabotarion Revenues distribution agreement" should have a Format numeric (2 decimal places)</t>
  </si>
  <si>
    <t>GRSS_FEE_CMMSSN_EXPNS_OFF_BLNC_CCRR</t>
  </si>
  <si>
    <t>LT_F_IN_245_01</t>
  </si>
  <si>
    <t>"Flag of instrument cancelled" should match the information on the Codelist</t>
  </si>
  <si>
    <t>LT_F_IN_246_01</t>
  </si>
  <si>
    <t>"IDCOMB" should match the information on the Codelist</t>
  </si>
  <si>
    <t>LT_F_IP_001_01</t>
  </si>
  <si>
    <t>LT_F_IP</t>
  </si>
  <si>
    <t>LT_F_IP_002_01</t>
  </si>
  <si>
    <t>LT_F_IP_003_01</t>
  </si>
  <si>
    <t>LT_F_PR_001_01</t>
  </si>
  <si>
    <t>PROTECTION</t>
  </si>
  <si>
    <t>LT_F_PR</t>
  </si>
  <si>
    <t>LT_F_PR_003_01</t>
  </si>
  <si>
    <t>LT_I_IE_004_01</t>
  </si>
  <si>
    <t>Any "Instrument ID" in INSTR_ENTITY table must be linked to at least one record in INSTRUMENT table by "Instrument ID"</t>
  </si>
  <si>
    <t>INTEGRITY PK CONSTRAINT</t>
  </si>
  <si>
    <t>LT_I_</t>
  </si>
  <si>
    <t>LT_I_IN_008_01</t>
  </si>
  <si>
    <t>For instruments with "Type of instrument" other than 'Missing' and other that '1005 - Debt securities', any "Instrument ID" in INSTRUMENT table must be linked to at least one record in INSTR_ENTITY table by "Instrument ID"</t>
  </si>
  <si>
    <t>LT_I_IP_003_01</t>
  </si>
  <si>
    <t>Any "Instrument ID" in INSTR_PROTECTION table must be linked to at least one record in INSTRUMENT table by "Instrument ID"</t>
  </si>
  <si>
    <t>LT_K_EN_009_01</t>
  </si>
  <si>
    <t>"Reference date." must not be later than the current date</t>
  </si>
  <si>
    <t>RELACION_FECHA</t>
  </si>
  <si>
    <t>LT_K_EN</t>
  </si>
  <si>
    <t>LT_K_IE_002_01</t>
  </si>
  <si>
    <t>"Reference date" must not be later than the current date</t>
  </si>
  <si>
    <t>LT_K_IE</t>
  </si>
  <si>
    <t>LT_K_IN_007_01</t>
  </si>
  <si>
    <t>LT_K_IN</t>
  </si>
  <si>
    <t>LT_K_IN_034_01</t>
  </si>
  <si>
    <t>"Impairment status" can only be '23 - Stage 1 (IFRS)' or '24 - Stage 2 (IFRS)' or '25 - Stage 3 (IFRS)' or default values(Since Santander Group is IFRS compliance and do not apply General Accounting Accepted Principles (GAAP) on a consolidated basis)</t>
  </si>
  <si>
    <t>LT_K_IN_214_01</t>
  </si>
  <si>
    <t>"RWA Off Balance" can only be default values (since values will be populated using bank-internal masterscale)</t>
  </si>
  <si>
    <t>LT_K_IP_002_01</t>
  </si>
  <si>
    <t>LT_K_IP</t>
  </si>
  <si>
    <t>LT_K_PR_003_01</t>
  </si>
  <si>
    <t>LT_K_PR</t>
  </si>
  <si>
    <t>LT_O_EN_009_01</t>
  </si>
  <si>
    <t>"Reference date" must be later than 01 December 2020</t>
  </si>
  <si>
    <t>LT_O_EN</t>
  </si>
  <si>
    <t>LT_O_IE_002_01</t>
  </si>
  <si>
    <t>LT_O_IE</t>
  </si>
  <si>
    <t>LT_O_IN_007_01</t>
  </si>
  <si>
    <t>LT_O_IN</t>
  </si>
  <si>
    <t>LT_O_IN_060_01</t>
  </si>
  <si>
    <t>"Gross carrying amount" shall be larger or equal to 0; Negative values trigger attention</t>
  </si>
  <si>
    <t>RELACION_NUM_DF</t>
  </si>
  <si>
    <t>LT_O_IN_061_01</t>
  </si>
  <si>
    <t>"Accumulated changes in fair value due to credit risk" shall be larger or equal to 0; Negative values trigger attention</t>
  </si>
  <si>
    <t>LT_O_IN_078_01</t>
  </si>
  <si>
    <t>"Off-balance sheet amount" shall be larger or equal to 0; Negative values trigger attention</t>
  </si>
  <si>
    <t>LT_O_IN_082_01</t>
  </si>
  <si>
    <t>"Provisions associated with off-balance sheet exposures " shall be larger or equal to 0; Negative values trigger attention</t>
  </si>
  <si>
    <t>LT_O_IN_085_01</t>
  </si>
  <si>
    <t>"RWA" shall be larger or equal to 0; Negative values trigger attention</t>
  </si>
  <si>
    <t>LT_O_IN_088_01</t>
  </si>
  <si>
    <t>"Sum of LLPs and other allowances" shall be larger or equal to 0; Negative values trigger attention</t>
  </si>
  <si>
    <t>LT_O_IN_196_01</t>
  </si>
  <si>
    <t>"Average balance" shall be larger or equal to 0; Negative values trigger attention</t>
  </si>
  <si>
    <t>LT_O_IN_198_01</t>
  </si>
  <si>
    <t>"Gross Interest income before distribution to SCIB under the Collabotarion Revenues distribution agreement" shall be larger or equal to 0; Negative values trigger attention</t>
  </si>
  <si>
    <t>LT_O_IN_199_01</t>
  </si>
  <si>
    <t>"Gross fee and commission income before distribution to SCIB under the Collabotarion Revenues distribution agreement" shall be larger or equal to 0; Negative values trigger attention</t>
  </si>
  <si>
    <t>LT_O_IN_200_01</t>
  </si>
  <si>
    <t>"Internal transfer rate amount" shall be smaller or equal to 0; Positive values trigger attention</t>
  </si>
  <si>
    <t>LT_O_IN_201_01</t>
  </si>
  <si>
    <t>"Net loan-loss provisions" shall be larger than or equal to 0; Negative values trigger attention</t>
  </si>
  <si>
    <t>LT_O_IN_204_01</t>
  </si>
  <si>
    <t>"Gross fee and commission expense before distribution to SCIB under the Collabotarion Revenues distribution agreement" shall be larger or equal to 0; Negative values trigger attention</t>
  </si>
  <si>
    <t>LT_O_IN_205_01</t>
  </si>
  <si>
    <t>"Gains (Losses) On Financial Transaction (gft) And Exchange Differences, before distribution to SCIB under the Collabotarion Revenues distribution agreement" shall be larger or equal to 0; Negative values trigger attention</t>
  </si>
  <si>
    <t>LT_O_IN_210_01</t>
  </si>
  <si>
    <t>"Average balance corresponding to undrawn balances committed" shall be larger or equal to 0; Negative values trigger attention</t>
  </si>
  <si>
    <t>LT_O_IN_211_01</t>
  </si>
  <si>
    <t>"Internal transfer rate amount corresponding to undrawn balances committed" shall be smaller or equal to 0; Positive values trigger attention</t>
  </si>
  <si>
    <t>LT_O_IN_212_01</t>
  </si>
  <si>
    <t>"Gross fee and commission income corresponding to undrawn balances committed" shall be larger or equal to 0; Negative values trigger attention</t>
  </si>
  <si>
    <t>LT_O_IN_213_01</t>
  </si>
  <si>
    <t>"Gross fee and commission expense corresponding to undrawn balances committed" shall be larger or equal to 0; Negative values trigger attention</t>
  </si>
  <si>
    <t>LT_O_IN_215_01</t>
  </si>
  <si>
    <t>"Gross Interest expense before distribution to SCIB under the Collabotarion Revenues distribution agreement" shall be larger or equal to 0; Negative values trigger attention</t>
  </si>
  <si>
    <t>LT_O_IN_217_01</t>
  </si>
  <si>
    <t>"Gross Interest income distributed to SCIB under the Collabotarion Revenues distribution agreement" shall be larger or equal to 0; Negative values trigger attention</t>
  </si>
  <si>
    <t>LT_O_IN_218_01</t>
  </si>
  <si>
    <t>"Gross Interest expense distributed to SCIB under the Collabotarion Revenues distribution agreement" shall be larger or equal to 0; Negative values trigger attention</t>
  </si>
  <si>
    <t>LT_O_IN_219_01</t>
  </si>
  <si>
    <t>"Gross fee and commission income distributed to SCIB under the Collabotarion Revenues distribution agreement" shall be larger or equal to 0; Negative values trigger attention</t>
  </si>
  <si>
    <t>LT_O_IN_220_01</t>
  </si>
  <si>
    <t>"Gross fee and commission expense distributed to SCIB under the Collabotarion Revenues distribution agreement" shall be larger or equal to 0; Negative values trigger attention</t>
  </si>
  <si>
    <t>LT_O_IN_221_01</t>
  </si>
  <si>
    <t>"Gains (Losses) On Financial Transaction (gft) And Exchange Differences distributed to SCIB under the Collabotarion Revenues distribution agreement" shall be larger or equal to 0; Negative values trigger attention</t>
  </si>
  <si>
    <t>LT_O_IN_223_01</t>
  </si>
  <si>
    <t>"Gross fee and commission income corresponding to undrawn balances committed distributed to SCIB under the Collabotarion Revenues distribution agreement" shall be larger than or equal to 0; Negative values trigger attention</t>
  </si>
  <si>
    <t>LT_O_IN_224_01</t>
  </si>
  <si>
    <t>"Gross fee and commission expense corresponding to undrawn balances committed distributed to SCIB under the Collabotarion Revenues distribution agreement" shall be larger than or equal to 0; Negative values trigger attention</t>
  </si>
  <si>
    <t>LT_O_IP_002_01</t>
  </si>
  <si>
    <t>LT_O_IP</t>
  </si>
  <si>
    <t>LT_O_PR_003_01</t>
  </si>
  <si>
    <t>LT_O_PR</t>
  </si>
  <si>
    <t>LT_R_IN_002_01</t>
  </si>
  <si>
    <t>If "Leverage finance flag" is set to 'Y' then "Subportfolio ID" must be classified as 'SNF - Non-financial corporations'</t>
  </si>
  <si>
    <t>INTRA_REL_P_IN</t>
  </si>
  <si>
    <t>REL_CAMPOS</t>
  </si>
  <si>
    <t>LT_R_IN</t>
  </si>
  <si>
    <t>LT_R_IN_020_01</t>
  </si>
  <si>
    <t>If "ISDA credit event declared" is equal to 'Y', then "Default status of the instrument" must be set as '18 - Default because both unlikely to pay and more than 90/180 days past due', '19 - Default because unlikely to pay' or '20 - Default because more than 90/180 days past due'</t>
  </si>
  <si>
    <t>INTER_REL_P_X2</t>
  </si>
  <si>
    <t>LT_R_IN_020_03</t>
  </si>
  <si>
    <t>If "Protection called" is set as 'Y' then "Default status of the instrument" has to be set as '18 - Default because both unlikely to pay and more than 90/180 days past due', '19 - Default because unlikely to pay' or '20 - Default because more than 90/180 days past due'</t>
  </si>
  <si>
    <t>INTER_REL_P_X3</t>
  </si>
  <si>
    <t>LT_R_IN_020_04</t>
  </si>
  <si>
    <t>If "Leverage finance flag" is set to 'Y' and "Covenant status" is equal to '4 - In breach with at least one material financial covenant' then "Default status of the instrument" must be '18 - Default because both unlikely to pay and more than 90/180 days past due', '19 - Default because unlikely to pay' or '20 - Default because more than 90/180 days past due'</t>
  </si>
  <si>
    <t>LT_R_IN_034_01</t>
  </si>
  <si>
    <t xml:space="preserve">if "Days past due at reference date" is between 30 and 90 days and "Subportfolio ID" is not classified as 'VRPL - FV with changes in PL' then "Impairment status" must be '24 - Stage 2 (IFRS)' or '25 - Stage 3 (IFRS)' </t>
  </si>
  <si>
    <t>LT_R_IN_034_02</t>
  </si>
  <si>
    <t>if "Default status of the instrument" is set as '18 - Default because both unlikely to pay and more than 90/180 days past due', '19 - Default because unlikely to pay' or '20 - Default because more than 90/180 days past due'  and "Subportfolio ID" is not classified as 'VRPL - FV with changes in PL' then "Impairment status" is set as "25 - Stage 3 (IFRS)"</t>
  </si>
  <si>
    <t>LT_R_IN_034_03</t>
  </si>
  <si>
    <t>if "Default status of the instrument" is set as '14 - Not in default'  and "Subportfolio ID" is not classified as 'VRPL - FV with changes in PL' then "Impairment status" cannot be 25 - Stage 3 (IFRS)'</t>
  </si>
  <si>
    <t>LT_R_IN_034_05</t>
  </si>
  <si>
    <t>if "Performing status" is '11 - Performing' and "Subportfolio ID" is not classified as 'VRPL - FV with changes in PL' then "Impairment status" cannot be '25 - Stage 3 (IFRS)'</t>
  </si>
  <si>
    <t>LT_R_IN_034_09</t>
  </si>
  <si>
    <t>If "Debtor on watch-list (Y/N)" is set as 'Y' and "Subportfolio ID" is not classified as 'VRPL - FV with changes in PL' then "Impairment status" has to be set as '24 - Stage 2 (IFRS)' or '25 - Stage 3 (IFRS)'</t>
  </si>
  <si>
    <t>LT_R_IN_034_11</t>
  </si>
  <si>
    <t>If "Accounting portfolio"equals '6 - IFRS: Financial assets at amortised cost', '8 - IFRS: Financial assets at fair value through other comprehensive income' or '14 - IFRS: Cash balances at central banks and other demand deposits', then "Impairment status" cannot be 'Not applicable'</t>
  </si>
  <si>
    <t>INTER_REL_P_X1</t>
  </si>
  <si>
    <t>LT_R_IN_034_12</t>
  </si>
  <si>
    <t>If "Subportfolio ID" is classified as 'S1 - Stage 1', then "Impairment status" must equal '23 - Stage 1 (IFRS)'</t>
  </si>
  <si>
    <t>LT_R_IN_034_13</t>
  </si>
  <si>
    <t>If "Subportfolio ID" is classified as 'S2 - Stage 2', then "Impairment status" must equal '24 - Stage 2 (IFRS)'</t>
  </si>
  <si>
    <t>LT_R_IN_034_14</t>
  </si>
  <si>
    <t>If "Subportfolio ID" is classified as 'S3 - Stage 3', then "Impairment status" must equal '25 - Stage 3 (IFRS)'</t>
  </si>
  <si>
    <t>LT_R_IN_044_01</t>
  </si>
  <si>
    <t>If "Default status of the instrument" is '18 - Default because both unlikely to pay and more than 90/180 days past due' or '19 - Default because unlikely to pay' or '20 - Default because more than 90/180 days past due', then "Performing status" must equal to '1 - Non Performing'</t>
  </si>
  <si>
    <t>LT_R_IN_044_02</t>
  </si>
  <si>
    <t>If "Previous performing status" is populated other than default values then "Performing status" must be populated other than default values</t>
  </si>
  <si>
    <t>LT_R_IN_044_03</t>
  </si>
  <si>
    <t>If "Default status of the instrument" is set as '14 - Not in default' and "Impairment status" is set as '23 - Stage 1 (IFRS)' then "Performing status" must be '11 - Performing'</t>
  </si>
  <si>
    <t>LT_R_IN_044_07</t>
  </si>
  <si>
    <t>If "Protection called" is set as 'Y' then "Performing status" (instrument level) has to be set as '1 - Non-performing'</t>
  </si>
  <si>
    <t>LT_R_IN_044_08</t>
  </si>
  <si>
    <t>If "Subportfolio ID" is classified as 'P - Performing', then "Performing status" (instrument level) has to be set as '11 - Performing'</t>
  </si>
  <si>
    <t>LT_R_IN_044_09</t>
  </si>
  <si>
    <t>If "Subportfolio ID" is classified as 'NP - Non-Performing', then "Performing status" (instrument level) has to be set as '1 - Non-Performing'</t>
  </si>
  <si>
    <t>LT_R_IN_044_10</t>
  </si>
  <si>
    <t xml:space="preserve">If "Most recent appraised market value at the time when the instrument was classified as non-performing" is set as 'Not applicable' and the protection is other than "personal guarantee", then the "Performing status" must be '11 - Performing'. (We consider "personal guarantee" when "Protection ID" matches the "Protection Provider ID" (Guarantor) or "Tax ID" (Protection level) is populated other than default value and the "Protection type" equals '7 - Other protection')     </t>
  </si>
  <si>
    <t>LT_R_IN_044_11</t>
  </si>
  <si>
    <t>If "Impairment status" is '25 - Stage 3 (IFRS)', then "Performing status" must equal to '1 - Non Performing'</t>
  </si>
  <si>
    <t>LT_R_IN_044_12</t>
  </si>
  <si>
    <t>If "Performing status" at entity level is set as '1 - Non Performing' then "Performing status" at instrument level should be '1 - Non Performing'</t>
  </si>
  <si>
    <t>LT_R_IN_060_01</t>
  </si>
  <si>
    <t>If "Accounting portfolio" is '6 - IFRS: Financial assets at amortised cost' or '14 - IFRS: Cash balances at central banks and other demand deposits' or '8 - IFRS: Financial assets at fair value through other comprehensive income', then "Gross carrying amount" should be equal to "Carrying amount" plus "Sum of LLPs and other allowances"</t>
  </si>
  <si>
    <t>LT_R_IN_060_02</t>
  </si>
  <si>
    <t>If "Accounting portfolio" is '4 - IFRS: Financial assets designated at fair value through profit or loss' or '41 - IFRS: Non-trading financial assets mandatorily at fair value through profit or loss', then "Gross carrying amount" should be equal to "Carrying amount" plus "Accumulated changes in fair value due to credit risk"</t>
  </si>
  <si>
    <t>LT_R_IN_060_03</t>
  </si>
  <si>
    <t>If "Subportfolio ID" is classified as 'COM - Loan Commitments' or 'GUAR - Guarantees' or 'OCOM - Other commitments', then "Gross carrying amount" must be 0 or default value</t>
  </si>
  <si>
    <t>LT_R_IN_061_01</t>
  </si>
  <si>
    <t>If "Accounting portfolio" is '6 - IFRS: Financial assets at amortised cost' or '14 - IFRS: Cash balances at central banks and other demand deposits' or '8 - IFRS: Financial assets at fair value through other comprehensive income', then "Accumulated changes in fair value due to credit risk" should be a default value</t>
  </si>
  <si>
    <t>LT_R_IN_061_02</t>
  </si>
  <si>
    <t>If "Subportfolio ID" is classified as 'VRPL - Fair value through profit and loss' and 'P - Performing', then "Accumulated changes in fair value due to credit risk" should be 'Not Applicable' or zero</t>
  </si>
  <si>
    <t>LT_R_IN_062_01</t>
  </si>
  <si>
    <t>If "Subportfolio ID" is classified as 'CA - Amortized Cost', then "Accounting portfolio" must equal '6 - IFRS: Financial assets at amortised cost'</t>
  </si>
  <si>
    <t>LT_R_IN_062_02</t>
  </si>
  <si>
    <t>If "Subportfolio ID" is classified as 'CASH - Cash and cash balances', then "Accounting portfolio" must equal '14 - IFRS: Cash balances at central banks and other demand deposits'</t>
  </si>
  <si>
    <t>LT_R_IN_062_03</t>
  </si>
  <si>
    <t>If "Subportfolio ID" is classified as 'VRPL - Fair value through profit and loss', then "Accounting portfolio" must equal '4 - IFRS: Financial assets designated at fair value through profit or loss' or '41 - IFRS: Non-trading financial assets mandatorily at fair value through profit or loss'</t>
  </si>
  <si>
    <t>LT_R_IN_062_04</t>
  </si>
  <si>
    <t>If "Subportfolio ID" is classified as 'VRPN - Fair value through other comprehensive income', then "Accounting portfolio" must equal '8 - IFRS: Financial assets at fair value through other comprehensive income'</t>
  </si>
  <si>
    <t>LT_R_IN_078_01</t>
  </si>
  <si>
    <t>"Off-balance sheet amount" must be greater or equal from "Provisions associated with off-balance sheet exposures ".</t>
  </si>
  <si>
    <t>LT_R_IN_078_02</t>
  </si>
  <si>
    <t>If "IFRS 9 accounting CCF" is populated other than default values and other than 100%, then "Off-balance sheet amount" cannot be 'Not applicable'</t>
  </si>
  <si>
    <t>LT_R_IN_078_03</t>
  </si>
  <si>
    <t>If "IFRS 9 accounting CCF" is populated with 'Not applicable', then "Off-balance sheet amount" should be 'Not applicable' nor zero</t>
  </si>
  <si>
    <t>LT_R_IN_078_04</t>
  </si>
  <si>
    <t>If "Subportfolio ID" is classified as 'VRPL - Fair value through profit and loss', then "Off-balance sheet amount" should be 'Not Applicable' or zero</t>
  </si>
  <si>
    <t>LT_R_IN_082_01</t>
  </si>
  <si>
    <t>If "Off-balance sheet amount" is populated as 'Not applicable', then "Provisions associated with off-balance sheet exposures " must be a default value</t>
  </si>
  <si>
    <t>LT_R_IN_082_02</t>
  </si>
  <si>
    <t>If "Subportfolio ID" is classified as 'VRPL - Fair value through profit and loss', then "Provisions associated with off-balance sheet exposures" should be 'Not Applicable' or zero</t>
  </si>
  <si>
    <t>LT_R_IN_088_01</t>
  </si>
  <si>
    <t>If "Accounting portfolio"equals '2 - IFRS: Financial assets held for trading', '4 - IFRS: Financial assets designated at fair value through profit or loss' or '41 - IFRS: Non-trading financial assets mandatorily at fair value through profit or loss', then "Sum of LLPs and other allowances" must equal default values</t>
  </si>
  <si>
    <t>LT_R_IN_088_02</t>
  </si>
  <si>
    <t>If "Subportfolio ID" is classified as 'COM - Loan Commitments' or 'GUAR - Guarantees' or 'OCOM - Other commitments', then "Sum of LLPs and other allowances" must be 0 or default value</t>
  </si>
  <si>
    <t>LT_R_IN_088_03</t>
  </si>
  <si>
    <t>If "Subportfolio ID" is classified as 'VRPL - Fair value through profit and loss', then "Sum of LLPs and other allowances" should be 'Not Applicable' or zero</t>
  </si>
  <si>
    <t>LT_R_IN_194_01</t>
  </si>
  <si>
    <t>If "Sustainable Category" is set as 'SCA0103% - Other Dedicated Purposes' or ' SC0204 - General Purpose – Default' then "Sustainable Indicator" cannot be set as '1 - Aligned Under SFCS'</t>
  </si>
  <si>
    <t>LT_R_IN_194_02</t>
  </si>
  <si>
    <t>If "Sustainable Category" is set as 'SCA02% - GENERAL PURPOSE' and Subporfolio_ID as 'HOG - Households' then "Sustainable Indicator" cannot be set as '1 - Aligned under SFCS' nor '2 - Aligned under other criteria'</t>
  </si>
  <si>
    <t>LT_R_IN_195_01</t>
  </si>
  <si>
    <t xml:space="preserve">If "Taxonomy-eligible CAPEX (CCM) Ratio" is populated with 'Not Applicable' values then "Sustainable category" must be 'SCA02% - GENERAL PURPOSE' </t>
  </si>
  <si>
    <t>LT_R_IN_195_02</t>
  </si>
  <si>
    <t>If "Taxonomy-eligible Turnover (CCM) Ratio" is populated with 'Not Applicable' values then "Sustainable category" must be 'SCA02% - GENERAL PURPOSE'</t>
  </si>
  <si>
    <t>LT_R_IN_195_03</t>
  </si>
  <si>
    <t>If "Taxonomy-eligible CAPEX (CCA) Ratio" is populated with 'Not Applicable' values then "Sustainable category" must be 'SCA02% - GENERAL PURPOSE'</t>
  </si>
  <si>
    <t>LT_R_IN_195_04</t>
  </si>
  <si>
    <t xml:space="preserve">If "Taxonomy-eligible Turnover (CCA) Ratio" is populated with 'Not Applicable' values then "Sustainable category" must be 'SCA02% - GENERAL PURPOSE'  </t>
  </si>
  <si>
    <t>LT_R_IN_195_05</t>
  </si>
  <si>
    <t xml:space="preserve">If  "Taxonomy-aligned CAPEX (CCM) - Enabling Ratio" is populated with 'Not Applicable' values then "Sustainable category" must be 'SCA02% - GENERAL PURPOSE' </t>
  </si>
  <si>
    <t>LT_R_IN_195_06</t>
  </si>
  <si>
    <t xml:space="preserve">If "Taxonomy-aligned CAPEX (CCA) - Enabling Ratio" is populated with 'Not Applicable' values then "Sustainable category" must be 'SCA02% - GENERAL PURPOSE'  </t>
  </si>
  <si>
    <t>LT_R_IN_195_07</t>
  </si>
  <si>
    <t xml:space="preserve">If  "Taxonomy-aligned CAPEX (CCM) - Transitional Ratio" is populated with 'Not Applicable' values then "Sustainable category" must be 'SCA02% - GENERAL PURPOSE' </t>
  </si>
  <si>
    <t>LT_R_IN_195_08</t>
  </si>
  <si>
    <t xml:space="preserve">If "Environmentally sustainable CAPEX (CCM) Ratio" is populated with 'Not Applicable' values then "Sustainable category" must be 'SCA02% - GENERAL PURPOSE'  </t>
  </si>
  <si>
    <t>LT_R_IN_195_09</t>
  </si>
  <si>
    <t xml:space="preserve">If "Environmentally sustainable CAPEX (CCA) Ratio" is populated with 'Not Applicable' values then "Sustainable category" must be 'SCA02% - GENERAL PURPOSE'  </t>
  </si>
  <si>
    <t>LT_R_IN_195_10</t>
  </si>
  <si>
    <t xml:space="preserve">If "Taxonomy-aligned Turnover (CCM) - Enabling Ratio" is populated with 'Not Applicable' values then "Sustainable category" must be 'SCA02% - GENERAL PURPOSE'  </t>
  </si>
  <si>
    <t>LT_R_IN_195_11</t>
  </si>
  <si>
    <t xml:space="preserve">If "Taxonomy-aligned Turnover (CCA) - Enabling Ratio" is populated with 'Not Applicable' values then "Sustainable category" must be 'SCA02% - GENERAL PURPOSE'  </t>
  </si>
  <si>
    <t>LT_R_IN_195_12</t>
  </si>
  <si>
    <t xml:space="preserve">If "Taxonomy-aligned Turnover (CCM) - Transitional Ratio" is populated with 'Not Applicable' values then "Sustainable category" must be 'SCA02% - GENERAL PURPOSE'  </t>
  </si>
  <si>
    <t>LT_R_IN_195_13</t>
  </si>
  <si>
    <t xml:space="preserve">If "Environmentally sustainable Turnover (CCM) Ratio" is populated with 'Not Applicable' values then "Sustainable category" must be 'SCA02% - GENERAL PURPOSE'  </t>
  </si>
  <si>
    <t>LT_R_IN_195_14</t>
  </si>
  <si>
    <t xml:space="preserve">If "Environmentally sustainable Turnover (CCA) Ratio" is populated with 'Not Applicable' values then "Sustainable category" must be 'SCA02% - GENERAL PURPOSE'  </t>
  </si>
  <si>
    <t>LT_R_IN_198_01</t>
  </si>
  <si>
    <t>If "Gross Interest income distributed to SCIB under the Collabotarion Revenues distribution agreement" is populated with other than default values then "Gross Interest income before distribution to SCIB under the Collabotarion Revenues distribution agreement" cannot be 'Not Applicable</t>
  </si>
  <si>
    <t>LT_R_IN_198_02</t>
  </si>
  <si>
    <t>If "Gross Interest income distributed to SCIB under the Collabotarion Revenues distribution agreement" and "Gross Interest income before distribution to SCIB under the Collabotarion Revenues distribution agreement" are populated with other than default values then "Gross Interest income distributed to SCIB under the Collabotarion Revenues distribution agreement" must be less or equal to "Gross Interest income before distribution to SCIB under the Collabotarion Revenues distribution agreement"</t>
  </si>
  <si>
    <t>LT_R_IN_199_01</t>
  </si>
  <si>
    <t>If "Gross Interest fee and comission income distributed to SCIB under the Collabotarion Revenues distribution agreement" is populated with other than default values then "Gross Interest fee and comission income before distribution to SCIB under the Collabotarion Revenues distribution agreement" cannot be 'Not Applicable</t>
  </si>
  <si>
    <t>LT_R_IN_199_02</t>
  </si>
  <si>
    <t>If "Gross Interest fee and comission income distributed to SCIB under the Collabotarion Revenues distribution agreement" and "Gross Interest fee and comission income before distribution to SCIB under the Collabotarion Revenues distribution agreement" are populated with other than default values then "Gross Interest fee and comission income distributed to SCIB under the Collabotarion Revenues distribution agreement" must be less or equal to "Gross Interest fee and comission income before distribution to SCIB under the Collabotarion Revenues distribution agreement"</t>
  </si>
  <si>
    <t>LT_R_IN_203_01</t>
  </si>
  <si>
    <t>If "Off-balance sheet amount" is populated with other than default values or zero amount and "Gross Carrying Amount Instrument" is populated as 'Not applicable' or zero amount and "Type of Instrument" is populated as '2001 - Guarantees' then "Management Product" should be 'PRDCT0201 - Contingent Risk'</t>
  </si>
  <si>
    <t>LT_R_IN_203_02</t>
  </si>
  <si>
    <t>If "Off-balance sheet amount" is populated with other than default values or zero amount and "Gross Carrying Amount Instrument" is populated as 'Not applicable' or zero amount and "Type of Instrument" is populated with other values than '2001 - Guarantees' then "Management Product" should be 'PRDCT0202 - Undrawn balances Committed'</t>
  </si>
  <si>
    <t>LT_R_IN_203_03</t>
  </si>
  <si>
    <t>If "Gross Carrying Amount Instrument" is populated with other than default values or zero amount then"Management Product" should be populated as 'PRDCT010101 - Mortgages', 'PRDCT01010201 - Project &amp; Acquisition Finance', 'PRDCT01010202 - Syndicated Loans', 'PRDCT01010203 - Capital Finance', 'PRDCT01010204 - Asset Based Finance (ABF)', 'PRDCT01010205 - Leveraged Finance', 'PRDCT01010206 - Export &amp; Agency Finance', 'PRDCT01010207 - Trade &amp; Working Capital Solutions' or 'PRDCT010103 - Other Loans &amp; Advances'</t>
  </si>
  <si>
    <t>LT_R_IN_204_01</t>
  </si>
  <si>
    <t>If "Gross Interest fee and comission expenses distributed to SCIB under the Collabotarion Revenues distribution agreement" is populated with other than default values then "Gross Interest fee and comission expenses before distribution to SCIB under the Collabotarion Revenues distribution agreement" cannot be 'Not Applicable</t>
  </si>
  <si>
    <t>LT_R_IN_204_02</t>
  </si>
  <si>
    <t>If "Gross Interest fee and comission expenses distributed to SCIB under the Collabotarion Revenues distribution agreement" and "Gross Interest fee and comission expenses before distribution to SCIB under the Collabotarion Revenues distribution agreement" are populated with other than default values then "Gross Interest fee and comission expenses distributed to SCIB under the Collabotarion Revenues distribution agreement" must be less or equal to "Gross Interest fee and comission expenses before distribution to SCIB under the Collabotarion Revenues distribution agreement"</t>
  </si>
  <si>
    <t>LT_R_IN_205_01</t>
  </si>
  <si>
    <t>If "Gains (Losses) On Financial Transaction (gft) And Exchange Differences distributed to SCIB under the Collabotarion Revenues distribution agreement" is populated with other than default values then "Gains (Losses) On Financial Transaction (gft) And Exchange Differences, before distribution to SCIB under the Collabotarion Revenues distribution agreement" cannot be 'Not Applicable</t>
  </si>
  <si>
    <t>LT_R_IN_205_02</t>
  </si>
  <si>
    <t>If "Gains (Losses) On Financial Transaction (gft) And Exchange Differences distributed to SCIB under the Collabotarion Revenues distribution agreement" and "Gains (Losses) On Financial Transaction (gft) And Exchange Differences, before distribution to SCIB under the Collabotarion Revenues distribution agreement" are populated with other than default values then "Gains (Losses) On Financial Transaction (gft) And Exchange Differences distributed to SCIB under the Collabotarion Revenues distribution agreement" must be less or equal to "Gains (Losses) On Financial Transaction (gft) And Exchange Differences, before distribution to SCIB under the Collabotarion Revenues distribution agreement"</t>
  </si>
  <si>
    <t>LT_R_IN_207_01</t>
  </si>
  <si>
    <t>If "Flag of interbusiness" is set to 'N', then "Interbusiness adjustment code" should be 'Not Applicable'</t>
  </si>
  <si>
    <t>LT_R_IN_207_02</t>
  </si>
  <si>
    <t>If "Flag of interbusiness" is set to 'Y', then "Interbusiness adjustment code" cannot be 'Not applicable'</t>
  </si>
  <si>
    <t>LT_R_IN_208_01</t>
  </si>
  <si>
    <t>If "Flag of interbusiness" is set to 'N', then "Destination society" should be 'Not Applicable'</t>
  </si>
  <si>
    <t>LT_R_IN_208_02</t>
  </si>
  <si>
    <t>If "Flag of interbusiness" is set to 'Y', then "Destination society" cannot be 'Not Applicable'</t>
  </si>
  <si>
    <t>LT_R_IN_209_01</t>
  </si>
  <si>
    <t>If "Flag of interbusiness" is set to 'N', then "Destination Business area" should be 'Not Applicable'</t>
  </si>
  <si>
    <t>LT_R_IN_209_02</t>
  </si>
  <si>
    <t>If "Flag of interbusiness" is set to 'Y', then "Destination Business area" cannot be 'Not applicable'</t>
  </si>
  <si>
    <t>LT_R_IN_209_03</t>
  </si>
  <si>
    <t>If "Flag of interbusiness" is set to 'Y' and "Destination society" not equal "Entity code of the informing society." then "Destination Business area" cannot be equal to "Business area"</t>
  </si>
  <si>
    <t>LT_R_IN_210_01</t>
  </si>
  <si>
    <t>If "Management Product" is populated as 'PRDCT0202 - Undrawn balances Committed' or 'PRDCT0201 - Contingent Risk' then "Average off balance " cannot be 'Not applicable'</t>
  </si>
  <si>
    <t>LT_R_IN_211_01</t>
  </si>
  <si>
    <t>If "Management Product" is populated as 'PRDCT0202 - Undrawn balances Committed' or 'PRDCT0201 - Contingent Risk' then "Internal transfer rate due to off balance amounts" cannot be 'Not Applicable'</t>
  </si>
  <si>
    <t>LT_R_IN_212_01</t>
  </si>
  <si>
    <t>If "Management Product" is populated as 'PRDCT0202 - Undrawn balances Committed' or 'PRDCT0201 - Contingent Risk' then "Gross fee and commission income corresponding to undrawn balances committed" cannot be 'Not Applicable'</t>
  </si>
  <si>
    <t>LT_R_IN_212_02</t>
  </si>
  <si>
    <t>If "Gross Interest fee and comission income corresponding to undrawn balances distributed to SCIB under the Collabotarion Revenues distribution agreement" is populated with other than default values then "Gross Interest fee and comission income corresponding to undrawn balances before distribution to SCIB under the Collabotarion Revenues distribution agreement" cannot be 'Not Applicable</t>
  </si>
  <si>
    <t>LT_R_IN_212_03</t>
  </si>
  <si>
    <t>If "Gross Interest fee and comission income corresponding to undrawn balances distributed to SCIB under the Collabotarion Revenues distribution agreement" and "Gross Interest fee and comission income corresponding to undrawn balances before distribution to SCIB under the Collabotarion Revenues distribution agreement" are populated with other than default values then "Gross Interest fee and comission income corresponding to undrawn balances distributed to SCIB under the Collabotarion Revenues distribution agreement" must be less or equal to "Gross Interest fee and comission income corresponding to undrawn balances before distribution to SCIB under the Collabotarion Revenues distribution agreement"</t>
  </si>
  <si>
    <t>LT_R_IN_213_01</t>
  </si>
  <si>
    <t>If "Management Product" is populated as 'PRDCT0202 - Undrawn balances Committed' or 'PRDCT0201 - Contingent Risk' then "Gross fee and commission expense corresponding to undrawn balances committed" cannot be 'Not Applicable'</t>
  </si>
  <si>
    <t>LT_R_IN_213_02</t>
  </si>
  <si>
    <t>If "Gross Interest fee and comission expense corresponding to undrawn balances distributed to SCIB under the Collabotarion Revenues distribution agreement" is populated with other than default values then "Gross Interest fee and comission expense corresponding to undrawn balances before distribution to SCIB under the Collabotarion Revenues distribution agreement" cannot be 'Not Applicable</t>
  </si>
  <si>
    <t>LT_R_IN_213_03</t>
  </si>
  <si>
    <t>If "Gross Interest fee and comission expense corresponding to undrawn balances distributed to SCIB under the Collabotarion Revenues distribution agreement" and "Gross Interest fee and comission expense corresponding to undrawn balances before distribution to SCIB under the Collabotarion Revenues distribution agreement" are populated with other than default values then "Gross Interest fee and comission expense corresponding to undrawn balances distributed to SCIB under the Collabotarion Revenues distribution agreement" must be less or equal to "Gross Interest fee and comission expense corresponding to undrawn balances before distribution to SCIB under the Collabotarion Revenues distribution agreement"</t>
  </si>
  <si>
    <t>LT_R_IN_215_01</t>
  </si>
  <si>
    <t>If "Gross Interest expenses distributed to SCIB under the Collabotarion Revenues distribution agreement" is populated with other than default values then "Gross Interest expenses before distribution to SCIB under the Collabotarion Revenues distribution agreement" cannot be 'Not Applicable</t>
  </si>
  <si>
    <t>LT_R_IN_215_02</t>
  </si>
  <si>
    <t>If "Gross Interest expenses distributed to SCIB under the Collabotarion Revenues distribution agreement" and "Gross Interest expenses before distribution to SCIB under the Collabotarion Revenues distribution agreement" are populated with other than default values then "Gross Interest expenses distributed to SCIB under the Collabotarion Revenues distribution agreement" must be less or equal to "Gross Interest expenses before distribution to SCIB under the Collabotarion Revenues distribution agreement"</t>
  </si>
  <si>
    <t>LT_R_IN_216_01</t>
  </si>
  <si>
    <t>If "Management Product" is populated as 'PRDCT0202 - Undrawn balances Committed' or 'PRDCT0201 - Contingent Risk' then "Net loan-loss provisions corresponding to undrawn balances committed" cannot be 'Not Applicable'</t>
  </si>
  <si>
    <t>LT_S_EN_001_01</t>
  </si>
  <si>
    <t>"Entity code of the informing society" can only be informed as one value in ENTITY table</t>
  </si>
  <si>
    <t>STRUCTURE</t>
  </si>
  <si>
    <t>LT_S_EN</t>
  </si>
  <si>
    <t>LT_S_EN_009_01</t>
  </si>
  <si>
    <t>"Reference date" can only be informed as one value in ENTITY table</t>
  </si>
  <si>
    <t>LT_S_IE_001_01</t>
  </si>
  <si>
    <t>"Entity code of the informing society" can only be informed as one value in INSTR_ENTITY table</t>
  </si>
  <si>
    <t>LT_S_IE</t>
  </si>
  <si>
    <t>LT_S_IE_002_01</t>
  </si>
  <si>
    <t>"Reference date" can only be informed as one value in INSTR_ENTITY table</t>
  </si>
  <si>
    <t>LT_S_IN_001_01</t>
  </si>
  <si>
    <t>"Entity code of the informing society" can only be informed as one value in INSTRUMENT table</t>
  </si>
  <si>
    <t>LT_S_IN</t>
  </si>
  <si>
    <t>LT_S_IN_007_01</t>
  </si>
  <si>
    <t>"Reference date" can only be informed as one value in INSTRUMENT table</t>
  </si>
  <si>
    <t>LT_S_IP_001_01</t>
  </si>
  <si>
    <t>"Entity code of the informing society" can only be informed as one value in INSTR_PROTECTION table</t>
  </si>
  <si>
    <t>LT_S_IP</t>
  </si>
  <si>
    <t>LT_S_IP_002_01</t>
  </si>
  <si>
    <t>"Reference date" can only be informed as one value in INSTR_PROTECTION table</t>
  </si>
  <si>
    <t>LT_S_PR_001_01</t>
  </si>
  <si>
    <t>"Entity code of the informing society" can only be informed as one value in PROTECTION table</t>
  </si>
  <si>
    <t>LT_S_PR</t>
  </si>
  <si>
    <t>LT_S_PR_003_01</t>
  </si>
  <si>
    <t>"Reference date" can only be informed as one value in PROTECTION table</t>
  </si>
  <si>
    <t>Estimação Horas</t>
  </si>
  <si>
    <t>Tipologia de testes</t>
  </si>
  <si>
    <t>Categorização de Testes</t>
  </si>
  <si>
    <t>Descrição</t>
  </si>
  <si>
    <t>1. Validação de universo de contratos (quando comparado âmbito "CDG" e "PM", e numero de registos)
2. Controlos sobre o desdobramento de chaves nas relações FR-MIS</t>
  </si>
  <si>
    <t>Simulação da especificação funcional.
Suplementarmente, realizar reuniões de validações e esclarecimentos funcionais junto do negócio/owner.</t>
  </si>
  <si>
    <t xml:space="preserve">A partir da simulação realizada, comparar resultados com a implementação de IT. </t>
  </si>
  <si>
    <t xml:space="preserve">A partir da simulação realizada, comparar com as parametrizações implementadas por IT. </t>
  </si>
  <si>
    <t>Garantir que a informação do campo da LT-ESTR âmbito 'PM' está espelhado no âmbito 'CDG'.</t>
  </si>
  <si>
    <t>Validação de formato de acordo com o que é esperado pela Corporação (incluindo validação de codelists, missing e default values)
Validar especificação e controlos da especificação vs o que está implementado</t>
  </si>
  <si>
    <t>Validar controlos corporativos e se a especificação cumpre os requisitos.</t>
  </si>
  <si>
    <t>Garantir que o carregamento do ficheiro é realizado com sucesso no Front.</t>
  </si>
  <si>
    <t>Garantir integridade entre o ficheiro importado pela equipa de testes e o ficheiro de tecnologia (Ex: Garantir que a informação de todos os campos está correta de acordo com os dados corporativos)</t>
  </si>
  <si>
    <t>Pendente de outros campos/tabelas</t>
  </si>
  <si>
    <t>Validação da Susana/LCM/Corp/conceito/alterações</t>
  </si>
  <si>
    <t>Por IT</t>
  </si>
  <si>
    <t>Campo eliminado</t>
  </si>
  <si>
    <t>2.1 Em Teste</t>
  </si>
  <si>
    <t>- Pendente de desenvolvimentos de IT</t>
  </si>
  <si>
    <t>Data Prevista de Re-especificação</t>
  </si>
  <si>
    <t>Data Prevista de Teste</t>
  </si>
  <si>
    <r>
      <t xml:space="preserve">- Pendência de desenvolvimentos de IT do </t>
    </r>
    <r>
      <rPr>
        <b/>
        <i/>
        <sz val="10"/>
        <color theme="1"/>
        <rFont val="Santander Text"/>
        <family val="2"/>
      </rPr>
      <t>input</t>
    </r>
    <r>
      <rPr>
        <b/>
        <sz val="10"/>
        <color theme="1"/>
        <rFont val="Santander Text"/>
        <family val="2"/>
      </rPr>
      <t xml:space="preserve"> da MunichRe e dos desenvolvimentos das alterações na parametrização da marcação verde;
- Pendente do mapeamento das categorias SFCIS e categorias GD.</t>
    </r>
  </si>
  <si>
    <t>- Já foram testados os campos da LT Estrutural e uma tabela de parametrização.</t>
  </si>
  <si>
    <t>purpose_code</t>
  </si>
  <si>
    <t xml:space="preserve">- Pendência de reprocessamento de IT: Tabela de certificados energéticos. </t>
  </si>
  <si>
    <t>- Em falta a re-especificação de um campo do Pilar III dependente de reunião com o LCM</t>
  </si>
  <si>
    <t>Entrega IT prevista</t>
  </si>
  <si>
    <t>Entrega IT real</t>
  </si>
  <si>
    <t>Data Pr. de Re-especificação</t>
  </si>
  <si>
    <t>horas</t>
  </si>
  <si>
    <t>dias</t>
  </si>
  <si>
    <t>val</t>
  </si>
  <si>
    <t>JB</t>
  </si>
  <si>
    <t>HF</t>
  </si>
  <si>
    <t>JC (Pedente do MV - emissões)</t>
  </si>
  <si>
    <t>pendente de nova data de implementação</t>
  </si>
  <si>
    <t>lt007_instr_activity</t>
  </si>
  <si>
    <t>lt827_mthd_usd_instrmnt</t>
  </si>
  <si>
    <t>munichRe</t>
  </si>
  <si>
    <t>tbd</t>
  </si>
  <si>
    <t>RE-TESTES</t>
  </si>
  <si>
    <t>Entrega IT</t>
  </si>
  <si>
    <t>Data fim de testes</t>
  </si>
  <si>
    <t>Número de Campos</t>
  </si>
  <si>
    <r>
      <t xml:space="preserve">Bens Imóveis - </t>
    </r>
    <r>
      <rPr>
        <b/>
        <i/>
        <sz val="10"/>
        <color theme="0"/>
        <rFont val="Santander Text"/>
        <family val="2"/>
      </rPr>
      <t>Input</t>
    </r>
  </si>
  <si>
    <r>
      <t xml:space="preserve">Bens Imóveis - </t>
    </r>
    <r>
      <rPr>
        <b/>
        <i/>
        <sz val="10"/>
        <color theme="0"/>
        <rFont val="Santander Text"/>
        <family val="2"/>
      </rPr>
      <t>Output</t>
    </r>
  </si>
  <si>
    <r>
      <t xml:space="preserve">Modelo Verde - </t>
    </r>
    <r>
      <rPr>
        <b/>
        <i/>
        <sz val="10"/>
        <color theme="0"/>
        <rFont val="Santander Text"/>
        <family val="2"/>
      </rPr>
      <t>Input</t>
    </r>
  </si>
  <si>
    <t xml:space="preserve">1º Entrega </t>
  </si>
  <si>
    <t>2º Entrega</t>
  </si>
  <si>
    <r>
      <t xml:space="preserve">Modelo Verde - </t>
    </r>
    <r>
      <rPr>
        <b/>
        <i/>
        <sz val="10"/>
        <color theme="0"/>
        <rFont val="Santander Text"/>
        <family val="2"/>
      </rPr>
      <t>Output</t>
    </r>
  </si>
  <si>
    <t>3º Entrega</t>
  </si>
  <si>
    <r>
      <t xml:space="preserve">Modelo Verde - </t>
    </r>
    <r>
      <rPr>
        <b/>
        <sz val="10"/>
        <color theme="0"/>
        <rFont val="Santander Text"/>
        <family val="2"/>
      </rPr>
      <t>Output</t>
    </r>
  </si>
  <si>
    <r>
      <t xml:space="preserve">4º Entrega - </t>
    </r>
    <r>
      <rPr>
        <b/>
        <sz val="10"/>
        <color theme="1"/>
        <rFont val="Santander Text"/>
        <family val="2"/>
      </rPr>
      <t>TBD</t>
    </r>
    <r>
      <rPr>
        <sz val="10"/>
        <color theme="1"/>
        <rFont val="Santander Text"/>
        <family val="2"/>
      </rPr>
      <t xml:space="preserve"> (foram disponibilizadas especificações a 23/10 e 25/20 - aguardamos datas de entregas de IT)</t>
    </r>
  </si>
  <si>
    <r>
      <t xml:space="preserve">2º Entrega - </t>
    </r>
    <r>
      <rPr>
        <b/>
        <sz val="10"/>
        <color theme="1"/>
        <rFont val="Santander Text"/>
        <family val="2"/>
      </rPr>
      <t xml:space="preserve">TBD </t>
    </r>
    <r>
      <rPr>
        <sz val="10"/>
        <color theme="1"/>
        <rFont val="Santander Text"/>
        <family val="2"/>
      </rPr>
      <t>(foram disponibilizadas especificações a 18/10, 23/10 e  28/10 (9 campos) e serão disponibilizados 2 campos a 30/10- aguardamos datas de entregas de IT)</t>
    </r>
  </si>
  <si>
    <t>Campos já entregues por parte de IT</t>
  </si>
  <si>
    <r>
      <t xml:space="preserve">2º Entrega - </t>
    </r>
    <r>
      <rPr>
        <b/>
        <sz val="10"/>
        <color theme="1"/>
        <rFont val="Santander Text"/>
        <family val="2"/>
      </rPr>
      <t>TBD</t>
    </r>
    <r>
      <rPr>
        <sz val="10"/>
        <color theme="1"/>
        <rFont val="Santander Text"/>
        <family val="2"/>
      </rPr>
      <t xml:space="preserve"> (foram disponibilizadas especificações a 25/10 e  28/10 (8 campos) e serão disponibilizados 2 campos a 30/10- aguardamos datas de entregas de IT)</t>
    </r>
  </si>
  <si>
    <t>MunichRe</t>
  </si>
  <si>
    <t>TBD</t>
  </si>
  <si>
    <t>Todos</t>
  </si>
  <si>
    <t>Entrega</t>
  </si>
  <si>
    <t>Entrega #1</t>
  </si>
  <si>
    <t>lt007_instr_activityenvrnmntl_objctv</t>
  </si>
  <si>
    <t>lt007_instr_activitysstnbl_ctgry</t>
  </si>
  <si>
    <t>lt007_instr_activitysstnbl_indctr</t>
  </si>
  <si>
    <t>lt007_instr_activitytyp_actvty</t>
  </si>
  <si>
    <t>lt827_mthd_usd_instrmntambito</t>
  </si>
  <si>
    <t>lt827_mthd_usd_instrmntflg_col</t>
  </si>
  <si>
    <t>lt827_mthd_usd_instrmntflg_exec</t>
  </si>
  <si>
    <t>lt827_mthd_usd_instrmntflg_fin</t>
  </si>
  <si>
    <t>lt827_mthd_usd_instrmntflg_pro</t>
  </si>
  <si>
    <t>lt827_mthd_usd_instrmntmthd_usd_instrmnt_scp_1</t>
  </si>
  <si>
    <t>lt827_mthd_usd_instrmntmthd_usd_instrmnt_scp_2</t>
  </si>
  <si>
    <t>lt827_mthd_usd_instrmntmthd_usd_instrmnt_scp_3</t>
  </si>
  <si>
    <t>lt827_mthd_usd_instrmntordem</t>
  </si>
  <si>
    <t>lt827_mthd_usd_instrmntorigem_scp1_emss</t>
  </si>
  <si>
    <t>lt827_mthd_usd_instrmntorigem_scp2_emss</t>
  </si>
  <si>
    <t>lt827_mthd_usd_instrmntorigem_scp3_emss</t>
  </si>
  <si>
    <t>lt827_mthd_usd_instrmntpurpose_code</t>
  </si>
  <si>
    <t>lt827_mthd_usd_instrmntref_date</t>
  </si>
  <si>
    <t>lt827_mthd_usd_instrmnttabela</t>
  </si>
  <si>
    <t>lt827_mthd_usd_instrmnt - TBD a aguardar entrega de IT, a equipa funcional entregou as especificações a 28/10</t>
  </si>
  <si>
    <t>Entrega #2</t>
  </si>
  <si>
    <t>Entrega #3</t>
  </si>
  <si>
    <t>Entrega #4</t>
  </si>
  <si>
    <t>Entrega #1 (Re-especificação)</t>
  </si>
  <si>
    <t>Status Atual (%)</t>
  </si>
  <si>
    <t>Status Estimado (%)</t>
  </si>
  <si>
    <t>Data ínicio (Testes)</t>
  </si>
  <si>
    <t>Data Fim (Testes)</t>
  </si>
  <si>
    <t>VAL</t>
  </si>
  <si>
    <t>Variação (%)</t>
  </si>
  <si>
    <t>Validação EF</t>
  </si>
  <si>
    <t>Concluído</t>
  </si>
  <si>
    <t>GLOVAL - Tabela unificada/ traçabilidade</t>
  </si>
  <si>
    <t>GLOVAL - Reprocessamento via front</t>
  </si>
  <si>
    <t>IT - Em implementação</t>
  </si>
  <si>
    <t>NYD - Em teste</t>
  </si>
  <si>
    <t>Entrega #1 (Re-especificação 2)</t>
  </si>
  <si>
    <t>Entrega #2 (Re-especificação2)</t>
  </si>
  <si>
    <t>Com incidência do lado de PM e dependente do campo cgarant bem do MBI</t>
  </si>
  <si>
    <t>Entrega #1 (Incidências)</t>
  </si>
  <si>
    <t>29/11: Conclusão de teste aos campos</t>
  </si>
  <si>
    <t>Esconder</t>
  </si>
  <si>
    <t>Data Fim Testes (prevista)</t>
  </si>
  <si>
    <t>Data Correção (Prevista)</t>
  </si>
  <si>
    <t>Data Correção (Real)</t>
  </si>
  <si>
    <t>Entrega #1 (Dependências)</t>
  </si>
  <si>
    <t>1. Visão Geral</t>
  </si>
  <si>
    <t>2. Modelo Bens imóveis</t>
  </si>
  <si>
    <t>3. Modelo Verde</t>
  </si>
  <si>
    <t>4. Loan Tape | Pilar III</t>
  </si>
  <si>
    <t>Plano</t>
  </si>
  <si>
    <t>06/12: Conclusão de teste aos campos</t>
  </si>
  <si>
    <t>Entrega #2 (Incidências)</t>
  </si>
  <si>
    <t>Entrega #2 (Re-especificação)</t>
  </si>
  <si>
    <t>Entrega #5 (Incidências)</t>
  </si>
  <si>
    <t xml:space="preserve">Entrega #1 </t>
  </si>
  <si>
    <t>13/12: Conclusão de teste aos campos</t>
  </si>
  <si>
    <t>13/12: Conclusão de teste ao campo</t>
  </si>
  <si>
    <t>20/12: Conclusão de teste ao campo</t>
  </si>
  <si>
    <t>20/12: Conclusão de teste aos campos</t>
  </si>
  <si>
    <t>Pendente Mapeamento Categoria SFICS</t>
  </si>
  <si>
    <t>Entrega #4 (Incidências)</t>
  </si>
  <si>
    <t>X</t>
  </si>
  <si>
    <t>Entrega #1 (Pendência)</t>
  </si>
  <si>
    <t>Entrega #3 (Pendência)</t>
  </si>
  <si>
    <t>10/01: Conclusão de teste aos campos</t>
  </si>
  <si>
    <t>10/01: Conclusão de teste ao campo</t>
  </si>
  <si>
    <t>Pendente de Acessos</t>
  </si>
  <si>
    <t>20/12: Conclusão de teste aos campos. 10/01: Inclusão Portfolio Project Finance</t>
  </si>
  <si>
    <t>13/12: Conclusão de teste aos campos. 10/01: Códigos Code_Nace sofreram atualização</t>
  </si>
  <si>
    <t>20/12: Conclusão de teste ao campo. 10/01: Códigos Code_Nace sofreram atualização</t>
  </si>
  <si>
    <t>13/12: Conclusão de teste aos campos. 10/01: Inclusão Portfolio Project Finance</t>
  </si>
  <si>
    <t>Apesar de entregue, não é possível testar por temas de usuário</t>
  </si>
  <si>
    <t>CURRENT_ENERGY_RATING_PERCENTAGE</t>
  </si>
  <si>
    <t>PROPERTY_ENERGY_CERTIFICATECURRENT_ENERGY_RATING_PERCENTAGE</t>
  </si>
  <si>
    <t>Planeado</t>
  </si>
  <si>
    <t>17/01: Conclusão de teste ao campo</t>
  </si>
  <si>
    <t>Campos Cancelados devido a inclusão dos mesmos noutra tabela pela Corporação</t>
  </si>
  <si>
    <t>17/01: Conclusão de teste aos campos</t>
  </si>
  <si>
    <t>Pendente de Especificação Marcação Verde</t>
  </si>
  <si>
    <t>Pendente de alinhamento da Especificação Marcação Verde</t>
  </si>
  <si>
    <t>17/01: Foi alterada a especificação do processo da Gloval</t>
  </si>
  <si>
    <t>13/12: Conclusão de teste aos campos. 17/01: Inclusão de um novo campo e atualização da especificaçao com base na alteração do processo da Gloval</t>
  </si>
  <si>
    <t>CHAVE_GLOVAL</t>
  </si>
  <si>
    <t>CÓDIGO_DISTRITO</t>
  </si>
  <si>
    <t>NOMBRE_DISTRITO</t>
  </si>
  <si>
    <t>CÓDIGO_CONCEJO</t>
  </si>
  <si>
    <t>NOMBRE_CONCEJO</t>
  </si>
  <si>
    <t>CÓDIGO_FREGUESIA</t>
  </si>
  <si>
    <t>NOMBRE_FREGUESIA</t>
  </si>
  <si>
    <t>LOCALIDADE</t>
  </si>
  <si>
    <t>TIPO_VIA</t>
  </si>
  <si>
    <t>NOMBRE_TIPO_VIA</t>
  </si>
  <si>
    <t>NOMBRE_VIA</t>
  </si>
  <si>
    <t>NUMERO_VIA</t>
  </si>
  <si>
    <t>LOTE</t>
  </si>
  <si>
    <t>URBANIZACION</t>
  </si>
  <si>
    <t>CAGLURB</t>
  </si>
  <si>
    <t>RESTO_DIRECCION</t>
  </si>
  <si>
    <t>LATITUDE</t>
  </si>
  <si>
    <t>LONGITUDE</t>
  </si>
  <si>
    <t>CODIGO_POSTAL</t>
  </si>
  <si>
    <t>SUBCODIGO_POSTAL</t>
  </si>
  <si>
    <t>ASSUPERFICIE_UTIL</t>
  </si>
  <si>
    <t>ANIO_CONSTRUCCION</t>
  </si>
  <si>
    <t>TIPO_INMUEBLE_HABITACAO</t>
  </si>
  <si>
    <t>PISO_APARTAMENTO</t>
  </si>
  <si>
    <t>CASA_UNIFAMILIAR</t>
  </si>
  <si>
    <t>TIPO_INMUEBLE_COMERCIO_SERVICOS</t>
  </si>
  <si>
    <t>NOME_CONSERVATORIA</t>
  </si>
  <si>
    <t>COD_CONSERVATORIA</t>
  </si>
  <si>
    <t>REGISTRO_CONSERVATORIA</t>
  </si>
  <si>
    <t>ART_MATRICIAIS</t>
  </si>
  <si>
    <t>FRACCAO_AUTONOMA</t>
  </si>
  <si>
    <t>FINALIDADE_BEM</t>
  </si>
  <si>
    <t>CLASS_GPT31</t>
  </si>
  <si>
    <t>CLASS_STCLIM</t>
  </si>
  <si>
    <t>CONF_STCLIM</t>
  </si>
  <si>
    <t>CLASSE_ENERGETICA</t>
  </si>
  <si>
    <t>FIABILIDAD</t>
  </si>
  <si>
    <t>EMISSIONES</t>
  </si>
  <si>
    <t>CONSUMOS</t>
  </si>
  <si>
    <t>DATA_ENVIO</t>
  </si>
  <si>
    <t>ENERGY_CERTIFICATE_EST_INPUTANIO_CONSTRUCCION</t>
  </si>
  <si>
    <t>ENERGY_CERTIFICATE_EST_INPUTART_MATRICIAIS</t>
  </si>
  <si>
    <t>ENERGY_CERTIFICATE_EST_INPUTASSUPERFICIE_UTIL</t>
  </si>
  <si>
    <t>ENERGY_CERTIFICATE_EST_INPUTCAGLURB</t>
  </si>
  <si>
    <t>ENERGY_CERTIFICATE_EST_INPUTCASA_UNIFAMILIAR</t>
  </si>
  <si>
    <t>ENERGY_CERTIFICATE_EST_INPUTCHAVE_GLOVAL</t>
  </si>
  <si>
    <t>ENERGY_CERTIFICATE_EST_INPUTCLASS_GPT31</t>
  </si>
  <si>
    <t>ENERGY_CERTIFICATE_EST_INPUTCLASS_STCLIM</t>
  </si>
  <si>
    <t>ENERGY_CERTIFICATE_EST_INPUTCLASSE_ENERGETICA</t>
  </si>
  <si>
    <t>ENERGY_CERTIFICATE_EST_INPUTCOD_CONSERVATORIA</t>
  </si>
  <si>
    <t>ENERGY_CERTIFICATE_EST_INPUTCÓDIGO_CONCEJO</t>
  </si>
  <si>
    <t>ENERGY_CERTIFICATE_EST_INPUTCÓDIGO_DISTRITO</t>
  </si>
  <si>
    <t>ENERGY_CERTIFICATE_EST_INPUTCÓDIGO_FREGUESIA</t>
  </si>
  <si>
    <t>ENERGY_CERTIFICATE_EST_INPUTCODIGO_POSTAL</t>
  </si>
  <si>
    <t>ENERGY_CERTIFICATE_EST_INPUTCONF_STCLIM</t>
  </si>
  <si>
    <t>ENERGY_CERTIFICATE_EST_INPUTCONSUMOS</t>
  </si>
  <si>
    <t>ENERGY_CERTIFICATE_EST_INPUTDATA_ENVIO</t>
  </si>
  <si>
    <t>ENERGY_CERTIFICATE_EST_INPUTEMISSIONES</t>
  </si>
  <si>
    <t>ENERGY_CERTIFICATE_EST_INPUTFIABILIDAD</t>
  </si>
  <si>
    <t>ENERGY_CERTIFICATE_EST_INPUTFINALIDADE_BEM</t>
  </si>
  <si>
    <t>ENERGY_CERTIFICATE_EST_INPUTFRACCAO_AUTONOMA</t>
  </si>
  <si>
    <t>ENERGY_CERTIFICATE_EST_INPUTLATITUDE</t>
  </si>
  <si>
    <t>ENERGY_CERTIFICATE_EST_INPUTLOCALIDADE</t>
  </si>
  <si>
    <t>ENERGY_CERTIFICATE_EST_INPUTLONGITUDE</t>
  </si>
  <si>
    <t>ENERGY_CERTIFICATE_EST_INPUTLOTE</t>
  </si>
  <si>
    <t>ENERGY_CERTIFICATE_EST_INPUTNOMBRE_CONCEJO</t>
  </si>
  <si>
    <t>ENERGY_CERTIFICATE_EST_INPUTNOMBRE_DISTRITO</t>
  </si>
  <si>
    <t>ENERGY_CERTIFICATE_EST_INPUTNOMBRE_FREGUESIA</t>
  </si>
  <si>
    <t>ENERGY_CERTIFICATE_EST_INPUTNOMBRE_TIPO_VIA</t>
  </si>
  <si>
    <t>ENERGY_CERTIFICATE_EST_INPUTNOMBRE_VIA</t>
  </si>
  <si>
    <t>ENERGY_CERTIFICATE_EST_INPUTNOME_CONSERVATORIA</t>
  </si>
  <si>
    <t>ENERGY_CERTIFICATE_EST_INPUTNUMERO_VIA</t>
  </si>
  <si>
    <t>ENERGY_CERTIFICATE_EST_INPUTPISO_APARTAMENTO</t>
  </si>
  <si>
    <t>ENERGY_CERTIFICATE_EST_INPUTREGISTRO_CONSERVATORIA</t>
  </si>
  <si>
    <t>ENERGY_CERTIFICATE_EST_INPUTRESTO_DIRECCION</t>
  </si>
  <si>
    <t>ENERGY_CERTIFICATE_EST_INPUTSUBCODIGO_POSTAL</t>
  </si>
  <si>
    <t>ENERGY_CERTIFICATE_EST_INPUTTIPO_INMUEBLE_COMERCIO_SERVICOS</t>
  </si>
  <si>
    <t>ENERGY_CERTIFICATE_EST_INPUTTIPO_INMUEBLE_HABITACAO</t>
  </si>
  <si>
    <t>ENERGY_CERTIFICATE_EST_INPUTTIPO_VIA</t>
  </si>
  <si>
    <t>ENERGY_CERTIFICATE_EST_INPUTURBANIZACION</t>
  </si>
  <si>
    <t>nome_ctgr_sfics</t>
  </si>
  <si>
    <t>prdt_sprdt</t>
  </si>
  <si>
    <t>flg_csrd</t>
  </si>
  <si>
    <t>combustivel</t>
  </si>
  <si>
    <t>co2</t>
  </si>
  <si>
    <t>cfamilia</t>
  </si>
  <si>
    <t>property_purpose_code</t>
  </si>
  <si>
    <t>dabertur</t>
  </si>
  <si>
    <t>tipo_eqp</t>
  </si>
  <si>
    <t>construction_year</t>
  </si>
  <si>
    <t>quality_score</t>
  </si>
  <si>
    <t>nome_purpose_esg_alinh_tax</t>
  </si>
  <si>
    <t>nome_purpose_esg_nalinh_tax</t>
  </si>
  <si>
    <t>modesg_inp_project_finance</t>
  </si>
  <si>
    <t>codigo_unidade</t>
  </si>
  <si>
    <t>nome_unidade</t>
  </si>
  <si>
    <t>kgl</t>
  </si>
  <si>
    <t>nome_legal_kgl</t>
  </si>
  <si>
    <t>kgl_top_entidade_principal</t>
  </si>
  <si>
    <t>kgl_entidade_principal</t>
  </si>
  <si>
    <t>nome_top_entidade_principal</t>
  </si>
  <si>
    <t>codigo_unidade_operativa</t>
  </si>
  <si>
    <t>nome_entidade_operativa</t>
  </si>
  <si>
    <t>modesg_inp_project_financecodigo_unidade</t>
  </si>
  <si>
    <t>modesg_inp_project_financecodigo_unidade_operativa</t>
  </si>
  <si>
    <t>modesg_inp_project_financekgl</t>
  </si>
  <si>
    <t>modesg_inp_project_financekgl_entidade_principal</t>
  </si>
  <si>
    <t>modesg_inp_project_financekgl_top_entidade_principal</t>
  </si>
  <si>
    <t>modesg_inp_project_financenome_legal_kgl</t>
  </si>
  <si>
    <t>modesg_inp_project_financenome_top_entidade_principal</t>
  </si>
  <si>
    <t>modesg_inp_project_financenome_unidade</t>
  </si>
  <si>
    <t>modesg_inp_project_financenome_entidade_operativa</t>
  </si>
  <si>
    <t>modesg_out_sfics_taxon_europeia</t>
  </si>
  <si>
    <t>modesg_out_sfics_taxon_europeiacbalcao</t>
  </si>
  <si>
    <t>modesg_out_sfics_taxon_europeiacempresa</t>
  </si>
  <si>
    <t>modesg_out_sfics_taxon_europeiacnumecta</t>
  </si>
  <si>
    <t>modesg_out_sfics_taxon_europeiacod_regra</t>
  </si>
  <si>
    <t>modesg_out_sfics_taxon_europeiamontante_pndrc</t>
  </si>
  <si>
    <t>modesg_out_sfics_taxon_europeian.a.</t>
  </si>
  <si>
    <t>modesg_out_sfics_taxon_europeianome_ctgr_sfics</t>
  </si>
  <si>
    <t>modesg_out_sfics_taxon_europeianome_general_specific_purpose</t>
  </si>
  <si>
    <t>modesg_out_sfics_taxon_europeianome_purpose_esg_alinh_tax</t>
  </si>
  <si>
    <t>modesg_out_sfics_taxon_europeianome_purpose_esg_nalinh_tax</t>
  </si>
  <si>
    <t>modesg_out_sfics_taxon_europeianome_specific_eligible</t>
  </si>
  <si>
    <t>modesg_out_sfics_taxon_europeianome_specific_sustainable</t>
  </si>
  <si>
    <t>modesg_out_sfics_taxon_europeiaordem</t>
  </si>
  <si>
    <t>modesg_out_sfics_taxon_europeiaorigem</t>
  </si>
  <si>
    <t>modesg_out_sfics_taxon_europeiaref_date</t>
  </si>
  <si>
    <t>modesg_out_sfics_taxon_europeiazdeposit</t>
  </si>
  <si>
    <t>modesg_param_sfics_taxon_europeia</t>
  </si>
  <si>
    <t>modesg_param_sfics_taxon_europeiacfamilia</t>
  </si>
  <si>
    <t>modesg_param_sfics_taxon_europeiacfinalidad</t>
  </si>
  <si>
    <t>modesg_param_sfics_taxon_europeiackmetamis</t>
  </si>
  <si>
    <t>modesg_param_sfics_taxon_europeiackprodmi</t>
  </si>
  <si>
    <t>modesg_param_sfics_taxon_europeiacmetanseg</t>
  </si>
  <si>
    <t>modesg_param_sfics_taxon_europeiacnumecta</t>
  </si>
  <si>
    <t>modesg_param_sfics_taxon_europeiaco2</t>
  </si>
  <si>
    <t>modesg_param_sfics_taxon_europeiacod_regra</t>
  </si>
  <si>
    <t>modesg_param_sfics_taxon_europeiacombustivel</t>
  </si>
  <si>
    <t>modesg_param_sfics_taxon_europeiacomite</t>
  </si>
  <si>
    <t>modesg_param_sfics_taxon_europeiaconstruction_year</t>
  </si>
  <si>
    <t>modesg_param_sfics_taxon_europeiacontraparte</t>
  </si>
  <si>
    <t>modesg_param_sfics_taxon_europeiadabertur</t>
  </si>
  <si>
    <t>modesg_param_sfics_taxon_europeiadata_aprvc</t>
  </si>
  <si>
    <t>modesg_param_sfics_taxon_europeiadata_final</t>
  </si>
  <si>
    <t>modesg_param_sfics_taxon_europeiadata_inicial</t>
  </si>
  <si>
    <t>modesg_param_sfics_taxon_europeiadscrc</t>
  </si>
  <si>
    <t>modesg_param_sfics_taxon_europeiaepc</t>
  </si>
  <si>
    <t>modesg_param_sfics_taxon_europeiaflag_project_finance</t>
  </si>
  <si>
    <t>modesg_param_sfics_taxon_europeiaflg_csrd</t>
  </si>
  <si>
    <t>modesg_param_sfics_taxon_europeiaflg_rsc_fsc_agd</t>
  </si>
  <si>
    <t>modesg_param_sfics_taxon_europeiaflg_rsc_fsc_crnc</t>
  </si>
  <si>
    <t>modesg_param_sfics_taxon_europeiamontante_pndrc</t>
  </si>
  <si>
    <t>modesg_param_sfics_taxon_europeian.a.</t>
  </si>
  <si>
    <t>modesg_param_sfics_taxon_europeianome_ctgr_sfics</t>
  </si>
  <si>
    <t>modesg_param_sfics_taxon_europeianome_general_specific_purpose</t>
  </si>
  <si>
    <t>modesg_param_sfics_taxon_europeianome_purpose_esg_alinh_tax</t>
  </si>
  <si>
    <t>modesg_param_sfics_taxon_europeianome_purpose_esg_nalinh_tax</t>
  </si>
  <si>
    <t>modesg_param_sfics_taxon_europeianome_specific_eligible</t>
  </si>
  <si>
    <t>modesg_param_sfics_taxon_europeianome_specific_sustainable</t>
  </si>
  <si>
    <t>modesg_param_sfics_taxon_europeiaprdt_sprdt</t>
  </si>
  <si>
    <t>modesg_param_sfics_taxon_europeiaproperty_purpose_code</t>
  </si>
  <si>
    <t>modesg_param_sfics_taxon_europeiaquality_score</t>
  </si>
  <si>
    <t>modesg_param_sfics_taxon_europeiaref_date</t>
  </si>
  <si>
    <t>modesg_param_sfics_taxon_europeiatipo_eqp</t>
  </si>
  <si>
    <t>modesg_param_sfics_taxon_europeiazcliente</t>
  </si>
  <si>
    <t>modesg_param_sfics_taxon_europeiazdeposit</t>
  </si>
  <si>
    <t>modesg_out_empr_info_nfinbio_capex_own_prfrmnce_algnd</t>
  </si>
  <si>
    <t>modesg_out_empr_info_nfinbio_capex_ttl_elgbl</t>
  </si>
  <si>
    <t>modesg_out_empr_info_nfinbio_trnvr_ttl_elgbl</t>
  </si>
  <si>
    <t>modesg_out_empr_info_nfinbio_turnover_own_prfrmnce_algnd</t>
  </si>
  <si>
    <t>modesg_out_empr_info_nfince_capex_enblng_algnd</t>
  </si>
  <si>
    <t>modesg_out_empr_info_nfince_capex_own_prfrmnce_algnd</t>
  </si>
  <si>
    <t>modesg_out_empr_info_nfince_capex_ttl_elgbl</t>
  </si>
  <si>
    <t>modesg_out_empr_info_nfince_trnvr_enblng_alignd</t>
  </si>
  <si>
    <t>modesg_out_empr_info_nfince_trnvr_ttl_elgbl</t>
  </si>
  <si>
    <t>modesg_out_empr_info_nfince_turnover_own_prfrmnce_algnd</t>
  </si>
  <si>
    <t>modesg_out_empr_info_nfinppc_capex_own_prfrmnce_algnd</t>
  </si>
  <si>
    <t>modesg_out_empr_info_nfinppc_capex_ttl_elgbl</t>
  </si>
  <si>
    <t>modesg_out_empr_info_nfinppc_trnvr_ttl_elgbl</t>
  </si>
  <si>
    <t>modesg_out_empr_info_nfinppc_turnover_own_prfrmnce_algnd</t>
  </si>
  <si>
    <t>modesg_out_empr_info_nfinwtr_capex_enblng_algnd</t>
  </si>
  <si>
    <t>modesg_out_empr_info_nfinwtr_capex_own_prfrmnce_algnd</t>
  </si>
  <si>
    <t>modesg_out_empr_info_nfinwtr_capex_ttl_elgbl</t>
  </si>
  <si>
    <t>modesg_out_empr_info_nfinwtr_trnvr_enblng_alignd</t>
  </si>
  <si>
    <t>modesg_out_empr_info_nfinwtr_trnvr_ttl_elgbl</t>
  </si>
  <si>
    <t>modesg_out_empr_info_nfinwtr_turnover_own_prfrmnce_algnd</t>
  </si>
  <si>
    <t>modesg_inp_risco_fisico_zipcode</t>
  </si>
  <si>
    <t>localizacao</t>
  </si>
  <si>
    <t>modesg_inp_risco_fisico_zipcodecod_nace_esg</t>
  </si>
  <si>
    <t>modesg_inp_risco_fisico_zipcodecod_pais</t>
  </si>
  <si>
    <t>modesg_inp_risco_fisico_zipcodeflg_rsc_fsc_agd</t>
  </si>
  <si>
    <t>modesg_inp_risco_fisico_zipcodeflg_rsc_fsc_crnc</t>
  </si>
  <si>
    <t>modesg_inp_risco_fisico_zipcodelocalizacao</t>
  </si>
  <si>
    <t>PROPERTY_CODE</t>
  </si>
  <si>
    <t>PROPERTYPROPERTY_CODE</t>
  </si>
  <si>
    <t>FRBRNC_STTS_INSTRMNT</t>
  </si>
  <si>
    <t>INTRNL_SGMNT</t>
  </si>
  <si>
    <t>DT_ORGNL_MTRTY</t>
  </si>
  <si>
    <t>EAD</t>
  </si>
  <si>
    <t>LTV</t>
  </si>
  <si>
    <t>LTV_INCPTN</t>
  </si>
  <si>
    <t>EIR</t>
  </si>
  <si>
    <t>EIR_INCPTN</t>
  </si>
  <si>
    <t>INTRNL_SGMNT_CAT_MSTA</t>
  </si>
  <si>
    <t>INTRNL_SGMNT_CATGSUB</t>
  </si>
  <si>
    <t>TYP_OFF_BLNC_PRDCT</t>
  </si>
  <si>
    <t>FLG_MNMM_SFGRDS</t>
  </si>
  <si>
    <t>lt002_instrumentCNCLLD_INSTRMNT_STTS</t>
  </si>
  <si>
    <t>lt002_instrumentDT_ORGNL_MTRTY</t>
  </si>
  <si>
    <t>lt002_instrumentEAD</t>
  </si>
  <si>
    <t>lt002_instrumentEIR</t>
  </si>
  <si>
    <t>lt002_instrumentEIR_INCPTN</t>
  </si>
  <si>
    <t>lt002_instrumentFLG_MNMM_SFGRDS</t>
  </si>
  <si>
    <t>lt002_instrumentFRBRNC_STTS_INSTRMNT</t>
  </si>
  <si>
    <t>lt002_instrumentINTRNL_SGMNT</t>
  </si>
  <si>
    <t>lt002_instrumentINTRNL_SGMNT_CAT_MSTA</t>
  </si>
  <si>
    <t>lt002_instrumentINTRNL_SGMNT_CATGSUB</t>
  </si>
  <si>
    <t>lt002_instrumentLTV</t>
  </si>
  <si>
    <t>lt002_instrumentLTV_INCPTN</t>
  </si>
  <si>
    <t>lt002_instrumentNW_BSNSS</t>
  </si>
  <si>
    <t>lt002_instrumentOFF_BLNC_SHT_AMNT_INSTRMNT</t>
  </si>
  <si>
    <t>lt002_instrumentRWA</t>
  </si>
  <si>
    <t>lt002_instrumentTYP_OFF_BLNC_PRDCT</t>
  </si>
  <si>
    <t>entty_nm</t>
  </si>
  <si>
    <t>ec_grp_id</t>
  </si>
  <si>
    <t>ec_grp_nm</t>
  </si>
  <si>
    <t>grp_ecnmc_actvty</t>
  </si>
  <si>
    <t>txnmy_elgbl_capex_w</t>
  </si>
  <si>
    <t>txnmy_elgbl_trnvr_w</t>
  </si>
  <si>
    <t>txnmy_elgbl_capex_p</t>
  </si>
  <si>
    <t>txnmy_elgbl_trnvr_p</t>
  </si>
  <si>
    <t>txnmy_elgbl_capex_b</t>
  </si>
  <si>
    <t>txnmy_elgbl_trnvr_b</t>
  </si>
  <si>
    <t>txnmy_elgbl_capex_ce</t>
  </si>
  <si>
    <t>txnmy_elgbl_trnvr_ce</t>
  </si>
  <si>
    <t>pure_capex_p</t>
  </si>
  <si>
    <t>pure_trnvr_p</t>
  </si>
  <si>
    <t>pure_capex_b</t>
  </si>
  <si>
    <t>pure_trnvr_b</t>
  </si>
  <si>
    <t>pure_capex_w</t>
  </si>
  <si>
    <t>pure_trnvr_w</t>
  </si>
  <si>
    <t>pure_capex_ce</t>
  </si>
  <si>
    <t>pure_trnvr_ce</t>
  </si>
  <si>
    <t>enblng_capex_w</t>
  </si>
  <si>
    <t>enblng_trnvr_w</t>
  </si>
  <si>
    <t>enblng_capex_ce</t>
  </si>
  <si>
    <t>enblng_trnvr_ce</t>
  </si>
  <si>
    <t>lt003_entityec_grp_id</t>
  </si>
  <si>
    <t>lt003_entityec_grp_nm</t>
  </si>
  <si>
    <t>lt003_entityenblng_capex_ce</t>
  </si>
  <si>
    <t>lt003_entityenblng_capex_w</t>
  </si>
  <si>
    <t>lt003_entityenblng_trnvr_ce</t>
  </si>
  <si>
    <t>lt003_entityenblng_trnvr_w</t>
  </si>
  <si>
    <t>lt003_entityentty_nm</t>
  </si>
  <si>
    <t>lt003_entitygrp_ecnmc_actvty</t>
  </si>
  <si>
    <t>lt003_entitypure_capex_b</t>
  </si>
  <si>
    <t>lt003_entitypure_capex_ce</t>
  </si>
  <si>
    <t>lt003_entitypure_capex_p</t>
  </si>
  <si>
    <t>lt003_entitypure_capex_w</t>
  </si>
  <si>
    <t>lt003_entitypure_trnvr_b</t>
  </si>
  <si>
    <t>lt003_entitypure_trnvr_ce</t>
  </si>
  <si>
    <t>lt003_entitypure_trnvr_p</t>
  </si>
  <si>
    <t>lt003_entitypure_trnvr_w</t>
  </si>
  <si>
    <t>lt003_entitytxnmy_elgbl_capex_b</t>
  </si>
  <si>
    <t>lt003_entitytxnmy_elgbl_capex_ce</t>
  </si>
  <si>
    <t>lt003_entitytxnmy_elgbl_capex_p</t>
  </si>
  <si>
    <t>lt003_entitytxnmy_elgbl_capex_w</t>
  </si>
  <si>
    <t>lt003_entitytxnmy_elgbl_trnvr_b</t>
  </si>
  <si>
    <t>lt003_entitytxnmy_elgbl_trnvr_ce</t>
  </si>
  <si>
    <t>lt003_entitytxnmy_elgbl_trnvr_p</t>
  </si>
  <si>
    <t>lt003_entitytxnmy_elgbl_trnvr_w</t>
  </si>
  <si>
    <t>Package 3</t>
  </si>
  <si>
    <t>Package 4</t>
  </si>
  <si>
    <t>Package 5</t>
  </si>
  <si>
    <t>Package 1</t>
  </si>
  <si>
    <t>RL_ESTT_ADDRSS</t>
  </si>
  <si>
    <t>RL_ESTT_CLLTRL_LCTN_INT</t>
  </si>
  <si>
    <t>RL_ESTT_CTY</t>
  </si>
  <si>
    <t>TYP_EMSSNS_LBL</t>
  </si>
  <si>
    <t>EPC_EMSSNS_LBL</t>
  </si>
  <si>
    <t>VHCL_EMSSNS_LBL</t>
  </si>
  <si>
    <t>TYP_EMSSNS_SCR</t>
  </si>
  <si>
    <t>EPC_EMSSNS_SCR</t>
  </si>
  <si>
    <t>VHCL_EMSSNS_SCR</t>
  </si>
  <si>
    <t>INSRNC_ID</t>
  </si>
  <si>
    <t>TYP_HZRDS_INSRD</t>
  </si>
  <si>
    <t>AMNT_CVRD_INSRNC</t>
  </si>
  <si>
    <t>DT_MTRTY_INSRNC</t>
  </si>
  <si>
    <t>FLG_FRST_HM</t>
  </si>
  <si>
    <t>YR_CNSTRCTN</t>
  </si>
  <si>
    <t>BLDNG_AR</t>
  </si>
  <si>
    <t>RL_ESTT_CRTFCTN</t>
  </si>
  <si>
    <t>TYP_VHCL</t>
  </si>
  <si>
    <t>DT_RGSTRTN</t>
  </si>
  <si>
    <t>PRMRY_ENRGY_DMND_NN_RNWBL</t>
  </si>
  <si>
    <t>PRMRY_ENRGY_DMND_TTL</t>
  </si>
  <si>
    <t>PRMRY_ENRGY_DMND_RFRNC_VL</t>
  </si>
  <si>
    <t>RL_ESTT_CLMT_ZN</t>
  </si>
  <si>
    <t>lt004_protectionAMNT_CVRD_INSRNC</t>
  </si>
  <si>
    <t>lt004_protectionBLDNG_AR</t>
  </si>
  <si>
    <t>lt004_protectionDT_MTRTY_INSRNC</t>
  </si>
  <si>
    <t>lt004_protectionDT_RGSTRTN</t>
  </si>
  <si>
    <t>lt004_protectionEPC_EMSSNS_LBL</t>
  </si>
  <si>
    <t>lt004_protectionEPC_EMSSNS_SCR</t>
  </si>
  <si>
    <t>lt004_protectionFLG_FRST_HM</t>
  </si>
  <si>
    <t>lt004_protectionINSRNC_ID</t>
  </si>
  <si>
    <t>lt004_protectionPRMRY_ENRGY_DMND_NN_RNWBL</t>
  </si>
  <si>
    <t>lt004_protectionPRMRY_ENRGY_DMND_RFRNC_VL</t>
  </si>
  <si>
    <t>lt004_protectionPRMRY_ENRGY_DMND_TTL</t>
  </si>
  <si>
    <t>lt004_protectionRL_ESTT_ADDRSS</t>
  </si>
  <si>
    <t>lt004_protectionRL_ESTT_CLLTRL_LCTN_INT</t>
  </si>
  <si>
    <t>lt004_protectionRL_ESTT_CLMT_ZN</t>
  </si>
  <si>
    <t>lt004_protectionRL_ESTT_CRTFCTN</t>
  </si>
  <si>
    <t>lt004_protectionRL_ESTT_CTY</t>
  </si>
  <si>
    <t>lt004_protectionTYP_EMSSNS_LBL</t>
  </si>
  <si>
    <t>lt004_protectionTYP_EMSSNS_SCR</t>
  </si>
  <si>
    <t>lt004_protectionTYP_HZRDS_INSRD</t>
  </si>
  <si>
    <t>lt004_protectionTYP_VHCL</t>
  </si>
  <si>
    <t>lt004_protectionVHCL_EMSSNS_LBL</t>
  </si>
  <si>
    <t>lt004_protectionVHCL_EMSSNS_SCR</t>
  </si>
  <si>
    <t>lt004_protectionYR_CNSTRCTN</t>
  </si>
  <si>
    <t>TYP_RLTN</t>
  </si>
  <si>
    <t>lt006_instr_protTYP_RLTN</t>
  </si>
  <si>
    <t>PRCNTG_ACTVTY</t>
  </si>
  <si>
    <t>FLG_SBSTNTL_CNTRBTN</t>
  </si>
  <si>
    <t>FLG_DNSH_CMPLNC</t>
  </si>
  <si>
    <t>DNSH_DTL</t>
  </si>
  <si>
    <t>lt007_instr_activityCOD_SOC</t>
  </si>
  <si>
    <t>lt007_instr_activityDNSH_DTL</t>
  </si>
  <si>
    <t>lt007_instr_activityDT_RFRNC</t>
  </si>
  <si>
    <t>lt007_instr_activityFLG_DNSH_CMPLNC</t>
  </si>
  <si>
    <t>lt007_instr_activityFLG_SBSTNTL_CNTRBTN</t>
  </si>
  <si>
    <t>lt007_instr_activityINSTRMNT_ID</t>
  </si>
  <si>
    <t>lt007_instr_activityPRCNTG_ACTVTY</t>
  </si>
  <si>
    <r>
      <t>P</t>
    </r>
    <r>
      <rPr>
        <i/>
        <sz val="10"/>
        <color theme="1"/>
        <rFont val="Santander Text"/>
        <family val="2"/>
      </rPr>
      <t>ackage 5</t>
    </r>
  </si>
  <si>
    <r>
      <t>P</t>
    </r>
    <r>
      <rPr>
        <i/>
        <sz val="10"/>
        <color theme="1"/>
        <rFont val="Santander Text"/>
        <family val="2"/>
      </rPr>
      <t xml:space="preserve">ackage </t>
    </r>
    <r>
      <rPr>
        <sz val="10"/>
        <color theme="1"/>
        <rFont val="Santander Text"/>
        <family val="2"/>
      </rPr>
      <t>2</t>
    </r>
  </si>
  <si>
    <r>
      <t>P</t>
    </r>
    <r>
      <rPr>
        <i/>
        <sz val="10"/>
        <color theme="1"/>
        <rFont val="Santander Text"/>
        <family val="2"/>
      </rPr>
      <t>ackage 3</t>
    </r>
  </si>
  <si>
    <r>
      <t>P</t>
    </r>
    <r>
      <rPr>
        <i/>
        <sz val="10"/>
        <color theme="1"/>
        <rFont val="Santander Text"/>
        <family val="2"/>
      </rPr>
      <t>ackage 4</t>
    </r>
  </si>
  <si>
    <t>Package 2</t>
  </si>
  <si>
    <t>Real</t>
  </si>
  <si>
    <t>RC</t>
  </si>
  <si>
    <r>
      <t>P</t>
    </r>
    <r>
      <rPr>
        <i/>
        <sz val="10"/>
        <color theme="1"/>
        <rFont val="Santander Text"/>
        <family val="2"/>
      </rPr>
      <t>ackage 2</t>
    </r>
  </si>
  <si>
    <t>JB/RC</t>
  </si>
  <si>
    <t>JB - Falar com SB</t>
  </si>
  <si>
    <t>Voltar a ver</t>
  </si>
  <si>
    <t>Novo Projeto - Em especificação</t>
  </si>
  <si>
    <t>Novo projeto - Para testar</t>
  </si>
  <si>
    <t>Projeto Anterior - Especificação</t>
  </si>
  <si>
    <t>Input Project Finance</t>
  </si>
  <si>
    <t>Input Corporação Zip Code</t>
  </si>
  <si>
    <t>2.2 Em especificação</t>
  </si>
  <si>
    <t xml:space="preserve">6. Em implementação </t>
  </si>
  <si>
    <t>Plano anterior</t>
  </si>
  <si>
    <t>Novo Plano</t>
  </si>
  <si>
    <t>Plano anterior (sem visibilidade no PdS enviado 17/01)</t>
  </si>
  <si>
    <t>6. Em implementação</t>
  </si>
  <si>
    <t>LT Âmbito</t>
  </si>
  <si>
    <t>Total</t>
  </si>
  <si>
    <t xml:space="preserve">1. Modelo de Bens Imóveis </t>
  </si>
  <si>
    <t>2. Modelo Verde</t>
  </si>
  <si>
    <t>3. Loan Tape | Pilar III</t>
  </si>
  <si>
    <t xml:space="preserve">∆ </t>
  </si>
  <si>
    <t>Modelo de Bens Imóveis</t>
  </si>
  <si>
    <t>Loan Tape</t>
  </si>
  <si>
    <t>Detalhe Packages planeados</t>
  </si>
  <si>
    <r>
      <rPr>
        <i/>
        <sz val="11"/>
        <color theme="1"/>
        <rFont val="Santander Text"/>
        <family val="2"/>
      </rPr>
      <t>Package</t>
    </r>
    <r>
      <rPr>
        <sz val="11"/>
        <color theme="1"/>
        <rFont val="Santander Text"/>
        <family val="2"/>
      </rPr>
      <t xml:space="preserve"> 1</t>
    </r>
  </si>
  <si>
    <r>
      <rPr>
        <i/>
        <sz val="11"/>
        <color theme="1"/>
        <rFont val="Santander Text"/>
        <family val="2"/>
      </rPr>
      <t>Package</t>
    </r>
    <r>
      <rPr>
        <sz val="11"/>
        <color theme="1"/>
        <rFont val="Santander Text"/>
        <family val="2"/>
      </rPr>
      <t xml:space="preserve"> 2</t>
    </r>
  </si>
  <si>
    <r>
      <rPr>
        <i/>
        <sz val="11"/>
        <color theme="1"/>
        <rFont val="Santander Text"/>
        <family val="2"/>
      </rPr>
      <t>Package</t>
    </r>
    <r>
      <rPr>
        <sz val="11"/>
        <color theme="1"/>
        <rFont val="Santander Text"/>
        <family val="2"/>
      </rPr>
      <t xml:space="preserve"> 3</t>
    </r>
  </si>
  <si>
    <r>
      <rPr>
        <i/>
        <sz val="11"/>
        <color theme="1"/>
        <rFont val="Santander Text"/>
        <family val="2"/>
      </rPr>
      <t>Package</t>
    </r>
    <r>
      <rPr>
        <sz val="11"/>
        <color theme="1"/>
        <rFont val="Santander Text"/>
        <family val="2"/>
      </rPr>
      <t xml:space="preserve"> 4</t>
    </r>
  </si>
  <si>
    <r>
      <rPr>
        <i/>
        <sz val="11"/>
        <color theme="1"/>
        <rFont val="Santander Text"/>
        <family val="2"/>
      </rPr>
      <t>Package</t>
    </r>
    <r>
      <rPr>
        <sz val="11"/>
        <color theme="1"/>
        <rFont val="Santander Text"/>
        <family val="2"/>
      </rPr>
      <t xml:space="preserve"> 5</t>
    </r>
  </si>
  <si>
    <t>Semana Anterior</t>
  </si>
  <si>
    <t>Semana Ant.</t>
  </si>
  <si>
    <t>Observações - Especificações</t>
  </si>
  <si>
    <t>Observações - Testes</t>
  </si>
  <si>
    <t>Resumo de Testes</t>
  </si>
  <si>
    <t>Resumo de entregas de Especificações</t>
  </si>
  <si>
    <t>Semana Atual</t>
  </si>
  <si>
    <t>Semana Seguinte</t>
  </si>
  <si>
    <t>Com Incidên.</t>
  </si>
  <si>
    <t>Sem Incidên.</t>
  </si>
  <si>
    <t>27/jan</t>
  </si>
  <si>
    <t>4/fev</t>
  </si>
  <si>
    <t>5/fev</t>
  </si>
  <si>
    <t>11/fev</t>
  </si>
  <si>
    <t>17/fev</t>
  </si>
  <si>
    <t>Package X</t>
  </si>
  <si>
    <t>Novos Requisitos FY25</t>
  </si>
  <si>
    <t>RequisItos FY24</t>
  </si>
  <si>
    <t>Entregas Semana Anterior</t>
  </si>
  <si>
    <t>Entregas Semana Atual</t>
  </si>
  <si>
    <t>Entregas Semana Seguinte</t>
  </si>
  <si>
    <t>Novos Requisitos FY25 - Âmbito ESTR e (ou) LF</t>
  </si>
  <si>
    <t>Novos Requisitos FY25 - Outros</t>
  </si>
  <si>
    <t>Plano anterior (mas na proposta)</t>
  </si>
  <si>
    <t>Observações - Testes sem visibilidade</t>
  </si>
  <si>
    <t>APAGAR</t>
  </si>
  <si>
    <t>Requisitos FY24</t>
  </si>
  <si>
    <t>Req. FY25</t>
  </si>
  <si>
    <t>Req. FY25 (atualiz.)</t>
  </si>
  <si>
    <t>Dt. Prev.</t>
  </si>
  <si>
    <t xml:space="preserve">Total </t>
  </si>
  <si>
    <t>All</t>
  </si>
  <si>
    <t>Count of Status Atual</t>
  </si>
  <si>
    <t>Novos Requisitos FY25:</t>
  </si>
  <si>
    <t>Requisitos FY24:</t>
  </si>
  <si>
    <t>LT Âmbito- Aux</t>
  </si>
  <si>
    <t>modesg_param_sfics_taxon_europeiadominio</t>
  </si>
  <si>
    <t>modesg_param_sfics_taxon_europeianome_purpose_esg</t>
  </si>
  <si>
    <t>modesg_param_sfics_taxon_europeiaordem</t>
  </si>
  <si>
    <t>Plano anterior (alteração nome)</t>
  </si>
  <si>
    <t>ENERGY_CERTIFICATE_EST_INPUTACTUAL_VALUE_IND</t>
  </si>
  <si>
    <t>ENERGY_CERTIFICATE_EST_INPUTDATA_PROVIDER</t>
  </si>
  <si>
    <t>Projeto (Aux JB)</t>
  </si>
  <si>
    <t>GD, P3 e GF</t>
  </si>
  <si>
    <t>P3</t>
  </si>
  <si>
    <t>ESTR, P3 e LF</t>
  </si>
  <si>
    <t>ESTR, ESG e LF</t>
  </si>
  <si>
    <t>ESTR, P3, GF e LF</t>
  </si>
  <si>
    <t>ESTR, GD, ESG e LF</t>
  </si>
  <si>
    <t>ESTR, GD, GF, ESG e LF</t>
  </si>
  <si>
    <t>ESTR, GD, P3, GF e LF</t>
  </si>
  <si>
    <t>ESTR e P3</t>
  </si>
  <si>
    <t>ESTR e ESG</t>
  </si>
  <si>
    <t>ESTR, GD, P3 e LF</t>
  </si>
  <si>
    <t>P3 e ESG</t>
  </si>
  <si>
    <t>P3, GF e ESG</t>
  </si>
  <si>
    <t>GD e P3</t>
  </si>
  <si>
    <t>ESG</t>
  </si>
  <si>
    <t>ESTR, P3 e ESG</t>
  </si>
  <si>
    <t>GD, P3 e ESG</t>
  </si>
  <si>
    <t>Package x</t>
  </si>
  <si>
    <t>Package 4 --&gt; Não está especificado no LT - não conseguimos testar</t>
  </si>
  <si>
    <t>net_floor_area</t>
  </si>
  <si>
    <t>modesg_param_sfics_taxon_europeianet_floor_area</t>
  </si>
  <si>
    <t>cempcta</t>
  </si>
  <si>
    <t>modesg_param_sfics_taxon_europeiaambito</t>
  </si>
  <si>
    <t>modesg_param_sfics_taxon_europeiacempcta</t>
  </si>
  <si>
    <t>modesg_param_sfics_taxon_europeiackbalcao</t>
  </si>
  <si>
    <t>modesg_param_sfics_taxon_europeiacknumcta</t>
  </si>
  <si>
    <t>nivel</t>
  </si>
  <si>
    <t>modesg_param_sfics_taxon_europeianivel</t>
  </si>
  <si>
    <t>cgarante_bem</t>
  </si>
  <si>
    <t>modesg_param_sfics_taxon_europeiacgarante_bem</t>
  </si>
  <si>
    <t>primary_energy_req_value</t>
  </si>
  <si>
    <t>modesg_param_sfics_taxon_europeiaprimary_energy_req_value</t>
  </si>
  <si>
    <t>Fase</t>
  </si>
  <si>
    <t>Fase I</t>
  </si>
  <si>
    <t>grupo_regra</t>
  </si>
  <si>
    <t>sst_indctr_aux</t>
  </si>
  <si>
    <t>modesg_param_sfics_taxon_europeiagrupo_regra</t>
  </si>
  <si>
    <t>modesg_param_sfics_taxon_europeiasst_indctr_aux</t>
  </si>
  <si>
    <t>modesg_out_sfics_taxon_europeiasstnbl_indctr</t>
  </si>
  <si>
    <t>ESTR &amp; P3</t>
  </si>
  <si>
    <t>modesg_out_sfics_taxon_europeianivel</t>
  </si>
  <si>
    <t>Package 6</t>
  </si>
  <si>
    <t>PROPERTY_ENERGY_CERTIFICATEPRMRY_ENRGY_DMND_RFRNC_VL</t>
  </si>
  <si>
    <t>Plano anterior (campo adicionado 21/02)</t>
  </si>
  <si>
    <t>PROCESSSOURCE_CODE</t>
  </si>
  <si>
    <t>GPS_LATITUDE</t>
  </si>
  <si>
    <t>GPS_LONGITUDE</t>
  </si>
  <si>
    <t>PROPERTY_ENERGY_CERTIFICATEGPS_LATITUDE</t>
  </si>
  <si>
    <t>PROPERTY_ENERGY_CERTIFICATEGPS_LONGITUDE</t>
  </si>
  <si>
    <t>PROPERTY_ENERGY_CERTIFICATEQUALITY_SCORE</t>
  </si>
  <si>
    <t>modesg_out_empr_info_nfincapital_proprio</t>
  </si>
  <si>
    <t>modesg_out_empr_info_nfindivida_total</t>
  </si>
  <si>
    <t>Sem teste</t>
  </si>
  <si>
    <t>RELATION_START_DATE</t>
  </si>
  <si>
    <t>ESTABLISHED_RELATION_END_DATE</t>
  </si>
  <si>
    <t>RESPONSIBILITY_PROCESS_RELESTABLISHED_RELATION_END_DATE</t>
  </si>
  <si>
    <t>RESPONSIBILITY_PROCESS_RELRELATION_START_DATE</t>
  </si>
  <si>
    <t xml:space="preserve">OK </t>
  </si>
  <si>
    <t>Package 8</t>
  </si>
  <si>
    <t>Data Final - Entrega IT</t>
  </si>
  <si>
    <t>Data Final - Validação Testes</t>
  </si>
  <si>
    <t>Tipologia Teste</t>
  </si>
  <si>
    <t>Testes Regressivos (LT Estr)</t>
  </si>
  <si>
    <t>Teste ao campo</t>
  </si>
  <si>
    <t xml:space="preserve">Não testar </t>
  </si>
  <si>
    <t>Testes Regressivos (LT GD)</t>
  </si>
  <si>
    <t>Package 20</t>
  </si>
  <si>
    <t>Package 21</t>
  </si>
  <si>
    <t>Package 22</t>
  </si>
  <si>
    <t>Package 23</t>
  </si>
  <si>
    <t>Package 24</t>
  </si>
  <si>
    <t>Package 25</t>
  </si>
  <si>
    <t>Aux</t>
  </si>
  <si>
    <t>Âmbito Testes</t>
  </si>
  <si>
    <t>FY25</t>
  </si>
  <si>
    <t>FY24</t>
  </si>
  <si>
    <t>data a definir</t>
  </si>
  <si>
    <t>Outros</t>
  </si>
  <si>
    <t>A confirmar data de entrega</t>
  </si>
  <si>
    <t>Em Correção</t>
  </si>
  <si>
    <t>Sem Teste</t>
  </si>
  <si>
    <t>Package 26</t>
  </si>
  <si>
    <t>ac</t>
  </si>
  <si>
    <r>
      <rPr>
        <b/>
        <sz val="14"/>
        <color theme="4"/>
        <rFont val="Santander Text"/>
        <family val="2"/>
      </rPr>
      <t xml:space="preserve">1. </t>
    </r>
    <r>
      <rPr>
        <b/>
        <u/>
        <sz val="14"/>
        <color theme="4"/>
        <rFont val="Santander Text"/>
        <family val="2"/>
      </rPr>
      <t>Sumário Executivo</t>
    </r>
    <r>
      <rPr>
        <b/>
        <sz val="14"/>
        <color theme="4"/>
        <rFont val="Santander Text"/>
        <family val="2"/>
      </rPr>
      <t xml:space="preserve"> |11 de abril a 24 de abril</t>
    </r>
  </si>
  <si>
    <r>
      <t xml:space="preserve">1. </t>
    </r>
    <r>
      <rPr>
        <sz val="11"/>
        <rFont val="Santander Text"/>
        <family val="2"/>
      </rPr>
      <t>Foram concluídos os testes às tabelas do Modelo de Bens Imóveis.</t>
    </r>
  </si>
  <si>
    <r>
      <rPr>
        <b/>
        <sz val="11"/>
        <color theme="1"/>
        <rFont val="Santander Text"/>
        <family val="2"/>
      </rPr>
      <t xml:space="preserve">1. Tabela de Marcação Verde:
</t>
    </r>
    <r>
      <rPr>
        <sz val="11"/>
        <color theme="1"/>
        <rFont val="Santander Text"/>
        <family val="2"/>
      </rPr>
      <t xml:space="preserve">- Foram concluídos 3 campos e identificadas incidências em 5 campos.
</t>
    </r>
  </si>
  <si>
    <t>Em Curso</t>
  </si>
  <si>
    <r>
      <rPr>
        <b/>
        <sz val="11"/>
        <color theme="1"/>
        <rFont val="Santander Text"/>
        <family val="2"/>
      </rPr>
      <t>Resumo semana atual:</t>
    </r>
    <r>
      <rPr>
        <sz val="11"/>
        <color theme="1"/>
        <rFont val="Santander Text"/>
        <family val="2"/>
      </rPr>
      <t xml:space="preserve">
</t>
    </r>
    <r>
      <rPr>
        <b/>
        <sz val="11"/>
        <color theme="1"/>
        <rFont val="Santander Text"/>
        <family val="2"/>
      </rPr>
      <t xml:space="preserve"> </t>
    </r>
    <r>
      <rPr>
        <sz val="11"/>
        <color theme="1"/>
        <rFont val="Santander Text"/>
        <family val="2"/>
      </rPr>
      <t xml:space="preserve">
</t>
    </r>
    <r>
      <rPr>
        <b/>
        <sz val="11"/>
        <color theme="1"/>
        <rFont val="Santander Text"/>
        <family val="2"/>
      </rPr>
      <t xml:space="preserve">1. Modelo de Bens Imóveis:
- </t>
    </r>
    <r>
      <rPr>
        <sz val="11"/>
        <color theme="1"/>
        <rFont val="Santander Text"/>
        <family val="2"/>
      </rPr>
      <t>Foram concluídos os testes às tabelas do Modelo de Bens Imóveis.</t>
    </r>
    <r>
      <rPr>
        <b/>
        <sz val="11"/>
        <color theme="1"/>
        <rFont val="Santander Text"/>
        <family val="2"/>
      </rPr>
      <t xml:space="preserve">
2. Modelo Verde:</t>
    </r>
    <r>
      <rPr>
        <sz val="11"/>
        <color theme="1"/>
        <rFont val="Santander Text"/>
        <family val="2"/>
      </rPr>
      <t xml:space="preserve"> 
- Foram concluídos 3 campos e identificadas incidências em 5 campos da tabela de </t>
    </r>
    <r>
      <rPr>
        <i/>
        <sz val="11"/>
        <color theme="1"/>
        <rFont val="Santander Text"/>
        <family val="2"/>
      </rPr>
      <t>output</t>
    </r>
    <r>
      <rPr>
        <sz val="11"/>
        <color theme="1"/>
        <rFont val="Santander Text"/>
        <family val="2"/>
      </rPr>
      <t xml:space="preserve"> de Macação Verde do Modelo Verde.
</t>
    </r>
    <r>
      <rPr>
        <b/>
        <sz val="11"/>
        <color theme="1"/>
        <rFont val="Santander Text"/>
        <family val="2"/>
      </rPr>
      <t xml:space="preserve">
2. Loan Tape:</t>
    </r>
    <r>
      <rPr>
        <sz val="11"/>
        <color theme="1"/>
        <rFont val="Santander Text"/>
        <family val="2"/>
      </rPr>
      <t xml:space="preserve"> 
Dos 24 campos:
- 9 foram concluídos;
- 11 encontram-se com incidências;
- 3 campos foran parcialmente testados e serão concluídos aquando da entrega de uma dependência pela equipa de Tecnologia;
- 3 campos encontram-se em implementação pela equipa de Tecnologia;
Adicionalmente, foram feitos testes aos universos das tabelas.
</t>
    </r>
    <r>
      <rPr>
        <b/>
        <sz val="11"/>
        <color theme="1"/>
        <rFont val="Santander Text"/>
        <family val="2"/>
      </rPr>
      <t xml:space="preserve">Semana Seguinte:
</t>
    </r>
    <r>
      <rPr>
        <sz val="11"/>
        <color theme="1"/>
        <rFont val="Santander Text"/>
        <family val="2"/>
      </rPr>
      <t xml:space="preserve">
1</t>
    </r>
    <r>
      <rPr>
        <b/>
        <sz val="11"/>
        <color theme="1"/>
        <rFont val="Santander Text"/>
        <family val="2"/>
      </rPr>
      <t xml:space="preserve">. Modelo Verde:
</t>
    </r>
    <r>
      <rPr>
        <sz val="11"/>
        <color theme="1"/>
        <rFont val="Santander Text"/>
        <family val="2"/>
      </rPr>
      <t>- Retestar os 5 campos com incidências da tabela de Output de Marcação Verde do Modelo Verde</t>
    </r>
    <r>
      <rPr>
        <b/>
        <sz val="11"/>
        <color theme="1"/>
        <rFont val="Santander Text"/>
        <family val="2"/>
      </rPr>
      <t xml:space="preserve">
3. Loan Tape</t>
    </r>
    <r>
      <rPr>
        <sz val="11"/>
        <color theme="1"/>
        <rFont val="Santander Text"/>
        <family val="2"/>
      </rPr>
      <t xml:space="preserve">
- Re-testar os campos reportados com incidências;
- Testar os 3 campos que vão ser entregues por tecnologia.
</t>
    </r>
  </si>
  <si>
    <r>
      <t xml:space="preserve">Dos 24 campos:
</t>
    </r>
    <r>
      <rPr>
        <sz val="11"/>
        <color theme="1"/>
        <rFont val="Santander Text"/>
        <family val="2"/>
      </rPr>
      <t>- 9 foram concluídos;
- 11 encontram-se com incidências;
- 3 campos foran parcialmente testados e serão concluídos aquando da entrega de uma dependência pela equipa de Tecnologia;
- 3 campos encontram-se em implementação pela equipa de Tecnologia;
Adicionalmente, foram feitos testes aos universos das tabelas.</t>
    </r>
    <r>
      <rPr>
        <b/>
        <sz val="11"/>
        <color theme="1"/>
        <rFont val="Santander Text"/>
        <family val="2"/>
      </rPr>
      <t xml:space="preserve">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</si>
</sst>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dd"/>
    <numFmt numFmtId="165" formatCode="ddd"/>
    <numFmt numFmtId="166" formatCode="0.0"/>
  </numFmts>
  <fonts count="81">
    <font>
      <sz val="11"/>
      <color theme="1"/>
      <name val="Arial"/>
      <family val="2"/>
      <scheme val="minor"/>
    </font>
    <font>
      <sz val="11"/>
      <color theme="1"/>
      <name val="Arial"/>
      <family val="2"/>
      <scheme val="minor"/>
    </font>
    <font>
      <sz val="11"/>
      <color theme="1"/>
      <name val="Santander Text"/>
      <family val="2"/>
    </font>
    <font>
      <sz val="11"/>
      <color rgb="FFC00000"/>
      <name val="Santander Text"/>
      <family val="2"/>
    </font>
    <font>
      <sz val="11"/>
      <name val="Santander Text"/>
      <family val="2"/>
    </font>
    <font>
      <sz val="11"/>
      <color rgb="FF00B050"/>
      <name val="Santander Text"/>
      <family val="2"/>
    </font>
    <font>
      <sz val="10"/>
      <color theme="1"/>
      <name val="Arial"/>
      <family val="2"/>
    </font>
    <font>
      <sz val="11"/>
      <color theme="1"/>
      <name val="Arial"/>
      <family val="2"/>
    </font>
    <font>
      <b/>
      <sz val="9"/>
      <color theme="1"/>
      <name val="Arial"/>
      <family val="2"/>
    </font>
    <font>
      <b/>
      <sz val="11"/>
      <color theme="1"/>
      <name val="Arial"/>
      <family val="2"/>
    </font>
    <font>
      <b/>
      <sz val="11"/>
      <color theme="1"/>
      <name val="Arial"/>
      <family val="2"/>
      <scheme val="minor"/>
    </font>
    <font>
      <sz val="12"/>
      <color theme="1"/>
      <name val="Arial"/>
      <family val="2"/>
      <scheme val="minor"/>
    </font>
    <font>
      <sz val="8"/>
      <name val="Arial"/>
      <family val="2"/>
      <scheme val="minor"/>
    </font>
    <font>
      <b/>
      <sz val="12"/>
      <color theme="1"/>
      <name val="Arial"/>
      <family val="2"/>
      <scheme val="minor"/>
    </font>
    <font>
      <b/>
      <sz val="11"/>
      <color rgb="FFFF0000"/>
      <name val="Santander Headline"/>
      <family val="2"/>
    </font>
    <font>
      <sz val="11"/>
      <color rgb="FF000000"/>
      <name val="Santander Text"/>
      <family val="2"/>
    </font>
    <font>
      <b/>
      <sz val="11"/>
      <color rgb="FFC00000"/>
      <name val="Santander Text"/>
      <family val="2"/>
    </font>
    <font>
      <sz val="11"/>
      <color theme="0"/>
      <name val="Arial"/>
      <family val="2"/>
      <scheme val="minor"/>
    </font>
    <font>
      <sz val="11"/>
      <color theme="0"/>
      <name val="Santander Text"/>
      <family val="2"/>
    </font>
    <font>
      <b/>
      <sz val="11"/>
      <color theme="0"/>
      <name val="Santander Text"/>
      <family val="2"/>
    </font>
    <font>
      <b/>
      <i/>
      <sz val="11"/>
      <color theme="0"/>
      <name val="Santander Text"/>
      <family val="2"/>
    </font>
    <font>
      <b/>
      <sz val="11"/>
      <color theme="0"/>
      <name val="Arial"/>
      <family val="2"/>
      <scheme val="minor"/>
    </font>
    <font>
      <b/>
      <sz val="11"/>
      <color theme="1"/>
      <name val="Santander Text"/>
      <family val="2"/>
    </font>
    <font>
      <sz val="11"/>
      <color theme="1"/>
      <name val="Santander Headline"/>
      <family val="2"/>
    </font>
    <font>
      <b/>
      <sz val="11"/>
      <name val="Santander Headline"/>
      <family val="2"/>
    </font>
    <font>
      <b/>
      <sz val="11"/>
      <color theme="2"/>
      <name val="Santander Text"/>
      <family val="2"/>
    </font>
    <font>
      <sz val="11"/>
      <color theme="2"/>
      <name val="Santander Text"/>
      <family val="2"/>
    </font>
    <font>
      <b/>
      <sz val="11"/>
      <name val="Santander Text"/>
      <family val="2"/>
    </font>
    <font>
      <b/>
      <sz val="10"/>
      <color theme="1"/>
      <name val="Santander Text"/>
      <family val="2"/>
    </font>
    <font>
      <sz val="10"/>
      <color theme="1"/>
      <name val="Santander Text"/>
      <family val="2"/>
    </font>
    <font>
      <sz val="9"/>
      <color theme="1"/>
      <name val="Santander Text"/>
      <family val="2"/>
    </font>
    <font>
      <sz val="11"/>
      <color theme="2"/>
      <name val="Arial"/>
      <family val="2"/>
      <scheme val="minor"/>
    </font>
    <font>
      <b/>
      <u/>
      <sz val="14"/>
      <color theme="4"/>
      <name val="Santander Text"/>
      <family val="2"/>
    </font>
    <font>
      <b/>
      <u/>
      <sz val="11"/>
      <color theme="1"/>
      <name val="Santander Text"/>
      <family val="2"/>
    </font>
    <font>
      <b/>
      <sz val="12"/>
      <color theme="1"/>
      <name val="Aptos Narrow"/>
      <family val="2"/>
    </font>
    <font>
      <sz val="11"/>
      <color theme="0" tint="-4.9989318521683403E-2"/>
      <name val="Santander Text"/>
      <family val="2"/>
    </font>
    <font>
      <b/>
      <i/>
      <u/>
      <sz val="11"/>
      <color theme="1"/>
      <name val="Santander Text"/>
      <family val="2"/>
    </font>
    <font>
      <b/>
      <sz val="10"/>
      <color theme="0"/>
      <name val="Santander Text"/>
      <family val="2"/>
    </font>
    <font>
      <sz val="10"/>
      <name val="Santander Text"/>
      <family val="2"/>
    </font>
    <font>
      <b/>
      <sz val="16"/>
      <color theme="1"/>
      <name val="Santander Text"/>
      <family val="2"/>
    </font>
    <font>
      <sz val="12"/>
      <color theme="1"/>
      <name val="Santander Text"/>
      <family val="2"/>
    </font>
    <font>
      <i/>
      <sz val="10"/>
      <color theme="3"/>
      <name val="Santander Text"/>
      <family val="2"/>
    </font>
    <font>
      <b/>
      <sz val="14"/>
      <color theme="4"/>
      <name val="Santander Text"/>
      <family val="2"/>
    </font>
    <font>
      <b/>
      <sz val="11"/>
      <color theme="7"/>
      <name val="Santander Text"/>
      <family val="2"/>
    </font>
    <font>
      <i/>
      <sz val="11"/>
      <color theme="4" tint="-0.249977111117893"/>
      <name val="Santander Text"/>
      <family val="2"/>
    </font>
    <font>
      <b/>
      <sz val="11"/>
      <color theme="4" tint="-0.249977111117893"/>
      <name val="Santander Text"/>
      <family val="2"/>
    </font>
    <font>
      <sz val="11"/>
      <color theme="1" tint="4.9989318521683403E-2"/>
      <name val="Santander Text"/>
      <family val="2"/>
    </font>
    <font>
      <b/>
      <i/>
      <sz val="11"/>
      <color theme="1"/>
      <name val="Santander Text"/>
      <family val="2"/>
    </font>
    <font>
      <sz val="9"/>
      <color theme="1"/>
      <name val="Verdana"/>
      <family val="2"/>
    </font>
    <font>
      <i/>
      <sz val="9"/>
      <color theme="1"/>
      <name val="Verdana"/>
      <family val="2"/>
    </font>
    <font>
      <sz val="11"/>
      <color theme="1"/>
      <name val="Calibri"/>
      <family val="2"/>
    </font>
    <font>
      <i/>
      <sz val="11"/>
      <color theme="1"/>
      <name val="Santander Text"/>
      <family val="2"/>
    </font>
    <font>
      <b/>
      <i/>
      <sz val="10"/>
      <color theme="1"/>
      <name val="Santander Text"/>
      <family val="2"/>
    </font>
    <font>
      <sz val="10"/>
      <color theme="1"/>
      <name val="Santander Text"/>
      <family val="2"/>
    </font>
    <font>
      <b/>
      <sz val="11"/>
      <color theme="0"/>
      <name val="Santander Text"/>
      <family val="2"/>
    </font>
    <font>
      <sz val="11"/>
      <color theme="0" tint="-0.249977111117893"/>
      <name val="Arial"/>
      <family val="2"/>
      <scheme val="minor"/>
    </font>
    <font>
      <b/>
      <i/>
      <sz val="10"/>
      <color theme="0"/>
      <name val="Santander Text"/>
      <family val="2"/>
    </font>
    <font>
      <b/>
      <sz val="10"/>
      <name val="Santander Text"/>
      <family val="2"/>
    </font>
    <font>
      <sz val="11"/>
      <name val="Arial"/>
      <family val="2"/>
      <scheme val="minor"/>
    </font>
    <font>
      <b/>
      <sz val="10"/>
      <color theme="4"/>
      <name val="Santander Text"/>
      <family val="2"/>
    </font>
    <font>
      <b/>
      <sz val="10"/>
      <color rgb="FFFF0000"/>
      <name val="Santander Text"/>
      <family val="2"/>
    </font>
    <font>
      <sz val="10"/>
      <color theme="1"/>
      <name val="Santander Text"/>
      <family val="2"/>
    </font>
    <font>
      <sz val="10"/>
      <color theme="1"/>
      <name val="Santander Text"/>
      <family val="2"/>
    </font>
    <font>
      <sz val="11"/>
      <color theme="1"/>
      <name val="Santander Text"/>
      <family val="2"/>
    </font>
    <font>
      <sz val="11"/>
      <color theme="2"/>
      <name val="Santander Text"/>
      <family val="2"/>
    </font>
    <font>
      <sz val="11"/>
      <name val="Santander Text"/>
      <family val="2"/>
    </font>
    <font>
      <i/>
      <sz val="10"/>
      <color theme="1"/>
      <name val="Santander Text"/>
      <family val="2"/>
    </font>
    <font>
      <b/>
      <sz val="11"/>
      <color theme="0" tint="-0.249977111117893"/>
      <name val="Santander Text"/>
      <family val="2"/>
    </font>
    <font>
      <sz val="12"/>
      <color theme="0"/>
      <name val="Santander Text"/>
      <family val="2"/>
    </font>
    <font>
      <b/>
      <sz val="11"/>
      <color theme="0"/>
      <name val="Calibri"/>
      <family val="2"/>
    </font>
    <font>
      <b/>
      <sz val="11.5"/>
      <color theme="0"/>
      <name val="Santander Text"/>
      <family val="2"/>
    </font>
    <font>
      <sz val="11.5"/>
      <color theme="1"/>
      <name val="Santander Text"/>
      <family val="2"/>
    </font>
    <font>
      <b/>
      <sz val="11.5"/>
      <color theme="1"/>
      <name val="Santander Text"/>
      <family val="2"/>
    </font>
    <font>
      <b/>
      <u/>
      <sz val="13"/>
      <color theme="1"/>
      <name val="Santander Text"/>
      <family val="2"/>
    </font>
    <font>
      <b/>
      <sz val="28"/>
      <color theme="1"/>
      <name val="Santander Text"/>
      <family val="2"/>
    </font>
    <font>
      <b/>
      <sz val="11"/>
      <color theme="0" tint="-0.499984740745262"/>
      <name val="Santander Text"/>
      <family val="2"/>
    </font>
    <font>
      <b/>
      <sz val="11.5"/>
      <color theme="0"/>
      <name val="Arial"/>
      <family val="2"/>
      <scheme val="minor"/>
    </font>
    <font>
      <sz val="11"/>
      <color rgb="FFFFC000"/>
      <name val="Santander Text"/>
      <family val="2"/>
    </font>
    <font>
      <sz val="11"/>
      <color theme="1"/>
      <name val="Santander Text"/>
      <family val="2"/>
    </font>
    <font>
      <b/>
      <sz val="11"/>
      <color theme="0"/>
      <name val="Santander Text"/>
      <family val="2"/>
    </font>
    <font>
      <b/>
      <sz val="11"/>
      <color theme="9"/>
      <name val="Santander Text"/>
      <family val="2"/>
    </font>
  </fonts>
  <fills count="37">
    <fill>
      <patternFill patternType="none"/>
    </fill>
    <fill>
      <patternFill patternType="gray125"/>
    </fill>
    <fill>
      <patternFill patternType="solid">
        <fgColor theme="0" tint="-0.14999847407452621"/>
        <bgColor indexed="64"/>
      </patternFill>
    </fill>
    <fill>
      <patternFill patternType="solid">
        <fgColor theme="0"/>
        <bgColor indexed="64"/>
      </patternFill>
    </fill>
    <fill>
      <patternFill patternType="solid">
        <fgColor rgb="FFFF0000"/>
        <bgColor indexed="64"/>
      </patternFill>
    </fill>
    <fill>
      <patternFill patternType="solid">
        <fgColor theme="0" tint="-4.9989318521683403E-2"/>
        <bgColor indexed="64"/>
      </patternFill>
    </fill>
    <fill>
      <patternFill patternType="solid">
        <fgColor rgb="FFFFFF00"/>
        <bgColor indexed="64"/>
      </patternFill>
    </fill>
    <fill>
      <patternFill patternType="solid">
        <fgColor theme="7" tint="0.79998168889431442"/>
        <bgColor indexed="64"/>
      </patternFill>
    </fill>
    <fill>
      <patternFill patternType="solid">
        <fgColor theme="4" tint="0.79998168889431442"/>
        <bgColor indexed="64"/>
      </patternFill>
    </fill>
    <fill>
      <patternFill patternType="solid">
        <fgColor theme="3"/>
        <bgColor indexed="64"/>
      </patternFill>
    </fill>
    <fill>
      <patternFill patternType="solid">
        <fgColor theme="3" tint="0.59999389629810485"/>
        <bgColor indexed="64"/>
      </patternFill>
    </fill>
    <fill>
      <patternFill patternType="solid">
        <fgColor theme="3" tint="0.79998168889431442"/>
        <bgColor indexed="64"/>
      </patternFill>
    </fill>
    <fill>
      <patternFill patternType="solid">
        <fgColor theme="5" tint="-9.9978637043366805E-2"/>
        <bgColor indexed="64"/>
      </patternFill>
    </fill>
    <fill>
      <patternFill patternType="darkDown">
        <fgColor theme="5"/>
        <bgColor theme="0" tint="-0.34998626667073579"/>
      </patternFill>
    </fill>
    <fill>
      <patternFill patternType="solid">
        <fgColor theme="9" tint="0.79998168889431442"/>
        <bgColor indexed="64"/>
      </patternFill>
    </fill>
    <fill>
      <patternFill patternType="solid">
        <fgColor theme="4"/>
        <bgColor indexed="64"/>
      </patternFill>
    </fill>
    <fill>
      <patternFill patternType="solid">
        <fgColor theme="5" tint="-0.249977111117893"/>
        <bgColor indexed="64"/>
      </patternFill>
    </fill>
    <fill>
      <patternFill patternType="solid">
        <fgColor theme="5" tint="-0.499984740745262"/>
        <bgColor indexed="64"/>
      </patternFill>
    </fill>
    <fill>
      <patternFill patternType="solid">
        <fgColor theme="2"/>
        <bgColor indexed="64"/>
      </patternFill>
    </fill>
    <fill>
      <patternFill patternType="solid">
        <fgColor theme="8"/>
        <bgColor indexed="64"/>
      </patternFill>
    </fill>
    <fill>
      <patternFill patternType="solid">
        <fgColor theme="8" tint="0.79998168889431442"/>
        <bgColor indexed="64"/>
      </patternFill>
    </fill>
    <fill>
      <patternFill patternType="solid">
        <fgColor theme="4" tint="0.59999389629810485"/>
        <bgColor indexed="64"/>
      </patternFill>
    </fill>
    <fill>
      <patternFill patternType="darkUp">
        <fgColor theme="0"/>
        <bgColor theme="4" tint="0.59999389629810485"/>
      </patternFill>
    </fill>
    <fill>
      <patternFill patternType="solid">
        <fgColor theme="9" tint="0.59999389629810485"/>
        <bgColor indexed="64"/>
      </patternFill>
    </fill>
    <fill>
      <patternFill patternType="solid">
        <fgColor theme="8" tint="0.59999389629810485"/>
        <bgColor indexed="64"/>
      </patternFill>
    </fill>
    <fill>
      <patternFill patternType="darkUp">
        <fgColor theme="0"/>
        <bgColor theme="0"/>
      </patternFill>
    </fill>
    <fill>
      <patternFill patternType="solid">
        <fgColor theme="9" tint="-0.499984740745262"/>
        <bgColor indexed="64"/>
      </patternFill>
    </fill>
    <fill>
      <patternFill patternType="solid">
        <fgColor theme="2" tint="-0.249977111117893"/>
        <bgColor indexed="64"/>
      </patternFill>
    </fill>
    <fill>
      <patternFill patternType="solid">
        <fgColor rgb="FFC00000"/>
        <bgColor indexed="64"/>
      </patternFill>
    </fill>
    <fill>
      <patternFill patternType="solid">
        <fgColor rgb="FFFF7575"/>
        <bgColor indexed="64"/>
      </patternFill>
    </fill>
    <fill>
      <patternFill patternType="solid">
        <fgColor theme="0" tint="-0.499984740745262"/>
        <bgColor indexed="64"/>
      </patternFill>
    </fill>
    <fill>
      <patternFill patternType="solid">
        <fgColor rgb="FFFFEFEF"/>
        <bgColor indexed="64"/>
      </patternFill>
    </fill>
    <fill>
      <patternFill patternType="solid">
        <fgColor theme="4" tint="-0.499984740745262"/>
        <bgColor indexed="64"/>
      </patternFill>
    </fill>
    <fill>
      <patternFill patternType="solid">
        <fgColor theme="0" tint="-0.249977111117893"/>
        <bgColor indexed="64"/>
      </patternFill>
    </fill>
    <fill>
      <patternFill patternType="solid">
        <fgColor theme="7" tint="0.39997558519241921"/>
        <bgColor indexed="64"/>
      </patternFill>
    </fill>
    <fill>
      <patternFill patternType="solid">
        <fgColor theme="9" tint="0.39997558519241921"/>
        <bgColor indexed="64"/>
      </patternFill>
    </fill>
    <fill>
      <patternFill patternType="solid">
        <fgColor rgb="FF00B050"/>
        <bgColor indexed="64"/>
      </patternFill>
    </fill>
  </fills>
  <borders count="69">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right/>
      <top/>
      <bottom style="thin">
        <color indexed="64"/>
      </bottom>
      <diagonal/>
    </border>
    <border>
      <left/>
      <right/>
      <top style="thin">
        <color indexed="64"/>
      </top>
      <bottom/>
      <diagonal/>
    </border>
    <border>
      <left style="thin">
        <color theme="0" tint="-0.34998626667073579"/>
      </left>
      <right/>
      <top style="thin">
        <color theme="0" tint="-0.34998626667073579"/>
      </top>
      <bottom style="thin">
        <color theme="0" tint="-0.34998626667073579"/>
      </bottom>
      <diagonal/>
    </border>
    <border>
      <left/>
      <right/>
      <top style="thin">
        <color theme="0" tint="-0.34998626667073579"/>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left>
      <right style="thin">
        <color theme="0"/>
      </right>
      <top style="thin">
        <color theme="0"/>
      </top>
      <bottom style="thin">
        <color theme="0"/>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tint="-0.24994659260841701"/>
      </left>
      <right style="thin">
        <color theme="0" tint="-0.24994659260841701"/>
      </right>
      <top style="thin">
        <color theme="0" tint="-0.24994659260841701"/>
      </top>
      <bottom/>
      <diagonal/>
    </border>
    <border>
      <left style="thin">
        <color theme="0" tint="-0.24994659260841701"/>
      </left>
      <right style="thin">
        <color theme="0" tint="-0.24994659260841701"/>
      </right>
      <top/>
      <bottom style="thin">
        <color theme="0" tint="-0.24994659260841701"/>
      </bottom>
      <diagonal/>
    </border>
    <border>
      <left style="thin">
        <color theme="0" tint="-0.34998626667073579"/>
      </left>
      <right/>
      <top style="thin">
        <color theme="0" tint="-0.34998626667073579"/>
      </top>
      <bottom/>
      <diagonal/>
    </border>
    <border>
      <left/>
      <right/>
      <top style="thin">
        <color theme="0" tint="-0.34998626667073579"/>
      </top>
      <bottom/>
      <diagonal/>
    </border>
    <border>
      <left/>
      <right style="thin">
        <color theme="0" tint="-0.34998626667073579"/>
      </right>
      <top style="thin">
        <color theme="0" tint="-0.34998626667073579"/>
      </top>
      <bottom/>
      <diagonal/>
    </border>
    <border>
      <left style="thin">
        <color theme="0" tint="-0.34998626667073579"/>
      </left>
      <right/>
      <top/>
      <bottom/>
      <diagonal/>
    </border>
    <border>
      <left/>
      <right style="thin">
        <color theme="0" tint="-0.34998626667073579"/>
      </right>
      <top/>
      <bottom/>
      <diagonal/>
    </border>
    <border>
      <left style="thin">
        <color theme="0" tint="-0.34998626667073579"/>
      </left>
      <right/>
      <top/>
      <bottom style="thin">
        <color theme="0" tint="-0.34998626667073579"/>
      </bottom>
      <diagonal/>
    </border>
    <border>
      <left/>
      <right/>
      <top/>
      <bottom style="thin">
        <color theme="0" tint="-0.34998626667073579"/>
      </bottom>
      <diagonal/>
    </border>
    <border>
      <left/>
      <right style="thin">
        <color theme="0" tint="-0.34998626667073579"/>
      </right>
      <top/>
      <bottom style="thin">
        <color theme="0" tint="-0.34998626667073579"/>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style="thin">
        <color theme="0" tint="-0.34998626667073579"/>
      </right>
      <top style="thin">
        <color theme="0" tint="-0.34998626667073579"/>
      </top>
      <bottom/>
      <diagonal/>
    </border>
    <border>
      <left/>
      <right/>
      <top/>
      <bottom style="thin">
        <color theme="0" tint="-0.249977111117893"/>
      </bottom>
      <diagonal/>
    </border>
    <border>
      <left style="thin">
        <color theme="0" tint="-0.34998626667073579"/>
      </left>
      <right/>
      <top/>
      <bottom style="thin">
        <color theme="0" tint="-0.249977111117893"/>
      </bottom>
      <diagonal/>
    </border>
    <border>
      <left/>
      <right style="thin">
        <color theme="0" tint="-0.34998626667073579"/>
      </right>
      <top/>
      <bottom style="thin">
        <color theme="0" tint="-0.249977111117893"/>
      </bottom>
      <diagonal/>
    </border>
    <border>
      <left style="thin">
        <color indexed="64"/>
      </left>
      <right/>
      <top style="thin">
        <color indexed="64"/>
      </top>
      <bottom style="thin">
        <color indexed="64"/>
      </bottom>
      <diagonal/>
    </border>
    <border>
      <left style="thin">
        <color theme="0" tint="-0.34998626667073579"/>
      </left>
      <right style="thin">
        <color theme="0" tint="-0.34998626667073579"/>
      </right>
      <top/>
      <bottom style="thin">
        <color theme="0" tint="-0.34998626667073579"/>
      </bottom>
      <diagonal/>
    </border>
    <border>
      <left style="thin">
        <color theme="0" tint="-0.34998626667073579"/>
      </left>
      <right style="thin">
        <color theme="0" tint="-0.34998626667073579"/>
      </right>
      <top/>
      <bottom/>
      <diagonal/>
    </border>
    <border>
      <left style="thin">
        <color theme="0" tint="-0.249977111117893"/>
      </left>
      <right/>
      <top style="thin">
        <color theme="0" tint="-0.34998626667073579"/>
      </top>
      <bottom/>
      <diagonal/>
    </border>
    <border>
      <left style="thin">
        <color theme="0" tint="-0.249977111117893"/>
      </left>
      <right/>
      <top/>
      <bottom/>
      <diagonal/>
    </border>
    <border>
      <left style="thin">
        <color theme="0" tint="-0.249977111117893"/>
      </left>
      <right/>
      <top/>
      <bottom style="thin">
        <color theme="0" tint="-0.34998626667073579"/>
      </bottom>
      <diagonal/>
    </border>
    <border>
      <left/>
      <right style="thin">
        <color theme="0" tint="-0.249977111117893"/>
      </right>
      <top style="thin">
        <color theme="0" tint="-0.34998626667073579"/>
      </top>
      <bottom/>
      <diagonal/>
    </border>
    <border>
      <left/>
      <right style="thin">
        <color theme="0" tint="-0.249977111117893"/>
      </right>
      <top/>
      <bottom/>
      <diagonal/>
    </border>
    <border>
      <left/>
      <right style="thin">
        <color theme="0" tint="-0.249977111117893"/>
      </right>
      <top/>
      <bottom style="thin">
        <color theme="0" tint="-0.34998626667073579"/>
      </bottom>
      <diagonal/>
    </border>
    <border>
      <left/>
      <right/>
      <top style="hair">
        <color auto="1"/>
      </top>
      <bottom/>
      <diagonal/>
    </border>
    <border>
      <left/>
      <right/>
      <top/>
      <bottom style="hair">
        <color auto="1"/>
      </bottom>
      <diagonal/>
    </border>
    <border>
      <left style="hair">
        <color theme="0" tint="-0.34998626667073579"/>
      </left>
      <right/>
      <top style="hair">
        <color theme="0" tint="-0.34998626667073579"/>
      </top>
      <bottom/>
      <diagonal/>
    </border>
    <border>
      <left/>
      <right/>
      <top style="hair">
        <color theme="0" tint="-0.34998626667073579"/>
      </top>
      <bottom/>
      <diagonal/>
    </border>
    <border>
      <left style="hair">
        <color theme="0" tint="-0.34998626667073579"/>
      </left>
      <right style="hair">
        <color theme="0" tint="-0.34998626667073579"/>
      </right>
      <top style="hair">
        <color theme="0" tint="-0.34998626667073579"/>
      </top>
      <bottom style="hair">
        <color theme="0" tint="-0.34998626667073579"/>
      </bottom>
      <diagonal/>
    </border>
    <border>
      <left style="hair">
        <color theme="0" tint="-0.34998626667073579"/>
      </left>
      <right/>
      <top style="hair">
        <color theme="0" tint="-0.34998626667073579"/>
      </top>
      <bottom style="hair">
        <color theme="0" tint="-0.34998626667073579"/>
      </bottom>
      <diagonal/>
    </border>
    <border>
      <left/>
      <right/>
      <top style="hair">
        <color theme="0" tint="-0.34998626667073579"/>
      </top>
      <bottom style="hair">
        <color theme="0" tint="-0.34998626667073579"/>
      </bottom>
      <diagonal/>
    </border>
    <border>
      <left style="thin">
        <color theme="0" tint="-0.34998626667073579"/>
      </left>
      <right style="hair">
        <color theme="0" tint="-0.34998626667073579"/>
      </right>
      <top style="thin">
        <color theme="0" tint="-0.34998626667073579"/>
      </top>
      <bottom style="hair">
        <color theme="0" tint="-0.34998626667073579"/>
      </bottom>
      <diagonal/>
    </border>
    <border>
      <left style="hair">
        <color theme="0" tint="-0.34998626667073579"/>
      </left>
      <right style="hair">
        <color theme="0" tint="-0.34998626667073579"/>
      </right>
      <top style="thin">
        <color theme="0" tint="-0.34998626667073579"/>
      </top>
      <bottom style="hair">
        <color theme="0" tint="-0.34998626667073579"/>
      </bottom>
      <diagonal/>
    </border>
    <border>
      <left style="hair">
        <color theme="0" tint="-0.34998626667073579"/>
      </left>
      <right style="thin">
        <color theme="0" tint="-0.34998626667073579"/>
      </right>
      <top style="thin">
        <color theme="0" tint="-0.34998626667073579"/>
      </top>
      <bottom style="hair">
        <color theme="0" tint="-0.34998626667073579"/>
      </bottom>
      <diagonal/>
    </border>
    <border>
      <left style="thin">
        <color theme="0" tint="-0.34998626667073579"/>
      </left>
      <right style="hair">
        <color theme="0" tint="-0.34998626667073579"/>
      </right>
      <top style="hair">
        <color theme="0" tint="-0.34998626667073579"/>
      </top>
      <bottom style="hair">
        <color theme="0" tint="-0.34998626667073579"/>
      </bottom>
      <diagonal/>
    </border>
    <border>
      <left style="hair">
        <color theme="0" tint="-0.34998626667073579"/>
      </left>
      <right style="thin">
        <color theme="0" tint="-0.34998626667073579"/>
      </right>
      <top style="hair">
        <color theme="0" tint="-0.34998626667073579"/>
      </top>
      <bottom style="hair">
        <color theme="0" tint="-0.34998626667073579"/>
      </bottom>
      <diagonal/>
    </border>
    <border>
      <left style="thin">
        <color theme="0" tint="-0.34998626667073579"/>
      </left>
      <right/>
      <top style="hair">
        <color theme="0" tint="-0.34998626667073579"/>
      </top>
      <bottom style="hair">
        <color theme="0" tint="-0.34998626667073579"/>
      </bottom>
      <diagonal/>
    </border>
    <border>
      <left style="thin">
        <color theme="0" tint="-0.34998626667073579"/>
      </left>
      <right/>
      <top style="hair">
        <color theme="0" tint="-0.34998626667073579"/>
      </top>
      <bottom style="thin">
        <color theme="0" tint="-0.34998626667073579"/>
      </bottom>
      <diagonal/>
    </border>
    <border>
      <left style="hair">
        <color theme="0" tint="-0.34998626667073579"/>
      </left>
      <right style="hair">
        <color theme="0" tint="-0.34998626667073579"/>
      </right>
      <top style="hair">
        <color theme="0" tint="-0.34998626667073579"/>
      </top>
      <bottom style="thin">
        <color theme="0" tint="-0.34998626667073579"/>
      </bottom>
      <diagonal/>
    </border>
    <border>
      <left style="hair">
        <color theme="0" tint="-0.34998626667073579"/>
      </left>
      <right style="thin">
        <color theme="0" tint="-0.34998626667073579"/>
      </right>
      <top style="hair">
        <color theme="0" tint="-0.34998626667073579"/>
      </top>
      <bottom style="thin">
        <color theme="0" tint="-0.34998626667073579"/>
      </bottom>
      <diagonal/>
    </border>
    <border>
      <left style="hair">
        <color theme="0" tint="-0.34998626667073579"/>
      </left>
      <right/>
      <top style="thin">
        <color theme="0" tint="-0.34998626667073579"/>
      </top>
      <bottom style="hair">
        <color theme="0" tint="-0.34998626667073579"/>
      </bottom>
      <diagonal/>
    </border>
    <border>
      <left/>
      <right/>
      <top style="thin">
        <color theme="0" tint="-0.34998626667073579"/>
      </top>
      <bottom style="hair">
        <color theme="0" tint="-0.34998626667073579"/>
      </bottom>
      <diagonal/>
    </border>
    <border>
      <left/>
      <right style="thin">
        <color theme="0" tint="-0.34998626667073579"/>
      </right>
      <top style="thin">
        <color theme="0" tint="-0.34998626667073579"/>
      </top>
      <bottom style="hair">
        <color theme="0" tint="-0.34998626667073579"/>
      </bottom>
      <diagonal/>
    </border>
    <border>
      <left style="hair">
        <color theme="0" tint="-0.34998626667073579"/>
      </left>
      <right style="hair">
        <color theme="0" tint="-0.34998626667073579"/>
      </right>
      <top style="hair">
        <color theme="0" tint="-0.34998626667073579"/>
      </top>
      <bottom/>
      <diagonal/>
    </border>
    <border>
      <left style="hair">
        <color theme="0" tint="-0.34998626667073579"/>
      </left>
      <right style="thin">
        <color theme="0" tint="-0.34998626667073579"/>
      </right>
      <top style="hair">
        <color theme="0" tint="-0.34998626667073579"/>
      </top>
      <bottom/>
      <diagonal/>
    </border>
    <border>
      <left style="thin">
        <color theme="0" tint="-0.34998626667073579"/>
      </left>
      <right style="hair">
        <color theme="0" tint="-0.34998626667073579"/>
      </right>
      <top style="hair">
        <color theme="0" tint="-0.34998626667073579"/>
      </top>
      <bottom/>
      <diagonal/>
    </border>
    <border>
      <left style="thin">
        <color theme="0" tint="-0.34998626667073579"/>
      </left>
      <right/>
      <top style="thin">
        <color theme="0" tint="-0.34998626667073579"/>
      </top>
      <bottom style="hair">
        <color theme="0" tint="-0.34998626667073579"/>
      </bottom>
      <diagonal/>
    </border>
    <border>
      <left style="hair">
        <color theme="0" tint="-0.34998626667073579"/>
      </left>
      <right style="hair">
        <color theme="0" tint="-0.34998626667073579"/>
      </right>
      <top/>
      <bottom style="thin">
        <color theme="0" tint="-0.34998626667073579"/>
      </bottom>
      <diagonal/>
    </border>
    <border>
      <left style="hair">
        <color theme="0" tint="-0.34998626667073579"/>
      </left>
      <right style="thin">
        <color theme="0" tint="-0.34998626667073579"/>
      </right>
      <top/>
      <bottom style="thin">
        <color theme="0" tint="-0.34998626667073579"/>
      </bottom>
      <diagonal/>
    </border>
    <border>
      <left/>
      <right/>
      <top style="hair">
        <color theme="0" tint="-0.34998626667073579"/>
      </top>
      <bottom style="thin">
        <color theme="0" tint="-0.34998626667073579"/>
      </bottom>
      <diagonal/>
    </border>
    <border>
      <left style="thin">
        <color theme="0" tint="-0.34998626667073579"/>
      </left>
      <right style="hair">
        <color theme="0" tint="-0.34998626667073579"/>
      </right>
      <top style="hair">
        <color theme="0" tint="-0.34998626667073579"/>
      </top>
      <bottom style="thin">
        <color theme="0" tint="-0.34998626667073579"/>
      </bottom>
      <diagonal/>
    </border>
    <border>
      <left style="thin">
        <color theme="0" tint="-0.34998626667073579"/>
      </left>
      <right style="hair">
        <color theme="0" tint="-0.34998626667073579"/>
      </right>
      <top/>
      <bottom style="thin">
        <color theme="0" tint="-0.34998626667073579"/>
      </bottom>
      <diagonal/>
    </border>
    <border>
      <left style="hair">
        <color theme="0" tint="-0.34998626667073579"/>
      </left>
      <right/>
      <top style="hair">
        <color theme="0" tint="-0.34998626667073579"/>
      </top>
      <bottom style="thin">
        <color theme="0" tint="-0.34998626667073579"/>
      </bottom>
      <diagonal/>
    </border>
    <border>
      <left style="hair">
        <color theme="0" tint="-0.34998626667073579"/>
      </left>
      <right/>
      <top/>
      <bottom style="thin">
        <color theme="0" tint="-0.34998626667073579"/>
      </bottom>
      <diagonal/>
    </border>
  </borders>
  <cellStyleXfs count="4">
    <xf numFmtId="0" fontId="0" fillId="0" borderId="0"/>
    <xf numFmtId="9" fontId="1" fillId="0" borderId="0" applyFont="0" applyFill="0" applyBorder="0" applyAlignment="0" applyProtection="0"/>
    <xf numFmtId="0" fontId="1" fillId="0" borderId="0"/>
    <xf numFmtId="0" fontId="11" fillId="0" borderId="0"/>
  </cellStyleXfs>
  <cellXfs count="570">
    <xf numFmtId="0" fontId="0" fillId="0" borderId="0" xfId="0"/>
    <xf numFmtId="0" fontId="2" fillId="0" borderId="1" xfId="0" applyFont="1" applyBorder="1"/>
    <xf numFmtId="0" fontId="2" fillId="0" borderId="1" xfId="0" applyFont="1" applyBorder="1" applyAlignment="1">
      <alignment vertical="center"/>
    </xf>
    <xf numFmtId="10" fontId="5" fillId="0" borderId="1" xfId="1" applyNumberFormat="1" applyFont="1" applyFill="1" applyBorder="1" applyAlignment="1">
      <alignment vertical="center"/>
    </xf>
    <xf numFmtId="0" fontId="2" fillId="0" borderId="1" xfId="0" quotePrefix="1" applyFont="1" applyBorder="1" applyAlignment="1">
      <alignment wrapText="1"/>
    </xf>
    <xf numFmtId="0" fontId="6" fillId="4" borderId="0" xfId="2" applyFont="1" applyFill="1" applyProtection="1">
      <protection hidden="1"/>
    </xf>
    <xf numFmtId="0" fontId="7" fillId="0" borderId="0" xfId="2" applyFont="1" applyProtection="1">
      <protection hidden="1"/>
    </xf>
    <xf numFmtId="14" fontId="8" fillId="0" borderId="0" xfId="0" applyNumberFormat="1" applyFont="1" applyAlignment="1" applyProtection="1">
      <alignment vertical="top"/>
      <protection hidden="1"/>
    </xf>
    <xf numFmtId="0" fontId="7" fillId="0" borderId="0" xfId="2" applyFont="1" applyAlignment="1" applyProtection="1">
      <alignment horizontal="centerContinuous"/>
      <protection hidden="1"/>
    </xf>
    <xf numFmtId="0" fontId="9" fillId="0" borderId="0" xfId="2" applyFont="1" applyAlignment="1" applyProtection="1">
      <alignment horizontal="left"/>
      <protection hidden="1"/>
    </xf>
    <xf numFmtId="0" fontId="0" fillId="5" borderId="0" xfId="0" applyFill="1"/>
    <xf numFmtId="0" fontId="10" fillId="0" borderId="0" xfId="0" applyFont="1"/>
    <xf numFmtId="0" fontId="2" fillId="0" borderId="2" xfId="0" applyFont="1" applyBorder="1" applyAlignment="1">
      <alignment vertical="center"/>
    </xf>
    <xf numFmtId="0" fontId="11" fillId="0" borderId="0" xfId="3"/>
    <xf numFmtId="0" fontId="13" fillId="7" borderId="0" xfId="3" applyFont="1" applyFill="1"/>
    <xf numFmtId="0" fontId="11" fillId="7" borderId="0" xfId="3" applyFill="1"/>
    <xf numFmtId="0" fontId="14" fillId="0" borderId="0" xfId="0" applyFont="1"/>
    <xf numFmtId="10" fontId="5" fillId="0" borderId="1" xfId="1" applyNumberFormat="1" applyFont="1" applyBorder="1" applyAlignment="1">
      <alignment vertical="center"/>
    </xf>
    <xf numFmtId="10" fontId="3" fillId="0" borderId="1" xfId="1" applyNumberFormat="1" applyFont="1" applyBorder="1" applyAlignment="1">
      <alignment horizontal="left"/>
    </xf>
    <xf numFmtId="0" fontId="2" fillId="0" borderId="6" xfId="0" applyFont="1" applyBorder="1" applyAlignment="1">
      <alignment vertical="center"/>
    </xf>
    <xf numFmtId="0" fontId="2" fillId="0" borderId="4" xfId="0" applyFont="1" applyBorder="1" applyAlignment="1">
      <alignment vertical="center"/>
    </xf>
    <xf numFmtId="0" fontId="2" fillId="6" borderId="4" xfId="0" applyFont="1" applyFill="1" applyBorder="1" applyAlignment="1">
      <alignment vertical="center"/>
    </xf>
    <xf numFmtId="0" fontId="2" fillId="0" borderId="1" xfId="0" applyFont="1" applyBorder="1" applyAlignment="1">
      <alignment vertical="center" wrapText="1"/>
    </xf>
    <xf numFmtId="10" fontId="2" fillId="0" borderId="1" xfId="1" applyNumberFormat="1" applyFont="1" applyBorder="1" applyAlignment="1">
      <alignment vertical="center"/>
    </xf>
    <xf numFmtId="10" fontId="16" fillId="0" borderId="1" xfId="1" applyNumberFormat="1" applyFont="1" applyBorder="1" applyAlignment="1">
      <alignment horizontal="left"/>
    </xf>
    <xf numFmtId="0" fontId="2" fillId="0" borderId="0" xfId="0" applyFont="1"/>
    <xf numFmtId="0" fontId="2" fillId="0" borderId="0" xfId="0" quotePrefix="1" applyFont="1" applyAlignment="1">
      <alignment wrapText="1"/>
    </xf>
    <xf numFmtId="0" fontId="2" fillId="6" borderId="1" xfId="0" applyFont="1" applyFill="1" applyBorder="1" applyAlignment="1">
      <alignment vertical="center"/>
    </xf>
    <xf numFmtId="0" fontId="2" fillId="3" borderId="1" xfId="0" applyFont="1" applyFill="1" applyBorder="1" applyAlignment="1">
      <alignment vertical="center"/>
    </xf>
    <xf numFmtId="0" fontId="17" fillId="0" borderId="0" xfId="0" applyFont="1"/>
    <xf numFmtId="0" fontId="0" fillId="4" borderId="0" xfId="0" applyFill="1"/>
    <xf numFmtId="0" fontId="2" fillId="0" borderId="7" xfId="0" applyFont="1" applyBorder="1" applyAlignment="1">
      <alignment vertical="center"/>
    </xf>
    <xf numFmtId="0" fontId="2" fillId="3" borderId="1" xfId="0" applyFont="1" applyFill="1" applyBorder="1" applyAlignment="1">
      <alignment horizontal="left" vertical="center" wrapText="1"/>
    </xf>
    <xf numFmtId="0" fontId="2" fillId="3" borderId="7" xfId="0" applyFont="1" applyFill="1" applyBorder="1" applyAlignment="1">
      <alignment vertical="center"/>
    </xf>
    <xf numFmtId="0" fontId="2" fillId="0" borderId="9" xfId="0" applyFont="1" applyBorder="1" applyAlignment="1">
      <alignment vertical="center"/>
    </xf>
    <xf numFmtId="0" fontId="4" fillId="0" borderId="1" xfId="0" quotePrefix="1" applyFont="1" applyBorder="1" applyAlignment="1">
      <alignment horizontal="left" vertical="center" wrapText="1"/>
    </xf>
    <xf numFmtId="0" fontId="4" fillId="0" borderId="1" xfId="0" applyFont="1" applyBorder="1" applyAlignment="1">
      <alignment horizontal="left" vertical="center" wrapText="1"/>
    </xf>
    <xf numFmtId="0" fontId="4" fillId="0" borderId="1" xfId="0" applyFont="1" applyBorder="1" applyAlignment="1">
      <alignment horizontal="left" vertical="center" wrapText="1" readingOrder="1"/>
    </xf>
    <xf numFmtId="0" fontId="4" fillId="0" borderId="6" xfId="0" applyFont="1" applyBorder="1" applyAlignment="1">
      <alignment vertical="center"/>
    </xf>
    <xf numFmtId="0" fontId="4" fillId="0" borderId="1" xfId="0" applyFont="1" applyBorder="1" applyAlignment="1">
      <alignment horizontal="left" vertical="center" readingOrder="1"/>
    </xf>
    <xf numFmtId="0" fontId="4" fillId="0" borderId="2" xfId="0" applyFont="1" applyBorder="1" applyAlignment="1">
      <alignment vertical="center"/>
    </xf>
    <xf numFmtId="0" fontId="4" fillId="0" borderId="1" xfId="0" applyFont="1" applyBorder="1" applyAlignment="1">
      <alignment horizontal="left" vertical="center"/>
    </xf>
    <xf numFmtId="0" fontId="4" fillId="0" borderId="1" xfId="0" applyFont="1" applyBorder="1" applyAlignment="1">
      <alignment vertical="center"/>
    </xf>
    <xf numFmtId="0" fontId="2" fillId="0" borderId="5" xfId="0" applyFont="1" applyBorder="1" applyAlignment="1">
      <alignment vertical="center"/>
    </xf>
    <xf numFmtId="0" fontId="4" fillId="0" borderId="5" xfId="0" applyFont="1" applyBorder="1" applyAlignment="1">
      <alignment vertical="center"/>
    </xf>
    <xf numFmtId="0" fontId="4" fillId="0" borderId="4" xfId="0" applyFont="1" applyBorder="1" applyAlignment="1">
      <alignment vertical="center"/>
    </xf>
    <xf numFmtId="0" fontId="4" fillId="0" borderId="7" xfId="0" applyFont="1" applyBorder="1" applyAlignment="1">
      <alignment vertical="center"/>
    </xf>
    <xf numFmtId="14" fontId="2" fillId="7" borderId="4" xfId="0" applyNumberFormat="1" applyFont="1" applyFill="1" applyBorder="1" applyAlignment="1">
      <alignment vertical="center"/>
    </xf>
    <xf numFmtId="0" fontId="2" fillId="0" borderId="1" xfId="0" applyFont="1" applyBorder="1" applyAlignment="1">
      <alignment horizontal="left" vertical="center" wrapText="1"/>
    </xf>
    <xf numFmtId="0" fontId="0" fillId="0" borderId="0" xfId="0" pivotButton="1"/>
    <xf numFmtId="0" fontId="0" fillId="0" borderId="0" xfId="0" applyAlignment="1">
      <alignment horizontal="left"/>
    </xf>
    <xf numFmtId="0" fontId="23" fillId="0" borderId="0" xfId="0" applyFont="1"/>
    <xf numFmtId="0" fontId="24" fillId="2" borderId="1" xfId="0" applyFont="1" applyFill="1" applyBorder="1" applyAlignment="1">
      <alignment horizontal="left"/>
    </xf>
    <xf numFmtId="0" fontId="4" fillId="0" borderId="4" xfId="1" applyNumberFormat="1" applyFont="1" applyFill="1" applyBorder="1" applyAlignment="1">
      <alignment vertical="center"/>
    </xf>
    <xf numFmtId="0" fontId="4" fillId="0" borderId="1" xfId="1" applyNumberFormat="1" applyFont="1" applyFill="1" applyBorder="1" applyAlignment="1">
      <alignment vertical="center"/>
    </xf>
    <xf numFmtId="0" fontId="4" fillId="3" borderId="1" xfId="0" applyFont="1" applyFill="1" applyBorder="1" applyAlignment="1">
      <alignment vertical="center"/>
    </xf>
    <xf numFmtId="0" fontId="26" fillId="0" borderId="1" xfId="0" applyFont="1" applyBorder="1" applyAlignment="1">
      <alignment vertical="center"/>
    </xf>
    <xf numFmtId="0" fontId="26" fillId="0" borderId="2" xfId="0" applyFont="1" applyBorder="1" applyAlignment="1">
      <alignment vertical="center"/>
    </xf>
    <xf numFmtId="0" fontId="26" fillId="0" borderId="6" xfId="0" applyFont="1" applyBorder="1" applyAlignment="1">
      <alignment vertical="center"/>
    </xf>
    <xf numFmtId="0" fontId="26" fillId="0" borderId="1" xfId="0" applyFont="1" applyBorder="1" applyAlignment="1">
      <alignment horizontal="left" vertical="center" readingOrder="1"/>
    </xf>
    <xf numFmtId="0" fontId="19" fillId="4" borderId="10" xfId="0" applyFont="1" applyFill="1" applyBorder="1" applyAlignment="1">
      <alignment horizontal="left" vertical="center"/>
    </xf>
    <xf numFmtId="0" fontId="19" fillId="4" borderId="11" xfId="0" applyFont="1" applyFill="1" applyBorder="1" applyAlignment="1">
      <alignment horizontal="left" vertical="center"/>
    </xf>
    <xf numFmtId="0" fontId="19" fillId="4" borderId="12" xfId="0" applyFont="1" applyFill="1" applyBorder="1" applyAlignment="1">
      <alignment horizontal="left" vertical="center"/>
    </xf>
    <xf numFmtId="0" fontId="22" fillId="0" borderId="10" xfId="0" applyFont="1" applyBorder="1" applyAlignment="1">
      <alignment vertical="center"/>
    </xf>
    <xf numFmtId="0" fontId="2" fillId="0" borderId="11" xfId="0" applyFont="1" applyBorder="1" applyAlignment="1">
      <alignment vertical="center"/>
    </xf>
    <xf numFmtId="0" fontId="2" fillId="0" borderId="10" xfId="0" applyFont="1" applyBorder="1" applyAlignment="1">
      <alignment vertical="center"/>
    </xf>
    <xf numFmtId="0" fontId="2" fillId="0" borderId="11" xfId="0" applyFont="1" applyBorder="1" applyAlignment="1">
      <alignment horizontal="left" vertical="center" indent="2"/>
    </xf>
    <xf numFmtId="0" fontId="18" fillId="0" borderId="10" xfId="0" applyFont="1" applyBorder="1" applyAlignment="1">
      <alignment vertical="center"/>
    </xf>
    <xf numFmtId="0" fontId="18" fillId="0" borderId="11" xfId="0" applyFont="1" applyBorder="1" applyAlignment="1">
      <alignment vertical="center"/>
    </xf>
    <xf numFmtId="0" fontId="4" fillId="0" borderId="11" xfId="0" applyFont="1" applyBorder="1" applyAlignment="1">
      <alignment vertical="center"/>
    </xf>
    <xf numFmtId="0" fontId="4" fillId="0" borderId="11" xfId="0" applyFont="1" applyBorder="1" applyAlignment="1">
      <alignment horizontal="left" vertical="center" indent="2" readingOrder="1"/>
    </xf>
    <xf numFmtId="0" fontId="4" fillId="0" borderId="11" xfId="0" applyFont="1" applyBorder="1" applyAlignment="1">
      <alignment horizontal="left" vertical="center" wrapText="1" readingOrder="1"/>
    </xf>
    <xf numFmtId="0" fontId="4" fillId="0" borderId="11" xfId="0" applyFont="1" applyBorder="1" applyAlignment="1">
      <alignment horizontal="left" vertical="center" readingOrder="1"/>
    </xf>
    <xf numFmtId="0" fontId="2" fillId="0" borderId="11" xfId="0" applyFont="1" applyBorder="1" applyAlignment="1">
      <alignment horizontal="left" vertical="center"/>
    </xf>
    <xf numFmtId="0" fontId="27" fillId="0" borderId="0" xfId="0" applyFont="1" applyAlignment="1">
      <alignment horizontal="left" vertical="center"/>
    </xf>
    <xf numFmtId="0" fontId="19" fillId="9" borderId="13" xfId="0" applyFont="1" applyFill="1" applyBorder="1" applyAlignment="1">
      <alignment horizontal="centerContinuous"/>
    </xf>
    <xf numFmtId="165" fontId="28" fillId="10" borderId="0" xfId="0" applyNumberFormat="1" applyFont="1" applyFill="1" applyAlignment="1">
      <alignment horizontal="center" vertical="center"/>
    </xf>
    <xf numFmtId="164" fontId="22" fillId="11" borderId="0" xfId="0" applyNumberFormat="1" applyFont="1" applyFill="1" applyAlignment="1" applyProtection="1">
      <alignment horizontal="center" vertical="center"/>
      <protection hidden="1"/>
    </xf>
    <xf numFmtId="0" fontId="0" fillId="0" borderId="14" xfId="0" applyBorder="1"/>
    <xf numFmtId="0" fontId="0" fillId="0" borderId="11" xfId="0" applyBorder="1"/>
    <xf numFmtId="0" fontId="0" fillId="0" borderId="15" xfId="0" applyBorder="1"/>
    <xf numFmtId="0" fontId="0" fillId="0" borderId="16" xfId="0" applyBorder="1"/>
    <xf numFmtId="0" fontId="22" fillId="12" borderId="10" xfId="0" applyFont="1" applyFill="1" applyBorder="1" applyAlignment="1">
      <alignment vertical="center"/>
    </xf>
    <xf numFmtId="0" fontId="2" fillId="12" borderId="11" xfId="0" applyFont="1" applyFill="1" applyBorder="1" applyAlignment="1">
      <alignment vertical="center"/>
    </xf>
    <xf numFmtId="0" fontId="2" fillId="0" borderId="11" xfId="0" applyFont="1" applyBorder="1"/>
    <xf numFmtId="0" fontId="2" fillId="7" borderId="11" xfId="0" applyFont="1" applyFill="1" applyBorder="1"/>
    <xf numFmtId="0" fontId="29" fillId="12" borderId="12" xfId="0" applyFont="1" applyFill="1" applyBorder="1"/>
    <xf numFmtId="0" fontId="29" fillId="0" borderId="12" xfId="0" applyFont="1" applyBorder="1"/>
    <xf numFmtId="0" fontId="29" fillId="0" borderId="11" xfId="0" applyFont="1" applyBorder="1"/>
    <xf numFmtId="0" fontId="29" fillId="0" borderId="12" xfId="0" applyFont="1" applyBorder="1" applyAlignment="1">
      <alignment vertical="center"/>
    </xf>
    <xf numFmtId="166" fontId="30" fillId="0" borderId="0" xfId="0" applyNumberFormat="1" applyFont="1" applyAlignment="1">
      <alignment horizontal="center" vertical="center"/>
    </xf>
    <xf numFmtId="0" fontId="0" fillId="13" borderId="14" xfId="0" applyFill="1" applyBorder="1"/>
    <xf numFmtId="0" fontId="0" fillId="13" borderId="15" xfId="0" applyFill="1" applyBorder="1"/>
    <xf numFmtId="0" fontId="0" fillId="13" borderId="11" xfId="0" applyFill="1" applyBorder="1"/>
    <xf numFmtId="0" fontId="0" fillId="13" borderId="16" xfId="0" applyFill="1" applyBorder="1"/>
    <xf numFmtId="9" fontId="0" fillId="0" borderId="0" xfId="0" applyNumberFormat="1"/>
    <xf numFmtId="0" fontId="22" fillId="0" borderId="11" xfId="0" applyFont="1" applyBorder="1" applyAlignment="1">
      <alignment vertical="center"/>
    </xf>
    <xf numFmtId="0" fontId="27" fillId="0" borderId="11" xfId="0" applyFont="1" applyBorder="1" applyAlignment="1">
      <alignment horizontal="left" vertical="center" indent="2" readingOrder="1"/>
    </xf>
    <xf numFmtId="0" fontId="27" fillId="0" borderId="11" xfId="0" applyFont="1" applyBorder="1" applyAlignment="1">
      <alignment horizontal="left" vertical="center" wrapText="1" readingOrder="1"/>
    </xf>
    <xf numFmtId="0" fontId="22" fillId="0" borderId="11" xfId="0" applyFont="1" applyBorder="1"/>
    <xf numFmtId="0" fontId="28" fillId="0" borderId="12" xfId="0" applyFont="1" applyBorder="1"/>
    <xf numFmtId="0" fontId="27" fillId="0" borderId="10" xfId="0" applyFont="1" applyBorder="1" applyAlignment="1">
      <alignment vertical="center"/>
    </xf>
    <xf numFmtId="0" fontId="27" fillId="0" borderId="11" xfId="0" applyFont="1" applyBorder="1" applyAlignment="1">
      <alignment vertical="center"/>
    </xf>
    <xf numFmtId="0" fontId="22" fillId="0" borderId="11" xfId="0" applyFont="1" applyBorder="1" applyAlignment="1">
      <alignment horizontal="left" vertical="center" indent="2"/>
    </xf>
    <xf numFmtId="0" fontId="21" fillId="0" borderId="0" xfId="0" applyFont="1"/>
    <xf numFmtId="0" fontId="22" fillId="12" borderId="11" xfId="0" applyFont="1" applyFill="1" applyBorder="1"/>
    <xf numFmtId="166" fontId="0" fillId="0" borderId="0" xfId="0" applyNumberFormat="1"/>
    <xf numFmtId="166" fontId="30" fillId="12" borderId="0" xfId="0" applyNumberFormat="1" applyFont="1" applyFill="1" applyAlignment="1">
      <alignment horizontal="center" vertical="center"/>
    </xf>
    <xf numFmtId="0" fontId="31" fillId="0" borderId="0" xfId="0" applyFont="1"/>
    <xf numFmtId="9" fontId="31" fillId="0" borderId="0" xfId="0" applyNumberFormat="1" applyFont="1"/>
    <xf numFmtId="0" fontId="4" fillId="0" borderId="1" xfId="0" quotePrefix="1" applyFont="1" applyBorder="1" applyAlignment="1">
      <alignment horizontal="left" vertical="center"/>
    </xf>
    <xf numFmtId="0" fontId="4" fillId="0" borderId="7" xfId="0" applyFont="1" applyBorder="1" applyAlignment="1">
      <alignment horizontal="left" vertical="center" readingOrder="1"/>
    </xf>
    <xf numFmtId="0" fontId="2" fillId="14" borderId="4" xfId="0" applyFont="1" applyFill="1" applyBorder="1" applyAlignment="1">
      <alignment vertical="center"/>
    </xf>
    <xf numFmtId="0" fontId="4" fillId="0" borderId="0" xfId="0" applyFont="1" applyAlignment="1">
      <alignment vertical="center"/>
    </xf>
    <xf numFmtId="0" fontId="2" fillId="15" borderId="0" xfId="0" applyFont="1" applyFill="1"/>
    <xf numFmtId="10" fontId="4" fillId="0" borderId="1" xfId="1" applyNumberFormat="1" applyFont="1" applyFill="1" applyBorder="1" applyAlignment="1">
      <alignment vertical="center"/>
    </xf>
    <xf numFmtId="0" fontId="2" fillId="5" borderId="0" xfId="0" applyFont="1" applyFill="1"/>
    <xf numFmtId="9" fontId="2" fillId="0" borderId="0" xfId="1" applyFont="1"/>
    <xf numFmtId="0" fontId="2" fillId="0" borderId="17" xfId="0" applyFont="1" applyBorder="1"/>
    <xf numFmtId="0" fontId="2" fillId="0" borderId="18" xfId="0" applyFont="1" applyBorder="1"/>
    <xf numFmtId="0" fontId="2" fillId="0" borderId="19" xfId="0" applyFont="1" applyBorder="1"/>
    <xf numFmtId="0" fontId="2" fillId="0" borderId="20" xfId="0" applyFont="1" applyBorder="1"/>
    <xf numFmtId="0" fontId="2" fillId="0" borderId="21" xfId="0" applyFont="1" applyBorder="1"/>
    <xf numFmtId="0" fontId="2" fillId="0" borderId="22" xfId="0" applyFont="1" applyBorder="1"/>
    <xf numFmtId="0" fontId="2" fillId="0" borderId="23" xfId="0" applyFont="1" applyBorder="1"/>
    <xf numFmtId="0" fontId="2" fillId="0" borderId="24" xfId="0" applyFont="1" applyBorder="1"/>
    <xf numFmtId="0" fontId="32" fillId="5" borderId="0" xfId="0" applyFont="1" applyFill="1"/>
    <xf numFmtId="0" fontId="22" fillId="0" borderId="0" xfId="0" applyFont="1"/>
    <xf numFmtId="0" fontId="35" fillId="5" borderId="0" xfId="0" applyFont="1" applyFill="1"/>
    <xf numFmtId="0" fontId="22" fillId="0" borderId="8" xfId="0" applyFont="1" applyBorder="1"/>
    <xf numFmtId="0" fontId="2" fillId="0" borderId="8" xfId="0" applyFont="1" applyBorder="1"/>
    <xf numFmtId="16" fontId="22" fillId="0" borderId="8" xfId="0" applyNumberFormat="1" applyFont="1" applyBorder="1"/>
    <xf numFmtId="0" fontId="34" fillId="0" borderId="8" xfId="0" applyFont="1" applyBorder="1" applyAlignment="1">
      <alignment horizontal="right" indent="1"/>
    </xf>
    <xf numFmtId="0" fontId="29" fillId="0" borderId="25" xfId="0" applyFont="1" applyBorder="1" applyAlignment="1">
      <alignment vertical="center"/>
    </xf>
    <xf numFmtId="0" fontId="29" fillId="0" borderId="25" xfId="0" applyFont="1" applyBorder="1" applyAlignment="1">
      <alignment horizontal="left" vertical="center"/>
    </xf>
    <xf numFmtId="0" fontId="29" fillId="0" borderId="25" xfId="0" applyFont="1" applyBorder="1"/>
    <xf numFmtId="0" fontId="38" fillId="0" borderId="25" xfId="0" applyFont="1" applyBorder="1" applyAlignment="1">
      <alignment horizontal="left" vertical="center" readingOrder="1"/>
    </xf>
    <xf numFmtId="0" fontId="37" fillId="16" borderId="25" xfId="0" applyFont="1" applyFill="1" applyBorder="1" applyAlignment="1">
      <alignment vertical="center"/>
    </xf>
    <xf numFmtId="0" fontId="32" fillId="0" borderId="0" xfId="0" applyFont="1"/>
    <xf numFmtId="0" fontId="0" fillId="17" borderId="14" xfId="0" applyFill="1" applyBorder="1"/>
    <xf numFmtId="0" fontId="0" fillId="17" borderId="16" xfId="0" applyFill="1" applyBorder="1"/>
    <xf numFmtId="0" fontId="37" fillId="16" borderId="12" xfId="0" applyFont="1" applyFill="1" applyBorder="1" applyAlignment="1">
      <alignment vertical="center"/>
    </xf>
    <xf numFmtId="0" fontId="29" fillId="0" borderId="10" xfId="0" applyFont="1" applyBorder="1"/>
    <xf numFmtId="0" fontId="29" fillId="7" borderId="10" xfId="0" applyFont="1" applyFill="1" applyBorder="1"/>
    <xf numFmtId="0" fontId="29" fillId="8" borderId="10" xfId="0" applyFont="1" applyFill="1" applyBorder="1"/>
    <xf numFmtId="0" fontId="37" fillId="16" borderId="19" xfId="0" applyFont="1" applyFill="1" applyBorder="1" applyAlignment="1">
      <alignment vertical="center"/>
    </xf>
    <xf numFmtId="0" fontId="37" fillId="16" borderId="26" xfId="0" applyFont="1" applyFill="1" applyBorder="1" applyAlignment="1">
      <alignment vertical="center"/>
    </xf>
    <xf numFmtId="0" fontId="29" fillId="0" borderId="26" xfId="0" applyFont="1" applyBorder="1" applyAlignment="1">
      <alignment vertical="center"/>
    </xf>
    <xf numFmtId="0" fontId="29" fillId="0" borderId="26" xfId="0" applyFont="1" applyBorder="1" applyAlignment="1">
      <alignment horizontal="left" vertical="center"/>
    </xf>
    <xf numFmtId="0" fontId="29" fillId="0" borderId="26" xfId="0" applyFont="1" applyBorder="1"/>
    <xf numFmtId="0" fontId="29" fillId="0" borderId="17" xfId="0" applyFont="1" applyBorder="1"/>
    <xf numFmtId="16" fontId="2" fillId="0" borderId="1" xfId="0" applyNumberFormat="1" applyFont="1" applyBorder="1" applyAlignment="1">
      <alignment vertical="center"/>
    </xf>
    <xf numFmtId="14" fontId="29" fillId="0" borderId="25" xfId="0" applyNumberFormat="1" applyFont="1" applyBorder="1"/>
    <xf numFmtId="14" fontId="29" fillId="0" borderId="10" xfId="0" applyNumberFormat="1" applyFont="1" applyBorder="1"/>
    <xf numFmtId="0" fontId="33" fillId="0" borderId="0" xfId="0" applyFont="1"/>
    <xf numFmtId="0" fontId="36" fillId="0" borderId="0" xfId="0" applyFont="1"/>
    <xf numFmtId="0" fontId="41" fillId="0" borderId="0" xfId="0" quotePrefix="1" applyFont="1"/>
    <xf numFmtId="0" fontId="2" fillId="0" borderId="21" xfId="0" applyFont="1" applyBorder="1" applyAlignment="1">
      <alignment horizontal="left" vertical="top" wrapText="1" indent="1"/>
    </xf>
    <xf numFmtId="0" fontId="41" fillId="0" borderId="0" xfId="0" applyFont="1"/>
    <xf numFmtId="0" fontId="22" fillId="0" borderId="0" xfId="0" applyFont="1" applyAlignment="1">
      <alignment horizontal="right"/>
    </xf>
    <xf numFmtId="0" fontId="45" fillId="0" borderId="0" xfId="0" applyFont="1"/>
    <xf numFmtId="0" fontId="43" fillId="0" borderId="0" xfId="0" applyFont="1"/>
    <xf numFmtId="0" fontId="46" fillId="0" borderId="21" xfId="0" applyFont="1" applyBorder="1" applyAlignment="1">
      <alignment horizontal="left" vertical="center" indent="1"/>
    </xf>
    <xf numFmtId="0" fontId="4" fillId="0" borderId="21" xfId="0" applyFont="1" applyBorder="1" applyAlignment="1">
      <alignment horizontal="left" vertical="center" wrapText="1" indent="1"/>
    </xf>
    <xf numFmtId="0" fontId="44" fillId="0" borderId="0" xfId="0" applyFont="1"/>
    <xf numFmtId="0" fontId="15" fillId="0" borderId="30" xfId="0" applyFont="1" applyBorder="1" applyAlignment="1">
      <alignment vertical="center"/>
    </xf>
    <xf numFmtId="0" fontId="50" fillId="0" borderId="0" xfId="0" applyFont="1"/>
    <xf numFmtId="0" fontId="0" fillId="0" borderId="0" xfId="0" applyAlignment="1">
      <alignment horizontal="left" indent="2"/>
    </xf>
    <xf numFmtId="0" fontId="51" fillId="0" borderId="0" xfId="0" applyFont="1"/>
    <xf numFmtId="14" fontId="0" fillId="0" borderId="0" xfId="0" applyNumberFormat="1"/>
    <xf numFmtId="0" fontId="22" fillId="12" borderId="11" xfId="0" applyFont="1" applyFill="1" applyBorder="1" applyAlignment="1">
      <alignment horizontal="center" vertical="center"/>
    </xf>
    <xf numFmtId="9" fontId="22" fillId="12" borderId="11" xfId="1" applyFont="1" applyFill="1" applyBorder="1" applyAlignment="1">
      <alignment horizontal="center" vertical="center"/>
    </xf>
    <xf numFmtId="0" fontId="2" fillId="0" borderId="11" xfId="0" applyFont="1" applyBorder="1" applyAlignment="1">
      <alignment horizontal="center" vertical="center"/>
    </xf>
    <xf numFmtId="0" fontId="28" fillId="12" borderId="12" xfId="0" applyFont="1" applyFill="1" applyBorder="1" applyAlignment="1">
      <alignment horizontal="center" vertical="center"/>
    </xf>
    <xf numFmtId="9" fontId="2" fillId="0" borderId="11" xfId="1" applyFont="1" applyBorder="1" applyAlignment="1">
      <alignment horizontal="center" vertical="center"/>
    </xf>
    <xf numFmtId="0" fontId="19" fillId="4" borderId="11" xfId="0" applyFont="1" applyFill="1" applyBorder="1" applyAlignment="1">
      <alignment horizontal="center" vertical="center"/>
    </xf>
    <xf numFmtId="1" fontId="22" fillId="12" borderId="11" xfId="0" applyNumberFormat="1" applyFont="1" applyFill="1" applyBorder="1" applyAlignment="1">
      <alignment horizontal="center" vertical="center"/>
    </xf>
    <xf numFmtId="0" fontId="22" fillId="0" borderId="11" xfId="0" applyFont="1" applyBorder="1" applyAlignment="1">
      <alignment horizontal="center" vertical="center"/>
    </xf>
    <xf numFmtId="9" fontId="22" fillId="0" borderId="11" xfId="1" applyFont="1" applyBorder="1" applyAlignment="1">
      <alignment horizontal="center" vertical="center"/>
    </xf>
    <xf numFmtId="1" fontId="22" fillId="0" borderId="11" xfId="0" applyNumberFormat="1" applyFont="1" applyBorder="1" applyAlignment="1">
      <alignment horizontal="center" vertical="center"/>
    </xf>
    <xf numFmtId="1" fontId="2" fillId="0" borderId="11" xfId="0" applyNumberFormat="1" applyFont="1" applyBorder="1" applyAlignment="1">
      <alignment horizontal="center" vertical="center"/>
    </xf>
    <xf numFmtId="1" fontId="2" fillId="7" borderId="11" xfId="0" applyNumberFormat="1" applyFont="1" applyFill="1" applyBorder="1" applyAlignment="1">
      <alignment horizontal="center" vertical="center"/>
    </xf>
    <xf numFmtId="9" fontId="22" fillId="0" borderId="11" xfId="1" applyFont="1" applyFill="1" applyBorder="1" applyAlignment="1">
      <alignment horizontal="center" vertical="center"/>
    </xf>
    <xf numFmtId="0" fontId="28" fillId="0" borderId="12" xfId="0" applyFont="1" applyBorder="1" applyAlignment="1">
      <alignment horizontal="center" vertical="center"/>
    </xf>
    <xf numFmtId="0" fontId="28" fillId="0" borderId="12" xfId="0" quotePrefix="1" applyFont="1" applyBorder="1" applyAlignment="1">
      <alignment horizontal="left" vertical="center" wrapText="1"/>
    </xf>
    <xf numFmtId="0" fontId="28" fillId="0" borderId="12" xfId="0" quotePrefix="1" applyFont="1" applyBorder="1" applyAlignment="1">
      <alignment wrapText="1"/>
    </xf>
    <xf numFmtId="0" fontId="28" fillId="0" borderId="12" xfId="0" quotePrefix="1" applyFont="1" applyBorder="1"/>
    <xf numFmtId="0" fontId="19" fillId="4" borderId="10" xfId="0" applyFont="1" applyFill="1" applyBorder="1" applyAlignment="1">
      <alignment horizontal="center" vertical="center"/>
    </xf>
    <xf numFmtId="0" fontId="19" fillId="4" borderId="12" xfId="0" applyFont="1" applyFill="1" applyBorder="1" applyAlignment="1">
      <alignment horizontal="center" vertical="center"/>
    </xf>
    <xf numFmtId="0" fontId="0" fillId="16" borderId="14" xfId="0" applyFill="1" applyBorder="1"/>
    <xf numFmtId="0" fontId="19" fillId="4" borderId="4" xfId="0" applyFont="1" applyFill="1" applyBorder="1" applyAlignment="1">
      <alignment horizontal="center" vertical="center"/>
    </xf>
    <xf numFmtId="0" fontId="19" fillId="4" borderId="3" xfId="0" applyFont="1" applyFill="1" applyBorder="1" applyAlignment="1">
      <alignment horizontal="center" vertical="center"/>
    </xf>
    <xf numFmtId="0" fontId="25" fillId="4" borderId="4" xfId="0" applyFont="1" applyFill="1" applyBorder="1" applyAlignment="1">
      <alignment horizontal="center" vertical="center"/>
    </xf>
    <xf numFmtId="0" fontId="20" fillId="4" borderId="4" xfId="0" applyFont="1" applyFill="1" applyBorder="1" applyAlignment="1">
      <alignment horizontal="center" vertical="center"/>
    </xf>
    <xf numFmtId="0" fontId="19" fillId="4" borderId="4" xfId="0" applyFont="1" applyFill="1" applyBorder="1" applyAlignment="1">
      <alignment vertical="center"/>
    </xf>
    <xf numFmtId="0" fontId="2" fillId="18" borderId="0" xfId="0" applyFont="1" applyFill="1"/>
    <xf numFmtId="0" fontId="2" fillId="0" borderId="0" xfId="0" applyFont="1" applyAlignment="1">
      <alignment vertical="center"/>
    </xf>
    <xf numFmtId="0" fontId="28" fillId="0" borderId="12" xfId="0" quotePrefix="1" applyFont="1" applyBorder="1" applyAlignment="1">
      <alignment vertical="center" wrapText="1"/>
    </xf>
    <xf numFmtId="14" fontId="53" fillId="0" borderId="25" xfId="0" applyNumberFormat="1" applyFont="1" applyBorder="1"/>
    <xf numFmtId="14" fontId="53" fillId="0" borderId="31" xfId="0" applyNumberFormat="1" applyFont="1" applyBorder="1"/>
    <xf numFmtId="14" fontId="53" fillId="0" borderId="26" xfId="0" applyNumberFormat="1" applyFont="1" applyBorder="1"/>
    <xf numFmtId="0" fontId="19" fillId="15" borderId="12" xfId="0" applyFont="1" applyFill="1" applyBorder="1" applyAlignment="1">
      <alignment horizontal="left" vertical="center"/>
    </xf>
    <xf numFmtId="0" fontId="19" fillId="15" borderId="25" xfId="0" applyFont="1" applyFill="1" applyBorder="1" applyAlignment="1">
      <alignment horizontal="left" vertical="center"/>
    </xf>
    <xf numFmtId="0" fontId="19" fillId="19" borderId="20" xfId="0" applyFont="1" applyFill="1" applyBorder="1" applyAlignment="1">
      <alignment horizontal="left" vertical="center"/>
    </xf>
    <xf numFmtId="0" fontId="19" fillId="19" borderId="0" xfId="0" applyFont="1" applyFill="1" applyAlignment="1">
      <alignment horizontal="left" vertical="center"/>
    </xf>
    <xf numFmtId="0" fontId="19" fillId="19" borderId="32" xfId="0" applyFont="1" applyFill="1" applyBorder="1" applyAlignment="1">
      <alignment horizontal="left" vertical="center"/>
    </xf>
    <xf numFmtId="0" fontId="38" fillId="0" borderId="25" xfId="0" applyFont="1" applyBorder="1"/>
    <xf numFmtId="16" fontId="2" fillId="0" borderId="1" xfId="0" quotePrefix="1" applyNumberFormat="1" applyFont="1" applyBorder="1" applyAlignment="1">
      <alignment vertical="center"/>
    </xf>
    <xf numFmtId="0" fontId="55" fillId="0" borderId="0" xfId="0" applyFont="1"/>
    <xf numFmtId="0" fontId="0" fillId="21" borderId="0" xfId="0" applyFill="1"/>
    <xf numFmtId="0" fontId="0" fillId="21" borderId="14" xfId="0" applyFill="1" applyBorder="1"/>
    <xf numFmtId="0" fontId="0" fillId="24" borderId="0" xfId="0" applyFill="1"/>
    <xf numFmtId="0" fontId="19" fillId="15" borderId="12" xfId="0" applyFont="1" applyFill="1" applyBorder="1" applyAlignment="1">
      <alignment horizontal="center" vertical="center"/>
    </xf>
    <xf numFmtId="0" fontId="19" fillId="15" borderId="25" xfId="0" applyFont="1" applyFill="1" applyBorder="1" applyAlignment="1">
      <alignment horizontal="center" vertical="center"/>
    </xf>
    <xf numFmtId="0" fontId="29" fillId="0" borderId="25" xfId="0" applyFont="1" applyBorder="1" applyAlignment="1">
      <alignment horizontal="center" vertical="center"/>
    </xf>
    <xf numFmtId="0" fontId="0" fillId="24" borderId="14" xfId="0" applyFill="1" applyBorder="1"/>
    <xf numFmtId="0" fontId="56" fillId="16" borderId="25" xfId="0" applyFont="1" applyFill="1" applyBorder="1" applyAlignment="1">
      <alignment vertical="center"/>
    </xf>
    <xf numFmtId="0" fontId="56" fillId="16" borderId="25" xfId="0" applyFont="1" applyFill="1" applyBorder="1" applyAlignment="1">
      <alignment horizontal="left" vertical="center" indent="2"/>
    </xf>
    <xf numFmtId="0" fontId="29" fillId="0" borderId="25" xfId="0" applyFont="1" applyBorder="1" applyAlignment="1">
      <alignment horizontal="left" vertical="center" indent="2"/>
    </xf>
    <xf numFmtId="0" fontId="37" fillId="16" borderId="25" xfId="0" applyFont="1" applyFill="1" applyBorder="1" applyAlignment="1">
      <alignment horizontal="left" vertical="center" indent="2"/>
    </xf>
    <xf numFmtId="0" fontId="29" fillId="0" borderId="25" xfId="0" applyFont="1" applyBorder="1" applyAlignment="1">
      <alignment horizontal="left" vertical="center" wrapText="1" indent="2"/>
    </xf>
    <xf numFmtId="0" fontId="38" fillId="0" borderId="25" xfId="0" applyFont="1" applyBorder="1" applyAlignment="1">
      <alignment horizontal="left" vertical="center" wrapText="1" readingOrder="1"/>
    </xf>
    <xf numFmtId="0" fontId="29" fillId="5" borderId="25" xfId="0" applyFont="1" applyFill="1" applyBorder="1" applyAlignment="1">
      <alignment vertical="center"/>
    </xf>
    <xf numFmtId="0" fontId="29" fillId="5" borderId="25" xfId="0" applyFont="1" applyFill="1" applyBorder="1" applyAlignment="1">
      <alignment horizontal="left" vertical="center"/>
    </xf>
    <xf numFmtId="0" fontId="38" fillId="5" borderId="25" xfId="0" applyFont="1" applyFill="1" applyBorder="1" applyAlignment="1">
      <alignment vertical="center"/>
    </xf>
    <xf numFmtId="0" fontId="38" fillId="5" borderId="25" xfId="0" applyFont="1" applyFill="1" applyBorder="1" applyAlignment="1">
      <alignment horizontal="left" vertical="center" readingOrder="1"/>
    </xf>
    <xf numFmtId="0" fontId="28" fillId="0" borderId="25" xfId="0" applyFont="1" applyBorder="1" applyAlignment="1">
      <alignment horizontal="left" vertical="center"/>
    </xf>
    <xf numFmtId="0" fontId="28" fillId="0" borderId="25" xfId="0" applyFont="1" applyBorder="1" applyAlignment="1">
      <alignment vertical="center"/>
    </xf>
    <xf numFmtId="0" fontId="57" fillId="0" borderId="25" xfId="0" applyFont="1" applyBorder="1" applyAlignment="1">
      <alignment horizontal="left" vertical="center" readingOrder="1"/>
    </xf>
    <xf numFmtId="0" fontId="57" fillId="5" borderId="25" xfId="0" applyFont="1" applyFill="1" applyBorder="1" applyAlignment="1">
      <alignment horizontal="left" vertical="center" readingOrder="1"/>
    </xf>
    <xf numFmtId="0" fontId="0" fillId="0" borderId="0" xfId="0" applyAlignment="1">
      <alignment horizontal="center"/>
    </xf>
    <xf numFmtId="14" fontId="7" fillId="0" borderId="0" xfId="2" applyNumberFormat="1" applyFont="1" applyProtection="1">
      <protection hidden="1"/>
    </xf>
    <xf numFmtId="14" fontId="7" fillId="0" borderId="0" xfId="2" applyNumberFormat="1" applyFont="1" applyAlignment="1" applyProtection="1">
      <alignment horizontal="centerContinuous"/>
      <protection hidden="1"/>
    </xf>
    <xf numFmtId="14" fontId="6" fillId="4" borderId="0" xfId="2" applyNumberFormat="1" applyFont="1" applyFill="1" applyProtection="1">
      <protection hidden="1"/>
    </xf>
    <xf numFmtId="9" fontId="29" fillId="0" borderId="31" xfId="1" applyFont="1" applyBorder="1" applyAlignment="1">
      <alignment horizontal="center" vertical="center"/>
    </xf>
    <xf numFmtId="9" fontId="29" fillId="5" borderId="31" xfId="1" applyFont="1" applyFill="1" applyBorder="1" applyAlignment="1">
      <alignment horizontal="center" vertical="center"/>
    </xf>
    <xf numFmtId="9" fontId="0" fillId="0" borderId="0" xfId="1" applyFont="1" applyAlignment="1">
      <alignment horizontal="center" vertical="center"/>
    </xf>
    <xf numFmtId="9" fontId="28" fillId="0" borderId="31" xfId="1" applyFont="1" applyBorder="1" applyAlignment="1">
      <alignment horizontal="center" vertical="center"/>
    </xf>
    <xf numFmtId="9" fontId="28" fillId="0" borderId="31" xfId="1" applyFont="1" applyFill="1" applyBorder="1" applyAlignment="1">
      <alignment horizontal="center" vertical="center"/>
    </xf>
    <xf numFmtId="0" fontId="58" fillId="0" borderId="0" xfId="0" applyFont="1"/>
    <xf numFmtId="0" fontId="2" fillId="3" borderId="4" xfId="0" applyFont="1" applyFill="1" applyBorder="1" applyAlignment="1">
      <alignment vertical="center"/>
    </xf>
    <xf numFmtId="0" fontId="57" fillId="0" borderId="25" xfId="0" applyFont="1" applyBorder="1" applyAlignment="1">
      <alignment horizontal="right" vertical="center" readingOrder="1"/>
    </xf>
    <xf numFmtId="9" fontId="29" fillId="3" borderId="31" xfId="1" applyFont="1" applyFill="1" applyBorder="1" applyAlignment="1">
      <alignment horizontal="center" vertical="center"/>
    </xf>
    <xf numFmtId="0" fontId="0" fillId="0" borderId="0" xfId="0" applyAlignment="1">
      <alignment wrapText="1"/>
    </xf>
    <xf numFmtId="0" fontId="7" fillId="0" borderId="0" xfId="2" applyFont="1" applyAlignment="1" applyProtection="1">
      <alignment wrapText="1"/>
      <protection hidden="1"/>
    </xf>
    <xf numFmtId="0" fontId="7" fillId="0" borderId="0" xfId="2" applyFont="1" applyAlignment="1" applyProtection="1">
      <alignment horizontal="centerContinuous" wrapText="1"/>
      <protection hidden="1"/>
    </xf>
    <xf numFmtId="0" fontId="6" fillId="4" borderId="0" xfId="2" applyFont="1" applyFill="1" applyAlignment="1" applyProtection="1">
      <alignment wrapText="1"/>
      <protection hidden="1"/>
    </xf>
    <xf numFmtId="9" fontId="29" fillId="0" borderId="31" xfId="1" applyFont="1" applyBorder="1" applyAlignment="1">
      <alignment horizontal="center" vertical="center" wrapText="1"/>
    </xf>
    <xf numFmtId="9" fontId="29" fillId="0" borderId="31" xfId="1" applyFont="1" applyBorder="1" applyAlignment="1">
      <alignment horizontal="left" vertical="center" wrapText="1"/>
    </xf>
    <xf numFmtId="9" fontId="0" fillId="0" borderId="0" xfId="1" applyFont="1" applyAlignment="1">
      <alignment horizontal="center" vertical="center" wrapText="1"/>
    </xf>
    <xf numFmtId="0" fontId="0" fillId="0" borderId="0" xfId="0" applyAlignment="1">
      <alignment vertical="center"/>
    </xf>
    <xf numFmtId="0" fontId="0" fillId="20" borderId="0" xfId="0" applyFill="1" applyAlignment="1">
      <alignment vertical="center"/>
    </xf>
    <xf numFmtId="14" fontId="0" fillId="0" borderId="0" xfId="0" applyNumberFormat="1" applyAlignment="1">
      <alignment vertical="center"/>
    </xf>
    <xf numFmtId="0" fontId="0" fillId="0" borderId="0" xfId="0" applyAlignment="1">
      <alignment vertical="center" wrapText="1"/>
    </xf>
    <xf numFmtId="0" fontId="0" fillId="21" borderId="0" xfId="0" applyFill="1" applyAlignment="1">
      <alignment vertical="center"/>
    </xf>
    <xf numFmtId="0" fontId="0" fillId="22" borderId="0" xfId="0" applyFill="1" applyAlignment="1">
      <alignment vertical="center"/>
    </xf>
    <xf numFmtId="0" fontId="55" fillId="0" borderId="0" xfId="0" applyFont="1" applyAlignment="1">
      <alignment vertical="center"/>
    </xf>
    <xf numFmtId="0" fontId="0" fillId="7" borderId="0" xfId="0" applyFill="1" applyAlignment="1">
      <alignment vertical="center"/>
    </xf>
    <xf numFmtId="0" fontId="19" fillId="9" borderId="13" xfId="0" applyFont="1" applyFill="1" applyBorder="1" applyAlignment="1">
      <alignment horizontal="centerContinuous" vertical="center"/>
    </xf>
    <xf numFmtId="0" fontId="0" fillId="0" borderId="0" xfId="0" applyAlignment="1">
      <alignment horizontal="center" vertical="center"/>
    </xf>
    <xf numFmtId="0" fontId="17" fillId="0" borderId="0" xfId="0" applyFont="1" applyAlignment="1">
      <alignment vertical="center"/>
    </xf>
    <xf numFmtId="0" fontId="29" fillId="8" borderId="25" xfId="0" applyFont="1" applyFill="1" applyBorder="1" applyAlignment="1">
      <alignment vertical="center"/>
    </xf>
    <xf numFmtId="14" fontId="29" fillId="0" borderId="31" xfId="0" applyNumberFormat="1" applyFont="1" applyBorder="1" applyAlignment="1">
      <alignment vertical="center"/>
    </xf>
    <xf numFmtId="14" fontId="28" fillId="0" borderId="25" xfId="0" applyNumberFormat="1" applyFont="1" applyBorder="1" applyAlignment="1">
      <alignment vertical="center"/>
    </xf>
    <xf numFmtId="14" fontId="28" fillId="0" borderId="31" xfId="0" applyNumberFormat="1" applyFont="1" applyBorder="1" applyAlignment="1">
      <alignment vertical="center"/>
    </xf>
    <xf numFmtId="14" fontId="28" fillId="0" borderId="31" xfId="0" applyNumberFormat="1" applyFont="1" applyBorder="1" applyAlignment="1">
      <alignment horizontal="right" vertical="center"/>
    </xf>
    <xf numFmtId="14" fontId="29" fillId="0" borderId="0" xfId="0" applyNumberFormat="1" applyFont="1" applyAlignment="1">
      <alignment vertical="center"/>
    </xf>
    <xf numFmtId="0" fontId="0" fillId="0" borderId="14" xfId="0" applyBorder="1" applyAlignment="1">
      <alignment vertical="center"/>
    </xf>
    <xf numFmtId="0" fontId="0" fillId="13" borderId="14" xfId="0" applyFill="1" applyBorder="1" applyAlignment="1">
      <alignment vertical="center"/>
    </xf>
    <xf numFmtId="0" fontId="0" fillId="21" borderId="14" xfId="0" applyFill="1" applyBorder="1" applyAlignment="1">
      <alignment vertical="center"/>
    </xf>
    <xf numFmtId="0" fontId="0" fillId="7" borderId="14" xfId="0" applyFill="1" applyBorder="1" applyAlignment="1">
      <alignment vertical="center"/>
    </xf>
    <xf numFmtId="14" fontId="29" fillId="0" borderId="25" xfId="0" applyNumberFormat="1" applyFont="1" applyBorder="1" applyAlignment="1">
      <alignment vertical="center"/>
    </xf>
    <xf numFmtId="14" fontId="29" fillId="5" borderId="31" xfId="0" applyNumberFormat="1" applyFont="1" applyFill="1" applyBorder="1" applyAlignment="1">
      <alignment horizontal="right" vertical="center"/>
    </xf>
    <xf numFmtId="14" fontId="38" fillId="5" borderId="31" xfId="0" applyNumberFormat="1" applyFont="1" applyFill="1" applyBorder="1" applyAlignment="1">
      <alignment horizontal="right" vertical="center"/>
    </xf>
    <xf numFmtId="0" fontId="0" fillId="22" borderId="14" xfId="0" applyFill="1" applyBorder="1" applyAlignment="1">
      <alignment vertical="center"/>
    </xf>
    <xf numFmtId="0" fontId="0" fillId="20" borderId="14" xfId="0" applyFill="1" applyBorder="1" applyAlignment="1">
      <alignment vertical="center"/>
    </xf>
    <xf numFmtId="14" fontId="29" fillId="5" borderId="31" xfId="0" applyNumberFormat="1" applyFont="1" applyFill="1" applyBorder="1" applyAlignment="1">
      <alignment horizontal="center" vertical="center"/>
    </xf>
    <xf numFmtId="14" fontId="38" fillId="5" borderId="31" xfId="0" applyNumberFormat="1" applyFont="1" applyFill="1" applyBorder="1" applyAlignment="1">
      <alignment horizontal="center" vertical="center"/>
    </xf>
    <xf numFmtId="14" fontId="29" fillId="0" borderId="0" xfId="0" applyNumberFormat="1" applyFont="1" applyAlignment="1">
      <alignment horizontal="center" vertical="center"/>
    </xf>
    <xf numFmtId="0" fontId="0" fillId="25" borderId="14" xfId="0" applyFill="1" applyBorder="1" applyAlignment="1">
      <alignment vertical="center"/>
    </xf>
    <xf numFmtId="0" fontId="29" fillId="20" borderId="25" xfId="0" applyFont="1" applyFill="1" applyBorder="1" applyAlignment="1">
      <alignment vertical="center"/>
    </xf>
    <xf numFmtId="0" fontId="29" fillId="7" borderId="25" xfId="0" applyFont="1" applyFill="1" applyBorder="1" applyAlignment="1">
      <alignment vertical="center"/>
    </xf>
    <xf numFmtId="14" fontId="59" fillId="0" borderId="25" xfId="0" applyNumberFormat="1" applyFont="1" applyBorder="1" applyAlignment="1">
      <alignment vertical="center"/>
    </xf>
    <xf numFmtId="0" fontId="0" fillId="3" borderId="14" xfId="0" applyFill="1" applyBorder="1" applyAlignment="1">
      <alignment vertical="center"/>
    </xf>
    <xf numFmtId="0" fontId="29" fillId="14" borderId="25" xfId="0" applyFont="1" applyFill="1" applyBorder="1" applyAlignment="1">
      <alignment vertical="center"/>
    </xf>
    <xf numFmtId="0" fontId="55" fillId="7" borderId="0" xfId="0" applyFont="1" applyFill="1" applyAlignment="1">
      <alignment vertical="center"/>
    </xf>
    <xf numFmtId="0" fontId="55" fillId="6" borderId="0" xfId="0" applyFont="1" applyFill="1" applyAlignment="1">
      <alignment vertical="center"/>
    </xf>
    <xf numFmtId="14" fontId="29" fillId="7" borderId="25" xfId="0" applyNumberFormat="1" applyFont="1" applyFill="1" applyBorder="1" applyAlignment="1">
      <alignment vertical="center"/>
    </xf>
    <xf numFmtId="14" fontId="29" fillId="7" borderId="31" xfId="0" applyNumberFormat="1" applyFont="1" applyFill="1" applyBorder="1" applyAlignment="1">
      <alignment vertical="center"/>
    </xf>
    <xf numFmtId="14" fontId="29" fillId="3" borderId="31" xfId="0" applyNumberFormat="1" applyFont="1" applyFill="1" applyBorder="1" applyAlignment="1">
      <alignment vertical="center"/>
    </xf>
    <xf numFmtId="14" fontId="28" fillId="3" borderId="31" xfId="0" applyNumberFormat="1" applyFont="1" applyFill="1" applyBorder="1" applyAlignment="1">
      <alignment vertical="center"/>
    </xf>
    <xf numFmtId="0" fontId="10" fillId="7" borderId="14" xfId="0" applyFont="1" applyFill="1" applyBorder="1" applyAlignment="1">
      <alignment vertical="center"/>
    </xf>
    <xf numFmtId="0" fontId="55" fillId="23" borderId="0" xfId="0" applyFont="1" applyFill="1" applyAlignment="1">
      <alignment vertical="center"/>
    </xf>
    <xf numFmtId="14" fontId="28" fillId="5" borderId="25" xfId="0" applyNumberFormat="1" applyFont="1" applyFill="1" applyBorder="1" applyAlignment="1">
      <alignment vertical="center"/>
    </xf>
    <xf numFmtId="14" fontId="29" fillId="20" borderId="25" xfId="0" applyNumberFormat="1" applyFont="1" applyFill="1" applyBorder="1" applyAlignment="1">
      <alignment vertical="center"/>
    </xf>
    <xf numFmtId="0" fontId="55" fillId="3" borderId="0" xfId="0" applyFont="1" applyFill="1" applyAlignment="1">
      <alignment vertical="center"/>
    </xf>
    <xf numFmtId="14" fontId="57" fillId="0" borderId="31" xfId="0" applyNumberFormat="1" applyFont="1" applyBorder="1" applyAlignment="1">
      <alignment horizontal="right" vertical="center"/>
    </xf>
    <xf numFmtId="14" fontId="29" fillId="0" borderId="31" xfId="0" applyNumberFormat="1" applyFont="1" applyBorder="1" applyAlignment="1">
      <alignment horizontal="right" vertical="center"/>
    </xf>
    <xf numFmtId="14" fontId="60" fillId="0" borderId="25" xfId="0" applyNumberFormat="1" applyFont="1" applyBorder="1" applyAlignment="1">
      <alignment vertical="center"/>
    </xf>
    <xf numFmtId="9" fontId="29" fillId="0" borderId="31" xfId="1" applyFont="1" applyFill="1" applyBorder="1" applyAlignment="1">
      <alignment horizontal="center" vertical="center"/>
    </xf>
    <xf numFmtId="9" fontId="28" fillId="8" borderId="31" xfId="1" applyFont="1" applyFill="1" applyBorder="1" applyAlignment="1">
      <alignment horizontal="center" vertical="center"/>
    </xf>
    <xf numFmtId="9" fontId="29" fillId="8" borderId="31" xfId="1" applyFont="1" applyFill="1" applyBorder="1" applyAlignment="1">
      <alignment horizontal="center" vertical="center"/>
    </xf>
    <xf numFmtId="9" fontId="28" fillId="3" borderId="31" xfId="1" applyFont="1" applyFill="1" applyBorder="1" applyAlignment="1">
      <alignment horizontal="center" vertical="center"/>
    </xf>
    <xf numFmtId="0" fontId="29" fillId="3" borderId="25" xfId="0" applyFont="1" applyFill="1" applyBorder="1"/>
    <xf numFmtId="14" fontId="19" fillId="15" borderId="25" xfId="0" applyNumberFormat="1" applyFont="1" applyFill="1" applyBorder="1" applyAlignment="1">
      <alignment horizontal="left" vertical="center"/>
    </xf>
    <xf numFmtId="0" fontId="19" fillId="15" borderId="25" xfId="0" applyFont="1" applyFill="1" applyBorder="1" applyAlignment="1">
      <alignment horizontal="left" vertical="center" wrapText="1"/>
    </xf>
    <xf numFmtId="164" fontId="22" fillId="11" borderId="0" xfId="0" applyNumberFormat="1" applyFont="1" applyFill="1" applyAlignment="1" applyProtection="1">
      <alignment horizontal="left" vertical="center"/>
      <protection hidden="1"/>
    </xf>
    <xf numFmtId="9" fontId="28" fillId="7" borderId="31" xfId="1" applyFont="1" applyFill="1" applyBorder="1" applyAlignment="1">
      <alignment horizontal="center" vertical="center"/>
    </xf>
    <xf numFmtId="14" fontId="57" fillId="0" borderId="31" xfId="0" applyNumberFormat="1" applyFont="1" applyBorder="1" applyAlignment="1">
      <alignment horizontal="center" vertical="center"/>
    </xf>
    <xf numFmtId="14" fontId="29" fillId="5" borderId="25" xfId="0" applyNumberFormat="1" applyFont="1" applyFill="1" applyBorder="1" applyAlignment="1">
      <alignment vertical="center"/>
    </xf>
    <xf numFmtId="14" fontId="29" fillId="5" borderId="31" xfId="0" applyNumberFormat="1" applyFont="1" applyFill="1" applyBorder="1" applyAlignment="1">
      <alignment vertical="center"/>
    </xf>
    <xf numFmtId="0" fontId="10" fillId="0" borderId="14" xfId="0" applyFont="1" applyBorder="1" applyAlignment="1">
      <alignment vertical="center"/>
    </xf>
    <xf numFmtId="14" fontId="28" fillId="3" borderId="25" xfId="0" applyNumberFormat="1" applyFont="1" applyFill="1" applyBorder="1" applyAlignment="1">
      <alignment vertical="center"/>
    </xf>
    <xf numFmtId="14" fontId="29" fillId="3" borderId="25" xfId="0" applyNumberFormat="1" applyFont="1" applyFill="1" applyBorder="1" applyAlignment="1">
      <alignment vertical="center"/>
    </xf>
    <xf numFmtId="0" fontId="28" fillId="0" borderId="25" xfId="0" applyFont="1" applyBorder="1" applyAlignment="1">
      <alignment horizontal="right" vertical="center"/>
    </xf>
    <xf numFmtId="0" fontId="29" fillId="5" borderId="25" xfId="0" applyFont="1" applyFill="1" applyBorder="1" applyAlignment="1">
      <alignment horizontal="right" vertical="center"/>
    </xf>
    <xf numFmtId="0" fontId="38" fillId="5" borderId="25" xfId="0" applyFont="1" applyFill="1" applyBorder="1" applyAlignment="1">
      <alignment horizontal="right" vertical="center" readingOrder="1"/>
    </xf>
    <xf numFmtId="0" fontId="38" fillId="0" borderId="25" xfId="0" applyFont="1" applyBorder="1" applyAlignment="1">
      <alignment horizontal="right" vertical="center" readingOrder="1"/>
    </xf>
    <xf numFmtId="0" fontId="40" fillId="0" borderId="0" xfId="0" applyFont="1" applyAlignment="1">
      <alignment vertical="center" wrapText="1"/>
    </xf>
    <xf numFmtId="14" fontId="61" fillId="0" borderId="25" xfId="0" applyNumberFormat="1" applyFont="1" applyBorder="1"/>
    <xf numFmtId="14" fontId="61" fillId="0" borderId="31" xfId="0" applyNumberFormat="1" applyFont="1" applyBorder="1"/>
    <xf numFmtId="0" fontId="2" fillId="3" borderId="18" xfId="0" applyFont="1" applyFill="1" applyBorder="1"/>
    <xf numFmtId="0" fontId="2" fillId="3" borderId="20" xfId="0" applyFont="1" applyFill="1" applyBorder="1"/>
    <xf numFmtId="0" fontId="2" fillId="3" borderId="23" xfId="0" applyFont="1" applyFill="1" applyBorder="1"/>
    <xf numFmtId="9" fontId="29" fillId="5" borderId="31" xfId="1" applyFont="1" applyFill="1" applyBorder="1" applyAlignment="1">
      <alignment horizontal="left" vertical="center" wrapText="1"/>
    </xf>
    <xf numFmtId="9" fontId="29" fillId="3" borderId="31" xfId="1" applyFont="1" applyFill="1" applyBorder="1" applyAlignment="1">
      <alignment horizontal="left" vertical="center" wrapText="1"/>
    </xf>
    <xf numFmtId="14" fontId="59" fillId="0" borderId="31" xfId="0" applyNumberFormat="1" applyFont="1" applyBorder="1" applyAlignment="1">
      <alignment vertical="center"/>
    </xf>
    <xf numFmtId="9" fontId="29" fillId="0" borderId="31" xfId="1" applyFont="1" applyFill="1" applyBorder="1" applyAlignment="1">
      <alignment horizontal="left" vertical="center" wrapText="1"/>
    </xf>
    <xf numFmtId="9" fontId="29" fillId="0" borderId="31" xfId="1" applyFont="1" applyFill="1" applyBorder="1" applyAlignment="1">
      <alignment horizontal="center" vertical="center" wrapText="1"/>
    </xf>
    <xf numFmtId="0" fontId="2" fillId="3" borderId="0" xfId="0" applyFont="1" applyFill="1"/>
    <xf numFmtId="0" fontId="2" fillId="3" borderId="21" xfId="0" applyFont="1" applyFill="1" applyBorder="1"/>
    <xf numFmtId="9" fontId="29" fillId="7" borderId="31" xfId="1" applyFont="1" applyFill="1" applyBorder="1" applyAlignment="1">
      <alignment horizontal="center" vertical="center"/>
    </xf>
    <xf numFmtId="0" fontId="4" fillId="0" borderId="6" xfId="0" applyFont="1" applyBorder="1" applyAlignment="1">
      <alignment horizontal="left" vertical="center" wrapText="1"/>
    </xf>
    <xf numFmtId="0" fontId="4" fillId="0" borderId="2" xfId="0" quotePrefix="1" applyFont="1" applyBorder="1" applyAlignment="1">
      <alignment horizontal="left" vertical="center" wrapText="1"/>
    </xf>
    <xf numFmtId="0" fontId="4" fillId="0" borderId="6" xfId="0" applyFont="1" applyBorder="1" applyAlignment="1">
      <alignment horizontal="left" vertical="center" readingOrder="1"/>
    </xf>
    <xf numFmtId="0" fontId="4" fillId="0" borderId="6" xfId="0" applyFont="1" applyBorder="1" applyAlignment="1">
      <alignment horizontal="left" vertical="center"/>
    </xf>
    <xf numFmtId="0" fontId="4" fillId="0" borderId="6" xfId="0" applyFont="1" applyBorder="1" applyAlignment="1">
      <alignment horizontal="left" vertical="center" wrapText="1" readingOrder="1"/>
    </xf>
    <xf numFmtId="0" fontId="4" fillId="0" borderId="2" xfId="0" applyFont="1" applyBorder="1" applyAlignment="1">
      <alignment horizontal="left" vertical="center" wrapText="1" readingOrder="1"/>
    </xf>
    <xf numFmtId="0" fontId="26" fillId="0" borderId="6" xfId="0" applyFont="1" applyBorder="1" applyAlignment="1">
      <alignment horizontal="left" vertical="center" readingOrder="1"/>
    </xf>
    <xf numFmtId="16" fontId="2" fillId="0" borderId="0" xfId="0" applyNumberFormat="1" applyFont="1" applyAlignment="1">
      <alignment vertical="center"/>
    </xf>
    <xf numFmtId="0" fontId="29" fillId="26" borderId="25" xfId="0" applyFont="1" applyFill="1" applyBorder="1" applyAlignment="1">
      <alignment vertical="center"/>
    </xf>
    <xf numFmtId="0" fontId="29" fillId="27" borderId="25" xfId="0" applyFont="1" applyFill="1" applyBorder="1" applyAlignment="1">
      <alignment vertical="center"/>
    </xf>
    <xf numFmtId="9" fontId="28" fillId="27" borderId="31" xfId="1" applyFont="1" applyFill="1" applyBorder="1" applyAlignment="1">
      <alignment horizontal="center" vertical="center"/>
    </xf>
    <xf numFmtId="14" fontId="29" fillId="0" borderId="25" xfId="0" applyNumberFormat="1" applyFont="1" applyBorder="1" applyAlignment="1">
      <alignment horizontal="center" vertical="center"/>
    </xf>
    <xf numFmtId="0" fontId="63" fillId="0" borderId="2" xfId="0" applyFont="1" applyBorder="1" applyAlignment="1">
      <alignment vertical="center"/>
    </xf>
    <xf numFmtId="0" fontId="63" fillId="0" borderId="1" xfId="0" applyFont="1" applyBorder="1" applyAlignment="1">
      <alignment vertical="center"/>
    </xf>
    <xf numFmtId="0" fontId="64" fillId="0" borderId="6" xfId="0" applyFont="1" applyBorder="1" applyAlignment="1">
      <alignment vertical="center"/>
    </xf>
    <xf numFmtId="0" fontId="65" fillId="0" borderId="5" xfId="0" applyFont="1" applyBorder="1" applyAlignment="1">
      <alignment vertical="center"/>
    </xf>
    <xf numFmtId="0" fontId="63" fillId="0" borderId="4" xfId="0" applyFont="1" applyBorder="1" applyAlignment="1">
      <alignment vertical="center"/>
    </xf>
    <xf numFmtId="0" fontId="63" fillId="0" borderId="0" xfId="0" applyFont="1" applyAlignment="1">
      <alignment vertical="center"/>
    </xf>
    <xf numFmtId="16" fontId="65" fillId="0" borderId="1" xfId="0" applyNumberFormat="1" applyFont="1" applyBorder="1" applyAlignment="1">
      <alignment vertical="center"/>
    </xf>
    <xf numFmtId="16" fontId="63" fillId="0" borderId="1" xfId="0" applyNumberFormat="1" applyFont="1" applyBorder="1" applyAlignment="1">
      <alignment vertical="center"/>
    </xf>
    <xf numFmtId="16" fontId="4" fillId="0" borderId="1" xfId="0" applyNumberFormat="1" applyFont="1" applyBorder="1" applyAlignment="1">
      <alignment vertical="center"/>
    </xf>
    <xf numFmtId="0" fontId="4" fillId="6" borderId="11" xfId="0" applyFont="1" applyFill="1" applyBorder="1" applyAlignment="1">
      <alignment horizontal="left" vertical="center" wrapText="1" readingOrder="1"/>
    </xf>
    <xf numFmtId="0" fontId="2" fillId="6" borderId="6" xfId="0" applyFont="1" applyFill="1" applyBorder="1" applyAlignment="1">
      <alignment vertical="center"/>
    </xf>
    <xf numFmtId="0" fontId="66" fillId="0" borderId="10" xfId="0" applyFont="1" applyBorder="1"/>
    <xf numFmtId="0" fontId="4" fillId="6" borderId="7" xfId="0" applyFont="1" applyFill="1" applyBorder="1" applyAlignment="1">
      <alignment vertical="center"/>
    </xf>
    <xf numFmtId="0" fontId="29" fillId="0" borderId="10" xfId="0" applyFont="1" applyBorder="1" applyAlignment="1">
      <alignment wrapText="1"/>
    </xf>
    <xf numFmtId="0" fontId="19" fillId="15" borderId="20" xfId="0" applyFont="1" applyFill="1" applyBorder="1" applyAlignment="1">
      <alignment horizontal="center" vertical="center"/>
    </xf>
    <xf numFmtId="0" fontId="19" fillId="19" borderId="20" xfId="0" applyFont="1" applyFill="1" applyBorder="1" applyAlignment="1">
      <alignment horizontal="center" vertical="center"/>
    </xf>
    <xf numFmtId="0" fontId="19" fillId="19" borderId="0" xfId="0" applyFont="1" applyFill="1" applyAlignment="1">
      <alignment horizontal="center" vertical="center"/>
    </xf>
    <xf numFmtId="0" fontId="54" fillId="19" borderId="32" xfId="0" applyFont="1" applyFill="1" applyBorder="1" applyAlignment="1">
      <alignment horizontal="center" vertical="center"/>
    </xf>
    <xf numFmtId="0" fontId="19" fillId="19" borderId="32" xfId="0" applyFont="1" applyFill="1" applyBorder="1" applyAlignment="1">
      <alignment horizontal="center" vertical="center"/>
    </xf>
    <xf numFmtId="0" fontId="20" fillId="15" borderId="32" xfId="0" applyFont="1" applyFill="1" applyBorder="1" applyAlignment="1">
      <alignment horizontal="center" vertical="center"/>
    </xf>
    <xf numFmtId="14" fontId="66" fillId="0" borderId="10" xfId="0" applyNumberFormat="1" applyFont="1" applyBorder="1"/>
    <xf numFmtId="0" fontId="19" fillId="15" borderId="32" xfId="0" applyFont="1" applyFill="1" applyBorder="1" applyAlignment="1">
      <alignment horizontal="center" vertical="center"/>
    </xf>
    <xf numFmtId="0" fontId="67" fillId="0" borderId="0" xfId="0" applyFont="1"/>
    <xf numFmtId="0" fontId="39" fillId="0" borderId="0" xfId="0" applyFont="1" applyAlignment="1">
      <alignment horizontal="center" vertical="center"/>
    </xf>
    <xf numFmtId="14" fontId="29" fillId="0" borderId="31" xfId="0" applyNumberFormat="1" applyFont="1" applyBorder="1"/>
    <xf numFmtId="0" fontId="2" fillId="0" borderId="39" xfId="0" applyFont="1" applyBorder="1"/>
    <xf numFmtId="0" fontId="2" fillId="0" borderId="9" xfId="0" applyFont="1" applyBorder="1"/>
    <xf numFmtId="0" fontId="66" fillId="0" borderId="0" xfId="0" applyFont="1" applyAlignment="1">
      <alignment horizontal="left" indent="2"/>
    </xf>
    <xf numFmtId="0" fontId="66" fillId="0" borderId="0" xfId="0" applyFont="1"/>
    <xf numFmtId="0" fontId="66" fillId="0" borderId="40" xfId="0" applyFont="1" applyBorder="1" applyAlignment="1">
      <alignment horizontal="left" indent="2"/>
    </xf>
    <xf numFmtId="0" fontId="66" fillId="0" borderId="40" xfId="0" applyFont="1" applyBorder="1"/>
    <xf numFmtId="0" fontId="66" fillId="0" borderId="8" xfId="0" applyFont="1" applyBorder="1" applyAlignment="1">
      <alignment horizontal="left" indent="2"/>
    </xf>
    <xf numFmtId="0" fontId="66" fillId="0" borderId="8" xfId="0" applyFont="1" applyBorder="1"/>
    <xf numFmtId="0" fontId="52" fillId="0" borderId="0" xfId="0" applyFont="1"/>
    <xf numFmtId="0" fontId="52" fillId="0" borderId="8" xfId="0" applyFont="1" applyBorder="1"/>
    <xf numFmtId="0" fontId="18" fillId="3" borderId="17" xfId="0" applyFont="1" applyFill="1" applyBorder="1"/>
    <xf numFmtId="0" fontId="18" fillId="3" borderId="22" xfId="0" applyFont="1" applyFill="1" applyBorder="1"/>
    <xf numFmtId="0" fontId="18" fillId="3" borderId="24" xfId="0" applyFont="1" applyFill="1" applyBorder="1"/>
    <xf numFmtId="0" fontId="68" fillId="0" borderId="19" xfId="0" applyFont="1" applyBorder="1" applyAlignment="1">
      <alignment vertical="center" wrapText="1"/>
    </xf>
    <xf numFmtId="0" fontId="2" fillId="3" borderId="43" xfId="0" applyFont="1" applyFill="1" applyBorder="1" applyAlignment="1">
      <alignment horizontal="center"/>
    </xf>
    <xf numFmtId="0" fontId="18" fillId="3" borderId="0" xfId="0" applyFont="1" applyFill="1"/>
    <xf numFmtId="0" fontId="51" fillId="5" borderId="51" xfId="0" applyFont="1" applyFill="1" applyBorder="1" applyAlignment="1">
      <alignment horizontal="left" indent="2"/>
    </xf>
    <xf numFmtId="17" fontId="21" fillId="4" borderId="58" xfId="0" applyNumberFormat="1" applyFont="1" applyFill="1" applyBorder="1" applyAlignment="1">
      <alignment horizontal="center"/>
    </xf>
    <xf numFmtId="17" fontId="21" fillId="29" borderId="58" xfId="0" applyNumberFormat="1" applyFont="1" applyFill="1" applyBorder="1" applyAlignment="1">
      <alignment horizontal="center"/>
    </xf>
    <xf numFmtId="17" fontId="21" fillId="29" borderId="59" xfId="0" applyNumberFormat="1" applyFont="1" applyFill="1" applyBorder="1" applyAlignment="1">
      <alignment horizontal="center"/>
    </xf>
    <xf numFmtId="0" fontId="51" fillId="5" borderId="52" xfId="0" applyFont="1" applyFill="1" applyBorder="1" applyAlignment="1">
      <alignment horizontal="left" indent="2"/>
    </xf>
    <xf numFmtId="0" fontId="71" fillId="5" borderId="45" xfId="0" applyFont="1" applyFill="1" applyBorder="1" applyAlignment="1">
      <alignment horizontal="left"/>
    </xf>
    <xf numFmtId="0" fontId="71" fillId="5" borderId="64" xfId="0" applyFont="1" applyFill="1" applyBorder="1" applyAlignment="1">
      <alignment horizontal="left"/>
    </xf>
    <xf numFmtId="0" fontId="71" fillId="5" borderId="42" xfId="0" applyFont="1" applyFill="1" applyBorder="1" applyAlignment="1">
      <alignment horizontal="left"/>
    </xf>
    <xf numFmtId="17" fontId="21" fillId="4" borderId="60" xfId="0" applyNumberFormat="1" applyFont="1" applyFill="1" applyBorder="1" applyAlignment="1">
      <alignment horizontal="center"/>
    </xf>
    <xf numFmtId="0" fontId="69" fillId="30" borderId="59" xfId="0" applyFont="1" applyFill="1" applyBorder="1" applyAlignment="1">
      <alignment horizontal="center"/>
    </xf>
    <xf numFmtId="17" fontId="21" fillId="4" borderId="41" xfId="0" applyNumberFormat="1" applyFont="1" applyFill="1" applyBorder="1" applyAlignment="1">
      <alignment horizontal="center"/>
    </xf>
    <xf numFmtId="17" fontId="21" fillId="34" borderId="58" xfId="0" applyNumberFormat="1" applyFont="1" applyFill="1" applyBorder="1" applyAlignment="1">
      <alignment horizontal="center"/>
    </xf>
    <xf numFmtId="0" fontId="73" fillId="0" borderId="0" xfId="0" applyFont="1"/>
    <xf numFmtId="17" fontId="21" fillId="35" borderId="41" xfId="0" applyNumberFormat="1" applyFont="1" applyFill="1" applyBorder="1" applyAlignment="1">
      <alignment horizontal="center"/>
    </xf>
    <xf numFmtId="0" fontId="2" fillId="3" borderId="0" xfId="0" quotePrefix="1" applyFont="1" applyFill="1"/>
    <xf numFmtId="0" fontId="2" fillId="3" borderId="0" xfId="0" quotePrefix="1" applyFont="1" applyFill="1" applyAlignment="1">
      <alignment horizontal="center"/>
    </xf>
    <xf numFmtId="0" fontId="72" fillId="3" borderId="46" xfId="0" applyFont="1" applyFill="1" applyBorder="1" applyAlignment="1">
      <alignment horizontal="center"/>
    </xf>
    <xf numFmtId="0" fontId="72" fillId="31" borderId="47" xfId="0" applyFont="1" applyFill="1" applyBorder="1" applyAlignment="1">
      <alignment horizontal="center"/>
    </xf>
    <xf numFmtId="0" fontId="72" fillId="14" borderId="55" xfId="0" applyFont="1" applyFill="1" applyBorder="1" applyAlignment="1">
      <alignment horizontal="center"/>
    </xf>
    <xf numFmtId="0" fontId="72" fillId="3" borderId="55" xfId="0" applyFont="1" applyFill="1" applyBorder="1" applyAlignment="1">
      <alignment horizontal="center"/>
    </xf>
    <xf numFmtId="0" fontId="22" fillId="3" borderId="46" xfId="0" applyFont="1" applyFill="1" applyBorder="1" applyAlignment="1">
      <alignment horizontal="center"/>
    </xf>
    <xf numFmtId="0" fontId="22" fillId="3" borderId="47" xfId="0" applyFont="1" applyFill="1" applyBorder="1" applyAlignment="1">
      <alignment horizontal="center"/>
    </xf>
    <xf numFmtId="0" fontId="22" fillId="3" borderId="55" xfId="0" applyFont="1" applyFill="1" applyBorder="1" applyAlignment="1">
      <alignment horizontal="center"/>
    </xf>
    <xf numFmtId="0" fontId="2" fillId="3" borderId="49" xfId="0" applyFont="1" applyFill="1" applyBorder="1" applyAlignment="1">
      <alignment horizontal="center"/>
    </xf>
    <xf numFmtId="0" fontId="2" fillId="3" borderId="44" xfId="0" applyFont="1" applyFill="1" applyBorder="1" applyAlignment="1">
      <alignment horizontal="center"/>
    </xf>
    <xf numFmtId="0" fontId="2" fillId="3" borderId="65" xfId="0" applyFont="1" applyFill="1" applyBorder="1" applyAlignment="1">
      <alignment horizontal="center"/>
    </xf>
    <xf numFmtId="0" fontId="2" fillId="3" borderId="53" xfId="0" applyFont="1" applyFill="1" applyBorder="1" applyAlignment="1">
      <alignment horizontal="center"/>
    </xf>
    <xf numFmtId="0" fontId="2" fillId="3" borderId="67" xfId="0" applyFont="1" applyFill="1" applyBorder="1" applyAlignment="1">
      <alignment horizontal="center"/>
    </xf>
    <xf numFmtId="0" fontId="2" fillId="3" borderId="60" xfId="0" applyFont="1" applyFill="1" applyBorder="1" applyAlignment="1">
      <alignment horizontal="center"/>
    </xf>
    <xf numFmtId="0" fontId="2" fillId="3" borderId="58" xfId="0" applyFont="1" applyFill="1" applyBorder="1" applyAlignment="1">
      <alignment horizontal="center"/>
    </xf>
    <xf numFmtId="0" fontId="22" fillId="3" borderId="0" xfId="0" applyFont="1" applyFill="1"/>
    <xf numFmtId="0" fontId="2" fillId="3" borderId="40" xfId="0" applyFont="1" applyFill="1" applyBorder="1"/>
    <xf numFmtId="0" fontId="51" fillId="3" borderId="40" xfId="0" applyFont="1" applyFill="1" applyBorder="1" applyAlignment="1">
      <alignment horizontal="center" vertical="center"/>
    </xf>
    <xf numFmtId="0" fontId="2" fillId="3" borderId="40" xfId="0" applyFont="1" applyFill="1" applyBorder="1" applyAlignment="1">
      <alignment horizontal="center" vertical="center"/>
    </xf>
    <xf numFmtId="0" fontId="27" fillId="0" borderId="0" xfId="0" applyFont="1"/>
    <xf numFmtId="0" fontId="2" fillId="3" borderId="40" xfId="0" quotePrefix="1" applyFont="1" applyFill="1" applyBorder="1" applyAlignment="1">
      <alignment horizontal="center"/>
    </xf>
    <xf numFmtId="0" fontId="22" fillId="3" borderId="0" xfId="0" quotePrefix="1" applyFont="1" applyFill="1"/>
    <xf numFmtId="0" fontId="39" fillId="0" borderId="0" xfId="0" applyFont="1" applyAlignment="1">
      <alignment vertical="center"/>
    </xf>
    <xf numFmtId="0" fontId="75" fillId="0" borderId="0" xfId="0" applyFont="1" applyAlignment="1">
      <alignment horizontal="left" indent="2"/>
    </xf>
    <xf numFmtId="0" fontId="75" fillId="0" borderId="0" xfId="0" applyFont="1" applyAlignment="1">
      <alignment horizontal="left"/>
    </xf>
    <xf numFmtId="0" fontId="75" fillId="0" borderId="0" xfId="0" applyFont="1" applyAlignment="1">
      <alignment horizontal="left" indent="3"/>
    </xf>
    <xf numFmtId="0" fontId="72" fillId="7" borderId="47" xfId="0" applyFont="1" applyFill="1" applyBorder="1" applyAlignment="1">
      <alignment horizontal="center"/>
    </xf>
    <xf numFmtId="0" fontId="72" fillId="3" borderId="48" xfId="0" applyFont="1" applyFill="1" applyBorder="1" applyAlignment="1">
      <alignment horizontal="center"/>
    </xf>
    <xf numFmtId="0" fontId="22" fillId="7" borderId="47" xfId="0" applyFont="1" applyFill="1" applyBorder="1" applyAlignment="1">
      <alignment horizontal="center"/>
    </xf>
    <xf numFmtId="0" fontId="22" fillId="3" borderId="48" xfId="0" applyFont="1" applyFill="1" applyBorder="1" applyAlignment="1">
      <alignment horizontal="center"/>
    </xf>
    <xf numFmtId="0" fontId="2" fillId="7" borderId="43" xfId="0" applyFont="1" applyFill="1" applyBorder="1" applyAlignment="1">
      <alignment horizontal="center"/>
    </xf>
    <xf numFmtId="0" fontId="2" fillId="3" borderId="50" xfId="0" applyFont="1" applyFill="1" applyBorder="1" applyAlignment="1">
      <alignment horizontal="center"/>
    </xf>
    <xf numFmtId="0" fontId="2" fillId="7" borderId="53" xfId="0" applyFont="1" applyFill="1" applyBorder="1" applyAlignment="1">
      <alignment horizontal="center"/>
    </xf>
    <xf numFmtId="0" fontId="2" fillId="3" borderId="54" xfId="0" applyFont="1" applyFill="1" applyBorder="1" applyAlignment="1">
      <alignment horizontal="center"/>
    </xf>
    <xf numFmtId="0" fontId="2" fillId="7" borderId="58" xfId="0" applyFont="1" applyFill="1" applyBorder="1" applyAlignment="1">
      <alignment horizontal="center"/>
    </xf>
    <xf numFmtId="0" fontId="2" fillId="3" borderId="59" xfId="0" applyFont="1" applyFill="1" applyBorder="1" applyAlignment="1">
      <alignment horizontal="center"/>
    </xf>
    <xf numFmtId="0" fontId="2" fillId="3" borderId="52" xfId="0" applyFont="1" applyFill="1" applyBorder="1" applyAlignment="1">
      <alignment horizontal="center"/>
    </xf>
    <xf numFmtId="0" fontId="72" fillId="0" borderId="46" xfId="0" applyFont="1" applyBorder="1" applyAlignment="1">
      <alignment horizontal="center"/>
    </xf>
    <xf numFmtId="0" fontId="72" fillId="0" borderId="47" xfId="0" applyFont="1" applyBorder="1" applyAlignment="1">
      <alignment horizontal="center"/>
    </xf>
    <xf numFmtId="0" fontId="72" fillId="0" borderId="55" xfId="0" applyFont="1" applyBorder="1" applyAlignment="1">
      <alignment horizontal="center"/>
    </xf>
    <xf numFmtId="0" fontId="72" fillId="0" borderId="48" xfId="0" applyFont="1" applyBorder="1" applyAlignment="1">
      <alignment horizontal="center"/>
    </xf>
    <xf numFmtId="0" fontId="29" fillId="0" borderId="0" xfId="0" applyFont="1"/>
    <xf numFmtId="0" fontId="29" fillId="0" borderId="40" xfId="0" applyFont="1" applyBorder="1"/>
    <xf numFmtId="0" fontId="29" fillId="0" borderId="8" xfId="0" applyFont="1" applyBorder="1"/>
    <xf numFmtId="0" fontId="28" fillId="0" borderId="0" xfId="0" applyFont="1"/>
    <xf numFmtId="0" fontId="28" fillId="0" borderId="8" xfId="0" applyFont="1" applyBorder="1"/>
    <xf numFmtId="0" fontId="2" fillId="0" borderId="49" xfId="0" applyFont="1" applyBorder="1" applyAlignment="1">
      <alignment horizontal="center"/>
    </xf>
    <xf numFmtId="0" fontId="2" fillId="0" borderId="43" xfId="0" applyFont="1" applyBorder="1" applyAlignment="1">
      <alignment horizontal="center"/>
    </xf>
    <xf numFmtId="0" fontId="2" fillId="0" borderId="44" xfId="0" applyFont="1" applyBorder="1" applyAlignment="1">
      <alignment horizontal="center"/>
    </xf>
    <xf numFmtId="0" fontId="2" fillId="0" borderId="50" xfId="0" applyFont="1" applyBorder="1" applyAlignment="1">
      <alignment horizontal="center"/>
    </xf>
    <xf numFmtId="0" fontId="2" fillId="31" borderId="43" xfId="0" applyFont="1" applyFill="1" applyBorder="1" applyAlignment="1">
      <alignment horizontal="center"/>
    </xf>
    <xf numFmtId="0" fontId="2" fillId="14" borderId="44" xfId="0" applyFont="1" applyFill="1" applyBorder="1" applyAlignment="1">
      <alignment horizontal="center"/>
    </xf>
    <xf numFmtId="0" fontId="2" fillId="0" borderId="65" xfId="0" applyFont="1" applyBorder="1" applyAlignment="1">
      <alignment horizontal="center"/>
    </xf>
    <xf numFmtId="0" fontId="2" fillId="0" borderId="53" xfId="0" applyFont="1" applyBorder="1" applyAlignment="1">
      <alignment horizontal="center"/>
    </xf>
    <xf numFmtId="0" fontId="2" fillId="0" borderId="67" xfId="0" applyFont="1" applyBorder="1" applyAlignment="1">
      <alignment horizontal="center"/>
    </xf>
    <xf numFmtId="0" fontId="2" fillId="0" borderId="54" xfId="0" applyFont="1" applyBorder="1" applyAlignment="1">
      <alignment horizontal="center"/>
    </xf>
    <xf numFmtId="0" fontId="2" fillId="31" borderId="53" xfId="0" applyFont="1" applyFill="1" applyBorder="1" applyAlignment="1">
      <alignment horizontal="center"/>
    </xf>
    <xf numFmtId="0" fontId="2" fillId="14" borderId="67" xfId="0" applyFont="1" applyFill="1" applyBorder="1" applyAlignment="1">
      <alignment horizontal="center"/>
    </xf>
    <xf numFmtId="0" fontId="72" fillId="33" borderId="66" xfId="0" applyFont="1" applyFill="1" applyBorder="1" applyAlignment="1">
      <alignment horizontal="center"/>
    </xf>
    <xf numFmtId="0" fontId="72" fillId="33" borderId="62" xfId="0" applyFont="1" applyFill="1" applyBorder="1" applyAlignment="1">
      <alignment horizontal="center"/>
    </xf>
    <xf numFmtId="0" fontId="72" fillId="33" borderId="68" xfId="0" applyFont="1" applyFill="1" applyBorder="1" applyAlignment="1">
      <alignment horizontal="center"/>
    </xf>
    <xf numFmtId="0" fontId="76" fillId="29" borderId="53" xfId="0" applyFont="1" applyFill="1" applyBorder="1" applyAlignment="1">
      <alignment horizontal="center"/>
    </xf>
    <xf numFmtId="0" fontId="70" fillId="36" borderId="62" xfId="0" applyFont="1" applyFill="1" applyBorder="1" applyAlignment="1">
      <alignment horizontal="center"/>
    </xf>
    <xf numFmtId="0" fontId="76" fillId="35" borderId="67" xfId="0" applyFont="1" applyFill="1" applyBorder="1" applyAlignment="1">
      <alignment horizontal="center"/>
    </xf>
    <xf numFmtId="0" fontId="72" fillId="33" borderId="63" xfId="0" applyFont="1" applyFill="1" applyBorder="1" applyAlignment="1">
      <alignment horizontal="center"/>
    </xf>
    <xf numFmtId="0" fontId="2" fillId="0" borderId="0" xfId="0" applyFont="1" applyAlignment="1">
      <alignment horizontal="center" vertical="center"/>
    </xf>
    <xf numFmtId="0" fontId="2" fillId="15" borderId="0" xfId="0" applyFont="1" applyFill="1" applyAlignment="1">
      <alignment horizontal="center" vertical="center"/>
    </xf>
    <xf numFmtId="0" fontId="29" fillId="0" borderId="10" xfId="0" applyFont="1" applyBorder="1" applyAlignment="1">
      <alignment horizontal="center" vertical="center"/>
    </xf>
    <xf numFmtId="0" fontId="29" fillId="0" borderId="17" xfId="0" applyFont="1" applyBorder="1" applyAlignment="1">
      <alignment horizontal="center" vertical="center"/>
    </xf>
    <xf numFmtId="0" fontId="43" fillId="0" borderId="40" xfId="0" applyFont="1" applyBorder="1"/>
    <xf numFmtId="0" fontId="29" fillId="0" borderId="25" xfId="0" applyFont="1" applyFill="1" applyBorder="1" applyAlignment="1">
      <alignment vertical="center"/>
    </xf>
    <xf numFmtId="0" fontId="29" fillId="0" borderId="25" xfId="0" applyFont="1" applyFill="1" applyBorder="1" applyAlignment="1">
      <alignment horizontal="left" vertical="center"/>
    </xf>
    <xf numFmtId="0" fontId="62" fillId="0" borderId="25" xfId="0" applyFont="1" applyFill="1" applyBorder="1" applyAlignment="1">
      <alignment vertical="center"/>
    </xf>
    <xf numFmtId="0" fontId="38" fillId="0" borderId="25" xfId="0" applyFont="1" applyFill="1" applyBorder="1" applyAlignment="1">
      <alignment vertical="center"/>
    </xf>
    <xf numFmtId="0" fontId="38" fillId="0" borderId="25" xfId="0" applyFont="1" applyFill="1" applyBorder="1" applyAlignment="1">
      <alignment horizontal="left" vertical="center" readingOrder="1"/>
    </xf>
    <xf numFmtId="0" fontId="29" fillId="0" borderId="26" xfId="0" applyFont="1" applyFill="1" applyBorder="1" applyAlignment="1">
      <alignment vertical="center"/>
    </xf>
    <xf numFmtId="0" fontId="0" fillId="0" borderId="0" xfId="0" applyNumberFormat="1"/>
    <xf numFmtId="0" fontId="36" fillId="0" borderId="0" xfId="0" applyFont="1" applyFill="1"/>
    <xf numFmtId="0" fontId="77" fillId="5" borderId="0" xfId="0" applyFont="1" applyFill="1"/>
    <xf numFmtId="0" fontId="29" fillId="0" borderId="25" xfId="0" applyFont="1" applyFill="1" applyBorder="1"/>
    <xf numFmtId="0" fontId="29" fillId="0" borderId="10" xfId="0" applyFont="1" applyFill="1" applyBorder="1"/>
    <xf numFmtId="14" fontId="29" fillId="0" borderId="10" xfId="0" applyNumberFormat="1" applyFont="1" applyFill="1" applyBorder="1"/>
    <xf numFmtId="14" fontId="62" fillId="0" borderId="10" xfId="0" applyNumberFormat="1" applyFont="1" applyBorder="1"/>
    <xf numFmtId="16" fontId="66" fillId="0" borderId="10" xfId="0" applyNumberFormat="1" applyFont="1" applyBorder="1" applyAlignment="1">
      <alignment horizontal="left"/>
    </xf>
    <xf numFmtId="0" fontId="4" fillId="3" borderId="7" xfId="0" applyFont="1" applyFill="1" applyBorder="1" applyAlignment="1">
      <alignment vertical="center"/>
    </xf>
    <xf numFmtId="0" fontId="2" fillId="7" borderId="53" xfId="0" quotePrefix="1" applyFont="1" applyFill="1" applyBorder="1" applyAlignment="1">
      <alignment horizontal="center"/>
    </xf>
    <xf numFmtId="0" fontId="66" fillId="0" borderId="10" xfId="0" applyNumberFormat="1" applyFont="1" applyBorder="1" applyAlignment="1">
      <alignment horizontal="left"/>
    </xf>
    <xf numFmtId="0" fontId="29" fillId="0" borderId="10" xfId="0" applyNumberFormat="1" applyFont="1" applyBorder="1"/>
    <xf numFmtId="14" fontId="66" fillId="0" borderId="10" xfId="0" applyNumberFormat="1" applyFont="1" applyBorder="1" applyAlignment="1">
      <alignment horizontal="left"/>
    </xf>
    <xf numFmtId="14" fontId="29" fillId="7" borderId="10" xfId="0" applyNumberFormat="1" applyFont="1" applyFill="1" applyBorder="1"/>
    <xf numFmtId="14" fontId="29" fillId="0" borderId="17" xfId="0" applyNumberFormat="1" applyFont="1" applyBorder="1"/>
    <xf numFmtId="16" fontId="78" fillId="0" borderId="1" xfId="0" applyNumberFormat="1" applyFont="1" applyBorder="1" applyAlignment="1">
      <alignment vertical="center"/>
    </xf>
    <xf numFmtId="16" fontId="78" fillId="3" borderId="1" xfId="0" applyNumberFormat="1" applyFont="1" applyFill="1" applyBorder="1" applyAlignment="1">
      <alignment vertical="center"/>
    </xf>
    <xf numFmtId="16" fontId="78" fillId="0" borderId="4" xfId="0" applyNumberFormat="1" applyFont="1" applyBorder="1" applyAlignment="1">
      <alignment vertical="center"/>
    </xf>
    <xf numFmtId="16" fontId="78" fillId="0" borderId="7" xfId="0" applyNumberFormat="1" applyFont="1" applyBorder="1" applyAlignment="1">
      <alignment vertical="center"/>
    </xf>
    <xf numFmtId="0" fontId="79" fillId="4" borderId="4" xfId="0" applyFont="1" applyFill="1" applyBorder="1" applyAlignment="1">
      <alignment horizontal="center" vertical="center"/>
    </xf>
    <xf numFmtId="0" fontId="22" fillId="3" borderId="50" xfId="0" applyFont="1" applyFill="1" applyBorder="1" applyAlignment="1">
      <alignment horizontal="center"/>
    </xf>
    <xf numFmtId="0" fontId="16" fillId="0" borderId="0" xfId="0" applyFont="1"/>
    <xf numFmtId="0" fontId="2" fillId="31" borderId="53" xfId="0" quotePrefix="1" applyFont="1" applyFill="1" applyBorder="1" applyAlignment="1">
      <alignment horizontal="center"/>
    </xf>
    <xf numFmtId="0" fontId="2" fillId="14" borderId="67" xfId="0" quotePrefix="1" applyFont="1" applyFill="1" applyBorder="1" applyAlignment="1">
      <alignment horizontal="center"/>
    </xf>
    <xf numFmtId="14" fontId="66" fillId="0" borderId="10" xfId="0" applyNumberFormat="1" applyFont="1" applyBorder="1" applyAlignment="1">
      <alignment horizontal="right"/>
    </xf>
    <xf numFmtId="0" fontId="2" fillId="3" borderId="6" xfId="0" applyFont="1" applyFill="1" applyBorder="1" applyAlignment="1">
      <alignment vertical="center"/>
    </xf>
    <xf numFmtId="0" fontId="2" fillId="3" borderId="0" xfId="0" quotePrefix="1" applyFont="1" applyFill="1" applyAlignment="1">
      <alignment horizontal="center"/>
    </xf>
    <xf numFmtId="0" fontId="2" fillId="3" borderId="40" xfId="0" quotePrefix="1" applyFont="1" applyFill="1" applyBorder="1" applyAlignment="1">
      <alignment horizontal="center"/>
    </xf>
    <xf numFmtId="0" fontId="22" fillId="3" borderId="0" xfId="0" quotePrefix="1" applyFont="1" applyFill="1" applyAlignment="1">
      <alignment horizontal="center"/>
    </xf>
    <xf numFmtId="0" fontId="22" fillId="3" borderId="39" xfId="0" applyFont="1" applyFill="1" applyBorder="1" applyAlignment="1">
      <alignment horizontal="center"/>
    </xf>
    <xf numFmtId="0" fontId="4" fillId="0" borderId="39" xfId="0" applyFont="1" applyBorder="1" applyAlignment="1">
      <alignment horizontal="center"/>
    </xf>
    <xf numFmtId="0" fontId="4" fillId="0" borderId="0" xfId="0" applyFont="1" applyAlignment="1">
      <alignment horizontal="center"/>
    </xf>
    <xf numFmtId="0" fontId="4" fillId="0" borderId="40" xfId="0" applyFont="1" applyBorder="1" applyAlignment="1">
      <alignment horizontal="center"/>
    </xf>
    <xf numFmtId="0" fontId="72" fillId="5" borderId="61" xfId="0" applyFont="1" applyFill="1" applyBorder="1" applyAlignment="1">
      <alignment horizontal="left"/>
    </xf>
    <xf numFmtId="0" fontId="72" fillId="5" borderId="56" xfId="0" applyFont="1" applyFill="1" applyBorder="1" applyAlignment="1">
      <alignment horizontal="left"/>
    </xf>
    <xf numFmtId="0" fontId="72" fillId="33" borderId="22" xfId="0" applyFont="1" applyFill="1" applyBorder="1" applyAlignment="1">
      <alignment horizontal="left"/>
    </xf>
    <xf numFmtId="0" fontId="72" fillId="33" borderId="23" xfId="0" applyFont="1" applyFill="1" applyBorder="1" applyAlignment="1">
      <alignment horizontal="left"/>
    </xf>
    <xf numFmtId="0" fontId="70" fillId="28" borderId="61" xfId="0" applyFont="1" applyFill="1" applyBorder="1" applyAlignment="1">
      <alignment horizontal="center"/>
    </xf>
    <xf numFmtId="0" fontId="70" fillId="28" borderId="56" xfId="0" applyFont="1" applyFill="1" applyBorder="1" applyAlignment="1">
      <alignment horizontal="center"/>
    </xf>
    <xf numFmtId="0" fontId="70" fillId="28" borderId="57" xfId="0" applyFont="1" applyFill="1" applyBorder="1" applyAlignment="1">
      <alignment horizontal="center"/>
    </xf>
    <xf numFmtId="0" fontId="70" fillId="32" borderId="61" xfId="0" applyFont="1" applyFill="1" applyBorder="1" applyAlignment="1">
      <alignment horizontal="center"/>
    </xf>
    <xf numFmtId="0" fontId="70" fillId="32" borderId="56" xfId="0" applyFont="1" applyFill="1" applyBorder="1" applyAlignment="1">
      <alignment horizontal="center"/>
    </xf>
    <xf numFmtId="0" fontId="70" fillId="32" borderId="57" xfId="0" applyFont="1" applyFill="1" applyBorder="1" applyAlignment="1">
      <alignment horizontal="center"/>
    </xf>
    <xf numFmtId="0" fontId="70" fillId="4" borderId="46" xfId="0" applyFont="1" applyFill="1" applyBorder="1" applyAlignment="1">
      <alignment horizontal="center" vertical="center"/>
    </xf>
    <xf numFmtId="0" fontId="70" fillId="4" borderId="55" xfId="0" applyFont="1" applyFill="1" applyBorder="1" applyAlignment="1">
      <alignment horizontal="center" vertical="center"/>
    </xf>
    <xf numFmtId="0" fontId="70" fillId="4" borderId="60" xfId="0" applyFont="1" applyFill="1" applyBorder="1" applyAlignment="1">
      <alignment horizontal="center" vertical="center"/>
    </xf>
    <xf numFmtId="0" fontId="70" fillId="4" borderId="41" xfId="0" applyFont="1" applyFill="1" applyBorder="1" applyAlignment="1">
      <alignment horizontal="center" vertical="center"/>
    </xf>
    <xf numFmtId="0" fontId="70" fillId="28" borderId="46" xfId="0" applyFont="1" applyFill="1" applyBorder="1" applyAlignment="1">
      <alignment horizontal="center"/>
    </xf>
    <xf numFmtId="0" fontId="70" fillId="28" borderId="47" xfId="0" applyFont="1" applyFill="1" applyBorder="1" applyAlignment="1">
      <alignment horizontal="center"/>
    </xf>
    <xf numFmtId="0" fontId="70" fillId="28" borderId="48" xfId="0" applyFont="1" applyFill="1" applyBorder="1" applyAlignment="1">
      <alignment horizontal="center"/>
    </xf>
    <xf numFmtId="0" fontId="2" fillId="14" borderId="17" xfId="0" applyFont="1" applyFill="1" applyBorder="1" applyAlignment="1">
      <alignment horizontal="left" vertical="top" wrapText="1"/>
    </xf>
    <xf numFmtId="0" fontId="2" fillId="14" borderId="18" xfId="0" applyFont="1" applyFill="1" applyBorder="1" applyAlignment="1">
      <alignment horizontal="left" vertical="top"/>
    </xf>
    <xf numFmtId="0" fontId="2" fillId="14" borderId="19" xfId="0" applyFont="1" applyFill="1" applyBorder="1" applyAlignment="1">
      <alignment horizontal="left" vertical="top"/>
    </xf>
    <xf numFmtId="0" fontId="2" fillId="14" borderId="20" xfId="0" applyFont="1" applyFill="1" applyBorder="1" applyAlignment="1">
      <alignment horizontal="left" vertical="top"/>
    </xf>
    <xf numFmtId="0" fontId="2" fillId="14" borderId="0" xfId="0" applyFont="1" applyFill="1" applyAlignment="1">
      <alignment horizontal="left" vertical="top"/>
    </xf>
    <xf numFmtId="0" fontId="2" fillId="14" borderId="21" xfId="0" applyFont="1" applyFill="1" applyBorder="1" applyAlignment="1">
      <alignment horizontal="left" vertical="top"/>
    </xf>
    <xf numFmtId="0" fontId="2" fillId="14" borderId="22" xfId="0" applyFont="1" applyFill="1" applyBorder="1" applyAlignment="1">
      <alignment horizontal="left" vertical="top"/>
    </xf>
    <xf numFmtId="0" fontId="2" fillId="14" borderId="23" xfId="0" applyFont="1" applyFill="1" applyBorder="1" applyAlignment="1">
      <alignment horizontal="left" vertical="top"/>
    </xf>
    <xf numFmtId="0" fontId="2" fillId="14" borderId="24" xfId="0" applyFont="1" applyFill="1" applyBorder="1" applyAlignment="1">
      <alignment horizontal="left" vertical="top"/>
    </xf>
    <xf numFmtId="0" fontId="74" fillId="0" borderId="0" xfId="0" applyFont="1" applyAlignment="1">
      <alignment horizontal="center"/>
    </xf>
    <xf numFmtId="0" fontId="74" fillId="0" borderId="0" xfId="0" applyFont="1" applyAlignment="1">
      <alignment horizontal="right"/>
    </xf>
    <xf numFmtId="0" fontId="27" fillId="14" borderId="17" xfId="0" applyFont="1" applyFill="1" applyBorder="1" applyAlignment="1">
      <alignment horizontal="left" vertical="top" wrapText="1" indent="1"/>
    </xf>
    <xf numFmtId="0" fontId="4" fillId="14" borderId="18" xfId="0" applyFont="1" applyFill="1" applyBorder="1" applyAlignment="1">
      <alignment horizontal="left" vertical="top" wrapText="1" indent="1"/>
    </xf>
    <xf numFmtId="0" fontId="4" fillId="14" borderId="19" xfId="0" applyFont="1" applyFill="1" applyBorder="1" applyAlignment="1">
      <alignment horizontal="left" vertical="top" wrapText="1" indent="1"/>
    </xf>
    <xf numFmtId="0" fontId="4" fillId="14" borderId="20" xfId="0" applyFont="1" applyFill="1" applyBorder="1" applyAlignment="1">
      <alignment horizontal="left" vertical="top" wrapText="1" indent="1"/>
    </xf>
    <xf numFmtId="0" fontId="4" fillId="14" borderId="0" xfId="0" applyFont="1" applyFill="1" applyAlignment="1">
      <alignment horizontal="left" vertical="top" wrapText="1" indent="1"/>
    </xf>
    <xf numFmtId="0" fontId="4" fillId="14" borderId="21" xfId="0" applyFont="1" applyFill="1" applyBorder="1" applyAlignment="1">
      <alignment horizontal="left" vertical="top" wrapText="1" indent="1"/>
    </xf>
    <xf numFmtId="0" fontId="4" fillId="14" borderId="28" xfId="0" applyFont="1" applyFill="1" applyBorder="1" applyAlignment="1">
      <alignment horizontal="left" vertical="top" wrapText="1" indent="1"/>
    </xf>
    <xf numFmtId="0" fontId="4" fillId="14" borderId="27" xfId="0" applyFont="1" applyFill="1" applyBorder="1" applyAlignment="1">
      <alignment horizontal="left" vertical="top" wrapText="1" indent="1"/>
    </xf>
    <xf numFmtId="0" fontId="4" fillId="14" borderId="29" xfId="0" applyFont="1" applyFill="1" applyBorder="1" applyAlignment="1">
      <alignment horizontal="left" vertical="top" wrapText="1" indent="1"/>
    </xf>
    <xf numFmtId="0" fontId="74" fillId="0" borderId="0" xfId="0" applyFont="1" applyAlignment="1">
      <alignment horizontal="center" vertical="center"/>
    </xf>
    <xf numFmtId="0" fontId="22" fillId="14" borderId="25" xfId="0" applyFont="1" applyFill="1" applyBorder="1" applyAlignment="1">
      <alignment horizontal="left" vertical="top" wrapText="1"/>
    </xf>
    <xf numFmtId="0" fontId="46" fillId="14" borderId="25" xfId="0" applyFont="1" applyFill="1" applyBorder="1" applyAlignment="1">
      <alignment horizontal="left" vertical="top" wrapText="1"/>
    </xf>
    <xf numFmtId="0" fontId="2" fillId="14" borderId="33" xfId="0" applyFont="1" applyFill="1" applyBorder="1" applyAlignment="1">
      <alignment horizontal="left" vertical="top" wrapText="1"/>
    </xf>
    <xf numFmtId="0" fontId="2" fillId="14" borderId="18" xfId="0" applyFont="1" applyFill="1" applyBorder="1" applyAlignment="1">
      <alignment horizontal="left" vertical="top" wrapText="1"/>
    </xf>
    <xf numFmtId="0" fontId="2" fillId="14" borderId="36" xfId="0" applyFont="1" applyFill="1" applyBorder="1" applyAlignment="1">
      <alignment horizontal="left" vertical="top" wrapText="1"/>
    </xf>
    <xf numFmtId="0" fontId="2" fillId="14" borderId="34" xfId="0" applyFont="1" applyFill="1" applyBorder="1" applyAlignment="1">
      <alignment horizontal="left" vertical="top" wrapText="1"/>
    </xf>
    <xf numFmtId="0" fontId="2" fillId="14" borderId="0" xfId="0" applyFont="1" applyFill="1" applyAlignment="1">
      <alignment horizontal="left" vertical="top" wrapText="1"/>
    </xf>
    <xf numFmtId="0" fontId="2" fillId="14" borderId="37" xfId="0" applyFont="1" applyFill="1" applyBorder="1" applyAlignment="1">
      <alignment horizontal="left" vertical="top" wrapText="1"/>
    </xf>
    <xf numFmtId="0" fontId="2" fillId="14" borderId="35" xfId="0" applyFont="1" applyFill="1" applyBorder="1" applyAlignment="1">
      <alignment horizontal="left" vertical="top" wrapText="1"/>
    </xf>
    <xf numFmtId="0" fontId="2" fillId="14" borderId="23" xfId="0" applyFont="1" applyFill="1" applyBorder="1" applyAlignment="1">
      <alignment horizontal="left" vertical="top" wrapText="1"/>
    </xf>
    <xf numFmtId="0" fontId="2" fillId="14" borderId="38" xfId="0" applyFont="1" applyFill="1" applyBorder="1" applyAlignment="1">
      <alignment horizontal="left" vertical="top" wrapText="1"/>
    </xf>
    <xf numFmtId="0" fontId="2" fillId="3" borderId="40" xfId="0" applyFont="1" applyFill="1" applyBorder="1" applyAlignment="1">
      <alignment horizontal="center" vertical="center"/>
    </xf>
    <xf numFmtId="0" fontId="72" fillId="0" borderId="47" xfId="0" applyFont="1" applyFill="1" applyBorder="1" applyAlignment="1">
      <alignment horizontal="center"/>
    </xf>
    <xf numFmtId="0" fontId="22" fillId="0" borderId="47" xfId="0" applyFont="1" applyFill="1" applyBorder="1" applyAlignment="1">
      <alignment horizontal="center"/>
    </xf>
    <xf numFmtId="0" fontId="72" fillId="0" borderId="55" xfId="0" applyFont="1" applyFill="1" applyBorder="1" applyAlignment="1">
      <alignment horizontal="center"/>
    </xf>
    <xf numFmtId="0" fontId="2" fillId="0" borderId="43" xfId="0" applyFont="1" applyFill="1" applyBorder="1" applyAlignment="1">
      <alignment horizontal="center"/>
    </xf>
    <xf numFmtId="0" fontId="2" fillId="0" borderId="44" xfId="0" applyFont="1" applyFill="1" applyBorder="1" applyAlignment="1">
      <alignment horizontal="center"/>
    </xf>
    <xf numFmtId="0" fontId="2" fillId="0" borderId="53" xfId="0" applyFont="1" applyFill="1" applyBorder="1" applyAlignment="1">
      <alignment horizontal="center"/>
    </xf>
    <xf numFmtId="0" fontId="2" fillId="0" borderId="67" xfId="0" applyFont="1" applyFill="1" applyBorder="1" applyAlignment="1">
      <alignment horizontal="center"/>
    </xf>
    <xf numFmtId="0" fontId="2" fillId="0" borderId="58" xfId="0" applyFont="1" applyFill="1" applyBorder="1" applyAlignment="1">
      <alignment horizontal="center"/>
    </xf>
    <xf numFmtId="0" fontId="2" fillId="0" borderId="53" xfId="0" quotePrefix="1" applyFont="1" applyFill="1" applyBorder="1" applyAlignment="1">
      <alignment horizontal="center"/>
    </xf>
    <xf numFmtId="0" fontId="2" fillId="0" borderId="67" xfId="0" quotePrefix="1" applyFont="1" applyFill="1" applyBorder="1" applyAlignment="1">
      <alignment horizontal="center"/>
    </xf>
    <xf numFmtId="0" fontId="80" fillId="0" borderId="0" xfId="0" applyFont="1"/>
  </cellXfs>
  <cellStyles count="4">
    <cellStyle name="Normal" xfId="0" builtinId="0"/>
    <cellStyle name="Normal 2" xfId="3"/>
    <cellStyle name="Normal 3" xfId="2"/>
    <cellStyle name="Percent" xfId="1" builtinId="5"/>
  </cellStyles>
  <dxfs count="394">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color theme="4"/>
      </font>
    </dxf>
    <dxf>
      <font>
        <color theme="7" tint="0.79998168889431442"/>
      </font>
      <fill>
        <patternFill>
          <bgColor theme="7" tint="0.79998168889431442"/>
        </patternFill>
      </fill>
    </dxf>
    <dxf>
      <font>
        <b/>
        <i val="0"/>
        <color theme="7"/>
      </font>
      <fill>
        <patternFill>
          <bgColor theme="7" tint="0.79998168889431442"/>
        </patternFill>
      </fill>
    </dxf>
    <dxf>
      <font>
        <b/>
        <i val="0"/>
        <color theme="0" tint="-0.499984740745262"/>
      </font>
      <fill>
        <patternFill>
          <bgColor theme="0" tint="-4.9989318521683403E-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font>
      <fill>
        <patternFill patternType="darkDown">
          <bgColor theme="0" tint="-4.9989318521683403E-2"/>
        </patternFill>
      </fill>
    </dxf>
    <dxf>
      <font>
        <b/>
        <i val="0"/>
        <color rgb="FFFFC000"/>
      </font>
      <fill>
        <patternFill>
          <bgColor theme="9" tint="0.59996337778862885"/>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0" tint="-0.499984740745262"/>
      </font>
      <fill>
        <patternFill>
          <bgColor theme="0" tint="-4.9989318521683403E-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font>
      <fill>
        <patternFill patternType="darkDown">
          <bgColor theme="0" tint="-4.9989318521683403E-2"/>
        </patternFill>
      </fill>
    </dxf>
    <dxf>
      <font>
        <b/>
        <i val="0"/>
        <color rgb="FFFFC000"/>
      </font>
      <fill>
        <patternFill>
          <bgColor theme="9" tint="0.59996337778862885"/>
        </patternFill>
      </fill>
    </dxf>
    <dxf>
      <font>
        <b/>
        <i val="0"/>
        <color rgb="FFFFC000"/>
      </font>
      <fill>
        <patternFill>
          <bgColor theme="9" tint="0.59996337778862885"/>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b/>
        <i val="0"/>
        <color rgb="FFFF0000"/>
      </font>
    </dxf>
    <dxf>
      <font>
        <b/>
        <i val="0"/>
        <color rgb="FFFF0000"/>
      </font>
    </dxf>
    <dxf>
      <font>
        <b/>
        <i val="0"/>
        <color rgb="FFFF0000"/>
      </font>
    </dxf>
    <dxf>
      <font>
        <b/>
        <i val="0"/>
        <color rgb="FFFF0000"/>
      </font>
    </dxf>
    <dxf>
      <font>
        <color rgb="FF00B050"/>
      </font>
      <fill>
        <patternFill>
          <bgColor theme="7" tint="0.79998168889431442"/>
        </patternFill>
      </fill>
    </dxf>
    <dxf>
      <font>
        <color rgb="FFFF0000"/>
      </font>
      <fill>
        <patternFill>
          <bgColor theme="4"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4"/>
      </font>
    </dxf>
    <dxf>
      <font>
        <b val="0"/>
        <i val="0"/>
        <strike val="0"/>
        <condense val="0"/>
        <extend val="0"/>
        <outline val="0"/>
        <shadow val="0"/>
        <u val="none"/>
        <vertAlign val="baseline"/>
        <sz val="11"/>
        <color theme="1"/>
        <name val="Santander Text"/>
        <scheme val="none"/>
      </font>
      <alignment vertical="center" textRotation="0" indent="0" justifyLastLine="0" shrinkToFit="0"/>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rgb="FF000000"/>
        <name val="Santander Text"/>
        <scheme val="none"/>
      </font>
      <alignment horizontal="general" vertical="center" textRotation="0" wrapText="0"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0" formatCode="Genera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auto="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0" formatCode="General"/>
      <alignment vertical="center" textRotation="0" indent="0" justifyLastLine="0" shrinkToFit="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19" formatCode="dd/mm/yyyy"/>
      <fill>
        <patternFill patternType="solid">
          <fgColor indexed="64"/>
          <bgColor theme="7" tint="0.79998168889431442"/>
        </patternFill>
      </fill>
      <alignment horizontal="general" vertical="center" textRotation="0" wrapText="0" indent="0" justifyLastLine="0" shrinkToFit="0" readingOrder="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left style="thin">
          <color indexed="64"/>
        </left>
        <right style="thin">
          <color indexed="64"/>
        </right>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0" formatCode="General"/>
      <alignment vertical="center" textRotation="0" indent="0" justifyLastLine="0" shrinkToFit="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auto="1"/>
        <name val="Santander Text"/>
        <scheme val="none"/>
      </font>
      <numFmt numFmtId="0" formatCode="General"/>
      <alignment horizontal="general" vertical="center"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2"/>
        <name val="Santander Text"/>
        <scheme val="none"/>
      </font>
      <numFmt numFmtId="0" formatCode="General"/>
      <alignment horizontal="general" vertical="center" textRotation="0" wrapText="0" indent="0" justifyLastLine="0" shrinkToFit="0" readingOrder="0"/>
      <border diagonalUp="0" diagonalDown="0" outline="0">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rgb="FF000000"/>
        <name val="Santander Text"/>
        <scheme val="none"/>
      </font>
      <alignment horizontal="left" vertical="center" textRotation="0" wrapText="0"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border outline="0">
        <top style="thin">
          <color indexed="64"/>
        </top>
      </border>
    </dxf>
    <dxf>
      <alignment vertical="center" textRotation="0" indent="0" justifyLastLine="0" shrinkToFit="0"/>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vertical="center" textRotation="0" indent="0" justifyLastLine="0" shrinkToFit="0"/>
    </dxf>
    <dxf>
      <border outline="0">
        <bottom style="thin">
          <color indexed="64"/>
        </bottom>
      </border>
    </dxf>
    <dxf>
      <font>
        <b/>
        <i val="0"/>
        <strike val="0"/>
        <condense val="0"/>
        <extend val="0"/>
        <outline val="0"/>
        <shadow val="0"/>
        <u val="none"/>
        <vertAlign val="baseline"/>
        <sz val="11"/>
        <color theme="0"/>
        <name val="Santander Text"/>
        <scheme val="none"/>
      </font>
      <fill>
        <patternFill patternType="solid">
          <fgColor indexed="64"/>
          <bgColor rgb="FFFF0000"/>
        </patternFill>
      </fill>
      <alignment horizontal="center" vertical="center" textRotation="0" wrapText="0" indent="0" justifyLastLine="0" shrinkToFit="0" readingOrder="0"/>
      <border diagonalUp="0" diagonalDown="0" outline="0">
        <left style="thin">
          <color indexed="64"/>
        </left>
        <right style="thin">
          <color indexed="64"/>
        </right>
        <top/>
        <bottom/>
      </border>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left style="thin">
          <color theme="0" tint="-0.34998626667073579"/>
        </left>
        <right style="thin">
          <color theme="0" tint="-0.34998626667073579"/>
        </right>
        <top/>
        <bottom style="thin">
          <color theme="0" tint="-0.34998626667073579"/>
        </bottom>
        <vertical/>
        <horizontal/>
      </border>
    </dxf>
    <dxf>
      <font>
        <b val="0"/>
        <i val="0"/>
        <strike val="0"/>
        <condense val="0"/>
        <extend val="0"/>
        <outline val="0"/>
        <shadow val="0"/>
        <u val="none"/>
        <vertAlign val="baseline"/>
        <sz val="10"/>
        <color theme="1"/>
        <name val="Santander Text"/>
        <scheme val="none"/>
      </font>
      <numFmt numFmtId="19" formatCode="dd/mm/yyyy"/>
      <border diagonalUp="0" diagonalDown="0">
        <left style="thin">
          <color theme="0" tint="-0.34998626667073579"/>
        </left>
        <right style="thin">
          <color theme="0" tint="-0.34998626667073579"/>
        </right>
        <top/>
        <bottom style="thin">
          <color theme="0" tint="-0.34998626667073579"/>
        </bottom>
        <vertical/>
        <horizontal/>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left style="thin">
          <color theme="0" tint="-0.34998626667073579"/>
        </left>
        <right style="thin">
          <color theme="0" tint="-0.34998626667073579"/>
        </right>
        <top/>
        <bottom style="thin">
          <color theme="0" tint="-0.34998626667073579"/>
        </bottom>
        <vertical/>
        <horizontal/>
      </border>
    </dxf>
    <dxf>
      <font>
        <b val="0"/>
        <i val="0"/>
        <strike val="0"/>
        <condense val="0"/>
        <extend val="0"/>
        <outline val="0"/>
        <shadow val="0"/>
        <u val="none"/>
        <vertAlign val="baseline"/>
        <sz val="10"/>
        <color theme="1"/>
        <name val="Santander Text"/>
        <scheme val="none"/>
      </font>
      <numFmt numFmtId="19" formatCode="dd/mm/yyyy"/>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border diagonalUp="0" diagonalDown="0">
        <left style="thin">
          <color theme="0" tint="-0.34998626667073579"/>
        </left>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numFmt numFmtId="0" formatCode="General"/>
      <border diagonalUp="0" diagonalDown="0">
        <left/>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numFmt numFmtId="19" formatCode="dd/mm/yyyy"/>
      <border diagonalUp="0" diagonalDown="0" outline="0">
        <left/>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numFmt numFmtId="19" formatCode="dd/mm/yyyy"/>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alignment horizontal="center" vertical="center" textRotation="0" wrapText="0" indent="0" justifyLastLine="0" shrinkToFit="0" readingOrder="0"/>
      <border diagonalUp="0" diagonalDown="0" outline="0">
        <left style="thin">
          <color theme="0" tint="-0.34998626667073579"/>
        </left>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fill>
        <patternFill patternType="none">
          <fgColor indexed="64"/>
          <bgColor indexed="65"/>
        </patternFill>
      </fill>
      <border diagonalUp="0" diagonalDown="0" outline="0">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fill>
        <patternFill patternType="none">
          <fgColor indexed="64"/>
          <bgColor auto="1"/>
        </patternFill>
      </fill>
      <alignment horizontal="general" vertical="center" textRotation="0" wrapText="0" indent="0" justifyLastLine="0" shrinkToFit="0" readingOrder="0"/>
      <border diagonalUp="0" diagonalDown="0" outline="0">
        <left style="thin">
          <color theme="0" tint="-0.34998626667073579"/>
        </left>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alignment horizontal="left" vertical="center" textRotation="0" wrapText="0" indent="0" justifyLastLine="0" shrinkToFit="0" readingOrder="0"/>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alignment horizontal="general"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i val="0"/>
        <strike val="0"/>
        <condense val="0"/>
        <extend val="0"/>
        <outline val="0"/>
        <shadow val="0"/>
        <u val="none"/>
        <vertAlign val="baseline"/>
        <sz val="10"/>
        <color theme="0"/>
        <name val="Santander Text"/>
        <scheme val="none"/>
      </font>
      <fill>
        <patternFill patternType="solid">
          <fgColor indexed="64"/>
          <bgColor theme="5" tint="-0.249977111117893"/>
        </patternFill>
      </fill>
      <alignment horizontal="general"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i val="0"/>
        <strike val="0"/>
        <condense val="0"/>
        <extend val="0"/>
        <outline val="0"/>
        <shadow val="0"/>
        <u val="none"/>
        <vertAlign val="baseline"/>
        <sz val="10"/>
        <color theme="0"/>
        <name val="Santander Text"/>
        <scheme val="none"/>
      </font>
      <fill>
        <patternFill patternType="solid">
          <fgColor indexed="64"/>
          <bgColor theme="5" tint="-0.249977111117893"/>
        </patternFill>
      </fill>
      <alignment horizontal="general" vertical="center" textRotation="0" wrapText="0" indent="0" justifyLastLine="0" shrinkToFit="0" readingOrder="0"/>
      <border diagonalUp="0" diagonalDown="0">
        <left/>
        <right style="thin">
          <color theme="0" tint="-0.34998626667073579"/>
        </right>
        <top style="thin">
          <color theme="0" tint="-0.34998626667073579"/>
        </top>
        <bottom style="thin">
          <color theme="0" tint="-0.34998626667073579"/>
        </bottom>
        <vertical/>
        <horizontal/>
      </border>
    </dxf>
    <dxf>
      <border outline="0">
        <left style="thin">
          <color theme="0" tint="-0.34998626667073579"/>
        </left>
        <right style="thin">
          <color theme="0" tint="-0.34998626667073579"/>
        </right>
        <bottom style="thin">
          <color theme="0" tint="-0.34998626667073579"/>
        </bottom>
      </border>
    </dxf>
    <dxf>
      <font>
        <b/>
        <i val="0"/>
        <strike val="0"/>
        <condense val="0"/>
        <extend val="0"/>
        <outline val="0"/>
        <shadow val="0"/>
        <u val="none"/>
        <vertAlign val="baseline"/>
        <sz val="11"/>
        <color theme="0"/>
        <name val="Santander Text"/>
        <scheme val="none"/>
      </font>
      <fill>
        <patternFill patternType="solid">
          <fgColor indexed="64"/>
          <bgColor theme="4"/>
        </patternFill>
      </fill>
      <alignment horizontal="center" vertical="center" textRotation="0" wrapText="0" indent="0" justifyLastLine="0" shrinkToFit="0" readingOrder="0"/>
      <border diagonalUp="0" diagonalDown="0" outline="0">
        <left style="thin">
          <color theme="0" tint="-0.34998626667073579"/>
        </left>
        <right style="thin">
          <color theme="0" tint="-0.34998626667073579"/>
        </right>
        <top/>
        <bottom/>
      </border>
    </dxf>
    <dxf>
      <font>
        <b/>
        <i val="0"/>
        <color theme="9"/>
      </font>
      <fill>
        <patternFill>
          <bgColor theme="9" tint="0.79998168889431442"/>
        </patternFill>
      </fill>
    </dxf>
    <dxf>
      <font>
        <b/>
        <i val="0"/>
        <color theme="7" tint="-0.24994659260841701"/>
      </font>
      <fill>
        <patternFill>
          <bgColor theme="7" tint="0.79998168889431442"/>
        </patternFill>
      </fill>
    </dxf>
    <dxf>
      <font>
        <b/>
        <i val="0"/>
        <color rgb="FFC00000"/>
      </font>
      <fill>
        <patternFill>
          <bgColor theme="5" tint="0.79998168889431442"/>
        </patternFill>
      </fill>
    </dxf>
    <dxf>
      <font>
        <b/>
        <i val="0"/>
        <color theme="0" tint="-0.499984740745262"/>
      </font>
      <fill>
        <patternFill>
          <bgColor theme="0" tint="-4.9989318521683403E-2"/>
        </patternFill>
      </fill>
    </dxf>
    <dxf>
      <font>
        <b/>
        <i val="0"/>
        <color theme="7"/>
      </font>
      <fill>
        <patternFill>
          <bgColor theme="7" tint="0.79998168889431442"/>
        </patternFill>
      </fill>
    </dxf>
    <dxf>
      <font>
        <b/>
        <i val="0"/>
        <color theme="0" tint="-0.499984740745262"/>
      </font>
      <fill>
        <patternFill>
          <bgColor theme="0" tint="-4.9989318521683403E-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font>
      <fill>
        <patternFill patternType="darkDown">
          <bgColor theme="0" tint="-4.9989318521683403E-2"/>
        </patternFill>
      </fill>
    </dxf>
    <dxf>
      <font>
        <b/>
        <i val="0"/>
        <color rgb="FFFFC000"/>
      </font>
      <fill>
        <patternFill>
          <bgColor theme="9" tint="0.59996337778862885"/>
        </patternFill>
      </fill>
    </dxf>
    <dxf>
      <font>
        <b/>
        <i val="0"/>
        <color rgb="FFFFC000"/>
      </font>
      <fill>
        <patternFill>
          <bgColor theme="9" tint="0.59996337778862885"/>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b/>
        <i val="0"/>
        <color rgb="FFFF0000"/>
      </font>
    </dxf>
    <dxf>
      <font>
        <b/>
        <i val="0"/>
        <color rgb="FFFF0000"/>
      </font>
    </dxf>
    <dxf>
      <font>
        <b/>
        <i val="0"/>
        <color rgb="FFFF0000"/>
      </font>
    </dxf>
    <dxf>
      <font>
        <b/>
        <i val="0"/>
        <color rgb="FFFF0000"/>
      </font>
    </dxf>
    <dxf>
      <font>
        <b/>
        <i val="0"/>
        <color rgb="FFFF0000"/>
      </font>
    </dxf>
  </dxfs>
  <tableStyles count="0" defaultTableStyle="TableStyleMedium2" defaultPivotStyle="PivotStyleLight16"/>
  <colors>
    <mruColors>
      <color rgb="FFFFEFEF"/>
      <color rgb="FFF3F3F3"/>
      <color rgb="FFC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1.xml"/><Relationship Id="rId18" Type="http://schemas.openxmlformats.org/officeDocument/2006/relationships/pivotCacheDefinition" Target="pivotCache/pivotCacheDefinition6.xml"/><Relationship Id="rId26" Type="http://schemas.openxmlformats.org/officeDocument/2006/relationships/powerPivotData" Target="model/item.data"/><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pivotCacheDefinition" Target="pivotCache/pivotCacheDefinition5.xml"/><Relationship Id="rId25" Type="http://schemas.openxmlformats.org/officeDocument/2006/relationships/sheetMetadata" Target="metadata.xml"/><Relationship Id="rId33" Type="http://schemas.microsoft.com/office/2017/10/relationships/person" Target="persons/person.xml"/><Relationship Id="rId2" Type="http://schemas.openxmlformats.org/officeDocument/2006/relationships/worksheet" Target="worksheets/sheet2.xml"/><Relationship Id="rId16" Type="http://schemas.openxmlformats.org/officeDocument/2006/relationships/pivotCacheDefinition" Target="pivotCache/pivotCacheDefinition4.xml"/><Relationship Id="rId20" Type="http://schemas.openxmlformats.org/officeDocument/2006/relationships/pivotCacheDefinition" Target="pivotCache/pivotCacheDefinition8.xml"/><Relationship Id="rId29"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pivotCacheDefinition" Target="pivotCache/pivotCacheDefinition3.xml"/><Relationship Id="rId23" Type="http://schemas.openxmlformats.org/officeDocument/2006/relationships/styles" Target="styles.xml"/><Relationship Id="rId28"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pivotCacheDefinition" Target="pivotCache/pivotCacheDefinition7.xml"/><Relationship Id="rId31" Type="http://schemas.openxmlformats.org/officeDocument/2006/relationships/customXml" Target="../customXml/item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2.xml"/><Relationship Id="rId22" Type="http://schemas.openxmlformats.org/officeDocument/2006/relationships/connections" Target="connections.xml"/><Relationship Id="rId27" Type="http://schemas.openxmlformats.org/officeDocument/2006/relationships/calcChain" Target="calcChain.xml"/><Relationship Id="rId30" Type="http://schemas.openxmlformats.org/officeDocument/2006/relationships/customXml" Target="../customXml/item3.xml"/></Relationships>
</file>

<file path=xl/charts/_rels/chart2.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1.xml"/><Relationship Id="rId1" Type="http://schemas.microsoft.com/office/2011/relationships/chartStyle" Target="style1.xml"/><Relationship Id="rId4" Type="http://schemas.openxmlformats.org/officeDocument/2006/relationships/chartUserShapes" Target="../drawings/drawing3.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3" Type="http://schemas.openxmlformats.org/officeDocument/2006/relationships/themeOverride" Target="../theme/themeOverride2.xml"/><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Pilar 3 - Plano_versão trabalho 8.6.xlsx]Aux - Pivots2!PivotTable5</c:name>
    <c:fmtId val="6"/>
  </c:pivotSource>
  <c:chart>
    <c:autoTitleDeleted val="1"/>
    <c:pivotFmts>
      <c:pivotFmt>
        <c:idx val="0"/>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solidFill>
              <a:schemeClr val="bg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Santander Text" panose="020B0504020201020104" pitchFamily="34" charset="0"/>
                  <a:ea typeface="+mn-ea"/>
                  <a:cs typeface="+mn-cs"/>
                </a:defRPr>
              </a:pPr>
              <a:endParaRPr lang="pt-PT"/>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solidFill>
              <a:schemeClr val="bg1"/>
            </a:solidFill>
          </a:ln>
          <a:effectLst/>
        </c:spPr>
      </c:pivotFmt>
      <c:pivotFmt>
        <c:idx val="4"/>
        <c:spPr>
          <a:solidFill>
            <a:schemeClr val="accent1"/>
          </a:solidFill>
          <a:ln>
            <a:solidFill>
              <a:schemeClr val="bg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solidFill>
              <a:schemeClr val="bg1"/>
            </a:solidFill>
          </a:ln>
          <a:effectLst/>
        </c:spPr>
      </c:pivotFmt>
      <c:pivotFmt>
        <c:idx val="6"/>
        <c:spPr>
          <a:solidFill>
            <a:schemeClr val="accent1"/>
          </a:solidFill>
          <a:ln>
            <a:solidFill>
              <a:schemeClr val="bg1"/>
            </a:solidFill>
          </a:ln>
          <a:effectLst/>
        </c:spPr>
      </c:pivotFmt>
      <c:pivotFmt>
        <c:idx val="7"/>
        <c:spPr>
          <a:solidFill>
            <a:schemeClr val="accent1"/>
          </a:solidFill>
          <a:ln>
            <a:solidFill>
              <a:schemeClr val="bg1"/>
            </a:solidFill>
          </a:ln>
          <a:effectLst/>
        </c:spPr>
      </c:pivotFmt>
      <c:pivotFmt>
        <c:idx val="8"/>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tx1">
              <a:lumMod val="65000"/>
              <a:lumOff val="35000"/>
            </a:schemeClr>
          </a:solidFill>
          <a:ln>
            <a:solidFill>
              <a:schemeClr val="bg1"/>
            </a:solidFill>
          </a:ln>
          <a:effectLst/>
        </c:spPr>
      </c:pivotFmt>
      <c:pivotFmt>
        <c:idx val="10"/>
        <c:spPr>
          <a:solidFill>
            <a:schemeClr val="accent4"/>
          </a:solidFill>
          <a:ln>
            <a:solidFill>
              <a:schemeClr val="bg1"/>
            </a:solidFill>
          </a:ln>
          <a:effectLst/>
        </c:spPr>
      </c:pivotFmt>
      <c:pivotFmt>
        <c:idx val="11"/>
        <c:spPr>
          <a:solidFill>
            <a:schemeClr val="accent6">
              <a:lumMod val="75000"/>
            </a:schemeClr>
          </a:solidFill>
          <a:ln>
            <a:solidFill>
              <a:schemeClr val="bg1"/>
            </a:solidFill>
          </a:ln>
          <a:effectLst/>
        </c:spPr>
      </c:pivotFmt>
      <c:pivotFmt>
        <c:idx val="12"/>
        <c:spPr>
          <a:solidFill>
            <a:schemeClr val="accent5"/>
          </a:solidFill>
          <a:ln>
            <a:solidFill>
              <a:schemeClr val="bg1"/>
            </a:solidFill>
          </a:ln>
          <a:effectLst/>
        </c:spPr>
        <c:dLbl>
          <c:idx val="0"/>
          <c:layout>
            <c:manualLayout>
              <c:x val="-7.0480792076460561E-2"/>
              <c:y val="-0.126956282879982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lumMod val="50000"/>
                    </a:schemeClr>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3"/>
        <c:spPr>
          <a:solidFill>
            <a:schemeClr val="bg1">
              <a:lumMod val="75000"/>
            </a:schemeClr>
          </a:solidFill>
          <a:ln>
            <a:solidFill>
              <a:schemeClr val="bg1"/>
            </a:solidFill>
          </a:ln>
          <a:effectLst/>
        </c:spPr>
      </c:pivotFmt>
      <c:pivotFmt>
        <c:idx val="14"/>
        <c:spPr>
          <a:solidFill>
            <a:schemeClr val="accent1"/>
          </a:solidFill>
          <a:ln>
            <a:solidFill>
              <a:schemeClr val="bg1"/>
            </a:solidFill>
          </a:ln>
          <a:effectLst/>
        </c:spPr>
      </c:pivotFmt>
      <c:pivotFmt>
        <c:idx val="15"/>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6"/>
        <c:spPr>
          <a:solidFill>
            <a:schemeClr val="accent1">
              <a:lumMod val="75000"/>
            </a:schemeClr>
          </a:solidFill>
          <a:ln>
            <a:solidFill>
              <a:schemeClr val="bg1"/>
            </a:solidFill>
          </a:ln>
          <a:effectLst/>
        </c:spPr>
        <c:dLbl>
          <c:idx val="0"/>
          <c:layout>
            <c:manualLayout>
              <c:x val="-5.0762125592470489E-3"/>
              <c:y val="-2.5299114391913742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7"/>
        <c:spPr>
          <a:solidFill>
            <a:schemeClr val="accent6">
              <a:lumMod val="75000"/>
            </a:schemeClr>
          </a:solidFill>
          <a:ln>
            <a:solidFill>
              <a:schemeClr val="bg1"/>
            </a:solidFill>
          </a:ln>
          <a:effectLst/>
        </c:spPr>
      </c:pivotFmt>
      <c:pivotFmt>
        <c:idx val="18"/>
        <c:spPr>
          <a:solidFill>
            <a:schemeClr val="accent4"/>
          </a:solidFill>
          <a:ln>
            <a:solidFill>
              <a:schemeClr val="bg1"/>
            </a:solidFill>
          </a:ln>
          <a:effectLst/>
        </c:spPr>
      </c:pivotFmt>
      <c:pivotFmt>
        <c:idx val="19"/>
        <c:spPr>
          <a:solidFill>
            <a:schemeClr val="accent6">
              <a:lumMod val="75000"/>
            </a:schemeClr>
          </a:solidFill>
          <a:ln>
            <a:solidFill>
              <a:schemeClr val="bg1"/>
            </a:solidFill>
          </a:ln>
          <a:effectLst/>
        </c:spPr>
      </c:pivotFmt>
      <c:pivotFmt>
        <c:idx val="20"/>
        <c:spPr>
          <a:solidFill>
            <a:schemeClr val="tx1">
              <a:lumMod val="65000"/>
              <a:lumOff val="35000"/>
            </a:schemeClr>
          </a:solidFill>
          <a:ln>
            <a:solidFill>
              <a:schemeClr val="bg1"/>
            </a:solidFill>
          </a:ln>
          <a:effectLst/>
        </c:spPr>
      </c:pivotFmt>
      <c:pivotFmt>
        <c:idx val="21"/>
        <c:spPr>
          <a:solidFill>
            <a:srgbClr val="FF0000"/>
          </a:solidFill>
          <a:ln>
            <a:solidFill>
              <a:schemeClr val="bg1"/>
            </a:solidFill>
          </a:ln>
          <a:effectLst/>
        </c:spPr>
        <c:dLbl>
          <c:idx val="0"/>
          <c:layout>
            <c:manualLayout>
              <c:x val="3.2334683657840001E-5"/>
              <c:y val="-2.0768956554295039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2"/>
        <c:spPr>
          <a:solidFill>
            <a:schemeClr val="accent5">
              <a:lumMod val="75000"/>
            </a:schemeClr>
          </a:solidFill>
          <a:ln>
            <a:solidFill>
              <a:schemeClr val="bg1"/>
            </a:solidFill>
          </a:ln>
          <a:effectLst/>
        </c:spPr>
      </c:pivotFmt>
      <c:pivotFmt>
        <c:idx val="23"/>
        <c:spPr>
          <a:solidFill>
            <a:srgbClr val="C00000"/>
          </a:solidFill>
          <a:ln>
            <a:solidFill>
              <a:schemeClr val="bg1"/>
            </a:solidFill>
          </a:ln>
          <a:effectLst/>
        </c:spPr>
      </c:pivotFmt>
      <c:pivotFmt>
        <c:idx val="24"/>
        <c:spPr>
          <a:solidFill>
            <a:schemeClr val="accent5"/>
          </a:solidFill>
          <a:ln>
            <a:solidFill>
              <a:schemeClr val="bg1"/>
            </a:solidFill>
          </a:ln>
          <a:effectLst/>
        </c:spPr>
      </c:pivotFmt>
      <c:pivotFmt>
        <c:idx val="25"/>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6"/>
        <c:spPr>
          <a:solidFill>
            <a:schemeClr val="tx2"/>
          </a:solidFill>
          <a:ln>
            <a:solidFill>
              <a:schemeClr val="bg1"/>
            </a:solidFill>
          </a:ln>
          <a:effectLst/>
        </c:spPr>
      </c:pivotFmt>
      <c:pivotFmt>
        <c:idx val="27"/>
        <c:spPr>
          <a:solidFill>
            <a:schemeClr val="accent4"/>
          </a:solidFill>
          <a:ln>
            <a:solidFill>
              <a:schemeClr val="bg1"/>
            </a:solidFill>
          </a:ln>
          <a:effectLst/>
        </c:spPr>
      </c:pivotFmt>
      <c:pivotFmt>
        <c:idx val="28"/>
        <c:spPr>
          <a:solidFill>
            <a:srgbClr val="FF0000"/>
          </a:solidFill>
          <a:ln>
            <a:solidFill>
              <a:schemeClr val="bg1"/>
            </a:solidFill>
          </a:ln>
          <a:effectLst/>
        </c:spPr>
      </c:pivotFmt>
      <c:pivotFmt>
        <c:idx val="29"/>
        <c:spPr>
          <a:solidFill>
            <a:schemeClr val="accent6"/>
          </a:solidFill>
          <a:ln>
            <a:solidFill>
              <a:schemeClr val="bg1"/>
            </a:solidFill>
          </a:ln>
          <a:effectLst/>
        </c:spPr>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31"/>
        <c:spPr>
          <a:solidFill>
            <a:schemeClr val="accent1"/>
          </a:solidFill>
          <a:ln>
            <a:noFill/>
          </a:ln>
          <a:effectLst/>
        </c:spPr>
      </c:pivotFmt>
      <c:pivotFmt>
        <c:idx val="32"/>
        <c:spPr>
          <a:solidFill>
            <a:schemeClr val="accent1"/>
          </a:solidFill>
          <a:ln>
            <a:noFill/>
          </a:ln>
          <a:effectLst/>
        </c:spPr>
      </c:pivotFmt>
      <c:pivotFmt>
        <c:idx val="33"/>
        <c:spPr>
          <a:solidFill>
            <a:schemeClr val="accent1"/>
          </a:solidFill>
          <a:ln>
            <a:noFill/>
          </a:ln>
          <a:effectLst/>
        </c:spPr>
      </c:pivotFmt>
      <c:pivotFmt>
        <c:idx val="34"/>
        <c:spPr>
          <a:solidFill>
            <a:schemeClr val="accent4"/>
          </a:solidFill>
          <a:ln>
            <a:noFill/>
          </a:ln>
          <a:effectLst/>
        </c:spPr>
      </c:pivotFmt>
      <c:pivotFmt>
        <c:idx val="35"/>
        <c:spPr>
          <a:solidFill>
            <a:schemeClr val="accent1"/>
          </a:solidFill>
          <a:ln>
            <a:noFill/>
          </a:ln>
          <a:effectLst/>
        </c:spPr>
      </c:pivotFmt>
      <c:pivotFmt>
        <c:idx val="36"/>
        <c:spPr>
          <a:solidFill>
            <a:schemeClr val="tx1">
              <a:lumMod val="50000"/>
              <a:lumOff val="50000"/>
            </a:schemeClr>
          </a:solidFill>
          <a:ln>
            <a:noFill/>
          </a:ln>
          <a:effectLst/>
        </c:spPr>
      </c:pivotFmt>
      <c:pivotFmt>
        <c:idx val="37"/>
        <c:spPr>
          <a:solidFill>
            <a:schemeClr val="accent1"/>
          </a:solidFill>
          <a:ln>
            <a:noFill/>
          </a:ln>
          <a:effectLst/>
        </c:spPr>
        <c:marker>
          <c:symbol val="none"/>
        </c:marker>
      </c:pivotFmt>
      <c:pivotFmt>
        <c:idx val="3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39"/>
        <c:spPr>
          <a:solidFill>
            <a:schemeClr val="accent5"/>
          </a:solidFill>
          <a:ln>
            <a:noFill/>
          </a:ln>
          <a:effectLst/>
        </c:spPr>
      </c:pivotFmt>
      <c:pivotFmt>
        <c:idx val="40"/>
        <c:spPr>
          <a:solidFill>
            <a:schemeClr val="accent1"/>
          </a:solidFill>
          <a:ln>
            <a:noFill/>
          </a:ln>
          <a:effectLst/>
        </c:spPr>
      </c:pivotFmt>
      <c:pivotFmt>
        <c:idx val="41"/>
        <c:spPr>
          <a:solidFill>
            <a:schemeClr val="accent1"/>
          </a:solidFill>
          <a:ln>
            <a:noFill/>
          </a:ln>
          <a:effectLst/>
        </c:spPr>
      </c:pivotFmt>
      <c:pivotFmt>
        <c:idx val="42"/>
        <c:spPr>
          <a:solidFill>
            <a:schemeClr val="accent1"/>
          </a:solidFill>
          <a:ln>
            <a:noFill/>
          </a:ln>
          <a:effectLst/>
        </c:spPr>
      </c:pivotFmt>
      <c:pivotFmt>
        <c:idx val="43"/>
        <c:spPr>
          <a:solidFill>
            <a:schemeClr val="accent4"/>
          </a:solidFill>
          <a:ln>
            <a:solidFill>
              <a:schemeClr val="bg1"/>
            </a:solidFill>
          </a:ln>
          <a:effectLst/>
        </c:spPr>
      </c:pivotFmt>
      <c:pivotFmt>
        <c:idx val="44"/>
        <c:spPr>
          <a:solidFill>
            <a:schemeClr val="accent1"/>
          </a:solidFill>
          <a:ln>
            <a:solidFill>
              <a:schemeClr val="bg1"/>
            </a:solidFill>
          </a:ln>
          <a:effectLst/>
        </c:spPr>
      </c:pivotFmt>
      <c:pivotFmt>
        <c:idx val="45"/>
        <c:spPr>
          <a:solidFill>
            <a:schemeClr val="tx2"/>
          </a:solidFill>
          <a:ln>
            <a:solidFill>
              <a:schemeClr val="bg1"/>
            </a:solidFill>
          </a:ln>
          <a:effectLst/>
        </c:spPr>
      </c:pivotFmt>
      <c:pivotFmt>
        <c:idx val="46"/>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47"/>
        <c:spPr>
          <a:solidFill>
            <a:schemeClr val="accent5"/>
          </a:solidFill>
          <a:ln>
            <a:noFill/>
          </a:ln>
          <a:effectLst/>
        </c:spPr>
      </c:pivotFmt>
      <c:pivotFmt>
        <c:idx val="48"/>
        <c:spPr>
          <a:solidFill>
            <a:schemeClr val="accent6">
              <a:lumMod val="50000"/>
            </a:schemeClr>
          </a:solidFill>
          <a:ln>
            <a:solidFill>
              <a:schemeClr val="bg1"/>
            </a:solidFill>
          </a:ln>
          <a:effectLst/>
        </c:spPr>
      </c:pivotFmt>
      <c:pivotFmt>
        <c:idx val="49"/>
        <c:spPr>
          <a:solidFill>
            <a:schemeClr val="accent6">
              <a:lumMod val="50000"/>
            </a:schemeClr>
          </a:solidFill>
          <a:ln>
            <a:solidFill>
              <a:schemeClr val="bg1"/>
            </a:solidFill>
          </a:ln>
          <a:effectLst/>
        </c:spPr>
      </c:pivotFmt>
      <c:pivotFmt>
        <c:idx val="50"/>
        <c:spPr>
          <a:solidFill>
            <a:schemeClr val="accent1"/>
          </a:solidFill>
          <a:ln>
            <a:solidFill>
              <a:schemeClr val="bg1"/>
            </a:solidFill>
          </a:ln>
          <a:effectLst/>
        </c:spPr>
      </c:pivotFmt>
      <c:pivotFmt>
        <c:idx val="51"/>
        <c:spPr>
          <a:solidFill>
            <a:schemeClr val="accent1"/>
          </a:solidFill>
          <a:ln>
            <a:solidFill>
              <a:schemeClr val="bg1"/>
            </a:solidFill>
          </a:ln>
          <a:effectLst/>
        </c:spPr>
      </c:pivotFmt>
      <c:pivotFmt>
        <c:idx val="52"/>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53"/>
        <c:spPr>
          <a:solidFill>
            <a:schemeClr val="accent1"/>
          </a:solidFill>
          <a:ln>
            <a:solidFill>
              <a:schemeClr val="bg1"/>
            </a:solidFill>
          </a:ln>
          <a:effectLst/>
        </c:spPr>
      </c:pivotFmt>
      <c:pivotFmt>
        <c:idx val="54"/>
        <c:spPr>
          <a:solidFill>
            <a:schemeClr val="accent1"/>
          </a:solidFill>
          <a:ln>
            <a:solidFill>
              <a:schemeClr val="bg1"/>
            </a:solidFill>
          </a:ln>
          <a:effectLst/>
        </c:spPr>
      </c:pivotFmt>
      <c:pivotFmt>
        <c:idx val="55"/>
        <c:spPr>
          <a:solidFill>
            <a:schemeClr val="accent1"/>
          </a:solidFill>
          <a:ln>
            <a:solidFill>
              <a:schemeClr val="bg1"/>
            </a:solidFill>
          </a:ln>
          <a:effectLst/>
        </c:spPr>
      </c:pivotFmt>
      <c:pivotFmt>
        <c:idx val="56"/>
        <c:spPr>
          <a:solidFill>
            <a:schemeClr val="accent1"/>
          </a:solidFill>
          <a:ln>
            <a:solidFill>
              <a:schemeClr val="bg1"/>
            </a:solidFill>
          </a:ln>
          <a:effectLst/>
        </c:spPr>
      </c:pivotFmt>
      <c:pivotFmt>
        <c:idx val="57"/>
        <c:spPr>
          <a:solidFill>
            <a:schemeClr val="accent4"/>
          </a:solidFill>
          <a:ln>
            <a:noFill/>
          </a:ln>
          <a:effectLst/>
        </c:spPr>
        <c:dLbl>
          <c:idx val="0"/>
          <c:layout/>
          <c:spPr>
            <a:noFill/>
            <a:ln>
              <a:noFill/>
            </a:ln>
            <a:effectLst/>
          </c:spPr>
          <c:txPr>
            <a:bodyPr rot="0" spcFirstLastPara="1" vertOverflow="ellipsis" vert="horz" wrap="square" lIns="38100" tIns="19050" rIns="38100" bIns="19050" anchor="ctr" anchorCtr="1">
              <a:no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rect">
                  <a:avLst/>
                </a:prstGeom>
              </c15:spPr>
              <c15:layout/>
            </c:ext>
          </c:extLst>
        </c:dLbl>
      </c:pivotFmt>
      <c:pivotFmt>
        <c:idx val="58"/>
        <c:spPr>
          <a:solidFill>
            <a:schemeClr val="tx1">
              <a:lumMod val="65000"/>
              <a:lumOff val="35000"/>
            </a:schemeClr>
          </a:solidFill>
          <a:ln>
            <a:noFill/>
          </a:ln>
          <a:effectLst/>
        </c:spPr>
      </c:pivotFmt>
      <c:pivotFmt>
        <c:idx val="59"/>
        <c:spPr>
          <a:solidFill>
            <a:srgbClr val="FF0000"/>
          </a:solidFill>
          <a:ln>
            <a:solidFill>
              <a:schemeClr val="bg1"/>
            </a:solidFill>
          </a:ln>
          <a:effectLst/>
        </c:spPr>
      </c:pivotFmt>
      <c:pivotFmt>
        <c:idx val="60"/>
        <c:spPr>
          <a:solidFill>
            <a:srgbClr val="C00000"/>
          </a:solidFill>
          <a:ln>
            <a:solidFill>
              <a:schemeClr val="bg1"/>
            </a:solidFill>
          </a:ln>
          <a:effectLst/>
        </c:spPr>
      </c:pivotFmt>
      <c:pivotFmt>
        <c:idx val="61"/>
        <c:spPr>
          <a:solidFill>
            <a:schemeClr val="accent1"/>
          </a:solidFill>
          <a:ln>
            <a:noFill/>
          </a:ln>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ext>
          </c:extLst>
        </c:dLbl>
      </c:pivotFmt>
      <c:pivotFmt>
        <c:idx val="62"/>
        <c:spPr>
          <a:solidFill>
            <a:schemeClr val="accent1"/>
          </a:solidFill>
          <a:ln>
            <a:solidFill>
              <a:schemeClr val="bg1"/>
            </a:solidFill>
          </a:ln>
          <a:effectLst/>
        </c:spPr>
      </c:pivotFmt>
      <c:pivotFmt>
        <c:idx val="63"/>
        <c:spPr>
          <a:solidFill>
            <a:schemeClr val="accent6"/>
          </a:solidFill>
          <a:ln>
            <a:noFill/>
          </a:ln>
          <a:effectLst/>
        </c:spPr>
      </c:pivotFmt>
      <c:pivotFmt>
        <c:idx val="64"/>
        <c:spPr>
          <a:solidFill>
            <a:schemeClr val="accent5"/>
          </a:solidFill>
          <a:ln>
            <a:noFill/>
          </a:ln>
          <a:effectLst/>
        </c:spPr>
        <c:dLbl>
          <c:idx val="0"/>
          <c:layout>
            <c:manualLayout>
              <c:x val="8.8345777489217646E-3"/>
              <c:y val="-2.8413315698389823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65"/>
        <c:spPr>
          <a:solidFill>
            <a:schemeClr val="accent1"/>
          </a:solidFill>
          <a:ln>
            <a:solidFill>
              <a:schemeClr val="bg1"/>
            </a:solidFill>
          </a:ln>
          <a:effectLst/>
        </c:spPr>
      </c:pivotFmt>
      <c:pivotFmt>
        <c:idx val="66"/>
        <c:spPr>
          <a:solidFill>
            <a:schemeClr val="accent6">
              <a:lumMod val="50000"/>
            </a:schemeClr>
          </a:solidFill>
          <a:ln>
            <a:noFill/>
          </a:ln>
          <a:effectLst/>
        </c:spPr>
        <c:dLbl>
          <c:idx val="0"/>
          <c:layout>
            <c:manualLayout>
              <c:x val="-1.4662611011551597E-2"/>
              <c:y val="-2.5388828915277276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67"/>
        <c:spPr>
          <a:solidFill>
            <a:schemeClr val="accent5"/>
          </a:solidFill>
          <a:ln>
            <a:noFill/>
          </a:ln>
        </c:spPr>
      </c:pivotFmt>
    </c:pivotFmts>
    <c:plotArea>
      <c:layout>
        <c:manualLayout>
          <c:layoutTarget val="inner"/>
          <c:xMode val="edge"/>
          <c:yMode val="edge"/>
          <c:x val="0.15073092840967534"/>
          <c:y val="0.26470859436877658"/>
          <c:w val="0.69493044540795113"/>
          <c:h val="0.86402554187693381"/>
        </c:manualLayout>
      </c:layout>
      <c:doughnutChart>
        <c:varyColors val="1"/>
        <c:ser>
          <c:idx val="0"/>
          <c:order val="0"/>
          <c:tx>
            <c:strRef>
              <c:f>'Aux - Pivots2'!$C$66</c:f>
              <c:strCache>
                <c:ptCount val="1"/>
                <c:pt idx="0">
                  <c:v>Total</c:v>
                </c:pt>
              </c:strCache>
            </c:strRef>
          </c:tx>
          <c:spPr>
            <a:solidFill>
              <a:schemeClr val="accent1"/>
            </a:solidFill>
            <a:ln>
              <a:noFill/>
            </a:ln>
          </c:spPr>
          <c:dPt>
            <c:idx val="0"/>
            <c:bubble3D val="0"/>
            <c:spPr>
              <a:solidFill>
                <a:schemeClr val="tx1">
                  <a:lumMod val="65000"/>
                  <a:lumOff val="35000"/>
                </a:schemeClr>
              </a:solidFill>
              <a:ln>
                <a:noFill/>
              </a:ln>
              <a:effectLst/>
            </c:spPr>
            <c:extLst>
              <c:ext xmlns:c16="http://schemas.microsoft.com/office/drawing/2014/chart" uri="{C3380CC4-5D6E-409C-BE32-E72D297353CC}">
                <c16:uniqueId val="{00000010-D888-4927-8E23-39DAD6DD6CF0}"/>
              </c:ext>
            </c:extLst>
          </c:dPt>
          <c:dPt>
            <c:idx val="1"/>
            <c:bubble3D val="0"/>
            <c:spPr>
              <a:solidFill>
                <a:schemeClr val="accent4"/>
              </a:solidFill>
              <a:ln>
                <a:noFill/>
              </a:ln>
              <a:effectLst/>
            </c:spPr>
            <c:extLst>
              <c:ext xmlns:c16="http://schemas.microsoft.com/office/drawing/2014/chart" uri="{C3380CC4-5D6E-409C-BE32-E72D297353CC}">
                <c16:uniqueId val="{0000000F-D888-4927-8E23-39DAD6DD6CF0}"/>
              </c:ext>
            </c:extLst>
          </c:dPt>
          <c:dPt>
            <c:idx val="2"/>
            <c:bubble3D val="0"/>
            <c:extLst>
              <c:ext xmlns:c16="http://schemas.microsoft.com/office/drawing/2014/chart" uri="{C3380CC4-5D6E-409C-BE32-E72D297353CC}">
                <c16:uniqueId val="{0000000E-D888-4927-8E23-39DAD6DD6CF0}"/>
              </c:ext>
            </c:extLst>
          </c:dPt>
          <c:dPt>
            <c:idx val="3"/>
            <c:bubble3D val="0"/>
            <c:extLst>
              <c:ext xmlns:c16="http://schemas.microsoft.com/office/drawing/2014/chart" uri="{C3380CC4-5D6E-409C-BE32-E72D297353CC}">
                <c16:uniqueId val="{0000000C-D888-4927-8E23-39DAD6DD6CF0}"/>
              </c:ext>
            </c:extLst>
          </c:dPt>
          <c:dPt>
            <c:idx val="4"/>
            <c:bubble3D val="0"/>
            <c:extLst>
              <c:ext xmlns:c16="http://schemas.microsoft.com/office/drawing/2014/chart" uri="{C3380CC4-5D6E-409C-BE32-E72D297353CC}">
                <c16:uniqueId val="{0000000D-D888-4927-8E23-39DAD6DD6CF0}"/>
              </c:ext>
            </c:extLst>
          </c:dPt>
          <c:dPt>
            <c:idx val="5"/>
            <c:bubble3D val="0"/>
            <c:extLst>
              <c:ext xmlns:c16="http://schemas.microsoft.com/office/drawing/2014/chart" uri="{C3380CC4-5D6E-409C-BE32-E72D297353CC}">
                <c16:uniqueId val="{0000000B-00BD-4525-A675-ABA151AFCBE8}"/>
              </c:ext>
            </c:extLst>
          </c:dPt>
          <c:dLbls>
            <c:dLbl>
              <c:idx val="1"/>
              <c:spPr>
                <a:noFill/>
                <a:ln>
                  <a:noFill/>
                </a:ln>
                <a:effectLst/>
              </c:spPr>
              <c:txPr>
                <a:bodyPr rot="0" spcFirstLastPara="1" vertOverflow="ellipsis" vert="horz" wrap="square" lIns="38100" tIns="19050" rIns="38100" bIns="19050" anchor="ctr" anchorCtr="1">
                  <a:no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rect">
                      <a:avLst/>
                    </a:prstGeom>
                  </c15:spPr>
                </c:ext>
                <c:ext xmlns:c16="http://schemas.microsoft.com/office/drawing/2014/chart" uri="{C3380CC4-5D6E-409C-BE32-E72D297353CC}">
                  <c16:uniqueId val="{0000000F-D888-4927-8E23-39DAD6DD6CF0}"/>
                </c:ext>
              </c:extLst>
            </c:dLbl>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'Aux - Pivots2'!$B$67:$B$69</c:f>
              <c:strCache>
                <c:ptCount val="2"/>
                <c:pt idx="0">
                  <c:v>0. Cancelado</c:v>
                </c:pt>
                <c:pt idx="1">
                  <c:v>1. Concluído</c:v>
                </c:pt>
              </c:strCache>
            </c:strRef>
          </c:cat>
          <c:val>
            <c:numRef>
              <c:f>'Aux - Pivots2'!$C$67:$C$69</c:f>
              <c:numCache>
                <c:formatCode>General</c:formatCode>
                <c:ptCount val="2"/>
                <c:pt idx="0">
                  <c:v>12</c:v>
                </c:pt>
                <c:pt idx="1">
                  <c:v>196</c:v>
                </c:pt>
              </c:numCache>
            </c:numRef>
          </c:val>
          <c:extLst>
            <c:ext xmlns:c16="http://schemas.microsoft.com/office/drawing/2014/chart" uri="{C3380CC4-5D6E-409C-BE32-E72D297353CC}">
              <c16:uniqueId val="{0000000A-D888-4927-8E23-39DAD6DD6CF0}"/>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[Testes Pilar 3 - Plano_versão trabalho 8.6.xlsx]Aux - Pivots2!PivotTable7</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1"/>
          <c:showVal val="1"/>
          <c:showCatName val="1"/>
          <c:showSerName val="1"/>
          <c:showPercent val="1"/>
          <c:showBubbleSize val="1"/>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tx1">
              <a:lumMod val="65000"/>
              <a:lumOff val="35000"/>
            </a:schemeClr>
          </a:solidFill>
          <a:ln>
            <a:noFill/>
          </a:ln>
          <a:effectLst/>
        </c:spPr>
        <c:dLbl>
          <c:idx val="0"/>
          <c:layout>
            <c:manualLayout>
              <c:x val="0"/>
              <c:y val="-5.886497209707622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pivotFmt>
      <c:pivotFmt>
        <c:idx val="2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4"/>
        <c:dLbl>
          <c:idx val="0"/>
          <c:layout>
            <c:manualLayout>
              <c:x val="0"/>
              <c:y val="0"/>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5"/>
          </a:solidFill>
          <a:ln>
            <a:noFill/>
          </a:ln>
          <a:effectLst/>
        </c:spPr>
      </c:pivotFmt>
      <c:pivotFmt>
        <c:idx val="27"/>
      </c:pivotFmt>
      <c:pivotFmt>
        <c:idx val="28"/>
        <c:spPr>
          <a:solidFill>
            <a:schemeClr val="accent5"/>
          </a:solidFill>
          <a:ln>
            <a:noFill/>
          </a:ln>
          <a:effectLst/>
        </c:spPr>
      </c:pivotFmt>
      <c:pivotFmt>
        <c:idx val="29"/>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1"/>
        <c:spPr>
          <a:solidFill>
            <a:srgbClr val="FF0000"/>
          </a:solidFill>
          <a:ln>
            <a:noFill/>
          </a:ln>
          <a:effectLst/>
        </c:spPr>
      </c:pivotFmt>
      <c:pivotFmt>
        <c:idx val="32"/>
        <c:spPr>
          <a:solidFill>
            <a:srgbClr val="FF0000"/>
          </a:solidFill>
          <a:ln>
            <a:noFill/>
          </a:ln>
          <a:effectLst/>
        </c:spPr>
      </c:pivotFmt>
      <c:pivotFmt>
        <c:idx val="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34"/>
        <c:spPr>
          <a:solidFill>
            <a:srgbClr val="C00000"/>
          </a:solidFill>
          <a:ln>
            <a:noFill/>
          </a:ln>
          <a:effectLst/>
        </c:spPr>
        <c:dLbl>
          <c:idx val="0"/>
          <c:layout>
            <c:manualLayout>
              <c:x val="-1.5401653288654308E-3"/>
              <c:y val="-9.5763808616814463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5"/>
        <c:spPr>
          <a:solidFill>
            <a:srgbClr val="FF0000"/>
          </a:solidFill>
          <a:ln>
            <a:noFill/>
          </a:ln>
          <a:effectLst/>
        </c:spPr>
        <c:marker>
          <c:symbol val="none"/>
        </c:marker>
      </c:pivotFmt>
      <c:pivotFmt>
        <c:idx val="36"/>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7"/>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9"/>
        <c:spPr>
          <a:solidFill>
            <a:srgbClr val="C00000"/>
          </a:solidFill>
          <a:ln>
            <a:noFill/>
          </a:ln>
          <a:effectLst/>
        </c:spPr>
      </c:pivotFmt>
      <c:pivotFmt>
        <c:idx val="40"/>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1"/>
        <c:spPr>
          <a:solidFill>
            <a:schemeClr val="accent5">
              <a:lumMod val="75000"/>
            </a:schemeClr>
          </a:solidFill>
          <a:ln>
            <a:noFill/>
          </a:ln>
          <a:effectLst/>
        </c:spPr>
        <c:marker>
          <c:symbol val="none"/>
        </c:marker>
      </c:pivotFmt>
      <c:pivotFmt>
        <c:idx val="42"/>
        <c:spPr>
          <a:solidFill>
            <a:schemeClr val="tx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4"/>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6"/>
      </c:pivotFmt>
      <c:pivotFmt>
        <c:idx val="47"/>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8"/>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0"/>
        <c:spPr>
          <a:solidFill>
            <a:schemeClr val="tx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2"/>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3"/>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4"/>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5"/>
        <c:spPr>
          <a:solidFill>
            <a:srgbClr val="6E7678"/>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56"/>
        <c:spPr>
          <a:solidFill>
            <a:srgbClr val="62B967"/>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57"/>
        <c:spPr>
          <a:solidFill>
            <a:srgbClr val="FFCB3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8"/>
        <c:spPr>
          <a:solidFill>
            <a:srgbClr val="FFCB32">
              <a:lumMod val="50000"/>
            </a:srgb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9"/>
        <c:spPr>
          <a:solidFill>
            <a:srgbClr val="EB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0"/>
        <c:spPr>
          <a:solidFill>
            <a:schemeClr val="accent1"/>
          </a:solidFill>
          <a:ln>
            <a:noFill/>
          </a:ln>
          <a:effectLst/>
        </c:spPr>
        <c:marker>
          <c:symbol val="none"/>
        </c:marker>
      </c:pivotFmt>
      <c:pivotFmt>
        <c:idx val="61"/>
        <c:spPr>
          <a:solidFill>
            <a:schemeClr val="accent1"/>
          </a:solidFill>
          <a:ln>
            <a:noFill/>
          </a:ln>
          <a:effectLst/>
        </c:spPr>
        <c:marker>
          <c:symbol val="none"/>
        </c:marker>
      </c:pivotFmt>
      <c:pivotFmt>
        <c:idx val="62"/>
        <c:spPr>
          <a:solidFill>
            <a:schemeClr val="accent1"/>
          </a:solidFill>
          <a:ln>
            <a:noFill/>
          </a:ln>
          <a:effectLst/>
        </c:spPr>
        <c:marker>
          <c:symbol val="none"/>
        </c:marker>
      </c:pivotFmt>
      <c:pivotFmt>
        <c:idx val="63"/>
        <c:spPr>
          <a:solidFill>
            <a:schemeClr val="accent1"/>
          </a:solidFill>
          <a:ln>
            <a:noFill/>
          </a:ln>
          <a:effectLst/>
        </c:spPr>
        <c:marker>
          <c:symbol val="none"/>
        </c:marker>
      </c:pivotFmt>
      <c:pivotFmt>
        <c:idx val="64"/>
        <c:spPr>
          <a:solidFill>
            <a:schemeClr val="accent1"/>
          </a:solidFill>
          <a:ln>
            <a:noFill/>
          </a:ln>
          <a:effectLst/>
        </c:spPr>
        <c:marker>
          <c:symbol val="none"/>
        </c:marker>
      </c:pivotFmt>
      <c:pivotFmt>
        <c:idx val="65"/>
        <c:spPr>
          <a:solidFill>
            <a:srgbClr val="FFCB32">
              <a:lumMod val="50000"/>
            </a:srgbClr>
          </a:solidFill>
          <a:ln>
            <a:noFill/>
          </a:ln>
          <a:effectLst/>
        </c:spPr>
        <c:dLbl>
          <c:idx val="0"/>
          <c:layout>
            <c:manualLayout>
              <c:x val="-2.8934074394973658E-3"/>
              <c:y val="-1.6505196055091001E-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6"/>
        <c:spPr>
          <a:solidFill>
            <a:schemeClr val="accent1"/>
          </a:solidFill>
          <a:ln>
            <a:noFill/>
          </a:ln>
          <a:effectLst/>
        </c:spPr>
        <c:marker>
          <c:symbol val="none"/>
        </c:marker>
      </c:pivotFmt>
      <c:pivotFmt>
        <c:idx val="67"/>
        <c:spPr>
          <a:solidFill>
            <a:schemeClr val="accent1"/>
          </a:solidFill>
          <a:ln>
            <a:noFill/>
          </a:ln>
          <a:effectLst/>
        </c:spPr>
        <c:marker>
          <c:symbol val="none"/>
        </c:marker>
      </c:pivotFmt>
      <c:pivotFmt>
        <c:idx val="68"/>
        <c:spPr>
          <a:solidFill>
            <a:srgbClr val="C00000"/>
          </a:solidFill>
          <a:ln>
            <a:noFill/>
          </a:ln>
          <a:effectLst/>
        </c:spPr>
      </c:pivotFmt>
    </c:pivotFmts>
    <c:plotArea>
      <c:layout>
        <c:manualLayout>
          <c:layoutTarget val="inner"/>
          <c:xMode val="edge"/>
          <c:yMode val="edge"/>
          <c:x val="0.26960897220972846"/>
          <c:y val="0"/>
          <c:w val="0.7055353637263142"/>
          <c:h val="0.96094787365784518"/>
        </c:manualLayout>
      </c:layout>
      <c:barChart>
        <c:barDir val="bar"/>
        <c:grouping val="stacked"/>
        <c:varyColors val="0"/>
        <c:ser>
          <c:idx val="0"/>
          <c:order val="0"/>
          <c:tx>
            <c:strRef>
              <c:f>'Aux - Pivots2'!$C$87:$C$88</c:f>
              <c:strCache>
                <c:ptCount val="1"/>
                <c:pt idx="0">
                  <c:v>0. Cancelado</c:v>
                </c:pt>
              </c:strCache>
            </c:strRef>
          </c:tx>
          <c:spPr>
            <a:solidFill>
              <a:srgbClr val="6E7678"/>
            </a:solidFill>
            <a:ln>
              <a:noFill/>
            </a:ln>
            <a:effectLst/>
          </c:spPr>
          <c:invertIfNegative val="0"/>
          <c:dPt>
            <c:idx val="4"/>
            <c:invertIfNegative val="0"/>
            <c:bubble3D val="0"/>
            <c:extLst>
              <c:ext xmlns:c16="http://schemas.microsoft.com/office/drawing/2014/chart" uri="{C3380CC4-5D6E-409C-BE32-E72D297353CC}">
                <c16:uniqueId val="{00000005-B666-4CCE-9846-E24A498DDF7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Pivots2'!$B$89:$B$104</c:f>
              <c:strCache>
                <c:ptCount val="15"/>
                <c:pt idx="0">
                  <c:v>modesg_param_sfics_taxon_europeia</c:v>
                </c:pt>
                <c:pt idx="1">
                  <c:v>modesg_out_sfics_taxon_europeia</c:v>
                </c:pt>
                <c:pt idx="2">
                  <c:v>modesg_out_emss_vcls</c:v>
                </c:pt>
                <c:pt idx="3">
                  <c:v>modesg_out_empr_info_nfin</c:v>
                </c:pt>
                <c:pt idx="4">
                  <c:v>modesg_out_bens_imoveis</c:v>
                </c:pt>
                <c:pt idx="5">
                  <c:v>modesg_inp_risco_fisico_zipcode</c:v>
                </c:pt>
                <c:pt idx="6">
                  <c:v>modesg_inp_risco_fisico</c:v>
                </c:pt>
                <c:pt idx="7">
                  <c:v>modesg_inp_project_finance</c:v>
                </c:pt>
                <c:pt idx="8">
                  <c:v>modesg_inp_nfrd_alinhamento_tax</c:v>
                </c:pt>
                <c:pt idx="9">
                  <c:v>modesg_inp_km_medios_emss_vcls</c:v>
                </c:pt>
                <c:pt idx="10">
                  <c:v>modesg_inp_emss_vcls</c:v>
                </c:pt>
                <c:pt idx="11">
                  <c:v>modesg_inp_emss_scib</c:v>
                </c:pt>
                <c:pt idx="12">
                  <c:v>modesg_inp_emss_nace</c:v>
                </c:pt>
                <c:pt idx="13">
                  <c:v>modesg_inp_emss_bens_imoveis</c:v>
                </c:pt>
                <c:pt idx="14">
                  <c:v>modesg_inp_empr_excl_paris</c:v>
                </c:pt>
              </c:strCache>
            </c:strRef>
          </c:cat>
          <c:val>
            <c:numRef>
              <c:f>'Aux - Pivots2'!$C$89:$C$104</c:f>
              <c:numCache>
                <c:formatCode>General</c:formatCode>
                <c:ptCount val="15"/>
                <c:pt idx="0">
                  <c:v>4</c:v>
                </c:pt>
                <c:pt idx="1">
                  <c:v>4</c:v>
                </c:pt>
                <c:pt idx="9">
                  <c:v>3</c:v>
                </c:pt>
                <c:pt idx="12">
                  <c:v>7</c:v>
                </c:pt>
                <c:pt idx="13">
                  <c:v>1</c:v>
                </c:pt>
              </c:numCache>
            </c:numRef>
          </c:val>
          <c:extLst>
            <c:ext xmlns:c16="http://schemas.microsoft.com/office/drawing/2014/chart" uri="{C3380CC4-5D6E-409C-BE32-E72D297353CC}">
              <c16:uniqueId val="{00000000-B666-4CCE-9846-E24A498DDF73}"/>
            </c:ext>
          </c:extLst>
        </c:ser>
        <c:ser>
          <c:idx val="1"/>
          <c:order val="1"/>
          <c:tx>
            <c:strRef>
              <c:f>'Aux - Pivots2'!$D$87:$D$88</c:f>
              <c:strCache>
                <c:ptCount val="1"/>
                <c:pt idx="0">
                  <c:v>1. Concluído</c:v>
                </c:pt>
              </c:strCache>
            </c:strRef>
          </c:tx>
          <c:spPr>
            <a:solidFill>
              <a:srgbClr val="62B967"/>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Pivots2'!$B$89:$B$104</c:f>
              <c:strCache>
                <c:ptCount val="15"/>
                <c:pt idx="0">
                  <c:v>modesg_param_sfics_taxon_europeia</c:v>
                </c:pt>
                <c:pt idx="1">
                  <c:v>modesg_out_sfics_taxon_europeia</c:v>
                </c:pt>
                <c:pt idx="2">
                  <c:v>modesg_out_emss_vcls</c:v>
                </c:pt>
                <c:pt idx="3">
                  <c:v>modesg_out_empr_info_nfin</c:v>
                </c:pt>
                <c:pt idx="4">
                  <c:v>modesg_out_bens_imoveis</c:v>
                </c:pt>
                <c:pt idx="5">
                  <c:v>modesg_inp_risco_fisico_zipcode</c:v>
                </c:pt>
                <c:pt idx="6">
                  <c:v>modesg_inp_risco_fisico</c:v>
                </c:pt>
                <c:pt idx="7">
                  <c:v>modesg_inp_project_finance</c:v>
                </c:pt>
                <c:pt idx="8">
                  <c:v>modesg_inp_nfrd_alinhamento_tax</c:v>
                </c:pt>
                <c:pt idx="9">
                  <c:v>modesg_inp_km_medios_emss_vcls</c:v>
                </c:pt>
                <c:pt idx="10">
                  <c:v>modesg_inp_emss_vcls</c:v>
                </c:pt>
                <c:pt idx="11">
                  <c:v>modesg_inp_emss_scib</c:v>
                </c:pt>
                <c:pt idx="12">
                  <c:v>modesg_inp_emss_nace</c:v>
                </c:pt>
                <c:pt idx="13">
                  <c:v>modesg_inp_emss_bens_imoveis</c:v>
                </c:pt>
                <c:pt idx="14">
                  <c:v>modesg_inp_empr_excl_paris</c:v>
                </c:pt>
              </c:strCache>
            </c:strRef>
          </c:cat>
          <c:val>
            <c:numRef>
              <c:f>'Aux - Pivots2'!$D$89:$D$104</c:f>
              <c:numCache>
                <c:formatCode>General</c:formatCode>
                <c:ptCount val="15"/>
                <c:pt idx="0">
                  <c:v>44</c:v>
                </c:pt>
                <c:pt idx="1">
                  <c:v>8</c:v>
                </c:pt>
                <c:pt idx="2">
                  <c:v>15</c:v>
                </c:pt>
                <c:pt idx="3">
                  <c:v>54</c:v>
                </c:pt>
                <c:pt idx="4">
                  <c:v>18</c:v>
                </c:pt>
                <c:pt idx="5">
                  <c:v>5</c:v>
                </c:pt>
                <c:pt idx="6">
                  <c:v>6</c:v>
                </c:pt>
                <c:pt idx="7">
                  <c:v>9</c:v>
                </c:pt>
                <c:pt idx="8">
                  <c:v>41</c:v>
                </c:pt>
                <c:pt idx="9">
                  <c:v>6</c:v>
                </c:pt>
                <c:pt idx="10">
                  <c:v>17</c:v>
                </c:pt>
                <c:pt idx="11">
                  <c:v>17</c:v>
                </c:pt>
                <c:pt idx="12">
                  <c:v>14</c:v>
                </c:pt>
                <c:pt idx="13">
                  <c:v>17</c:v>
                </c:pt>
                <c:pt idx="14">
                  <c:v>7</c:v>
                </c:pt>
              </c:numCache>
            </c:numRef>
          </c:val>
          <c:extLst>
            <c:ext xmlns:c16="http://schemas.microsoft.com/office/drawing/2014/chart" uri="{C3380CC4-5D6E-409C-BE32-E72D297353CC}">
              <c16:uniqueId val="{00000001-B666-4CCE-9846-E24A498DDF73}"/>
            </c:ext>
          </c:extLst>
        </c:ser>
        <c:ser>
          <c:idx val="2"/>
          <c:order val="2"/>
          <c:tx>
            <c:strRef>
              <c:f>'Aux - Pivots2'!$E$87:$E$88</c:f>
              <c:strCache>
                <c:ptCount val="1"/>
                <c:pt idx="0">
                  <c:v>5. Em Correção</c:v>
                </c:pt>
              </c:strCache>
            </c:strRef>
          </c:tx>
          <c:spPr>
            <a:solidFill>
              <a:schemeClr val="accent3"/>
            </a:solidFill>
            <a:ln>
              <a:noFill/>
            </a:ln>
            <a:effectLst/>
          </c:spPr>
          <c:invertIfNegative val="0"/>
          <c:dPt>
            <c:idx val="1"/>
            <c:invertIfNegative val="0"/>
            <c:bubble3D val="0"/>
            <c:spPr>
              <a:solidFill>
                <a:srgbClr val="C00000"/>
              </a:solidFill>
              <a:ln>
                <a:noFill/>
              </a:ln>
              <a:effectLst/>
            </c:spPr>
            <c:extLst>
              <c:ext xmlns:c16="http://schemas.microsoft.com/office/drawing/2014/chart" uri="{C3380CC4-5D6E-409C-BE32-E72D297353CC}">
                <c16:uniqueId val="{00000002-92F8-451C-8C09-DE580A6F5219}"/>
              </c:ext>
            </c:extLst>
          </c:dPt>
          <c:dPt>
            <c:idx val="2"/>
            <c:invertIfNegative val="0"/>
            <c:bubble3D val="0"/>
            <c:extLst>
              <c:ext xmlns:c16="http://schemas.microsoft.com/office/drawing/2014/chart" uri="{C3380CC4-5D6E-409C-BE32-E72D297353CC}">
                <c16:uniqueId val="{00000003-5848-499A-9289-57D9A81F10FE}"/>
              </c:ext>
            </c:extLst>
          </c:dPt>
          <c:dPt>
            <c:idx val="5"/>
            <c:invertIfNegative val="0"/>
            <c:bubble3D val="0"/>
            <c:extLst>
              <c:ext xmlns:c16="http://schemas.microsoft.com/office/drawing/2014/chart" uri="{C3380CC4-5D6E-409C-BE32-E72D297353CC}">
                <c16:uniqueId val="{00000003-0C47-48EA-8257-3ED5550BA127}"/>
              </c:ext>
            </c:extLst>
          </c:dPt>
          <c:dLbls>
            <c:delete val="1"/>
          </c:dLbls>
          <c:cat>
            <c:strRef>
              <c:f>'Aux - Pivots2'!$B$89:$B$104</c:f>
              <c:strCache>
                <c:ptCount val="15"/>
                <c:pt idx="0">
                  <c:v>modesg_param_sfics_taxon_europeia</c:v>
                </c:pt>
                <c:pt idx="1">
                  <c:v>modesg_out_sfics_taxon_europeia</c:v>
                </c:pt>
                <c:pt idx="2">
                  <c:v>modesg_out_emss_vcls</c:v>
                </c:pt>
                <c:pt idx="3">
                  <c:v>modesg_out_empr_info_nfin</c:v>
                </c:pt>
                <c:pt idx="4">
                  <c:v>modesg_out_bens_imoveis</c:v>
                </c:pt>
                <c:pt idx="5">
                  <c:v>modesg_inp_risco_fisico_zipcode</c:v>
                </c:pt>
                <c:pt idx="6">
                  <c:v>modesg_inp_risco_fisico</c:v>
                </c:pt>
                <c:pt idx="7">
                  <c:v>modesg_inp_project_finance</c:v>
                </c:pt>
                <c:pt idx="8">
                  <c:v>modesg_inp_nfrd_alinhamento_tax</c:v>
                </c:pt>
                <c:pt idx="9">
                  <c:v>modesg_inp_km_medios_emss_vcls</c:v>
                </c:pt>
                <c:pt idx="10">
                  <c:v>modesg_inp_emss_vcls</c:v>
                </c:pt>
                <c:pt idx="11">
                  <c:v>modesg_inp_emss_scib</c:v>
                </c:pt>
                <c:pt idx="12">
                  <c:v>modesg_inp_emss_nace</c:v>
                </c:pt>
                <c:pt idx="13">
                  <c:v>modesg_inp_emss_bens_imoveis</c:v>
                </c:pt>
                <c:pt idx="14">
                  <c:v>modesg_inp_empr_excl_paris</c:v>
                </c:pt>
              </c:strCache>
            </c:strRef>
          </c:cat>
          <c:val>
            <c:numRef>
              <c:f>'Aux - Pivots2'!$E$89:$E$104</c:f>
              <c:numCache>
                <c:formatCode>General</c:formatCode>
                <c:ptCount val="15"/>
                <c:pt idx="1">
                  <c:v>5</c:v>
                </c:pt>
              </c:numCache>
            </c:numRef>
          </c:val>
          <c:extLst>
            <c:ext xmlns:c16="http://schemas.microsoft.com/office/drawing/2014/chart" uri="{C3380CC4-5D6E-409C-BE32-E72D297353CC}">
              <c16:uniqueId val="{00000002-B666-4CCE-9846-E24A498DDF73}"/>
            </c:ext>
          </c:extLst>
        </c:ser>
        <c:dLbls>
          <c:dLblPos val="ctr"/>
          <c:showLegendKey val="0"/>
          <c:showVal val="1"/>
          <c:showCatName val="0"/>
          <c:showSerName val="0"/>
          <c:showPercent val="0"/>
          <c:showBubbleSize val="0"/>
        </c:dLbls>
        <c:gapWidth val="219"/>
        <c:overlap val="100"/>
        <c:axId val="830591535"/>
        <c:axId val="830592495"/>
      </c:barChart>
      <c:catAx>
        <c:axId val="830591535"/>
        <c:scaling>
          <c:orientation val="minMax"/>
        </c:scaling>
        <c:delete val="0"/>
        <c:axPos val="l"/>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Santander Text" panose="020B0504020201020104" pitchFamily="34" charset="0"/>
                <a:ea typeface="+mn-ea"/>
                <a:cs typeface="+mn-cs"/>
              </a:defRPr>
            </a:pPr>
            <a:endParaRPr lang="pt-PT"/>
          </a:p>
        </c:txPr>
        <c:crossAx val="830592495"/>
        <c:crosses val="autoZero"/>
        <c:auto val="1"/>
        <c:lblAlgn val="ctr"/>
        <c:lblOffset val="100"/>
        <c:noMultiLvlLbl val="0"/>
      </c:catAx>
      <c:valAx>
        <c:axId val="830592495"/>
        <c:scaling>
          <c:orientation val="minMax"/>
        </c:scaling>
        <c:delete val="1"/>
        <c:axPos val="b"/>
        <c:numFmt formatCode="General" sourceLinked="1"/>
        <c:majorTickMark val="none"/>
        <c:minorTickMark val="none"/>
        <c:tickLblPos val="nextTo"/>
        <c:crossAx val="8305915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latin typeface="Santander Text" panose="020B0504020201020104" pitchFamily="34" charset="0"/>
        </a:defRPr>
      </a:pPr>
      <a:endParaRPr lang="pt-PT"/>
    </a:p>
  </c:txPr>
  <c:printSettings>
    <c:headerFooter/>
    <c:pageMargins b="0.75" l="0.7" r="0.7" t="0.75" header="0.3" footer="0.3"/>
    <c:pageSetup/>
  </c:printSettings>
  <c:userShapes r:id="rId4"/>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Pilar 3 - Plano_versão trabalho 8.6.xlsx]Aux - Pivots2!PivotTable8</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c:spPr>
      </c:pivotFmt>
      <c:pivotFmt>
        <c:idx val="8"/>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4"/>
          </a:solidFill>
          <a:ln>
            <a:solidFill>
              <a:schemeClr val="bg1"/>
            </a:solidFill>
          </a:ln>
          <a:effectLst/>
        </c:spPr>
      </c:pivotFmt>
      <c:pivotFmt>
        <c:idx val="10"/>
        <c:spPr>
          <a:solidFill>
            <a:schemeClr val="accent6">
              <a:lumMod val="75000"/>
            </a:schemeClr>
          </a:solidFill>
          <a:ln>
            <a:solidFill>
              <a:schemeClr val="bg1"/>
            </a:solidFill>
          </a:ln>
          <a:effectLst/>
        </c:spPr>
      </c:pivotFmt>
      <c:pivotFmt>
        <c:idx val="11"/>
        <c:spPr>
          <a:solidFill>
            <a:schemeClr val="accent5">
              <a:lumMod val="75000"/>
            </a:schemeClr>
          </a:solidFill>
          <a:ln>
            <a:solidFill>
              <a:schemeClr val="bg1"/>
            </a:solidFill>
          </a:ln>
          <a:effectLst/>
        </c:spPr>
      </c:pivotFmt>
      <c:pivotFmt>
        <c:idx val="12"/>
        <c:spPr>
          <a:solidFill>
            <a:schemeClr val="accent5"/>
          </a:solidFill>
          <a:ln>
            <a:solidFill>
              <a:schemeClr val="bg1"/>
            </a:solidFill>
          </a:ln>
          <a:effectLst/>
        </c:spPr>
      </c:pivotFmt>
      <c:pivotFmt>
        <c:idx val="13"/>
        <c:spPr>
          <a:solidFill>
            <a:schemeClr val="accent1">
              <a:lumMod val="75000"/>
            </a:schemeClr>
          </a:solidFill>
          <a:ln>
            <a:solidFill>
              <a:schemeClr val="bg1"/>
            </a:solidFill>
          </a:ln>
          <a:effectLst/>
        </c:spPr>
      </c:pivotFmt>
      <c:pivotFmt>
        <c:idx val="14"/>
        <c:spPr>
          <a:solidFill>
            <a:schemeClr val="bg1">
              <a:lumMod val="75000"/>
            </a:schemeClr>
          </a:solidFill>
          <a:ln>
            <a:solidFill>
              <a:schemeClr val="bg1"/>
            </a:solidFill>
          </a:ln>
          <a:effectLst/>
        </c:spPr>
        <c:dLbl>
          <c:idx val="0"/>
          <c:layout>
            <c:manualLayout>
              <c:x val="0"/>
              <c:y val="-0.13908205841446453"/>
            </c:manualLayout>
          </c:layout>
          <c:spPr>
            <a:noFill/>
            <a:ln>
              <a:noFill/>
            </a:ln>
            <a:effectLst/>
          </c:spPr>
          <c:txPr>
            <a:bodyPr rot="0" spcFirstLastPara="1" vertOverflow="ellipsis" vert="horz" wrap="square" anchor="ctr" anchorCtr="1"/>
            <a:lstStyle/>
            <a:p>
              <a:pPr>
                <a:defRPr sz="105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5"/>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6"/>
        <c:spPr>
          <a:solidFill>
            <a:schemeClr val="accent1">
              <a:lumMod val="75000"/>
            </a:schemeClr>
          </a:solidFill>
          <a:ln>
            <a:solidFill>
              <a:schemeClr val="bg1"/>
            </a:solidFill>
          </a:ln>
          <a:effectLst/>
        </c:spPr>
      </c:pivotFmt>
      <c:pivotFmt>
        <c:idx val="17"/>
        <c:spPr>
          <a:solidFill>
            <a:schemeClr val="accent5">
              <a:lumMod val="75000"/>
            </a:schemeClr>
          </a:solidFill>
          <a:ln>
            <a:solidFill>
              <a:schemeClr val="bg1"/>
            </a:solidFill>
          </a:ln>
          <a:effectLst/>
        </c:spPr>
      </c:pivotFmt>
      <c:pivotFmt>
        <c:idx val="18"/>
        <c:spPr>
          <a:solidFill>
            <a:schemeClr val="accent6">
              <a:lumMod val="75000"/>
            </a:schemeClr>
          </a:solidFill>
          <a:ln>
            <a:solidFill>
              <a:schemeClr val="bg1"/>
            </a:solidFill>
          </a:ln>
          <a:effectLst/>
        </c:spPr>
      </c:pivotFmt>
      <c:pivotFmt>
        <c:idx val="19"/>
        <c:spPr>
          <a:solidFill>
            <a:schemeClr val="accent4"/>
          </a:solidFill>
          <a:ln>
            <a:solidFill>
              <a:schemeClr val="bg1"/>
            </a:solidFill>
          </a:ln>
          <a:effectLst/>
        </c:spPr>
      </c:pivotFmt>
      <c:pivotFmt>
        <c:idx val="20"/>
        <c:spPr>
          <a:solidFill>
            <a:schemeClr val="tx1">
              <a:lumMod val="50000"/>
              <a:lumOff val="50000"/>
            </a:schemeClr>
          </a:solidFill>
          <a:ln>
            <a:solidFill>
              <a:schemeClr val="bg1"/>
            </a:solidFill>
          </a:ln>
          <a:effectLst/>
        </c:spPr>
      </c:pivotFmt>
      <c:pivotFmt>
        <c:idx val="21"/>
        <c:spPr>
          <a:solidFill>
            <a:schemeClr val="bg1">
              <a:lumMod val="75000"/>
            </a:schemeClr>
          </a:solidFill>
          <a:ln>
            <a:solidFill>
              <a:schemeClr val="bg1"/>
            </a:solidFill>
          </a:ln>
          <a:effectLst/>
        </c:spPr>
        <c:dLbl>
          <c:idx val="0"/>
          <c:layout>
            <c:manualLayout>
              <c:x val="-1.3677872110818766E-2"/>
              <c:y val="-0.12943086091121364"/>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2"/>
        <c:spPr>
          <a:solidFill>
            <a:schemeClr val="accent5"/>
          </a:solidFill>
          <a:ln>
            <a:solidFill>
              <a:schemeClr val="bg1"/>
            </a:solidFill>
          </a:ln>
          <a:effectLst/>
        </c:spPr>
      </c:pivotFmt>
      <c:pivotFmt>
        <c:idx val="23"/>
        <c:spPr>
          <a:solidFill>
            <a:srgbClr val="FF0000"/>
          </a:solidFill>
          <a:ln>
            <a:solidFill>
              <a:schemeClr val="bg1"/>
            </a:solidFill>
          </a:ln>
          <a:effectLst/>
        </c:spPr>
        <c:dLbl>
          <c:idx val="0"/>
          <c:layout>
            <c:manualLayout>
              <c:x val="4.6354628235881551E-3"/>
              <c:y val="-2.2333257714690436E-17"/>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4"/>
        <c:spPr>
          <a:solidFill>
            <a:schemeClr val="tx1">
              <a:lumMod val="65000"/>
              <a:lumOff val="35000"/>
            </a:schemeClr>
          </a:solidFill>
          <a:ln>
            <a:solidFill>
              <a:schemeClr val="bg1"/>
            </a:solidFill>
          </a:ln>
          <a:effectLst/>
        </c:spPr>
        <c:dLbl>
          <c:idx val="0"/>
          <c:layout>
            <c:manualLayout>
              <c:x val="9.2709256471763101E-3"/>
              <c:y val="-4.8727670640849464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5"/>
        <c:spPr>
          <a:solidFill>
            <a:schemeClr val="accent1"/>
          </a:solidFill>
          <a:ln>
            <a:solidFill>
              <a:schemeClr val="bg1"/>
            </a:solidFill>
          </a:ln>
          <a:effectLst/>
        </c:spPr>
      </c:pivotFmt>
      <c:pivotFmt>
        <c:idx val="26"/>
        <c:spPr>
          <a:solidFill>
            <a:srgbClr val="C00000"/>
          </a:solidFill>
          <a:ln>
            <a:solidFill>
              <a:schemeClr val="bg1"/>
            </a:solidFill>
          </a:ln>
          <a:effectLst/>
        </c:spPr>
      </c:pivotFmt>
      <c:pivotFmt>
        <c:idx val="27"/>
        <c:spPr>
          <a:solidFill>
            <a:schemeClr val="accent1"/>
          </a:solidFill>
          <a:ln>
            <a:noFill/>
          </a:ln>
          <a:effectLst/>
        </c:spPr>
        <c:marker>
          <c:symbol val="none"/>
        </c:marker>
      </c:pivotFmt>
      <c:pivotFmt>
        <c:idx val="28"/>
        <c:spPr>
          <a:solidFill>
            <a:schemeClr val="accent1"/>
          </a:solidFill>
          <a:ln>
            <a:noFill/>
          </a:ln>
          <a:effectLst/>
        </c:spPr>
        <c:marker>
          <c:symbol val="none"/>
        </c:marker>
      </c:pivotFmt>
      <c:pivotFmt>
        <c:idx val="29"/>
        <c:spPr>
          <a:solidFill>
            <a:schemeClr val="accent1"/>
          </a:solidFill>
          <a:ln>
            <a:noFill/>
          </a:ln>
          <a:effectLst/>
        </c:spPr>
      </c:pivotFmt>
      <c:pivotFmt>
        <c:idx val="30"/>
        <c:spPr>
          <a:solidFill>
            <a:schemeClr val="accent1"/>
          </a:solidFill>
          <a:ln>
            <a:noFill/>
          </a:ln>
          <a:effectLst/>
        </c:spPr>
      </c:pivotFmt>
      <c:pivotFmt>
        <c:idx val="31"/>
        <c:spPr>
          <a:solidFill>
            <a:schemeClr val="accent1"/>
          </a:solidFill>
          <a:ln>
            <a:noFill/>
          </a:ln>
          <a:effectLst/>
        </c:spPr>
      </c:pivotFmt>
      <c:pivotFmt>
        <c:idx val="32"/>
        <c:spPr>
          <a:solidFill>
            <a:schemeClr val="accent1"/>
          </a:solidFill>
          <a:ln>
            <a:noFill/>
          </a:ln>
          <a:effectLst/>
        </c:spPr>
      </c:pivotFmt>
      <c:pivotFmt>
        <c:idx val="33"/>
        <c:spPr>
          <a:solidFill>
            <a:schemeClr val="accent1"/>
          </a:solidFill>
          <a:ln>
            <a:noFill/>
          </a:ln>
          <a:effectLst/>
        </c:spPr>
      </c:pivotFmt>
      <c:pivotFmt>
        <c:idx val="34"/>
        <c:spPr>
          <a:solidFill>
            <a:schemeClr val="accent1"/>
          </a:solidFill>
          <a:ln>
            <a:noFill/>
          </a:ln>
          <a:effectLst/>
        </c:spPr>
      </c:pivotFmt>
      <c:pivotFmt>
        <c:idx val="35"/>
        <c:spPr>
          <a:solidFill>
            <a:schemeClr val="accent4"/>
          </a:solidFill>
          <a:ln>
            <a:solidFill>
              <a:schemeClr val="bg1"/>
            </a:solidFill>
          </a:ln>
          <a:effectLst/>
        </c:spPr>
      </c:pivotFmt>
      <c:pivotFmt>
        <c:idx val="36"/>
        <c:spPr>
          <a:solidFill>
            <a:schemeClr val="accent6"/>
          </a:solidFill>
          <a:ln>
            <a:noFill/>
          </a:ln>
          <a:effectLst/>
        </c:spPr>
      </c:pivotFmt>
      <c:pivotFmt>
        <c:idx val="37"/>
        <c:spPr>
          <a:solidFill>
            <a:schemeClr val="accent5"/>
          </a:solidFill>
          <a:ln>
            <a:solidFill>
              <a:schemeClr val="bg1"/>
            </a:solidFill>
          </a:ln>
          <a:effectLst/>
        </c:spPr>
        <c:dLbl>
          <c:idx val="0"/>
          <c:layout>
            <c:manualLayout>
              <c:x val="-1.8431474282106775E-2"/>
              <c:y val="4.8483497286451191E-3"/>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38"/>
        <c:spPr>
          <a:solidFill>
            <a:srgbClr val="C00000"/>
          </a:solidFill>
          <a:ln>
            <a:solidFill>
              <a:schemeClr val="bg1"/>
            </a:solidFill>
          </a:ln>
          <a:effectLst/>
        </c:spPr>
        <c:dLbl>
          <c:idx val="0"/>
          <c:layout>
            <c:manualLayout>
              <c:x val="4.1470817134740247E-2"/>
              <c:y val="-2.4241748643225595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39"/>
        <c:spPr>
          <a:solidFill>
            <a:schemeClr val="accent1"/>
          </a:solidFill>
          <a:ln>
            <a:solidFill>
              <a:schemeClr val="bg1"/>
            </a:solidFill>
          </a:ln>
          <a:effectLst/>
        </c:spPr>
        <c:dLbl>
          <c:idx val="0"/>
          <c:layout>
            <c:manualLayout>
              <c:x val="2.8532847942368219E-3"/>
              <c:y val="2.2291456404405635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40"/>
        <c:spPr>
          <a:solidFill>
            <a:schemeClr val="tx2"/>
          </a:solidFill>
          <a:ln>
            <a:solidFill>
              <a:schemeClr val="bg1"/>
            </a:solidFill>
          </a:ln>
          <a:effectLst/>
        </c:spPr>
      </c:pivotFmt>
      <c:pivotFmt>
        <c:idx val="41"/>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42"/>
        <c:spPr>
          <a:solidFill>
            <a:schemeClr val="accent4"/>
          </a:solidFill>
          <a:ln>
            <a:solidFill>
              <a:schemeClr val="bg1"/>
            </a:solidFill>
          </a:ln>
          <a:effectLst/>
        </c:spPr>
      </c:pivotFmt>
      <c:pivotFmt>
        <c:idx val="43"/>
        <c:spPr>
          <a:solidFill>
            <a:schemeClr val="accent1"/>
          </a:solidFill>
          <a:ln>
            <a:solidFill>
              <a:schemeClr val="bg1"/>
            </a:solidFill>
          </a:ln>
          <a:effectLst/>
        </c:spPr>
      </c:pivotFmt>
      <c:pivotFmt>
        <c:idx val="44"/>
        <c:spPr>
          <a:solidFill>
            <a:schemeClr val="accent1">
              <a:lumMod val="75000"/>
            </a:schemeClr>
          </a:solidFill>
          <a:ln>
            <a:solidFill>
              <a:schemeClr val="bg1"/>
            </a:solidFill>
          </a:ln>
          <a:effectLst/>
        </c:spPr>
      </c:pivotFmt>
      <c:pivotFmt>
        <c:idx val="45"/>
        <c:spPr>
          <a:solidFill>
            <a:schemeClr val="accent6">
              <a:lumMod val="50000"/>
            </a:schemeClr>
          </a:solidFill>
          <a:ln>
            <a:solidFill>
              <a:schemeClr val="bg1"/>
            </a:solidFill>
          </a:ln>
          <a:effectLst/>
        </c:spPr>
      </c:pivotFmt>
      <c:pivotFmt>
        <c:idx val="46"/>
        <c:spPr>
          <a:solidFill>
            <a:srgbClr val="FF0000"/>
          </a:solidFill>
          <a:ln>
            <a:solidFill>
              <a:schemeClr val="bg1"/>
            </a:solidFill>
          </a:ln>
          <a:effectLst/>
        </c:spPr>
      </c:pivotFmt>
      <c:pivotFmt>
        <c:idx val="47"/>
        <c:spPr>
          <a:solidFill>
            <a:schemeClr val="accent5">
              <a:lumMod val="75000"/>
            </a:schemeClr>
          </a:solidFill>
          <a:ln>
            <a:solidFill>
              <a:schemeClr val="bg1"/>
            </a:solidFill>
          </a:ln>
          <a:effectLst/>
        </c:spPr>
      </c:pivotFmt>
      <c:pivotFmt>
        <c:idx val="48"/>
        <c:spPr>
          <a:solidFill>
            <a:schemeClr val="bg1">
              <a:lumMod val="85000"/>
            </a:schemeClr>
          </a:solidFill>
          <a:ln>
            <a:solidFill>
              <a:schemeClr val="bg1"/>
            </a:solidFill>
          </a:ln>
          <a:effectLst/>
        </c:spPr>
        <c:dLbl>
          <c:idx val="0"/>
          <c:layout>
            <c:manualLayout>
              <c:x val="-3.1922524211184587E-3"/>
              <c:y val="-5.1770728256297589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49"/>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50"/>
        <c:spPr>
          <a:solidFill>
            <a:schemeClr val="tx2"/>
          </a:solidFill>
          <a:ln>
            <a:solidFill>
              <a:schemeClr val="bg1"/>
            </a:solidFill>
          </a:ln>
          <a:effectLst/>
        </c:spPr>
      </c:pivotFmt>
      <c:pivotFmt>
        <c:idx val="51"/>
        <c:spPr>
          <a:solidFill>
            <a:schemeClr val="accent4"/>
          </a:solidFill>
          <a:ln>
            <a:solidFill>
              <a:schemeClr val="bg1"/>
            </a:solidFill>
          </a:ln>
          <a:effectLst/>
        </c:spPr>
      </c:pivotFmt>
      <c:pivotFmt>
        <c:idx val="52"/>
        <c:spPr>
          <a:solidFill>
            <a:schemeClr val="accent1"/>
          </a:solidFill>
          <a:ln>
            <a:solidFill>
              <a:schemeClr val="bg1"/>
            </a:solidFill>
          </a:ln>
          <a:effectLst/>
        </c:spPr>
      </c:pivotFmt>
      <c:pivotFmt>
        <c:idx val="53"/>
        <c:spPr>
          <a:solidFill>
            <a:schemeClr val="accent5">
              <a:lumMod val="75000"/>
            </a:schemeClr>
          </a:solidFill>
          <a:ln>
            <a:solidFill>
              <a:schemeClr val="bg1"/>
            </a:solidFill>
          </a:ln>
          <a:effectLst/>
        </c:spPr>
      </c:pivotFmt>
      <c:pivotFmt>
        <c:idx val="54"/>
        <c:spPr>
          <a:solidFill>
            <a:schemeClr val="accent1"/>
          </a:solidFill>
          <a:ln>
            <a:solidFill>
              <a:schemeClr val="bg1"/>
            </a:solidFill>
          </a:ln>
          <a:effectLst/>
        </c:spPr>
      </c:pivotFmt>
      <c:pivotFmt>
        <c:idx val="55"/>
        <c:spPr>
          <a:solidFill>
            <a:schemeClr val="accent1"/>
          </a:solidFill>
          <a:ln>
            <a:solidFill>
              <a:schemeClr val="bg1"/>
            </a:solidFill>
          </a:ln>
          <a:effectLst/>
        </c:spPr>
      </c:pivotFmt>
      <c:pivotFmt>
        <c:idx val="56"/>
        <c:spPr>
          <a:solidFill>
            <a:schemeClr val="bg1">
              <a:lumMod val="85000"/>
            </a:schemeClr>
          </a:solidFill>
          <a:ln>
            <a:solidFill>
              <a:schemeClr val="bg1"/>
            </a:solidFill>
          </a:ln>
          <a:effectLst/>
        </c:spPr>
        <c:dLbl>
          <c:idx val="0"/>
          <c:layout>
            <c:manualLayout>
              <c:x val="-3.1922524211184587E-3"/>
              <c:y val="-5.1770728256297589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57"/>
        <c:spPr>
          <a:solidFill>
            <a:schemeClr val="accent1"/>
          </a:solidFill>
          <a:ln>
            <a:noFill/>
          </a:ln>
          <a:effectLst/>
        </c:spPr>
        <c:marker>
          <c:symbol val="none"/>
        </c:marker>
      </c:pivotFmt>
      <c:pivotFmt>
        <c:idx val="58"/>
        <c:spPr>
          <a:solidFill>
            <a:schemeClr val="accent1"/>
          </a:solidFill>
          <a:ln>
            <a:noFill/>
          </a:ln>
          <a:effectLst/>
        </c:spPr>
      </c:pivotFmt>
      <c:pivotFmt>
        <c:idx val="59"/>
        <c:spPr>
          <a:solidFill>
            <a:schemeClr val="accent1"/>
          </a:solidFill>
          <a:ln>
            <a:noFill/>
          </a:ln>
          <a:effectLst/>
        </c:spPr>
      </c:pivotFmt>
      <c:pivotFmt>
        <c:idx val="60"/>
        <c:spPr>
          <a:solidFill>
            <a:schemeClr val="accent1"/>
          </a:solidFill>
          <a:ln>
            <a:noFill/>
          </a:ln>
          <a:effectLst/>
        </c:spPr>
      </c:pivotFmt>
      <c:pivotFmt>
        <c:idx val="61"/>
        <c:spPr>
          <a:solidFill>
            <a:schemeClr val="accent1"/>
          </a:solidFill>
          <a:ln>
            <a:noFill/>
          </a:ln>
          <a:effectLst/>
        </c:spPr>
      </c:pivotFmt>
      <c:pivotFmt>
        <c:idx val="62"/>
        <c:spPr>
          <a:solidFill>
            <a:schemeClr val="accent1"/>
          </a:solidFill>
          <a:ln>
            <a:noFill/>
          </a:ln>
          <a:effectLst/>
        </c:spPr>
      </c:pivotFmt>
      <c:pivotFmt>
        <c:idx val="63"/>
        <c:spPr>
          <a:solidFill>
            <a:schemeClr val="accent1"/>
          </a:solidFill>
          <a:ln>
            <a:noFill/>
          </a:ln>
          <a:effectLst/>
        </c:spPr>
      </c:pivotFmt>
      <c:pivotFmt>
        <c:idx val="64"/>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ext>
          </c:extLst>
        </c:dLbl>
      </c:pivotFmt>
      <c:pivotFmt>
        <c:idx val="65"/>
        <c:spPr>
          <a:solidFill>
            <a:schemeClr val="accent4"/>
          </a:solidFill>
          <a:ln>
            <a:noFill/>
          </a:ln>
          <a:effectLst/>
        </c:spPr>
      </c:pivotFmt>
      <c:pivotFmt>
        <c:idx val="66"/>
        <c:spPr>
          <a:solidFill>
            <a:schemeClr val="tx2"/>
          </a:solidFill>
          <a:ln>
            <a:noFill/>
          </a:ln>
          <a:effectLst/>
        </c:spPr>
      </c:pivotFmt>
      <c:pivotFmt>
        <c:idx val="67"/>
        <c:spPr>
          <a:solidFill>
            <a:schemeClr val="bg1">
              <a:lumMod val="85000"/>
            </a:schemeClr>
          </a:solidFill>
          <a:ln>
            <a:noFill/>
          </a:ln>
          <a:effectLst/>
        </c:spPr>
      </c:pivotFmt>
      <c:pivotFmt>
        <c:idx val="68"/>
        <c:spPr>
          <a:solidFill>
            <a:schemeClr val="accent5">
              <a:lumMod val="75000"/>
            </a:schemeClr>
          </a:solidFill>
          <a:ln>
            <a:noFill/>
          </a:ln>
          <a:effectLst/>
        </c:spPr>
      </c:pivotFmt>
      <c:pivotFmt>
        <c:idx val="69"/>
        <c:spPr>
          <a:solidFill>
            <a:schemeClr val="accent6">
              <a:lumMod val="50000"/>
            </a:schemeClr>
          </a:solidFill>
          <a:ln>
            <a:noFill/>
          </a:ln>
          <a:effectLst/>
        </c:spPr>
      </c:pivotFmt>
      <c:pivotFmt>
        <c:idx val="70"/>
        <c:spPr>
          <a:solidFill>
            <a:schemeClr val="accent6"/>
          </a:solidFill>
          <a:ln>
            <a:noFill/>
          </a:ln>
          <a:effectLst/>
        </c:spPr>
      </c:pivotFmt>
      <c:pivotFmt>
        <c:idx val="71"/>
        <c:spPr>
          <a:solidFill>
            <a:srgbClr val="FF0000"/>
          </a:solidFill>
          <a:ln>
            <a:noFill/>
          </a:ln>
          <a:effectLst/>
        </c:spPr>
      </c:pivotFmt>
      <c:pivotFmt>
        <c:idx val="72"/>
        <c:spPr>
          <a:solidFill>
            <a:schemeClr val="accent6"/>
          </a:solidFill>
          <a:ln>
            <a:noFill/>
          </a:ln>
          <a:effectLst/>
        </c:spPr>
      </c:pivotFmt>
      <c:pivotFmt>
        <c:idx val="73"/>
        <c:spPr>
          <a:solidFill>
            <a:schemeClr val="accent1"/>
          </a:solidFill>
          <a:ln>
            <a:noFill/>
          </a:ln>
          <a:effectLst/>
        </c:spPr>
      </c:pivotFmt>
      <c:pivotFmt>
        <c:idx val="74"/>
        <c:spPr>
          <a:solidFill>
            <a:srgbClr val="C00000"/>
          </a:solidFill>
          <a:ln>
            <a:noFill/>
          </a:ln>
          <a:effectLst/>
        </c:spPr>
      </c:pivotFmt>
    </c:pivotFmts>
    <c:plotArea>
      <c:layout>
        <c:manualLayout>
          <c:layoutTarget val="inner"/>
          <c:xMode val="edge"/>
          <c:yMode val="edge"/>
          <c:x val="0.18700076385164979"/>
          <c:y val="0.24231772017073355"/>
          <c:w val="0.83574557945961592"/>
          <c:h val="0.75704814591589698"/>
        </c:manualLayout>
      </c:layout>
      <c:doughnutChart>
        <c:varyColors val="1"/>
        <c:ser>
          <c:idx val="0"/>
          <c:order val="0"/>
          <c:tx>
            <c:strRef>
              <c:f>'Aux - Pivots2'!$C$111</c:f>
              <c:strCache>
                <c:ptCount val="1"/>
                <c:pt idx="0">
                  <c:v>Total</c:v>
                </c:pt>
              </c:strCache>
            </c:strRef>
          </c:tx>
          <c:dPt>
            <c:idx val="0"/>
            <c:bubble3D val="0"/>
            <c:spPr>
              <a:solidFill>
                <a:schemeClr val="tx2"/>
              </a:solidFill>
              <a:ln>
                <a:noFill/>
              </a:ln>
              <a:effectLst/>
            </c:spPr>
            <c:extLst>
              <c:ext xmlns:c16="http://schemas.microsoft.com/office/drawing/2014/chart" uri="{C3380CC4-5D6E-409C-BE32-E72D297353CC}">
                <c16:uniqueId val="{00000012-75D4-4EB6-B42F-AB8E0C055C1D}"/>
              </c:ext>
            </c:extLst>
          </c:dPt>
          <c:dPt>
            <c:idx val="1"/>
            <c:bubble3D val="0"/>
            <c:spPr>
              <a:solidFill>
                <a:schemeClr val="accent4"/>
              </a:solidFill>
              <a:ln>
                <a:noFill/>
              </a:ln>
              <a:effectLst/>
            </c:spPr>
            <c:extLst>
              <c:ext xmlns:c16="http://schemas.microsoft.com/office/drawing/2014/chart" uri="{C3380CC4-5D6E-409C-BE32-E72D297353CC}">
                <c16:uniqueId val="{00000011-75D4-4EB6-B42F-AB8E0C055C1D}"/>
              </c:ext>
            </c:extLst>
          </c:dPt>
          <c:dPt>
            <c:idx val="2"/>
            <c:bubble3D val="0"/>
            <c:spPr>
              <a:solidFill>
                <a:srgbClr val="C00000"/>
              </a:solidFill>
              <a:ln>
                <a:noFill/>
              </a:ln>
              <a:effectLst/>
            </c:spPr>
            <c:extLst>
              <c:ext xmlns:c16="http://schemas.microsoft.com/office/drawing/2014/chart" uri="{C3380CC4-5D6E-409C-BE32-E72D297353CC}">
                <c16:uniqueId val="{00000010-75D4-4EB6-B42F-AB8E0C055C1D}"/>
              </c:ext>
            </c:extLst>
          </c:dPt>
          <c:dPt>
            <c:idx val="3"/>
            <c:bubble3D val="0"/>
            <c:spPr>
              <a:solidFill>
                <a:schemeClr val="accent4"/>
              </a:solidFill>
              <a:ln>
                <a:noFill/>
              </a:ln>
              <a:effectLst/>
            </c:spPr>
            <c:extLst>
              <c:ext xmlns:c16="http://schemas.microsoft.com/office/drawing/2014/chart" uri="{C3380CC4-5D6E-409C-BE32-E72D297353CC}">
                <c16:uniqueId val="{0000000F-75D4-4EB6-B42F-AB8E0C055C1D}"/>
              </c:ext>
            </c:extLst>
          </c:dPt>
          <c:dPt>
            <c:idx val="4"/>
            <c:bubble3D val="0"/>
            <c:spPr>
              <a:solidFill>
                <a:schemeClr val="accent5"/>
              </a:solidFill>
              <a:ln>
                <a:noFill/>
              </a:ln>
              <a:effectLst/>
            </c:spPr>
            <c:extLst>
              <c:ext xmlns:c16="http://schemas.microsoft.com/office/drawing/2014/chart" uri="{C3380CC4-5D6E-409C-BE32-E72D297353CC}">
                <c16:uniqueId val="{00000009-6DD8-496C-AAD9-6B132DEF52B5}"/>
              </c:ext>
            </c:extLst>
          </c:dPt>
          <c:dPt>
            <c:idx val="5"/>
            <c:bubble3D val="0"/>
            <c:spPr>
              <a:solidFill>
                <a:schemeClr val="accent6"/>
              </a:solidFill>
              <a:ln>
                <a:noFill/>
              </a:ln>
              <a:effectLst/>
            </c:spPr>
            <c:extLst>
              <c:ext xmlns:c16="http://schemas.microsoft.com/office/drawing/2014/chart" uri="{C3380CC4-5D6E-409C-BE32-E72D297353CC}">
                <c16:uniqueId val="{0000000E-75D4-4EB6-B42F-AB8E0C055C1D}"/>
              </c:ext>
            </c:extLst>
          </c:dPt>
          <c:dPt>
            <c:idx val="6"/>
            <c:bubble3D val="0"/>
            <c:spPr>
              <a:solidFill>
                <a:schemeClr val="accent1">
                  <a:lumMod val="60000"/>
                </a:schemeClr>
              </a:solidFill>
              <a:ln>
                <a:noFill/>
              </a:ln>
              <a:effectLst/>
            </c:spPr>
            <c:extLst>
              <c:ext xmlns:c16="http://schemas.microsoft.com/office/drawing/2014/chart" uri="{C3380CC4-5D6E-409C-BE32-E72D297353CC}">
                <c16:uniqueId val="{00000013-75D4-4EB6-B42F-AB8E0C055C1D}"/>
              </c:ext>
            </c:extLst>
          </c:dPt>
          <c:dPt>
            <c:idx val="7"/>
            <c:bubble3D val="0"/>
            <c:spPr>
              <a:solidFill>
                <a:schemeClr val="accent2">
                  <a:lumMod val="60000"/>
                </a:schemeClr>
              </a:solidFill>
              <a:ln>
                <a:noFill/>
              </a:ln>
              <a:effectLst/>
            </c:spPr>
            <c:extLst>
              <c:ext xmlns:c16="http://schemas.microsoft.com/office/drawing/2014/chart" uri="{C3380CC4-5D6E-409C-BE32-E72D297353CC}">
                <c16:uniqueId val="{0000000F-FE5A-4719-B4BC-CB8965555EFD}"/>
              </c:ext>
            </c:extLst>
          </c:dPt>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'Aux - Pivots2'!$B$112:$B$115</c:f>
              <c:strCache>
                <c:ptCount val="3"/>
                <c:pt idx="0">
                  <c:v>0. Cancelado</c:v>
                </c:pt>
                <c:pt idx="1">
                  <c:v>1. Concluído</c:v>
                </c:pt>
                <c:pt idx="2">
                  <c:v>5. Em Correção</c:v>
                </c:pt>
              </c:strCache>
            </c:strRef>
          </c:cat>
          <c:val>
            <c:numRef>
              <c:f>'Aux - Pivots2'!$C$112:$C$115</c:f>
              <c:numCache>
                <c:formatCode>General</c:formatCode>
                <c:ptCount val="3"/>
                <c:pt idx="0">
                  <c:v>19</c:v>
                </c:pt>
                <c:pt idx="1">
                  <c:v>278</c:v>
                </c:pt>
                <c:pt idx="2">
                  <c:v>5</c:v>
                </c:pt>
              </c:numCache>
            </c:numRef>
          </c:val>
          <c:extLst>
            <c:ext xmlns:c16="http://schemas.microsoft.com/office/drawing/2014/chart" uri="{C3380CC4-5D6E-409C-BE32-E72D297353CC}">
              <c16:uniqueId val="{0000000C-75D4-4EB6-B42F-AB8E0C055C1D}"/>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b="1">
          <a:solidFill>
            <a:schemeClr val="bg1"/>
          </a:solidFill>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[Testes Pilar 3 - Plano_versão trabalho 8.6.xlsx]Aux - Pivots2!PivotTable9</c:name>
    <c:fmtId val="7"/>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1"/>
          <c:showVal val="1"/>
          <c:showCatName val="1"/>
          <c:showSerName val="1"/>
          <c:showPercent val="1"/>
          <c:showBubbleSize val="1"/>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tx1">
              <a:lumMod val="65000"/>
              <a:lumOff val="35000"/>
            </a:schemeClr>
          </a:solidFill>
          <a:ln>
            <a:noFill/>
          </a:ln>
          <a:effectLst/>
        </c:spPr>
        <c:dLbl>
          <c:idx val="0"/>
          <c:layout>
            <c:manualLayout>
              <c:x val="0"/>
              <c:y val="-5.886497209707622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pivotFmt>
      <c:pivotFmt>
        <c:idx val="2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4"/>
        <c:dLbl>
          <c:idx val="0"/>
          <c:layout>
            <c:manualLayout>
              <c:x val="0"/>
              <c:y val="0"/>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5"/>
          </a:solidFill>
          <a:ln>
            <a:noFill/>
          </a:ln>
          <a:effectLst/>
        </c:spPr>
      </c:pivotFmt>
      <c:pivotFmt>
        <c:idx val="27"/>
      </c:pivotFmt>
      <c:pivotFmt>
        <c:idx val="28"/>
        <c:spPr>
          <a:solidFill>
            <a:schemeClr val="accent5"/>
          </a:solidFill>
          <a:ln>
            <a:noFill/>
          </a:ln>
          <a:effectLst/>
        </c:spPr>
      </c:pivotFmt>
      <c:pivotFmt>
        <c:idx val="29"/>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1"/>
        <c:spPr>
          <a:solidFill>
            <a:srgbClr val="FF0000"/>
          </a:solidFill>
          <a:ln>
            <a:noFill/>
          </a:ln>
          <a:effectLst/>
        </c:spPr>
      </c:pivotFmt>
      <c:pivotFmt>
        <c:idx val="32"/>
        <c:spPr>
          <a:solidFill>
            <a:srgbClr val="FF0000"/>
          </a:solidFill>
          <a:ln>
            <a:noFill/>
          </a:ln>
          <a:effectLst/>
        </c:spPr>
      </c:pivotFmt>
      <c:pivotFmt>
        <c:idx val="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34"/>
        <c:spPr>
          <a:solidFill>
            <a:srgbClr val="C00000"/>
          </a:solidFill>
          <a:ln>
            <a:noFill/>
          </a:ln>
          <a:effectLst/>
        </c:spPr>
        <c:dLbl>
          <c:idx val="0"/>
          <c:layout>
            <c:manualLayout>
              <c:x val="-1.5401653288654308E-3"/>
              <c:y val="-9.5763808616814463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5"/>
        <c:spPr>
          <a:solidFill>
            <a:srgbClr val="FF0000"/>
          </a:solidFill>
          <a:ln>
            <a:noFill/>
          </a:ln>
          <a:effectLst/>
        </c:spPr>
        <c:marker>
          <c:symbol val="none"/>
        </c:marker>
      </c:pivotFmt>
      <c:pivotFmt>
        <c:idx val="36"/>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7"/>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9"/>
        <c:spPr>
          <a:solidFill>
            <a:srgbClr val="C00000"/>
          </a:solidFill>
          <a:ln>
            <a:noFill/>
          </a:ln>
          <a:effectLst/>
        </c:spPr>
      </c:pivotFmt>
      <c:pivotFmt>
        <c:idx val="40"/>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1"/>
        <c:spPr>
          <a:solidFill>
            <a:schemeClr val="accent5">
              <a:lumMod val="75000"/>
            </a:schemeClr>
          </a:solidFill>
          <a:ln>
            <a:noFill/>
          </a:ln>
          <a:effectLst/>
        </c:spPr>
        <c:marker>
          <c:symbol val="none"/>
        </c:marker>
      </c:pivotFmt>
      <c:pivotFmt>
        <c:idx val="42"/>
        <c:spPr>
          <a:solidFill>
            <a:schemeClr val="tx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4"/>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6"/>
      </c:pivotFmt>
      <c:pivotFmt>
        <c:idx val="47"/>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8"/>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0"/>
        <c:spPr>
          <a:solidFill>
            <a:schemeClr val="tx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2"/>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3"/>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4"/>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6"/>
        <c:spPr>
          <a:solidFill>
            <a:srgbClr val="6E7678"/>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57"/>
        <c:spPr>
          <a:solidFill>
            <a:srgbClr val="62B967"/>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58"/>
        <c:spPr>
          <a:solidFill>
            <a:srgbClr val="FFCB32">
              <a:lumMod val="50000"/>
            </a:srgb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9"/>
        <c:spPr>
          <a:solidFill>
            <a:srgbClr val="1AB2BB">
              <a:lumMod val="75000"/>
            </a:srgb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0"/>
        <c:spPr>
          <a:solidFill>
            <a:srgbClr val="1AB2BB"/>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1"/>
        <c:spPr>
          <a:solidFill>
            <a:srgbClr val="FF0000"/>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62"/>
        <c:spPr>
          <a:solidFill>
            <a:schemeClr val="accent1"/>
          </a:solidFill>
          <a:ln>
            <a:noFill/>
          </a:ln>
          <a:effectLst/>
        </c:spPr>
        <c:marker>
          <c:symbol val="none"/>
        </c:marker>
      </c:pivotFmt>
      <c:pivotFmt>
        <c:idx val="63"/>
        <c:spPr>
          <a:solidFill>
            <a:schemeClr val="accent1"/>
          </a:solidFill>
          <a:ln>
            <a:noFill/>
          </a:ln>
          <a:effectLst/>
        </c:spPr>
        <c:marker>
          <c:symbol val="none"/>
        </c:marker>
      </c:pivotFmt>
      <c:pivotFmt>
        <c:idx val="64"/>
        <c:spPr>
          <a:solidFill>
            <a:schemeClr val="accent1"/>
          </a:solidFill>
          <a:ln>
            <a:noFill/>
          </a:ln>
          <a:effectLst/>
        </c:spPr>
        <c:marker>
          <c:symbol val="none"/>
        </c:marker>
      </c:pivotFmt>
      <c:pivotFmt>
        <c:idx val="65"/>
        <c:spPr>
          <a:solidFill>
            <a:schemeClr val="accent1"/>
          </a:solidFill>
          <a:ln>
            <a:noFill/>
          </a:ln>
          <a:effectLst/>
        </c:spPr>
        <c:marker>
          <c:symbol val="none"/>
        </c:marker>
      </c:pivotFmt>
      <c:pivotFmt>
        <c:idx val="66"/>
        <c:spPr>
          <a:solidFill>
            <a:schemeClr val="accent1"/>
          </a:solidFill>
          <a:ln>
            <a:noFill/>
          </a:ln>
          <a:effectLst/>
        </c:spPr>
        <c:marker>
          <c:symbol val="none"/>
        </c:marker>
      </c:pivotFmt>
      <c:pivotFmt>
        <c:idx val="67"/>
        <c:spPr>
          <a:solidFill>
            <a:schemeClr val="accent1"/>
          </a:solidFill>
          <a:ln>
            <a:noFill/>
          </a:ln>
          <a:effectLst/>
        </c:spPr>
        <c:marker>
          <c:symbol val="none"/>
        </c:marker>
      </c:pivotFmt>
      <c:pivotFmt>
        <c:idx val="68"/>
        <c:spPr>
          <a:solidFill>
            <a:srgbClr val="FFCB3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9"/>
        <c:spPr>
          <a:solidFill>
            <a:srgbClr val="FFCB32">
              <a:lumMod val="50000"/>
            </a:srgb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0"/>
        <c:spPr>
          <a:solidFill>
            <a:srgbClr val="C00000"/>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71"/>
        <c:spPr>
          <a:solidFill>
            <a:srgbClr val="1AB2BB">
              <a:lumMod val="75000"/>
            </a:srgb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72"/>
        <c:spPr>
          <a:solidFill>
            <a:srgbClr val="FFCB32"/>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73"/>
        <c:spPr>
          <a:solidFill>
            <a:srgbClr val="1AB2BB">
              <a:lumMod val="75000"/>
            </a:srgb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9433446399520213"/>
          <c:y val="1.7082008124041658E-2"/>
          <c:w val="0.7055353637263142"/>
          <c:h val="0.96094787365784518"/>
        </c:manualLayout>
      </c:layout>
      <c:barChart>
        <c:barDir val="bar"/>
        <c:grouping val="stacked"/>
        <c:varyColors val="0"/>
        <c:ser>
          <c:idx val="0"/>
          <c:order val="0"/>
          <c:tx>
            <c:strRef>
              <c:f>'Aux - Pivots2'!$C$133:$C$134</c:f>
              <c:strCache>
                <c:ptCount val="1"/>
                <c:pt idx="0">
                  <c:v>0. Cancelado</c:v>
                </c:pt>
              </c:strCache>
            </c:strRef>
          </c:tx>
          <c:spPr>
            <a:solidFill>
              <a:srgbClr val="6E7678"/>
            </a:solidFill>
            <a:ln>
              <a:noFill/>
            </a:ln>
            <a:effectLst/>
          </c:spPr>
          <c:invertIfNegative val="0"/>
          <c:dPt>
            <c:idx val="4"/>
            <c:invertIfNegative val="0"/>
            <c:bubble3D val="0"/>
            <c:extLst>
              <c:ext xmlns:c16="http://schemas.microsoft.com/office/drawing/2014/chart" uri="{C3380CC4-5D6E-409C-BE32-E72D297353CC}">
                <c16:uniqueId val="{00000005-B666-4CCE-9846-E24A498DDF7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Pivots2'!$B$135:$B$143</c:f>
              <c:strCache>
                <c:ptCount val="8"/>
                <c:pt idx="0">
                  <c:v>lt002_instrument</c:v>
                </c:pt>
                <c:pt idx="1">
                  <c:v>lt003_entity</c:v>
                </c:pt>
                <c:pt idx="2">
                  <c:v>lt004_protection</c:v>
                </c:pt>
                <c:pt idx="3">
                  <c:v>lt005_instr_ent</c:v>
                </c:pt>
                <c:pt idx="4">
                  <c:v>lt006_instr_prot</c:v>
                </c:pt>
                <c:pt idx="5">
                  <c:v>lt007_instr_activity</c:v>
                </c:pt>
                <c:pt idx="6">
                  <c:v>lt826_esg_sbsctr</c:v>
                </c:pt>
                <c:pt idx="7">
                  <c:v>lt827_mthd_usd_instrmnt</c:v>
                </c:pt>
              </c:strCache>
            </c:strRef>
          </c:cat>
          <c:val>
            <c:numRef>
              <c:f>'Aux - Pivots2'!$C$135:$C$143</c:f>
              <c:numCache>
                <c:formatCode>General</c:formatCode>
                <c:ptCount val="8"/>
                <c:pt idx="2">
                  <c:v>4</c:v>
                </c:pt>
              </c:numCache>
            </c:numRef>
          </c:val>
          <c:extLst>
            <c:ext xmlns:c16="http://schemas.microsoft.com/office/drawing/2014/chart" uri="{C3380CC4-5D6E-409C-BE32-E72D297353CC}">
              <c16:uniqueId val="{00000000-B666-4CCE-9846-E24A498DDF73}"/>
            </c:ext>
          </c:extLst>
        </c:ser>
        <c:ser>
          <c:idx val="1"/>
          <c:order val="1"/>
          <c:tx>
            <c:strRef>
              <c:f>'Aux - Pivots2'!$D$133:$D$134</c:f>
              <c:strCache>
                <c:ptCount val="1"/>
                <c:pt idx="0">
                  <c:v>1. Concluído</c:v>
                </c:pt>
              </c:strCache>
            </c:strRef>
          </c:tx>
          <c:spPr>
            <a:solidFill>
              <a:srgbClr val="62B967"/>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Pivots2'!$B$135:$B$143</c:f>
              <c:strCache>
                <c:ptCount val="8"/>
                <c:pt idx="0">
                  <c:v>lt002_instrument</c:v>
                </c:pt>
                <c:pt idx="1">
                  <c:v>lt003_entity</c:v>
                </c:pt>
                <c:pt idx="2">
                  <c:v>lt004_protection</c:v>
                </c:pt>
                <c:pt idx="3">
                  <c:v>lt005_instr_ent</c:v>
                </c:pt>
                <c:pt idx="4">
                  <c:v>lt006_instr_prot</c:v>
                </c:pt>
                <c:pt idx="5">
                  <c:v>lt007_instr_activity</c:v>
                </c:pt>
                <c:pt idx="6">
                  <c:v>lt826_esg_sbsctr</c:v>
                </c:pt>
                <c:pt idx="7">
                  <c:v>lt827_mthd_usd_instrmnt</c:v>
                </c:pt>
              </c:strCache>
            </c:strRef>
          </c:cat>
          <c:val>
            <c:numRef>
              <c:f>'Aux - Pivots2'!$D$135:$D$143</c:f>
              <c:numCache>
                <c:formatCode>General</c:formatCode>
                <c:ptCount val="8"/>
                <c:pt idx="0">
                  <c:v>35</c:v>
                </c:pt>
                <c:pt idx="1">
                  <c:v>67</c:v>
                </c:pt>
                <c:pt idx="2">
                  <c:v>40</c:v>
                </c:pt>
                <c:pt idx="3">
                  <c:v>5</c:v>
                </c:pt>
                <c:pt idx="4">
                  <c:v>4</c:v>
                </c:pt>
                <c:pt idx="5">
                  <c:v>5</c:v>
                </c:pt>
                <c:pt idx="6">
                  <c:v>9</c:v>
                </c:pt>
                <c:pt idx="7">
                  <c:v>15</c:v>
                </c:pt>
              </c:numCache>
            </c:numRef>
          </c:val>
          <c:extLst>
            <c:ext xmlns:c16="http://schemas.microsoft.com/office/drawing/2014/chart" uri="{C3380CC4-5D6E-409C-BE32-E72D297353CC}">
              <c16:uniqueId val="{00000001-B666-4CCE-9846-E24A498DDF73}"/>
            </c:ext>
          </c:extLst>
        </c:ser>
        <c:ser>
          <c:idx val="2"/>
          <c:order val="2"/>
          <c:tx>
            <c:strRef>
              <c:f>'Aux - Pivots2'!$E$133:$E$134</c:f>
              <c:strCache>
                <c:ptCount val="1"/>
                <c:pt idx="0">
                  <c:v>2.1 Em Teste</c:v>
                </c:pt>
              </c:strCache>
            </c:strRef>
          </c:tx>
          <c:spPr>
            <a:solidFill>
              <a:srgbClr val="FFCB32"/>
            </a:solidFill>
            <a:ln>
              <a:noFill/>
            </a:ln>
            <a:effectLst/>
          </c:spPr>
          <c:invertIfNegative val="0"/>
          <c:dPt>
            <c:idx val="1"/>
            <c:invertIfNegative val="0"/>
            <c:bubble3D val="0"/>
            <c:extLst>
              <c:ext xmlns:c16="http://schemas.microsoft.com/office/drawing/2014/chart" uri="{C3380CC4-5D6E-409C-BE32-E72D297353CC}">
                <c16:uniqueId val="{00000002-92F8-451C-8C09-DE580A6F5219}"/>
              </c:ext>
            </c:extLst>
          </c:dPt>
          <c:dPt>
            <c:idx val="2"/>
            <c:invertIfNegative val="0"/>
            <c:bubble3D val="0"/>
            <c:extLst>
              <c:ext xmlns:c16="http://schemas.microsoft.com/office/drawing/2014/chart" uri="{C3380CC4-5D6E-409C-BE32-E72D297353CC}">
                <c16:uniqueId val="{00000003-5848-499A-9289-57D9A81F10FE}"/>
              </c:ext>
            </c:extLst>
          </c:dPt>
          <c:dPt>
            <c:idx val="5"/>
            <c:invertIfNegative val="0"/>
            <c:bubble3D val="0"/>
            <c:extLst>
              <c:ext xmlns:c16="http://schemas.microsoft.com/office/drawing/2014/chart" uri="{C3380CC4-5D6E-409C-BE32-E72D297353CC}">
                <c16:uniqueId val="{00000003-0C47-48EA-8257-3ED5550BA12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Pivots2'!$B$135:$B$143</c:f>
              <c:strCache>
                <c:ptCount val="8"/>
                <c:pt idx="0">
                  <c:v>lt002_instrument</c:v>
                </c:pt>
                <c:pt idx="1">
                  <c:v>lt003_entity</c:v>
                </c:pt>
                <c:pt idx="2">
                  <c:v>lt004_protection</c:v>
                </c:pt>
                <c:pt idx="3">
                  <c:v>lt005_instr_ent</c:v>
                </c:pt>
                <c:pt idx="4">
                  <c:v>lt006_instr_prot</c:v>
                </c:pt>
                <c:pt idx="5">
                  <c:v>lt007_instr_activity</c:v>
                </c:pt>
                <c:pt idx="6">
                  <c:v>lt826_esg_sbsctr</c:v>
                </c:pt>
                <c:pt idx="7">
                  <c:v>lt827_mthd_usd_instrmnt</c:v>
                </c:pt>
              </c:strCache>
            </c:strRef>
          </c:cat>
          <c:val>
            <c:numRef>
              <c:f>'Aux - Pivots2'!$E$135:$E$143</c:f>
              <c:numCache>
                <c:formatCode>General</c:formatCode>
                <c:ptCount val="8"/>
                <c:pt idx="5">
                  <c:v>3</c:v>
                </c:pt>
              </c:numCache>
            </c:numRef>
          </c:val>
          <c:extLst>
            <c:ext xmlns:c16="http://schemas.microsoft.com/office/drawing/2014/chart" uri="{C3380CC4-5D6E-409C-BE32-E72D297353CC}">
              <c16:uniqueId val="{00000002-B666-4CCE-9846-E24A498DDF73}"/>
            </c:ext>
          </c:extLst>
        </c:ser>
        <c:ser>
          <c:idx val="3"/>
          <c:order val="3"/>
          <c:tx>
            <c:strRef>
              <c:f>'Aux - Pivots2'!$F$133:$F$134</c:f>
              <c:strCache>
                <c:ptCount val="1"/>
                <c:pt idx="0">
                  <c:v>5. Em Correção</c:v>
                </c:pt>
              </c:strCache>
            </c:strRef>
          </c:tx>
          <c:spPr>
            <a:solidFill>
              <a:srgbClr val="C00000"/>
            </a:solidFill>
            <a:ln>
              <a:noFill/>
            </a:ln>
            <a:effectLst/>
          </c:spPr>
          <c:invertIfNegative val="0"/>
          <c:dPt>
            <c:idx val="0"/>
            <c:invertIfNegative val="0"/>
            <c:bubble3D val="0"/>
            <c:extLst>
              <c:ext xmlns:c16="http://schemas.microsoft.com/office/drawing/2014/chart" uri="{C3380CC4-5D6E-409C-BE32-E72D297353CC}">
                <c16:uniqueId val="{00000008-5188-4F51-9B83-77A5AACFC53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Pivots2'!$B$135:$B$143</c:f>
              <c:strCache>
                <c:ptCount val="8"/>
                <c:pt idx="0">
                  <c:v>lt002_instrument</c:v>
                </c:pt>
                <c:pt idx="1">
                  <c:v>lt003_entity</c:v>
                </c:pt>
                <c:pt idx="2">
                  <c:v>lt004_protection</c:v>
                </c:pt>
                <c:pt idx="3">
                  <c:v>lt005_instr_ent</c:v>
                </c:pt>
                <c:pt idx="4">
                  <c:v>lt006_instr_prot</c:v>
                </c:pt>
                <c:pt idx="5">
                  <c:v>lt007_instr_activity</c:v>
                </c:pt>
                <c:pt idx="6">
                  <c:v>lt826_esg_sbsctr</c:v>
                </c:pt>
                <c:pt idx="7">
                  <c:v>lt827_mthd_usd_instrmnt</c:v>
                </c:pt>
              </c:strCache>
            </c:strRef>
          </c:cat>
          <c:val>
            <c:numRef>
              <c:f>'Aux - Pivots2'!$F$135:$F$143</c:f>
              <c:numCache>
                <c:formatCode>General</c:formatCode>
                <c:ptCount val="8"/>
                <c:pt idx="0">
                  <c:v>4</c:v>
                </c:pt>
                <c:pt idx="2">
                  <c:v>3</c:v>
                </c:pt>
                <c:pt idx="4">
                  <c:v>1</c:v>
                </c:pt>
                <c:pt idx="5">
                  <c:v>1</c:v>
                </c:pt>
              </c:numCache>
            </c:numRef>
          </c:val>
          <c:extLst>
            <c:ext xmlns:c16="http://schemas.microsoft.com/office/drawing/2014/chart" uri="{C3380CC4-5D6E-409C-BE32-E72D297353CC}">
              <c16:uniqueId val="{00000004-E733-463A-8DBA-D2A43AB2796E}"/>
            </c:ext>
          </c:extLst>
        </c:ser>
        <c:ser>
          <c:idx val="4"/>
          <c:order val="4"/>
          <c:tx>
            <c:strRef>
              <c:f>'Aux - Pivots2'!$G$133:$G$134</c:f>
              <c:strCache>
                <c:ptCount val="1"/>
                <c:pt idx="0">
                  <c:v>6. Em implementação</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Pivots2'!$B$135:$B$143</c:f>
              <c:strCache>
                <c:ptCount val="8"/>
                <c:pt idx="0">
                  <c:v>lt002_instrument</c:v>
                </c:pt>
                <c:pt idx="1">
                  <c:v>lt003_entity</c:v>
                </c:pt>
                <c:pt idx="2">
                  <c:v>lt004_protection</c:v>
                </c:pt>
                <c:pt idx="3">
                  <c:v>lt005_instr_ent</c:v>
                </c:pt>
                <c:pt idx="4">
                  <c:v>lt006_instr_prot</c:v>
                </c:pt>
                <c:pt idx="5">
                  <c:v>lt007_instr_activity</c:v>
                </c:pt>
                <c:pt idx="6">
                  <c:v>lt826_esg_sbsctr</c:v>
                </c:pt>
                <c:pt idx="7">
                  <c:v>lt827_mthd_usd_instrmnt</c:v>
                </c:pt>
              </c:strCache>
            </c:strRef>
          </c:cat>
          <c:val>
            <c:numRef>
              <c:f>'Aux - Pivots2'!$G$135:$G$143</c:f>
              <c:numCache>
                <c:formatCode>General</c:formatCode>
                <c:ptCount val="8"/>
                <c:pt idx="0">
                  <c:v>6</c:v>
                </c:pt>
                <c:pt idx="4">
                  <c:v>1</c:v>
                </c:pt>
                <c:pt idx="5">
                  <c:v>2</c:v>
                </c:pt>
              </c:numCache>
            </c:numRef>
          </c:val>
          <c:extLst>
            <c:ext xmlns:c16="http://schemas.microsoft.com/office/drawing/2014/chart" uri="{C3380CC4-5D6E-409C-BE32-E72D297353CC}">
              <c16:uniqueId val="{00000004-5188-4F51-9B83-77A5AACFC531}"/>
            </c:ext>
          </c:extLst>
        </c:ser>
        <c:dLbls>
          <c:dLblPos val="ctr"/>
          <c:showLegendKey val="0"/>
          <c:showVal val="1"/>
          <c:showCatName val="0"/>
          <c:showSerName val="0"/>
          <c:showPercent val="0"/>
          <c:showBubbleSize val="0"/>
        </c:dLbls>
        <c:gapWidth val="219"/>
        <c:overlap val="100"/>
        <c:axId val="830591535"/>
        <c:axId val="830592495"/>
      </c:barChart>
      <c:catAx>
        <c:axId val="830591535"/>
        <c:scaling>
          <c:orientation val="minMax"/>
        </c:scaling>
        <c:delete val="0"/>
        <c:axPos val="l"/>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Santander Text" panose="020B0504020201020104" pitchFamily="34" charset="0"/>
                <a:ea typeface="+mn-ea"/>
                <a:cs typeface="+mn-cs"/>
              </a:defRPr>
            </a:pPr>
            <a:endParaRPr lang="pt-PT"/>
          </a:p>
        </c:txPr>
        <c:crossAx val="830592495"/>
        <c:crosses val="autoZero"/>
        <c:auto val="1"/>
        <c:lblAlgn val="ctr"/>
        <c:lblOffset val="100"/>
        <c:noMultiLvlLbl val="0"/>
      </c:catAx>
      <c:valAx>
        <c:axId val="830592495"/>
        <c:scaling>
          <c:orientation val="minMax"/>
        </c:scaling>
        <c:delete val="1"/>
        <c:axPos val="b"/>
        <c:numFmt formatCode="General" sourceLinked="1"/>
        <c:majorTickMark val="none"/>
        <c:minorTickMark val="none"/>
        <c:tickLblPos val="nextTo"/>
        <c:crossAx val="8305915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4"/>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5">
              <a:lumMod val="75000"/>
            </a:schemeClr>
          </a:solidFill>
          <a:ln>
            <a:noFill/>
          </a:ln>
          <a:effectLst/>
        </c:spPr>
        <c:dLbl>
          <c:idx val="0"/>
          <c:layout>
            <c:manualLayout>
              <c:x val="-2.2555106387286451E-3"/>
              <c:y val="-8.0169105506930417E-17"/>
            </c:manualLayout>
          </c:layout>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lumMod val="75000"/>
            </a:schemeClr>
          </a:solidFill>
          <a:ln>
            <a:noFill/>
          </a:ln>
          <a:effectLst/>
        </c:spPr>
        <c:dLbl>
          <c:idx val="0"/>
          <c:layout>
            <c:manualLayout>
              <c:x val="0"/>
              <c:y val="-8.0169105506930417E-17"/>
            </c:manualLayout>
          </c:layout>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5999501919625815"/>
          <c:y val="0.18744884404309847"/>
          <c:w val="0.61529552474076299"/>
          <c:h val="0.62510231191380305"/>
        </c:manualLayout>
      </c:layout>
      <c:barChart>
        <c:barDir val="bar"/>
        <c:grouping val="stacked"/>
        <c:varyColors val="0"/>
        <c:ser>
          <c:idx val="0"/>
          <c:order val="0"/>
          <c:tx>
            <c:v>Series1</c:v>
          </c:tx>
          <c:spPr>
            <a:solidFill>
              <a:schemeClr val="accent4"/>
            </a:solidFill>
            <a:ln>
              <a:noFill/>
            </a:ln>
            <a:effectLst/>
          </c:spPr>
          <c:invertIfNegative val="0"/>
          <c:dLbls>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
              <c:pt idx="0">
                <c:v>lt002_insrmnt</c:v>
              </c:pt>
            </c:strLit>
          </c:cat>
          <c:val>
            <c:numLit>
              <c:formatCode>General</c:formatCode>
              <c:ptCount val="1"/>
              <c:pt idx="0">
                <c:v>23</c:v>
              </c:pt>
            </c:numLit>
          </c:val>
          <c:extLst>
            <c:ext xmlns:c16="http://schemas.microsoft.com/office/drawing/2014/chart" uri="{C3380CC4-5D6E-409C-BE32-E72D297353CC}">
              <c16:uniqueId val="{00000000-4368-4088-958E-7F7F56205CD5}"/>
            </c:ext>
          </c:extLst>
        </c:ser>
        <c:ser>
          <c:idx val="1"/>
          <c:order val="1"/>
          <c:tx>
            <c:v>Series2</c:v>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
              <c:pt idx="0">
                <c:v>lt002_insrmnt</c:v>
              </c:pt>
            </c:strLit>
          </c:cat>
          <c:val>
            <c:numLit>
              <c:formatCode>General</c:formatCode>
              <c:ptCount val="1"/>
              <c:pt idx="0">
                <c:v>26</c:v>
              </c:pt>
            </c:numLit>
          </c:val>
          <c:extLst>
            <c:ext xmlns:c16="http://schemas.microsoft.com/office/drawing/2014/chart" uri="{C3380CC4-5D6E-409C-BE32-E72D297353CC}">
              <c16:uniqueId val="{00000001-4368-4088-958E-7F7F56205CD5}"/>
            </c:ext>
          </c:extLst>
        </c:ser>
        <c:ser>
          <c:idx val="2"/>
          <c:order val="2"/>
          <c:tx>
            <c:v>Series3</c:v>
          </c:tx>
          <c:spPr>
            <a:solidFill>
              <a:schemeClr val="accent5">
                <a:lumMod val="75000"/>
              </a:schemeClr>
            </a:solidFill>
            <a:ln>
              <a:noFill/>
            </a:ln>
            <a:effectLst/>
          </c:spPr>
          <c:invertIfNegative val="0"/>
          <c:dPt>
            <c:idx val="0"/>
            <c:invertIfNegative val="0"/>
            <c:bubble3D val="0"/>
            <c:extLst>
              <c:ext xmlns:c16="http://schemas.microsoft.com/office/drawing/2014/chart" uri="{C3380CC4-5D6E-409C-BE32-E72D297353CC}">
                <c16:uniqueId val="{00000004-4368-4088-958E-7F7F56205CD5}"/>
              </c:ext>
            </c:extLst>
          </c:dPt>
          <c:dLbls>
            <c:dLbl>
              <c:idx val="0"/>
              <c:layout>
                <c:manualLayout>
                  <c:x val="-2.2555106387286451E-3"/>
                  <c:y val="-8.0169105506930417E-17"/>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4368-4088-958E-7F7F56205CD5}"/>
                </c:ext>
              </c:extLst>
            </c:dLbl>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
              <c:pt idx="0">
                <c:v>lt002_insrmnt</c:v>
              </c:pt>
            </c:strLit>
          </c:cat>
          <c:val>
            <c:numLit>
              <c:formatCode>General</c:formatCode>
              <c:ptCount val="1"/>
              <c:pt idx="0">
                <c:v>1</c:v>
              </c:pt>
            </c:numLit>
          </c:val>
          <c:extLst>
            <c:ext xmlns:c16="http://schemas.microsoft.com/office/drawing/2014/chart" uri="{C3380CC4-5D6E-409C-BE32-E72D297353CC}">
              <c16:uniqueId val="{00000002-4368-4088-958E-7F7F56205CD5}"/>
            </c:ext>
          </c:extLst>
        </c:ser>
        <c:dLbls>
          <c:dLblPos val="ctr"/>
          <c:showLegendKey val="0"/>
          <c:showVal val="1"/>
          <c:showCatName val="0"/>
          <c:showSerName val="0"/>
          <c:showPercent val="0"/>
          <c:showBubbleSize val="0"/>
        </c:dLbls>
        <c:gapWidth val="219"/>
        <c:overlap val="100"/>
        <c:axId val="990292928"/>
        <c:axId val="990291008"/>
      </c:barChart>
      <c:catAx>
        <c:axId val="9902929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Santander Text" panose="020B0504020201020104" pitchFamily="34" charset="0"/>
                <a:ea typeface="+mn-ea"/>
                <a:cs typeface="+mn-cs"/>
              </a:defRPr>
            </a:pPr>
            <a:endParaRPr lang="pt-PT"/>
          </a:p>
        </c:txPr>
        <c:crossAx val="990291008"/>
        <c:crosses val="autoZero"/>
        <c:auto val="1"/>
        <c:lblAlgn val="ctr"/>
        <c:lblOffset val="100"/>
        <c:noMultiLvlLbl val="0"/>
      </c:catAx>
      <c:valAx>
        <c:axId val="990291008"/>
        <c:scaling>
          <c:orientation val="minMax"/>
        </c:scaling>
        <c:delete val="1"/>
        <c:axPos val="b"/>
        <c:numFmt formatCode="General" sourceLinked="1"/>
        <c:majorTickMark val="none"/>
        <c:minorTickMark val="none"/>
        <c:tickLblPos val="nextTo"/>
        <c:crossAx val="9902929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latin typeface="Santander Text" panose="020B0504020201020104" pitchFamily="34" charset="0"/>
        </a:defRPr>
      </a:pPr>
      <a:endParaRPr lang="pt-PT"/>
    </a:p>
  </c:txPr>
  <c:printSettings>
    <c:headerFooter/>
    <c:pageMargins b="0.75" l="0.7" r="0.7" t="0.75" header="0.3" footer="0.3"/>
    <c:pageSetup/>
  </c:printSettings>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11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4"/>
          </a:solidFill>
          <a:ln>
            <a:solidFill>
              <a:schemeClr val="bg1"/>
            </a:solidFill>
          </a:ln>
          <a:effectLst/>
        </c:spPr>
      </c:pivotFmt>
      <c:pivotFmt>
        <c:idx val="8"/>
        <c:spPr>
          <a:solidFill>
            <a:schemeClr val="accent6">
              <a:lumMod val="75000"/>
            </a:schemeClr>
          </a:solidFill>
          <a:ln>
            <a:solidFill>
              <a:schemeClr val="bg1"/>
            </a:solidFill>
          </a:ln>
          <a:effectLst/>
        </c:spPr>
      </c:pivotFmt>
      <c:pivotFmt>
        <c:idx val="9"/>
        <c:spPr>
          <a:solidFill>
            <a:schemeClr val="accent5">
              <a:lumMod val="75000"/>
            </a:schemeClr>
          </a:solidFill>
          <a:ln>
            <a:solidFill>
              <a:schemeClr val="bg1"/>
            </a:solidFill>
          </a:ln>
          <a:effectLst/>
        </c:spPr>
        <c:dLbl>
          <c:idx val="0"/>
          <c:layout>
            <c:manualLayout>
              <c:x val="-5.3171048991828465E-2"/>
              <c:y val="-0.12760916835962488"/>
            </c:manualLayout>
          </c:layout>
          <c:spPr>
            <a:noFill/>
            <a:ln>
              <a:noFill/>
            </a:ln>
            <a:effectLst/>
          </c:spPr>
          <c:txPr>
            <a:bodyPr rot="0" spcFirstLastPara="1" vertOverflow="ellipsis" vert="horz" wrap="square" anchor="ctr" anchorCtr="1"/>
            <a:lstStyle/>
            <a:p>
              <a:pPr>
                <a:defRPr sz="110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0"/>
        <c:spPr>
          <a:solidFill>
            <a:schemeClr val="accent1">
              <a:lumMod val="75000"/>
            </a:schemeClr>
          </a:solidFill>
          <a:ln>
            <a:solidFill>
              <a:schemeClr val="bg1"/>
            </a:solidFill>
          </a:ln>
          <a:effectLst/>
        </c:spPr>
      </c:pivotFmt>
      <c:pivotFmt>
        <c:idx val="11"/>
        <c:spPr>
          <a:solidFill>
            <a:schemeClr val="accent1"/>
          </a:solidFill>
          <a:ln>
            <a:solidFill>
              <a:schemeClr val="bg1"/>
            </a:solidFill>
          </a:ln>
          <a:effectLst/>
        </c:spPr>
      </c:pivotFmt>
    </c:pivotFmts>
    <c:plotArea>
      <c:layout/>
      <c:doughnutChart>
        <c:varyColors val="1"/>
        <c:ser>
          <c:idx val="0"/>
          <c:order val="0"/>
          <c:tx>
            <c:v>Series1</c:v>
          </c:tx>
          <c:spPr>
            <a:ln>
              <a:solidFill>
                <a:schemeClr val="bg1"/>
              </a:solidFill>
            </a:ln>
          </c:spPr>
          <c:dPt>
            <c:idx val="0"/>
            <c:bubble3D val="0"/>
            <c:spPr>
              <a:solidFill>
                <a:schemeClr val="accent1"/>
              </a:solidFill>
              <a:ln>
                <a:solidFill>
                  <a:schemeClr val="bg1"/>
                </a:solidFill>
              </a:ln>
              <a:effectLst/>
            </c:spPr>
            <c:extLst>
              <c:ext xmlns:c16="http://schemas.microsoft.com/office/drawing/2014/chart" uri="{C3380CC4-5D6E-409C-BE32-E72D297353CC}">
                <c16:uniqueId val="{00000001-74BD-4D10-BAD0-1A4780747A64}"/>
              </c:ext>
            </c:extLst>
          </c:dPt>
          <c:dPt>
            <c:idx val="1"/>
            <c:bubble3D val="0"/>
            <c:spPr>
              <a:solidFill>
                <a:schemeClr val="accent4"/>
              </a:solidFill>
              <a:ln>
                <a:solidFill>
                  <a:schemeClr val="bg1"/>
                </a:solidFill>
              </a:ln>
              <a:effectLst/>
            </c:spPr>
            <c:extLst>
              <c:ext xmlns:c16="http://schemas.microsoft.com/office/drawing/2014/chart" uri="{C3380CC4-5D6E-409C-BE32-E72D297353CC}">
                <c16:uniqueId val="{00000003-74BD-4D10-BAD0-1A4780747A64}"/>
              </c:ext>
            </c:extLst>
          </c:dPt>
          <c:dPt>
            <c:idx val="2"/>
            <c:bubble3D val="0"/>
            <c:spPr>
              <a:solidFill>
                <a:schemeClr val="accent3"/>
              </a:solidFill>
              <a:ln>
                <a:solidFill>
                  <a:schemeClr val="bg1"/>
                </a:solidFill>
              </a:ln>
              <a:effectLst/>
            </c:spPr>
            <c:extLst>
              <c:ext xmlns:c16="http://schemas.microsoft.com/office/drawing/2014/chart" uri="{C3380CC4-5D6E-409C-BE32-E72D297353CC}">
                <c16:uniqueId val="{00000005-74BD-4D10-BAD0-1A4780747A64}"/>
              </c:ext>
            </c:extLst>
          </c:dPt>
          <c:dPt>
            <c:idx val="3"/>
            <c:bubble3D val="0"/>
            <c:spPr>
              <a:solidFill>
                <a:schemeClr val="accent4"/>
              </a:solidFill>
              <a:ln>
                <a:solidFill>
                  <a:schemeClr val="bg1"/>
                </a:solidFill>
              </a:ln>
              <a:effectLst/>
            </c:spPr>
            <c:extLst>
              <c:ext xmlns:c16="http://schemas.microsoft.com/office/drawing/2014/chart" uri="{C3380CC4-5D6E-409C-BE32-E72D297353CC}">
                <c16:uniqueId val="{00000007-74BD-4D10-BAD0-1A4780747A64}"/>
              </c:ext>
            </c:extLst>
          </c:dPt>
          <c:dPt>
            <c:idx val="4"/>
            <c:bubble3D val="0"/>
            <c:spPr>
              <a:solidFill>
                <a:schemeClr val="accent5">
                  <a:lumMod val="75000"/>
                </a:schemeClr>
              </a:solidFill>
              <a:ln>
                <a:solidFill>
                  <a:schemeClr val="bg1"/>
                </a:solidFill>
              </a:ln>
              <a:effectLst/>
            </c:spPr>
            <c:extLst>
              <c:ext xmlns:c16="http://schemas.microsoft.com/office/drawing/2014/chart" uri="{C3380CC4-5D6E-409C-BE32-E72D297353CC}">
                <c16:uniqueId val="{00000009-81FC-4828-8BD5-76F4A96C6CAA}"/>
              </c:ext>
            </c:extLst>
          </c:dPt>
          <c:dPt>
            <c:idx val="5"/>
            <c:bubble3D val="0"/>
            <c:spPr>
              <a:solidFill>
                <a:schemeClr val="accent6"/>
              </a:solidFill>
              <a:ln>
                <a:solidFill>
                  <a:schemeClr val="bg1"/>
                </a:solidFill>
              </a:ln>
              <a:effectLst/>
            </c:spPr>
            <c:extLst>
              <c:ext xmlns:c16="http://schemas.microsoft.com/office/drawing/2014/chart" uri="{C3380CC4-5D6E-409C-BE32-E72D297353CC}">
                <c16:uniqueId val="{0000000B-81FC-4828-8BD5-76F4A96C6CAA}"/>
              </c:ext>
            </c:extLst>
          </c:dPt>
          <c:dPt>
            <c:idx val="6"/>
            <c:bubble3D val="0"/>
            <c:spPr>
              <a:solidFill>
                <a:schemeClr val="accent1">
                  <a:lumMod val="60000"/>
                </a:schemeClr>
              </a:solidFill>
              <a:ln>
                <a:solidFill>
                  <a:schemeClr val="bg1"/>
                </a:solidFill>
              </a:ln>
              <a:effectLst/>
            </c:spPr>
            <c:extLst>
              <c:ext xmlns:c16="http://schemas.microsoft.com/office/drawing/2014/chart" uri="{C3380CC4-5D6E-409C-BE32-E72D297353CC}">
                <c16:uniqueId val="{0000000D-81FC-4828-8BD5-76F4A96C6CAA}"/>
              </c:ext>
            </c:extLst>
          </c:dPt>
          <c:dPt>
            <c:idx val="7"/>
            <c:bubble3D val="0"/>
            <c:spPr>
              <a:solidFill>
                <a:schemeClr val="accent2">
                  <a:lumMod val="60000"/>
                </a:schemeClr>
              </a:solidFill>
              <a:ln>
                <a:solidFill>
                  <a:schemeClr val="bg1"/>
                </a:solidFill>
              </a:ln>
              <a:effectLst/>
            </c:spPr>
            <c:extLst>
              <c:ext xmlns:c16="http://schemas.microsoft.com/office/drawing/2014/chart" uri="{C3380CC4-5D6E-409C-BE32-E72D297353CC}">
                <c16:uniqueId val="{0000000F-81FC-4828-8BD5-76F4A96C6CAA}"/>
              </c:ext>
            </c:extLst>
          </c:dPt>
          <c:dPt>
            <c:idx val="8"/>
            <c:bubble3D val="0"/>
            <c:spPr>
              <a:solidFill>
                <a:schemeClr val="accent3">
                  <a:lumMod val="60000"/>
                </a:schemeClr>
              </a:solidFill>
              <a:ln>
                <a:solidFill>
                  <a:schemeClr val="bg1"/>
                </a:solidFill>
              </a:ln>
              <a:effectLst/>
            </c:spPr>
            <c:extLst>
              <c:ext xmlns:c16="http://schemas.microsoft.com/office/drawing/2014/chart" uri="{C3380CC4-5D6E-409C-BE32-E72D297353CC}">
                <c16:uniqueId val="{00000011-81FC-4828-8BD5-76F4A96C6CAA}"/>
              </c:ext>
            </c:extLst>
          </c:dPt>
          <c:dLbls>
            <c:dLbl>
              <c:idx val="4"/>
              <c:layout>
                <c:manualLayout>
                  <c:x val="-5.3171048991828465E-2"/>
                  <c:y val="-0.12760916835962488"/>
                </c:manualLayout>
              </c:layout>
              <c:spPr>
                <a:noFill/>
                <a:ln>
                  <a:noFill/>
                </a:ln>
                <a:effectLst/>
              </c:spPr>
              <c:txPr>
                <a:bodyPr rot="0" spcFirstLastPara="1" vertOverflow="ellipsis" vert="horz" wrap="square" anchor="ctr" anchorCtr="1"/>
                <a:lstStyle/>
                <a:p>
                  <a:pPr>
                    <a:defRPr sz="110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9-81FC-4828-8BD5-76F4A96C6CAA}"/>
                </c:ext>
              </c:extLst>
            </c:dLbl>
            <c:spPr>
              <a:noFill/>
              <a:ln>
                <a:noFill/>
              </a:ln>
              <a:effectLst/>
            </c:spPr>
            <c:txPr>
              <a:bodyPr rot="0" spcFirstLastPara="1" vertOverflow="ellipsis" vert="horz" wrap="square" anchor="ctr" anchorCtr="1"/>
              <a:lstStyle/>
              <a:p>
                <a:pPr>
                  <a:defRPr sz="11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Lit>
              <c:ptCount val="9"/>
              <c:pt idx="0">
                <c:v>0. Cancelado</c:v>
              </c:pt>
              <c:pt idx="1">
                <c:v>1. Concluído</c:v>
              </c:pt>
              <c:pt idx="2">
                <c:v>2.1 Em Teste</c:v>
              </c:pt>
              <c:pt idx="3">
                <c:v>2.2 Em Re-especificação</c:v>
              </c:pt>
              <c:pt idx="4">
                <c:v>3. Pendente de outros desenvolvimentos</c:v>
              </c:pt>
              <c:pt idx="5">
                <c:v>4. Validação EF</c:v>
              </c:pt>
              <c:pt idx="6">
                <c:v>5. Em Correção</c:v>
              </c:pt>
              <c:pt idx="7">
                <c:v>6. Em implementação (re-especificação)</c:v>
              </c:pt>
              <c:pt idx="8">
                <c:v>7. Por iniciar</c:v>
              </c:pt>
            </c:strLit>
          </c:cat>
          <c:val>
            <c:numLit>
              <c:formatCode>General</c:formatCode>
              <c:ptCount val="9"/>
              <c:pt idx="0">
                <c:v>15</c:v>
              </c:pt>
              <c:pt idx="1">
                <c:v>329</c:v>
              </c:pt>
              <c:pt idx="2">
                <c:v>1</c:v>
              </c:pt>
              <c:pt idx="3">
                <c:v>5</c:v>
              </c:pt>
              <c:pt idx="4">
                <c:v>18</c:v>
              </c:pt>
              <c:pt idx="5">
                <c:v>17</c:v>
              </c:pt>
              <c:pt idx="6">
                <c:v>3</c:v>
              </c:pt>
              <c:pt idx="7">
                <c:v>136</c:v>
              </c:pt>
              <c:pt idx="8">
                <c:v>5</c:v>
              </c:pt>
            </c:numLit>
          </c:val>
          <c:extLst>
            <c:ext xmlns:c16="http://schemas.microsoft.com/office/drawing/2014/chart" uri="{C3380CC4-5D6E-409C-BE32-E72D297353CC}">
              <c16:uniqueId val="{00000008-74BD-4D10-BAD0-1A4780747A64}"/>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100" b="1">
          <a:solidFill>
            <a:schemeClr val="bg1"/>
          </a:solidFill>
          <a:latin typeface="Santander Text" panose="020B0504020201020104" pitchFamily="34" charset="0"/>
        </a:defRPr>
      </a:pPr>
      <a:endParaRPr lang="pt-PT"/>
    </a:p>
  </c:txPr>
  <c:printSettings>
    <c:headerFooter/>
    <c:pageMargins b="0.75" l="0.7" r="0.7" t="0.75" header="0.3" footer="0.3"/>
    <c:pageSetup/>
  </c:printSettings>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Pilar 3 - Plano_versão trabalho 8.6.xlsx]Aux - Pivots2!PivotTable1</c:name>
    <c:fmtId val="6"/>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1"/>
          <c:showVal val="1"/>
          <c:showCatName val="1"/>
          <c:showSerName val="1"/>
          <c:showPercent val="1"/>
          <c:showBubbleSize val="1"/>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tx1">
              <a:lumMod val="65000"/>
              <a:lumOff val="35000"/>
            </a:schemeClr>
          </a:solidFill>
          <a:ln>
            <a:noFill/>
          </a:ln>
          <a:effectLst/>
        </c:spPr>
        <c:dLbl>
          <c:idx val="0"/>
          <c:layout>
            <c:manualLayout>
              <c:x val="0"/>
              <c:y val="-5.886497209707622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pivotFmt>
      <c:pivotFmt>
        <c:idx val="2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4"/>
        <c:dLbl>
          <c:idx val="0"/>
          <c:layout>
            <c:manualLayout>
              <c:x val="0"/>
              <c:y val="0"/>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5"/>
          </a:solidFill>
          <a:ln>
            <a:noFill/>
          </a:ln>
          <a:effectLst/>
        </c:spPr>
      </c:pivotFmt>
      <c:pivotFmt>
        <c:idx val="27"/>
      </c:pivotFmt>
      <c:pivotFmt>
        <c:idx val="28"/>
        <c:spPr>
          <a:solidFill>
            <a:schemeClr val="accent5"/>
          </a:solidFill>
          <a:ln>
            <a:noFill/>
          </a:ln>
          <a:effectLst/>
        </c:spPr>
      </c:pivotFmt>
      <c:pivotFmt>
        <c:idx val="29"/>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1"/>
        <c:spPr>
          <a:solidFill>
            <a:srgbClr val="FF0000"/>
          </a:solidFill>
          <a:ln>
            <a:noFill/>
          </a:ln>
          <a:effectLst/>
        </c:spPr>
      </c:pivotFmt>
      <c:pivotFmt>
        <c:idx val="32"/>
        <c:spPr>
          <a:solidFill>
            <a:srgbClr val="FF0000"/>
          </a:solidFill>
          <a:ln>
            <a:noFill/>
          </a:ln>
          <a:effectLst/>
        </c:spPr>
      </c:pivotFmt>
      <c:pivotFmt>
        <c:idx val="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34"/>
        <c:spPr>
          <a:solidFill>
            <a:srgbClr val="C00000"/>
          </a:solidFill>
          <a:ln>
            <a:noFill/>
          </a:ln>
          <a:effectLst/>
        </c:spPr>
        <c:dLbl>
          <c:idx val="0"/>
          <c:layout>
            <c:manualLayout>
              <c:x val="-1.5401653288654308E-3"/>
              <c:y val="-9.5763808616814463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5"/>
        <c:spPr>
          <a:solidFill>
            <a:srgbClr val="FF0000"/>
          </a:solidFill>
          <a:ln>
            <a:noFill/>
          </a:ln>
          <a:effectLst/>
        </c:spPr>
        <c:marker>
          <c:symbol val="none"/>
        </c:marker>
      </c:pivotFmt>
      <c:pivotFmt>
        <c:idx val="36"/>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7"/>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9"/>
        <c:spPr>
          <a:solidFill>
            <a:srgbClr val="C00000"/>
          </a:solidFill>
          <a:ln>
            <a:noFill/>
          </a:ln>
          <a:effectLst/>
        </c:spPr>
      </c:pivotFmt>
      <c:pivotFmt>
        <c:idx val="40"/>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1"/>
        <c:spPr>
          <a:solidFill>
            <a:schemeClr val="accent5">
              <a:lumMod val="75000"/>
            </a:schemeClr>
          </a:solidFill>
          <a:ln>
            <a:noFill/>
          </a:ln>
          <a:effectLst/>
        </c:spPr>
        <c:marker>
          <c:symbol val="none"/>
        </c:marker>
      </c:pivotFmt>
      <c:pivotFmt>
        <c:idx val="42"/>
        <c:spPr>
          <a:solidFill>
            <a:schemeClr val="tx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4"/>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6"/>
      </c:pivotFmt>
      <c:pivotFmt>
        <c:idx val="47"/>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8"/>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0"/>
        <c:spPr>
          <a:solidFill>
            <a:schemeClr val="accent1"/>
          </a:solidFill>
          <a:ln>
            <a:noFill/>
          </a:ln>
          <a:effectLst/>
        </c:spPr>
        <c:marker>
          <c:symbol val="none"/>
        </c:marker>
      </c:pivotFmt>
      <c:pivotFmt>
        <c:idx val="51"/>
        <c:spPr>
          <a:solidFill>
            <a:schemeClr val="accent1"/>
          </a:solidFill>
          <a:ln>
            <a:noFill/>
          </a:ln>
          <a:effectLst/>
        </c:spPr>
        <c:marker>
          <c:symbol val="none"/>
        </c:marker>
      </c:pivotFmt>
      <c:pivotFmt>
        <c:idx val="52"/>
        <c:spPr>
          <a:solidFill>
            <a:schemeClr val="accent1"/>
          </a:solidFill>
          <a:ln>
            <a:noFill/>
          </a:ln>
          <a:effectLst/>
        </c:spPr>
        <c:marker>
          <c:symbol val="none"/>
        </c:marker>
      </c:pivotFmt>
      <c:pivotFmt>
        <c:idx val="53"/>
        <c:spPr>
          <a:solidFill>
            <a:schemeClr val="accent1"/>
          </a:solidFill>
          <a:ln>
            <a:noFill/>
          </a:ln>
          <a:effectLst/>
        </c:spPr>
        <c:marker>
          <c:symbol val="none"/>
        </c:marker>
      </c:pivotFmt>
      <c:pivotFmt>
        <c:idx val="54"/>
        <c:spPr>
          <a:solidFill>
            <a:schemeClr val="accent1"/>
          </a:solidFill>
          <a:ln>
            <a:noFill/>
          </a:ln>
          <a:effectLst/>
        </c:spPr>
        <c:marker>
          <c:symbol val="none"/>
        </c:marker>
      </c:pivotFmt>
      <c:pivotFmt>
        <c:idx val="55"/>
        <c:spPr>
          <a:solidFill>
            <a:schemeClr val="tx2"/>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56"/>
        <c:spPr>
          <a:solidFill>
            <a:schemeClr val="accent4"/>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57"/>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8"/>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9"/>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0"/>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2"/>
        <c:spPr>
          <a:solidFill>
            <a:schemeClr val="accent5"/>
          </a:solidFill>
          <a:ln>
            <a:noFill/>
          </a:ln>
          <a:effectLst/>
        </c:spPr>
      </c:pivotFmt>
    </c:pivotFmts>
    <c:plotArea>
      <c:layout>
        <c:manualLayout>
          <c:layoutTarget val="inner"/>
          <c:xMode val="edge"/>
          <c:yMode val="edge"/>
          <c:x val="0.26960897220972846"/>
          <c:y val="0"/>
          <c:w val="0.7055353637263142"/>
          <c:h val="0.96094787365784518"/>
        </c:manualLayout>
      </c:layout>
      <c:barChart>
        <c:barDir val="bar"/>
        <c:grouping val="stacked"/>
        <c:varyColors val="0"/>
        <c:ser>
          <c:idx val="0"/>
          <c:order val="0"/>
          <c:tx>
            <c:strRef>
              <c:f>'Aux - Pivots2'!$C$49:$C$50</c:f>
              <c:strCache>
                <c:ptCount val="1"/>
                <c:pt idx="0">
                  <c:v>0. Cancelado</c:v>
                </c:pt>
              </c:strCache>
            </c:strRef>
          </c:tx>
          <c:spPr>
            <a:solidFill>
              <a:schemeClr val="tx2"/>
            </a:solidFill>
            <a:ln>
              <a:noFill/>
            </a:ln>
            <a:effectLst/>
          </c:spPr>
          <c:invertIfNegative val="0"/>
          <c:dPt>
            <c:idx val="4"/>
            <c:invertIfNegative val="0"/>
            <c:bubble3D val="0"/>
            <c:extLst>
              <c:ext xmlns:c16="http://schemas.microsoft.com/office/drawing/2014/chart" uri="{C3380CC4-5D6E-409C-BE32-E72D297353CC}">
                <c16:uniqueId val="{00000005-B666-4CCE-9846-E24A498DDF7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Pivots2'!$B$51:$B$57</c:f>
              <c:strCache>
                <c:ptCount val="6"/>
                <c:pt idx="0">
                  <c:v>RESPONSIBILITY_PROCESS_REL</c:v>
                </c:pt>
                <c:pt idx="1">
                  <c:v>PROPERTY_ENERGY_CERTIFICATE</c:v>
                </c:pt>
                <c:pt idx="2">
                  <c:v>PROPERTY</c:v>
                </c:pt>
                <c:pt idx="3">
                  <c:v>PROCESS_PROPERTY_REL</c:v>
                </c:pt>
                <c:pt idx="4">
                  <c:v>PROCESS</c:v>
                </c:pt>
                <c:pt idx="5">
                  <c:v>ENERGY_CERTIFICATE_EST_INPUT</c:v>
                </c:pt>
              </c:strCache>
            </c:strRef>
          </c:cat>
          <c:val>
            <c:numRef>
              <c:f>'Aux - Pivots2'!$C$51:$C$57</c:f>
              <c:numCache>
                <c:formatCode>General</c:formatCode>
                <c:ptCount val="6"/>
                <c:pt idx="0">
                  <c:v>3</c:v>
                </c:pt>
                <c:pt idx="2">
                  <c:v>2</c:v>
                </c:pt>
                <c:pt idx="3">
                  <c:v>1</c:v>
                </c:pt>
                <c:pt idx="4">
                  <c:v>4</c:v>
                </c:pt>
                <c:pt idx="5">
                  <c:v>2</c:v>
                </c:pt>
              </c:numCache>
            </c:numRef>
          </c:val>
          <c:extLst>
            <c:ext xmlns:c16="http://schemas.microsoft.com/office/drawing/2014/chart" uri="{C3380CC4-5D6E-409C-BE32-E72D297353CC}">
              <c16:uniqueId val="{00000000-B666-4CCE-9846-E24A498DDF73}"/>
            </c:ext>
          </c:extLst>
        </c:ser>
        <c:ser>
          <c:idx val="1"/>
          <c:order val="1"/>
          <c:tx>
            <c:strRef>
              <c:f>'Aux - Pivots2'!$D$49:$D$50</c:f>
              <c:strCache>
                <c:ptCount val="1"/>
                <c:pt idx="0">
                  <c:v>1. Concluído</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Pivots2'!$B$51:$B$57</c:f>
              <c:strCache>
                <c:ptCount val="6"/>
                <c:pt idx="0">
                  <c:v>RESPONSIBILITY_PROCESS_REL</c:v>
                </c:pt>
                <c:pt idx="1">
                  <c:v>PROPERTY_ENERGY_CERTIFICATE</c:v>
                </c:pt>
                <c:pt idx="2">
                  <c:v>PROPERTY</c:v>
                </c:pt>
                <c:pt idx="3">
                  <c:v>PROCESS_PROPERTY_REL</c:v>
                </c:pt>
                <c:pt idx="4">
                  <c:v>PROCESS</c:v>
                </c:pt>
                <c:pt idx="5">
                  <c:v>ENERGY_CERTIFICATE_EST_INPUT</c:v>
                </c:pt>
              </c:strCache>
            </c:strRef>
          </c:cat>
          <c:val>
            <c:numRef>
              <c:f>'Aux - Pivots2'!$D$51:$D$57</c:f>
              <c:numCache>
                <c:formatCode>General</c:formatCode>
                <c:ptCount val="6"/>
                <c:pt idx="0">
                  <c:v>17</c:v>
                </c:pt>
                <c:pt idx="1">
                  <c:v>76</c:v>
                </c:pt>
                <c:pt idx="2">
                  <c:v>31</c:v>
                </c:pt>
                <c:pt idx="3">
                  <c:v>14</c:v>
                </c:pt>
                <c:pt idx="4">
                  <c:v>14</c:v>
                </c:pt>
                <c:pt idx="5">
                  <c:v>44</c:v>
                </c:pt>
              </c:numCache>
            </c:numRef>
          </c:val>
          <c:extLst>
            <c:ext xmlns:c16="http://schemas.microsoft.com/office/drawing/2014/chart" uri="{C3380CC4-5D6E-409C-BE32-E72D297353CC}">
              <c16:uniqueId val="{00000001-B666-4CCE-9846-E24A498DDF73}"/>
            </c:ext>
          </c:extLst>
        </c:ser>
        <c:dLbls>
          <c:dLblPos val="ctr"/>
          <c:showLegendKey val="0"/>
          <c:showVal val="1"/>
          <c:showCatName val="0"/>
          <c:showSerName val="0"/>
          <c:showPercent val="0"/>
          <c:showBubbleSize val="0"/>
        </c:dLbls>
        <c:gapWidth val="219"/>
        <c:overlap val="100"/>
        <c:axId val="830591535"/>
        <c:axId val="830592495"/>
      </c:barChart>
      <c:catAx>
        <c:axId val="830591535"/>
        <c:scaling>
          <c:orientation val="minMax"/>
        </c:scaling>
        <c:delete val="0"/>
        <c:axPos val="l"/>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Santander Text" panose="020B0504020201020104" pitchFamily="34" charset="0"/>
                <a:ea typeface="+mn-ea"/>
                <a:cs typeface="+mn-cs"/>
              </a:defRPr>
            </a:pPr>
            <a:endParaRPr lang="pt-PT"/>
          </a:p>
        </c:txPr>
        <c:crossAx val="830592495"/>
        <c:crosses val="autoZero"/>
        <c:auto val="1"/>
        <c:lblAlgn val="ctr"/>
        <c:lblOffset val="100"/>
        <c:noMultiLvlLbl val="0"/>
      </c:catAx>
      <c:valAx>
        <c:axId val="830592495"/>
        <c:scaling>
          <c:orientation val="minMax"/>
        </c:scaling>
        <c:delete val="1"/>
        <c:axPos val="b"/>
        <c:numFmt formatCode="General" sourceLinked="1"/>
        <c:majorTickMark val="none"/>
        <c:minorTickMark val="none"/>
        <c:tickLblPos val="nextTo"/>
        <c:crossAx val="8305915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Pilar 3 - Plano_versão trabalho 8.6.xlsx]Aux - Pivots2!PivotTable6</c:name>
    <c:fmtId val="17"/>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4"/>
          </a:solidFill>
          <a:ln w="19050">
            <a:solidFill>
              <a:schemeClr val="lt1"/>
            </a:solid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ext>
          </c:extLst>
        </c:dLbl>
      </c:pivotFmt>
      <c:pivotFmt>
        <c:idx val="5"/>
        <c:spPr>
          <a:solidFill>
            <a:schemeClr val="accent4"/>
          </a:solidFill>
          <a:ln w="19050">
            <a:noFill/>
          </a:ln>
          <a:effectLst/>
        </c:spPr>
      </c:pivotFmt>
      <c:pivotFmt>
        <c:idx val="6"/>
        <c:spPr>
          <a:solidFill>
            <a:schemeClr val="bg1">
              <a:lumMod val="85000"/>
            </a:schemeClr>
          </a:solidFill>
          <a:ln w="19050">
            <a:solidFill>
              <a:schemeClr val="lt1"/>
            </a:solidFill>
          </a:ln>
          <a:effectLst/>
        </c:spPr>
      </c:pivotFmt>
      <c:pivotFmt>
        <c:idx val="7"/>
        <c:spPr>
          <a:solidFill>
            <a:schemeClr val="accent1"/>
          </a:solidFill>
          <a:ln w="19050">
            <a:noFill/>
          </a:ln>
          <a:effectLst/>
        </c:spPr>
      </c:pivotFmt>
      <c:pivotFmt>
        <c:idx val="8"/>
        <c:spPr>
          <a:solidFill>
            <a:schemeClr val="accent5"/>
          </a:solidFill>
          <a:ln w="19050">
            <a:noFill/>
          </a:ln>
          <a:effectLst/>
        </c:spPr>
      </c:pivotFmt>
      <c:pivotFmt>
        <c:idx val="9"/>
        <c:spPr>
          <a:solidFill>
            <a:schemeClr val="accent4"/>
          </a:solidFill>
          <a:ln w="19050">
            <a:solidFill>
              <a:schemeClr val="lt1"/>
            </a:solidFill>
          </a:ln>
          <a:effectLst/>
        </c:spPr>
      </c:pivotFmt>
      <c:pivotFmt>
        <c:idx val="10"/>
        <c:spPr>
          <a:solidFill>
            <a:schemeClr val="accent6"/>
          </a:solidFill>
          <a:ln w="19050">
            <a:solidFill>
              <a:schemeClr val="lt1"/>
            </a:solidFill>
          </a:ln>
          <a:effectLst/>
        </c:spPr>
      </c:pivotFmt>
      <c:pivotFmt>
        <c:idx val="11"/>
        <c:spPr>
          <a:solidFill>
            <a:srgbClr val="C00000"/>
          </a:solidFill>
          <a:ln w="19050">
            <a:noFill/>
          </a:ln>
          <a:effectLst/>
        </c:spPr>
      </c:pivotFmt>
    </c:pivotFmts>
    <c:plotArea>
      <c:layout/>
      <c:doughnutChart>
        <c:varyColors val="1"/>
        <c:ser>
          <c:idx val="0"/>
          <c:order val="0"/>
          <c:tx>
            <c:strRef>
              <c:f>'Aux - Pivots2'!$C$172</c:f>
              <c:strCache>
                <c:ptCount val="1"/>
                <c:pt idx="0">
                  <c:v>Total</c:v>
                </c:pt>
              </c:strCache>
            </c:strRef>
          </c:tx>
          <c:spPr>
            <a:solidFill>
              <a:schemeClr val="accent4"/>
            </a:solidFill>
          </c:spPr>
          <c:dPt>
            <c:idx val="0"/>
            <c:bubble3D val="0"/>
            <c:spPr>
              <a:solidFill>
                <a:schemeClr val="accent4"/>
              </a:solidFill>
              <a:ln w="19050">
                <a:noFill/>
              </a:ln>
              <a:effectLst/>
            </c:spPr>
            <c:extLst>
              <c:ext xmlns:c16="http://schemas.microsoft.com/office/drawing/2014/chart" uri="{C3380CC4-5D6E-409C-BE32-E72D297353CC}">
                <c16:uniqueId val="{00000001-0544-4AE3-A745-E99D5235D4A5}"/>
              </c:ext>
            </c:extLst>
          </c:dPt>
          <c:dPt>
            <c:idx val="1"/>
            <c:bubble3D val="0"/>
            <c:spPr>
              <a:solidFill>
                <a:schemeClr val="accent6"/>
              </a:solidFill>
              <a:ln w="19050">
                <a:solidFill>
                  <a:schemeClr val="lt1"/>
                </a:solidFill>
              </a:ln>
              <a:effectLst/>
            </c:spPr>
            <c:extLst>
              <c:ext xmlns:c16="http://schemas.microsoft.com/office/drawing/2014/chart" uri="{C3380CC4-5D6E-409C-BE32-E72D297353CC}">
                <c16:uniqueId val="{00000003-0544-4AE3-A745-E99D5235D4A5}"/>
              </c:ext>
            </c:extLst>
          </c:dPt>
          <c:dPt>
            <c:idx val="2"/>
            <c:bubble3D val="0"/>
            <c:spPr>
              <a:solidFill>
                <a:srgbClr val="C00000"/>
              </a:solidFill>
              <a:ln w="19050">
                <a:noFill/>
              </a:ln>
              <a:effectLst/>
            </c:spPr>
            <c:extLst>
              <c:ext xmlns:c16="http://schemas.microsoft.com/office/drawing/2014/chart" uri="{C3380CC4-5D6E-409C-BE32-E72D297353CC}">
                <c16:uniqueId val="{00000005-410E-402E-8C20-FFB060CE0A75}"/>
              </c:ext>
            </c:extLst>
          </c:dPt>
          <c:dPt>
            <c:idx val="3"/>
            <c:bubble3D val="0"/>
            <c:spPr>
              <a:solidFill>
                <a:schemeClr val="accent1"/>
              </a:solidFill>
              <a:ln w="19050">
                <a:noFill/>
              </a:ln>
              <a:effectLst/>
            </c:spPr>
            <c:extLst>
              <c:ext xmlns:c16="http://schemas.microsoft.com/office/drawing/2014/chart" uri="{C3380CC4-5D6E-409C-BE32-E72D297353CC}">
                <c16:uniqueId val="{00000007-F6F3-4F42-9C0F-A4B35B0DB339}"/>
              </c:ext>
            </c:extLst>
          </c:dPt>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'Aux - Pivots2'!$B$173:$B$177</c:f>
              <c:strCache>
                <c:ptCount val="4"/>
                <c:pt idx="0">
                  <c:v>1. Concluído</c:v>
                </c:pt>
                <c:pt idx="1">
                  <c:v>2.1 Em Teste</c:v>
                </c:pt>
                <c:pt idx="2">
                  <c:v>5. Em Correção</c:v>
                </c:pt>
                <c:pt idx="3">
                  <c:v>6. Em implementação </c:v>
                </c:pt>
              </c:strCache>
            </c:strRef>
          </c:cat>
          <c:val>
            <c:numRef>
              <c:f>'Aux - Pivots2'!$C$173:$C$177</c:f>
              <c:numCache>
                <c:formatCode>General</c:formatCode>
                <c:ptCount val="4"/>
                <c:pt idx="0">
                  <c:v>60</c:v>
                </c:pt>
                <c:pt idx="1">
                  <c:v>2</c:v>
                </c:pt>
                <c:pt idx="2">
                  <c:v>3</c:v>
                </c:pt>
                <c:pt idx="3">
                  <c:v>6</c:v>
                </c:pt>
              </c:numCache>
            </c:numRef>
          </c:val>
          <c:extLst>
            <c:ext xmlns:c16="http://schemas.microsoft.com/office/drawing/2014/chart" uri="{C3380CC4-5D6E-409C-BE32-E72D297353CC}">
              <c16:uniqueId val="{00000004-0544-4AE3-A745-E99D5235D4A5}"/>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chart>
  <c:spPr>
    <a:noFill/>
    <a:ln w="9525" cap="flat" cmpd="sng" algn="ctr">
      <a:noFill/>
      <a:round/>
    </a:ln>
    <a:effectLst/>
  </c:spPr>
  <c:txPr>
    <a:bodyPr/>
    <a:lstStyle/>
    <a:p>
      <a:pPr>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Pilar 3 - Plano_versão trabalho 8.6.xlsx]Aux - Pivots2!PivotTable12</c:name>
    <c:fmtId val="14"/>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pivotFmt>
      <c:pivotFmt>
        <c:idx val="10"/>
        <c:spPr>
          <a:solidFill>
            <a:schemeClr val="accent4"/>
          </a:solidFill>
          <a:ln w="19050">
            <a:solidFill>
              <a:schemeClr val="lt1"/>
            </a:solidFill>
          </a:ln>
          <a:effectLst/>
        </c:spPr>
      </c:pivotFmt>
      <c:pivotFmt>
        <c:idx val="11"/>
        <c:spPr>
          <a:solidFill>
            <a:schemeClr val="accent6">
              <a:lumMod val="50000"/>
            </a:schemeClr>
          </a:solidFill>
          <a:ln w="19050">
            <a:solidFill>
              <a:schemeClr val="lt1"/>
            </a:solidFill>
          </a:ln>
          <a:effectLst/>
        </c:spPr>
      </c:pivotFmt>
      <c:pivotFmt>
        <c:idx val="12"/>
        <c:spPr>
          <a:solidFill>
            <a:schemeClr val="accent5">
              <a:lumMod val="50000"/>
            </a:schemeClr>
          </a:solidFill>
          <a:ln w="19050">
            <a:solidFill>
              <a:schemeClr val="lt1"/>
            </a:solidFill>
          </a:ln>
          <a:effectLst/>
        </c:spPr>
      </c:pivotFmt>
      <c:pivotFmt>
        <c:idx val="13"/>
        <c:spPr>
          <a:solidFill>
            <a:schemeClr val="bg1">
              <a:lumMod val="85000"/>
            </a:schemeClr>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bg2">
              <a:lumMod val="50000"/>
            </a:schemeClr>
          </a:solidFill>
          <a:ln w="19050">
            <a:noFill/>
          </a:ln>
          <a:effectLst/>
        </c:spPr>
        <c:dLbl>
          <c:idx val="0"/>
          <c:layout>
            <c:manualLayout>
              <c:x val="1.034680536274101E-2"/>
              <c:y val="-6.172047859020275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ext>
          </c:extLst>
        </c:dLbl>
      </c:pivotFmt>
      <c:pivotFmt>
        <c:idx val="16"/>
        <c:spPr>
          <a:solidFill>
            <a:schemeClr val="accent5"/>
          </a:solidFill>
          <a:ln w="19050">
            <a:noFill/>
          </a:ln>
          <a:effectLst/>
        </c:spPr>
        <c:dLbl>
          <c:idx val="0"/>
          <c:layout>
            <c:manualLayout>
              <c:x val="1.0346805362741072E-2"/>
              <c:y val="1.3715661908933944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7"/>
        <c:spPr>
          <a:solidFill>
            <a:schemeClr val="accent5">
              <a:lumMod val="75000"/>
            </a:schemeClr>
          </a:solidFill>
          <a:ln w="19050">
            <a:solidFill>
              <a:schemeClr val="lt1"/>
            </a:solidFill>
          </a:ln>
          <a:effectLst/>
        </c:spPr>
      </c:pivotFmt>
      <c:pivotFmt>
        <c:idx val="18"/>
        <c:spPr>
          <a:solidFill>
            <a:schemeClr val="bg1">
              <a:lumMod val="85000"/>
            </a:schemeClr>
          </a:solidFill>
          <a:ln w="19050">
            <a:solidFill>
              <a:schemeClr val="lt1"/>
            </a:solidFill>
          </a:ln>
          <a:effectLst/>
        </c:spPr>
      </c:pivotFmt>
      <c:pivotFmt>
        <c:idx val="19"/>
        <c:spPr>
          <a:solidFill>
            <a:schemeClr val="accent1"/>
          </a:solidFill>
          <a:ln w="19050">
            <a:solidFill>
              <a:schemeClr val="lt1"/>
            </a:solid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ext>
          </c:extLst>
        </c:dLbl>
      </c:pivotFmt>
      <c:pivotFmt>
        <c:idx val="20"/>
        <c:spPr>
          <a:solidFill>
            <a:schemeClr val="accent4"/>
          </a:solidFill>
          <a:ln w="19050">
            <a:noFill/>
          </a:ln>
          <a:effectLst/>
        </c:spPr>
      </c:pivotFmt>
      <c:pivotFmt>
        <c:idx val="21"/>
        <c:spPr>
          <a:solidFill>
            <a:schemeClr val="accent6">
              <a:lumMod val="50000"/>
            </a:schemeClr>
          </a:solidFill>
          <a:ln w="19050">
            <a:solidFill>
              <a:schemeClr val="lt1"/>
            </a:solidFill>
          </a:ln>
          <a:effectLst/>
        </c:spPr>
        <c:dLbl>
          <c:idx val="0"/>
          <c:layout>
            <c:manualLayout>
              <c:x val="-1.3795740483654732E-2"/>
              <c:y val="-2.0573492863400916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2"/>
        <c:spPr>
          <a:solidFill>
            <a:srgbClr val="FF0000"/>
          </a:solidFill>
          <a:ln w="19050">
            <a:noFill/>
          </a:ln>
          <a:effectLst/>
        </c:spPr>
        <c:dLbl>
          <c:idx val="0"/>
          <c:layout>
            <c:manualLayout>
              <c:x val="1.0542699851252089E-4"/>
              <c:y val="-5.4862839399397581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ext>
          </c:extLst>
        </c:dLbl>
      </c:pivotFmt>
      <c:pivotFmt>
        <c:idx val="23"/>
        <c:spPr>
          <a:solidFill>
            <a:schemeClr val="accent6"/>
          </a:solidFill>
          <a:ln w="19050">
            <a:solidFill>
              <a:schemeClr val="lt1"/>
            </a:solidFill>
          </a:ln>
          <a:effectLst/>
        </c:spPr>
        <c:dLbl>
          <c:idx val="0"/>
          <c:layout>
            <c:manualLayout>
              <c:x val="-1.3700310234699295E-2"/>
              <c:y val="-1.9549142390416552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ext>
          </c:extLst>
        </c:dLbl>
      </c:pivotFmt>
      <c:pivotFmt>
        <c:idx val="24"/>
        <c:spPr>
          <a:solidFill>
            <a:srgbClr val="C00000"/>
          </a:solidFill>
          <a:ln w="19050">
            <a:solidFill>
              <a:schemeClr val="lt1"/>
            </a:solidFill>
          </a:ln>
          <a:effectLst/>
        </c:spPr>
        <c:dLbl>
          <c:idx val="0"/>
          <c:layout>
            <c:manualLayout>
              <c:x val="-6.3573242587884897E-17"/>
              <c:y val="-3.9139513454102687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ext>
          </c:extLst>
        </c:dLbl>
      </c:pivotFmt>
    </c:pivotFmts>
    <c:plotArea>
      <c:layout/>
      <c:doughnutChart>
        <c:varyColors val="1"/>
        <c:ser>
          <c:idx val="0"/>
          <c:order val="0"/>
          <c:tx>
            <c:strRef>
              <c:f>'Aux - Pivots2'!$C$204</c:f>
              <c:strCache>
                <c:ptCount val="1"/>
                <c:pt idx="0">
                  <c:v>Total</c:v>
                </c:pt>
              </c:strCache>
            </c:strRef>
          </c:tx>
          <c:dPt>
            <c:idx val="0"/>
            <c:bubble3D val="0"/>
            <c:spPr>
              <a:solidFill>
                <a:schemeClr val="bg2">
                  <a:lumMod val="50000"/>
                </a:schemeClr>
              </a:solidFill>
              <a:ln w="19050">
                <a:noFill/>
              </a:ln>
              <a:effectLst/>
            </c:spPr>
            <c:extLst>
              <c:ext xmlns:c16="http://schemas.microsoft.com/office/drawing/2014/chart" uri="{C3380CC4-5D6E-409C-BE32-E72D297353CC}">
                <c16:uniqueId val="{00000001-70D5-4610-98D7-ECBC295C6D2D}"/>
              </c:ext>
            </c:extLst>
          </c:dPt>
          <c:dPt>
            <c:idx val="1"/>
            <c:bubble3D val="0"/>
            <c:spPr>
              <a:solidFill>
                <a:schemeClr val="accent4"/>
              </a:solidFill>
              <a:ln w="19050">
                <a:noFill/>
              </a:ln>
              <a:effectLst/>
            </c:spPr>
            <c:extLst>
              <c:ext xmlns:c16="http://schemas.microsoft.com/office/drawing/2014/chart" uri="{C3380CC4-5D6E-409C-BE32-E72D297353CC}">
                <c16:uniqueId val="{00000003-70D5-4610-98D7-ECBC295C6D2D}"/>
              </c:ext>
            </c:extLst>
          </c:dPt>
          <c:dPt>
            <c:idx val="2"/>
            <c:bubble3D val="0"/>
            <c:spPr>
              <a:solidFill>
                <a:schemeClr val="accent6"/>
              </a:solidFill>
              <a:ln w="19050">
                <a:solidFill>
                  <a:schemeClr val="lt1"/>
                </a:solidFill>
              </a:ln>
              <a:effectLst/>
            </c:spPr>
            <c:extLst>
              <c:ext xmlns:c16="http://schemas.microsoft.com/office/drawing/2014/chart" uri="{C3380CC4-5D6E-409C-BE32-E72D297353CC}">
                <c16:uniqueId val="{00000005-70D5-4610-98D7-ECBC295C6D2D}"/>
              </c:ext>
            </c:extLst>
          </c:dPt>
          <c:dPt>
            <c:idx val="3"/>
            <c:bubble3D val="0"/>
            <c:spPr>
              <a:solidFill>
                <a:srgbClr val="C00000"/>
              </a:solidFill>
              <a:ln w="19050">
                <a:solidFill>
                  <a:schemeClr val="lt1"/>
                </a:solidFill>
              </a:ln>
              <a:effectLst/>
            </c:spPr>
            <c:extLst>
              <c:ext xmlns:c16="http://schemas.microsoft.com/office/drawing/2014/chart" uri="{C3380CC4-5D6E-409C-BE32-E72D297353CC}">
                <c16:uniqueId val="{00000007-70D5-4610-98D7-ECBC295C6D2D}"/>
              </c:ext>
            </c:extLst>
          </c:dPt>
          <c:dPt>
            <c:idx val="4"/>
            <c:bubble3D val="0"/>
            <c:spPr>
              <a:solidFill>
                <a:srgbClr val="FF0000"/>
              </a:solidFill>
              <a:ln w="19050">
                <a:noFill/>
              </a:ln>
              <a:effectLst/>
            </c:spPr>
            <c:extLst>
              <c:ext xmlns:c16="http://schemas.microsoft.com/office/drawing/2014/chart" uri="{C3380CC4-5D6E-409C-BE32-E72D297353CC}">
                <c16:uniqueId val="{00000009-70D5-4610-98D7-ECBC295C6D2D}"/>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70D5-4610-98D7-ECBC295C6D2D}"/>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EB33-4144-BD97-FF5E4B42627E}"/>
              </c:ext>
            </c:extLst>
          </c:dPt>
          <c:dLbls>
            <c:dLbl>
              <c:idx val="0"/>
              <c:layout>
                <c:manualLayout>
                  <c:x val="1.034680536274101E-2"/>
                  <c:y val="-6.172047859020275E-2"/>
                </c:manualLayout>
              </c:layout>
              <c:showLegendKey val="0"/>
              <c:showVal val="0"/>
              <c:showCatName val="0"/>
              <c:showSerName val="0"/>
              <c:showPercent val="1"/>
              <c:showBubbleSize val="0"/>
              <c:extLst>
                <c:ext xmlns:c15="http://schemas.microsoft.com/office/drawing/2012/chart" uri="{CE6537A1-D6FC-4f65-9D91-7224C49458BB}">
                  <c15:layout/>
                </c:ext>
                <c:ext xmlns:c16="http://schemas.microsoft.com/office/drawing/2014/chart" uri="{C3380CC4-5D6E-409C-BE32-E72D297353CC}">
                  <c16:uniqueId val="{00000001-70D5-4610-98D7-ECBC295C6D2D}"/>
                </c:ext>
              </c:extLst>
            </c:dLbl>
            <c:dLbl>
              <c:idx val="2"/>
              <c:layout>
                <c:manualLayout>
                  <c:x val="-1.3700310234699295E-2"/>
                  <c:y val="-1.9549142390416552E-2"/>
                </c:manualLayout>
              </c:layout>
              <c:showLegendKey val="0"/>
              <c:showVal val="0"/>
              <c:showCatName val="0"/>
              <c:showSerName val="0"/>
              <c:showPercent val="1"/>
              <c:showBubbleSize val="0"/>
              <c:extLst>
                <c:ext xmlns:c15="http://schemas.microsoft.com/office/drawing/2012/chart" uri="{CE6537A1-D6FC-4f65-9D91-7224C49458BB}">
                  <c15:layout/>
                </c:ext>
                <c:ext xmlns:c16="http://schemas.microsoft.com/office/drawing/2014/chart" uri="{C3380CC4-5D6E-409C-BE32-E72D297353CC}">
                  <c16:uniqueId val="{00000005-70D5-4610-98D7-ECBC295C6D2D}"/>
                </c:ext>
              </c:extLst>
            </c:dLbl>
            <c:dLbl>
              <c:idx val="3"/>
              <c:layout>
                <c:manualLayout>
                  <c:x val="-6.3573242587884897E-17"/>
                  <c:y val="-3.9139513454102687E-2"/>
                </c:manualLayout>
              </c:layout>
              <c:showLegendKey val="0"/>
              <c:showVal val="0"/>
              <c:showCatName val="0"/>
              <c:showSerName val="0"/>
              <c:showPercent val="1"/>
              <c:showBubbleSize val="0"/>
              <c:extLst>
                <c:ext xmlns:c15="http://schemas.microsoft.com/office/drawing/2012/chart" uri="{CE6537A1-D6FC-4f65-9D91-7224C49458BB}">
                  <c15:layout/>
                </c:ext>
                <c:ext xmlns:c16="http://schemas.microsoft.com/office/drawing/2014/chart" uri="{C3380CC4-5D6E-409C-BE32-E72D297353CC}">
                  <c16:uniqueId val="{00000007-70D5-4610-98D7-ECBC295C6D2D}"/>
                </c:ext>
              </c:extLst>
            </c:dLbl>
            <c:dLbl>
              <c:idx val="4"/>
              <c:layout>
                <c:manualLayout>
                  <c:x val="1.0542699851252089E-4"/>
                  <c:y val="-5.4862839399397581E-2"/>
                </c:manualLayout>
              </c:layout>
              <c:showLegendKey val="0"/>
              <c:showVal val="0"/>
              <c:showCatName val="0"/>
              <c:showSerName val="0"/>
              <c:showPercent val="1"/>
              <c:showBubbleSize val="0"/>
              <c:extLst>
                <c:ext xmlns:c15="http://schemas.microsoft.com/office/drawing/2012/chart" uri="{CE6537A1-D6FC-4f65-9D91-7224C49458BB}">
                  <c15:layout/>
                </c:ext>
                <c:ext xmlns:c16="http://schemas.microsoft.com/office/drawing/2014/chart" uri="{C3380CC4-5D6E-409C-BE32-E72D297353CC}">
                  <c16:uniqueId val="{00000009-70D5-4610-98D7-ECBC295C6D2D}"/>
                </c:ext>
              </c:extLst>
            </c:dLbl>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'Aux - Pivots2'!$B$205:$B$210</c:f>
              <c:strCache>
                <c:ptCount val="5"/>
                <c:pt idx="0">
                  <c:v>0. Cancelado</c:v>
                </c:pt>
                <c:pt idx="1">
                  <c:v>1. Concluído</c:v>
                </c:pt>
                <c:pt idx="2">
                  <c:v>2.1 Em Teste</c:v>
                </c:pt>
                <c:pt idx="3">
                  <c:v>5. Em Correção</c:v>
                </c:pt>
                <c:pt idx="4">
                  <c:v>6. Em implementação </c:v>
                </c:pt>
              </c:strCache>
            </c:strRef>
          </c:cat>
          <c:val>
            <c:numRef>
              <c:f>'Aux - Pivots2'!$C$205:$C$210</c:f>
              <c:numCache>
                <c:formatCode>General</c:formatCode>
                <c:ptCount val="5"/>
                <c:pt idx="0">
                  <c:v>4</c:v>
                </c:pt>
                <c:pt idx="1">
                  <c:v>120</c:v>
                </c:pt>
                <c:pt idx="2">
                  <c:v>1</c:v>
                </c:pt>
                <c:pt idx="3">
                  <c:v>6</c:v>
                </c:pt>
                <c:pt idx="4">
                  <c:v>3</c:v>
                </c:pt>
              </c:numCache>
            </c:numRef>
          </c:val>
          <c:extLst>
            <c:ext xmlns:c16="http://schemas.microsoft.com/office/drawing/2014/chart" uri="{C3380CC4-5D6E-409C-BE32-E72D297353CC}">
              <c16:uniqueId val="{0000000C-70D5-4610-98D7-ECBC295C6D2D}"/>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chart>
  <c:spPr>
    <a:noFill/>
    <a:ln w="9525" cap="flat" cmpd="sng" algn="ctr">
      <a:noFill/>
      <a:round/>
    </a:ln>
    <a:effectLst/>
  </c:spPr>
  <c:txPr>
    <a:bodyPr/>
    <a:lstStyle/>
    <a:p>
      <a:pPr>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2.sv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chart" Target="../charts/chart2.xml"/><Relationship Id="rId7" Type="http://schemas.openxmlformats.org/officeDocument/2006/relationships/chart" Target="../charts/chart6.xml"/><Relationship Id="rId12" Type="http://schemas.openxmlformats.org/officeDocument/2006/relationships/chart" Target="../charts/chart9.xml"/><Relationship Id="rId2" Type="http://schemas.openxmlformats.org/officeDocument/2006/relationships/image" Target="../media/image2.png"/><Relationship Id="rId1" Type="http://schemas.openxmlformats.org/officeDocument/2006/relationships/chart" Target="../charts/chart1.xml"/><Relationship Id="rId6" Type="http://schemas.openxmlformats.org/officeDocument/2006/relationships/chart" Target="../charts/chart5.xml"/><Relationship Id="rId11" Type="http://schemas.openxmlformats.org/officeDocument/2006/relationships/chart" Target="../charts/chart8.xml"/><Relationship Id="rId5" Type="http://schemas.openxmlformats.org/officeDocument/2006/relationships/chart" Target="../charts/chart4.xml"/><Relationship Id="rId10" Type="http://schemas.openxmlformats.org/officeDocument/2006/relationships/image" Target="../media/image2.svg"/><Relationship Id="rId4" Type="http://schemas.openxmlformats.org/officeDocument/2006/relationships/chart" Target="../charts/chart3.xml"/><Relationship Id="rId9" Type="http://schemas.openxmlformats.org/officeDocument/2006/relationships/image" Target="../media/image1.png"/></Relationships>
</file>

<file path=xl/drawings/_rels/drawing4.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2.svg"/><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2.svg"/><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3" Type="http://schemas.openxmlformats.org/officeDocument/2006/relationships/image" Target="../media/image2.svg"/><Relationship Id="rId2" Type="http://schemas.openxmlformats.org/officeDocument/2006/relationships/image" Target="../media/image1.png"/><Relationship Id="rId1" Type="http://schemas.openxmlformats.org/officeDocument/2006/relationships/image" Target="../media/image2.png"/></Relationships>
</file>

<file path=xl/drawings/_rels/drawing7.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2.svg"/><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3" Type="http://schemas.openxmlformats.org/officeDocument/2006/relationships/image" Target="../media/image2.svg"/><Relationship Id="rId2" Type="http://schemas.openxmlformats.org/officeDocument/2006/relationships/image" Target="../media/image1.pn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absolute">
    <xdr:from>
      <xdr:col>1</xdr:col>
      <xdr:colOff>0</xdr:colOff>
      <xdr:row>1</xdr:row>
      <xdr:rowOff>21198</xdr:rowOff>
    </xdr:from>
    <xdr:to>
      <xdr:col>2</xdr:col>
      <xdr:colOff>173649</xdr:colOff>
      <xdr:row>1</xdr:row>
      <xdr:rowOff>173036</xdr:rowOff>
    </xdr:to>
    <xdr:pic>
      <xdr:nvPicPr>
        <xdr:cNvPr id="3" name="Gráfico 10">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a:extLst>
            <a:ext uri="{96DAC541-7B7A-43D3-8B79-37D633B846F1}">
              <asvg:svgBlip xmlns="" xmlns:asvg="http://schemas.microsoft.com/office/drawing/2016/SVG/main" r:embed="rId2"/>
            </a:ext>
          </a:extLst>
        </a:blip>
        <a:stretch>
          <a:fillRect/>
        </a:stretch>
      </xdr:blipFill>
      <xdr:spPr>
        <a:xfrm>
          <a:off x="285750" y="240273"/>
          <a:ext cx="840399" cy="151838"/>
        </a:xfrm>
        <a:prstGeom prst="rect">
          <a:avLst/>
        </a:prstGeom>
      </xdr:spPr>
    </xdr:pic>
    <xdr:clientData/>
  </xdr:twoCellAnchor>
  <xdr:twoCellAnchor>
    <xdr:from>
      <xdr:col>2</xdr:col>
      <xdr:colOff>327225</xdr:colOff>
      <xdr:row>0</xdr:row>
      <xdr:rowOff>112058</xdr:rowOff>
    </xdr:from>
    <xdr:to>
      <xdr:col>2</xdr:col>
      <xdr:colOff>1273099</xdr:colOff>
      <xdr:row>2</xdr:row>
      <xdr:rowOff>114618</xdr:rowOff>
    </xdr:to>
    <xdr:pic>
      <xdr:nvPicPr>
        <xdr:cNvPr id="4" name="Graphic 267">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3"/>
        <a:stretch>
          <a:fillRect/>
        </a:stretch>
      </xdr:blipFill>
      <xdr:spPr>
        <a:xfrm>
          <a:off x="1275915" y="112058"/>
          <a:ext cx="953494" cy="44071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2</xdr:col>
      <xdr:colOff>129593</xdr:colOff>
      <xdr:row>38</xdr:row>
      <xdr:rowOff>146050</xdr:rowOff>
    </xdr:from>
    <xdr:to>
      <xdr:col>6</xdr:col>
      <xdr:colOff>251193</xdr:colOff>
      <xdr:row>72</xdr:row>
      <xdr:rowOff>29350</xdr:rowOff>
    </xdr:to>
    <xdr:graphicFrame macro="">
      <xdr:nvGraphicFramePr>
        <xdr:cNvPr id="3" name="Chart 2">
          <a:extLst>
            <a:ext uri="{FF2B5EF4-FFF2-40B4-BE49-F238E27FC236}">
              <a16:creationId xmlns:a16="http://schemas.microsoft.com/office/drawing/2014/main" id="{00000000-0008-0000-01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54698</xdr:colOff>
      <xdr:row>0</xdr:row>
      <xdr:rowOff>92802</xdr:rowOff>
    </xdr:from>
    <xdr:to>
      <xdr:col>4</xdr:col>
      <xdr:colOff>330012</xdr:colOff>
      <xdr:row>2</xdr:row>
      <xdr:rowOff>93382</xdr:rowOff>
    </xdr:to>
    <xdr:pic>
      <xdr:nvPicPr>
        <xdr:cNvPr id="11" name="Graphic 267">
          <a:extLst>
            <a:ext uri="{FF2B5EF4-FFF2-40B4-BE49-F238E27FC236}">
              <a16:creationId xmlns:a16="http://schemas.microsoft.com/office/drawing/2014/main" id="{00000000-0008-0000-0100-00000B000000}"/>
            </a:ext>
          </a:extLst>
        </xdr:cNvPr>
        <xdr:cNvPicPr>
          <a:picLocks noChangeAspect="1"/>
        </xdr:cNvPicPr>
      </xdr:nvPicPr>
      <xdr:blipFill>
        <a:blip xmlns:r="http://schemas.openxmlformats.org/officeDocument/2006/relationships" r:embed="rId2"/>
        <a:stretch>
          <a:fillRect/>
        </a:stretch>
      </xdr:blipFill>
      <xdr:spPr>
        <a:xfrm>
          <a:off x="1292948" y="92802"/>
          <a:ext cx="942064" cy="436009"/>
        </a:xfrm>
        <a:prstGeom prst="rect">
          <a:avLst/>
        </a:prstGeom>
      </xdr:spPr>
    </xdr:pic>
    <xdr:clientData/>
  </xdr:twoCellAnchor>
  <xdr:twoCellAnchor>
    <xdr:from>
      <xdr:col>14</xdr:col>
      <xdr:colOff>513109</xdr:colOff>
      <xdr:row>45</xdr:row>
      <xdr:rowOff>56603</xdr:rowOff>
    </xdr:from>
    <xdr:to>
      <xdr:col>14</xdr:col>
      <xdr:colOff>631909</xdr:colOff>
      <xdr:row>45</xdr:row>
      <xdr:rowOff>167783</xdr:rowOff>
    </xdr:to>
    <xdr:sp macro="" textlink="">
      <xdr:nvSpPr>
        <xdr:cNvPr id="4" name="Oval 3">
          <a:extLst>
            <a:ext uri="{FF2B5EF4-FFF2-40B4-BE49-F238E27FC236}">
              <a16:creationId xmlns:a16="http://schemas.microsoft.com/office/drawing/2014/main" id="{00000000-0008-0000-0100-000004000000}"/>
            </a:ext>
          </a:extLst>
        </xdr:cNvPr>
        <xdr:cNvSpPr>
          <a:spLocks noChangeAspect="1"/>
        </xdr:cNvSpPr>
      </xdr:nvSpPr>
      <xdr:spPr>
        <a:xfrm>
          <a:off x="13054359" y="12989436"/>
          <a:ext cx="118800" cy="111180"/>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48</xdr:row>
      <xdr:rowOff>58238</xdr:rowOff>
    </xdr:from>
    <xdr:to>
      <xdr:col>14</xdr:col>
      <xdr:colOff>628099</xdr:colOff>
      <xdr:row>48</xdr:row>
      <xdr:rowOff>169418</xdr:rowOff>
    </xdr:to>
    <xdr:sp macro="" textlink="">
      <xdr:nvSpPr>
        <xdr:cNvPr id="5" name="Oval 4">
          <a:extLst>
            <a:ext uri="{FF2B5EF4-FFF2-40B4-BE49-F238E27FC236}">
              <a16:creationId xmlns:a16="http://schemas.microsoft.com/office/drawing/2014/main" id="{00000000-0008-0000-0100-000005000000}"/>
            </a:ext>
          </a:extLst>
        </xdr:cNvPr>
        <xdr:cNvSpPr>
          <a:spLocks noChangeAspect="1"/>
        </xdr:cNvSpPr>
      </xdr:nvSpPr>
      <xdr:spPr>
        <a:xfrm>
          <a:off x="13058169" y="13213321"/>
          <a:ext cx="111180" cy="11118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51</xdr:row>
      <xdr:rowOff>56063</xdr:rowOff>
    </xdr:from>
    <xdr:to>
      <xdr:col>14</xdr:col>
      <xdr:colOff>628099</xdr:colOff>
      <xdr:row>51</xdr:row>
      <xdr:rowOff>167243</xdr:rowOff>
    </xdr:to>
    <xdr:sp macro="" textlink="">
      <xdr:nvSpPr>
        <xdr:cNvPr id="7" name="Oval 6">
          <a:extLst>
            <a:ext uri="{FF2B5EF4-FFF2-40B4-BE49-F238E27FC236}">
              <a16:creationId xmlns:a16="http://schemas.microsoft.com/office/drawing/2014/main" id="{00000000-0008-0000-0100-000007000000}"/>
            </a:ext>
          </a:extLst>
        </xdr:cNvPr>
        <xdr:cNvSpPr>
          <a:spLocks noChangeAspect="1"/>
        </xdr:cNvSpPr>
      </xdr:nvSpPr>
      <xdr:spPr>
        <a:xfrm>
          <a:off x="13058169" y="13443980"/>
          <a:ext cx="111180" cy="111180"/>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57</xdr:row>
      <xdr:rowOff>59332</xdr:rowOff>
    </xdr:from>
    <xdr:to>
      <xdr:col>14</xdr:col>
      <xdr:colOff>628099</xdr:colOff>
      <xdr:row>57</xdr:row>
      <xdr:rowOff>176227</xdr:rowOff>
    </xdr:to>
    <xdr:sp macro="" textlink="">
      <xdr:nvSpPr>
        <xdr:cNvPr id="8" name="Oval 7">
          <a:extLst>
            <a:ext uri="{FF2B5EF4-FFF2-40B4-BE49-F238E27FC236}">
              <a16:creationId xmlns:a16="http://schemas.microsoft.com/office/drawing/2014/main" id="{00000000-0008-0000-0100-000008000000}"/>
            </a:ext>
          </a:extLst>
        </xdr:cNvPr>
        <xdr:cNvSpPr>
          <a:spLocks noChangeAspect="1"/>
        </xdr:cNvSpPr>
      </xdr:nvSpPr>
      <xdr:spPr>
        <a:xfrm>
          <a:off x="13058169" y="13912915"/>
          <a:ext cx="111180" cy="116895"/>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63</xdr:row>
      <xdr:rowOff>58791</xdr:rowOff>
    </xdr:from>
    <xdr:to>
      <xdr:col>14</xdr:col>
      <xdr:colOff>628099</xdr:colOff>
      <xdr:row>63</xdr:row>
      <xdr:rowOff>171876</xdr:rowOff>
    </xdr:to>
    <xdr:sp macro="" textlink="">
      <xdr:nvSpPr>
        <xdr:cNvPr id="12" name="Oval 11">
          <a:extLst>
            <a:ext uri="{FF2B5EF4-FFF2-40B4-BE49-F238E27FC236}">
              <a16:creationId xmlns:a16="http://schemas.microsoft.com/office/drawing/2014/main" id="{00000000-0008-0000-0100-00000C000000}"/>
            </a:ext>
          </a:extLst>
        </xdr:cNvPr>
        <xdr:cNvSpPr>
          <a:spLocks noChangeAspect="1"/>
        </xdr:cNvSpPr>
      </xdr:nvSpPr>
      <xdr:spPr>
        <a:xfrm>
          <a:off x="13058169" y="14356874"/>
          <a:ext cx="111180" cy="11308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513109</xdr:colOff>
      <xdr:row>69</xdr:row>
      <xdr:rowOff>60155</xdr:rowOff>
    </xdr:from>
    <xdr:to>
      <xdr:col>14</xdr:col>
      <xdr:colOff>631909</xdr:colOff>
      <xdr:row>69</xdr:row>
      <xdr:rowOff>171335</xdr:rowOff>
    </xdr:to>
    <xdr:sp macro="" textlink="">
      <xdr:nvSpPr>
        <xdr:cNvPr id="13" name="Oval 12">
          <a:extLst>
            <a:ext uri="{FF2B5EF4-FFF2-40B4-BE49-F238E27FC236}">
              <a16:creationId xmlns:a16="http://schemas.microsoft.com/office/drawing/2014/main" id="{00000000-0008-0000-0100-00000D000000}"/>
            </a:ext>
          </a:extLst>
        </xdr:cNvPr>
        <xdr:cNvSpPr>
          <a:spLocks noChangeAspect="1"/>
        </xdr:cNvSpPr>
      </xdr:nvSpPr>
      <xdr:spPr>
        <a:xfrm>
          <a:off x="13054359" y="14823905"/>
          <a:ext cx="118800" cy="111180"/>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66</xdr:row>
      <xdr:rowOff>58521</xdr:rowOff>
    </xdr:from>
    <xdr:to>
      <xdr:col>14</xdr:col>
      <xdr:colOff>628099</xdr:colOff>
      <xdr:row>66</xdr:row>
      <xdr:rowOff>169701</xdr:rowOff>
    </xdr:to>
    <xdr:sp macro="" textlink="">
      <xdr:nvSpPr>
        <xdr:cNvPr id="14" name="Oval 13">
          <a:extLst>
            <a:ext uri="{FF2B5EF4-FFF2-40B4-BE49-F238E27FC236}">
              <a16:creationId xmlns:a16="http://schemas.microsoft.com/office/drawing/2014/main" id="{00000000-0008-0000-0100-00000E000000}"/>
            </a:ext>
          </a:extLst>
        </xdr:cNvPr>
        <xdr:cNvSpPr>
          <a:spLocks noChangeAspect="1"/>
        </xdr:cNvSpPr>
      </xdr:nvSpPr>
      <xdr:spPr>
        <a:xfrm>
          <a:off x="13058169" y="14589438"/>
          <a:ext cx="111180" cy="111180"/>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522636</xdr:colOff>
      <xdr:row>90</xdr:row>
      <xdr:rowOff>60414</xdr:rowOff>
    </xdr:from>
    <xdr:to>
      <xdr:col>14</xdr:col>
      <xdr:colOff>621111</xdr:colOff>
      <xdr:row>90</xdr:row>
      <xdr:rowOff>174129</xdr:rowOff>
    </xdr:to>
    <xdr:sp macro="" textlink="">
      <xdr:nvSpPr>
        <xdr:cNvPr id="17" name="Oval 16">
          <a:extLst>
            <a:ext uri="{FF2B5EF4-FFF2-40B4-BE49-F238E27FC236}">
              <a16:creationId xmlns:a16="http://schemas.microsoft.com/office/drawing/2014/main" id="{00000000-0008-0000-0100-000011000000}"/>
            </a:ext>
          </a:extLst>
        </xdr:cNvPr>
        <xdr:cNvSpPr>
          <a:spLocks noChangeAspect="1"/>
        </xdr:cNvSpPr>
      </xdr:nvSpPr>
      <xdr:spPr>
        <a:xfrm>
          <a:off x="13063886" y="18443664"/>
          <a:ext cx="98475" cy="113715"/>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520731</xdr:colOff>
      <xdr:row>93</xdr:row>
      <xdr:rowOff>56941</xdr:rowOff>
    </xdr:from>
    <xdr:to>
      <xdr:col>14</xdr:col>
      <xdr:colOff>624921</xdr:colOff>
      <xdr:row>93</xdr:row>
      <xdr:rowOff>176371</xdr:rowOff>
    </xdr:to>
    <xdr:sp macro="" textlink="">
      <xdr:nvSpPr>
        <xdr:cNvPr id="18" name="Oval 17">
          <a:extLst>
            <a:ext uri="{FF2B5EF4-FFF2-40B4-BE49-F238E27FC236}">
              <a16:creationId xmlns:a16="http://schemas.microsoft.com/office/drawing/2014/main" id="{00000000-0008-0000-0100-000012000000}"/>
            </a:ext>
          </a:extLst>
        </xdr:cNvPr>
        <xdr:cNvSpPr>
          <a:spLocks noChangeAspect="1"/>
        </xdr:cNvSpPr>
      </xdr:nvSpPr>
      <xdr:spPr>
        <a:xfrm>
          <a:off x="13061981" y="18662441"/>
          <a:ext cx="104190" cy="11943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520731</xdr:colOff>
      <xdr:row>96</xdr:row>
      <xdr:rowOff>62994</xdr:rowOff>
    </xdr:from>
    <xdr:to>
      <xdr:col>14</xdr:col>
      <xdr:colOff>624921</xdr:colOff>
      <xdr:row>96</xdr:row>
      <xdr:rowOff>172899</xdr:rowOff>
    </xdr:to>
    <xdr:sp macro="" textlink="">
      <xdr:nvSpPr>
        <xdr:cNvPr id="19" name="Oval 18">
          <a:extLst>
            <a:ext uri="{FF2B5EF4-FFF2-40B4-BE49-F238E27FC236}">
              <a16:creationId xmlns:a16="http://schemas.microsoft.com/office/drawing/2014/main" id="{00000000-0008-0000-0100-000013000000}"/>
            </a:ext>
          </a:extLst>
        </xdr:cNvPr>
        <xdr:cNvSpPr>
          <a:spLocks noChangeAspect="1"/>
        </xdr:cNvSpPr>
      </xdr:nvSpPr>
      <xdr:spPr>
        <a:xfrm>
          <a:off x="13061981" y="18901327"/>
          <a:ext cx="104190" cy="109905"/>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102</xdr:row>
      <xdr:rowOff>66849</xdr:rowOff>
    </xdr:from>
    <xdr:to>
      <xdr:col>14</xdr:col>
      <xdr:colOff>625339</xdr:colOff>
      <xdr:row>102</xdr:row>
      <xdr:rowOff>174429</xdr:rowOff>
    </xdr:to>
    <xdr:sp macro="" textlink="">
      <xdr:nvSpPr>
        <xdr:cNvPr id="20" name="Oval 19">
          <a:extLst>
            <a:ext uri="{FF2B5EF4-FFF2-40B4-BE49-F238E27FC236}">
              <a16:creationId xmlns:a16="http://schemas.microsoft.com/office/drawing/2014/main" id="{00000000-0008-0000-0100-000014000000}"/>
            </a:ext>
          </a:extLst>
        </xdr:cNvPr>
        <xdr:cNvSpPr>
          <a:spLocks/>
        </xdr:cNvSpPr>
      </xdr:nvSpPr>
      <xdr:spPr>
        <a:xfrm>
          <a:off x="13058169" y="19370849"/>
          <a:ext cx="108420" cy="107580"/>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520731</xdr:colOff>
      <xdr:row>105</xdr:row>
      <xdr:rowOff>61051</xdr:rowOff>
    </xdr:from>
    <xdr:to>
      <xdr:col>14</xdr:col>
      <xdr:colOff>624921</xdr:colOff>
      <xdr:row>105</xdr:row>
      <xdr:rowOff>176671</xdr:rowOff>
    </xdr:to>
    <xdr:sp macro="" textlink="">
      <xdr:nvSpPr>
        <xdr:cNvPr id="21" name="Oval 20">
          <a:extLst>
            <a:ext uri="{FF2B5EF4-FFF2-40B4-BE49-F238E27FC236}">
              <a16:creationId xmlns:a16="http://schemas.microsoft.com/office/drawing/2014/main" id="{00000000-0008-0000-0100-000015000000}"/>
            </a:ext>
          </a:extLst>
        </xdr:cNvPr>
        <xdr:cNvSpPr>
          <a:spLocks noChangeAspect="1"/>
        </xdr:cNvSpPr>
      </xdr:nvSpPr>
      <xdr:spPr>
        <a:xfrm>
          <a:off x="13061981" y="19587301"/>
          <a:ext cx="104190" cy="11562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520731</xdr:colOff>
      <xdr:row>108</xdr:row>
      <xdr:rowOff>63293</xdr:rowOff>
    </xdr:from>
    <xdr:to>
      <xdr:col>14</xdr:col>
      <xdr:colOff>624921</xdr:colOff>
      <xdr:row>108</xdr:row>
      <xdr:rowOff>177008</xdr:rowOff>
    </xdr:to>
    <xdr:sp macro="" textlink="">
      <xdr:nvSpPr>
        <xdr:cNvPr id="22" name="Oval 21">
          <a:extLst>
            <a:ext uri="{FF2B5EF4-FFF2-40B4-BE49-F238E27FC236}">
              <a16:creationId xmlns:a16="http://schemas.microsoft.com/office/drawing/2014/main" id="{00000000-0008-0000-0100-000016000000}"/>
            </a:ext>
          </a:extLst>
        </xdr:cNvPr>
        <xdr:cNvSpPr>
          <a:spLocks noChangeAspect="1"/>
        </xdr:cNvSpPr>
      </xdr:nvSpPr>
      <xdr:spPr>
        <a:xfrm>
          <a:off x="13061981" y="19811793"/>
          <a:ext cx="104190" cy="11371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522636</xdr:colOff>
      <xdr:row>114</xdr:row>
      <xdr:rowOff>56346</xdr:rowOff>
    </xdr:from>
    <xdr:to>
      <xdr:col>14</xdr:col>
      <xdr:colOff>621111</xdr:colOff>
      <xdr:row>114</xdr:row>
      <xdr:rowOff>173871</xdr:rowOff>
    </xdr:to>
    <xdr:sp macro="" textlink="">
      <xdr:nvSpPr>
        <xdr:cNvPr id="23" name="Oval 22">
          <a:extLst>
            <a:ext uri="{FF2B5EF4-FFF2-40B4-BE49-F238E27FC236}">
              <a16:creationId xmlns:a16="http://schemas.microsoft.com/office/drawing/2014/main" id="{00000000-0008-0000-0100-000017000000}"/>
            </a:ext>
          </a:extLst>
        </xdr:cNvPr>
        <xdr:cNvSpPr>
          <a:spLocks noChangeAspect="1"/>
        </xdr:cNvSpPr>
      </xdr:nvSpPr>
      <xdr:spPr>
        <a:xfrm>
          <a:off x="13063886" y="20259929"/>
          <a:ext cx="98475" cy="117525"/>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520731</xdr:colOff>
      <xdr:row>111</xdr:row>
      <xdr:rowOff>63629</xdr:rowOff>
    </xdr:from>
    <xdr:to>
      <xdr:col>14</xdr:col>
      <xdr:colOff>624921</xdr:colOff>
      <xdr:row>111</xdr:row>
      <xdr:rowOff>173534</xdr:rowOff>
    </xdr:to>
    <xdr:sp macro="" textlink="">
      <xdr:nvSpPr>
        <xdr:cNvPr id="24" name="Oval 23">
          <a:extLst>
            <a:ext uri="{FF2B5EF4-FFF2-40B4-BE49-F238E27FC236}">
              <a16:creationId xmlns:a16="http://schemas.microsoft.com/office/drawing/2014/main" id="{00000000-0008-0000-0100-000018000000}"/>
            </a:ext>
          </a:extLst>
        </xdr:cNvPr>
        <xdr:cNvSpPr>
          <a:spLocks noChangeAspect="1"/>
        </xdr:cNvSpPr>
      </xdr:nvSpPr>
      <xdr:spPr>
        <a:xfrm>
          <a:off x="13061981" y="20034379"/>
          <a:ext cx="104190" cy="109905"/>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520729</xdr:colOff>
      <xdr:row>146</xdr:row>
      <xdr:rowOff>56604</xdr:rowOff>
    </xdr:from>
    <xdr:to>
      <xdr:col>14</xdr:col>
      <xdr:colOff>624919</xdr:colOff>
      <xdr:row>146</xdr:row>
      <xdr:rowOff>170319</xdr:rowOff>
    </xdr:to>
    <xdr:sp macro="" textlink="">
      <xdr:nvSpPr>
        <xdr:cNvPr id="25" name="Oval 24">
          <a:extLst>
            <a:ext uri="{FF2B5EF4-FFF2-40B4-BE49-F238E27FC236}">
              <a16:creationId xmlns:a16="http://schemas.microsoft.com/office/drawing/2014/main" id="{00000000-0008-0000-0100-000019000000}"/>
            </a:ext>
          </a:extLst>
        </xdr:cNvPr>
        <xdr:cNvSpPr>
          <a:spLocks noChangeAspect="1"/>
        </xdr:cNvSpPr>
      </xdr:nvSpPr>
      <xdr:spPr>
        <a:xfrm>
          <a:off x="13061979" y="26440854"/>
          <a:ext cx="104190" cy="113715"/>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150</xdr:row>
      <xdr:rowOff>58608</xdr:rowOff>
    </xdr:from>
    <xdr:to>
      <xdr:col>14</xdr:col>
      <xdr:colOff>628729</xdr:colOff>
      <xdr:row>150</xdr:row>
      <xdr:rowOff>170418</xdr:rowOff>
    </xdr:to>
    <xdr:sp macro="" textlink="">
      <xdr:nvSpPr>
        <xdr:cNvPr id="26" name="Oval 25">
          <a:extLst>
            <a:ext uri="{FF2B5EF4-FFF2-40B4-BE49-F238E27FC236}">
              <a16:creationId xmlns:a16="http://schemas.microsoft.com/office/drawing/2014/main" id="{00000000-0008-0000-0100-00001A000000}"/>
            </a:ext>
          </a:extLst>
        </xdr:cNvPr>
        <xdr:cNvSpPr>
          <a:spLocks noChangeAspect="1"/>
        </xdr:cNvSpPr>
      </xdr:nvSpPr>
      <xdr:spPr>
        <a:xfrm>
          <a:off x="13058169" y="26675691"/>
          <a:ext cx="111810" cy="11181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154</xdr:row>
      <xdr:rowOff>54897</xdr:rowOff>
    </xdr:from>
    <xdr:to>
      <xdr:col>14</xdr:col>
      <xdr:colOff>628729</xdr:colOff>
      <xdr:row>154</xdr:row>
      <xdr:rowOff>172422</xdr:rowOff>
    </xdr:to>
    <xdr:sp macro="" textlink="">
      <xdr:nvSpPr>
        <xdr:cNvPr id="27" name="Oval 26">
          <a:extLst>
            <a:ext uri="{FF2B5EF4-FFF2-40B4-BE49-F238E27FC236}">
              <a16:creationId xmlns:a16="http://schemas.microsoft.com/office/drawing/2014/main" id="{00000000-0008-0000-0100-00001B000000}"/>
            </a:ext>
          </a:extLst>
        </xdr:cNvPr>
        <xdr:cNvSpPr>
          <a:spLocks noChangeAspect="1"/>
        </xdr:cNvSpPr>
      </xdr:nvSpPr>
      <xdr:spPr>
        <a:xfrm>
          <a:off x="13058169" y="26904814"/>
          <a:ext cx="111810" cy="117525"/>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162</xdr:row>
      <xdr:rowOff>63989</xdr:rowOff>
    </xdr:from>
    <xdr:to>
      <xdr:col>14</xdr:col>
      <xdr:colOff>625339</xdr:colOff>
      <xdr:row>162</xdr:row>
      <xdr:rowOff>171569</xdr:rowOff>
    </xdr:to>
    <xdr:sp macro="" textlink="">
      <xdr:nvSpPr>
        <xdr:cNvPr id="28" name="Oval 27">
          <a:extLst>
            <a:ext uri="{FF2B5EF4-FFF2-40B4-BE49-F238E27FC236}">
              <a16:creationId xmlns:a16="http://schemas.microsoft.com/office/drawing/2014/main" id="{00000000-0008-0000-0100-00001C000000}"/>
            </a:ext>
          </a:extLst>
        </xdr:cNvPr>
        <xdr:cNvSpPr>
          <a:spLocks/>
        </xdr:cNvSpPr>
      </xdr:nvSpPr>
      <xdr:spPr>
        <a:xfrm>
          <a:off x="13058169" y="27368989"/>
          <a:ext cx="108420" cy="107580"/>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166</xdr:row>
      <xdr:rowOff>56048</xdr:rowOff>
    </xdr:from>
    <xdr:to>
      <xdr:col>14</xdr:col>
      <xdr:colOff>628729</xdr:colOff>
      <xdr:row>166</xdr:row>
      <xdr:rowOff>171668</xdr:rowOff>
    </xdr:to>
    <xdr:sp macro="" textlink="">
      <xdr:nvSpPr>
        <xdr:cNvPr id="29" name="Oval 28">
          <a:extLst>
            <a:ext uri="{FF2B5EF4-FFF2-40B4-BE49-F238E27FC236}">
              <a16:creationId xmlns:a16="http://schemas.microsoft.com/office/drawing/2014/main" id="{00000000-0008-0000-0100-00001D000000}"/>
            </a:ext>
          </a:extLst>
        </xdr:cNvPr>
        <xdr:cNvSpPr>
          <a:spLocks noChangeAspect="1"/>
        </xdr:cNvSpPr>
      </xdr:nvSpPr>
      <xdr:spPr>
        <a:xfrm>
          <a:off x="13058169" y="27583298"/>
          <a:ext cx="111810" cy="11562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170</xdr:row>
      <xdr:rowOff>56146</xdr:rowOff>
    </xdr:from>
    <xdr:to>
      <xdr:col>14</xdr:col>
      <xdr:colOff>628729</xdr:colOff>
      <xdr:row>170</xdr:row>
      <xdr:rowOff>169861</xdr:rowOff>
    </xdr:to>
    <xdr:sp macro="" textlink="">
      <xdr:nvSpPr>
        <xdr:cNvPr id="30" name="Oval 29">
          <a:extLst>
            <a:ext uri="{FF2B5EF4-FFF2-40B4-BE49-F238E27FC236}">
              <a16:creationId xmlns:a16="http://schemas.microsoft.com/office/drawing/2014/main" id="{00000000-0008-0000-0100-00001E000000}"/>
            </a:ext>
          </a:extLst>
        </xdr:cNvPr>
        <xdr:cNvSpPr>
          <a:spLocks noChangeAspect="1"/>
        </xdr:cNvSpPr>
      </xdr:nvSpPr>
      <xdr:spPr>
        <a:xfrm>
          <a:off x="13058169" y="27805646"/>
          <a:ext cx="111810" cy="11371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520729</xdr:colOff>
      <xdr:row>178</xdr:row>
      <xdr:rowOff>60156</xdr:rowOff>
    </xdr:from>
    <xdr:to>
      <xdr:col>14</xdr:col>
      <xdr:colOff>624919</xdr:colOff>
      <xdr:row>178</xdr:row>
      <xdr:rowOff>170061</xdr:rowOff>
    </xdr:to>
    <xdr:sp macro="" textlink="">
      <xdr:nvSpPr>
        <xdr:cNvPr id="31" name="Oval 30">
          <a:extLst>
            <a:ext uri="{FF2B5EF4-FFF2-40B4-BE49-F238E27FC236}">
              <a16:creationId xmlns:a16="http://schemas.microsoft.com/office/drawing/2014/main" id="{00000000-0008-0000-0100-00001F000000}"/>
            </a:ext>
          </a:extLst>
        </xdr:cNvPr>
        <xdr:cNvSpPr>
          <a:spLocks noChangeAspect="1"/>
        </xdr:cNvSpPr>
      </xdr:nvSpPr>
      <xdr:spPr>
        <a:xfrm>
          <a:off x="13061979" y="28275323"/>
          <a:ext cx="104190" cy="109905"/>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174</xdr:row>
      <xdr:rowOff>54340</xdr:rowOff>
    </xdr:from>
    <xdr:to>
      <xdr:col>14</xdr:col>
      <xdr:colOff>628729</xdr:colOff>
      <xdr:row>174</xdr:row>
      <xdr:rowOff>171865</xdr:rowOff>
    </xdr:to>
    <xdr:sp macro="" textlink="">
      <xdr:nvSpPr>
        <xdr:cNvPr id="32" name="Oval 31">
          <a:extLst>
            <a:ext uri="{FF2B5EF4-FFF2-40B4-BE49-F238E27FC236}">
              <a16:creationId xmlns:a16="http://schemas.microsoft.com/office/drawing/2014/main" id="{00000000-0008-0000-0100-000020000000}"/>
            </a:ext>
          </a:extLst>
        </xdr:cNvPr>
        <xdr:cNvSpPr>
          <a:spLocks noChangeAspect="1"/>
        </xdr:cNvSpPr>
      </xdr:nvSpPr>
      <xdr:spPr>
        <a:xfrm>
          <a:off x="13058169" y="28036673"/>
          <a:ext cx="111810" cy="117525"/>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5</xdr:col>
      <xdr:colOff>349250</xdr:colOff>
      <xdr:row>89</xdr:row>
      <xdr:rowOff>76535</xdr:rowOff>
    </xdr:from>
    <xdr:to>
      <xdr:col>14</xdr:col>
      <xdr:colOff>635000</xdr:colOff>
      <xdr:row>132</xdr:row>
      <xdr:rowOff>181428</xdr:rowOff>
    </xdr:to>
    <xdr:graphicFrame macro="">
      <xdr:nvGraphicFramePr>
        <xdr:cNvPr id="33" name="Chart 32">
          <a:extLst>
            <a:ext uri="{FF2B5EF4-FFF2-40B4-BE49-F238E27FC236}">
              <a16:creationId xmlns:a16="http://schemas.microsoft.com/office/drawing/2014/main" id="{00000000-0008-0000-0100-000021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92</xdr:row>
      <xdr:rowOff>139700</xdr:rowOff>
    </xdr:from>
    <xdr:to>
      <xdr:col>5</xdr:col>
      <xdr:colOff>465667</xdr:colOff>
      <xdr:row>111</xdr:row>
      <xdr:rowOff>30639</xdr:rowOff>
    </xdr:to>
    <xdr:graphicFrame macro="">
      <xdr:nvGraphicFramePr>
        <xdr:cNvPr id="34" name="Chart 33">
          <a:extLst>
            <a:ext uri="{FF2B5EF4-FFF2-40B4-BE49-F238E27FC236}">
              <a16:creationId xmlns:a16="http://schemas.microsoft.com/office/drawing/2014/main" id="{00000000-0008-0000-0100-00002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96816</xdr:colOff>
      <xdr:row>145</xdr:row>
      <xdr:rowOff>37660</xdr:rowOff>
    </xdr:from>
    <xdr:to>
      <xdr:col>14</xdr:col>
      <xdr:colOff>401732</xdr:colOff>
      <xdr:row>187</xdr:row>
      <xdr:rowOff>63500</xdr:rowOff>
    </xdr:to>
    <xdr:graphicFrame macro="">
      <xdr:nvGraphicFramePr>
        <xdr:cNvPr id="35" name="Chart 34">
          <a:extLst>
            <a:ext uri="{FF2B5EF4-FFF2-40B4-BE49-F238E27FC236}">
              <a16:creationId xmlns:a16="http://schemas.microsoft.com/office/drawing/2014/main" id="{00000000-0008-0000-0100-00002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14</xdr:col>
      <xdr:colOff>522636</xdr:colOff>
      <xdr:row>199</xdr:row>
      <xdr:rowOff>0</xdr:rowOff>
    </xdr:from>
    <xdr:to>
      <xdr:col>14</xdr:col>
      <xdr:colOff>621111</xdr:colOff>
      <xdr:row>199</xdr:row>
      <xdr:rowOff>0</xdr:rowOff>
    </xdr:to>
    <xdr:sp macro="" textlink="">
      <xdr:nvSpPr>
        <xdr:cNvPr id="37" name="Oval 36">
          <a:extLst>
            <a:ext uri="{FF2B5EF4-FFF2-40B4-BE49-F238E27FC236}">
              <a16:creationId xmlns:a16="http://schemas.microsoft.com/office/drawing/2014/main" id="{00000000-0008-0000-0100-000025000000}"/>
            </a:ext>
          </a:extLst>
        </xdr:cNvPr>
        <xdr:cNvSpPr>
          <a:spLocks noChangeAspect="1"/>
        </xdr:cNvSpPr>
      </xdr:nvSpPr>
      <xdr:spPr>
        <a:xfrm>
          <a:off x="13063886" y="31940500"/>
          <a:ext cx="98475" cy="0"/>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522636</xdr:colOff>
      <xdr:row>199</xdr:row>
      <xdr:rowOff>0</xdr:rowOff>
    </xdr:from>
    <xdr:to>
      <xdr:col>14</xdr:col>
      <xdr:colOff>621111</xdr:colOff>
      <xdr:row>199</xdr:row>
      <xdr:rowOff>0</xdr:rowOff>
    </xdr:to>
    <xdr:sp macro="" textlink="">
      <xdr:nvSpPr>
        <xdr:cNvPr id="38" name="Oval 37">
          <a:extLst>
            <a:ext uri="{FF2B5EF4-FFF2-40B4-BE49-F238E27FC236}">
              <a16:creationId xmlns:a16="http://schemas.microsoft.com/office/drawing/2014/main" id="{00000000-0008-0000-0100-000026000000}"/>
            </a:ext>
          </a:extLst>
        </xdr:cNvPr>
        <xdr:cNvSpPr>
          <a:spLocks noChangeAspect="1"/>
        </xdr:cNvSpPr>
      </xdr:nvSpPr>
      <xdr:spPr>
        <a:xfrm>
          <a:off x="13063886" y="31940500"/>
          <a:ext cx="98475" cy="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522636</xdr:colOff>
      <xdr:row>199</xdr:row>
      <xdr:rowOff>0</xdr:rowOff>
    </xdr:from>
    <xdr:to>
      <xdr:col>14</xdr:col>
      <xdr:colOff>621111</xdr:colOff>
      <xdr:row>199</xdr:row>
      <xdr:rowOff>0</xdr:rowOff>
    </xdr:to>
    <xdr:sp macro="" textlink="">
      <xdr:nvSpPr>
        <xdr:cNvPr id="39" name="Oval 38">
          <a:extLst>
            <a:ext uri="{FF2B5EF4-FFF2-40B4-BE49-F238E27FC236}">
              <a16:creationId xmlns:a16="http://schemas.microsoft.com/office/drawing/2014/main" id="{00000000-0008-0000-0100-000027000000}"/>
            </a:ext>
          </a:extLst>
        </xdr:cNvPr>
        <xdr:cNvSpPr>
          <a:spLocks noChangeAspect="1"/>
        </xdr:cNvSpPr>
      </xdr:nvSpPr>
      <xdr:spPr>
        <a:xfrm>
          <a:off x="13063886" y="31940500"/>
          <a:ext cx="98475" cy="0"/>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522634</xdr:colOff>
      <xdr:row>199</xdr:row>
      <xdr:rowOff>0</xdr:rowOff>
    </xdr:from>
    <xdr:to>
      <xdr:col>14</xdr:col>
      <xdr:colOff>632959</xdr:colOff>
      <xdr:row>199</xdr:row>
      <xdr:rowOff>0</xdr:rowOff>
    </xdr:to>
    <xdr:sp macro="" textlink="">
      <xdr:nvSpPr>
        <xdr:cNvPr id="40" name="Oval 39">
          <a:extLst>
            <a:ext uri="{FF2B5EF4-FFF2-40B4-BE49-F238E27FC236}">
              <a16:creationId xmlns:a16="http://schemas.microsoft.com/office/drawing/2014/main" id="{00000000-0008-0000-0100-000028000000}"/>
            </a:ext>
          </a:extLst>
        </xdr:cNvPr>
        <xdr:cNvSpPr>
          <a:spLocks/>
        </xdr:cNvSpPr>
      </xdr:nvSpPr>
      <xdr:spPr>
        <a:xfrm>
          <a:off x="13063884" y="31940500"/>
          <a:ext cx="110325" cy="0"/>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522636</xdr:colOff>
      <xdr:row>199</xdr:row>
      <xdr:rowOff>0</xdr:rowOff>
    </xdr:from>
    <xdr:to>
      <xdr:col>14</xdr:col>
      <xdr:colOff>621111</xdr:colOff>
      <xdr:row>199</xdr:row>
      <xdr:rowOff>0</xdr:rowOff>
    </xdr:to>
    <xdr:sp macro="" textlink="">
      <xdr:nvSpPr>
        <xdr:cNvPr id="41" name="Oval 40">
          <a:extLst>
            <a:ext uri="{FF2B5EF4-FFF2-40B4-BE49-F238E27FC236}">
              <a16:creationId xmlns:a16="http://schemas.microsoft.com/office/drawing/2014/main" id="{00000000-0008-0000-0100-000029000000}"/>
            </a:ext>
          </a:extLst>
        </xdr:cNvPr>
        <xdr:cNvSpPr>
          <a:spLocks noChangeAspect="1"/>
        </xdr:cNvSpPr>
      </xdr:nvSpPr>
      <xdr:spPr>
        <a:xfrm>
          <a:off x="13063886" y="31940500"/>
          <a:ext cx="98475" cy="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522636</xdr:colOff>
      <xdr:row>199</xdr:row>
      <xdr:rowOff>0</xdr:rowOff>
    </xdr:from>
    <xdr:to>
      <xdr:col>14</xdr:col>
      <xdr:colOff>621111</xdr:colOff>
      <xdr:row>199</xdr:row>
      <xdr:rowOff>0</xdr:rowOff>
    </xdr:to>
    <xdr:sp macro="" textlink="">
      <xdr:nvSpPr>
        <xdr:cNvPr id="42" name="Oval 41">
          <a:extLst>
            <a:ext uri="{FF2B5EF4-FFF2-40B4-BE49-F238E27FC236}">
              <a16:creationId xmlns:a16="http://schemas.microsoft.com/office/drawing/2014/main" id="{00000000-0008-0000-0100-00002A000000}"/>
            </a:ext>
          </a:extLst>
        </xdr:cNvPr>
        <xdr:cNvSpPr>
          <a:spLocks noChangeAspect="1"/>
        </xdr:cNvSpPr>
      </xdr:nvSpPr>
      <xdr:spPr>
        <a:xfrm>
          <a:off x="13063886" y="31940500"/>
          <a:ext cx="98475" cy="0"/>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522636</xdr:colOff>
      <xdr:row>199</xdr:row>
      <xdr:rowOff>0</xdr:rowOff>
    </xdr:from>
    <xdr:to>
      <xdr:col>14</xdr:col>
      <xdr:colOff>621111</xdr:colOff>
      <xdr:row>199</xdr:row>
      <xdr:rowOff>0</xdr:rowOff>
    </xdr:to>
    <xdr:sp macro="" textlink="">
      <xdr:nvSpPr>
        <xdr:cNvPr id="43" name="Oval 42">
          <a:extLst>
            <a:ext uri="{FF2B5EF4-FFF2-40B4-BE49-F238E27FC236}">
              <a16:creationId xmlns:a16="http://schemas.microsoft.com/office/drawing/2014/main" id="{00000000-0008-0000-0100-00002B000000}"/>
            </a:ext>
          </a:extLst>
        </xdr:cNvPr>
        <xdr:cNvSpPr>
          <a:spLocks noChangeAspect="1"/>
        </xdr:cNvSpPr>
      </xdr:nvSpPr>
      <xdr:spPr>
        <a:xfrm>
          <a:off x="13063886" y="31940500"/>
          <a:ext cx="98475" cy="0"/>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522636</xdr:colOff>
      <xdr:row>199</xdr:row>
      <xdr:rowOff>0</xdr:rowOff>
    </xdr:from>
    <xdr:to>
      <xdr:col>14</xdr:col>
      <xdr:colOff>621111</xdr:colOff>
      <xdr:row>199</xdr:row>
      <xdr:rowOff>0</xdr:rowOff>
    </xdr:to>
    <xdr:sp macro="" textlink="">
      <xdr:nvSpPr>
        <xdr:cNvPr id="44" name="Oval 43">
          <a:extLst>
            <a:ext uri="{FF2B5EF4-FFF2-40B4-BE49-F238E27FC236}">
              <a16:creationId xmlns:a16="http://schemas.microsoft.com/office/drawing/2014/main" id="{00000000-0008-0000-0100-00002C000000}"/>
            </a:ext>
          </a:extLst>
        </xdr:cNvPr>
        <xdr:cNvSpPr>
          <a:spLocks noChangeAspect="1"/>
        </xdr:cNvSpPr>
      </xdr:nvSpPr>
      <xdr:spPr>
        <a:xfrm>
          <a:off x="13063886" y="31940500"/>
          <a:ext cx="98475" cy="0"/>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6</xdr:col>
      <xdr:colOff>96815</xdr:colOff>
      <xdr:row>205</xdr:row>
      <xdr:rowOff>130394</xdr:rowOff>
    </xdr:from>
    <xdr:to>
      <xdr:col>14</xdr:col>
      <xdr:colOff>369793</xdr:colOff>
      <xdr:row>208</xdr:row>
      <xdr:rowOff>210932</xdr:rowOff>
    </xdr:to>
    <xdr:graphicFrame macro="">
      <xdr:nvGraphicFramePr>
        <xdr:cNvPr id="47" name="Chart 46">
          <a:extLst>
            <a:ext uri="{FF2B5EF4-FFF2-40B4-BE49-F238E27FC236}">
              <a16:creationId xmlns:a16="http://schemas.microsoft.com/office/drawing/2014/main" id="{00000000-0008-0000-0100-00002F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247603</xdr:colOff>
      <xdr:row>200</xdr:row>
      <xdr:rowOff>78081</xdr:rowOff>
    </xdr:from>
    <xdr:to>
      <xdr:col>6</xdr:col>
      <xdr:colOff>327030</xdr:colOff>
      <xdr:row>212</xdr:row>
      <xdr:rowOff>75780</xdr:rowOff>
    </xdr:to>
    <xdr:graphicFrame macro="">
      <xdr:nvGraphicFramePr>
        <xdr:cNvPr id="48" name="Chart 47">
          <a:extLst>
            <a:ext uri="{FF2B5EF4-FFF2-40B4-BE49-F238E27FC236}">
              <a16:creationId xmlns:a16="http://schemas.microsoft.com/office/drawing/2014/main" id="{00000000-0008-0000-0100-000030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6</xdr:col>
      <xdr:colOff>12041</xdr:colOff>
      <xdr:row>44</xdr:row>
      <xdr:rowOff>85830</xdr:rowOff>
    </xdr:from>
    <xdr:to>
      <xdr:col>14</xdr:col>
      <xdr:colOff>352159</xdr:colOff>
      <xdr:row>76</xdr:row>
      <xdr:rowOff>30047</xdr:rowOff>
    </xdr:to>
    <xdr:graphicFrame macro="">
      <xdr:nvGraphicFramePr>
        <xdr:cNvPr id="6" name="Chart 5">
          <a:extLst>
            <a:ext uri="{FF2B5EF4-FFF2-40B4-BE49-F238E27FC236}">
              <a16:creationId xmlns:a16="http://schemas.microsoft.com/office/drawing/2014/main" id="{00000000-0008-0000-0100-00000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absolute">
    <xdr:from>
      <xdr:col>1</xdr:col>
      <xdr:colOff>1151</xdr:colOff>
      <xdr:row>1</xdr:row>
      <xdr:rowOff>846</xdr:rowOff>
    </xdr:from>
    <xdr:to>
      <xdr:col>2</xdr:col>
      <xdr:colOff>592888</xdr:colOff>
      <xdr:row>1</xdr:row>
      <xdr:rowOff>151838</xdr:rowOff>
    </xdr:to>
    <xdr:pic>
      <xdr:nvPicPr>
        <xdr:cNvPr id="15" name="Gráfico 10">
          <a:extLst>
            <a:ext uri="{FF2B5EF4-FFF2-40B4-BE49-F238E27FC236}">
              <a16:creationId xmlns:a16="http://schemas.microsoft.com/office/drawing/2014/main" id="{00000000-0008-0000-0100-00000F000000}"/>
            </a:ext>
          </a:extLst>
        </xdr:cNvPr>
        <xdr:cNvPicPr>
          <a:picLocks noChangeAspect="1"/>
        </xdr:cNvPicPr>
      </xdr:nvPicPr>
      <xdr:blipFill>
        <a:blip xmlns:r="http://schemas.openxmlformats.org/officeDocument/2006/relationships" r:embed="rId9">
          <a:extLst>
            <a:ext uri="{96DAC541-7B7A-43D3-8B79-37D633B846F1}">
              <asvg:svgBlip xmlns="" xmlns:asvg="http://schemas.microsoft.com/office/drawing/2016/SVG/main" r:embed="rId10"/>
            </a:ext>
          </a:extLst>
        </a:blip>
        <a:stretch>
          <a:fillRect/>
        </a:stretch>
      </xdr:blipFill>
      <xdr:spPr>
        <a:xfrm>
          <a:off x="283482" y="215446"/>
          <a:ext cx="872560" cy="151838"/>
        </a:xfrm>
        <a:prstGeom prst="rect">
          <a:avLst/>
        </a:prstGeom>
      </xdr:spPr>
    </xdr:pic>
    <xdr:clientData/>
  </xdr:twoCellAnchor>
  <xdr:twoCellAnchor>
    <xdr:from>
      <xdr:col>14</xdr:col>
      <xdr:colOff>516919</xdr:colOff>
      <xdr:row>54</xdr:row>
      <xdr:rowOff>53887</xdr:rowOff>
    </xdr:from>
    <xdr:to>
      <xdr:col>14</xdr:col>
      <xdr:colOff>628099</xdr:colOff>
      <xdr:row>54</xdr:row>
      <xdr:rowOff>172687</xdr:rowOff>
    </xdr:to>
    <xdr:sp macro="" textlink="">
      <xdr:nvSpPr>
        <xdr:cNvPr id="2" name="Oval 1">
          <a:extLst>
            <a:ext uri="{FF2B5EF4-FFF2-40B4-BE49-F238E27FC236}">
              <a16:creationId xmlns:a16="http://schemas.microsoft.com/office/drawing/2014/main" id="{00000000-0008-0000-0100-000002000000}"/>
            </a:ext>
          </a:extLst>
        </xdr:cNvPr>
        <xdr:cNvSpPr>
          <a:spLocks noChangeAspect="1"/>
        </xdr:cNvSpPr>
      </xdr:nvSpPr>
      <xdr:spPr>
        <a:xfrm>
          <a:off x="13058169" y="13674637"/>
          <a:ext cx="111180" cy="118800"/>
        </a:xfrm>
        <a:prstGeom prst="ellipse">
          <a:avLst/>
        </a:prstGeom>
        <a:solidFill>
          <a:schemeClr val="accent6">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60</xdr:row>
      <xdr:rowOff>62872</xdr:rowOff>
    </xdr:from>
    <xdr:to>
      <xdr:col>14</xdr:col>
      <xdr:colOff>628099</xdr:colOff>
      <xdr:row>60</xdr:row>
      <xdr:rowOff>172147</xdr:rowOff>
    </xdr:to>
    <xdr:sp macro="" textlink="">
      <xdr:nvSpPr>
        <xdr:cNvPr id="9" name="Oval 8">
          <a:extLst>
            <a:ext uri="{FF2B5EF4-FFF2-40B4-BE49-F238E27FC236}">
              <a16:creationId xmlns:a16="http://schemas.microsoft.com/office/drawing/2014/main" id="{00000000-0008-0000-0100-000009000000}"/>
            </a:ext>
          </a:extLst>
        </xdr:cNvPr>
        <xdr:cNvSpPr>
          <a:spLocks noChangeAspect="1"/>
        </xdr:cNvSpPr>
      </xdr:nvSpPr>
      <xdr:spPr>
        <a:xfrm>
          <a:off x="13058169" y="14138705"/>
          <a:ext cx="111180" cy="109275"/>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514159</xdr:colOff>
      <xdr:row>99</xdr:row>
      <xdr:rowOff>59522</xdr:rowOff>
    </xdr:from>
    <xdr:to>
      <xdr:col>14</xdr:col>
      <xdr:colOff>634864</xdr:colOff>
      <xdr:row>99</xdr:row>
      <xdr:rowOff>180227</xdr:rowOff>
    </xdr:to>
    <xdr:sp macro="" textlink="">
      <xdr:nvSpPr>
        <xdr:cNvPr id="45" name="Oval 44">
          <a:extLst>
            <a:ext uri="{FF2B5EF4-FFF2-40B4-BE49-F238E27FC236}">
              <a16:creationId xmlns:a16="http://schemas.microsoft.com/office/drawing/2014/main" id="{00000000-0008-0000-0100-00002D000000}"/>
            </a:ext>
          </a:extLst>
        </xdr:cNvPr>
        <xdr:cNvSpPr>
          <a:spLocks noChangeAspect="1"/>
        </xdr:cNvSpPr>
      </xdr:nvSpPr>
      <xdr:spPr>
        <a:xfrm>
          <a:off x="13055409" y="19130689"/>
          <a:ext cx="120705" cy="120705"/>
        </a:xfrm>
        <a:prstGeom prst="ellipse">
          <a:avLst/>
        </a:prstGeom>
        <a:solidFill>
          <a:schemeClr val="accent6">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158</xdr:row>
      <xdr:rowOff>56900</xdr:rowOff>
    </xdr:from>
    <xdr:to>
      <xdr:col>14</xdr:col>
      <xdr:colOff>645244</xdr:colOff>
      <xdr:row>158</xdr:row>
      <xdr:rowOff>179510</xdr:rowOff>
    </xdr:to>
    <xdr:sp macro="" textlink="">
      <xdr:nvSpPr>
        <xdr:cNvPr id="46" name="Oval 45">
          <a:extLst>
            <a:ext uri="{FF2B5EF4-FFF2-40B4-BE49-F238E27FC236}">
              <a16:creationId xmlns:a16="http://schemas.microsoft.com/office/drawing/2014/main" id="{00000000-0008-0000-0100-00002E000000}"/>
            </a:ext>
          </a:extLst>
        </xdr:cNvPr>
        <xdr:cNvSpPr>
          <a:spLocks noChangeAspect="1"/>
        </xdr:cNvSpPr>
      </xdr:nvSpPr>
      <xdr:spPr>
        <a:xfrm>
          <a:off x="13058169" y="27139650"/>
          <a:ext cx="128325" cy="122610"/>
        </a:xfrm>
        <a:prstGeom prst="ellipse">
          <a:avLst/>
        </a:prstGeom>
        <a:solidFill>
          <a:schemeClr val="accent6">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513109</xdr:colOff>
      <xdr:row>5</xdr:row>
      <xdr:rowOff>0</xdr:rowOff>
    </xdr:from>
    <xdr:to>
      <xdr:col>14</xdr:col>
      <xdr:colOff>631909</xdr:colOff>
      <xdr:row>5</xdr:row>
      <xdr:rowOff>0</xdr:rowOff>
    </xdr:to>
    <xdr:sp macro="" textlink="">
      <xdr:nvSpPr>
        <xdr:cNvPr id="49" name="Oval 48">
          <a:extLst>
            <a:ext uri="{FF2B5EF4-FFF2-40B4-BE49-F238E27FC236}">
              <a16:creationId xmlns:a16="http://schemas.microsoft.com/office/drawing/2014/main" id="{00000000-0008-0000-0100-000031000000}"/>
            </a:ext>
          </a:extLst>
        </xdr:cNvPr>
        <xdr:cNvSpPr>
          <a:spLocks noChangeAspect="1"/>
        </xdr:cNvSpPr>
      </xdr:nvSpPr>
      <xdr:spPr>
        <a:xfrm>
          <a:off x="13054359" y="2476500"/>
          <a:ext cx="118800" cy="0"/>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5</xdr:row>
      <xdr:rowOff>0</xdr:rowOff>
    </xdr:from>
    <xdr:to>
      <xdr:col>14</xdr:col>
      <xdr:colOff>628099</xdr:colOff>
      <xdr:row>5</xdr:row>
      <xdr:rowOff>0</xdr:rowOff>
    </xdr:to>
    <xdr:sp macro="" textlink="">
      <xdr:nvSpPr>
        <xdr:cNvPr id="50" name="Oval 49">
          <a:extLst>
            <a:ext uri="{FF2B5EF4-FFF2-40B4-BE49-F238E27FC236}">
              <a16:creationId xmlns:a16="http://schemas.microsoft.com/office/drawing/2014/main" id="{00000000-0008-0000-0100-000032000000}"/>
            </a:ext>
          </a:extLst>
        </xdr:cNvPr>
        <xdr:cNvSpPr>
          <a:spLocks noChangeAspect="1"/>
        </xdr:cNvSpPr>
      </xdr:nvSpPr>
      <xdr:spPr>
        <a:xfrm>
          <a:off x="13058169" y="2476500"/>
          <a:ext cx="111180" cy="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5</xdr:row>
      <xdr:rowOff>0</xdr:rowOff>
    </xdr:from>
    <xdr:to>
      <xdr:col>14</xdr:col>
      <xdr:colOff>628099</xdr:colOff>
      <xdr:row>5</xdr:row>
      <xdr:rowOff>0</xdr:rowOff>
    </xdr:to>
    <xdr:sp macro="" textlink="">
      <xdr:nvSpPr>
        <xdr:cNvPr id="51" name="Oval 50">
          <a:extLst>
            <a:ext uri="{FF2B5EF4-FFF2-40B4-BE49-F238E27FC236}">
              <a16:creationId xmlns:a16="http://schemas.microsoft.com/office/drawing/2014/main" id="{00000000-0008-0000-0100-000033000000}"/>
            </a:ext>
          </a:extLst>
        </xdr:cNvPr>
        <xdr:cNvSpPr>
          <a:spLocks noChangeAspect="1"/>
        </xdr:cNvSpPr>
      </xdr:nvSpPr>
      <xdr:spPr>
        <a:xfrm>
          <a:off x="13058169" y="2476500"/>
          <a:ext cx="111180" cy="0"/>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5</xdr:row>
      <xdr:rowOff>0</xdr:rowOff>
    </xdr:from>
    <xdr:to>
      <xdr:col>14</xdr:col>
      <xdr:colOff>628099</xdr:colOff>
      <xdr:row>5</xdr:row>
      <xdr:rowOff>0</xdr:rowOff>
    </xdr:to>
    <xdr:sp macro="" textlink="">
      <xdr:nvSpPr>
        <xdr:cNvPr id="52" name="Oval 51">
          <a:extLst>
            <a:ext uri="{FF2B5EF4-FFF2-40B4-BE49-F238E27FC236}">
              <a16:creationId xmlns:a16="http://schemas.microsoft.com/office/drawing/2014/main" id="{00000000-0008-0000-0100-000034000000}"/>
            </a:ext>
          </a:extLst>
        </xdr:cNvPr>
        <xdr:cNvSpPr>
          <a:spLocks noChangeAspect="1"/>
        </xdr:cNvSpPr>
      </xdr:nvSpPr>
      <xdr:spPr>
        <a:xfrm>
          <a:off x="13058169" y="2476500"/>
          <a:ext cx="111180" cy="0"/>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5</xdr:row>
      <xdr:rowOff>0</xdr:rowOff>
    </xdr:from>
    <xdr:to>
      <xdr:col>14</xdr:col>
      <xdr:colOff>628099</xdr:colOff>
      <xdr:row>5</xdr:row>
      <xdr:rowOff>0</xdr:rowOff>
    </xdr:to>
    <xdr:sp macro="" textlink="">
      <xdr:nvSpPr>
        <xdr:cNvPr id="53" name="Oval 52">
          <a:extLst>
            <a:ext uri="{FF2B5EF4-FFF2-40B4-BE49-F238E27FC236}">
              <a16:creationId xmlns:a16="http://schemas.microsoft.com/office/drawing/2014/main" id="{00000000-0008-0000-0100-000035000000}"/>
            </a:ext>
          </a:extLst>
        </xdr:cNvPr>
        <xdr:cNvSpPr>
          <a:spLocks noChangeAspect="1"/>
        </xdr:cNvSpPr>
      </xdr:nvSpPr>
      <xdr:spPr>
        <a:xfrm>
          <a:off x="13058169" y="2476500"/>
          <a:ext cx="111180" cy="0"/>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513109</xdr:colOff>
      <xdr:row>5</xdr:row>
      <xdr:rowOff>0</xdr:rowOff>
    </xdr:from>
    <xdr:to>
      <xdr:col>14</xdr:col>
      <xdr:colOff>631909</xdr:colOff>
      <xdr:row>5</xdr:row>
      <xdr:rowOff>0</xdr:rowOff>
    </xdr:to>
    <xdr:sp macro="" textlink="">
      <xdr:nvSpPr>
        <xdr:cNvPr id="54" name="Oval 53">
          <a:extLst>
            <a:ext uri="{FF2B5EF4-FFF2-40B4-BE49-F238E27FC236}">
              <a16:creationId xmlns:a16="http://schemas.microsoft.com/office/drawing/2014/main" id="{00000000-0008-0000-0100-000036000000}"/>
            </a:ext>
          </a:extLst>
        </xdr:cNvPr>
        <xdr:cNvSpPr>
          <a:spLocks noChangeAspect="1"/>
        </xdr:cNvSpPr>
      </xdr:nvSpPr>
      <xdr:spPr>
        <a:xfrm>
          <a:off x="13054359" y="2476500"/>
          <a:ext cx="118800" cy="0"/>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5</xdr:row>
      <xdr:rowOff>0</xdr:rowOff>
    </xdr:from>
    <xdr:to>
      <xdr:col>14</xdr:col>
      <xdr:colOff>628099</xdr:colOff>
      <xdr:row>5</xdr:row>
      <xdr:rowOff>0</xdr:rowOff>
    </xdr:to>
    <xdr:sp macro="" textlink="">
      <xdr:nvSpPr>
        <xdr:cNvPr id="55" name="Oval 54">
          <a:extLst>
            <a:ext uri="{FF2B5EF4-FFF2-40B4-BE49-F238E27FC236}">
              <a16:creationId xmlns:a16="http://schemas.microsoft.com/office/drawing/2014/main" id="{00000000-0008-0000-0100-000037000000}"/>
            </a:ext>
          </a:extLst>
        </xdr:cNvPr>
        <xdr:cNvSpPr>
          <a:spLocks noChangeAspect="1"/>
        </xdr:cNvSpPr>
      </xdr:nvSpPr>
      <xdr:spPr>
        <a:xfrm>
          <a:off x="13058169" y="2476500"/>
          <a:ext cx="111180" cy="0"/>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5</xdr:row>
      <xdr:rowOff>0</xdr:rowOff>
    </xdr:from>
    <xdr:to>
      <xdr:col>14</xdr:col>
      <xdr:colOff>628099</xdr:colOff>
      <xdr:row>5</xdr:row>
      <xdr:rowOff>0</xdr:rowOff>
    </xdr:to>
    <xdr:sp macro="" textlink="">
      <xdr:nvSpPr>
        <xdr:cNvPr id="56" name="Oval 55">
          <a:extLst>
            <a:ext uri="{FF2B5EF4-FFF2-40B4-BE49-F238E27FC236}">
              <a16:creationId xmlns:a16="http://schemas.microsoft.com/office/drawing/2014/main" id="{00000000-0008-0000-0100-000038000000}"/>
            </a:ext>
          </a:extLst>
        </xdr:cNvPr>
        <xdr:cNvSpPr>
          <a:spLocks noChangeAspect="1"/>
        </xdr:cNvSpPr>
      </xdr:nvSpPr>
      <xdr:spPr>
        <a:xfrm>
          <a:off x="13058169" y="2476500"/>
          <a:ext cx="111180" cy="0"/>
        </a:xfrm>
        <a:prstGeom prst="ellipse">
          <a:avLst/>
        </a:prstGeom>
        <a:solidFill>
          <a:schemeClr val="accent6">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5</xdr:row>
      <xdr:rowOff>0</xdr:rowOff>
    </xdr:from>
    <xdr:to>
      <xdr:col>14</xdr:col>
      <xdr:colOff>628099</xdr:colOff>
      <xdr:row>5</xdr:row>
      <xdr:rowOff>0</xdr:rowOff>
    </xdr:to>
    <xdr:sp macro="" textlink="">
      <xdr:nvSpPr>
        <xdr:cNvPr id="57" name="Oval 56">
          <a:extLst>
            <a:ext uri="{FF2B5EF4-FFF2-40B4-BE49-F238E27FC236}">
              <a16:creationId xmlns:a16="http://schemas.microsoft.com/office/drawing/2014/main" id="{00000000-0008-0000-0100-000039000000}"/>
            </a:ext>
          </a:extLst>
        </xdr:cNvPr>
        <xdr:cNvSpPr>
          <a:spLocks noChangeAspect="1"/>
        </xdr:cNvSpPr>
      </xdr:nvSpPr>
      <xdr:spPr>
        <a:xfrm>
          <a:off x="13058169" y="2476500"/>
          <a:ext cx="111180" cy="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2</xdr:col>
      <xdr:colOff>896369</xdr:colOff>
      <xdr:row>148</xdr:row>
      <xdr:rowOff>178592</xdr:rowOff>
    </xdr:from>
    <xdr:to>
      <xdr:col>6</xdr:col>
      <xdr:colOff>357185</xdr:colOff>
      <xdr:row>165</xdr:row>
      <xdr:rowOff>23810</xdr:rowOff>
    </xdr:to>
    <xdr:graphicFrame macro="">
      <xdr:nvGraphicFramePr>
        <xdr:cNvPr id="61" name="Chart 60">
          <a:extLst>
            <a:ext uri="{FF2B5EF4-FFF2-40B4-BE49-F238E27FC236}">
              <a16:creationId xmlns:a16="http://schemas.microsoft.com/office/drawing/2014/main" id="{00000000-0008-0000-0100-00003D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2</xdr:col>
      <xdr:colOff>869155</xdr:colOff>
      <xdr:row>169</xdr:row>
      <xdr:rowOff>8503</xdr:rowOff>
    </xdr:from>
    <xdr:to>
      <xdr:col>6</xdr:col>
      <xdr:colOff>329971</xdr:colOff>
      <xdr:row>184</xdr:row>
      <xdr:rowOff>201703</xdr:rowOff>
    </xdr:to>
    <xdr:graphicFrame macro="">
      <xdr:nvGraphicFramePr>
        <xdr:cNvPr id="62" name="Chart 61">
          <a:extLst>
            <a:ext uri="{FF2B5EF4-FFF2-40B4-BE49-F238E27FC236}">
              <a16:creationId xmlns:a16="http://schemas.microsoft.com/office/drawing/2014/main" id="{00000000-0008-0000-0100-00003E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wsDr>
</file>

<file path=xl/drawings/drawing3.xml><?xml version="1.0" encoding="utf-8"?>
<c:userShapes xmlns:c="http://schemas.openxmlformats.org/drawingml/2006/chart">
  <cdr:relSizeAnchor xmlns:cdr="http://schemas.openxmlformats.org/drawingml/2006/chartDrawing">
    <cdr:from>
      <cdr:x>0.42764</cdr:x>
      <cdr:y>0.85243</cdr:y>
    </cdr:from>
    <cdr:to>
      <cdr:x>0.46077</cdr:x>
      <cdr:y>0.87538</cdr:y>
    </cdr:to>
    <cdr:sp macro="" textlink="">
      <cdr:nvSpPr>
        <cdr:cNvPr id="2" name="TextBox 1"/>
        <cdr:cNvSpPr txBox="1"/>
      </cdr:nvSpPr>
      <cdr:spPr>
        <a:xfrm xmlns:a="http://schemas.openxmlformats.org/drawingml/2006/main">
          <a:off x="3912235" y="8417595"/>
          <a:ext cx="303091" cy="226627"/>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pt-PT" sz="900">
              <a:solidFill>
                <a:schemeClr val="bg1"/>
              </a:solidFill>
              <a:latin typeface="Santander Text" panose="020B0504020201020104" pitchFamily="34" charset="0"/>
            </a:rPr>
            <a:t>5</a:t>
          </a:r>
        </a:p>
      </cdr:txBody>
    </cdr:sp>
  </cdr:relSizeAnchor>
</c:userShapes>
</file>

<file path=xl/drawings/drawing4.xml><?xml version="1.0" encoding="utf-8"?>
<xdr:wsDr xmlns:xdr="http://schemas.openxmlformats.org/drawingml/2006/spreadsheetDrawing" xmlns:a="http://schemas.openxmlformats.org/drawingml/2006/main">
  <xdr:twoCellAnchor editAs="absolute">
    <xdr:from>
      <xdr:col>1</xdr:col>
      <xdr:colOff>0</xdr:colOff>
      <xdr:row>1</xdr:row>
      <xdr:rowOff>0</xdr:rowOff>
    </xdr:from>
    <xdr:to>
      <xdr:col>2</xdr:col>
      <xdr:colOff>245031</xdr:colOff>
      <xdr:row>1</xdr:row>
      <xdr:rowOff>151838</xdr:rowOff>
    </xdr:to>
    <xdr:pic>
      <xdr:nvPicPr>
        <xdr:cNvPr id="3" name="Gráfico 10">
          <a:extLst>
            <a:ext uri="{FF2B5EF4-FFF2-40B4-BE49-F238E27FC236}">
              <a16:creationId xmlns:a16="http://schemas.microsoft.com/office/drawing/2014/main" id="{00000000-0008-0000-0400-000003000000}"/>
            </a:ext>
          </a:extLst>
        </xdr:cNvPr>
        <xdr:cNvPicPr>
          <a:picLocks noChangeAspect="1"/>
        </xdr:cNvPicPr>
      </xdr:nvPicPr>
      <xdr:blipFill>
        <a:blip xmlns:r="http://schemas.openxmlformats.org/officeDocument/2006/relationships" r:embed="rId1">
          <a:extLst>
            <a:ext uri="{96DAC541-7B7A-43D3-8B79-37D633B846F1}">
              <asvg:svgBlip xmlns="" xmlns:asvg="http://schemas.microsoft.com/office/drawing/2016/SVG/main" r:embed="rId2"/>
            </a:ext>
          </a:extLst>
        </a:blip>
        <a:stretch>
          <a:fillRect/>
        </a:stretch>
      </xdr:blipFill>
      <xdr:spPr>
        <a:xfrm>
          <a:off x="291353" y="224118"/>
          <a:ext cx="863035" cy="151838"/>
        </a:xfrm>
        <a:prstGeom prst="rect">
          <a:avLst/>
        </a:prstGeom>
      </xdr:spPr>
    </xdr:pic>
    <xdr:clientData/>
  </xdr:twoCellAnchor>
  <xdr:twoCellAnchor>
    <xdr:from>
      <xdr:col>2</xdr:col>
      <xdr:colOff>494741</xdr:colOff>
      <xdr:row>0</xdr:row>
      <xdr:rowOff>102756</xdr:rowOff>
    </xdr:from>
    <xdr:to>
      <xdr:col>2</xdr:col>
      <xdr:colOff>1457648</xdr:colOff>
      <xdr:row>2</xdr:row>
      <xdr:rowOff>103336</xdr:rowOff>
    </xdr:to>
    <xdr:pic>
      <xdr:nvPicPr>
        <xdr:cNvPr id="4" name="Graphic 267">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3"/>
        <a:stretch>
          <a:fillRect/>
        </a:stretch>
      </xdr:blipFill>
      <xdr:spPr>
        <a:xfrm>
          <a:off x="1290359" y="102756"/>
          <a:ext cx="962907" cy="44881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absoluteAnchor>
    <xdr:pos x="190500" y="212912"/>
    <xdr:ext cx="1261782" cy="221963"/>
    <xdr:pic>
      <xdr:nvPicPr>
        <xdr:cNvPr id="4" name="Gráfico 10">
          <a:extLst>
            <a:ext uri="{FF2B5EF4-FFF2-40B4-BE49-F238E27FC236}">
              <a16:creationId xmlns:a16="http://schemas.microsoft.com/office/drawing/2014/main" id="{00000000-0008-0000-0600-000004000000}"/>
            </a:ext>
          </a:extLst>
        </xdr:cNvPr>
        <xdr:cNvPicPr>
          <a:picLocks noChangeAspect="1"/>
        </xdr:cNvPicPr>
      </xdr:nvPicPr>
      <xdr:blipFill>
        <a:blip xmlns:r="http://schemas.openxmlformats.org/officeDocument/2006/relationships" r:embed="rId1">
          <a:extLst>
            <a:ext uri="{96DAC541-7B7A-43D3-8B79-37D633B846F1}">
              <asvg:svgBlip xmlns="" xmlns:asvg="http://schemas.microsoft.com/office/drawing/2016/SVG/main" r:embed="rId2"/>
            </a:ext>
          </a:extLst>
        </a:blip>
        <a:stretch>
          <a:fillRect/>
        </a:stretch>
      </xdr:blipFill>
      <xdr:spPr>
        <a:xfrm>
          <a:off x="190500" y="212912"/>
          <a:ext cx="1261782" cy="221963"/>
        </a:xfrm>
        <a:prstGeom prst="rect">
          <a:avLst/>
        </a:prstGeom>
      </xdr:spPr>
    </xdr:pic>
    <xdr:clientData/>
  </xdr:absoluteAnchor>
  <xdr:twoCellAnchor>
    <xdr:from>
      <xdr:col>2</xdr:col>
      <xdr:colOff>602650</xdr:colOff>
      <xdr:row>0</xdr:row>
      <xdr:rowOff>125506</xdr:rowOff>
    </xdr:from>
    <xdr:to>
      <xdr:col>2</xdr:col>
      <xdr:colOff>1829057</xdr:colOff>
      <xdr:row>3</xdr:row>
      <xdr:rowOff>17930</xdr:rowOff>
    </xdr:to>
    <xdr:pic>
      <xdr:nvPicPr>
        <xdr:cNvPr id="5" name="Graphic 267">
          <a:extLst>
            <a:ext uri="{FF2B5EF4-FFF2-40B4-BE49-F238E27FC236}">
              <a16:creationId xmlns:a16="http://schemas.microsoft.com/office/drawing/2014/main" id="{00000000-0008-0000-0600-000005000000}"/>
            </a:ext>
          </a:extLst>
        </xdr:cNvPr>
        <xdr:cNvPicPr>
          <a:picLocks noChangeAspect="1"/>
        </xdr:cNvPicPr>
      </xdr:nvPicPr>
      <xdr:blipFill>
        <a:blip xmlns:r="http://schemas.openxmlformats.org/officeDocument/2006/relationships" r:embed="rId3"/>
        <a:stretch>
          <a:fillRect/>
        </a:stretch>
      </xdr:blipFill>
      <xdr:spPr>
        <a:xfrm>
          <a:off x="1848744" y="125506"/>
          <a:ext cx="1226407" cy="45720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xdr:from>
      <xdr:col>2</xdr:col>
      <xdr:colOff>982540</xdr:colOff>
      <xdr:row>0</xdr:row>
      <xdr:rowOff>165217</xdr:rowOff>
    </xdr:from>
    <xdr:to>
      <xdr:col>4</xdr:col>
      <xdr:colOff>555171</xdr:colOff>
      <xdr:row>3</xdr:row>
      <xdr:rowOff>57298</xdr:rowOff>
    </xdr:to>
    <xdr:pic>
      <xdr:nvPicPr>
        <xdr:cNvPr id="2" name="Graphic 267">
          <a:extLst>
            <a:ext uri="{FF2B5EF4-FFF2-40B4-BE49-F238E27FC236}">
              <a16:creationId xmlns:a16="http://schemas.microsoft.com/office/drawing/2014/main" id="{00000000-0008-0000-0800-000002000000}"/>
            </a:ext>
          </a:extLst>
        </xdr:cNvPr>
        <xdr:cNvPicPr>
          <a:picLocks noChangeAspect="1"/>
        </xdr:cNvPicPr>
      </xdr:nvPicPr>
      <xdr:blipFill>
        <a:blip xmlns:r="http://schemas.openxmlformats.org/officeDocument/2006/relationships" r:embed="rId1"/>
        <a:stretch>
          <a:fillRect/>
        </a:stretch>
      </xdr:blipFill>
      <xdr:spPr>
        <a:xfrm>
          <a:off x="1918711" y="165217"/>
          <a:ext cx="1085746" cy="447252"/>
        </a:xfrm>
        <a:prstGeom prst="rect">
          <a:avLst/>
        </a:prstGeom>
      </xdr:spPr>
    </xdr:pic>
    <xdr:clientData/>
  </xdr:twoCellAnchor>
  <xdr:absoluteAnchor>
    <xdr:pos x="204107" y="231323"/>
    <xdr:ext cx="1624392" cy="285750"/>
    <xdr:pic>
      <xdr:nvPicPr>
        <xdr:cNvPr id="3" name="Gráfico 10">
          <a:extLst>
            <a:ext uri="{FF2B5EF4-FFF2-40B4-BE49-F238E27FC236}">
              <a16:creationId xmlns:a16="http://schemas.microsoft.com/office/drawing/2014/main" id="{00000000-0008-0000-0800-000003000000}"/>
            </a:ext>
          </a:extLst>
        </xdr:cNvPr>
        <xdr:cNvPicPr>
          <a:picLocks noChangeAspect="1"/>
        </xdr:cNvPicPr>
      </xdr:nvPicPr>
      <xdr:blipFill>
        <a:blip xmlns:r="http://schemas.openxmlformats.org/officeDocument/2006/relationships" r:embed="rId2">
          <a:extLst>
            <a:ext uri="{96DAC541-7B7A-43D3-8B79-37D633B846F1}">
              <asvg:svgBlip xmlns="" xmlns:asvg="http://schemas.microsoft.com/office/drawing/2016/SVG/main" r:embed="rId3"/>
            </a:ext>
          </a:extLst>
        </a:blip>
        <a:stretch>
          <a:fillRect/>
        </a:stretch>
      </xdr:blipFill>
      <xdr:spPr>
        <a:xfrm>
          <a:off x="204107" y="231323"/>
          <a:ext cx="1624392" cy="285750"/>
        </a:xfrm>
        <a:prstGeom prst="rect">
          <a:avLst/>
        </a:prstGeom>
      </xdr:spPr>
    </xdr:pic>
    <xdr:clientData/>
  </xdr:absoluteAnchor>
  <xdr:twoCellAnchor>
    <xdr:from>
      <xdr:col>84</xdr:col>
      <xdr:colOff>219061</xdr:colOff>
      <xdr:row>12</xdr:row>
      <xdr:rowOff>19050</xdr:rowOff>
    </xdr:from>
    <xdr:to>
      <xdr:col>84</xdr:col>
      <xdr:colOff>219061</xdr:colOff>
      <xdr:row>257</xdr:row>
      <xdr:rowOff>28577</xdr:rowOff>
    </xdr:to>
    <xdr:cxnSp macro="">
      <xdr:nvCxnSpPr>
        <xdr:cNvPr id="5" name="Straight Arrow Connector 4">
          <a:extLst>
            <a:ext uri="{FF2B5EF4-FFF2-40B4-BE49-F238E27FC236}">
              <a16:creationId xmlns:a16="http://schemas.microsoft.com/office/drawing/2014/main" id="{00000000-0008-0000-0800-000005000000}"/>
            </a:ext>
          </a:extLst>
        </xdr:cNvPr>
        <xdr:cNvCxnSpPr/>
      </xdr:nvCxnSpPr>
      <xdr:spPr>
        <a:xfrm flipV="1">
          <a:off x="31548147" y="1314450"/>
          <a:ext cx="0" cy="16240127"/>
        </a:xfrm>
        <a:prstGeom prst="straightConnector1">
          <a:avLst/>
        </a:prstGeom>
        <a:ln>
          <a:tailEnd type="oval"/>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7.xml><?xml version="1.0" encoding="utf-8"?>
<xdr:wsDr xmlns:xdr="http://schemas.openxmlformats.org/drawingml/2006/spreadsheetDrawing" xmlns:a="http://schemas.openxmlformats.org/drawingml/2006/main">
  <xdr:twoCellAnchor editAs="absolute">
    <xdr:from>
      <xdr:col>1</xdr:col>
      <xdr:colOff>0</xdr:colOff>
      <xdr:row>1</xdr:row>
      <xdr:rowOff>21198</xdr:rowOff>
    </xdr:from>
    <xdr:to>
      <xdr:col>2</xdr:col>
      <xdr:colOff>173649</xdr:colOff>
      <xdr:row>1</xdr:row>
      <xdr:rowOff>173036</xdr:rowOff>
    </xdr:to>
    <xdr:pic>
      <xdr:nvPicPr>
        <xdr:cNvPr id="3" name="Gráfico 10">
          <a:extLst>
            <a:ext uri="{FF2B5EF4-FFF2-40B4-BE49-F238E27FC236}">
              <a16:creationId xmlns:a16="http://schemas.microsoft.com/office/drawing/2014/main" id="{00000000-0008-0000-0900-000003000000}"/>
            </a:ext>
          </a:extLst>
        </xdr:cNvPr>
        <xdr:cNvPicPr>
          <a:picLocks noChangeAspect="1"/>
        </xdr:cNvPicPr>
      </xdr:nvPicPr>
      <xdr:blipFill>
        <a:blip xmlns:r="http://schemas.openxmlformats.org/officeDocument/2006/relationships" r:embed="rId1">
          <a:extLst>
            <a:ext uri="{96DAC541-7B7A-43D3-8B79-37D633B846F1}">
              <asvg:svgBlip xmlns="" xmlns:asvg="http://schemas.microsoft.com/office/drawing/2016/SVG/main" r:embed="rId2"/>
            </a:ext>
          </a:extLst>
        </a:blip>
        <a:stretch>
          <a:fillRect/>
        </a:stretch>
      </xdr:blipFill>
      <xdr:spPr>
        <a:xfrm>
          <a:off x="285750" y="236463"/>
          <a:ext cx="836589" cy="151838"/>
        </a:xfrm>
        <a:prstGeom prst="rect">
          <a:avLst/>
        </a:prstGeom>
      </xdr:spPr>
    </xdr:pic>
    <xdr:clientData/>
  </xdr:twoCellAnchor>
  <xdr:twoCellAnchor>
    <xdr:from>
      <xdr:col>2</xdr:col>
      <xdr:colOff>327225</xdr:colOff>
      <xdr:row>0</xdr:row>
      <xdr:rowOff>112058</xdr:rowOff>
    </xdr:from>
    <xdr:to>
      <xdr:col>2</xdr:col>
      <xdr:colOff>1273099</xdr:colOff>
      <xdr:row>2</xdr:row>
      <xdr:rowOff>114618</xdr:rowOff>
    </xdr:to>
    <xdr:pic>
      <xdr:nvPicPr>
        <xdr:cNvPr id="4" name="Graphic 267">
          <a:extLst>
            <a:ext uri="{FF2B5EF4-FFF2-40B4-BE49-F238E27FC236}">
              <a16:creationId xmlns:a16="http://schemas.microsoft.com/office/drawing/2014/main" id="{00000000-0008-0000-0900-000004000000}"/>
            </a:ext>
          </a:extLst>
        </xdr:cNvPr>
        <xdr:cNvPicPr>
          <a:picLocks noChangeAspect="1"/>
        </xdr:cNvPicPr>
      </xdr:nvPicPr>
      <xdr:blipFill>
        <a:blip xmlns:r="http://schemas.openxmlformats.org/officeDocument/2006/relationships" r:embed="rId3"/>
        <a:stretch>
          <a:fillRect/>
        </a:stretch>
      </xdr:blipFill>
      <xdr:spPr>
        <a:xfrm>
          <a:off x="1275915" y="112058"/>
          <a:ext cx="953494" cy="44071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336752</xdr:colOff>
      <xdr:row>1</xdr:row>
      <xdr:rowOff>0</xdr:rowOff>
    </xdr:from>
    <xdr:to>
      <xdr:col>2</xdr:col>
      <xdr:colOff>1452337</xdr:colOff>
      <xdr:row>3</xdr:row>
      <xdr:rowOff>57298</xdr:rowOff>
    </xdr:to>
    <xdr:pic>
      <xdr:nvPicPr>
        <xdr:cNvPr id="2" name="Graphic 267">
          <a:extLst>
            <a:ext uri="{FF2B5EF4-FFF2-40B4-BE49-F238E27FC236}">
              <a16:creationId xmlns:a16="http://schemas.microsoft.com/office/drawing/2014/main" id="{00000000-0008-0000-0A00-000002000000}"/>
            </a:ext>
          </a:extLst>
        </xdr:cNvPr>
        <xdr:cNvPicPr>
          <a:picLocks noChangeAspect="1"/>
        </xdr:cNvPicPr>
      </xdr:nvPicPr>
      <xdr:blipFill>
        <a:blip xmlns:r="http://schemas.openxmlformats.org/officeDocument/2006/relationships" r:embed="rId1"/>
        <a:stretch>
          <a:fillRect/>
        </a:stretch>
      </xdr:blipFill>
      <xdr:spPr>
        <a:xfrm>
          <a:off x="2135072" y="209550"/>
          <a:ext cx="1119395" cy="396388"/>
        </a:xfrm>
        <a:prstGeom prst="rect">
          <a:avLst/>
        </a:prstGeom>
      </xdr:spPr>
    </xdr:pic>
    <xdr:clientData/>
  </xdr:twoCellAnchor>
  <xdr:absoluteAnchor>
    <xdr:pos x="272143" y="272142"/>
    <xdr:ext cx="1624392" cy="285750"/>
    <xdr:pic>
      <xdr:nvPicPr>
        <xdr:cNvPr id="3" name="Gráfico 10">
          <a:extLst>
            <a:ext uri="{FF2B5EF4-FFF2-40B4-BE49-F238E27FC236}">
              <a16:creationId xmlns:a16="http://schemas.microsoft.com/office/drawing/2014/main" id="{00000000-0008-0000-0A00-000003000000}"/>
            </a:ext>
          </a:extLst>
        </xdr:cNvPr>
        <xdr:cNvPicPr>
          <a:picLocks noChangeAspect="1"/>
        </xdr:cNvPicPr>
      </xdr:nvPicPr>
      <xdr:blipFill>
        <a:blip xmlns:r="http://schemas.openxmlformats.org/officeDocument/2006/relationships" r:embed="rId2">
          <a:extLst>
            <a:ext uri="{96DAC541-7B7A-43D3-8B79-37D633B846F1}">
              <asvg:svgBlip xmlns="" xmlns:asvg="http://schemas.microsoft.com/office/drawing/2016/SVG/main" r:embed="rId3"/>
            </a:ext>
          </a:extLst>
        </a:blip>
        <a:stretch>
          <a:fillRect/>
        </a:stretch>
      </xdr:blipFill>
      <xdr:spPr>
        <a:xfrm>
          <a:off x="272143" y="272142"/>
          <a:ext cx="1624392" cy="285750"/>
        </a:xfrm>
        <a:prstGeom prst="rect">
          <a:avLst/>
        </a:prstGeom>
      </xdr:spPr>
    </xdr:pic>
    <xdr:clientData/>
  </xdr:absoluteAnchor>
</xdr:wsDr>
</file>

<file path=xl/persons/person.xml><?xml version="1.0" encoding="utf-8"?>
<personList xmlns="http://schemas.microsoft.com/office/spreadsheetml/2018/threadedcomments" xmlns:x="http://schemas.openxmlformats.org/spreadsheetml/2006/main">
  <person displayName="Nádia Genebra Ahmad" id="{113755EB-BB16-4E64-80A6-1C8DF6B29E4C}" userId="S::E800421@corp.santander.pt::36126275-cace-419f-8e9b-04679c4f8ea6" providerId="AD"/>
</personList>
</file>

<file path=xl/pivotCache/_rels/pivotCacheDefinition8.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saveData="0" refreshedBy="Joana Rita Bentinho Silva" refreshedDate="45771.56523310185" backgroundQuery="1" createdVersion="8" refreshedVersion="6" minRefreshableVersion="3" recordCount="0" supportSubquery="1" supportAdvancedDrill="1">
  <cacheSource type="external" connectionId="1"/>
  <cacheFields count="2">
    <cacheField name="[Table1].[concat].[concat]" caption="concat" numFmtId="0" hierarchy="18" level="1">
      <sharedItems count="735">
        <s v="ENERGY_CERTIFICATE_EST_INPUTACTUAL_VALUE_IND"/>
        <s v="ENERGY_CERTIFICATE_EST_INPUTANIO_CONSTRUCCION"/>
        <s v="ENERGY_CERTIFICATE_EST_INPUTART_MATRICIAIS"/>
        <s v="ENERGY_CERTIFICATE_EST_INPUTASSUPERFICIE_UTIL"/>
        <s v="ENERGY_CERTIFICATE_EST_INPUTCAGLURB"/>
        <s v="ENERGY_CERTIFICATE_EST_INPUTCASA_UNIFAMILIAR"/>
        <s v="ENERGY_CERTIFICATE_EST_INPUTCHAVE_GLOVAL"/>
        <s v="ENERGY_CERTIFICATE_EST_INPUTCLASS_GPT31"/>
        <s v="ENERGY_CERTIFICATE_EST_INPUTCLASS_STCLIM"/>
        <s v="ENERGY_CERTIFICATE_EST_INPUTCLASSE_ENERGETICA"/>
        <s v="ENERGY_CERTIFICATE_EST_INPUTCOD_CONSERVATORIA"/>
        <s v="ENERGY_CERTIFICATE_EST_INPUTCÓDIGO_CONCEJO"/>
        <s v="ENERGY_CERTIFICATE_EST_INPUTCÓDIGO_DISTRITO"/>
        <s v="ENERGY_CERTIFICATE_EST_INPUTCÓDIGO_FREGUESIA"/>
        <s v="ENERGY_CERTIFICATE_EST_INPUTCODIGO_POSTAL"/>
        <s v="ENERGY_CERTIFICATE_EST_INPUTCONF_STCLIM"/>
        <s v="ENERGY_CERTIFICATE_EST_INPUTCONSUMOS"/>
        <s v="ENERGY_CERTIFICATE_EST_INPUTDATA_ENVIO"/>
        <s v="ENERGY_CERTIFICATE_EST_INPUTDATA_PROVIDER"/>
        <s v="ENERGY_CERTIFICATE_EST_INPUTEMISSIONES"/>
        <s v="ENERGY_CERTIFICATE_EST_INPUTFIABILIDAD"/>
        <s v="ENERGY_CERTIFICATE_EST_INPUTFINALIDADE_BEM"/>
        <s v="ENERGY_CERTIFICATE_EST_INPUTFRACCAO_AUTONOMA"/>
        <s v="ENERGY_CERTIFICATE_EST_INPUTLATITUDE"/>
        <s v="ENERGY_CERTIFICATE_EST_INPUTLOCALIDADE"/>
        <s v="ENERGY_CERTIFICATE_EST_INPUTLONGITUDE"/>
        <s v="ENERGY_CERTIFICATE_EST_INPUTLOTE"/>
        <s v="ENERGY_CERTIFICATE_EST_INPUTn.a."/>
        <s v="ENERGY_CERTIFICATE_EST_INPUTNOMBRE_CONCEJO"/>
        <s v="ENERGY_CERTIFICATE_EST_INPUTNOMBRE_DISTRITO"/>
        <s v="ENERGY_CERTIFICATE_EST_INPUTNOMBRE_FREGUESIA"/>
        <s v="ENERGY_CERTIFICATE_EST_INPUTNOMBRE_TIPO_VIA"/>
        <s v="ENERGY_CERTIFICATE_EST_INPUTNOMBRE_VIA"/>
        <s v="ENERGY_CERTIFICATE_EST_INPUTNOME_CONSERVATORIA"/>
        <s v="ENERGY_CERTIFICATE_EST_INPUTNUMERO_VIA"/>
        <s v="ENERGY_CERTIFICATE_EST_INPUTPISO_APARTAMENTO"/>
        <s v="ENERGY_CERTIFICATE_EST_INPUTPROPERTY_BANK_ID"/>
        <s v="ENERGY_CERTIFICATE_EST_INPUTPROPERTY_BRANCH_CODE"/>
        <s v="ENERGY_CERTIFICATE_EST_INPUTPROPERTY_CONTRACT_ID"/>
        <s v="ENERGY_CERTIFICATE_EST_INPUTPROPERTY_REFERENCE_CODE"/>
        <s v="ENERGY_CERTIFICATE_EST_INPUTREGISTRO_CONSERVATORIA"/>
        <s v="ENERGY_CERTIFICATE_EST_INPUTRESTO_DIRECCION"/>
        <s v="ENERGY_CERTIFICATE_EST_INPUTSUBCODIGO_POSTAL"/>
        <s v="ENERGY_CERTIFICATE_EST_INPUTTIPO_INMUEBLE_COMERCIO_SERVICOS"/>
        <s v="ENERGY_CERTIFICATE_EST_INPUTTIPO_INMUEBLE_HABITACAO"/>
        <s v="ENERGY_CERTIFICATE_EST_INPUTTIPO_VIA"/>
        <s v="ENERGY_CERTIFICATE_EST_INPUTURBANIZACION"/>
        <s v="lt002_instrumentaccmltd_chngs_fv_cr_instrmnt"/>
        <s v="lt002_instrumentaccmltd_imprmnt_instrmnt"/>
        <s v="lt002_instrumentaccntng_clssfctn"/>
        <s v="lt002_instrumentCNCLLD_INSTRMNT_STTS"/>
        <s v="lt002_instrumentcod_soc"/>
        <s v="lt002_instrumentdflt_stts_instrmnt"/>
        <s v="lt002_instrumentdt_incptn"/>
        <s v="lt002_instrumentdt_lgl_fnl_mtrty"/>
        <s v="lt002_instrumentDT_ORGNL_MTRTY"/>
        <s v="lt002_instrumentdt_rfrnc"/>
        <s v="lt002_instrumentEAD"/>
        <s v="lt002_instrumentEIR"/>
        <s v="lt002_instrumentEIR_INCPTN"/>
        <s v="lt002_instrumentFLG_MNMM_SFGRDS"/>
        <s v="lt002_instrumentFRBRNC_STTS_INSTRMNT"/>
        <s v="lt002_instrumentgrss_cmmssn_incm"/>
        <s v="lt002_instrumentgrss_cmmssn_incm_off_blnc"/>
        <s v="lt002_instrumentgrss_crryng_amnt_instrmnt"/>
        <s v="lt002_instrumentgrss_intrst_incm"/>
        <s v="lt002_instrumentidcmb"/>
        <s v="lt002_instrumentimprmnt_stts"/>
        <s v="lt002_instrumentinstrmnt_id"/>
        <s v="lt002_instrumentINTRNL_SGMNT"/>
        <s v="lt002_instrumentINTRNL_SGMNT_CAT_MSTA"/>
        <s v="lt002_instrumentINTRNL_SGMNT_CATGSUB"/>
        <s v="lt002_instrumentissr_cntry"/>
        <s v="lt002_instrumentissr_nace_sctr"/>
        <s v="lt002_instrumentlcl_instmrnt_id"/>
        <s v="lt002_instrumentlns_clltrlzd_clssfctn"/>
        <s v="lt002_instrumentLTV"/>
        <s v="lt002_instrumentLTV_INCPTN"/>
        <s v="lt002_instrumentmthd_usd_instrmnt_scp_1"/>
        <s v="lt002_instrumentmthd_usd_instrmnt_scp_2"/>
        <s v="lt002_instrumentmthd_usd_instrmnt_scp_3"/>
        <s v="lt002_instrumentNW_BSNSS"/>
        <s v="lt002_instrumentOFF_BLNC_SHT_AMNT_INSTRMNT"/>
        <s v="lt002_instrumentprfrmng_stts"/>
        <s v="lt002_instrumentprjct_fnnc_ln"/>
        <s v="lt002_instrumentprmry_asst_clssf"/>
        <s v="lt002_instrumentrsk_mtgtd_ccp"/>
        <s v="lt002_instrumentrsk_mtgtd_cct"/>
        <s v="lt002_instrumentRWA"/>
        <s v="lt002_instrumentsubportfolio_id"/>
        <s v="lt002_instrumenttyp_instrmnt"/>
        <s v="lt002_instrumentTYP_OFF_BLNC_PRDCT"/>
        <s v="lt003_entityannl_trnvr_le"/>
        <s v="lt003_entitycntrprty_emssns_scp1"/>
        <s v="lt003_entitycntrprty_emssns_scp2"/>
        <s v="lt003_entitycntrprty_emssns_scp3"/>
        <s v="lt003_entitycntry"/>
        <s v="lt003_entitycod_soc"/>
        <s v="lt003_entitydt_rfrnc"/>
        <s v="lt003_entityec_grp_id"/>
        <s v="lt003_entityec_grp_nm"/>
        <s v="lt003_entityecnmc_actvty"/>
        <s v="lt003_entityenblng_capex_cca"/>
        <s v="lt003_entityenblng_capex_ccm"/>
        <s v="lt003_entityenblng_capex_ce"/>
        <s v="lt003_entityenblng_capex_w"/>
        <s v="lt003_entityenblng_trnvr_cca"/>
        <s v="lt003_entityenblng_trnvr_ccm"/>
        <s v="lt003_entityenblng_trnvr_ce"/>
        <s v="lt003_entityenblng_trnvr_w"/>
        <s v="lt003_entityentty_id"/>
        <s v="lt003_entityentty_nm"/>
        <s v="lt003_entityeqty"/>
        <s v="lt003_entityesg_sbsctr"/>
        <s v="lt003_entityflg_act_physcl_rsk"/>
        <s v="lt003_entityflg_chrnc_physcl_rsk"/>
        <s v="lt003_entityflg_excldd_eu_prs_algnd_bnchmrk"/>
        <s v="lt003_entityflg_grp_nfrd_applcblty"/>
        <s v="lt003_entityflg_nfrd_applcblty"/>
        <s v="lt003_entitygrp_annl_trnvr_le"/>
        <s v="lt003_entitygrp_ecnmc_actvty"/>
        <s v="lt003_entitygrp_emssns_scp1"/>
        <s v="lt003_entitygrp_emssns_scp2"/>
        <s v="lt003_entitygrp_emssns_scp3"/>
        <s v="lt003_entitygrp_eqty"/>
        <s v="lt003_entitygrp_ttl_dbt"/>
        <s v="lt003_entitygrp_ttl_lblty"/>
        <s v="lt003_entityisin"/>
        <s v="lt003_entitylei"/>
        <s v="lt003_entitynace_esg"/>
        <s v="lt003_entitypst_cd"/>
        <s v="lt003_entitypure_capex_b"/>
        <s v="lt003_entitypure_capex_cca"/>
        <s v="lt003_entitypure_capex_ccm"/>
        <s v="lt003_entitypure_capex_ce"/>
        <s v="lt003_entitypure_capex_p"/>
        <s v="lt003_entitypure_capex_w"/>
        <s v="lt003_entitypure_trnvr_b"/>
        <s v="lt003_entitypure_trnvr_cca"/>
        <s v="lt003_entitypure_trnvr_ccm"/>
        <s v="lt003_entitypure_trnvr_ce"/>
        <s v="lt003_entitypure_trnvr_p"/>
        <s v="lt003_entitypure_trnvr_w"/>
        <s v="lt003_entitytrnstnl_capex"/>
        <s v="lt003_entitytrnstnl_trnvr"/>
        <s v="lt003_entityttl_dbt"/>
        <s v="lt003_entityttl_lblty"/>
        <s v="lt003_entitytxnmy_elgbl_capex_b"/>
        <s v="lt003_entitytxnmy_elgbl_capex_cca"/>
        <s v="lt003_entitytxnmy_elgbl_capex_ccm"/>
        <s v="lt003_entitytxnmy_elgbl_capex_ce"/>
        <s v="lt003_entitytxnmy_elgbl_capex_p"/>
        <s v="lt003_entitytxnmy_elgbl_capex_w"/>
        <s v="lt003_entitytxnmy_elgbl_trnvr_b"/>
        <s v="lt003_entitytxnmy_elgbl_trnvr_cca"/>
        <s v="lt003_entitytxnmy_elgbl_trnvr_ccm"/>
        <s v="lt003_entitytxnmy_elgbl_trnvr_ce"/>
        <s v="lt003_entitytxnmy_elgbl_trnvr_p"/>
        <s v="lt003_entitytxnmy_elgbl_trnvr_w"/>
        <s v="lt004_protectionAMNT_CVRD_INSRNC"/>
        <s v="lt004_protectionBLDNG_AR"/>
        <s v="lt004_protectioncod_soc"/>
        <s v="lt004_protectionDT_MTRTY_INSRNC"/>
        <s v="lt004_protectiondt_rfrnc"/>
        <s v="lt004_protectionDT_RGSTRTN"/>
        <s v="lt004_protectionemssns_scp1_prtctn"/>
        <s v="lt004_protectionemssns_scp2_prtctn"/>
        <s v="lt004_protectionemssns_scp3_prtctn"/>
        <s v="lt004_protectionep_scr"/>
        <s v="lt004_protectionEPC_EMSSNS_LBL"/>
        <s v="lt004_protectionEPC_EMSSNS_SCR"/>
        <s v="lt004_protectionepc_lbl"/>
        <s v="lt004_protectionflg_act_physcl_rsk"/>
        <s v="lt004_protectionflg_chrnc_physcl_rsk"/>
        <s v="lt004_protectionflg_col"/>
        <s v="lt004_protectionflg_exec"/>
        <s v="lt004_protectionflg_fin"/>
        <s v="lt004_protectionFLG_FRST_HM"/>
        <s v="lt004_protectionflg_pro"/>
        <s v="lt004_protectionINSRNC_ID"/>
        <s v="lt004_protectionmthd_usd_prtctn_scp_1"/>
        <s v="lt004_protectionmthd_usd_prtctn_scp_2"/>
        <s v="lt004_protectionmthd_usd_prtctn_scp_3"/>
        <s v="lt004_protectionorgnl_prtctn_vl"/>
        <s v="lt004_protectionPRMRY_ENRGY_DMND_NN_RNWBL"/>
        <s v="lt004_protectionPRMRY_ENRGY_DMND_RFRNC_VL"/>
        <s v="lt004_protectionPRMRY_ENRGY_DMND_TTL"/>
        <s v="lt004_protectionprtctn_id"/>
        <s v="lt004_protectionprtctn_vl"/>
        <s v="lt004_protectionRL_ESTT_ADDRSS"/>
        <s v="lt004_protectionrl_estt_clltrl_lctn"/>
        <s v="lt004_protectionRL_ESTT_CLLTRL_LCTN_INT"/>
        <s v="lt004_protectionRL_ESTT_CLMT_ZN"/>
        <s v="lt004_protectionRL_ESTT_CRTFCTN"/>
        <s v="lt004_protectionRL_ESTT_CTY"/>
        <s v="lt004_protectionrl_estt_pst_cd"/>
        <s v="lt004_protectionTYP_EMSSNS_LBL"/>
        <s v="lt004_protectionTYP_EMSSNS_SCR"/>
        <s v="lt004_protectiontyp_ep_scr"/>
        <s v="lt004_protectiontyp_epc_lbl"/>
        <s v="lt004_protectionTYP_HZRDS_INSRD"/>
        <s v="lt004_protectiontyp_prtctn"/>
        <s v="lt004_protectionTYP_VHCL"/>
        <s v="lt004_protectionVHCL_EMSSNS_LBL"/>
        <s v="lt004_protectionVHCL_EMSSNS_SCR"/>
        <s v="lt004_protectionYR_CNSTRCTN"/>
        <s v="lt005_instr_entcod_soc"/>
        <s v="lt005_instr_entdt_rfrnc"/>
        <s v="lt005_instr_ententty_id"/>
        <s v="lt005_instr_entinstrmnt_id"/>
        <s v="lt005_instr_entmn_entty_id"/>
        <s v="lt006_instr_protcod_soc"/>
        <s v="lt006_instr_protdt_rfrnc"/>
        <s v="lt006_instr_protinstrmnt_id"/>
        <s v="lt006_instr_protprtctn_allctd_vl"/>
        <s v="lt006_instr_protprtctn_id"/>
        <s v="lt006_instr_protTYP_RLTN"/>
        <s v="lt007_instr_activityCOD_SOC"/>
        <s v="lt007_instr_activityDNSH_DTL"/>
        <s v="lt007_instr_activityDT_RFRNC"/>
        <s v="lt007_instr_activityenvrnmntl_objctv"/>
        <s v="lt007_instr_activityFLG_DNSH_CMPLNC"/>
        <s v="lt007_instr_activityFLG_SBSTNTL_CNTRBTN"/>
        <s v="lt007_instr_activityINSTRMNT_ID"/>
        <s v="lt007_instr_activityPRCNTG_ACTVTY"/>
        <s v="lt007_instr_activitysstnbl_ctgry"/>
        <s v="lt007_instr_activitysstnbl_indctr"/>
        <s v="lt007_instr_activitytyp_actvty"/>
        <s v="lt826_esg_sbsctrambito"/>
        <s v="lt826_esg_sbsctrcnatureza_juri"/>
        <s v="lt826_esg_sbsctrcontraparte"/>
        <s v="lt826_esg_sbsctrdescrição"/>
        <s v="lt826_esg_sbsctresg_sbsctr"/>
        <s v="lt826_esg_sbsctridcomb"/>
        <s v="lt826_esg_sbsctrnace_code"/>
        <s v="lt826_esg_sbsctrordem"/>
        <s v="lt826_esg_sbsctrref_date"/>
        <s v="lt827_mthd_usd_instrmntambito"/>
        <s v="lt827_mthd_usd_instrmntflg_col"/>
        <s v="lt827_mthd_usd_instrmntflg_exec"/>
        <s v="lt827_mthd_usd_instrmntflg_fin"/>
        <s v="lt827_mthd_usd_instrmntflg_pro"/>
        <s v="lt827_mthd_usd_instrmntmthd_usd_instrmnt_scp_1"/>
        <s v="lt827_mthd_usd_instrmntmthd_usd_instrmnt_scp_2"/>
        <s v="lt827_mthd_usd_instrmntmthd_usd_instrmnt_scp_3"/>
        <s v="lt827_mthd_usd_instrmntordem"/>
        <s v="lt827_mthd_usd_instrmntorigem_scp1_emss"/>
        <s v="lt827_mthd_usd_instrmntorigem_scp2_emss"/>
        <s v="lt827_mthd_usd_instrmntorigem_scp3_emss"/>
        <s v="lt827_mthd_usd_instrmntpurpose_code"/>
        <s v="lt827_mthd_usd_instrmntref_date"/>
        <s v="lt827_mthd_usd_instrmnttabela"/>
        <s v="modesg_inp_empr_excl_parisccli_kgl"/>
        <s v="modesg_inp_empr_excl_parisclei"/>
        <s v="modesg_inp_empr_excl_parisflg_scib"/>
        <s v="modesg_inp_empr_excl_parisisin"/>
        <s v="modesg_inp_empr_excl_parisn.a."/>
        <s v="modesg_inp_empr_excl_parisnome_entidade"/>
        <s v="modesg_inp_empr_excl_parisnome_pais"/>
        <s v="modesg_inp_empr_excl_parisref_date"/>
        <s v="modesg_inp_emss_bens_imoveisano_fator_emissao"/>
        <s v="modesg_inp_emss_bens_imoveisclasse_ativo"/>
        <s v="modesg_inp_emss_bens_imoveisepc"/>
        <s v="modesg_inp_emss_bens_imoveisflg_ftr_emss_area"/>
        <s v="modesg_inp_emss_bens_imoveisn.a."/>
        <s v="modesg_inp_emss_bens_imoveisnome_estado"/>
        <s v="modesg_inp_emss_bens_imoveisnome_fator_emissao"/>
        <s v="modesg_inp_emss_bens_imoveisnome_pais"/>
        <s v="modesg_inp_emss_bens_imoveisnome_unidade_funcional"/>
        <s v="modesg_inp_emss_bens_imoveisref_date"/>
        <s v="modesg_inp_emss_bens_imoveisregiao"/>
        <s v="modesg_inp_emss_bens_imoveisscore_qualidade"/>
        <s v="modesg_inp_emss_bens_imoveisscp1_ftr_emss"/>
        <s v="modesg_inp_emss_bens_imoveisscp2_ftr_emss"/>
        <s v="modesg_inp_emss_bens_imoveistipo_bem"/>
        <s v="modesg_inp_emss_bens_imoveistipo_fator_emissao"/>
        <s v="modesg_inp_emss_bens_imoveistipo_finalidade_bem"/>
        <s v="modesg_inp_emss_bens_imoveisunidade_fator_de_emissao"/>
        <s v="modesg_inp_emss_bens_imoveisunidade_funcional"/>
        <s v="modesg_inp_emss_naceano"/>
        <s v="modesg_inp_emss_nacearea_atividade"/>
        <s v="modesg_inp_emss_naceclasse_ativo"/>
        <s v="modesg_inp_emss_nacecod_class_indust"/>
        <s v="modesg_inp_emss_nacecod_nace_esg"/>
        <s v="modesg_inp_emss_nacefator_emissao"/>
        <s v="modesg_inp_emss_nacen.a."/>
        <s v="modesg_inp_emss_nacenivel_classificacao_1"/>
        <s v="modesg_inp_emss_nacenome_pais"/>
        <s v="modesg_inp_emss_nacenome_regiao"/>
        <s v="modesg_inp_emss_naceopcao_metodologia"/>
        <s v="modesg_inp_emss_naceref_date"/>
        <s v="modesg_inp_emss_nacescore_qualidade"/>
        <s v="modesg_inp_emss_nacescp1_ftr_emss"/>
        <s v="modesg_inp_emss_nacescp2_ftr_emss"/>
        <s v="modesg_inp_emss_nacescp3_ftr_emss"/>
        <s v="modesg_inp_emss_nacesub_tipo_atividade_1"/>
        <s v="modesg_inp_emss_nacesub_tipo_atividade_2"/>
        <s v="modesg_inp_emss_nacetipo_atividade"/>
        <s v="modesg_inp_emss_naceunidade_funcional"/>
        <s v="modesg_inp_emss_naceunidades_fator_de_emissao"/>
        <s v="modesg_inp_emss_naceunidades_unidade_funcional"/>
        <s v="modesg_inp_emss_scibano_info"/>
        <s v="modesg_inp_emss_scibcapital_proprio"/>
        <s v="modesg_inp_emss_scibccli_kgl"/>
        <s v="modesg_inp_emss_scibclei"/>
        <s v="modesg_inp_emss_scibdivida_total"/>
        <s v="modesg_inp_emss_scibisin"/>
        <s v="modesg_inp_emss_scibn.a."/>
        <s v="modesg_inp_emss_scibnome_grupo"/>
        <s v="modesg_inp_emss_sciborigem_scp1"/>
        <s v="modesg_inp_emss_sciborigem_scp2"/>
        <s v="modesg_inp_emss_sciborigem_scp3"/>
        <s v="modesg_inp_emss_scibref_date"/>
        <s v="modesg_inp_emss_scibscore_scp1"/>
        <s v="modesg_inp_emss_scibscore_scp2"/>
        <s v="modesg_inp_emss_scibscore_scp3"/>
        <s v="modesg_inp_emss_scibscp1_emss"/>
        <s v="modesg_inp_emss_scibscp2_emss"/>
        <s v="modesg_inp_emss_scibscp3_emss"/>
        <s v="modesg_inp_emss_vclsmarca"/>
        <s v="modesg_inp_emss_vclsmodelo"/>
        <s v="modesg_inp_emss_vclsn.a."/>
        <s v="modesg_inp_emss_vclsnome_estado"/>
        <s v="modesg_inp_emss_vclsnome_fator_emissao"/>
        <s v="modesg_inp_emss_vclsnome_pais"/>
        <s v="modesg_inp_emss_vclsnome_regiao"/>
        <s v="modesg_inp_emss_vclsnome_unidade_funcional"/>
        <s v="modesg_inp_emss_vclsref_date"/>
        <s v="modesg_inp_emss_vclsscore_qualidade"/>
        <s v="modesg_inp_emss_vclsscp1_ftr_emss"/>
        <s v="modesg_inp_emss_vclsscp2_ftr_emss"/>
        <s v="modesg_inp_emss_vclsscp3_ftr_emss"/>
        <s v="modesg_inp_emss_vclssubgrupo"/>
        <s v="modesg_inp_emss_vclstipo_motor"/>
        <s v="modesg_inp_emss_vclstipo_veiculo"/>
        <s v="modesg_inp_emss_vclsunidade_fator_de_emissao"/>
        <s v="modesg_inp_emss_vclsunidade_funcional"/>
        <s v="modesg_inp_km_medios_emss_vclsmedia_km"/>
        <s v="modesg_inp_km_medios_emss_vclsmedia_scp1_emss"/>
        <s v="modesg_inp_km_medios_emss_vclsmedia_scp2_emss"/>
        <s v="modesg_inp_km_medios_emss_vclsmedia_scp3_emss"/>
        <s v="modesg_inp_km_medios_emss_vclsn.a."/>
        <s v="modesg_inp_km_medios_emss_vclsnome_pais"/>
        <s v="modesg_inp_km_medios_emss_vclsref_date"/>
        <s v="modesg_inp_km_medios_emss_vclssubgrupo"/>
        <s v="modesg_inp_km_medios_emss_vclstipo_motor"/>
        <s v="modesg_inp_km_medios_emss_vclstipo_vcl"/>
        <s v="modesg_inp_nfrd_alinhamento_taxbio_capex_own_prfrmnce_algnd"/>
        <s v="modesg_inp_nfrd_alinhamento_taxbio_capex_ttl_elgbl"/>
        <s v="modesg_inp_nfrd_alinhamento_taxbio_trnvr_ttl_elgbl"/>
        <s v="modesg_inp_nfrd_alinhamento_taxbio_turnover_own_prfrmnce_algnd"/>
        <s v="modesg_inp_nfrd_alinhamento_taxcca_capex_enblng_algnd"/>
        <s v="modesg_inp_nfrd_alinhamento_taxcca_capex_own_prfrmnce_algnd"/>
        <s v="modesg_inp_nfrd_alinhamento_taxcca_capex_ttl_elgbl"/>
        <s v="modesg_inp_nfrd_alinhamento_taxcca_trnvr_enblng_alignd"/>
        <s v="modesg_inp_nfrd_alinhamento_taxcca_trnvr_ttl_elgbl"/>
        <s v="modesg_inp_nfrd_alinhamento_taxcca_turnover_own_prfrmnce_algnd"/>
        <s v="modesg_inp_nfrd_alinhamento_taxccli_kgl"/>
        <s v="modesg_inp_nfrd_alinhamento_taxccm_capex_enblng_algnd"/>
        <s v="modesg_inp_nfrd_alinhamento_taxccm_capex_own_prfrmnce_algnd"/>
        <s v="modesg_inp_nfrd_alinhamento_taxccm_capex_trnstn_algnd"/>
        <s v="modesg_inp_nfrd_alinhamento_taxccm_capex_ttl_elgbl"/>
        <s v="modesg_inp_nfrd_alinhamento_taxccm_trnvr_enblng_algnd"/>
        <s v="modesg_inp_nfrd_alinhamento_taxccm_trnvr_own_prfrmnce_algnd"/>
        <s v="modesg_inp_nfrd_alinhamento_taxccm_trnvr_trnstn_alignd"/>
        <s v="modesg_inp_nfrd_alinhamento_taxccm_trnvr_ttl_elgbl"/>
        <s v="modesg_inp_nfrd_alinhamento_taxce_capex_enblng_algnd"/>
        <s v="modesg_inp_nfrd_alinhamento_taxce_capex_own_prfrmnce_algnd"/>
        <s v="modesg_inp_nfrd_alinhamento_taxce_capex_ttl_elgbl"/>
        <s v="modesg_inp_nfrd_alinhamento_taxce_trnvr_enblng_alignd"/>
        <s v="modesg_inp_nfrd_alinhamento_taxce_trnvr_ttl_elgbl"/>
        <s v="modesg_inp_nfrd_alinhamento_taxce_turnover_own_prfrmnce_algnd"/>
        <s v="modesg_inp_nfrd_alinhamento_taxclei"/>
        <s v="modesg_inp_nfrd_alinhamento_taxflg_nfrd"/>
        <s v="modesg_inp_nfrd_alinhamento_taxn.a."/>
        <s v="modesg_inp_nfrd_alinhamento_taxnome_entidade"/>
        <s v="modesg_inp_nfrd_alinhamento_taxnome_pais"/>
        <s v="modesg_inp_nfrd_alinhamento_taxperm_id"/>
        <s v="modesg_inp_nfrd_alinhamento_taxppc_capex_own_prfrmnce_algnd"/>
        <s v="modesg_inp_nfrd_alinhamento_taxppc_capex_ttl_elgbl"/>
        <s v="modesg_inp_nfrd_alinhamento_taxppc_trnvr_ttl_elgbl"/>
        <s v="modesg_inp_nfrd_alinhamento_taxppc_turnover_own_prfrmnce_algnd"/>
        <s v="modesg_inp_nfrd_alinhamento_taxref_date"/>
        <s v="modesg_inp_nfrd_alinhamento_taxwtr_capex_enblng_algnd"/>
        <s v="modesg_inp_nfrd_alinhamento_taxwtr_capex_own_prfrmnce_algnd"/>
        <s v="modesg_inp_nfrd_alinhamento_taxwtr_capex_ttl_elgbl"/>
        <s v="modesg_inp_nfrd_alinhamento_taxwtr_trnvr_enblng_alignd"/>
        <s v="modesg_inp_nfrd_alinhamento_taxwtr_trnvr_ttl_elgbl"/>
        <s v="modesg_inp_nfrd_alinhamento_taxwtr_turnover_own_prfrmnce_algnd"/>
        <s v="modesg_inp_project_financecodigo_unidade"/>
        <s v="modesg_inp_project_financecodigo_unidade_operativa"/>
        <s v="modesg_inp_project_financekgl"/>
        <s v="modesg_inp_project_financekgl_entidade_principal"/>
        <s v="modesg_inp_project_financekgl_top_entidade_principal"/>
        <s v="modesg_inp_project_financenome_entidade_operativa"/>
        <s v="modesg_inp_project_financenome_legal_kgl"/>
        <s v="modesg_inp_project_financenome_top_entidade_principal"/>
        <s v="modesg_inp_project_financenome_unidade"/>
        <s v="modesg_inp_risco_fisico_zipcodecod_nace_esg"/>
        <s v="modesg_inp_risco_fisico_zipcodecod_pais"/>
        <s v="modesg_inp_risco_fisico_zipcodeflg_rsc_fsc_agd"/>
        <s v="modesg_inp_risco_fisico_zipcodeflg_rsc_fsc_crnc"/>
        <s v="modesg_inp_risco_fisico_zipcodelocalizacao"/>
        <s v="modesg_inp_risco_fisicocod_nace_esg"/>
        <s v="modesg_inp_risco_fisicocod_nutiii"/>
        <s v="modesg_inp_risco_fisicocod_pais"/>
        <s v="modesg_inp_risco_fisicoflg_rsc_fsc_agd"/>
        <s v="modesg_inp_risco_fisicoflg_rsc_fsc_crnc"/>
        <s v="modesg_inp_risco_fisicon.a."/>
        <s v="modesg_inp_risco_fisicoref_date"/>
        <s v="modesg_out_bens_imoveiscempbem"/>
        <s v="modesg_out_bens_imoveisckbalbem"/>
        <s v="modesg_out_bens_imoveisckctabem"/>
        <s v="modesg_out_bens_imoveisckrefbem"/>
        <s v="modesg_out_bens_imoveisflg_rsc_fsc_agd"/>
        <s v="modesg_out_bens_imoveisflg_rsc_fsc_crnc"/>
        <s v="modesg_out_bens_imoveisn.a."/>
        <s v="modesg_out_bens_imoveisorigem_flg_rsc_fsc_agd"/>
        <s v="modesg_out_bens_imoveisorigem_flg_rsc_fsc_crnc"/>
        <s v="modesg_out_bens_imoveisorigem_scp1_emss"/>
        <s v="modesg_out_bens_imoveisorigem_scp2_emss"/>
        <s v="modesg_out_bens_imoveisorigem_scp3_emss"/>
        <s v="modesg_out_bens_imoveisref_date"/>
        <s v="modesg_out_bens_imoveisscp1_emss"/>
        <s v="modesg_out_bens_imoveisscp2_emss"/>
        <s v="modesg_out_bens_imoveisscp3_emss"/>
        <s v="modesg_out_bens_imoveisunidade_funcional_scp1_emss"/>
        <s v="modesg_out_bens_imoveisunidade_funcional_scp2_emss"/>
        <s v="modesg_out_bens_imoveisunidade_funcional_scp3_emss"/>
        <s v="modesg_out_empr_info_nfinbio_capex_own_prfrmnce_algnd"/>
        <s v="modesg_out_empr_info_nfinbio_capex_ttl_elgbl"/>
        <s v="modesg_out_empr_info_nfinbio_trnvr_ttl_elgbl"/>
        <s v="modesg_out_empr_info_nfinbio_turnover_own_prfrmnce_algnd"/>
        <s v="modesg_out_empr_info_nfincapital_proprio"/>
        <s v="modesg_out_empr_info_nfincca_capex_enblng_algnd"/>
        <s v="modesg_out_empr_info_nfincca_capex_own_prfrmnce_algnd"/>
        <s v="modesg_out_empr_info_nfincca_capex_ttl_elgbl"/>
        <s v="modesg_out_empr_info_nfincca_trnvr_enblng_alignd"/>
        <s v="modesg_out_empr_info_nfincca_trnvr_ttl_elgbl"/>
        <s v="modesg_out_empr_info_nfincca_turnover_own_prfrmnce_algnd"/>
        <s v="modesg_out_empr_info_nfinccm_capex_enblng_algnd"/>
        <s v="modesg_out_empr_info_nfinccm_capex_own_prfrmnce_algnd"/>
        <s v="modesg_out_empr_info_nfinccm_capex_trnstn_algnd"/>
        <s v="modesg_out_empr_info_nfinccm_capex_ttl_elgbl"/>
        <s v="modesg_out_empr_info_nfinccm_trnvr_enblng_algnd"/>
        <s v="modesg_out_empr_info_nfinccm_trnvr_own_prfrmnce_algnd"/>
        <s v="modesg_out_empr_info_nfinccm_trnvr_trnstn_alignd"/>
        <s v="modesg_out_empr_info_nfinccm_trnvr_ttl_elgbl"/>
        <s v="modesg_out_empr_info_nfince_capex_enblng_algnd"/>
        <s v="modesg_out_empr_info_nfince_capex_own_prfrmnce_algnd"/>
        <s v="modesg_out_empr_info_nfince_capex_ttl_elgbl"/>
        <s v="modesg_out_empr_info_nfince_trnvr_enblng_alignd"/>
        <s v="modesg_out_empr_info_nfince_trnvr_ttl_elgbl"/>
        <s v="modesg_out_empr_info_nfince_turnover_own_prfrmnce_algnd"/>
        <s v="modesg_out_empr_info_nfincod_nace_esg"/>
        <s v="modesg_out_empr_info_nfindivida_total"/>
        <s v="modesg_out_empr_info_nfinflg_emprs_excl_paris"/>
        <s v="modesg_out_empr_info_nfinflg_nfrd"/>
        <s v="modesg_out_empr_info_nfinflg_rsc_fsc_agd"/>
        <s v="modesg_out_empr_info_nfinflg_rsc_fsc_crnc"/>
        <s v="modesg_out_empr_info_nfinn.a."/>
        <s v="modesg_out_empr_info_nfinorigem_alinhamentos"/>
        <s v="modesg_out_empr_info_nfinorigem_flg_emprs_excl_paris"/>
        <s v="modesg_out_empr_info_nfinorigem_flg_nfrd"/>
        <s v="modesg_out_empr_info_nfinorigem_flg_rsc_fsc_agd"/>
        <s v="modesg_out_empr_info_nfinorigem_flg_rsc_fsc_crnc"/>
        <s v="modesg_out_empr_info_nfinorigem_scp1_emss"/>
        <s v="modesg_out_empr_info_nfinorigem_scp2_emss"/>
        <s v="modesg_out_empr_info_nfinorigem_scp3_emss"/>
        <s v="modesg_out_empr_info_nfinppc_capex_own_prfrmnce_algnd"/>
        <s v="modesg_out_empr_info_nfinppc_capex_ttl_elgbl"/>
        <s v="modesg_out_empr_info_nfinppc_trnvr_ttl_elgbl"/>
        <s v="modesg_out_empr_info_nfinppc_turnover_own_prfrmnce_algnd"/>
        <s v="modesg_out_empr_info_nfinref_date"/>
        <s v="modesg_out_empr_info_nfinscp1_emss"/>
        <s v="modesg_out_empr_info_nfinscp2_emss"/>
        <s v="modesg_out_empr_info_nfinscp3_emss"/>
        <s v="modesg_out_empr_info_nfinwtr_capex_enblng_algnd"/>
        <s v="modesg_out_empr_info_nfinwtr_capex_own_prfrmnce_algnd"/>
        <s v="modesg_out_empr_info_nfinwtr_capex_ttl_elgbl"/>
        <s v="modesg_out_empr_info_nfinwtr_trnvr_enblng_alignd"/>
        <s v="modesg_out_empr_info_nfinwtr_trnvr_ttl_elgbl"/>
        <s v="modesg_out_empr_info_nfinwtr_turnover_own_prfrmnce_algnd"/>
        <s v="modesg_out_empr_info_nfinzcliente"/>
        <s v="modesg_out_emss_vclscempbem"/>
        <s v="modesg_out_emss_vclsckbalbem"/>
        <s v="modesg_out_emss_vclsckctabem"/>
        <s v="modesg_out_emss_vclsckrefbem"/>
        <s v="modesg_out_emss_vclscnsm_co2"/>
        <s v="modesg_out_emss_vclsn.a."/>
        <s v="modesg_out_emss_vclsorigem_scp1_emss"/>
        <s v="modesg_out_emss_vclsorigem_scp2_emss"/>
        <s v="modesg_out_emss_vclsorigem_scp3_emss"/>
        <s v="modesg_out_emss_vclsref_date"/>
        <s v="modesg_out_emss_vclsscp1_emss"/>
        <s v="modesg_out_emss_vclsscp2_emss"/>
        <s v="modesg_out_emss_vclsscp3_emss"/>
        <s v="modesg_out_emss_vclsunidade_funcional_scp1_emss"/>
        <s v="modesg_out_emss_vclsunidade_funcional_scp2_emss"/>
        <s v="modesg_out_emss_vclsunidade_funcional_scp3_emss"/>
        <s v="modesg_out_sfics_taxon_europeiacbalcao"/>
        <s v="modesg_out_sfics_taxon_europeiacempresa"/>
        <s v="modesg_out_sfics_taxon_europeiacnumecta"/>
        <s v="modesg_out_sfics_taxon_europeiacod_regra"/>
        <s v="modesg_out_sfics_taxon_europeiamontante_pndrc"/>
        <s v="modesg_out_sfics_taxon_europeian.a."/>
        <s v="modesg_out_sfics_taxon_europeianivel"/>
        <s v="modesg_out_sfics_taxon_europeianome_ctgr_sfics"/>
        <s v="modesg_out_sfics_taxon_europeianome_general_specific_purpose"/>
        <s v="modesg_out_sfics_taxon_europeianome_purpose_esg_alinh_tax"/>
        <s v="modesg_out_sfics_taxon_europeianome_purpose_esg_nalinh_tax"/>
        <s v="modesg_out_sfics_taxon_europeianome_specific_eligible"/>
        <s v="modesg_out_sfics_taxon_europeianome_specific_sustainable"/>
        <s v="modesg_out_sfics_taxon_europeiaordem"/>
        <s v="modesg_out_sfics_taxon_europeiaorigem"/>
        <s v="modesg_out_sfics_taxon_europeiaref_date"/>
        <s v="modesg_out_sfics_taxon_europeiasstnbl_indctr"/>
        <s v="modesg_out_sfics_taxon_europeiazdeposit"/>
        <s v="modesg_param_sfics_taxon_europeiaambito"/>
        <s v="modesg_param_sfics_taxon_europeiacempcta"/>
        <s v="modesg_param_sfics_taxon_europeiacfamilia"/>
        <s v="modesg_param_sfics_taxon_europeiacfinalidad"/>
        <s v="modesg_param_sfics_taxon_europeiacgarante_bem"/>
        <s v="modesg_param_sfics_taxon_europeiackbalcao"/>
        <s v="modesg_param_sfics_taxon_europeiackmetamis"/>
        <s v="modesg_param_sfics_taxon_europeiacknumcta"/>
        <s v="modesg_param_sfics_taxon_europeiackprodmi"/>
        <s v="modesg_param_sfics_taxon_europeiacmetanseg"/>
        <s v="modesg_param_sfics_taxon_europeiacnumecta"/>
        <s v="modesg_param_sfics_taxon_europeiaco2"/>
        <s v="modesg_param_sfics_taxon_europeiacod_regra"/>
        <s v="modesg_param_sfics_taxon_europeiacombustivel"/>
        <s v="modesg_param_sfics_taxon_europeiacomite"/>
        <s v="modesg_param_sfics_taxon_europeiaconstruction_year"/>
        <s v="modesg_param_sfics_taxon_europeiacontraparte"/>
        <s v="modesg_param_sfics_taxon_europeiadabertur"/>
        <s v="modesg_param_sfics_taxon_europeiadata_aprvc"/>
        <s v="modesg_param_sfics_taxon_europeiadata_final"/>
        <s v="modesg_param_sfics_taxon_europeiadata_inicial"/>
        <s v="modesg_param_sfics_taxon_europeiadominio"/>
        <s v="modesg_param_sfics_taxon_europeiadscrc"/>
        <s v="modesg_param_sfics_taxon_europeiaepc"/>
        <s v="modesg_param_sfics_taxon_europeiaflag_project_finance"/>
        <s v="modesg_param_sfics_taxon_europeiaflg_csrd"/>
        <s v="modesg_param_sfics_taxon_europeiaflg_rsc_fsc_agd"/>
        <s v="modesg_param_sfics_taxon_europeiaflg_rsc_fsc_crnc"/>
        <s v="modesg_param_sfics_taxon_europeiagrupo_regra"/>
        <s v="modesg_param_sfics_taxon_europeiamontante_pndrc"/>
        <s v="modesg_param_sfics_taxon_europeian.a."/>
        <s v="modesg_param_sfics_taxon_europeianet_floor_area"/>
        <s v="modesg_param_sfics_taxon_europeianivel"/>
        <s v="modesg_param_sfics_taxon_europeianome_ctgr_sfics"/>
        <s v="modesg_param_sfics_taxon_europeianome_general_specific_purpose"/>
        <s v="modesg_param_sfics_taxon_europeianome_purpose_esg"/>
        <s v="modesg_param_sfics_taxon_europeianome_purpose_esg_alinh_tax"/>
        <s v="modesg_param_sfics_taxon_europeianome_purpose_esg_nalinh_tax"/>
        <s v="modesg_param_sfics_taxon_europeianome_specific_eligible"/>
        <s v="modesg_param_sfics_taxon_europeianome_specific_sustainable"/>
        <s v="modesg_param_sfics_taxon_europeiaordem"/>
        <s v="modesg_param_sfics_taxon_europeiaprdt_sprdt"/>
        <s v="modesg_param_sfics_taxon_europeiaprimary_energy_req_value"/>
        <s v="modesg_param_sfics_taxon_europeiaproperty_purpose_code"/>
        <s v="modesg_param_sfics_taxon_europeiaquality_score"/>
        <s v="modesg_param_sfics_taxon_europeiaref_date"/>
        <s v="modesg_param_sfics_taxon_europeiasst_indctr_aux"/>
        <s v="modesg_param_sfics_taxon_europeiatipo_eqp"/>
        <s v="modesg_param_sfics_taxon_europeiazcliente"/>
        <s v="modesg_param_sfics_taxon_europeiazdeposit"/>
        <s v="PROCESS_PROPERTY_RELCOLLATERAL_PROPERTY_IND"/>
        <s v="PROCESS_PROPERTY_RELdata_assc"/>
        <s v="PROCESS_PROPERTY_RELDATA_DATE_PART"/>
        <s v="PROCESS_PROPERTY_RELFINANCED_PROPERTY_IND"/>
        <s v="PROCESS_PROPERTY_RELn.a."/>
        <s v="PROCESS_PROPERTY_RELOWNED_PROPERTY_IND"/>
        <s v="PROCESS_PROPERTY_RELPROCESS_ACCOUNT_ID"/>
        <s v="PROCESS_PROPERTY_RELPROCESS_BANK_ID"/>
        <s v="PROCESS_PROPERTY_RELPROCESS_BRANCH_CODE"/>
        <s v="PROCESS_PROPERTY_RELPROCESS_REFERENCE_CODE"/>
        <s v="PROCESS_PROPERTY_RELPROPERTY_BANK_ID"/>
        <s v="PROCESS_PROPERTY_RELPROPERTY_BRANCH_CODE"/>
        <s v="PROCESS_PROPERTY_RELPROPERTY_CONTRACT_ID"/>
        <s v="PROCESS_PROPERTY_RELPROPERTY_REFERENCE_CODE"/>
        <s v="PROCESS_PROPERTY_RELSEIZED_PROPERTY_IND"/>
        <s v="PROCESS_PROPERTY_RELSOURCE_CODE"/>
        <s v="PROCESScod_estd_prcs"/>
        <s v="PROCESSCURRENCY_CODE"/>
        <s v="PROCESSDATA_DATE_PART"/>
        <s v="PROCESSGUARANTEE_CODE"/>
        <s v="PROCESSGUARANTEE_TYPE_CODE"/>
        <s v="PROCESSmontante_eur"/>
        <s v="PROCESSmontante_org"/>
        <s v="PROCESSn.a."/>
        <s v="PROCESSorigem"/>
        <s v="PROCESSPROCESS_ACCOUNT_ID"/>
        <s v="PROCESSPROCESS_BANK_ID"/>
        <s v="PROCESSPROCESS_BRANCH_CODE"/>
        <s v="PROCESSPROCESS_CAMPAIGN_CODE"/>
        <s v="PROCESSPROCESS_DUE_DATE"/>
        <s v="PROCESSPROCESS_PRODUCT_ID"/>
        <s v="PROCESSPROCESS_REFERENCE_CODE"/>
        <s v="PROCESSPROCESS_START_DATE"/>
        <s v="PROCESSPROCESS_SUBPRODUCT_ID"/>
        <s v="PROCESSSOURCE_CODE"/>
        <s v="PROPERTY_ENERGY_CERTIFICATEADDRESS_CODE"/>
        <s v="PROPERTY_ENERGY_CERTIFICATEBUILDING_DOMEST_HOTWATER_VALUE"/>
        <s v="PROPERTY_ENERGY_CERTIFICATEBUILDING_SPACE_COOLING_VALUE"/>
        <s v="PROPERTY_ENERGY_CERTIFICATEBUILDING_SPACE_HEATING_VALUE"/>
        <s v="PROPERTY_ENERGY_CERTIFICATECADASTRAL_REGISTER_CODE"/>
        <s v="PROPERTY_ENERGY_CERTIFICATECARBON_EMISSION_VALUE"/>
        <s v="PROPERTY_ENERGY_CERTIFICATECARBON_EMISSION_VALUE_YEAR"/>
        <s v="PROPERTY_ENERGY_CERTIFICATECERTIFICATE_TYPE"/>
        <s v="PROPERTY_ENERGY_CERTIFICATECLIMATE_ZONE_SUMMER"/>
        <s v="PROPERTY_ENERGY_CERTIFICATECLIMATE_ZONE_WINTER"/>
        <s v="PROPERTY_ENERGY_CERTIFICATECURRENT_ENERGY_RATING_PERCENTAGE"/>
        <s v="PROPERTY_ENERGY_CERTIFICATEDATA_DATE_PART"/>
        <s v="PROPERTY_ENERGY_CERTIFICATEDISTRICT_MUNICIP_PARISH_CODE"/>
        <s v="PROPERTY_ENERGY_CERTIFICATEDOMEST_HOTWATER_REF_VALUE"/>
        <s v="PROPERTY_ENERGY_CERTIFICATEDURATION_SUMMER"/>
        <s v="PROPERTY_ENERGY_CERTIFICATEDURATION_WINTER"/>
        <s v="PROPERTY_ENERGY_CERTIFICATEENERGY_CERTIFICATION_SYSTEM_CODE"/>
        <s v="PROPERTY_ENERGY_CERTIFICATEENERGY_CLASS_AFTER_MEASUREMENT"/>
        <s v="PROPERTY_ENERGY_CERTIFICATEENERGY_CONSUMPTION_TYPE_S_IND"/>
        <s v="PROPERTY_ENERGY_CERTIFICATEENERGY_CONSUMPTION_TYPE_T_IND"/>
        <s v="PROPERTY_ENERGY_CERTIFICATEENERGY_CONSUMPTION_VALUE_YEAR"/>
        <s v="PROPERTY_ENERGY_CERTIFICATEENERGY_EFFICIENCY_IND"/>
        <s v="PROPERTY_ENERGY_CERTIFICATEEP_SCORE"/>
        <s v="PROPERTY_ENERGY_CERTIFICATEEPC"/>
        <s v="PROPERTY_ENERGY_CERTIFICATEEPC_EXPIRATION_DATE"/>
        <s v="PROPERTY_ENERGY_CERTIFICATEEPC_ISSUING_DATE"/>
        <s v="PROPERTY_ENERGY_CERTIFICATEFLOOR_NUMBER"/>
        <s v="PROPERTY_ENERGY_CERTIFICATEGPS_LATITUDE"/>
        <s v="PROPERTY_ENERGY_CERTIFICATEGPS_LONGITUDE"/>
        <s v="PROPERTY_ENERGY_CERTIFICATEHEIGHT"/>
        <s v="PROPERTY_ENERGY_CERTIFICATEINVOICE_RED_ANNUAL_ESTMTD_VALUE"/>
        <s v="PROPERTY_ENERGY_CERTIFICATELAND_REGISTRY_OFFICE_CODE"/>
        <s v="PROPERTY_ENERGY_CERTIFICATELOCALITY"/>
        <s v="PROPERTY_ENERGY_CERTIFICATEn.a."/>
        <s v="PROPERTY_ENERGY_CERTIFICATENET_FLOOR_AREA"/>
        <s v="PROPERTY_ENERGY_CERTIFICATENZEB_IND"/>
        <s v="PROPERTY_ENERGY_CERTIFICATEPNL_SUMMER_REF_VALUE"/>
        <s v="PROPERTY_ENERGY_CERTIFICATEPNL_SUMMER_ROOF_VALUE"/>
        <s v="PROPERTY_ENERGY_CERTIFICATEPNL_SUMMER_WALLS_DOORS_VALUE"/>
        <s v="PROPERTY_ENERGY_CERTIFICATEPNL_SUMMER_WINDOWS_VALUE"/>
        <s v="PROPERTY_ENERGY_CERTIFICATEPNL_WINTER_FANS_VALUE"/>
        <s v="PROPERTY_ENERGY_CERTIFICATEPNL_WINTER_FLOORS_VALUE"/>
        <s v="PROPERTY_ENERGY_CERTIFICATEPNL_WINTER_REF_VALUE"/>
        <s v="PROPERTY_ENERGY_CERTIFICATEPNL_WINTER_ROOF_VALUE"/>
        <s v="PROPERTY_ENERGY_CERTIFICATEPNL_WINTER_WALLS_DOORS_VALUE"/>
        <s v="PROPERTY_ENERGY_CERTIFICATEPNL_WINTER_WINDOWS_VALUE"/>
        <s v="PROPERTY_ENERGY_CERTIFICATEPRIMARY_ENERGY_REQ_VALUE"/>
        <s v="PROPERTY_ENERGY_CERTIFICATEPRMRY_ENRGY_DMND_RFRNC_VL"/>
        <s v="PROPERTY_ENERGY_CERTIFICATEPROPERTY_BANK_ID"/>
        <s v="PROPERTY_ENERGY_CERTIFICATEPROPERTY_BRANCH_CODE"/>
        <s v="PROPERTY_ENERGY_CERTIFICATEPROPERTY_CONTRACT_ID"/>
        <s v="PROPERTY_ENERGY_CERTIFICATEPROPERTY_IDENTIFICATION_CODE"/>
        <s v="PROPERTY_ENERGY_CERTIFICATEPROPERTY_PURPOSE_CODE"/>
        <s v="PROPERTY_ENERGY_CERTIFICATEPROPERTY_REFERENCE_CODE"/>
        <s v="PROPERTY_ENERGY_CERTIFICATEQUALITY_SCORE"/>
        <s v="PROPERTY_ENERGY_CERTIFICATEREN_ENERGY_EFFICIENCY_IND"/>
        <s v="PROPERTY_ENERGY_CERTIFICATEREN_ENERGY_PRODUCED_OTHER_VALUE"/>
        <s v="PROPERTY_ENERGY_CERTIFICATEREN_ENERGY_PRODUCED_REG_VALUE"/>
        <s v="PROPERTY_ENERGY_CERTIFICATEREN_ENERGY_PRODUCED_VALUE"/>
        <s v="PROPERTY_ENERGY_CERTIFICATERENEWABLE_DOMEST_HOTWATER_VALUE"/>
        <s v="PROPERTY_ENERGY_CERTIFICATERENEWABLE_SPACE_COOLING_VALUE"/>
        <s v="PROPERTY_ENERGY_CERTIFICATERENEWABLE_SPACE_HEATING_VALUE"/>
        <s v="PROPERTY_ENERGY_CERTIFICATESOURCE_CODE"/>
        <s v="PROPERTY_ENERGY_CERTIFICATESPACE_COOLING_REF_VALUE"/>
        <s v="PROPERTY_ENERGY_CERTIFICATESPACE_HEATING_REF_VALUE"/>
        <s v="PROPERTY_ENERGY_CERTIFICATETEMPERATURE_DAY_VALUE"/>
        <s v="PROPERTY_ENERGY_CERTIFICATETEMPERATURE_OUTDOOR_AVG_VALUE"/>
        <s v="PROPERTY_ENERGY_CERTIFICATETHERMAL_BEHAVIOUR_FLOORS"/>
        <s v="PROPERTY_ENERGY_CERTIFICATETHERMAL_BEHAVIOUR_ROOF"/>
        <s v="PROPERTY_ENERGY_CERTIFICATETHERMAL_BEHAVIOUR_TECH_SYS_VENT"/>
        <s v="PROPERTY_ENERGY_CERTIFICATETHERMAL_BEHAVIOUR_WALL"/>
        <s v="PROPERTY_ENERGY_CERTIFICATETHERMAL_BEHAVIOUR_WINDOWS"/>
        <s v="PROPERTY_ENERGY_CERTIFICATETOTAL_INVSTMNT_ESTMTD_VALUE"/>
        <s v="PROPERTY_ENERGY_CERTIFICATEUSEFUL_ENERGY_COOLING_VALUE"/>
        <s v="PROPERTY_ENERGY_CERTIFICATEUSEFUL_ENERGY_DOM_HOTWATER_VALUE"/>
        <s v="PROPERTY_ENERGY_CERTIFICATEUSEFUL_ENERGY_FANS_REQ_VALUE"/>
        <s v="PROPERTY_ENERGY_CERTIFICATEUSEFUL_ENERGY_HEATING_REQ_VALUE"/>
        <s v="PROPERTYADDRESS"/>
        <s v="PROPERTYADDRESS_CODE"/>
        <s v="PROPERTYAPPRAISAL_CODE"/>
        <s v="PROPERTYCADASTRAL_REGISTER_CODE"/>
        <s v="PROPERTYcod_bem"/>
        <s v="PROPERTYCOLLATERAL_FAST_SALE_AMOUNT"/>
        <s v="PROPERTYCONSERVATORY_REG_FILE_ID"/>
        <s v="PROPERTYCONSTRUCTION_COMPLETED_PCT"/>
        <s v="PROPERTYCONSTRUCTION_YEAR"/>
        <s v="PROPERTYCOUNTRY_CODE"/>
        <s v="PROPERTYCURRENT_CONSTRUCTION_PCT"/>
        <s v="PROPERTYDATA_DATE_PART"/>
        <s v="PROPERTYDISTRICT_MUNICIP_PARISH_CODE"/>
        <s v="PROPERTYFLOOR_NUMBER"/>
        <s v="PROPERTYLAST_APPRAISAL_AMOUNT"/>
        <s v="PROPERTYLAST_APPRAISAL_DATE"/>
        <s v="PROPERTYLOCALITY"/>
        <s v="PROPERTYn.a."/>
        <s v="PROPERTYNET_APPRAISAL_AMOUNT"/>
        <s v="PROPERTYNET_FLOOR_AREA"/>
        <s v="PROPERTYorigem"/>
        <s v="PROPERTYPOSTAL_CODE"/>
        <s v="PROPERTYPROPERTY_BANK_ID"/>
        <s v="PROPERTYPROPERTY_BRANCH_CODE"/>
        <s v="PROPERTYPROPERTY_CODE"/>
        <s v="PROPERTYPROPERTY_CONTRACT_ID"/>
        <s v="PROPERTYPROPERTY_LIFETIME_CODE"/>
        <s v="PROPERTYPROPERTY_LOT"/>
        <s v="PROPERTYPROPERTY_NUMBER"/>
        <s v="PROPERTYPROPERTY_PURPOSE_CODE"/>
        <s v="PROPERTYPROPERTY_REFERENCE_CODE"/>
        <s v="PROPERTYPROPERTY_TYPE_CODE"/>
        <s v="PROPERTYURBANIZATION"/>
        <s v="PROPERTYUSAGE_PERMIT_START_DATE"/>
        <s v="RESPONSIBILITY_PROCESS_RELBANK_ID"/>
        <s v="RESPONSIBILITY_PROCESS_RELBRANCH_CODE"/>
        <s v="RESPONSIBILITY_PROCESS_RELcod_sit"/>
        <s v="RESPONSIBILITY_PROCESS_RELCONTRACT_ID"/>
        <s v="RESPONSIBILITY_PROCESS_RELDATA_DATE_PART"/>
        <s v="RESPONSIBILITY_PROCESS_RELEFFECTIVE_RELATION_END_DATE"/>
        <s v="RESPONSIBILITY_PROCESS_RELESTABLISHED_RELATION_END_DATE"/>
        <s v="RESPONSIBILITY_PROCESS_RELidetgar"/>
        <s v="RESPONSIBILITY_PROCESS_RELINDIVIDUAL_OCCUPATION_CODE"/>
        <s v="RESPONSIBILITY_PROCESS_RELn.a."/>
        <s v="RESPONSIBILITY_PROCESS_RELnum_prop"/>
        <s v="RESPONSIBILITY_PROCESS_RELPROCESS_ACCOUNT_ID"/>
        <s v="RESPONSIBILITY_PROCESS_RELPROCESS_BANK_ID"/>
        <s v="RESPONSIBILITY_PROCESS_RELPROCESS_BRANCH_CODE"/>
        <s v="RESPONSIBILITY_PROCESS_RELPROCESS_REFERENCE_CODE"/>
        <s v="RESPONSIBILITY_PROCESS_RELPRODUCT_ID"/>
        <s v="RESPONSIBILITY_PROCESS_RELPURPOSE_CODE"/>
        <s v="RESPONSIBILITY_PROCESS_RELREFERENCE_CODE"/>
        <s v="RESPONSIBILITY_PROCESS_RELRELATION_START_DATE"/>
        <s v="RESPONSIBILITY_PROCESS_RELSOURCE_CODE"/>
        <s v="RESPONSIBILITY_PROCESS_RELSUBPRODUCT_ID"/>
      </sharedItems>
    </cacheField>
    <cacheField name="[Measures].[Max of Status2]" caption="Max of Status2" numFmtId="0" hierarchy="70" level="32767"/>
  </cacheFields>
  <cacheHierarchies count="79">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2" memberValueDatatype="130" unbalanced="0">
      <fieldsUsage count="2">
        <fieldUsage x="-1"/>
        <fieldUsage x="0"/>
      </fieldsUsage>
    </cacheHierarchy>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130"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130" unbalanced="0"/>
    <cacheHierarchy uniqueName="[Table1].[Query]" caption="Query" attribute="1" defaultMemberUniqueName="[Table1].[Query].[All]" allUniqueName="[Table1].[Query].[All]" dimensionUniqueName="[Table1]" displayFolder="" count="0" memberValueDatatype="130" unbalanced="0"/>
    <cacheHierarchy uniqueName="[Table1].[Aux]" caption="Aux" attribute="1" defaultMemberUniqueName="[Table1].[Aux].[All]" allUniqueName="[Table1].[Aux].[All]" dimensionUniqueName="[Table1]" displayFolder="" count="0" memberValueDatatype="130" unbalanced="0"/>
    <cacheHierarchy uniqueName="[Table4].[Âmbito]" caption="Âmbito" attribute="1" defaultMemberUniqueName="[Table4].[Âmbito].[All]" allUniqueName="[Table4].[Âmbito].[All]" dimensionUniqueName="[Table4]" displayFolder="" count="0" memberValueDatatype="130" unbalanced="0"/>
    <cacheHierarchy uniqueName="[Table4].[Sub-âmbito]" caption="Sub-âmbito" attribute="1" defaultMemberUniqueName="[Table4].[Sub-âmbito].[All]" allUniqueName="[Table4].[Sub-âmbito].[All]" dimensionUniqueName="[Table4]" displayFolder="" count="0" memberValueDatatype="130" unbalanced="0"/>
    <cacheHierarchy uniqueName="[Table4].[Tipo de teste]" caption="Tipo de teste" attribute="1" defaultMemberUniqueName="[Table4].[Tipo de teste].[All]" allUniqueName="[Table4].[Tipo de teste].[All]" dimensionUniqueName="[Table4]" displayFolder="" count="0" memberValueDatatype="130" unbalanced="0"/>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0" memberValueDatatype="130" unbalanced="0"/>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Fase]" caption="Fase" attribute="1" defaultMemberUniqueName="[Table4].[Fase].[All]" allUniqueName="[Table4].[Fase].[All]" dimensionUniqueName="[Table4]" displayFolder="" count="0" memberValueDatatype="130" unbalanced="0"/>
    <cacheHierarchy uniqueName="[Table4].[Observações - Especificações]" caption="Observações - Especificações" attribute="1" defaultMemberUniqueName="[Table4].[Observações - Especificações].[All]" allUniqueName="[Table4].[Observações - Especificações].[All]" dimensionUniqueName="[Table4]" displayFolder="" count="0" memberValueDatatype="130" unbalanced="0"/>
    <cacheHierarchy uniqueName="[Table4].[Observações - Testes]" caption="Observações - Testes" attribute="1" defaultMemberUniqueName="[Table4].[Observações - Testes].[All]" allUniqueName="[Table4].[Observações - Testes].[All]" dimensionUniqueName="[Table4]" displayFolder="" count="0" memberValueDatatype="130" unbalanced="0"/>
    <cacheHierarchy uniqueName="[Table4].[Data Final - Entrega IT]" caption="Data Final - Entrega IT" attribute="1" defaultMemberUniqueName="[Table4].[Data Final - Entrega IT].[All]" allUniqueName="[Table4].[Data Final - Entrega IT].[All]" dimensionUniqueName="[Table4]" displayFolder="" count="0" memberValueDatatype="130" unbalanced="0"/>
    <cacheHierarchy uniqueName="[Table4].[Data Final - Validação Testes]" caption="Data Final - Validação Testes" attribute="1" defaultMemberUniqueName="[Table4].[Data Final - Validação Testes].[All]" allUniqueName="[Table4].[Data Final - Validação Testes].[All]" dimensionUniqueName="[Table4]" displayFolder="" count="0" memberValueDatatype="130" unbalanced="0"/>
    <cacheHierarchy uniqueName="[Table4].[Tipologia Teste]" caption="Tipologia Teste" attribute="1" defaultMemberUniqueName="[Table4].[Tipologia Teste].[All]" allUniqueName="[Table4].[Tipologia Teste].[All]" dimensionUniqueName="[Table4]" displayFolder="" count="0" memberValueDatatype="130" unbalanced="0"/>
    <cacheHierarchy uniqueName="[Table4].[Observações - Testes sem visibilidade]" caption="Observações - Testes sem visibilidade" attribute="1" defaultMemberUniqueName="[Table4].[Observações - Testes sem visibilidade].[All]" allUniqueName="[Table4].[Observações - Testes sem visibilidade].[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Table4].[Projeto (Aux JB)]" caption="Projeto (Aux JB)" attribute="1" defaultMemberUniqueName="[Table4].[Projeto (Aux JB)].[All]" allUniqueName="[Table4].[Projeto (Aux JB)].[All]" dimensionUniqueName="[Table4]" displayFolder="" count="0" memberValueDatatype="130" unbalanced="0"/>
    <cacheHierarchy uniqueName="[Table4].[LT Âmbito]" caption="LT Âmbito" attribute="1" defaultMemberUniqueName="[Table4].[LT Âmbito].[All]" allUniqueName="[Table4].[LT Âmbito].[All]" dimensionUniqueName="[Table4]" displayFolder="" count="0" memberValueDatatype="130" unbalanced="0"/>
    <cacheHierarchy uniqueName="[Table4].[Âmbito Testes]" caption="Âmbito Testes" attribute="1" defaultMemberUniqueName="[Table4].[Âmbito Testes].[All]" allUniqueName="[Table4].[Âmbito Testes].[All]" dimensionUniqueName="[Table4]" displayFolder="" count="0" memberValueDatatype="130" unbalanced="0"/>
    <cacheHierarchy uniqueName="[Table4].[LT Âmbito- Aux]" caption="LT Âmbito- Aux" attribute="1" defaultMemberUniqueName="[Table4].[LT Âmbito- Aux].[All]" allUniqueName="[Table4].[LT Âmbito- Aux].[All]" dimensionUniqueName="[Table4]" displayFolder="" count="0" memberValueDatatype="130" unbalanced="0"/>
    <cacheHierarchy uniqueName="[Table4].[Plano]" caption="Plano" attribute="1" defaultMemberUniqueName="[Table4].[Plano].[All]" allUniqueName="[Table4].[Plano].[All]" dimensionUniqueName="[Table4]" displayFolder="" count="0" memberValueDatatype="130" unbalanced="0"/>
    <cacheHierarchy uniqueName="[Table4].[Owner]" caption="Owner" attribute="1" defaultMemberUniqueName="[Table4].[Owner].[All]" allUniqueName="[Table4].[Owner].[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oneField="1" hidden="1">
      <fieldsUsage count="1">
        <fieldUsage x="1"/>
      </fieldsUsage>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hidden="1">
      <extLst>
        <ext xmlns:x15="http://schemas.microsoft.com/office/spreadsheetml/2010/11/main" uri="{B97F6D7D-B522-45F9-BDA1-12C45D357490}">
          <x15:cacheHierarchy aggregatedColumn="40"/>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54"/>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saveData="0" refreshedBy="Joana Rita Bentinho Silva" refreshedDate="45771.565245601851" backgroundQuery="1" createdVersion="8" refreshedVersion="6" minRefreshableVersion="3" recordCount="0" supportSubquery="1" supportAdvancedDrill="1">
  <cacheSource type="external" connectionId="1"/>
  <cacheFields count="6">
    <cacheField name="[Table4].[Âmbito].[Âmbito]" caption="Âmbito" numFmtId="0" hierarchy="36" level="1">
      <sharedItems containsSemiMixedTypes="0" containsNonDate="0" containsString="0"/>
    </cacheField>
    <cacheField name="[Table4].[Sub-âmbito].[Sub-âmbito]" caption="Sub-âmbito" numFmtId="0" hierarchy="37" level="1">
      <sharedItems containsSemiMixedTypes="0" containsNonDate="0" containsString="0"/>
    </cacheField>
    <cacheField name="[Table4].[Tipo de teste].[Tipo de teste]" caption="Tipo de teste" numFmtId="0" hierarchy="38" level="1">
      <sharedItems containsSemiMixedTypes="0" containsNonDate="0" containsString="0"/>
    </cacheField>
    <cacheField name="[Table4].[Tabela].[Tabela]" caption="Tabela" numFmtId="0" hierarchy="39" level="1">
      <sharedItems count="8">
        <s v="lt002_instrument"/>
        <s v="lt003_entity"/>
        <s v="lt004_protection"/>
        <s v="lt005_instr_ent"/>
        <s v="lt006_instr_prot"/>
        <s v="lt007_instr_activity"/>
        <s v="lt826_esg_sbsctr"/>
        <s v="lt827_mthd_usd_instrmnt"/>
      </sharedItems>
    </cacheField>
    <cacheField name="[Measures].[Count of Campo 4]" caption="Count of Campo 4" numFmtId="0" hierarchy="72" level="32767"/>
    <cacheField name="[Table4].[Status Atual].[Status Atual]" caption="Status Atual" numFmtId="0" hierarchy="41" level="1">
      <sharedItems count="5">
        <s v="0. Cancelado"/>
        <s v="1. Concluído"/>
        <s v="2.1 Em Teste"/>
        <s v="5. Em Correção"/>
        <s v="6. Em implementação"/>
      </sharedItems>
    </cacheField>
  </cacheFields>
  <cacheHierarchies count="79">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130"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130" unbalanced="0"/>
    <cacheHierarchy uniqueName="[Table1].[Query]" caption="Query" attribute="1" defaultMemberUniqueName="[Table1].[Query].[All]" allUniqueName="[Table1].[Query].[All]" dimensionUniqueName="[Table1]" displayFolder="" count="0" memberValueDatatype="130" unbalanced="0"/>
    <cacheHierarchy uniqueName="[Table1].[Aux]" caption="Aux" attribute="1" defaultMemberUniqueName="[Table1].[Aux].[All]" allUniqueName="[Table1].[Aux].[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0"/>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1"/>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2"/>
      </fieldsUsage>
    </cacheHierarchy>
    <cacheHierarchy uniqueName="[Table4].[Tabela]" caption="Tabela" attribute="1" defaultMemberUniqueName="[Table4].[Tabela].[All]" allUniqueName="[Table4].[Tabela].[All]" dimensionUniqueName="[Table4]" displayFolder="" count="2" memberValueDatatype="130" unbalanced="0">
      <fieldsUsage count="2">
        <fieldUsage x="-1"/>
        <fieldUsage x="3"/>
      </fieldsUsage>
    </cacheHierarchy>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5"/>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Fase]" caption="Fase" attribute="1" defaultMemberUniqueName="[Table4].[Fase].[All]" allUniqueName="[Table4].[Fase].[All]" dimensionUniqueName="[Table4]" displayFolder="" count="0" memberValueDatatype="130" unbalanced="0"/>
    <cacheHierarchy uniqueName="[Table4].[Observações - Especificações]" caption="Observações - Especificações" attribute="1" defaultMemberUniqueName="[Table4].[Observações - Especificações].[All]" allUniqueName="[Table4].[Observações - Especificações].[All]" dimensionUniqueName="[Table4]" displayFolder="" count="0" memberValueDatatype="130" unbalanced="0"/>
    <cacheHierarchy uniqueName="[Table4].[Observações - Testes]" caption="Observações - Testes" attribute="1" defaultMemberUniqueName="[Table4].[Observações - Testes].[All]" allUniqueName="[Table4].[Observações - Testes].[All]" dimensionUniqueName="[Table4]" displayFolder="" count="0" memberValueDatatype="130" unbalanced="0"/>
    <cacheHierarchy uniqueName="[Table4].[Data Final - Entrega IT]" caption="Data Final - Entrega IT" attribute="1" defaultMemberUniqueName="[Table4].[Data Final - Entrega IT].[All]" allUniqueName="[Table4].[Data Final - Entrega IT].[All]" dimensionUniqueName="[Table4]" displayFolder="" count="0" memberValueDatatype="130" unbalanced="0"/>
    <cacheHierarchy uniqueName="[Table4].[Data Final - Validação Testes]" caption="Data Final - Validação Testes" attribute="1" defaultMemberUniqueName="[Table4].[Data Final - Validação Testes].[All]" allUniqueName="[Table4].[Data Final - Validação Testes].[All]" dimensionUniqueName="[Table4]" displayFolder="" count="0" memberValueDatatype="130" unbalanced="0"/>
    <cacheHierarchy uniqueName="[Table4].[Tipologia Teste]" caption="Tipologia Teste" attribute="1" defaultMemberUniqueName="[Table4].[Tipologia Teste].[All]" allUniqueName="[Table4].[Tipologia Teste].[All]" dimensionUniqueName="[Table4]" displayFolder="" count="0" memberValueDatatype="130" unbalanced="0"/>
    <cacheHierarchy uniqueName="[Table4].[Observações - Testes sem visibilidade]" caption="Observações - Testes sem visibilidade" attribute="1" defaultMemberUniqueName="[Table4].[Observações - Testes sem visibilidade].[All]" allUniqueName="[Table4].[Observações - Testes sem visibilidade].[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Table4].[Projeto (Aux JB)]" caption="Projeto (Aux JB)" attribute="1" defaultMemberUniqueName="[Table4].[Projeto (Aux JB)].[All]" allUniqueName="[Table4].[Projeto (Aux JB)].[All]" dimensionUniqueName="[Table4]" displayFolder="" count="0" memberValueDatatype="130" unbalanced="0"/>
    <cacheHierarchy uniqueName="[Table4].[LT Âmbito]" caption="LT Âmbito" attribute="1" defaultMemberUniqueName="[Table4].[LT Âmbito].[All]" allUniqueName="[Table4].[LT Âmbito].[All]" dimensionUniqueName="[Table4]" displayFolder="" count="0" memberValueDatatype="130" unbalanced="0"/>
    <cacheHierarchy uniqueName="[Table4].[Âmbito Testes]" caption="Âmbito Testes" attribute="1" defaultMemberUniqueName="[Table4].[Âmbito Testes].[All]" allUniqueName="[Table4].[Âmbito Testes].[All]" dimensionUniqueName="[Table4]" displayFolder="" count="0" memberValueDatatype="130" unbalanced="0"/>
    <cacheHierarchy uniqueName="[Table4].[LT Âmbito- Aux]" caption="LT Âmbito- Aux" attribute="1" defaultMemberUniqueName="[Table4].[LT Âmbito- Aux].[All]" allUniqueName="[Table4].[LT Âmbito- Aux].[All]" dimensionUniqueName="[Table4]" displayFolder="" count="0" memberValueDatatype="130" unbalanced="0"/>
    <cacheHierarchy uniqueName="[Table4].[Plano]" caption="Plano" attribute="1" defaultMemberUniqueName="[Table4].[Plano].[All]" allUniqueName="[Table4].[Plano].[All]" dimensionUniqueName="[Table4]" displayFolder="" count="0" memberValueDatatype="130" unbalanced="0"/>
    <cacheHierarchy uniqueName="[Table4].[Owner]" caption="Owner" attribute="1" defaultMemberUniqueName="[Table4].[Owner].[All]" allUniqueName="[Table4].[Owner].[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oneField="1" hidden="1">
      <fieldsUsage count="1">
        <fieldUsage x="4"/>
      </fieldsUsage>
      <extLst>
        <ext xmlns:x15="http://schemas.microsoft.com/office/spreadsheetml/2010/11/main" uri="{B97F6D7D-B522-45F9-BDA1-12C45D357490}">
          <x15:cacheHierarchy aggregatedColumn="40"/>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54"/>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saveData="0" refreshedBy="Joana Rita Bentinho Silva" refreshedDate="45771.565249421299" backgroundQuery="1" createdVersion="8" refreshedVersion="6" minRefreshableVersion="3" recordCount="0" supportSubquery="1" supportAdvancedDrill="1">
  <cacheSource type="external" connectionId="1"/>
  <cacheFields count="5">
    <cacheField name="[Table4].[Âmbito].[Âmbito]" caption="Âmbito" numFmtId="0" hierarchy="36" level="1">
      <sharedItems containsSemiMixedTypes="0" containsNonDate="0" containsString="0"/>
    </cacheField>
    <cacheField name="[Table4].[Sub-âmbito].[Sub-âmbito]" caption="Sub-âmbito" numFmtId="0" hierarchy="37" level="1">
      <sharedItems containsSemiMixedTypes="0" containsNonDate="0" containsString="0"/>
    </cacheField>
    <cacheField name="[Table4].[Tipo de teste].[Tipo de teste]" caption="Tipo de teste" numFmtId="0" hierarchy="38" level="1">
      <sharedItems containsSemiMixedTypes="0" containsNonDate="0" containsString="0"/>
    </cacheField>
    <cacheField name="[Measures].[Count of Campo 4]" caption="Count of Campo 4" numFmtId="0" hierarchy="72" level="32767"/>
    <cacheField name="[Table4].[Status Atual].[Status Atual]" caption="Status Atual" numFmtId="0" hierarchy="41" level="1">
      <sharedItems count="5">
        <s v="0. Cancelado"/>
        <s v="1. Concluído"/>
        <s v="5. Em Correção"/>
        <s v="2.1 Em Teste" u="1"/>
        <s v="6. Em implementação" u="1"/>
      </sharedItems>
    </cacheField>
  </cacheFields>
  <cacheHierarchies count="79">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130"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130" unbalanced="0"/>
    <cacheHierarchy uniqueName="[Table1].[Query]" caption="Query" attribute="1" defaultMemberUniqueName="[Table1].[Query].[All]" allUniqueName="[Table1].[Query].[All]" dimensionUniqueName="[Table1]" displayFolder="" count="0" memberValueDatatype="130" unbalanced="0"/>
    <cacheHierarchy uniqueName="[Table1].[Aux]" caption="Aux" attribute="1" defaultMemberUniqueName="[Table1].[Aux].[All]" allUniqueName="[Table1].[Aux].[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0"/>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1"/>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2"/>
      </fieldsUsage>
    </cacheHierarchy>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4"/>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Fase]" caption="Fase" attribute="1" defaultMemberUniqueName="[Table4].[Fase].[All]" allUniqueName="[Table4].[Fase].[All]" dimensionUniqueName="[Table4]" displayFolder="" count="0" memberValueDatatype="130" unbalanced="0"/>
    <cacheHierarchy uniqueName="[Table4].[Observações - Especificações]" caption="Observações - Especificações" attribute="1" defaultMemberUniqueName="[Table4].[Observações - Especificações].[All]" allUniqueName="[Table4].[Observações - Especificações].[All]" dimensionUniqueName="[Table4]" displayFolder="" count="0" memberValueDatatype="130" unbalanced="0"/>
    <cacheHierarchy uniqueName="[Table4].[Observações - Testes]" caption="Observações - Testes" attribute="1" defaultMemberUniqueName="[Table4].[Observações - Testes].[All]" allUniqueName="[Table4].[Observações - Testes].[All]" dimensionUniqueName="[Table4]" displayFolder="" count="0" memberValueDatatype="130" unbalanced="0"/>
    <cacheHierarchy uniqueName="[Table4].[Data Final - Entrega IT]" caption="Data Final - Entrega IT" attribute="1" defaultMemberUniqueName="[Table4].[Data Final - Entrega IT].[All]" allUniqueName="[Table4].[Data Final - Entrega IT].[All]" dimensionUniqueName="[Table4]" displayFolder="" count="0" memberValueDatatype="130" unbalanced="0"/>
    <cacheHierarchy uniqueName="[Table4].[Data Final - Validação Testes]" caption="Data Final - Validação Testes" attribute="1" defaultMemberUniqueName="[Table4].[Data Final - Validação Testes].[All]" allUniqueName="[Table4].[Data Final - Validação Testes].[All]" dimensionUniqueName="[Table4]" displayFolder="" count="0" memberValueDatatype="130" unbalanced="0"/>
    <cacheHierarchy uniqueName="[Table4].[Tipologia Teste]" caption="Tipologia Teste" attribute="1" defaultMemberUniqueName="[Table4].[Tipologia Teste].[All]" allUniqueName="[Table4].[Tipologia Teste].[All]" dimensionUniqueName="[Table4]" displayFolder="" count="0" memberValueDatatype="130" unbalanced="0"/>
    <cacheHierarchy uniqueName="[Table4].[Observações - Testes sem visibilidade]" caption="Observações - Testes sem visibilidade" attribute="1" defaultMemberUniqueName="[Table4].[Observações - Testes sem visibilidade].[All]" allUniqueName="[Table4].[Observações - Testes sem visibilidade].[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Table4].[Projeto (Aux JB)]" caption="Projeto (Aux JB)" attribute="1" defaultMemberUniqueName="[Table4].[Projeto (Aux JB)].[All]" allUniqueName="[Table4].[Projeto (Aux JB)].[All]" dimensionUniqueName="[Table4]" displayFolder="" count="0" memberValueDatatype="130" unbalanced="0"/>
    <cacheHierarchy uniqueName="[Table4].[LT Âmbito]" caption="LT Âmbito" attribute="1" defaultMemberUniqueName="[Table4].[LT Âmbito].[All]" allUniqueName="[Table4].[LT Âmbito].[All]" dimensionUniqueName="[Table4]" displayFolder="" count="0" memberValueDatatype="130" unbalanced="0"/>
    <cacheHierarchy uniqueName="[Table4].[Âmbito Testes]" caption="Âmbito Testes" attribute="1" defaultMemberUniqueName="[Table4].[Âmbito Testes].[All]" allUniqueName="[Table4].[Âmbito Testes].[All]" dimensionUniqueName="[Table4]" displayFolder="" count="0" memberValueDatatype="130" unbalanced="0"/>
    <cacheHierarchy uniqueName="[Table4].[LT Âmbito- Aux]" caption="LT Âmbito- Aux" attribute="1" defaultMemberUniqueName="[Table4].[LT Âmbito- Aux].[All]" allUniqueName="[Table4].[LT Âmbito- Aux].[All]" dimensionUniqueName="[Table4]" displayFolder="" count="0" memberValueDatatype="130" unbalanced="0"/>
    <cacheHierarchy uniqueName="[Table4].[Plano]" caption="Plano" attribute="1" defaultMemberUniqueName="[Table4].[Plano].[All]" allUniqueName="[Table4].[Plano].[All]" dimensionUniqueName="[Table4]" displayFolder="" count="0" memberValueDatatype="130" unbalanced="0"/>
    <cacheHierarchy uniqueName="[Table4].[Owner]" caption="Owner" attribute="1" defaultMemberUniqueName="[Table4].[Owner].[All]" allUniqueName="[Table4].[Owner].[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oneField="1" hidden="1">
      <fieldsUsage count="1">
        <fieldUsage x="3"/>
      </fieldsUsage>
      <extLst>
        <ext xmlns:x15="http://schemas.microsoft.com/office/spreadsheetml/2010/11/main" uri="{B97F6D7D-B522-45F9-BDA1-12C45D357490}">
          <x15:cacheHierarchy aggregatedColumn="40"/>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54"/>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saveData="0" refreshedBy="Joana Rita Bentinho Silva" refreshedDate="45771.565252199071" backgroundQuery="1" createdVersion="8" refreshedVersion="6" minRefreshableVersion="3" recordCount="0" supportSubquery="1" supportAdvancedDrill="1">
  <cacheSource type="external" connectionId="1"/>
  <cacheFields count="5">
    <cacheField name="[Table4].[Âmbito].[Âmbito]" caption="Âmbito" numFmtId="0" hierarchy="36" level="1">
      <sharedItems containsSemiMixedTypes="0" containsNonDate="0" containsString="0"/>
    </cacheField>
    <cacheField name="[Table4].[Sub-âmbito].[Sub-âmbito]" caption="Sub-âmbito" numFmtId="0" hierarchy="37" level="1">
      <sharedItems containsSemiMixedTypes="0" containsNonDate="0" containsString="0"/>
    </cacheField>
    <cacheField name="[Table4].[Tipo de teste].[Tipo de teste]" caption="Tipo de teste" numFmtId="0" hierarchy="38" level="1">
      <sharedItems containsSemiMixedTypes="0" containsNonDate="0" containsString="0"/>
    </cacheField>
    <cacheField name="[Table4].[Status Atual].[Status Atual]" caption="Status Atual" numFmtId="0" hierarchy="41" level="1">
      <sharedItems count="5">
        <s v="0. Cancelado"/>
        <s v="1. Concluído"/>
        <s v="2.1 Em Teste"/>
        <s v="5. Em Correção"/>
        <s v="6. Em implementação"/>
      </sharedItems>
    </cacheField>
    <cacheField name="[Measures].[Count of Campo 4]" caption="Count of Campo 4" numFmtId="0" hierarchy="72" level="32767"/>
  </cacheFields>
  <cacheHierarchies count="79">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130"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130" unbalanced="0"/>
    <cacheHierarchy uniqueName="[Table1].[Query]" caption="Query" attribute="1" defaultMemberUniqueName="[Table1].[Query].[All]" allUniqueName="[Table1].[Query].[All]" dimensionUniqueName="[Table1]" displayFolder="" count="0" memberValueDatatype="130" unbalanced="0"/>
    <cacheHierarchy uniqueName="[Table1].[Aux]" caption="Aux" attribute="1" defaultMemberUniqueName="[Table1].[Aux].[All]" allUniqueName="[Table1].[Aux].[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0"/>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1"/>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2"/>
      </fieldsUsage>
    </cacheHierarchy>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3"/>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Fase]" caption="Fase" attribute="1" defaultMemberUniqueName="[Table4].[Fase].[All]" allUniqueName="[Table4].[Fase].[All]" dimensionUniqueName="[Table4]" displayFolder="" count="0" memberValueDatatype="130" unbalanced="0"/>
    <cacheHierarchy uniqueName="[Table4].[Observações - Especificações]" caption="Observações - Especificações" attribute="1" defaultMemberUniqueName="[Table4].[Observações - Especificações].[All]" allUniqueName="[Table4].[Observações - Especificações].[All]" dimensionUniqueName="[Table4]" displayFolder="" count="0" memberValueDatatype="130" unbalanced="0"/>
    <cacheHierarchy uniqueName="[Table4].[Observações - Testes]" caption="Observações - Testes" attribute="1" defaultMemberUniqueName="[Table4].[Observações - Testes].[All]" allUniqueName="[Table4].[Observações - Testes].[All]" dimensionUniqueName="[Table4]" displayFolder="" count="0" memberValueDatatype="130" unbalanced="0"/>
    <cacheHierarchy uniqueName="[Table4].[Data Final - Entrega IT]" caption="Data Final - Entrega IT" attribute="1" defaultMemberUniqueName="[Table4].[Data Final - Entrega IT].[All]" allUniqueName="[Table4].[Data Final - Entrega IT].[All]" dimensionUniqueName="[Table4]" displayFolder="" count="0" memberValueDatatype="130" unbalanced="0"/>
    <cacheHierarchy uniqueName="[Table4].[Data Final - Validação Testes]" caption="Data Final - Validação Testes" attribute="1" defaultMemberUniqueName="[Table4].[Data Final - Validação Testes].[All]" allUniqueName="[Table4].[Data Final - Validação Testes].[All]" dimensionUniqueName="[Table4]" displayFolder="" count="0" memberValueDatatype="130" unbalanced="0"/>
    <cacheHierarchy uniqueName="[Table4].[Tipologia Teste]" caption="Tipologia Teste" attribute="1" defaultMemberUniqueName="[Table4].[Tipologia Teste].[All]" allUniqueName="[Table4].[Tipologia Teste].[All]" dimensionUniqueName="[Table4]" displayFolder="" count="0" memberValueDatatype="130" unbalanced="0"/>
    <cacheHierarchy uniqueName="[Table4].[Observações - Testes sem visibilidade]" caption="Observações - Testes sem visibilidade" attribute="1" defaultMemberUniqueName="[Table4].[Observações - Testes sem visibilidade].[All]" allUniqueName="[Table4].[Observações - Testes sem visibilidade].[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Table4].[Projeto (Aux JB)]" caption="Projeto (Aux JB)" attribute="1" defaultMemberUniqueName="[Table4].[Projeto (Aux JB)].[All]" allUniqueName="[Table4].[Projeto (Aux JB)].[All]" dimensionUniqueName="[Table4]" displayFolder="" count="0" memberValueDatatype="130" unbalanced="0"/>
    <cacheHierarchy uniqueName="[Table4].[LT Âmbito]" caption="LT Âmbito" attribute="1" defaultMemberUniqueName="[Table4].[LT Âmbito].[All]" allUniqueName="[Table4].[LT Âmbito].[All]" dimensionUniqueName="[Table4]" displayFolder="" count="0" memberValueDatatype="130" unbalanced="0"/>
    <cacheHierarchy uniqueName="[Table4].[Âmbito Testes]" caption="Âmbito Testes" attribute="1" defaultMemberUniqueName="[Table4].[Âmbito Testes].[All]" allUniqueName="[Table4].[Âmbito Testes].[All]" dimensionUniqueName="[Table4]" displayFolder="" count="0" memberValueDatatype="130" unbalanced="0"/>
    <cacheHierarchy uniqueName="[Table4].[LT Âmbito- Aux]" caption="LT Âmbito- Aux" attribute="1" defaultMemberUniqueName="[Table4].[LT Âmbito- Aux].[All]" allUniqueName="[Table4].[LT Âmbito- Aux].[All]" dimensionUniqueName="[Table4]" displayFolder="" count="0" memberValueDatatype="130" unbalanced="0"/>
    <cacheHierarchy uniqueName="[Table4].[Plano]" caption="Plano" attribute="1" defaultMemberUniqueName="[Table4].[Plano].[All]" allUniqueName="[Table4].[Plano].[All]" dimensionUniqueName="[Table4]" displayFolder="" count="0" memberValueDatatype="130" unbalanced="0"/>
    <cacheHierarchy uniqueName="[Table4].[Owner]" caption="Owner" attribute="1" defaultMemberUniqueName="[Table4].[Owner].[All]" allUniqueName="[Table4].[Owner].[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oneField="1" hidden="1">
      <fieldsUsage count="1">
        <fieldUsage x="4"/>
      </fieldsUsage>
      <extLst>
        <ext xmlns:x15="http://schemas.microsoft.com/office/spreadsheetml/2010/11/main" uri="{B97F6D7D-B522-45F9-BDA1-12C45D357490}">
          <x15:cacheHierarchy aggregatedColumn="40"/>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54"/>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saveData="0" refreshedBy="Joana Rita Bentinho Silva" refreshedDate="45771.565255092595" backgroundQuery="1" createdVersion="8" refreshedVersion="6" minRefreshableVersion="3" recordCount="0" supportSubquery="1" supportAdvancedDrill="1">
  <cacheSource type="external" connectionId="1"/>
  <cacheFields count="6">
    <cacheField name="[Table4].[Âmbito].[Âmbito]" caption="Âmbito" numFmtId="0" hierarchy="36" level="1">
      <sharedItems containsSemiMixedTypes="0" containsNonDate="0" containsString="0"/>
    </cacheField>
    <cacheField name="[Table4].[Sub-âmbito].[Sub-âmbito]" caption="Sub-âmbito" numFmtId="0" hierarchy="37" level="1">
      <sharedItems containsSemiMixedTypes="0" containsNonDate="0" containsString="0"/>
    </cacheField>
    <cacheField name="[Table4].[Tipo de teste].[Tipo de teste]" caption="Tipo de teste" numFmtId="0" hierarchy="38" level="1">
      <sharedItems containsSemiMixedTypes="0" containsNonDate="0" containsString="0"/>
    </cacheField>
    <cacheField name="[Table4].[Tabela].[Tabela]" caption="Tabela" numFmtId="0" hierarchy="39" level="1">
      <sharedItems count="6">
        <s v="ENERGY_CERTIFICATE_EST_INPUT"/>
        <s v="PROCESS"/>
        <s v="PROCESS_PROPERTY_REL"/>
        <s v="PROPERTY"/>
        <s v="PROPERTY_ENERGY_CERTIFICATE"/>
        <s v="RESPONSIBILITY_PROCESS_REL"/>
      </sharedItems>
    </cacheField>
    <cacheField name="[Measures].[Count of Campo 4]" caption="Count of Campo 4" numFmtId="0" hierarchy="72" level="32767"/>
    <cacheField name="[Table4].[Status Atual].[Status Atual]" caption="Status Atual" numFmtId="0" hierarchy="41" level="1">
      <sharedItems count="3">
        <s v="0. Cancelado"/>
        <s v="1. Concluído"/>
        <s v="6. Em implementação" u="1"/>
      </sharedItems>
    </cacheField>
  </cacheFields>
  <cacheHierarchies count="79">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130"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130" unbalanced="0"/>
    <cacheHierarchy uniqueName="[Table1].[Query]" caption="Query" attribute="1" defaultMemberUniqueName="[Table1].[Query].[All]" allUniqueName="[Table1].[Query].[All]" dimensionUniqueName="[Table1]" displayFolder="" count="0" memberValueDatatype="130" unbalanced="0"/>
    <cacheHierarchy uniqueName="[Table1].[Aux]" caption="Aux" attribute="1" defaultMemberUniqueName="[Table1].[Aux].[All]" allUniqueName="[Table1].[Aux].[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0"/>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1"/>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2"/>
      </fieldsUsage>
    </cacheHierarchy>
    <cacheHierarchy uniqueName="[Table4].[Tabela]" caption="Tabela" attribute="1" defaultMemberUniqueName="[Table4].[Tabela].[All]" allUniqueName="[Table4].[Tabela].[All]" dimensionUniqueName="[Table4]" displayFolder="" count="2" memberValueDatatype="130" unbalanced="0">
      <fieldsUsage count="2">
        <fieldUsage x="-1"/>
        <fieldUsage x="3"/>
      </fieldsUsage>
    </cacheHierarchy>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5"/>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Fase]" caption="Fase" attribute="1" defaultMemberUniqueName="[Table4].[Fase].[All]" allUniqueName="[Table4].[Fase].[All]" dimensionUniqueName="[Table4]" displayFolder="" count="0" memberValueDatatype="130" unbalanced="0"/>
    <cacheHierarchy uniqueName="[Table4].[Observações - Especificações]" caption="Observações - Especificações" attribute="1" defaultMemberUniqueName="[Table4].[Observações - Especificações].[All]" allUniqueName="[Table4].[Observações - Especificações].[All]" dimensionUniqueName="[Table4]" displayFolder="" count="0" memberValueDatatype="130" unbalanced="0"/>
    <cacheHierarchy uniqueName="[Table4].[Observações - Testes]" caption="Observações - Testes" attribute="1" defaultMemberUniqueName="[Table4].[Observações - Testes].[All]" allUniqueName="[Table4].[Observações - Testes].[All]" dimensionUniqueName="[Table4]" displayFolder="" count="0" memberValueDatatype="130" unbalanced="0"/>
    <cacheHierarchy uniqueName="[Table4].[Data Final - Entrega IT]" caption="Data Final - Entrega IT" attribute="1" defaultMemberUniqueName="[Table4].[Data Final - Entrega IT].[All]" allUniqueName="[Table4].[Data Final - Entrega IT].[All]" dimensionUniqueName="[Table4]" displayFolder="" count="0" memberValueDatatype="130" unbalanced="0"/>
    <cacheHierarchy uniqueName="[Table4].[Data Final - Validação Testes]" caption="Data Final - Validação Testes" attribute="1" defaultMemberUniqueName="[Table4].[Data Final - Validação Testes].[All]" allUniqueName="[Table4].[Data Final - Validação Testes].[All]" dimensionUniqueName="[Table4]" displayFolder="" count="0" memberValueDatatype="130" unbalanced="0"/>
    <cacheHierarchy uniqueName="[Table4].[Tipologia Teste]" caption="Tipologia Teste" attribute="1" defaultMemberUniqueName="[Table4].[Tipologia Teste].[All]" allUniqueName="[Table4].[Tipologia Teste].[All]" dimensionUniqueName="[Table4]" displayFolder="" count="0" memberValueDatatype="130" unbalanced="0"/>
    <cacheHierarchy uniqueName="[Table4].[Observações - Testes sem visibilidade]" caption="Observações - Testes sem visibilidade" attribute="1" defaultMemberUniqueName="[Table4].[Observações - Testes sem visibilidade].[All]" allUniqueName="[Table4].[Observações - Testes sem visibilidade].[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Table4].[Projeto (Aux JB)]" caption="Projeto (Aux JB)" attribute="1" defaultMemberUniqueName="[Table4].[Projeto (Aux JB)].[All]" allUniqueName="[Table4].[Projeto (Aux JB)].[All]" dimensionUniqueName="[Table4]" displayFolder="" count="0" memberValueDatatype="130" unbalanced="0"/>
    <cacheHierarchy uniqueName="[Table4].[LT Âmbito]" caption="LT Âmbito" attribute="1" defaultMemberUniqueName="[Table4].[LT Âmbito].[All]" allUniqueName="[Table4].[LT Âmbito].[All]" dimensionUniqueName="[Table4]" displayFolder="" count="0" memberValueDatatype="130" unbalanced="0"/>
    <cacheHierarchy uniqueName="[Table4].[Âmbito Testes]" caption="Âmbito Testes" attribute="1" defaultMemberUniqueName="[Table4].[Âmbito Testes].[All]" allUniqueName="[Table4].[Âmbito Testes].[All]" dimensionUniqueName="[Table4]" displayFolder="" count="0" memberValueDatatype="130" unbalanced="0"/>
    <cacheHierarchy uniqueName="[Table4].[LT Âmbito- Aux]" caption="LT Âmbito- Aux" attribute="1" defaultMemberUniqueName="[Table4].[LT Âmbito- Aux].[All]" allUniqueName="[Table4].[LT Âmbito- Aux].[All]" dimensionUniqueName="[Table4]" displayFolder="" count="0" memberValueDatatype="130" unbalanced="0"/>
    <cacheHierarchy uniqueName="[Table4].[Plano]" caption="Plano" attribute="1" defaultMemberUniqueName="[Table4].[Plano].[All]" allUniqueName="[Table4].[Plano].[All]" dimensionUniqueName="[Table4]" displayFolder="" count="0" memberValueDatatype="130" unbalanced="0"/>
    <cacheHierarchy uniqueName="[Table4].[Owner]" caption="Owner" attribute="1" defaultMemberUniqueName="[Table4].[Owner].[All]" allUniqueName="[Table4].[Owner].[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oneField="1" hidden="1">
      <fieldsUsage count="1">
        <fieldUsage x="4"/>
      </fieldsUsage>
      <extLst>
        <ext xmlns:x15="http://schemas.microsoft.com/office/spreadsheetml/2010/11/main" uri="{B97F6D7D-B522-45F9-BDA1-12C45D357490}">
          <x15:cacheHierarchy aggregatedColumn="40"/>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54"/>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saveData="0" refreshedBy="Joana Rita Bentinho Silva" refreshedDate="45771.565257638889" backgroundQuery="1" createdVersion="8" refreshedVersion="6" minRefreshableVersion="3" recordCount="0" supportSubquery="1" supportAdvancedDrill="1">
  <cacheSource type="external" connectionId="1"/>
  <cacheFields count="7">
    <cacheField name="[Range].[Sub-âmbito].[Sub-âmbito]" caption="Sub-âmbito" numFmtId="0" hierarchy="1" level="1">
      <sharedItems containsSemiMixedTypes="0" containsNonDate="0" containsString="0"/>
    </cacheField>
    <cacheField name="[Range].[Tipo de teste].[Tipo de teste]" caption="Tipo de teste" numFmtId="0" hierarchy="2" level="1">
      <sharedItems containsSemiMixedTypes="0" containsNonDate="0" containsString="0"/>
    </cacheField>
    <cacheField name="[Table4].[Âmbito].[Âmbito]" caption="Âmbito" numFmtId="0" hierarchy="36" level="1">
      <sharedItems containsSemiMixedTypes="0" containsNonDate="0" containsString="0"/>
    </cacheField>
    <cacheField name="[Table4].[Sub-âmbito].[Sub-âmbito]" caption="Sub-âmbito" numFmtId="0" hierarchy="37" level="1">
      <sharedItems containsSemiMixedTypes="0" containsNonDate="0" containsString="0"/>
    </cacheField>
    <cacheField name="[Table4].[Tipo de teste].[Tipo de teste]" caption="Tipo de teste" numFmtId="0" hierarchy="38" level="1">
      <sharedItems containsSemiMixedTypes="0" containsNonDate="0" containsString="0"/>
    </cacheField>
    <cacheField name="[Measures].[Count of Campo 4]" caption="Count of Campo 4" numFmtId="0" hierarchy="72" level="32767"/>
    <cacheField name="[Table4].[Status Atual].[Status Atual]" caption="Status Atual" numFmtId="0" hierarchy="41" level="1">
      <sharedItems count="3">
        <s v="0. Cancelado"/>
        <s v="1. Concluído"/>
        <s v="6. Em implementação" u="1"/>
      </sharedItems>
    </cacheField>
  </cacheFields>
  <cacheHierarchies count="79">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2" memberValueDatatype="130" unbalanced="0">
      <fieldsUsage count="2">
        <fieldUsage x="-1"/>
        <fieldUsage x="0"/>
      </fieldsUsage>
    </cacheHierarchy>
    <cacheHierarchy uniqueName="[Range].[Tipo de teste]" caption="Tipo de teste" attribute="1" defaultMemberUniqueName="[Range].[Tipo de teste].[All]" allUniqueName="[Range].[Tipo de teste].[All]" dimensionUniqueName="[Range]" displayFolder="" count="2" memberValueDatatype="130" unbalanced="0">
      <fieldsUsage count="2">
        <fieldUsage x="-1"/>
        <fieldUsage x="1"/>
      </fieldsUsage>
    </cacheHierarchy>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130"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130" unbalanced="0"/>
    <cacheHierarchy uniqueName="[Table1].[Query]" caption="Query" attribute="1" defaultMemberUniqueName="[Table1].[Query].[All]" allUniqueName="[Table1].[Query].[All]" dimensionUniqueName="[Table1]" displayFolder="" count="0" memberValueDatatype="130" unbalanced="0"/>
    <cacheHierarchy uniqueName="[Table1].[Aux]" caption="Aux" attribute="1" defaultMemberUniqueName="[Table1].[Aux].[All]" allUniqueName="[Table1].[Aux].[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2"/>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3"/>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4"/>
      </fieldsUsage>
    </cacheHierarchy>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6"/>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Fase]" caption="Fase" attribute="1" defaultMemberUniqueName="[Table4].[Fase].[All]" allUniqueName="[Table4].[Fase].[All]" dimensionUniqueName="[Table4]" displayFolder="" count="0" memberValueDatatype="130" unbalanced="0"/>
    <cacheHierarchy uniqueName="[Table4].[Observações - Especificações]" caption="Observações - Especificações" attribute="1" defaultMemberUniqueName="[Table4].[Observações - Especificações].[All]" allUniqueName="[Table4].[Observações - Especificações].[All]" dimensionUniqueName="[Table4]" displayFolder="" count="0" memberValueDatatype="130" unbalanced="0"/>
    <cacheHierarchy uniqueName="[Table4].[Observações - Testes]" caption="Observações - Testes" attribute="1" defaultMemberUniqueName="[Table4].[Observações - Testes].[All]" allUniqueName="[Table4].[Observações - Testes].[All]" dimensionUniqueName="[Table4]" displayFolder="" count="0" memberValueDatatype="130" unbalanced="0"/>
    <cacheHierarchy uniqueName="[Table4].[Data Final - Entrega IT]" caption="Data Final - Entrega IT" attribute="1" defaultMemberUniqueName="[Table4].[Data Final - Entrega IT].[All]" allUniqueName="[Table4].[Data Final - Entrega IT].[All]" dimensionUniqueName="[Table4]" displayFolder="" count="0" memberValueDatatype="130" unbalanced="0"/>
    <cacheHierarchy uniqueName="[Table4].[Data Final - Validação Testes]" caption="Data Final - Validação Testes" attribute="1" defaultMemberUniqueName="[Table4].[Data Final - Validação Testes].[All]" allUniqueName="[Table4].[Data Final - Validação Testes].[All]" dimensionUniqueName="[Table4]" displayFolder="" count="0" memberValueDatatype="130" unbalanced="0"/>
    <cacheHierarchy uniqueName="[Table4].[Tipologia Teste]" caption="Tipologia Teste" attribute="1" defaultMemberUniqueName="[Table4].[Tipologia Teste].[All]" allUniqueName="[Table4].[Tipologia Teste].[All]" dimensionUniqueName="[Table4]" displayFolder="" count="0" memberValueDatatype="130" unbalanced="0"/>
    <cacheHierarchy uniqueName="[Table4].[Observações - Testes sem visibilidade]" caption="Observações - Testes sem visibilidade" attribute="1" defaultMemberUniqueName="[Table4].[Observações - Testes sem visibilidade].[All]" allUniqueName="[Table4].[Observações - Testes sem visibilidade].[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Table4].[Projeto (Aux JB)]" caption="Projeto (Aux JB)" attribute="1" defaultMemberUniqueName="[Table4].[Projeto (Aux JB)].[All]" allUniqueName="[Table4].[Projeto (Aux JB)].[All]" dimensionUniqueName="[Table4]" displayFolder="" count="0" memberValueDatatype="130" unbalanced="0"/>
    <cacheHierarchy uniqueName="[Table4].[LT Âmbito]" caption="LT Âmbito" attribute="1" defaultMemberUniqueName="[Table4].[LT Âmbito].[All]" allUniqueName="[Table4].[LT Âmbito].[All]" dimensionUniqueName="[Table4]" displayFolder="" count="0" memberValueDatatype="130" unbalanced="0"/>
    <cacheHierarchy uniqueName="[Table4].[Âmbito Testes]" caption="Âmbito Testes" attribute="1" defaultMemberUniqueName="[Table4].[Âmbito Testes].[All]" allUniqueName="[Table4].[Âmbito Testes].[All]" dimensionUniqueName="[Table4]" displayFolder="" count="0" memberValueDatatype="130" unbalanced="0"/>
    <cacheHierarchy uniqueName="[Table4].[LT Âmbito- Aux]" caption="LT Âmbito- Aux" attribute="1" defaultMemberUniqueName="[Table4].[LT Âmbito- Aux].[All]" allUniqueName="[Table4].[LT Âmbito- Aux].[All]" dimensionUniqueName="[Table4]" displayFolder="" count="0" memberValueDatatype="130" unbalanced="0"/>
    <cacheHierarchy uniqueName="[Table4].[Plano]" caption="Plano" attribute="1" defaultMemberUniqueName="[Table4].[Plano].[All]" allUniqueName="[Table4].[Plano].[All]" dimensionUniqueName="[Table4]" displayFolder="" count="0" memberValueDatatype="130" unbalanced="0"/>
    <cacheHierarchy uniqueName="[Table4].[Owner]" caption="Owner" attribute="1" defaultMemberUniqueName="[Table4].[Owner].[All]" allUniqueName="[Table4].[Owner].[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oneField="1" hidden="1">
      <fieldsUsage count="1">
        <fieldUsage x="5"/>
      </fieldsUsage>
      <extLst>
        <ext xmlns:x15="http://schemas.microsoft.com/office/spreadsheetml/2010/11/main" uri="{B97F6D7D-B522-45F9-BDA1-12C45D357490}">
          <x15:cacheHierarchy aggregatedColumn="40"/>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54"/>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saveData="0" refreshedBy="Joana Rita Bentinho Silva" refreshedDate="45771.56526087963" backgroundQuery="1" createdVersion="8" refreshedVersion="6" minRefreshableVersion="3" recordCount="0" supportSubquery="1" supportAdvancedDrill="1">
  <cacheSource type="external" connectionId="1"/>
  <cacheFields count="6">
    <cacheField name="[Table4].[Âmbito].[Âmbito]" caption="Âmbito" numFmtId="0" hierarchy="36" level="1">
      <sharedItems containsSemiMixedTypes="0" containsNonDate="0" containsString="0"/>
    </cacheField>
    <cacheField name="[Table4].[Sub-âmbito].[Sub-âmbito]" caption="Sub-âmbito" numFmtId="0" hierarchy="37" level="1">
      <sharedItems containsSemiMixedTypes="0" containsNonDate="0" containsString="0"/>
    </cacheField>
    <cacheField name="[Table4].[Tipo de teste].[Tipo de teste]" caption="Tipo de teste" numFmtId="0" hierarchy="38" level="1">
      <sharedItems containsSemiMixedTypes="0" containsNonDate="0" containsString="0"/>
    </cacheField>
    <cacheField name="[Table4].[Tabela].[Tabela]" caption="Tabela" numFmtId="0" hierarchy="39" level="1">
      <sharedItems count="15">
        <s v="modesg_inp_empr_excl_paris"/>
        <s v="modesg_inp_emss_bens_imoveis"/>
        <s v="modesg_inp_emss_nace"/>
        <s v="modesg_inp_emss_scib"/>
        <s v="modesg_inp_emss_vcls"/>
        <s v="modesg_inp_km_medios_emss_vcls"/>
        <s v="modesg_inp_nfrd_alinhamento_tax"/>
        <s v="modesg_inp_project_finance"/>
        <s v="modesg_inp_risco_fisico"/>
        <s v="modesg_inp_risco_fisico_zipcode"/>
        <s v="modesg_out_bens_imoveis"/>
        <s v="modesg_out_empr_info_nfin"/>
        <s v="modesg_out_emss_vcls"/>
        <s v="modesg_out_sfics_taxon_europeia"/>
        <s v="modesg_param_sfics_taxon_europeia"/>
      </sharedItems>
    </cacheField>
    <cacheField name="[Measures].[Count of Campo 4]" caption="Count of Campo 4" numFmtId="0" hierarchy="72" level="32767"/>
    <cacheField name="[Table4].[Status Atual].[Status Atual]" caption="Status Atual" numFmtId="0" hierarchy="41" level="1">
      <sharedItems count="5">
        <s v="0. Cancelado"/>
        <s v="1. Concluído"/>
        <s v="5. Em Correção"/>
        <s v="2.1 Em Teste" u="1"/>
        <s v="6. Em implementação" u="1"/>
      </sharedItems>
    </cacheField>
  </cacheFields>
  <cacheHierarchies count="79">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130"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130" unbalanced="0"/>
    <cacheHierarchy uniqueName="[Table1].[Query]" caption="Query" attribute="1" defaultMemberUniqueName="[Table1].[Query].[All]" allUniqueName="[Table1].[Query].[All]" dimensionUniqueName="[Table1]" displayFolder="" count="0" memberValueDatatype="130" unbalanced="0"/>
    <cacheHierarchy uniqueName="[Table1].[Aux]" caption="Aux" attribute="1" defaultMemberUniqueName="[Table1].[Aux].[All]" allUniqueName="[Table1].[Aux].[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0"/>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1"/>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2"/>
      </fieldsUsage>
    </cacheHierarchy>
    <cacheHierarchy uniqueName="[Table4].[Tabela]" caption="Tabela" attribute="1" defaultMemberUniqueName="[Table4].[Tabela].[All]" allUniqueName="[Table4].[Tabela].[All]" dimensionUniqueName="[Table4]" displayFolder="" count="2" memberValueDatatype="130" unbalanced="0">
      <fieldsUsage count="2">
        <fieldUsage x="-1"/>
        <fieldUsage x="3"/>
      </fieldsUsage>
    </cacheHierarchy>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5"/>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Fase]" caption="Fase" attribute="1" defaultMemberUniqueName="[Table4].[Fase].[All]" allUniqueName="[Table4].[Fase].[All]" dimensionUniqueName="[Table4]" displayFolder="" count="0" memberValueDatatype="130" unbalanced="0"/>
    <cacheHierarchy uniqueName="[Table4].[Observações - Especificações]" caption="Observações - Especificações" attribute="1" defaultMemberUniqueName="[Table4].[Observações - Especificações].[All]" allUniqueName="[Table4].[Observações - Especificações].[All]" dimensionUniqueName="[Table4]" displayFolder="" count="0" memberValueDatatype="130" unbalanced="0"/>
    <cacheHierarchy uniqueName="[Table4].[Observações - Testes]" caption="Observações - Testes" attribute="1" defaultMemberUniqueName="[Table4].[Observações - Testes].[All]" allUniqueName="[Table4].[Observações - Testes].[All]" dimensionUniqueName="[Table4]" displayFolder="" count="0" memberValueDatatype="130" unbalanced="0"/>
    <cacheHierarchy uniqueName="[Table4].[Data Final - Entrega IT]" caption="Data Final - Entrega IT" attribute="1" defaultMemberUniqueName="[Table4].[Data Final - Entrega IT].[All]" allUniqueName="[Table4].[Data Final - Entrega IT].[All]" dimensionUniqueName="[Table4]" displayFolder="" count="0" memberValueDatatype="130" unbalanced="0"/>
    <cacheHierarchy uniqueName="[Table4].[Data Final - Validação Testes]" caption="Data Final - Validação Testes" attribute="1" defaultMemberUniqueName="[Table4].[Data Final - Validação Testes].[All]" allUniqueName="[Table4].[Data Final - Validação Testes].[All]" dimensionUniqueName="[Table4]" displayFolder="" count="0" memberValueDatatype="130" unbalanced="0"/>
    <cacheHierarchy uniqueName="[Table4].[Tipologia Teste]" caption="Tipologia Teste" attribute="1" defaultMemberUniqueName="[Table4].[Tipologia Teste].[All]" allUniqueName="[Table4].[Tipologia Teste].[All]" dimensionUniqueName="[Table4]" displayFolder="" count="0" memberValueDatatype="130" unbalanced="0"/>
    <cacheHierarchy uniqueName="[Table4].[Observações - Testes sem visibilidade]" caption="Observações - Testes sem visibilidade" attribute="1" defaultMemberUniqueName="[Table4].[Observações - Testes sem visibilidade].[All]" allUniqueName="[Table4].[Observações - Testes sem visibilidade].[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Table4].[Projeto (Aux JB)]" caption="Projeto (Aux JB)" attribute="1" defaultMemberUniqueName="[Table4].[Projeto (Aux JB)].[All]" allUniqueName="[Table4].[Projeto (Aux JB)].[All]" dimensionUniqueName="[Table4]" displayFolder="" count="0" memberValueDatatype="130" unbalanced="0"/>
    <cacheHierarchy uniqueName="[Table4].[LT Âmbito]" caption="LT Âmbito" attribute="1" defaultMemberUniqueName="[Table4].[LT Âmbito].[All]" allUniqueName="[Table4].[LT Âmbito].[All]" dimensionUniqueName="[Table4]" displayFolder="" count="0" memberValueDatatype="130" unbalanced="0"/>
    <cacheHierarchy uniqueName="[Table4].[Âmbito Testes]" caption="Âmbito Testes" attribute="1" defaultMemberUniqueName="[Table4].[Âmbito Testes].[All]" allUniqueName="[Table4].[Âmbito Testes].[All]" dimensionUniqueName="[Table4]" displayFolder="" count="0" memberValueDatatype="130" unbalanced="0"/>
    <cacheHierarchy uniqueName="[Table4].[LT Âmbito- Aux]" caption="LT Âmbito- Aux" attribute="1" defaultMemberUniqueName="[Table4].[LT Âmbito- Aux].[All]" allUniqueName="[Table4].[LT Âmbito- Aux].[All]" dimensionUniqueName="[Table4]" displayFolder="" count="0" memberValueDatatype="130" unbalanced="0"/>
    <cacheHierarchy uniqueName="[Table4].[Plano]" caption="Plano" attribute="1" defaultMemberUniqueName="[Table4].[Plano].[All]" allUniqueName="[Table4].[Plano].[All]" dimensionUniqueName="[Table4]" displayFolder="" count="0" memberValueDatatype="130" unbalanced="0"/>
    <cacheHierarchy uniqueName="[Table4].[Owner]" caption="Owner" attribute="1" defaultMemberUniqueName="[Table4].[Owner].[All]" allUniqueName="[Table4].[Owner].[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oneField="1" hidden="1">
      <fieldsUsage count="1">
        <fieldUsage x="4"/>
      </fieldsUsage>
      <extLst>
        <ext xmlns:x15="http://schemas.microsoft.com/office/spreadsheetml/2010/11/main" uri="{B97F6D7D-B522-45F9-BDA1-12C45D357490}">
          <x15:cacheHierarchy aggregatedColumn="40"/>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54"/>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r:id="rId1" refreshedBy="Joana Rita Bentinho Silva" refreshedDate="45771.565276967594" createdVersion="6" refreshedVersion="6" minRefreshableVersion="3" recordCount="734">
  <cacheSource type="worksheet">
    <worksheetSource name="Table4"/>
  </cacheSource>
  <cacheFields count="25">
    <cacheField name="Âmbito" numFmtId="0">
      <sharedItems count="1">
        <s v="Pilar III"/>
      </sharedItems>
    </cacheField>
    <cacheField name="Sub-âmbito" numFmtId="0">
      <sharedItems count="5">
        <s v="Bens Imóveis - Output"/>
        <s v="Pilar III"/>
        <s v="Modelo Verde - Output"/>
        <s v="Bens Imóveis - Input"/>
        <s v="Modelo Verde - Input"/>
      </sharedItems>
    </cacheField>
    <cacheField name="Tipo de teste" numFmtId="0">
      <sharedItems containsBlank="1" count="3">
        <s v="2. Campo"/>
        <s v="1. Universo"/>
        <m u="1"/>
      </sharedItems>
    </cacheField>
    <cacheField name="Tabela" numFmtId="0">
      <sharedItems/>
    </cacheField>
    <cacheField name="Campo" numFmtId="0">
      <sharedItems/>
    </cacheField>
    <cacheField name="Status Atual" numFmtId="0">
      <sharedItems count="13">
        <s v="1. Concluído"/>
        <s v="5. Em Correção"/>
        <s v="6. Em implementação "/>
        <s v="0. Cancelado"/>
        <s v="2.1 Em Teste"/>
        <s v="2. Em Teste" u="1"/>
        <s v="7. Por iniciar" u="1"/>
        <s v="4. Validação EF" u="1"/>
        <s v="2.2 Em Re-especificação" u="1"/>
        <e v="#N/A" u="1"/>
        <s v="6. Em implementação (re-especificação)" u="1"/>
        <s v="2.2 Em especificação" u="1"/>
        <s v="3. Pendente de outros desenvolvimentos" u="1"/>
      </sharedItems>
    </cacheField>
    <cacheField name="Status Anterior" numFmtId="0">
      <sharedItems/>
    </cacheField>
    <cacheField name="Fase" numFmtId="0">
      <sharedItems containsBlank="1"/>
    </cacheField>
    <cacheField name="Observações - Especificações" numFmtId="0">
      <sharedItems containsBlank="1"/>
    </cacheField>
    <cacheField name="Observações - Testes" numFmtId="0">
      <sharedItems containsBlank="1"/>
    </cacheField>
    <cacheField name="Data Final - Entrega IT" numFmtId="14">
      <sharedItems containsDate="1" containsBlank="1" containsMixedTypes="1" minDate="2025-03-10T00:00:00" maxDate="2025-05-17T00:00:00"/>
    </cacheField>
    <cacheField name="Data Final - Validação Testes" numFmtId="14">
      <sharedItems containsDate="1" containsBlank="1" containsMixedTypes="1" minDate="2025-03-14T00:00:00" maxDate="2025-04-25T00:00:00"/>
    </cacheField>
    <cacheField name="Tipologia Teste" numFmtId="0">
      <sharedItems containsBlank="1"/>
    </cacheField>
    <cacheField name="Observações - Testes sem visibilidade" numFmtId="0">
      <sharedItems containsBlank="1"/>
    </cacheField>
    <cacheField name="Data de Pedido correção/esclarecimento" numFmtId="14">
      <sharedItems containsBlank="1"/>
    </cacheField>
    <cacheField name="Data de correção prevista" numFmtId="14">
      <sharedItems containsBlank="1"/>
    </cacheField>
    <cacheField name="Data de correção efetiva" numFmtId="14">
      <sharedItems containsBlank="1"/>
    </cacheField>
    <cacheField name="Data Prevista de Re-especificação" numFmtId="14">
      <sharedItems containsNonDate="0" containsDate="1" containsString="0" containsBlank="1" minDate="2024-10-23T00:00:00" maxDate="2024-10-31T00:00:00"/>
    </cacheField>
    <cacheField name="Data Prevista de Teste" numFmtId="14">
      <sharedItems containsNonDate="0" containsString="0" containsBlank="1"/>
    </cacheField>
    <cacheField name="Projeto (Aux JB)" numFmtId="14">
      <sharedItems containsBlank="1"/>
    </cacheField>
    <cacheField name="LT Âmbito" numFmtId="14">
      <sharedItems containsBlank="1"/>
    </cacheField>
    <cacheField name="Âmbito Testes" numFmtId="14">
      <sharedItems containsBlank="1"/>
    </cacheField>
    <cacheField name="LT Âmbito- Aux" numFmtId="14">
      <sharedItems containsBlank="1"/>
    </cacheField>
    <cacheField name="Plano" numFmtId="14">
      <sharedItems containsBlank="1" count="7">
        <s v="Plano anterior"/>
        <s v="Novo Plano"/>
        <s v="Plano anterior (alteração nome)"/>
        <s v="Plano anterior (sem visibilidade no PdS enviado 17/01)"/>
        <s v="Plano anterior (mas na proposta)"/>
        <s v="Plano anterior (campo adicionado 21/02)"/>
        <m u="1"/>
      </sharedItems>
    </cacheField>
    <cacheField name="Owner" numFmtId="14">
      <sharedItems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count="734">
  <r>
    <x v="0"/>
    <x v="0"/>
    <x v="0"/>
    <s v="PROPERTY_ENERGY_CERTIFICATE"/>
    <s v="CURRENT_ENERGY_RATING_PERCENTAGE"/>
    <x v="0"/>
    <s v="1. Concluído"/>
    <m/>
    <s v="Package 1"/>
    <s v="Package 22"/>
    <d v="2025-03-14T00:00:00"/>
    <d v="2025-03-21T00:00:00"/>
    <m/>
    <m/>
    <s v=""/>
    <s v=""/>
    <s v=""/>
    <m/>
    <m/>
    <m/>
    <m/>
    <m/>
    <m/>
    <x v="0"/>
    <s v="HF"/>
  </r>
  <r>
    <x v="0"/>
    <x v="1"/>
    <x v="0"/>
    <s v="lt002_instrument"/>
    <s v="OFF_BLNC_SHT_AMNT_INSTRMNT"/>
    <x v="0"/>
    <s v="6. Em implementação "/>
    <m/>
    <s v="Package 4"/>
    <s v="Package 26"/>
    <d v="2025-04-17T00:00:00"/>
    <d v="2025-04-24T00:00:00"/>
    <s v="Testes Regressivos (LT Estr)"/>
    <m/>
    <s v=""/>
    <s v=""/>
    <s v=""/>
    <m/>
    <m/>
    <s v="Novo Projeto - Em especificação"/>
    <s v="ESTR, GD, GF, ESG e LF"/>
    <s v="FY25"/>
    <s v="Novos Requisitos FY25 - Âmbito ESTR e (ou) LF"/>
    <x v="1"/>
    <s v="HF"/>
  </r>
  <r>
    <x v="0"/>
    <x v="1"/>
    <x v="0"/>
    <s v="lt003_entity"/>
    <s v="ec_grp_id"/>
    <x v="0"/>
    <s v="5. Em Correção"/>
    <m/>
    <s v="Package 4"/>
    <s v="Package 23"/>
    <d v="2025-03-28T00:00:00"/>
    <d v="2025-04-04T00:00:00"/>
    <s v="Testes Regressivos (LT Estr)"/>
    <m/>
    <s v=""/>
    <s v=""/>
    <s v=""/>
    <m/>
    <m/>
    <s v="Novo Projeto - Em especificação"/>
    <s v="ESTR, P3, GF e LF"/>
    <s v="FY25"/>
    <s v="Novos Requisitos FY25 - Âmbito ESTR e (ou) LF"/>
    <x v="1"/>
    <s v="JB"/>
  </r>
  <r>
    <x v="0"/>
    <x v="1"/>
    <x v="0"/>
    <s v="lt003_entity"/>
    <s v="ec_grp_nm"/>
    <x v="0"/>
    <s v="5. Em Correção"/>
    <m/>
    <s v="Package 4"/>
    <s v="Package 23"/>
    <d v="2025-03-28T00:00:00"/>
    <d v="2025-04-04T00:00:00"/>
    <s v="Testes Regressivos (LT Estr)"/>
    <m/>
    <s v=""/>
    <s v=""/>
    <s v=""/>
    <m/>
    <m/>
    <s v="Novo Projeto - Em especificação"/>
    <s v="ESTR, P3, GF e LF"/>
    <s v="FY25"/>
    <s v="Novos Requisitos FY25 - Âmbito ESTR e (ou) LF"/>
    <x v="1"/>
    <s v="JB"/>
  </r>
  <r>
    <x v="0"/>
    <x v="1"/>
    <x v="0"/>
    <s v="lt004_protection"/>
    <s v="RL_ESTT_ADDRSS"/>
    <x v="1"/>
    <s v="5. Em Correção"/>
    <m/>
    <s v="Package 4"/>
    <s v="Package 23"/>
    <d v="2025-03-28T00:00:00"/>
    <d v="2025-04-04T00:00:00"/>
    <s v="Testes Regressivos (LT Estr)"/>
    <m/>
    <s v=""/>
    <s v=""/>
    <s v=""/>
    <m/>
    <m/>
    <s v="Novo Projeto - Em especificação"/>
    <s v="ESTR e ESG"/>
    <s v="FY25"/>
    <s v="Novos Requisitos FY25 - Âmbito ESTR e (ou) LF"/>
    <x v="1"/>
    <s v="JB"/>
  </r>
  <r>
    <x v="0"/>
    <x v="1"/>
    <x v="0"/>
    <s v="lt004_protection"/>
    <s v="RL_ESTT_CLLTRL_LCTN_INT"/>
    <x v="0"/>
    <s v="1. Concluído"/>
    <m/>
    <s v="Package 5"/>
    <s v="Package 23"/>
    <d v="2025-03-28T00:00:00"/>
    <d v="2025-04-04T00:00:00"/>
    <s v="Testes Regressivos (LT Estr)"/>
    <m/>
    <s v=""/>
    <s v=""/>
    <s v=""/>
    <m/>
    <m/>
    <s v="Novo Projeto - Em especificação"/>
    <s v="ESTR e ESG"/>
    <s v="FY25"/>
    <s v="Novos Requisitos FY25 - Âmbito ESTR e (ou) LF"/>
    <x v="1"/>
    <s v="JB"/>
  </r>
  <r>
    <x v="0"/>
    <x v="1"/>
    <x v="0"/>
    <s v="lt004_protection"/>
    <s v="RL_ESTT_CTY"/>
    <x v="0"/>
    <s v="1. Concluído"/>
    <m/>
    <s v="Package 3"/>
    <s v="Package 23"/>
    <d v="2025-03-28T00:00:00"/>
    <d v="2025-04-04T00:00:00"/>
    <s v="Testes Regressivos (LT Estr)"/>
    <m/>
    <s v=""/>
    <s v=""/>
    <s v=""/>
    <m/>
    <m/>
    <s v="Novo Projeto - Em especificação"/>
    <s v="ESTR e ESG"/>
    <s v="FY25"/>
    <s v="Novos Requisitos FY25 - Âmbito ESTR e (ou) LF"/>
    <x v="1"/>
    <s v="JB"/>
  </r>
  <r>
    <x v="0"/>
    <x v="1"/>
    <x v="0"/>
    <s v="lt004_protection"/>
    <s v="YR_CNSTRCTN"/>
    <x v="1"/>
    <s v="5. Em Correção"/>
    <m/>
    <s v="Package 3"/>
    <s v="Package 23"/>
    <d v="2025-03-28T00:00:00"/>
    <d v="2025-04-04T00:00:00"/>
    <s v="Testes Regressivos (LT Estr)"/>
    <m/>
    <s v=""/>
    <s v=""/>
    <s v=""/>
    <m/>
    <m/>
    <s v="Novo Projeto - Em especificação"/>
    <s v="ESTR, P3 e ESG"/>
    <s v="FY25"/>
    <s v="Novos Requisitos FY25 - Âmbito ESTR e (ou) LF"/>
    <x v="1"/>
    <s v="JB"/>
  </r>
  <r>
    <x v="0"/>
    <x v="1"/>
    <x v="0"/>
    <s v="lt004_protection"/>
    <s v="BLDNG_AR"/>
    <x v="0"/>
    <s v="1. Concluído"/>
    <m/>
    <s v="Package 3"/>
    <s v="Package 23"/>
    <d v="2025-03-28T00:00:00"/>
    <d v="2025-04-04T00:00:00"/>
    <s v="Teste ao campo"/>
    <m/>
    <s v=""/>
    <s v=""/>
    <s v=""/>
    <m/>
    <m/>
    <s v="Novo Projeto - Em especificação"/>
    <s v="P3 e ESG"/>
    <s v="FY25"/>
    <s v="Novos Requisitos FY25 - Outros"/>
    <x v="1"/>
    <s v="JB"/>
  </r>
  <r>
    <x v="0"/>
    <x v="1"/>
    <x v="0"/>
    <s v="lt002_instrument"/>
    <s v="NW_BSNSS"/>
    <x v="2"/>
    <s v="6. Em implementação "/>
    <m/>
    <s v="Package 5"/>
    <s v="Sem Teste"/>
    <d v="2025-05-16T00:00:00"/>
    <s v="N/A"/>
    <s v="Não testar "/>
    <m/>
    <s v=""/>
    <s v=""/>
    <s v=""/>
    <m/>
    <m/>
    <s v="Novo Projeto - Em especificação"/>
    <s v="GD, P3 e GF"/>
    <s v="FY25"/>
    <s v="Novos Requisitos FY25 - Outros"/>
    <x v="1"/>
    <s v="RC"/>
  </r>
  <r>
    <x v="0"/>
    <x v="1"/>
    <x v="0"/>
    <s v="lt002_instrument"/>
    <s v="CNCLLD_INSTRMNT_STTS"/>
    <x v="2"/>
    <s v="6. Em implementação "/>
    <m/>
    <s v="Package 5"/>
    <s v="Sem Teste"/>
    <d v="2025-05-16T00:00:00"/>
    <s v="N/A"/>
    <s v="Não testar "/>
    <m/>
    <s v=""/>
    <s v=""/>
    <s v=""/>
    <m/>
    <m/>
    <s v="Novo Projeto - Em especificação"/>
    <s v="GD, P3 e GF"/>
    <s v="FY25"/>
    <s v="Novos Requisitos FY25 - Outros"/>
    <x v="1"/>
    <s v="RC"/>
  </r>
  <r>
    <x v="0"/>
    <x v="1"/>
    <x v="0"/>
    <s v="lt002_instrument"/>
    <s v="TYP_OFF_BLNC_PRDCT"/>
    <x v="2"/>
    <s v="6. Em implementação "/>
    <m/>
    <s v="Package 4 --&gt; Não está especificado no LT - não conseguimos testar"/>
    <s v="Sem Teste"/>
    <d v="2025-05-16T00:00:00"/>
    <s v="N/A"/>
    <s v="Não testar "/>
    <m/>
    <s v=""/>
    <s v=""/>
    <s v=""/>
    <m/>
    <m/>
    <s v="Novo Projeto - Em especificação"/>
    <s v="ESTR, GD, P3 e LF"/>
    <s v="FY25"/>
    <s v="Novos Requisitos FY25 - Âmbito ESTR e (ou) LF"/>
    <x v="1"/>
    <s v="JB"/>
  </r>
  <r>
    <x v="0"/>
    <x v="2"/>
    <x v="0"/>
    <s v="modesg_out_empr_info_nfin"/>
    <s v="ppc_trnvr_ttl_elgbl"/>
    <x v="0"/>
    <s v="1. Concluído"/>
    <m/>
    <s v="Package 1"/>
    <m/>
    <m/>
    <m/>
    <m/>
    <m/>
    <s v=""/>
    <s v=""/>
    <s v=""/>
    <m/>
    <m/>
    <m/>
    <m/>
    <m/>
    <m/>
    <x v="1"/>
    <m/>
  </r>
  <r>
    <x v="0"/>
    <x v="2"/>
    <x v="0"/>
    <s v="modesg_out_empr_info_nfin"/>
    <s v="ppc_turnover_own_prfrmnce_algnd"/>
    <x v="0"/>
    <s v="1. Concluído"/>
    <m/>
    <s v="Package 1"/>
    <m/>
    <m/>
    <m/>
    <m/>
    <m/>
    <s v=""/>
    <s v=""/>
    <s v=""/>
    <m/>
    <m/>
    <m/>
    <m/>
    <m/>
    <m/>
    <x v="1"/>
    <m/>
  </r>
  <r>
    <x v="0"/>
    <x v="2"/>
    <x v="0"/>
    <s v="modesg_out_empr_info_nfin"/>
    <s v="ppc_capex_ttl_elgbl"/>
    <x v="0"/>
    <s v="1. Concluído"/>
    <m/>
    <s v="Package 1"/>
    <m/>
    <m/>
    <m/>
    <m/>
    <m/>
    <s v=""/>
    <s v=""/>
    <s v=""/>
    <m/>
    <m/>
    <m/>
    <m/>
    <m/>
    <m/>
    <x v="1"/>
    <m/>
  </r>
  <r>
    <x v="0"/>
    <x v="2"/>
    <x v="0"/>
    <s v="modesg_out_empr_info_nfin"/>
    <s v="ppc_capex_own_prfrmnce_algnd"/>
    <x v="0"/>
    <s v="1. Concluído"/>
    <m/>
    <s v="Package 1"/>
    <m/>
    <m/>
    <m/>
    <m/>
    <m/>
    <s v=""/>
    <s v=""/>
    <s v=""/>
    <m/>
    <m/>
    <m/>
    <m/>
    <m/>
    <m/>
    <x v="1"/>
    <m/>
  </r>
  <r>
    <x v="0"/>
    <x v="2"/>
    <x v="0"/>
    <s v="modesg_out_empr_info_nfin"/>
    <s v="bio_trnvr_ttl_elgbl"/>
    <x v="0"/>
    <s v="1. Concluído"/>
    <m/>
    <s v="Package 1"/>
    <m/>
    <m/>
    <m/>
    <m/>
    <m/>
    <s v=""/>
    <s v=""/>
    <s v=""/>
    <m/>
    <m/>
    <m/>
    <m/>
    <m/>
    <m/>
    <x v="1"/>
    <m/>
  </r>
  <r>
    <x v="0"/>
    <x v="2"/>
    <x v="0"/>
    <s v="modesg_out_empr_info_nfin"/>
    <s v="bio_turnover_own_prfrmnce_algnd"/>
    <x v="0"/>
    <s v="1. Concluído"/>
    <m/>
    <s v="Package 1"/>
    <m/>
    <m/>
    <m/>
    <m/>
    <m/>
    <s v=""/>
    <s v=""/>
    <s v=""/>
    <m/>
    <m/>
    <m/>
    <m/>
    <m/>
    <m/>
    <x v="1"/>
    <m/>
  </r>
  <r>
    <x v="0"/>
    <x v="2"/>
    <x v="0"/>
    <s v="modesg_out_empr_info_nfin"/>
    <s v="bio_capex_ttl_elgbl"/>
    <x v="0"/>
    <s v="1. Concluído"/>
    <m/>
    <s v="Package 1"/>
    <m/>
    <m/>
    <m/>
    <m/>
    <m/>
    <s v=""/>
    <s v=""/>
    <s v=""/>
    <m/>
    <m/>
    <m/>
    <m/>
    <m/>
    <m/>
    <x v="1"/>
    <m/>
  </r>
  <r>
    <x v="0"/>
    <x v="2"/>
    <x v="0"/>
    <s v="modesg_out_empr_info_nfin"/>
    <s v="bio_capex_own_prfrmnce_algnd"/>
    <x v="0"/>
    <s v="1. Concluído"/>
    <m/>
    <s v="Package 1"/>
    <m/>
    <m/>
    <m/>
    <m/>
    <m/>
    <s v=""/>
    <s v=""/>
    <s v=""/>
    <m/>
    <m/>
    <m/>
    <m/>
    <m/>
    <m/>
    <x v="1"/>
    <m/>
  </r>
  <r>
    <x v="0"/>
    <x v="2"/>
    <x v="0"/>
    <s v="modesg_out_empr_info_nfin"/>
    <s v="wtr_trnvr_ttl_elgbl"/>
    <x v="0"/>
    <s v="1. Concluído"/>
    <m/>
    <s v="Package 1"/>
    <m/>
    <m/>
    <m/>
    <m/>
    <m/>
    <s v=""/>
    <s v=""/>
    <s v=""/>
    <m/>
    <m/>
    <m/>
    <m/>
    <m/>
    <m/>
    <x v="1"/>
    <m/>
  </r>
  <r>
    <x v="0"/>
    <x v="2"/>
    <x v="0"/>
    <s v="modesg_out_empr_info_nfin"/>
    <s v="wtr_trnvr_enblng_alignd"/>
    <x v="0"/>
    <s v="1. Concluído"/>
    <m/>
    <s v="Package 1"/>
    <m/>
    <m/>
    <m/>
    <m/>
    <m/>
    <s v=""/>
    <s v=""/>
    <s v=""/>
    <m/>
    <m/>
    <m/>
    <m/>
    <m/>
    <m/>
    <x v="1"/>
    <m/>
  </r>
  <r>
    <x v="0"/>
    <x v="2"/>
    <x v="0"/>
    <s v="modesg_out_empr_info_nfin"/>
    <s v="wtr_turnover_own_prfrmnce_algnd"/>
    <x v="0"/>
    <s v="1. Concluído"/>
    <m/>
    <s v="Package 1"/>
    <m/>
    <m/>
    <m/>
    <m/>
    <m/>
    <s v=""/>
    <s v=""/>
    <s v=""/>
    <m/>
    <m/>
    <m/>
    <m/>
    <m/>
    <m/>
    <x v="1"/>
    <m/>
  </r>
  <r>
    <x v="0"/>
    <x v="2"/>
    <x v="0"/>
    <s v="modesg_out_empr_info_nfin"/>
    <s v="wtr_capex_ttl_elgbl"/>
    <x v="0"/>
    <s v="1. Concluído"/>
    <m/>
    <s v="Package 1"/>
    <m/>
    <m/>
    <m/>
    <m/>
    <m/>
    <s v=""/>
    <s v=""/>
    <s v=""/>
    <m/>
    <m/>
    <m/>
    <m/>
    <m/>
    <m/>
    <x v="1"/>
    <m/>
  </r>
  <r>
    <x v="0"/>
    <x v="2"/>
    <x v="0"/>
    <s v="modesg_out_empr_info_nfin"/>
    <s v="wtr_capex_enblng_algnd"/>
    <x v="0"/>
    <s v="1. Concluído"/>
    <m/>
    <s v="Package 1"/>
    <m/>
    <m/>
    <m/>
    <m/>
    <m/>
    <s v=""/>
    <s v=""/>
    <s v=""/>
    <m/>
    <m/>
    <m/>
    <m/>
    <m/>
    <m/>
    <x v="1"/>
    <m/>
  </r>
  <r>
    <x v="0"/>
    <x v="2"/>
    <x v="0"/>
    <s v="modesg_out_empr_info_nfin"/>
    <s v="wtr_capex_own_prfrmnce_algnd"/>
    <x v="0"/>
    <s v="1. Concluído"/>
    <m/>
    <s v="Package 1"/>
    <m/>
    <m/>
    <m/>
    <m/>
    <m/>
    <s v=""/>
    <s v=""/>
    <s v=""/>
    <m/>
    <m/>
    <m/>
    <m/>
    <m/>
    <m/>
    <x v="1"/>
    <m/>
  </r>
  <r>
    <x v="0"/>
    <x v="2"/>
    <x v="0"/>
    <s v="modesg_out_empr_info_nfin"/>
    <s v="ce_trnvr_ttl_elgbl"/>
    <x v="0"/>
    <s v="1. Concluído"/>
    <m/>
    <s v="Package 1"/>
    <m/>
    <m/>
    <m/>
    <m/>
    <m/>
    <s v=""/>
    <s v=""/>
    <s v=""/>
    <m/>
    <m/>
    <m/>
    <m/>
    <m/>
    <m/>
    <x v="1"/>
    <m/>
  </r>
  <r>
    <x v="0"/>
    <x v="2"/>
    <x v="0"/>
    <s v="modesg_out_empr_info_nfin"/>
    <s v="ce_trnvr_enblng_alignd"/>
    <x v="0"/>
    <s v="1. Concluído"/>
    <m/>
    <s v="Package 1"/>
    <m/>
    <m/>
    <m/>
    <m/>
    <m/>
    <s v=""/>
    <s v=""/>
    <s v=""/>
    <m/>
    <m/>
    <m/>
    <m/>
    <m/>
    <m/>
    <x v="1"/>
    <m/>
  </r>
  <r>
    <x v="0"/>
    <x v="2"/>
    <x v="0"/>
    <s v="modesg_out_empr_info_nfin"/>
    <s v="ce_turnover_own_prfrmnce_algnd"/>
    <x v="0"/>
    <s v="1. Concluído"/>
    <m/>
    <s v="Package 1"/>
    <m/>
    <m/>
    <m/>
    <m/>
    <m/>
    <s v=""/>
    <s v=""/>
    <s v=""/>
    <m/>
    <m/>
    <m/>
    <m/>
    <m/>
    <m/>
    <x v="1"/>
    <m/>
  </r>
  <r>
    <x v="0"/>
    <x v="2"/>
    <x v="0"/>
    <s v="modesg_out_empr_info_nfin"/>
    <s v="ce_capex_ttl_elgbl"/>
    <x v="0"/>
    <s v="1. Concluído"/>
    <m/>
    <s v="Package 1"/>
    <m/>
    <m/>
    <m/>
    <m/>
    <m/>
    <s v=""/>
    <s v=""/>
    <s v=""/>
    <m/>
    <m/>
    <m/>
    <m/>
    <m/>
    <m/>
    <x v="1"/>
    <m/>
  </r>
  <r>
    <x v="0"/>
    <x v="2"/>
    <x v="0"/>
    <s v="modesg_out_empr_info_nfin"/>
    <s v="ce_capex_enblng_algnd"/>
    <x v="0"/>
    <s v="1. Concluído"/>
    <m/>
    <s v="Package 1"/>
    <m/>
    <m/>
    <m/>
    <m/>
    <m/>
    <s v=""/>
    <s v=""/>
    <s v=""/>
    <m/>
    <m/>
    <m/>
    <m/>
    <m/>
    <m/>
    <x v="1"/>
    <m/>
  </r>
  <r>
    <x v="0"/>
    <x v="2"/>
    <x v="0"/>
    <s v="modesg_out_empr_info_nfin"/>
    <s v="ce_capex_own_prfrmnce_algnd"/>
    <x v="0"/>
    <s v="1. Concluído"/>
    <m/>
    <s v="Package 1"/>
    <m/>
    <m/>
    <m/>
    <m/>
    <m/>
    <s v=""/>
    <s v=""/>
    <s v=""/>
    <m/>
    <m/>
    <m/>
    <m/>
    <m/>
    <m/>
    <x v="1"/>
    <m/>
  </r>
  <r>
    <x v="0"/>
    <x v="1"/>
    <x v="0"/>
    <s v="lt007_instr_activity"/>
    <s v="PRCNTG_ACTVTY"/>
    <x v="2"/>
    <s v="6. Em implementação "/>
    <m/>
    <s v="Package 5"/>
    <s v="Package 26"/>
    <d v="2025-04-17T00:00:00"/>
    <d v="2025-04-24T00:00:00"/>
    <s v="Teste ao campo"/>
    <m/>
    <s v=""/>
    <s v=""/>
    <s v=""/>
    <m/>
    <m/>
    <s v="Novo Projeto - Em especificação"/>
    <s v="GD, P3 e GF"/>
    <s v="FY25"/>
    <s v="Novos Requisitos FY25 - Outros"/>
    <x v="1"/>
    <s v="RC"/>
  </r>
  <r>
    <x v="0"/>
    <x v="1"/>
    <x v="0"/>
    <s v="lt007_instr_activity"/>
    <s v="FLG_SBSTNTL_CNTRBTN"/>
    <x v="2"/>
    <s v="6. Em implementação "/>
    <m/>
    <s v="Package 5"/>
    <s v="Package 26"/>
    <d v="2025-04-17T00:00:00"/>
    <d v="2025-04-24T00:00:00"/>
    <s v="Teste ao campo"/>
    <m/>
    <s v=""/>
    <s v=""/>
    <s v=""/>
    <m/>
    <m/>
    <s v="Novo Projeto - Em especificação"/>
    <s v="P3"/>
    <s v="FY25"/>
    <s v="Novos Requisitos FY25 - Outros"/>
    <x v="1"/>
    <s v="RC"/>
  </r>
  <r>
    <x v="0"/>
    <x v="1"/>
    <x v="0"/>
    <s v="lt003_entity"/>
    <s v="grp_ecnmc_actvty"/>
    <x v="0"/>
    <s v="1. Concluído"/>
    <m/>
    <s v="Package 5"/>
    <s v="Package 23"/>
    <d v="2025-03-28T00:00:00"/>
    <d v="2025-04-04T00:00:00"/>
    <s v="Teste ao campo"/>
    <m/>
    <s v=""/>
    <s v=""/>
    <s v=""/>
    <m/>
    <m/>
    <s v="Novo Projeto - Em especificação"/>
    <s v="P3, GF e ESG"/>
    <s v="FY25"/>
    <s v="Novos Requisitos FY25 - Outros"/>
    <x v="1"/>
    <s v="JB"/>
  </r>
  <r>
    <x v="0"/>
    <x v="1"/>
    <x v="0"/>
    <s v="lt006_instr_prot"/>
    <s v="TYP_RLTN"/>
    <x v="2"/>
    <s v="6. Em implementação "/>
    <m/>
    <s v="Package 5"/>
    <s v="Package 26"/>
    <d v="2025-04-17T00:00:00"/>
    <d v="2025-04-24T00:00:00"/>
    <s v="Testes Regressivos (LT GD)"/>
    <m/>
    <s v=""/>
    <s v=""/>
    <s v=""/>
    <m/>
    <m/>
    <s v="Novo Projeto - Em especificação"/>
    <s v="GD e P3"/>
    <s v="FY25"/>
    <s v="Novos Requisitos FY25 - Outros"/>
    <x v="1"/>
    <s v="JB"/>
  </r>
  <r>
    <x v="0"/>
    <x v="1"/>
    <x v="0"/>
    <s v="lt004_protection"/>
    <s v="EPC_EMSSNS_LBL"/>
    <x v="0"/>
    <s v="6. Em implementação "/>
    <m/>
    <s v="Package 4"/>
    <s v="Package 25"/>
    <d v="2025-04-11T00:00:00"/>
    <d v="2025-04-18T00:00:00"/>
    <s v="Teste ao campo"/>
    <m/>
    <s v=""/>
    <s v=""/>
    <s v=""/>
    <m/>
    <m/>
    <s v="Novo Projeto - Em especificação"/>
    <s v="ESG"/>
    <s v="FY25"/>
    <s v="Novos Requisitos FY25 - Outros"/>
    <x v="1"/>
    <s v="JB"/>
  </r>
  <r>
    <x v="0"/>
    <x v="1"/>
    <x v="0"/>
    <s v="lt004_protection"/>
    <s v="TYP_EMSSNS_SCR"/>
    <x v="0"/>
    <s v="6. Em implementação "/>
    <m/>
    <s v="Package 4"/>
    <s v="Package 25"/>
    <d v="2025-04-11T00:00:00"/>
    <d v="2025-04-18T00:00:00"/>
    <s v="Teste ao campo"/>
    <m/>
    <s v=""/>
    <s v=""/>
    <s v=""/>
    <m/>
    <m/>
    <s v="Novo Projeto - Em especificação"/>
    <s v="ESG"/>
    <s v="FY25"/>
    <s v="Novos Requisitos FY25 - Outros"/>
    <x v="1"/>
    <s v="JB"/>
  </r>
  <r>
    <x v="0"/>
    <x v="1"/>
    <x v="0"/>
    <s v="lt004_protection"/>
    <s v="EPC_EMSSNS_SCR"/>
    <x v="0"/>
    <s v="6. Em implementação "/>
    <m/>
    <s v="Package 4"/>
    <s v="Package 25"/>
    <d v="2025-04-11T00:00:00"/>
    <d v="2025-04-18T00:00:00"/>
    <s v="Teste ao campo"/>
    <m/>
    <s v=""/>
    <s v=""/>
    <s v=""/>
    <m/>
    <m/>
    <s v="Novo Projeto - Em especificação"/>
    <s v="ESG"/>
    <s v="FY25"/>
    <s v="Novos Requisitos FY25 - Outros"/>
    <x v="1"/>
    <s v="JB"/>
  </r>
  <r>
    <x v="0"/>
    <x v="1"/>
    <x v="0"/>
    <s v="lt004_protection"/>
    <s v="TYP_VHCL"/>
    <x v="1"/>
    <s v="6. Em implementação "/>
    <m/>
    <s v="Package 4"/>
    <s v="Package 25"/>
    <d v="2025-04-11T00:00:00"/>
    <d v="2025-04-18T00:00:00"/>
    <s v="Teste ao campo"/>
    <m/>
    <s v=""/>
    <s v=""/>
    <s v=""/>
    <m/>
    <m/>
    <s v="Novo Projeto - Em especificação"/>
    <s v="GD, P3 e ESG"/>
    <s v="FY25"/>
    <s v="Novos Requisitos FY25 - Outros"/>
    <x v="1"/>
    <s v="JB"/>
  </r>
  <r>
    <x v="0"/>
    <x v="1"/>
    <x v="0"/>
    <s v="lt004_protection"/>
    <s v="PRMRY_ENRGY_DMND_TTL"/>
    <x v="0"/>
    <s v="6. Em implementação "/>
    <m/>
    <s v="Package 4"/>
    <s v="Package 25"/>
    <d v="2025-04-11T00:00:00"/>
    <d v="2025-04-18T00:00:00"/>
    <s v="Teste ao campo"/>
    <m/>
    <s v=""/>
    <s v=""/>
    <s v=""/>
    <m/>
    <m/>
    <s v="Novo Projeto - Em especificação"/>
    <s v="P3 e ESG"/>
    <s v="FY25"/>
    <s v="Novos Requisitos FY25 - Outros"/>
    <x v="1"/>
    <s v="HF"/>
  </r>
  <r>
    <x v="0"/>
    <x v="1"/>
    <x v="0"/>
    <s v="lt004_protection"/>
    <s v="PRMRY_ENRGY_DMND_RFRNC_VL"/>
    <x v="0"/>
    <s v="6. Em implementação "/>
    <m/>
    <s v="Package 4"/>
    <s v="Package 25"/>
    <d v="2025-04-11T00:00:00"/>
    <d v="2025-04-18T00:00:00"/>
    <s v="Teste ao campo"/>
    <m/>
    <s v=""/>
    <s v=""/>
    <s v=""/>
    <m/>
    <m/>
    <s v="Novo Projeto - Em especificação"/>
    <s v="P3 e ESG"/>
    <s v="FY25"/>
    <s v="Novos Requisitos FY25 - Outros"/>
    <x v="1"/>
    <s v="HF"/>
  </r>
  <r>
    <x v="0"/>
    <x v="1"/>
    <x v="0"/>
    <s v="lt004_protection"/>
    <s v="RL_ESTT_CLMT_ZN"/>
    <x v="0"/>
    <s v="6. Em implementação "/>
    <m/>
    <s v="Package 4"/>
    <s v="ac"/>
    <d v="2025-04-11T00:00:00"/>
    <d v="2025-04-18T00:00:00"/>
    <s v="Teste ao campo"/>
    <m/>
    <s v=""/>
    <s v=""/>
    <s v=""/>
    <m/>
    <m/>
    <s v="Novo Projeto - Em especificação"/>
    <s v="P3 e ESG"/>
    <s v="FY25"/>
    <s v="Novos Requisitos FY25 - Outros"/>
    <x v="1"/>
    <s v="JB"/>
  </r>
  <r>
    <x v="0"/>
    <x v="3"/>
    <x v="0"/>
    <s v="ENERGY_CERTIFICATE_EST_INPUT"/>
    <s v="CHAVE_GLOVAL"/>
    <x v="0"/>
    <s v="1. Concluído"/>
    <s v="Fase I"/>
    <s v="Package 1"/>
    <m/>
    <m/>
    <m/>
    <m/>
    <m/>
    <s v=""/>
    <s v=""/>
    <s v=""/>
    <m/>
    <m/>
    <m/>
    <m/>
    <m/>
    <m/>
    <x v="2"/>
    <m/>
  </r>
  <r>
    <x v="0"/>
    <x v="3"/>
    <x v="0"/>
    <s v="ENERGY_CERTIFICATE_EST_INPUT"/>
    <s v="PROPERTY_BANK_ID"/>
    <x v="0"/>
    <s v="1. Concluído"/>
    <s v="Fase I"/>
    <s v="Package 1"/>
    <m/>
    <m/>
    <m/>
    <m/>
    <m/>
    <s v=""/>
    <s v=""/>
    <s v=""/>
    <m/>
    <m/>
    <m/>
    <m/>
    <m/>
    <m/>
    <x v="0"/>
    <m/>
  </r>
  <r>
    <x v="0"/>
    <x v="3"/>
    <x v="0"/>
    <s v="ENERGY_CERTIFICATE_EST_INPUT"/>
    <s v="PROPERTY_BRANCH_CODE"/>
    <x v="0"/>
    <s v="1. Concluído"/>
    <s v="Fase I"/>
    <s v="Package 1"/>
    <m/>
    <m/>
    <m/>
    <m/>
    <m/>
    <s v=""/>
    <s v=""/>
    <s v=""/>
    <m/>
    <m/>
    <m/>
    <m/>
    <m/>
    <m/>
    <x v="0"/>
    <m/>
  </r>
  <r>
    <x v="0"/>
    <x v="3"/>
    <x v="0"/>
    <s v="ENERGY_CERTIFICATE_EST_INPUT"/>
    <s v="PROPERTY_CONTRACT_ID"/>
    <x v="0"/>
    <s v="1. Concluído"/>
    <s v="Fase I"/>
    <s v="Package 1"/>
    <m/>
    <m/>
    <m/>
    <m/>
    <m/>
    <s v=""/>
    <s v=""/>
    <s v=""/>
    <m/>
    <m/>
    <m/>
    <m/>
    <m/>
    <m/>
    <x v="0"/>
    <m/>
  </r>
  <r>
    <x v="0"/>
    <x v="3"/>
    <x v="0"/>
    <s v="ENERGY_CERTIFICATE_EST_INPUT"/>
    <s v="PROPERTY_REFERENCE_CODE"/>
    <x v="0"/>
    <s v="1. Concluído"/>
    <s v="Fase I"/>
    <s v="Package 1"/>
    <m/>
    <m/>
    <m/>
    <m/>
    <m/>
    <s v=""/>
    <s v=""/>
    <s v=""/>
    <m/>
    <m/>
    <m/>
    <m/>
    <m/>
    <m/>
    <x v="0"/>
    <m/>
  </r>
  <r>
    <x v="0"/>
    <x v="3"/>
    <x v="0"/>
    <s v="ENERGY_CERTIFICATE_EST_INPUT"/>
    <s v="CÓDIGO_DISTRITO"/>
    <x v="0"/>
    <s v="1. Concluído"/>
    <s v="Fase I"/>
    <s v="Package 1"/>
    <m/>
    <m/>
    <m/>
    <m/>
    <m/>
    <s v=""/>
    <s v=""/>
    <s v=""/>
    <m/>
    <m/>
    <m/>
    <m/>
    <m/>
    <m/>
    <x v="3"/>
    <m/>
  </r>
  <r>
    <x v="0"/>
    <x v="3"/>
    <x v="0"/>
    <s v="ENERGY_CERTIFICATE_EST_INPUT"/>
    <s v="NOMBRE_DISTRITO"/>
    <x v="0"/>
    <s v="1. Concluído"/>
    <s v="Fase I"/>
    <s v="Package 1"/>
    <m/>
    <m/>
    <m/>
    <m/>
    <m/>
    <s v=""/>
    <s v=""/>
    <s v=""/>
    <m/>
    <m/>
    <m/>
    <m/>
    <m/>
    <m/>
    <x v="3"/>
    <m/>
  </r>
  <r>
    <x v="0"/>
    <x v="3"/>
    <x v="0"/>
    <s v="ENERGY_CERTIFICATE_EST_INPUT"/>
    <s v="CÓDIGO_CONCEJO"/>
    <x v="0"/>
    <s v="1. Concluído"/>
    <s v="Fase I"/>
    <s v="Package 1"/>
    <m/>
    <m/>
    <m/>
    <m/>
    <m/>
    <s v=""/>
    <s v=""/>
    <s v=""/>
    <m/>
    <m/>
    <m/>
    <m/>
    <m/>
    <m/>
    <x v="3"/>
    <m/>
  </r>
  <r>
    <x v="0"/>
    <x v="3"/>
    <x v="0"/>
    <s v="ENERGY_CERTIFICATE_EST_INPUT"/>
    <s v="NOMBRE_CONCEJO"/>
    <x v="0"/>
    <s v="1. Concluído"/>
    <s v="Fase I"/>
    <s v="Package 1"/>
    <m/>
    <m/>
    <m/>
    <m/>
    <m/>
    <s v=""/>
    <s v=""/>
    <s v=""/>
    <m/>
    <m/>
    <m/>
    <m/>
    <m/>
    <m/>
    <x v="3"/>
    <m/>
  </r>
  <r>
    <x v="0"/>
    <x v="3"/>
    <x v="0"/>
    <s v="ENERGY_CERTIFICATE_EST_INPUT"/>
    <s v="CÓDIGO_FREGUESIA"/>
    <x v="0"/>
    <s v="1. Concluído"/>
    <s v="Fase I"/>
    <s v="Package 1"/>
    <m/>
    <m/>
    <m/>
    <m/>
    <m/>
    <s v=""/>
    <s v=""/>
    <s v=""/>
    <m/>
    <m/>
    <m/>
    <m/>
    <m/>
    <m/>
    <x v="3"/>
    <m/>
  </r>
  <r>
    <x v="0"/>
    <x v="3"/>
    <x v="0"/>
    <s v="ENERGY_CERTIFICATE_EST_INPUT"/>
    <s v="NOMBRE_FREGUESIA"/>
    <x v="0"/>
    <s v="1. Concluído"/>
    <s v="Fase I"/>
    <s v="Package 1"/>
    <m/>
    <m/>
    <m/>
    <m/>
    <m/>
    <s v=""/>
    <s v=""/>
    <s v=""/>
    <m/>
    <m/>
    <m/>
    <m/>
    <m/>
    <m/>
    <x v="3"/>
    <m/>
  </r>
  <r>
    <x v="0"/>
    <x v="3"/>
    <x v="0"/>
    <s v="ENERGY_CERTIFICATE_EST_INPUT"/>
    <s v="LOCALIDADE"/>
    <x v="0"/>
    <s v="1. Concluído"/>
    <s v="Fase I"/>
    <s v="Package 1"/>
    <m/>
    <m/>
    <m/>
    <m/>
    <m/>
    <s v=""/>
    <s v=""/>
    <s v=""/>
    <m/>
    <m/>
    <m/>
    <m/>
    <m/>
    <m/>
    <x v="3"/>
    <m/>
  </r>
  <r>
    <x v="0"/>
    <x v="3"/>
    <x v="0"/>
    <s v="ENERGY_CERTIFICATE_EST_INPUT"/>
    <s v="TIPO_VIA"/>
    <x v="0"/>
    <s v="1. Concluído"/>
    <s v="Fase I"/>
    <s v="Package 1"/>
    <m/>
    <m/>
    <m/>
    <m/>
    <m/>
    <s v=""/>
    <s v=""/>
    <s v=""/>
    <m/>
    <m/>
    <m/>
    <m/>
    <m/>
    <m/>
    <x v="3"/>
    <m/>
  </r>
  <r>
    <x v="0"/>
    <x v="3"/>
    <x v="0"/>
    <s v="ENERGY_CERTIFICATE_EST_INPUT"/>
    <s v="NOMBRE_TIPO_VIA"/>
    <x v="0"/>
    <s v="1. Concluído"/>
    <s v="Fase I"/>
    <s v="Package 1"/>
    <m/>
    <m/>
    <m/>
    <m/>
    <m/>
    <s v=""/>
    <s v=""/>
    <s v=""/>
    <m/>
    <m/>
    <m/>
    <m/>
    <m/>
    <m/>
    <x v="3"/>
    <m/>
  </r>
  <r>
    <x v="0"/>
    <x v="3"/>
    <x v="0"/>
    <s v="ENERGY_CERTIFICATE_EST_INPUT"/>
    <s v="NOMBRE_VIA"/>
    <x v="0"/>
    <s v="1. Concluído"/>
    <s v="Fase I"/>
    <s v="Package 1"/>
    <m/>
    <m/>
    <m/>
    <m/>
    <m/>
    <s v=""/>
    <s v=""/>
    <s v=""/>
    <m/>
    <m/>
    <m/>
    <m/>
    <m/>
    <m/>
    <x v="3"/>
    <m/>
  </r>
  <r>
    <x v="0"/>
    <x v="3"/>
    <x v="0"/>
    <s v="ENERGY_CERTIFICATE_EST_INPUT"/>
    <s v="NUMERO_VIA"/>
    <x v="0"/>
    <s v="1. Concluído"/>
    <s v="Fase I"/>
    <s v="Package 1"/>
    <m/>
    <m/>
    <m/>
    <m/>
    <m/>
    <s v=""/>
    <s v=""/>
    <s v=""/>
    <m/>
    <m/>
    <m/>
    <m/>
    <m/>
    <m/>
    <x v="3"/>
    <m/>
  </r>
  <r>
    <x v="0"/>
    <x v="3"/>
    <x v="0"/>
    <s v="ENERGY_CERTIFICATE_EST_INPUT"/>
    <s v="LOTE"/>
    <x v="0"/>
    <s v="1. Concluído"/>
    <s v="Fase I"/>
    <s v="Package 1"/>
    <m/>
    <m/>
    <m/>
    <m/>
    <m/>
    <s v=""/>
    <s v=""/>
    <s v=""/>
    <m/>
    <m/>
    <m/>
    <m/>
    <m/>
    <m/>
    <x v="3"/>
    <m/>
  </r>
  <r>
    <x v="0"/>
    <x v="3"/>
    <x v="0"/>
    <s v="ENERGY_CERTIFICATE_EST_INPUT"/>
    <s v="URBANIZACION"/>
    <x v="0"/>
    <s v="1. Concluído"/>
    <s v="Fase I"/>
    <s v="Package 1"/>
    <m/>
    <m/>
    <m/>
    <m/>
    <m/>
    <s v=""/>
    <s v=""/>
    <s v=""/>
    <m/>
    <m/>
    <m/>
    <m/>
    <m/>
    <m/>
    <x v="3"/>
    <m/>
  </r>
  <r>
    <x v="0"/>
    <x v="3"/>
    <x v="0"/>
    <s v="ENERGY_CERTIFICATE_EST_INPUT"/>
    <s v="CAGLURB"/>
    <x v="0"/>
    <s v="1. Concluído"/>
    <s v="Fase I"/>
    <s v="Package 1"/>
    <m/>
    <m/>
    <m/>
    <m/>
    <m/>
    <s v=""/>
    <s v=""/>
    <s v=""/>
    <m/>
    <m/>
    <m/>
    <m/>
    <m/>
    <m/>
    <x v="3"/>
    <m/>
  </r>
  <r>
    <x v="0"/>
    <x v="3"/>
    <x v="0"/>
    <s v="ENERGY_CERTIFICATE_EST_INPUT"/>
    <s v="RESTO_DIRECCION"/>
    <x v="0"/>
    <s v="1. Concluído"/>
    <s v="Fase I"/>
    <s v="Package 1"/>
    <m/>
    <m/>
    <m/>
    <m/>
    <m/>
    <s v=""/>
    <s v=""/>
    <s v=""/>
    <m/>
    <m/>
    <m/>
    <m/>
    <m/>
    <m/>
    <x v="3"/>
    <m/>
  </r>
  <r>
    <x v="0"/>
    <x v="3"/>
    <x v="0"/>
    <s v="ENERGY_CERTIFICATE_EST_INPUT"/>
    <s v="LATITUDE"/>
    <x v="0"/>
    <s v="1. Concluído"/>
    <s v="Fase I"/>
    <s v="Package 1"/>
    <m/>
    <m/>
    <m/>
    <m/>
    <m/>
    <s v=""/>
    <s v=""/>
    <s v=""/>
    <m/>
    <m/>
    <m/>
    <m/>
    <m/>
    <m/>
    <x v="3"/>
    <m/>
  </r>
  <r>
    <x v="0"/>
    <x v="3"/>
    <x v="0"/>
    <s v="ENERGY_CERTIFICATE_EST_INPUT"/>
    <s v="LONGITUDE"/>
    <x v="0"/>
    <s v="1. Concluído"/>
    <s v="Fase I"/>
    <s v="Package 1"/>
    <m/>
    <m/>
    <m/>
    <m/>
    <m/>
    <s v=""/>
    <s v=""/>
    <s v=""/>
    <m/>
    <m/>
    <m/>
    <m/>
    <m/>
    <m/>
    <x v="3"/>
    <m/>
  </r>
  <r>
    <x v="0"/>
    <x v="3"/>
    <x v="0"/>
    <s v="ENERGY_CERTIFICATE_EST_INPUT"/>
    <s v="CODIGO_POSTAL"/>
    <x v="0"/>
    <s v="1. Concluído"/>
    <s v="Fase I"/>
    <s v="Package 1"/>
    <m/>
    <m/>
    <m/>
    <m/>
    <m/>
    <s v=""/>
    <s v=""/>
    <s v=""/>
    <m/>
    <m/>
    <m/>
    <m/>
    <m/>
    <m/>
    <x v="3"/>
    <m/>
  </r>
  <r>
    <x v="0"/>
    <x v="3"/>
    <x v="0"/>
    <s v="ENERGY_CERTIFICATE_EST_INPUT"/>
    <s v="SUBCODIGO_POSTAL"/>
    <x v="0"/>
    <s v="1. Concluído"/>
    <s v="Fase I"/>
    <s v="Package 1"/>
    <m/>
    <m/>
    <m/>
    <m/>
    <m/>
    <s v=""/>
    <s v=""/>
    <s v=""/>
    <m/>
    <m/>
    <m/>
    <m/>
    <m/>
    <m/>
    <x v="3"/>
    <m/>
  </r>
  <r>
    <x v="0"/>
    <x v="3"/>
    <x v="0"/>
    <s v="ENERGY_CERTIFICATE_EST_INPUT"/>
    <s v="ASSUPERFICIE_UTIL"/>
    <x v="0"/>
    <s v="1. Concluído"/>
    <s v="Fase I"/>
    <s v="Package 1"/>
    <m/>
    <m/>
    <m/>
    <m/>
    <m/>
    <s v=""/>
    <s v=""/>
    <s v=""/>
    <m/>
    <m/>
    <m/>
    <m/>
    <m/>
    <m/>
    <x v="3"/>
    <m/>
  </r>
  <r>
    <x v="0"/>
    <x v="3"/>
    <x v="0"/>
    <s v="ENERGY_CERTIFICATE_EST_INPUT"/>
    <s v="ANIO_CONSTRUCCION"/>
    <x v="0"/>
    <s v="1. Concluído"/>
    <s v="Fase I"/>
    <s v="Package 1"/>
    <m/>
    <m/>
    <m/>
    <m/>
    <m/>
    <s v=""/>
    <s v=""/>
    <s v=""/>
    <m/>
    <m/>
    <m/>
    <m/>
    <m/>
    <m/>
    <x v="3"/>
    <m/>
  </r>
  <r>
    <x v="0"/>
    <x v="3"/>
    <x v="0"/>
    <s v="ENERGY_CERTIFICATE_EST_INPUT"/>
    <s v="TIPO_INMUEBLE_HABITACAO"/>
    <x v="0"/>
    <s v="1. Concluído"/>
    <s v="Fase I"/>
    <s v="Package 1"/>
    <m/>
    <m/>
    <m/>
    <m/>
    <m/>
    <s v=""/>
    <s v=""/>
    <s v=""/>
    <m/>
    <m/>
    <m/>
    <m/>
    <m/>
    <m/>
    <x v="3"/>
    <m/>
  </r>
  <r>
    <x v="0"/>
    <x v="3"/>
    <x v="0"/>
    <s v="ENERGY_CERTIFICATE_EST_INPUT"/>
    <s v="PISO_APARTAMENTO"/>
    <x v="0"/>
    <s v="1. Concluído"/>
    <s v="Fase I"/>
    <s v="Package 1"/>
    <m/>
    <m/>
    <m/>
    <m/>
    <m/>
    <s v=""/>
    <s v=""/>
    <s v=""/>
    <m/>
    <m/>
    <m/>
    <m/>
    <m/>
    <m/>
    <x v="3"/>
    <m/>
  </r>
  <r>
    <x v="0"/>
    <x v="3"/>
    <x v="0"/>
    <s v="ENERGY_CERTIFICATE_EST_INPUT"/>
    <s v="CASA_UNIFAMILIAR"/>
    <x v="0"/>
    <s v="1. Concluído"/>
    <s v="Fase I"/>
    <s v="Package 1"/>
    <m/>
    <m/>
    <m/>
    <m/>
    <m/>
    <s v=""/>
    <s v=""/>
    <s v=""/>
    <m/>
    <m/>
    <m/>
    <m/>
    <m/>
    <m/>
    <x v="3"/>
    <m/>
  </r>
  <r>
    <x v="0"/>
    <x v="3"/>
    <x v="0"/>
    <s v="ENERGY_CERTIFICATE_EST_INPUT"/>
    <s v="TIPO_INMUEBLE_COMERCIO_SERVICOS"/>
    <x v="0"/>
    <s v="1. Concluído"/>
    <s v="Fase I"/>
    <s v="Package 1"/>
    <m/>
    <m/>
    <m/>
    <m/>
    <m/>
    <s v=""/>
    <s v=""/>
    <s v=""/>
    <m/>
    <m/>
    <m/>
    <m/>
    <m/>
    <m/>
    <x v="3"/>
    <m/>
  </r>
  <r>
    <x v="0"/>
    <x v="3"/>
    <x v="0"/>
    <s v="ENERGY_CERTIFICATE_EST_INPUT"/>
    <s v="NOME_CONSERVATORIA"/>
    <x v="0"/>
    <s v="1. Concluído"/>
    <s v="Fase I"/>
    <s v="Package 1"/>
    <m/>
    <m/>
    <m/>
    <m/>
    <m/>
    <s v=""/>
    <s v=""/>
    <s v=""/>
    <m/>
    <m/>
    <m/>
    <m/>
    <m/>
    <m/>
    <x v="3"/>
    <m/>
  </r>
  <r>
    <x v="0"/>
    <x v="3"/>
    <x v="0"/>
    <s v="ENERGY_CERTIFICATE_EST_INPUT"/>
    <s v="COD_CONSERVATORIA"/>
    <x v="0"/>
    <s v="1. Concluído"/>
    <s v="Fase I"/>
    <s v="Package 1"/>
    <m/>
    <m/>
    <m/>
    <m/>
    <m/>
    <s v=""/>
    <s v=""/>
    <s v=""/>
    <m/>
    <m/>
    <m/>
    <m/>
    <m/>
    <m/>
    <x v="3"/>
    <m/>
  </r>
  <r>
    <x v="0"/>
    <x v="3"/>
    <x v="0"/>
    <s v="ENERGY_CERTIFICATE_EST_INPUT"/>
    <s v="REGISTRO_CONSERVATORIA"/>
    <x v="0"/>
    <s v="1. Concluído"/>
    <s v="Fase I"/>
    <s v="Package 1"/>
    <m/>
    <m/>
    <m/>
    <m/>
    <m/>
    <s v=""/>
    <s v=""/>
    <s v=""/>
    <m/>
    <m/>
    <m/>
    <m/>
    <m/>
    <m/>
    <x v="3"/>
    <m/>
  </r>
  <r>
    <x v="0"/>
    <x v="3"/>
    <x v="0"/>
    <s v="ENERGY_CERTIFICATE_EST_INPUT"/>
    <s v="ART_MATRICIAIS"/>
    <x v="0"/>
    <s v="1. Concluído"/>
    <s v="Fase I"/>
    <s v="Package 1"/>
    <m/>
    <m/>
    <m/>
    <m/>
    <m/>
    <s v=""/>
    <s v=""/>
    <s v=""/>
    <m/>
    <m/>
    <m/>
    <m/>
    <m/>
    <m/>
    <x v="3"/>
    <m/>
  </r>
  <r>
    <x v="0"/>
    <x v="3"/>
    <x v="0"/>
    <s v="ENERGY_CERTIFICATE_EST_INPUT"/>
    <s v="FRACCAO_AUTONOMA"/>
    <x v="0"/>
    <s v="1. Concluído"/>
    <s v="Fase I"/>
    <s v="Package 1"/>
    <m/>
    <m/>
    <m/>
    <m/>
    <m/>
    <s v=""/>
    <s v=""/>
    <s v=""/>
    <m/>
    <m/>
    <m/>
    <m/>
    <m/>
    <m/>
    <x v="3"/>
    <m/>
  </r>
  <r>
    <x v="0"/>
    <x v="3"/>
    <x v="0"/>
    <s v="ENERGY_CERTIFICATE_EST_INPUT"/>
    <s v="FINALIDADE_BEM"/>
    <x v="0"/>
    <s v="1. Concluído"/>
    <s v="Fase I"/>
    <s v="Package 1"/>
    <m/>
    <m/>
    <m/>
    <m/>
    <m/>
    <s v=""/>
    <s v=""/>
    <s v=""/>
    <m/>
    <m/>
    <m/>
    <m/>
    <m/>
    <m/>
    <x v="3"/>
    <m/>
  </r>
  <r>
    <x v="0"/>
    <x v="3"/>
    <x v="0"/>
    <s v="ENERGY_CERTIFICATE_EST_INPUT"/>
    <s v="CLASS_GPT31"/>
    <x v="0"/>
    <s v="1. Concluído"/>
    <s v="Fase I"/>
    <s v="Package 1"/>
    <m/>
    <m/>
    <m/>
    <m/>
    <m/>
    <s v=""/>
    <s v=""/>
    <s v=""/>
    <m/>
    <m/>
    <m/>
    <m/>
    <m/>
    <m/>
    <x v="3"/>
    <m/>
  </r>
  <r>
    <x v="0"/>
    <x v="3"/>
    <x v="0"/>
    <s v="ENERGY_CERTIFICATE_EST_INPUT"/>
    <s v="CLASS_STCLIM"/>
    <x v="0"/>
    <s v="1. Concluído"/>
    <s v="Fase I"/>
    <s v="Package 1"/>
    <m/>
    <m/>
    <m/>
    <m/>
    <m/>
    <s v=""/>
    <s v=""/>
    <s v=""/>
    <m/>
    <m/>
    <m/>
    <m/>
    <m/>
    <m/>
    <x v="3"/>
    <m/>
  </r>
  <r>
    <x v="0"/>
    <x v="3"/>
    <x v="0"/>
    <s v="ENERGY_CERTIFICATE_EST_INPUT"/>
    <s v="CONF_STCLIM"/>
    <x v="0"/>
    <s v="1. Concluído"/>
    <s v="Fase I"/>
    <s v="Package 1"/>
    <m/>
    <m/>
    <m/>
    <m/>
    <m/>
    <s v=""/>
    <s v=""/>
    <s v=""/>
    <m/>
    <m/>
    <m/>
    <m/>
    <m/>
    <m/>
    <x v="3"/>
    <m/>
  </r>
  <r>
    <x v="0"/>
    <x v="3"/>
    <x v="0"/>
    <s v="ENERGY_CERTIFICATE_EST_INPUT"/>
    <s v="CLASSE_ENERGETICA"/>
    <x v="0"/>
    <s v="1. Concluído"/>
    <s v="Fase I"/>
    <s v="Package 1"/>
    <m/>
    <m/>
    <m/>
    <m/>
    <m/>
    <s v=""/>
    <s v=""/>
    <s v=""/>
    <m/>
    <m/>
    <m/>
    <m/>
    <m/>
    <m/>
    <x v="2"/>
    <m/>
  </r>
  <r>
    <x v="0"/>
    <x v="3"/>
    <x v="0"/>
    <s v="ENERGY_CERTIFICATE_EST_INPUT"/>
    <s v="FIABILIDAD"/>
    <x v="0"/>
    <s v="1. Concluído"/>
    <s v="Fase I"/>
    <s v="Package 1"/>
    <m/>
    <m/>
    <m/>
    <m/>
    <m/>
    <s v=""/>
    <s v=""/>
    <s v=""/>
    <m/>
    <m/>
    <m/>
    <m/>
    <m/>
    <m/>
    <x v="2"/>
    <m/>
  </r>
  <r>
    <x v="0"/>
    <x v="3"/>
    <x v="0"/>
    <s v="ENERGY_CERTIFICATE_EST_INPUT"/>
    <s v="EMISSIONES"/>
    <x v="0"/>
    <s v="1. Concluído"/>
    <s v="Fase I"/>
    <s v="Package 1"/>
    <m/>
    <m/>
    <m/>
    <m/>
    <m/>
    <s v=""/>
    <s v=""/>
    <s v=""/>
    <m/>
    <m/>
    <m/>
    <m/>
    <m/>
    <m/>
    <x v="2"/>
    <m/>
  </r>
  <r>
    <x v="0"/>
    <x v="3"/>
    <x v="0"/>
    <s v="ENERGY_CERTIFICATE_EST_INPUT"/>
    <s v="CONSUMOS"/>
    <x v="0"/>
    <s v="1. Concluído"/>
    <s v="Fase I"/>
    <s v="Package 1"/>
    <m/>
    <m/>
    <m/>
    <m/>
    <m/>
    <s v=""/>
    <s v=""/>
    <s v=""/>
    <m/>
    <m/>
    <m/>
    <m/>
    <m/>
    <m/>
    <x v="2"/>
    <m/>
  </r>
  <r>
    <x v="0"/>
    <x v="3"/>
    <x v="0"/>
    <s v="ENERGY_CERTIFICATE_EST_INPUT"/>
    <s v="DATA_ENVIO"/>
    <x v="0"/>
    <s v="1. Concluído"/>
    <s v="Fase I"/>
    <s v="Package 1"/>
    <m/>
    <m/>
    <m/>
    <m/>
    <m/>
    <s v=""/>
    <s v=""/>
    <s v=""/>
    <m/>
    <m/>
    <m/>
    <m/>
    <m/>
    <m/>
    <x v="2"/>
    <m/>
  </r>
  <r>
    <x v="0"/>
    <x v="0"/>
    <x v="0"/>
    <s v="PROPERTY_ENERGY_CERTIFICATE"/>
    <s v="EPC"/>
    <x v="0"/>
    <s v="1. Concluído"/>
    <m/>
    <s v="Package 1"/>
    <m/>
    <m/>
    <m/>
    <m/>
    <m/>
    <s v=""/>
    <s v=""/>
    <s v=""/>
    <m/>
    <m/>
    <m/>
    <m/>
    <m/>
    <m/>
    <x v="0"/>
    <m/>
  </r>
  <r>
    <x v="0"/>
    <x v="0"/>
    <x v="0"/>
    <s v="PROPERTY_ENERGY_CERTIFICATE"/>
    <s v="PRMRY_ENRGY_DMND_RFRNC_VL"/>
    <x v="0"/>
    <s v="1. Concluído"/>
    <m/>
    <m/>
    <m/>
    <m/>
    <m/>
    <m/>
    <m/>
    <s v=""/>
    <s v=""/>
    <s v=""/>
    <m/>
    <m/>
    <m/>
    <m/>
    <m/>
    <m/>
    <x v="0"/>
    <m/>
  </r>
  <r>
    <x v="0"/>
    <x v="0"/>
    <x v="0"/>
    <s v="PROPERTY_ENERGY_CERTIFICATE"/>
    <s v="CARBON_EMISSION_VALUE_YEAR"/>
    <x v="0"/>
    <s v="1. Concluído"/>
    <m/>
    <s v="Package 8"/>
    <s v="Package 22"/>
    <d v="2025-03-14T00:00:00"/>
    <d v="2025-03-21T00:00:00"/>
    <m/>
    <m/>
    <s v=""/>
    <s v=""/>
    <s v=""/>
    <m/>
    <m/>
    <m/>
    <m/>
    <m/>
    <m/>
    <x v="0"/>
    <m/>
  </r>
  <r>
    <x v="0"/>
    <x v="4"/>
    <x v="0"/>
    <s v="modesg_inp_risco_fisico_zipcode"/>
    <s v="cod_pais"/>
    <x v="0"/>
    <s v="1. Concluído"/>
    <m/>
    <s v="Package 2"/>
    <m/>
    <m/>
    <m/>
    <m/>
    <m/>
    <s v=""/>
    <s v=""/>
    <s v=""/>
    <m/>
    <m/>
    <s v="Novo Projeto - Em especificação"/>
    <m/>
    <m/>
    <m/>
    <x v="1"/>
    <s v="HF"/>
  </r>
  <r>
    <x v="0"/>
    <x v="4"/>
    <x v="0"/>
    <s v="modesg_inp_risco_fisico_zipcode"/>
    <s v="localizacao"/>
    <x v="0"/>
    <s v="1. Concluído"/>
    <m/>
    <s v="Package 2"/>
    <m/>
    <m/>
    <m/>
    <m/>
    <m/>
    <s v=""/>
    <s v=""/>
    <s v=""/>
    <m/>
    <m/>
    <s v="Novo Projeto - Em especificação"/>
    <m/>
    <m/>
    <m/>
    <x v="1"/>
    <s v="HF"/>
  </r>
  <r>
    <x v="0"/>
    <x v="4"/>
    <x v="0"/>
    <s v="modesg_inp_risco_fisico_zipcode"/>
    <s v="cod_nace_esg"/>
    <x v="0"/>
    <s v="1. Concluído"/>
    <m/>
    <s v="Package 2"/>
    <m/>
    <m/>
    <m/>
    <m/>
    <m/>
    <s v=""/>
    <s v=""/>
    <s v=""/>
    <m/>
    <m/>
    <s v="Novo Projeto - Em especificação"/>
    <m/>
    <m/>
    <m/>
    <x v="1"/>
    <s v="HF"/>
  </r>
  <r>
    <x v="0"/>
    <x v="4"/>
    <x v="0"/>
    <s v="modesg_inp_risco_fisico_zipcode"/>
    <s v="flg_rsc_fsc_agd"/>
    <x v="0"/>
    <s v="1. Concluído"/>
    <m/>
    <s v="Package 2"/>
    <m/>
    <m/>
    <m/>
    <m/>
    <m/>
    <s v=""/>
    <s v=""/>
    <s v=""/>
    <m/>
    <m/>
    <s v="Novo Projeto - Em especificação"/>
    <m/>
    <m/>
    <m/>
    <x v="1"/>
    <s v="HF"/>
  </r>
  <r>
    <x v="0"/>
    <x v="4"/>
    <x v="0"/>
    <s v="modesg_inp_risco_fisico_zipcode"/>
    <s v="flg_rsc_fsc_crnc"/>
    <x v="0"/>
    <s v="1. Concluído"/>
    <m/>
    <s v="Package 2"/>
    <m/>
    <m/>
    <m/>
    <m/>
    <m/>
    <s v=""/>
    <s v=""/>
    <s v=""/>
    <m/>
    <m/>
    <s v="Novo Projeto - Em especificação"/>
    <m/>
    <m/>
    <m/>
    <x v="1"/>
    <s v="HF"/>
  </r>
  <r>
    <x v="0"/>
    <x v="2"/>
    <x v="0"/>
    <s v="modesg_out_bens_imoveis"/>
    <s v="flg_rsc_fsc_agd"/>
    <x v="0"/>
    <s v="1. Concluído"/>
    <m/>
    <s v="Package 2"/>
    <s v="Package x"/>
    <m/>
    <m/>
    <m/>
    <m/>
    <s v=""/>
    <s v=""/>
    <s v=""/>
    <m/>
    <m/>
    <s v="Novo Projeto - Em especificação"/>
    <m/>
    <m/>
    <m/>
    <x v="0"/>
    <s v="HF"/>
  </r>
  <r>
    <x v="0"/>
    <x v="2"/>
    <x v="0"/>
    <s v="modesg_out_bens_imoveis"/>
    <s v="flg_rsc_fsc_crnc"/>
    <x v="0"/>
    <s v="1. Concluído"/>
    <m/>
    <s v="Package 2"/>
    <s v="Package x"/>
    <m/>
    <m/>
    <m/>
    <m/>
    <s v=""/>
    <s v=""/>
    <s v=""/>
    <m/>
    <m/>
    <s v="Novo Projeto - Em especificação"/>
    <m/>
    <m/>
    <m/>
    <x v="0"/>
    <s v="HF"/>
  </r>
  <r>
    <x v="0"/>
    <x v="2"/>
    <x v="0"/>
    <s v="modesg_out_bens_imoveis"/>
    <s v="origem_flg_rsc_fsc_agd"/>
    <x v="0"/>
    <s v="1. Concluído"/>
    <m/>
    <s v="Package 2"/>
    <s v="Package x"/>
    <m/>
    <m/>
    <m/>
    <m/>
    <s v=""/>
    <s v=""/>
    <s v=""/>
    <m/>
    <m/>
    <s v="Novo Projeto - Em especificação"/>
    <m/>
    <m/>
    <m/>
    <x v="0"/>
    <m/>
  </r>
  <r>
    <x v="0"/>
    <x v="2"/>
    <x v="0"/>
    <s v="modesg_out_bens_imoveis"/>
    <s v="origem_flg_rsc_fsc_crnc"/>
    <x v="0"/>
    <s v="1. Concluído"/>
    <m/>
    <s v="Package 2"/>
    <s v="Package x"/>
    <m/>
    <m/>
    <m/>
    <m/>
    <s v=""/>
    <s v=""/>
    <s v=""/>
    <m/>
    <m/>
    <s v="Novo Projeto - Em especificação"/>
    <m/>
    <m/>
    <m/>
    <x v="0"/>
    <m/>
  </r>
  <r>
    <x v="0"/>
    <x v="2"/>
    <x v="0"/>
    <s v="modesg_out_empr_info_nfin"/>
    <s v="origem_scp1_emss"/>
    <x v="0"/>
    <s v="1. Concluído"/>
    <m/>
    <m/>
    <s v="Package x"/>
    <m/>
    <m/>
    <m/>
    <m/>
    <s v=""/>
    <s v=""/>
    <s v=""/>
    <m/>
    <m/>
    <m/>
    <m/>
    <m/>
    <m/>
    <x v="0"/>
    <s v="HF"/>
  </r>
  <r>
    <x v="0"/>
    <x v="2"/>
    <x v="0"/>
    <s v="modesg_out_empr_info_nfin"/>
    <s v="origem_scp2_emss"/>
    <x v="0"/>
    <s v="1. Concluído"/>
    <m/>
    <m/>
    <s v="Package x"/>
    <m/>
    <m/>
    <m/>
    <m/>
    <s v=""/>
    <s v=""/>
    <s v=""/>
    <m/>
    <m/>
    <m/>
    <m/>
    <m/>
    <m/>
    <x v="0"/>
    <s v="HF"/>
  </r>
  <r>
    <x v="0"/>
    <x v="2"/>
    <x v="0"/>
    <s v="modesg_out_empr_info_nfin"/>
    <s v="origem_scp3_emss"/>
    <x v="0"/>
    <s v="1. Concluído"/>
    <m/>
    <m/>
    <s v="Package x"/>
    <m/>
    <m/>
    <m/>
    <m/>
    <s v=""/>
    <s v=""/>
    <s v=""/>
    <m/>
    <m/>
    <m/>
    <m/>
    <m/>
    <m/>
    <x v="0"/>
    <s v="HF"/>
  </r>
  <r>
    <x v="0"/>
    <x v="2"/>
    <x v="0"/>
    <s v="modesg_out_empr_info_nfin"/>
    <s v="scp1_emss"/>
    <x v="0"/>
    <s v="1. Concluído"/>
    <m/>
    <m/>
    <s v="Package x"/>
    <m/>
    <m/>
    <m/>
    <m/>
    <s v=""/>
    <s v=""/>
    <s v=""/>
    <m/>
    <m/>
    <m/>
    <m/>
    <m/>
    <m/>
    <x v="0"/>
    <s v="HF"/>
  </r>
  <r>
    <x v="0"/>
    <x v="2"/>
    <x v="0"/>
    <s v="modesg_out_empr_info_nfin"/>
    <s v="scp2_emss"/>
    <x v="0"/>
    <s v="1. Concluído"/>
    <m/>
    <m/>
    <s v="Package x"/>
    <m/>
    <m/>
    <m/>
    <m/>
    <s v=""/>
    <s v=""/>
    <s v=""/>
    <m/>
    <m/>
    <m/>
    <m/>
    <m/>
    <m/>
    <x v="0"/>
    <s v="HF"/>
  </r>
  <r>
    <x v="0"/>
    <x v="2"/>
    <x v="0"/>
    <s v="modesg_out_empr_info_nfin"/>
    <s v="scp3_emss"/>
    <x v="0"/>
    <s v="1. Concluído"/>
    <m/>
    <m/>
    <s v="Package x"/>
    <m/>
    <m/>
    <m/>
    <m/>
    <s v=""/>
    <s v=""/>
    <s v=""/>
    <m/>
    <m/>
    <m/>
    <m/>
    <m/>
    <m/>
    <x v="0"/>
    <s v="HF"/>
  </r>
  <r>
    <x v="0"/>
    <x v="2"/>
    <x v="0"/>
    <s v="modesg_out_empr_info_nfin"/>
    <s v="divida_total"/>
    <x v="0"/>
    <s v="1. Concluído"/>
    <m/>
    <m/>
    <s v="Package x"/>
    <m/>
    <m/>
    <m/>
    <m/>
    <s v=""/>
    <s v=""/>
    <s v=""/>
    <m/>
    <m/>
    <m/>
    <m/>
    <m/>
    <m/>
    <x v="0"/>
    <s v="HF"/>
  </r>
  <r>
    <x v="0"/>
    <x v="2"/>
    <x v="0"/>
    <s v="modesg_out_empr_info_nfin"/>
    <s v="capital_proprio"/>
    <x v="0"/>
    <s v="1. Concluído"/>
    <m/>
    <m/>
    <s v="Package x"/>
    <m/>
    <m/>
    <m/>
    <m/>
    <s v=""/>
    <s v=""/>
    <s v=""/>
    <m/>
    <m/>
    <m/>
    <m/>
    <m/>
    <m/>
    <x v="0"/>
    <s v="HF"/>
  </r>
  <r>
    <x v="0"/>
    <x v="1"/>
    <x v="0"/>
    <s v="lt004_protection"/>
    <s v="flg_act_physcl_rsk"/>
    <x v="0"/>
    <s v="1. Concluído"/>
    <m/>
    <m/>
    <s v="Package x"/>
    <m/>
    <m/>
    <m/>
    <m/>
    <s v=""/>
    <s v=""/>
    <s v=""/>
    <m/>
    <m/>
    <m/>
    <m/>
    <m/>
    <m/>
    <x v="0"/>
    <m/>
  </r>
  <r>
    <x v="0"/>
    <x v="1"/>
    <x v="0"/>
    <s v="lt004_protection"/>
    <s v="flg_chrnc_physcl_rsk"/>
    <x v="0"/>
    <s v="1. Concluído"/>
    <m/>
    <m/>
    <s v="Package x"/>
    <m/>
    <m/>
    <m/>
    <m/>
    <s v=""/>
    <s v=""/>
    <s v=""/>
    <m/>
    <m/>
    <m/>
    <m/>
    <m/>
    <m/>
    <x v="0"/>
    <m/>
  </r>
  <r>
    <x v="0"/>
    <x v="2"/>
    <x v="0"/>
    <s v="modesg_out_empr_info_nfin"/>
    <s v="cod_nace_esg"/>
    <x v="0"/>
    <s v="1. Concluído"/>
    <m/>
    <s v="Package 1"/>
    <s v="Package x"/>
    <m/>
    <m/>
    <m/>
    <m/>
    <s v=""/>
    <s v=""/>
    <s v=""/>
    <m/>
    <m/>
    <m/>
    <m/>
    <m/>
    <m/>
    <x v="0"/>
    <s v="JB"/>
  </r>
  <r>
    <x v="0"/>
    <x v="2"/>
    <x v="0"/>
    <s v="modesg_out_empr_info_nfin"/>
    <s v="flg_rsc_fsc_agd"/>
    <x v="0"/>
    <s v="1. Concluído"/>
    <m/>
    <s v="Package 2"/>
    <s v="Package x"/>
    <m/>
    <m/>
    <m/>
    <m/>
    <s v=""/>
    <s v=""/>
    <s v=""/>
    <m/>
    <m/>
    <s v="Novo Projeto - Em especificação"/>
    <m/>
    <m/>
    <m/>
    <x v="4"/>
    <s v="HF"/>
  </r>
  <r>
    <x v="0"/>
    <x v="2"/>
    <x v="0"/>
    <s v="modesg_out_empr_info_nfin"/>
    <s v="flg_rsc_fsc_crnc"/>
    <x v="0"/>
    <s v="1. Concluído"/>
    <m/>
    <s v="Package 2"/>
    <s v="Package x"/>
    <m/>
    <m/>
    <m/>
    <m/>
    <s v=""/>
    <s v=""/>
    <s v=""/>
    <m/>
    <m/>
    <s v="Novo Projeto - Em especificação"/>
    <m/>
    <m/>
    <m/>
    <x v="4"/>
    <s v="HF"/>
  </r>
  <r>
    <x v="0"/>
    <x v="2"/>
    <x v="0"/>
    <s v="modesg_out_empr_info_nfin"/>
    <s v="origem_flg_rsc_fsc_agd"/>
    <x v="0"/>
    <s v="1. Concluído"/>
    <m/>
    <s v="Package 2"/>
    <s v="Package x"/>
    <m/>
    <m/>
    <m/>
    <m/>
    <s v=""/>
    <s v=""/>
    <s v=""/>
    <m/>
    <m/>
    <s v="Novo Projeto - Em especificação"/>
    <m/>
    <m/>
    <m/>
    <x v="4"/>
    <s v="HF"/>
  </r>
  <r>
    <x v="0"/>
    <x v="2"/>
    <x v="0"/>
    <s v="modesg_out_empr_info_nfin"/>
    <s v="origem_flg_rsc_fsc_crnc"/>
    <x v="0"/>
    <s v="1. Concluído"/>
    <m/>
    <s v="Package 2"/>
    <s v="Package x"/>
    <m/>
    <m/>
    <m/>
    <m/>
    <s v=""/>
    <s v=""/>
    <s v=""/>
    <m/>
    <m/>
    <s v="Novo Projeto - Em especificação"/>
    <m/>
    <m/>
    <m/>
    <x v="4"/>
    <s v="HF"/>
  </r>
  <r>
    <x v="0"/>
    <x v="0"/>
    <x v="0"/>
    <s v="PROPERTY_ENERGY_CERTIFICATE"/>
    <s v="EP_SCORE"/>
    <x v="0"/>
    <s v="4. Validação EF"/>
    <m/>
    <s v="Package 6"/>
    <s v="Package 22"/>
    <s v="A confirmar data de entrega"/>
    <d v="2025-03-21T00:00:00"/>
    <m/>
    <m/>
    <s v=""/>
    <s v=""/>
    <s v=""/>
    <m/>
    <m/>
    <m/>
    <m/>
    <m/>
    <m/>
    <x v="0"/>
    <m/>
  </r>
  <r>
    <x v="0"/>
    <x v="0"/>
    <x v="0"/>
    <s v="PROPERTY_ENERGY_CERTIFICATE"/>
    <s v="ENERGY_CONSUMPTION_VALUE_YEAR"/>
    <x v="0"/>
    <s v="1. Concluído"/>
    <m/>
    <s v="Package 6"/>
    <s v="Package 22"/>
    <d v="2025-03-14T00:00:00"/>
    <d v="2025-03-21T00:00:00"/>
    <m/>
    <m/>
    <s v=""/>
    <s v=""/>
    <s v=""/>
    <m/>
    <m/>
    <m/>
    <m/>
    <m/>
    <m/>
    <x v="0"/>
    <m/>
  </r>
  <r>
    <x v="0"/>
    <x v="4"/>
    <x v="0"/>
    <s v="modesg_param_sfics_taxon_europeia"/>
    <s v="cod_regra"/>
    <x v="0"/>
    <s v="1. Concluído"/>
    <m/>
    <m/>
    <s v="Package 22"/>
    <s v="A confirmar data de entrega"/>
    <d v="2025-03-21T00:00:00"/>
    <m/>
    <m/>
    <s v=""/>
    <s v=""/>
    <s v=""/>
    <m/>
    <m/>
    <m/>
    <m/>
    <m/>
    <m/>
    <x v="0"/>
    <s v="RC"/>
  </r>
  <r>
    <x v="0"/>
    <x v="4"/>
    <x v="0"/>
    <s v="modesg_param_sfics_taxon_europeia"/>
    <s v="nivel"/>
    <x v="3"/>
    <s v="0. Cancelado"/>
    <m/>
    <m/>
    <m/>
    <m/>
    <m/>
    <m/>
    <m/>
    <s v=""/>
    <s v=""/>
    <s v=""/>
    <m/>
    <m/>
    <m/>
    <m/>
    <m/>
    <m/>
    <x v="0"/>
    <s v="RC"/>
  </r>
  <r>
    <x v="0"/>
    <x v="4"/>
    <x v="0"/>
    <s v="modesg_param_sfics_taxon_europeia"/>
    <s v="grupo_regra"/>
    <x v="3"/>
    <s v="0. Cancelado"/>
    <m/>
    <m/>
    <s v="Package 22"/>
    <d v="2025-03-17T00:00:00"/>
    <d v="2025-03-21T00:00:00"/>
    <m/>
    <m/>
    <s v=""/>
    <s v=""/>
    <s v=""/>
    <m/>
    <m/>
    <m/>
    <m/>
    <m/>
    <m/>
    <x v="5"/>
    <m/>
  </r>
  <r>
    <x v="0"/>
    <x v="4"/>
    <x v="0"/>
    <s v="modesg_param_sfics_taxon_europeia"/>
    <s v="dscrc"/>
    <x v="0"/>
    <s v="1. Concluído"/>
    <m/>
    <m/>
    <s v="Package 22"/>
    <s v="A confirmar data de entrega"/>
    <d v="2025-03-21T00:00:00"/>
    <m/>
    <m/>
    <s v=""/>
    <s v=""/>
    <s v=""/>
    <m/>
    <m/>
    <m/>
    <m/>
    <m/>
    <m/>
    <x v="0"/>
    <s v="RC"/>
  </r>
  <r>
    <x v="0"/>
    <x v="4"/>
    <x v="0"/>
    <s v="modesg_param_sfics_taxon_europeia"/>
    <s v="comite"/>
    <x v="0"/>
    <s v="1. Concluído"/>
    <m/>
    <m/>
    <s v="Package 22"/>
    <s v="A confirmar data de entrega"/>
    <d v="2025-03-21T00:00:00"/>
    <m/>
    <m/>
    <s v=""/>
    <s v=""/>
    <s v=""/>
    <m/>
    <m/>
    <m/>
    <m/>
    <m/>
    <m/>
    <x v="0"/>
    <s v="RC"/>
  </r>
  <r>
    <x v="0"/>
    <x v="4"/>
    <x v="0"/>
    <s v="modesg_param_sfics_taxon_europeia"/>
    <s v="data_aprvc"/>
    <x v="0"/>
    <s v="1. Concluído"/>
    <m/>
    <m/>
    <s v="Package 22"/>
    <s v="A confirmar data de entrega"/>
    <d v="2025-03-21T00:00:00"/>
    <m/>
    <m/>
    <s v=""/>
    <s v=""/>
    <s v=""/>
    <m/>
    <m/>
    <m/>
    <m/>
    <m/>
    <m/>
    <x v="0"/>
    <s v="RC"/>
  </r>
  <r>
    <x v="0"/>
    <x v="4"/>
    <x v="0"/>
    <s v="modesg_param_sfics_taxon_europeia"/>
    <s v="data_inicial"/>
    <x v="0"/>
    <s v="1. Concluído"/>
    <m/>
    <m/>
    <s v="Package 22"/>
    <s v="A confirmar data de entrega"/>
    <d v="2025-03-21T00:00:00"/>
    <m/>
    <m/>
    <s v=""/>
    <s v=""/>
    <s v=""/>
    <m/>
    <m/>
    <m/>
    <m/>
    <m/>
    <m/>
    <x v="0"/>
    <s v="RC"/>
  </r>
  <r>
    <x v="0"/>
    <x v="4"/>
    <x v="0"/>
    <s v="modesg_param_sfics_taxon_europeia"/>
    <s v="data_final"/>
    <x v="0"/>
    <s v="1. Concluído"/>
    <m/>
    <m/>
    <s v="Package 22"/>
    <s v="A confirmar data de entrega"/>
    <d v="2025-03-21T00:00:00"/>
    <m/>
    <m/>
    <s v=""/>
    <s v=""/>
    <s v=""/>
    <m/>
    <m/>
    <m/>
    <m/>
    <m/>
    <m/>
    <x v="0"/>
    <s v="RC"/>
  </r>
  <r>
    <x v="0"/>
    <x v="4"/>
    <x v="0"/>
    <s v="modesg_param_sfics_taxon_europeia"/>
    <s v="zcliente"/>
    <x v="0"/>
    <s v="1. Concluído"/>
    <m/>
    <m/>
    <s v="Package 22"/>
    <s v="A confirmar data de entrega"/>
    <d v="2025-03-21T00:00:00"/>
    <m/>
    <m/>
    <s v=""/>
    <s v=""/>
    <s v=""/>
    <m/>
    <m/>
    <m/>
    <m/>
    <m/>
    <m/>
    <x v="0"/>
    <s v="RC"/>
  </r>
  <r>
    <x v="0"/>
    <x v="4"/>
    <x v="0"/>
    <s v="modesg_param_sfics_taxon_europeia"/>
    <s v="cempcta"/>
    <x v="0"/>
    <s v="1. Concluído"/>
    <m/>
    <m/>
    <s v="Package 22"/>
    <s v="A confirmar data de entrega"/>
    <d v="2025-03-21T00:00:00"/>
    <m/>
    <m/>
    <s v=""/>
    <s v=""/>
    <s v=""/>
    <m/>
    <m/>
    <m/>
    <m/>
    <m/>
    <m/>
    <x v="3"/>
    <s v="RC"/>
  </r>
  <r>
    <x v="0"/>
    <x v="4"/>
    <x v="0"/>
    <s v="modesg_param_sfics_taxon_europeia"/>
    <s v="ckbalcao"/>
    <x v="0"/>
    <s v="1. Concluído"/>
    <m/>
    <m/>
    <s v="Package 22"/>
    <s v="A confirmar data de entrega"/>
    <d v="2025-03-21T00:00:00"/>
    <m/>
    <m/>
    <s v=""/>
    <s v=""/>
    <s v=""/>
    <m/>
    <m/>
    <m/>
    <m/>
    <m/>
    <m/>
    <x v="0"/>
    <s v="RC"/>
  </r>
  <r>
    <x v="0"/>
    <x v="4"/>
    <x v="0"/>
    <s v="modesg_param_sfics_taxon_europeia"/>
    <s v="cknumcta"/>
    <x v="0"/>
    <s v="1. Concluído"/>
    <m/>
    <m/>
    <s v="Package 22"/>
    <s v="A confirmar data de entrega"/>
    <d v="2025-03-21T00:00:00"/>
    <m/>
    <m/>
    <s v=""/>
    <s v=""/>
    <s v=""/>
    <m/>
    <m/>
    <m/>
    <m/>
    <m/>
    <m/>
    <x v="0"/>
    <s v="RC"/>
  </r>
  <r>
    <x v="0"/>
    <x v="4"/>
    <x v="0"/>
    <s v="modesg_param_sfics_taxon_europeia"/>
    <s v="zdeposit"/>
    <x v="0"/>
    <s v="1. Concluído"/>
    <m/>
    <m/>
    <s v="Package 22"/>
    <s v="A confirmar data de entrega"/>
    <d v="2025-03-21T00:00:00"/>
    <m/>
    <m/>
    <s v=""/>
    <s v=""/>
    <s v=""/>
    <m/>
    <m/>
    <m/>
    <m/>
    <m/>
    <m/>
    <x v="0"/>
    <s v="RC"/>
  </r>
  <r>
    <x v="0"/>
    <x v="4"/>
    <x v="0"/>
    <s v="modesg_param_sfics_taxon_europeia"/>
    <s v="ckmetamis"/>
    <x v="0"/>
    <s v="1. Concluído"/>
    <m/>
    <m/>
    <s v="Package 22"/>
    <s v="A confirmar data de entrega"/>
    <d v="2025-03-21T00:00:00"/>
    <m/>
    <m/>
    <s v=""/>
    <s v=""/>
    <s v=""/>
    <m/>
    <m/>
    <m/>
    <m/>
    <m/>
    <m/>
    <x v="0"/>
    <s v="RC"/>
  </r>
  <r>
    <x v="0"/>
    <x v="4"/>
    <x v="0"/>
    <s v="modesg_param_sfics_taxon_europeia"/>
    <s v="ckprodmi"/>
    <x v="0"/>
    <s v="1. Concluído"/>
    <m/>
    <m/>
    <s v="Package 22"/>
    <s v="A confirmar data de entrega"/>
    <d v="2025-03-21T00:00:00"/>
    <m/>
    <m/>
    <s v=""/>
    <s v=""/>
    <s v=""/>
    <m/>
    <m/>
    <m/>
    <m/>
    <m/>
    <m/>
    <x v="0"/>
    <s v="RC"/>
  </r>
  <r>
    <x v="0"/>
    <x v="4"/>
    <x v="0"/>
    <s v="modesg_param_sfics_taxon_europeia"/>
    <s v="cmetanseg"/>
    <x v="0"/>
    <s v="1. Concluído"/>
    <m/>
    <m/>
    <s v="Package 22"/>
    <s v="A confirmar data de entrega"/>
    <d v="2025-03-21T00:00:00"/>
    <m/>
    <m/>
    <s v=""/>
    <s v=""/>
    <s v=""/>
    <m/>
    <m/>
    <m/>
    <m/>
    <m/>
    <m/>
    <x v="0"/>
    <s v="RC"/>
  </r>
  <r>
    <x v="0"/>
    <x v="4"/>
    <x v="0"/>
    <s v="modesg_param_sfics_taxon_europeia"/>
    <s v="epc"/>
    <x v="0"/>
    <s v="1. Concluído"/>
    <m/>
    <m/>
    <s v="Package 22"/>
    <s v="A confirmar data de entrega"/>
    <d v="2025-03-21T00:00:00"/>
    <m/>
    <m/>
    <s v=""/>
    <s v=""/>
    <s v=""/>
    <m/>
    <m/>
    <m/>
    <m/>
    <m/>
    <m/>
    <x v="3"/>
    <s v="RC"/>
  </r>
  <r>
    <x v="0"/>
    <x v="4"/>
    <x v="0"/>
    <s v="modesg_param_sfics_taxon_europeia"/>
    <s v="ambito"/>
    <x v="0"/>
    <s v="1. Concluído"/>
    <m/>
    <m/>
    <s v="Package 22"/>
    <s v="A confirmar data de entrega"/>
    <d v="2025-03-21T00:00:00"/>
    <m/>
    <m/>
    <s v=""/>
    <s v=""/>
    <s v=""/>
    <m/>
    <m/>
    <m/>
    <m/>
    <m/>
    <m/>
    <x v="0"/>
    <s v="RC"/>
  </r>
  <r>
    <x v="0"/>
    <x v="4"/>
    <x v="0"/>
    <s v="modesg_param_sfics_taxon_europeia"/>
    <s v="nome_ctgr_sfics"/>
    <x v="0"/>
    <s v="1. Concluído"/>
    <m/>
    <m/>
    <s v="Package 22"/>
    <s v="A confirmar data de entrega"/>
    <d v="2025-03-21T00:00:00"/>
    <m/>
    <m/>
    <s v=""/>
    <s v=""/>
    <s v=""/>
    <m/>
    <m/>
    <m/>
    <m/>
    <m/>
    <m/>
    <x v="0"/>
    <s v="RC"/>
  </r>
  <r>
    <x v="0"/>
    <x v="4"/>
    <x v="0"/>
    <s v="modesg_param_sfics_taxon_europeia"/>
    <s v="montante_pndrc"/>
    <x v="0"/>
    <s v="1. Concluído"/>
    <m/>
    <m/>
    <s v="Package 22"/>
    <s v="A confirmar data de entrega"/>
    <d v="2025-03-21T00:00:00"/>
    <m/>
    <m/>
    <s v=""/>
    <s v=""/>
    <s v=""/>
    <m/>
    <m/>
    <m/>
    <m/>
    <m/>
    <m/>
    <x v="3"/>
    <s v="RC"/>
  </r>
  <r>
    <x v="0"/>
    <x v="4"/>
    <x v="0"/>
    <s v="modesg_param_sfics_taxon_europeia"/>
    <s v="contraparte"/>
    <x v="0"/>
    <s v="1. Concluído"/>
    <m/>
    <m/>
    <s v="Package 22"/>
    <s v="A confirmar data de entrega"/>
    <d v="2025-03-21T00:00:00"/>
    <m/>
    <m/>
    <s v=""/>
    <s v=""/>
    <s v=""/>
    <m/>
    <m/>
    <m/>
    <m/>
    <m/>
    <m/>
    <x v="3"/>
    <s v="RC"/>
  </r>
  <r>
    <x v="0"/>
    <x v="4"/>
    <x v="0"/>
    <s v="modesg_param_sfics_taxon_europeia"/>
    <s v="flag_project_finance"/>
    <x v="0"/>
    <s v="1. Concluído"/>
    <m/>
    <m/>
    <s v="Package 22"/>
    <s v="A confirmar data de entrega"/>
    <d v="2025-03-21T00:00:00"/>
    <m/>
    <m/>
    <s v=""/>
    <s v=""/>
    <s v=""/>
    <m/>
    <m/>
    <m/>
    <m/>
    <m/>
    <m/>
    <x v="3"/>
    <s v="RC"/>
  </r>
  <r>
    <x v="0"/>
    <x v="4"/>
    <x v="0"/>
    <s v="modesg_param_sfics_taxon_europeia"/>
    <s v="cgarante_bem"/>
    <x v="0"/>
    <s v="1. Concluído"/>
    <m/>
    <m/>
    <s v="Package 22"/>
    <s v="A confirmar data de entrega"/>
    <d v="2025-03-21T00:00:00"/>
    <m/>
    <m/>
    <s v=""/>
    <s v=""/>
    <s v=""/>
    <m/>
    <m/>
    <m/>
    <m/>
    <m/>
    <m/>
    <x v="3"/>
    <s v="RC"/>
  </r>
  <r>
    <x v="0"/>
    <x v="4"/>
    <x v="0"/>
    <s v="modesg_param_sfics_taxon_europeia"/>
    <s v="prdt_sprdt"/>
    <x v="0"/>
    <s v="1. Concluído"/>
    <m/>
    <m/>
    <s v="Package 22"/>
    <s v="A confirmar data de entrega"/>
    <d v="2025-03-21T00:00:00"/>
    <m/>
    <m/>
    <s v=""/>
    <s v=""/>
    <s v=""/>
    <m/>
    <m/>
    <m/>
    <m/>
    <m/>
    <m/>
    <x v="3"/>
    <s v="RC"/>
  </r>
  <r>
    <x v="0"/>
    <x v="4"/>
    <x v="0"/>
    <s v="modesg_param_sfics_taxon_europeia"/>
    <s v="flg_csrd"/>
    <x v="0"/>
    <s v="1. Concluído"/>
    <m/>
    <m/>
    <s v="Package 22"/>
    <s v="A confirmar data de entrega"/>
    <d v="2025-03-21T00:00:00"/>
    <m/>
    <m/>
    <s v=""/>
    <s v=""/>
    <s v=""/>
    <m/>
    <m/>
    <m/>
    <m/>
    <m/>
    <m/>
    <x v="3"/>
    <s v="RC"/>
  </r>
  <r>
    <x v="0"/>
    <x v="4"/>
    <x v="0"/>
    <s v="modesg_param_sfics_taxon_europeia"/>
    <s v="combustivel"/>
    <x v="0"/>
    <s v="1. Concluído"/>
    <m/>
    <m/>
    <s v="Package 22"/>
    <s v="A confirmar data de entrega"/>
    <d v="2025-03-21T00:00:00"/>
    <m/>
    <m/>
    <s v=""/>
    <s v=""/>
    <s v=""/>
    <m/>
    <m/>
    <m/>
    <m/>
    <m/>
    <m/>
    <x v="3"/>
    <s v="RC"/>
  </r>
  <r>
    <x v="0"/>
    <x v="4"/>
    <x v="0"/>
    <s v="modesg_param_sfics_taxon_europeia"/>
    <s v="co2"/>
    <x v="0"/>
    <s v="1. Concluído"/>
    <m/>
    <m/>
    <s v="Package 22"/>
    <s v="A confirmar data de entrega"/>
    <d v="2025-03-21T00:00:00"/>
    <m/>
    <m/>
    <s v=""/>
    <s v=""/>
    <s v=""/>
    <m/>
    <m/>
    <m/>
    <m/>
    <m/>
    <m/>
    <x v="3"/>
    <s v="RC"/>
  </r>
  <r>
    <x v="0"/>
    <x v="4"/>
    <x v="0"/>
    <s v="modesg_param_sfics_taxon_europeia"/>
    <s v="cfamilia"/>
    <x v="0"/>
    <s v="1. Concluído"/>
    <m/>
    <m/>
    <s v="Package 22"/>
    <s v="A confirmar data de entrega"/>
    <d v="2025-03-21T00:00:00"/>
    <m/>
    <m/>
    <s v=""/>
    <s v=""/>
    <s v=""/>
    <m/>
    <m/>
    <m/>
    <m/>
    <m/>
    <m/>
    <x v="3"/>
    <s v="RC"/>
  </r>
  <r>
    <x v="0"/>
    <x v="4"/>
    <x v="0"/>
    <s v="modesg_param_sfics_taxon_europeia"/>
    <s v="flg_rsc_fsc_crnc"/>
    <x v="0"/>
    <s v="1. Concluído"/>
    <m/>
    <m/>
    <s v="Package 22"/>
    <s v="A confirmar data de entrega"/>
    <d v="2025-03-21T00:00:00"/>
    <m/>
    <m/>
    <s v=""/>
    <s v=""/>
    <s v=""/>
    <m/>
    <m/>
    <m/>
    <m/>
    <m/>
    <m/>
    <x v="0"/>
    <s v="RC"/>
  </r>
  <r>
    <x v="0"/>
    <x v="4"/>
    <x v="0"/>
    <s v="modesg_param_sfics_taxon_europeia"/>
    <s v="flg_rsc_fsc_agd"/>
    <x v="0"/>
    <s v="1. Concluído"/>
    <m/>
    <m/>
    <s v="Package 22"/>
    <s v="A confirmar data de entrega"/>
    <d v="2025-03-21T00:00:00"/>
    <m/>
    <m/>
    <s v=""/>
    <s v=""/>
    <s v=""/>
    <m/>
    <m/>
    <m/>
    <m/>
    <m/>
    <m/>
    <x v="0"/>
    <s v="RC"/>
  </r>
  <r>
    <x v="0"/>
    <x v="4"/>
    <x v="0"/>
    <s v="modesg_param_sfics_taxon_europeia"/>
    <s v="property_purpose_code"/>
    <x v="0"/>
    <s v="1. Concluído"/>
    <m/>
    <m/>
    <s v="Package 22"/>
    <s v="A confirmar data de entrega"/>
    <d v="2025-03-21T00:00:00"/>
    <m/>
    <m/>
    <s v=""/>
    <s v=""/>
    <s v=""/>
    <m/>
    <m/>
    <m/>
    <m/>
    <m/>
    <m/>
    <x v="3"/>
    <s v="RC"/>
  </r>
  <r>
    <x v="0"/>
    <x v="4"/>
    <x v="0"/>
    <s v="modesg_param_sfics_taxon_europeia"/>
    <s v="dabertur"/>
    <x v="0"/>
    <s v="1. Concluído"/>
    <m/>
    <m/>
    <s v="Package 22"/>
    <s v="A confirmar data de entrega"/>
    <d v="2025-03-21T00:00:00"/>
    <m/>
    <m/>
    <s v=""/>
    <s v=""/>
    <s v=""/>
    <m/>
    <m/>
    <m/>
    <m/>
    <m/>
    <m/>
    <x v="2"/>
    <s v="RC"/>
  </r>
  <r>
    <x v="0"/>
    <x v="4"/>
    <x v="0"/>
    <s v="modesg_param_sfics_taxon_europeia"/>
    <s v="tipo_eqp"/>
    <x v="0"/>
    <s v="1. Concluído"/>
    <m/>
    <m/>
    <s v="Package 22"/>
    <s v="A confirmar data de entrega"/>
    <d v="2025-03-21T00:00:00"/>
    <m/>
    <m/>
    <s v=""/>
    <s v=""/>
    <s v=""/>
    <m/>
    <m/>
    <m/>
    <m/>
    <m/>
    <m/>
    <x v="2"/>
    <s v="RC"/>
  </r>
  <r>
    <x v="0"/>
    <x v="4"/>
    <x v="0"/>
    <s v="modesg_param_sfics_taxon_europeia"/>
    <s v="construction_year"/>
    <x v="0"/>
    <s v="1. Concluído"/>
    <m/>
    <m/>
    <s v="Package 22"/>
    <s v="A confirmar data de entrega"/>
    <d v="2025-03-21T00:00:00"/>
    <m/>
    <m/>
    <s v=""/>
    <s v=""/>
    <s v=""/>
    <m/>
    <m/>
    <m/>
    <m/>
    <m/>
    <m/>
    <x v="0"/>
    <s v="RC"/>
  </r>
  <r>
    <x v="0"/>
    <x v="4"/>
    <x v="0"/>
    <s v="modesg_param_sfics_taxon_europeia"/>
    <s v="ref_date"/>
    <x v="0"/>
    <s v="1. Concluído"/>
    <m/>
    <m/>
    <s v="Package 22"/>
    <s v="A confirmar data de entrega"/>
    <d v="2025-03-21T00:00:00"/>
    <m/>
    <m/>
    <s v=""/>
    <s v=""/>
    <s v=""/>
    <m/>
    <m/>
    <m/>
    <m/>
    <m/>
    <m/>
    <x v="3"/>
    <s v="RC"/>
  </r>
  <r>
    <x v="0"/>
    <x v="4"/>
    <x v="0"/>
    <s v="modesg_param_sfics_taxon_europeia"/>
    <s v="cfinalidad"/>
    <x v="0"/>
    <s v="1. Concluído"/>
    <m/>
    <m/>
    <s v="Package 22"/>
    <s v="A confirmar data de entrega"/>
    <d v="2025-03-21T00:00:00"/>
    <m/>
    <m/>
    <m/>
    <m/>
    <m/>
    <m/>
    <m/>
    <m/>
    <m/>
    <m/>
    <m/>
    <x v="0"/>
    <m/>
  </r>
  <r>
    <x v="0"/>
    <x v="4"/>
    <x v="0"/>
    <s v="modesg_param_sfics_taxon_europeia"/>
    <s v="sst_indctr_aux"/>
    <x v="0"/>
    <s v="1. Concluído"/>
    <m/>
    <m/>
    <s v="Package 22"/>
    <s v="A confirmar data de entrega"/>
    <d v="2025-03-21T00:00:00"/>
    <m/>
    <m/>
    <s v=""/>
    <s v=""/>
    <s v=""/>
    <m/>
    <m/>
    <m/>
    <m/>
    <m/>
    <m/>
    <x v="5"/>
    <m/>
  </r>
  <r>
    <x v="0"/>
    <x v="4"/>
    <x v="0"/>
    <s v="modesg_param_sfics_taxon_europeia"/>
    <s v="quality_score"/>
    <x v="0"/>
    <s v="1. Concluído"/>
    <m/>
    <m/>
    <s v="Package 22"/>
    <s v="A confirmar data de entrega"/>
    <d v="2025-03-21T00:00:00"/>
    <m/>
    <m/>
    <s v=""/>
    <s v=""/>
    <s v=""/>
    <m/>
    <m/>
    <m/>
    <m/>
    <m/>
    <m/>
    <x v="3"/>
    <s v="RC"/>
  </r>
  <r>
    <x v="0"/>
    <x v="4"/>
    <x v="0"/>
    <s v="modesg_param_sfics_taxon_europeia"/>
    <s v="primary_energy_req_value"/>
    <x v="0"/>
    <s v="1. Concluído"/>
    <m/>
    <m/>
    <s v="Package 22"/>
    <s v="A confirmar data de entrega"/>
    <d v="2025-03-21T00:00:00"/>
    <m/>
    <m/>
    <s v=""/>
    <s v=""/>
    <s v=""/>
    <m/>
    <m/>
    <m/>
    <m/>
    <m/>
    <m/>
    <x v="0"/>
    <s v="RC"/>
  </r>
  <r>
    <x v="0"/>
    <x v="4"/>
    <x v="0"/>
    <s v="modesg_param_sfics_taxon_europeia"/>
    <s v="net_floor_area"/>
    <x v="0"/>
    <s v="1. Concluído"/>
    <m/>
    <m/>
    <s v="Package 22"/>
    <s v="A confirmar data de entrega"/>
    <d v="2025-03-21T00:00:00"/>
    <m/>
    <m/>
    <s v=""/>
    <s v=""/>
    <s v=""/>
    <m/>
    <m/>
    <m/>
    <m/>
    <m/>
    <m/>
    <x v="0"/>
    <s v="RC"/>
  </r>
  <r>
    <x v="0"/>
    <x v="4"/>
    <x v="0"/>
    <s v="modesg_param_sfics_taxon_europeia"/>
    <s v="nome_purpose_esg_nalinh_tax"/>
    <x v="0"/>
    <s v="1. Concluído"/>
    <m/>
    <m/>
    <s v="Package 22"/>
    <s v="A confirmar data de entrega"/>
    <d v="2025-03-21T00:00:00"/>
    <m/>
    <m/>
    <s v=""/>
    <s v=""/>
    <s v=""/>
    <m/>
    <m/>
    <m/>
    <m/>
    <m/>
    <m/>
    <x v="2"/>
    <s v="RC"/>
  </r>
  <r>
    <x v="0"/>
    <x v="4"/>
    <x v="0"/>
    <s v="modesg_param_sfics_taxon_europeia"/>
    <s v="nome_purpose_esg_alinh_tax"/>
    <x v="0"/>
    <s v="1. Concluído"/>
    <m/>
    <m/>
    <s v="Package 22"/>
    <s v="A confirmar data de entrega"/>
    <d v="2025-03-21T00:00:00"/>
    <m/>
    <m/>
    <s v=""/>
    <s v=""/>
    <s v=""/>
    <m/>
    <m/>
    <m/>
    <m/>
    <m/>
    <m/>
    <x v="3"/>
    <s v="RC"/>
  </r>
  <r>
    <x v="0"/>
    <x v="4"/>
    <x v="0"/>
    <s v="modesg_param_sfics_taxon_europeia"/>
    <s v="nome_general_specific_purpose"/>
    <x v="0"/>
    <s v="1. Concluído"/>
    <m/>
    <m/>
    <s v="Package 22"/>
    <s v="A confirmar data de entrega"/>
    <d v="2025-03-21T00:00:00"/>
    <m/>
    <m/>
    <s v=""/>
    <s v=""/>
    <s v=""/>
    <m/>
    <m/>
    <m/>
    <m/>
    <m/>
    <m/>
    <x v="0"/>
    <s v="RC"/>
  </r>
  <r>
    <x v="0"/>
    <x v="4"/>
    <x v="0"/>
    <s v="modesg_param_sfics_taxon_europeia"/>
    <s v="nome_specific_eligible"/>
    <x v="0"/>
    <s v="1. Concluído"/>
    <m/>
    <m/>
    <s v="Package 22"/>
    <s v="A confirmar data de entrega"/>
    <d v="2025-03-21T00:00:00"/>
    <m/>
    <m/>
    <s v=""/>
    <s v=""/>
    <s v=""/>
    <m/>
    <m/>
    <m/>
    <m/>
    <m/>
    <m/>
    <x v="0"/>
    <s v="RC"/>
  </r>
  <r>
    <x v="0"/>
    <x v="4"/>
    <x v="0"/>
    <s v="modesg_param_sfics_taxon_europeia"/>
    <s v="nome_specific_sustainable"/>
    <x v="0"/>
    <s v="1. Concluído"/>
    <m/>
    <m/>
    <s v="Package 22"/>
    <s v="A confirmar data de entrega"/>
    <d v="2025-03-21T00:00:00"/>
    <m/>
    <m/>
    <s v=""/>
    <s v=""/>
    <s v=""/>
    <m/>
    <m/>
    <m/>
    <m/>
    <m/>
    <m/>
    <x v="0"/>
    <s v="RC"/>
  </r>
  <r>
    <x v="0"/>
    <x v="1"/>
    <x v="0"/>
    <s v="lt006_instr_prot"/>
    <s v="prtctn_allctd_vl"/>
    <x v="1"/>
    <s v="5. Em Correção"/>
    <m/>
    <s v="Package 2"/>
    <s v="Package 20"/>
    <d v="2025-03-10T00:00:00"/>
    <d v="2025-03-14T00:00:00"/>
    <s v="Teste ao campo"/>
    <m/>
    <s v=""/>
    <s v=""/>
    <s v=""/>
    <m/>
    <m/>
    <s v="Novo Projeto - Em especificação"/>
    <m/>
    <s v="FY24"/>
    <m/>
    <x v="0"/>
    <s v="JB - Falar com SB"/>
  </r>
  <r>
    <x v="0"/>
    <x v="1"/>
    <x v="0"/>
    <s v="lt003_entity"/>
    <s v="esg_sbsctr"/>
    <x v="0"/>
    <s v="1. Concluído"/>
    <m/>
    <s v="Package 2"/>
    <s v="Package 22"/>
    <d v="2025-03-14T00:00:00"/>
    <d v="2025-03-21T00:00:00"/>
    <s v="Teste ao campo"/>
    <m/>
    <s v=""/>
    <s v=""/>
    <s v=""/>
    <m/>
    <m/>
    <m/>
    <s v="ESTR &amp; P3"/>
    <s v="FY24"/>
    <m/>
    <x v="0"/>
    <s v="JB/RC"/>
  </r>
  <r>
    <x v="0"/>
    <x v="1"/>
    <x v="0"/>
    <s v="lt004_protection"/>
    <s v="typ_ep_scr"/>
    <x v="0"/>
    <s v="1. Concluído"/>
    <m/>
    <s v="Package 6"/>
    <s v="Package 22"/>
    <d v="2025-03-14T00:00:00"/>
    <d v="2025-03-21T00:00:00"/>
    <s v="Teste ao campo"/>
    <m/>
    <s v=""/>
    <s v=""/>
    <s v=""/>
    <m/>
    <m/>
    <m/>
    <m/>
    <s v="FY24"/>
    <m/>
    <x v="0"/>
    <m/>
  </r>
  <r>
    <x v="0"/>
    <x v="1"/>
    <x v="0"/>
    <s v="lt004_protection"/>
    <s v="ep_scr"/>
    <x v="0"/>
    <s v="1. Concluído"/>
    <m/>
    <s v="Package 6"/>
    <s v="Package 22"/>
    <d v="2025-03-14T00:00:00"/>
    <d v="2025-03-21T00:00:00"/>
    <s v="Teste ao campo"/>
    <m/>
    <s v=""/>
    <s v=""/>
    <s v=""/>
    <m/>
    <m/>
    <m/>
    <m/>
    <s v="FY24"/>
    <m/>
    <x v="0"/>
    <m/>
  </r>
  <r>
    <x v="0"/>
    <x v="1"/>
    <x v="0"/>
    <s v="lt002_instrument"/>
    <s v="mthd_usd_instrmnt_scp_1"/>
    <x v="1"/>
    <s v="5. Em Correção"/>
    <m/>
    <s v="Package 6"/>
    <s v="Package 22"/>
    <s v="A confirmar data de entrega"/>
    <s v="data a definir"/>
    <s v="Teste ao campo"/>
    <m/>
    <s v=""/>
    <s v=""/>
    <s v=""/>
    <d v="2024-10-28T00:00:00"/>
    <m/>
    <s v="Novo projeto - Para testar"/>
    <m/>
    <s v="FY24"/>
    <m/>
    <x v="0"/>
    <s v="HF"/>
  </r>
  <r>
    <x v="0"/>
    <x v="1"/>
    <x v="0"/>
    <s v="lt002_instrument"/>
    <s v="mthd_usd_instrmnt_scp_2"/>
    <x v="1"/>
    <s v="5. Em Correção"/>
    <m/>
    <s v="Package 6"/>
    <s v="Package 22"/>
    <s v="A confirmar data de entrega"/>
    <s v="data a definir"/>
    <s v="Teste ao campo"/>
    <m/>
    <s v=""/>
    <s v=""/>
    <s v=""/>
    <d v="2024-10-28T00:00:00"/>
    <m/>
    <s v="Novo projeto - Para testar"/>
    <m/>
    <s v="FY24"/>
    <m/>
    <x v="0"/>
    <s v="HF"/>
  </r>
  <r>
    <x v="0"/>
    <x v="1"/>
    <x v="0"/>
    <s v="lt002_instrument"/>
    <s v="mthd_usd_instrmnt_scp_3"/>
    <x v="1"/>
    <s v="5. Em Correção"/>
    <m/>
    <s v="Package 6"/>
    <s v="Package 22"/>
    <s v="A confirmar data de entrega"/>
    <s v="data a definir"/>
    <s v="Teste ao campo"/>
    <m/>
    <s v=""/>
    <s v=""/>
    <s v=""/>
    <d v="2024-10-28T00:00:00"/>
    <m/>
    <s v="Novo projeto - Para testar"/>
    <m/>
    <s v="FY24"/>
    <m/>
    <x v="0"/>
    <s v="HF"/>
  </r>
  <r>
    <x v="0"/>
    <x v="1"/>
    <x v="0"/>
    <s v="lt007_instr_activity"/>
    <s v="sstnbl_indctr"/>
    <x v="1"/>
    <s v="5. Em Correção"/>
    <m/>
    <s v="Package 6"/>
    <s v="Package 23"/>
    <d v="2025-03-28T00:00:00"/>
    <d v="2025-04-04T00:00:00"/>
    <s v="Teste ao campo"/>
    <m/>
    <s v=""/>
    <s v=""/>
    <s v=""/>
    <d v="2024-10-28T00:00:00"/>
    <m/>
    <s v="Projeto Anterior - Especificação"/>
    <m/>
    <s v="FY24"/>
    <m/>
    <x v="0"/>
    <s v="RC"/>
  </r>
  <r>
    <x v="0"/>
    <x v="1"/>
    <x v="0"/>
    <s v="lt007_instr_activity"/>
    <s v="sstnbl_ctgry"/>
    <x v="4"/>
    <s v="2.1 Em Teste"/>
    <m/>
    <s v="Package 5"/>
    <s v="Package 22"/>
    <s v="A confirmar data de entrega"/>
    <d v="2025-03-21T00:00:00"/>
    <s v="Teste ao campo"/>
    <m/>
    <s v=""/>
    <s v=""/>
    <s v=""/>
    <d v="2024-10-28T00:00:00"/>
    <m/>
    <s v="Projeto Anterior - Especificação"/>
    <m/>
    <s v="FY24"/>
    <m/>
    <x v="0"/>
    <s v="RC"/>
  </r>
  <r>
    <x v="0"/>
    <x v="4"/>
    <x v="1"/>
    <s v="modesg_param_sfics_taxon_europeia"/>
    <s v="n.a."/>
    <x v="0"/>
    <s v="1. Concluído"/>
    <m/>
    <m/>
    <m/>
    <m/>
    <m/>
    <m/>
    <m/>
    <s v=""/>
    <s v=""/>
    <s v=""/>
    <m/>
    <m/>
    <m/>
    <m/>
    <m/>
    <m/>
    <x v="0"/>
    <s v="RC"/>
  </r>
  <r>
    <x v="0"/>
    <x v="2"/>
    <x v="1"/>
    <s v="modesg_out_sfics_taxon_europeia"/>
    <s v="n.a."/>
    <x v="0"/>
    <s v="1. Concluído"/>
    <m/>
    <m/>
    <s v="Package 24"/>
    <m/>
    <d v="2025-04-16T00:00:00"/>
    <m/>
    <m/>
    <s v=""/>
    <s v=""/>
    <s v=""/>
    <m/>
    <m/>
    <m/>
    <m/>
    <m/>
    <m/>
    <x v="0"/>
    <s v="RC"/>
  </r>
  <r>
    <x v="0"/>
    <x v="2"/>
    <x v="0"/>
    <s v="modesg_out_sfics_taxon_europeia"/>
    <s v="origem"/>
    <x v="3"/>
    <s v="0. Cancelado"/>
    <m/>
    <m/>
    <m/>
    <m/>
    <m/>
    <m/>
    <m/>
    <s v=""/>
    <s v=""/>
    <s v=""/>
    <m/>
    <m/>
    <m/>
    <m/>
    <m/>
    <m/>
    <x v="0"/>
    <m/>
  </r>
  <r>
    <x v="0"/>
    <x v="1"/>
    <x v="0"/>
    <s v="lt003_entity"/>
    <s v="nace_esg"/>
    <x v="0"/>
    <s v="1. Concluído"/>
    <m/>
    <m/>
    <s v="Package 22"/>
    <d v="2025-03-14T00:00:00"/>
    <d v="2025-03-21T00:00:00"/>
    <s v="Teste ao campo"/>
    <m/>
    <s v=""/>
    <s v=""/>
    <s v=""/>
    <m/>
    <m/>
    <m/>
    <m/>
    <s v="FY24"/>
    <m/>
    <x v="0"/>
    <s v="JB"/>
  </r>
  <r>
    <x v="0"/>
    <x v="1"/>
    <x v="0"/>
    <s v="lt003_entity"/>
    <s v="flg_act_physcl_rsk"/>
    <x v="0"/>
    <s v="1. Concluído"/>
    <m/>
    <m/>
    <s v="Package 22"/>
    <d v="2025-03-14T00:00:00"/>
    <d v="2025-03-21T00:00:00"/>
    <s v="Teste ao campo"/>
    <m/>
    <s v=""/>
    <s v=""/>
    <s v=""/>
    <m/>
    <m/>
    <m/>
    <m/>
    <s v="FY24"/>
    <m/>
    <x v="0"/>
    <s v="HF"/>
  </r>
  <r>
    <x v="0"/>
    <x v="1"/>
    <x v="0"/>
    <s v="lt003_entity"/>
    <s v="flg_chrnc_physcl_rsk"/>
    <x v="0"/>
    <s v="1. Concluído"/>
    <m/>
    <m/>
    <s v="Package 22"/>
    <d v="2025-03-14T00:00:00"/>
    <d v="2025-03-21T00:00:00"/>
    <s v="Teste ao campo"/>
    <m/>
    <s v=""/>
    <s v=""/>
    <s v=""/>
    <m/>
    <m/>
    <m/>
    <m/>
    <s v="FY24"/>
    <m/>
    <x v="0"/>
    <s v="HF"/>
  </r>
  <r>
    <x v="0"/>
    <x v="1"/>
    <x v="0"/>
    <s v="lt002_instrument"/>
    <s v="rsk_mtgtd_ccp"/>
    <x v="1"/>
    <s v="5. Em Correção"/>
    <m/>
    <m/>
    <s v="Package 22"/>
    <d v="2025-03-14T00:00:00"/>
    <d v="2025-03-21T00:00:00"/>
    <s v="Teste ao campo"/>
    <m/>
    <s v=""/>
    <s v=""/>
    <s v=""/>
    <d v="2024-10-30T00:00:00"/>
    <m/>
    <s v="Novo projeto - Para testar"/>
    <m/>
    <s v="FY24"/>
    <m/>
    <x v="0"/>
    <s v="JB"/>
  </r>
  <r>
    <x v="0"/>
    <x v="1"/>
    <x v="0"/>
    <s v="lt007_instr_activity"/>
    <s v="COD_SOC"/>
    <x v="0"/>
    <s v="1. Concluído"/>
    <m/>
    <s v="Package 4"/>
    <s v="Package 21"/>
    <d v="2025-03-10T00:00:00"/>
    <d v="2025-03-19T00:00:00"/>
    <s v="Testes Regressivos (LT Estr)"/>
    <m/>
    <s v=""/>
    <s v=""/>
    <s v=""/>
    <m/>
    <m/>
    <s v="Novo Projeto - Em especificação"/>
    <s v="GD, P3 e GF"/>
    <s v="FY25"/>
    <s v="Novos Requisitos FY25 - Outros"/>
    <x v="1"/>
    <s v="RC"/>
  </r>
  <r>
    <x v="0"/>
    <x v="1"/>
    <x v="0"/>
    <s v="lt007_instr_activity"/>
    <s v="DT_RFRNC"/>
    <x v="0"/>
    <s v="1. Concluído"/>
    <m/>
    <s v="Package 3"/>
    <s v="Package 21"/>
    <d v="2025-03-10T00:00:00"/>
    <d v="2025-03-19T00:00:00"/>
    <s v="Testes Regressivos (LT Estr)"/>
    <m/>
    <s v=""/>
    <s v=""/>
    <s v=""/>
    <m/>
    <m/>
    <s v="Novo Projeto - Em especificação"/>
    <s v="GD, P3 e GF"/>
    <s v="FY25"/>
    <s v="Novos Requisitos FY25 - Outros"/>
    <x v="1"/>
    <s v="RC"/>
  </r>
  <r>
    <x v="0"/>
    <x v="1"/>
    <x v="0"/>
    <s v="lt007_instr_activity"/>
    <s v="INSTRMNT_ID"/>
    <x v="4"/>
    <s v="5. Em Correção"/>
    <m/>
    <s v="Package 4"/>
    <s v="Package 21"/>
    <d v="2025-03-10T00:00:00"/>
    <d v="2025-03-19T00:00:00"/>
    <s v="Testes Regressivos (LT Estr)"/>
    <m/>
    <s v=""/>
    <s v=""/>
    <s v=""/>
    <m/>
    <m/>
    <s v="Novo Projeto - Em especificação"/>
    <s v="GD, P3 e GF"/>
    <s v="FY25"/>
    <s v="Novos Requisitos FY25 - Outros"/>
    <x v="1"/>
    <s v="RC"/>
  </r>
  <r>
    <x v="0"/>
    <x v="1"/>
    <x v="0"/>
    <s v="lt007_instr_activity"/>
    <s v="FLG_DNSH_CMPLNC"/>
    <x v="0"/>
    <s v="1. Concluído"/>
    <m/>
    <s v="Package 2"/>
    <s v="Package 21"/>
    <d v="2025-03-10T00:00:00"/>
    <d v="2025-03-19T00:00:00"/>
    <s v="Teste ao campo"/>
    <m/>
    <s v=""/>
    <s v=""/>
    <s v=""/>
    <m/>
    <m/>
    <s v="Novo Projeto - Em especificação"/>
    <s v="P3"/>
    <s v="FY25"/>
    <s v="Novos Requisitos FY25 - Outros"/>
    <x v="1"/>
    <s v="JB/RC"/>
  </r>
  <r>
    <x v="0"/>
    <x v="1"/>
    <x v="0"/>
    <s v="lt007_instr_activity"/>
    <s v="DNSH_DTL"/>
    <x v="4"/>
    <s v="5. Em Correção"/>
    <m/>
    <s v="Package 2"/>
    <s v="Package 21"/>
    <d v="2025-03-10T00:00:00"/>
    <d v="2025-03-19T00:00:00"/>
    <s v="Teste ao campo"/>
    <m/>
    <s v=""/>
    <s v=""/>
    <s v=""/>
    <m/>
    <m/>
    <s v="Novo Projeto - Em especificação"/>
    <s v="P3"/>
    <s v="FY25"/>
    <s v="Novos Requisitos FY25 - Outros"/>
    <x v="1"/>
    <s v="JB/RC"/>
  </r>
  <r>
    <x v="0"/>
    <x v="1"/>
    <x v="0"/>
    <s v="lt002_instrument"/>
    <s v="FLG_MNMM_SFGRDS"/>
    <x v="0"/>
    <s v="1. Concluído"/>
    <m/>
    <s v="Package 2"/>
    <s v="Package 20"/>
    <d v="2025-03-10T00:00:00"/>
    <d v="2025-03-14T00:00:00"/>
    <s v="Teste ao campo"/>
    <m/>
    <s v=""/>
    <s v=""/>
    <s v=""/>
    <m/>
    <m/>
    <s v="Novo Projeto - Em especificação"/>
    <s v="P3 e ESG"/>
    <s v="FY25"/>
    <s v="Novos Requisitos FY25 - Outros"/>
    <x v="1"/>
    <s v="JB"/>
  </r>
  <r>
    <x v="0"/>
    <x v="1"/>
    <x v="0"/>
    <s v="lt003_entity"/>
    <s v="txnmy_elgbl_capex_w"/>
    <x v="0"/>
    <s v="1. Concluído"/>
    <m/>
    <s v="Package 1"/>
    <s v="Package 20"/>
    <d v="2025-03-10T00:00:00"/>
    <d v="2025-03-14T00:00:00"/>
    <s v="Teste ao campo"/>
    <m/>
    <s v=""/>
    <s v=""/>
    <s v=""/>
    <m/>
    <m/>
    <s v="Novo Projeto - Em especificação"/>
    <s v="P3"/>
    <s v="FY25"/>
    <s v="Novos Requisitos FY25 - Outros"/>
    <x v="1"/>
    <s v="JB"/>
  </r>
  <r>
    <x v="0"/>
    <x v="1"/>
    <x v="0"/>
    <s v="lt003_entity"/>
    <s v="txnmy_elgbl_trnvr_w"/>
    <x v="0"/>
    <s v="1. Concluído"/>
    <m/>
    <s v="Package 1"/>
    <s v="Package 20"/>
    <d v="2025-03-10T00:00:00"/>
    <d v="2025-03-14T00:00:00"/>
    <s v="Teste ao campo"/>
    <m/>
    <s v=""/>
    <s v=""/>
    <s v=""/>
    <m/>
    <m/>
    <s v="Novo Projeto - Em especificação"/>
    <s v="P3"/>
    <s v="FY25"/>
    <s v="Novos Requisitos FY25 - Outros"/>
    <x v="1"/>
    <s v="JB"/>
  </r>
  <r>
    <x v="0"/>
    <x v="1"/>
    <x v="0"/>
    <s v="lt003_entity"/>
    <s v="txnmy_elgbl_capex_p"/>
    <x v="0"/>
    <s v="1. Concluído"/>
    <m/>
    <s v="Package 1"/>
    <s v="Package 20"/>
    <d v="2025-03-10T00:00:00"/>
    <d v="2025-03-14T00:00:00"/>
    <s v="Teste ao campo"/>
    <m/>
    <s v=""/>
    <s v=""/>
    <s v=""/>
    <m/>
    <m/>
    <s v="Novo Projeto - Em especificação"/>
    <s v="P3"/>
    <s v="FY25"/>
    <s v="Novos Requisitos FY25 - Outros"/>
    <x v="1"/>
    <s v="JB"/>
  </r>
  <r>
    <x v="0"/>
    <x v="1"/>
    <x v="0"/>
    <s v="lt003_entity"/>
    <s v="txnmy_elgbl_trnvr_p"/>
    <x v="0"/>
    <s v="1. Concluído"/>
    <m/>
    <s v="Package 1"/>
    <s v="Package 20"/>
    <d v="2025-03-10T00:00:00"/>
    <d v="2025-03-14T00:00:00"/>
    <s v="Teste ao campo"/>
    <m/>
    <s v=""/>
    <s v=""/>
    <s v=""/>
    <m/>
    <m/>
    <s v="Novo Projeto - Em especificação"/>
    <s v="P3"/>
    <s v="FY25"/>
    <s v="Novos Requisitos FY25 - Outros"/>
    <x v="1"/>
    <s v="JB"/>
  </r>
  <r>
    <x v="0"/>
    <x v="1"/>
    <x v="0"/>
    <s v="lt003_entity"/>
    <s v="txnmy_elgbl_capex_b"/>
    <x v="0"/>
    <s v="1. Concluído"/>
    <m/>
    <s v="Package 1"/>
    <s v="Package 20"/>
    <d v="2025-03-10T00:00:00"/>
    <d v="2025-03-14T00:00:00"/>
    <s v="Teste ao campo"/>
    <m/>
    <s v=""/>
    <s v=""/>
    <s v=""/>
    <m/>
    <m/>
    <s v="Novo Projeto - Em especificação"/>
    <s v="P3"/>
    <s v="FY25"/>
    <s v="Novos Requisitos FY25 - Outros"/>
    <x v="1"/>
    <s v="JB"/>
  </r>
  <r>
    <x v="0"/>
    <x v="1"/>
    <x v="0"/>
    <s v="lt003_entity"/>
    <s v="txnmy_elgbl_trnvr_b"/>
    <x v="0"/>
    <s v="1. Concluído"/>
    <m/>
    <s v="Package 1"/>
    <s v="Package 20"/>
    <d v="2025-03-10T00:00:00"/>
    <d v="2025-03-14T00:00:00"/>
    <s v="Teste ao campo"/>
    <m/>
    <s v=""/>
    <s v=""/>
    <s v=""/>
    <m/>
    <m/>
    <s v="Novo Projeto - Em especificação"/>
    <s v="P3"/>
    <s v="FY25"/>
    <s v="Novos Requisitos FY25 - Outros"/>
    <x v="1"/>
    <s v="JB"/>
  </r>
  <r>
    <x v="0"/>
    <x v="1"/>
    <x v="0"/>
    <s v="lt003_entity"/>
    <s v="txnmy_elgbl_capex_ce"/>
    <x v="0"/>
    <s v="1. Concluído"/>
    <m/>
    <s v="Package 1"/>
    <s v="Package 20"/>
    <d v="2025-03-10T00:00:00"/>
    <d v="2025-03-14T00:00:00"/>
    <s v="Teste ao campo"/>
    <m/>
    <s v=""/>
    <s v=""/>
    <s v=""/>
    <m/>
    <m/>
    <s v="Novo Projeto - Em especificação"/>
    <s v="P3"/>
    <s v="FY25"/>
    <s v="Novos Requisitos FY25 - Outros"/>
    <x v="1"/>
    <s v="JB"/>
  </r>
  <r>
    <x v="0"/>
    <x v="1"/>
    <x v="0"/>
    <s v="lt003_entity"/>
    <s v="txnmy_elgbl_trnvr_ce"/>
    <x v="0"/>
    <s v="1. Concluído"/>
    <m/>
    <s v="Package 1"/>
    <s v="Package 20"/>
    <d v="2025-03-10T00:00:00"/>
    <d v="2025-03-14T00:00:00"/>
    <s v="Teste ao campo"/>
    <m/>
    <s v=""/>
    <s v=""/>
    <s v=""/>
    <m/>
    <m/>
    <s v="Novo Projeto - Em especificação"/>
    <s v="P3"/>
    <s v="FY25"/>
    <s v="Novos Requisitos FY25 - Outros"/>
    <x v="1"/>
    <s v="JB"/>
  </r>
  <r>
    <x v="0"/>
    <x v="1"/>
    <x v="0"/>
    <s v="lt003_entity"/>
    <s v="pure_capex_p"/>
    <x v="0"/>
    <s v="1. Concluído"/>
    <m/>
    <s v="Package 1"/>
    <s v="Package 20"/>
    <d v="2025-03-10T00:00:00"/>
    <d v="2025-03-14T00:00:00"/>
    <s v="Teste ao campo"/>
    <m/>
    <s v=""/>
    <s v=""/>
    <s v=""/>
    <m/>
    <m/>
    <s v="Novo Projeto - Em especificação"/>
    <s v="P3"/>
    <s v="FY25"/>
    <s v="Novos Requisitos FY25 - Outros"/>
    <x v="1"/>
    <s v="JB"/>
  </r>
  <r>
    <x v="0"/>
    <x v="1"/>
    <x v="0"/>
    <s v="lt003_entity"/>
    <s v="pure_trnvr_p"/>
    <x v="0"/>
    <s v="1. Concluído"/>
    <m/>
    <s v="Package 1"/>
    <s v="Package 20"/>
    <d v="2025-03-10T00:00:00"/>
    <d v="2025-03-14T00:00:00"/>
    <s v="Teste ao campo"/>
    <m/>
    <s v=""/>
    <s v=""/>
    <s v=""/>
    <m/>
    <m/>
    <s v="Novo Projeto - Em especificação"/>
    <s v="P3"/>
    <s v="FY25"/>
    <s v="Novos Requisitos FY25 - Outros"/>
    <x v="1"/>
    <s v="JB"/>
  </r>
  <r>
    <x v="0"/>
    <x v="1"/>
    <x v="0"/>
    <s v="lt003_entity"/>
    <s v="pure_capex_b"/>
    <x v="0"/>
    <s v="1. Concluído"/>
    <m/>
    <s v="Package 1"/>
    <s v="Package 20"/>
    <d v="2025-03-10T00:00:00"/>
    <d v="2025-03-14T00:00:00"/>
    <s v="Teste ao campo"/>
    <m/>
    <s v=""/>
    <s v=""/>
    <s v=""/>
    <m/>
    <m/>
    <s v="Novo Projeto - Em especificação"/>
    <s v="P3"/>
    <s v="FY25"/>
    <s v="Novos Requisitos FY25 - Outros"/>
    <x v="1"/>
    <s v="JB"/>
  </r>
  <r>
    <x v="0"/>
    <x v="1"/>
    <x v="0"/>
    <s v="lt003_entity"/>
    <s v="pure_trnvr_b"/>
    <x v="0"/>
    <s v="1. Concluído"/>
    <m/>
    <s v="Package 1"/>
    <s v="Package 20"/>
    <d v="2025-03-10T00:00:00"/>
    <d v="2025-03-14T00:00:00"/>
    <s v="Teste ao campo"/>
    <m/>
    <s v=""/>
    <s v=""/>
    <s v=""/>
    <m/>
    <m/>
    <s v="Novo Projeto - Em especificação"/>
    <s v="P3"/>
    <s v="FY25"/>
    <s v="Novos Requisitos FY25 - Outros"/>
    <x v="1"/>
    <s v="JB"/>
  </r>
  <r>
    <x v="0"/>
    <x v="1"/>
    <x v="0"/>
    <s v="lt003_entity"/>
    <s v="pure_capex_w"/>
    <x v="0"/>
    <s v="1. Concluído"/>
    <m/>
    <s v="Package 1"/>
    <s v="Package 20"/>
    <d v="2025-03-10T00:00:00"/>
    <d v="2025-03-14T00:00:00"/>
    <s v="Teste ao campo"/>
    <m/>
    <s v=""/>
    <s v=""/>
    <s v=""/>
    <m/>
    <m/>
    <s v="Novo Projeto - Em especificação"/>
    <s v="P3"/>
    <s v="FY25"/>
    <s v="Novos Requisitos FY25 - Outros"/>
    <x v="1"/>
    <s v="JB"/>
  </r>
  <r>
    <x v="0"/>
    <x v="1"/>
    <x v="0"/>
    <s v="lt003_entity"/>
    <s v="pure_trnvr_w"/>
    <x v="0"/>
    <s v="1. Concluído"/>
    <m/>
    <s v="Package 1"/>
    <s v="Package 20"/>
    <d v="2025-03-10T00:00:00"/>
    <d v="2025-03-14T00:00:00"/>
    <s v="Teste ao campo"/>
    <m/>
    <s v=""/>
    <s v=""/>
    <s v=""/>
    <m/>
    <m/>
    <s v="Novo Projeto - Em especificação"/>
    <s v="P3"/>
    <s v="FY25"/>
    <s v="Novos Requisitos FY25 - Outros"/>
    <x v="1"/>
    <s v="JB"/>
  </r>
  <r>
    <x v="0"/>
    <x v="1"/>
    <x v="0"/>
    <s v="lt003_entity"/>
    <s v="pure_capex_ce"/>
    <x v="0"/>
    <s v="1. Concluído"/>
    <m/>
    <s v="Package 1"/>
    <s v="Package 20"/>
    <d v="2025-03-10T00:00:00"/>
    <d v="2025-03-14T00:00:00"/>
    <s v="Teste ao campo"/>
    <m/>
    <s v=""/>
    <s v=""/>
    <s v=""/>
    <m/>
    <m/>
    <s v="Novo Projeto - Em especificação"/>
    <s v="P3"/>
    <s v="FY25"/>
    <s v="Novos Requisitos FY25 - Outros"/>
    <x v="1"/>
    <s v="JB"/>
  </r>
  <r>
    <x v="0"/>
    <x v="1"/>
    <x v="0"/>
    <s v="lt003_entity"/>
    <s v="pure_trnvr_ce"/>
    <x v="0"/>
    <s v="1. Concluído"/>
    <m/>
    <s v="Package 1"/>
    <s v="Package 20"/>
    <d v="2025-03-10T00:00:00"/>
    <d v="2025-03-14T00:00:00"/>
    <s v="Teste ao campo"/>
    <m/>
    <s v=""/>
    <s v=""/>
    <s v=""/>
    <m/>
    <m/>
    <s v="Novo Projeto - Em especificação"/>
    <s v="P3"/>
    <s v="FY25"/>
    <s v="Novos Requisitos FY25 - Outros"/>
    <x v="1"/>
    <s v="JB"/>
  </r>
  <r>
    <x v="0"/>
    <x v="1"/>
    <x v="0"/>
    <s v="lt003_entity"/>
    <s v="enblng_capex_w"/>
    <x v="0"/>
    <s v="1. Concluído"/>
    <m/>
    <s v="Package 1"/>
    <s v="Package 20"/>
    <d v="2025-03-10T00:00:00"/>
    <d v="2025-03-14T00:00:00"/>
    <s v="Teste ao campo"/>
    <m/>
    <s v=""/>
    <s v=""/>
    <s v=""/>
    <m/>
    <m/>
    <s v="Novo Projeto - Em especificação"/>
    <s v="P3"/>
    <s v="FY25"/>
    <s v="Novos Requisitos FY25 - Outros"/>
    <x v="1"/>
    <s v="JB"/>
  </r>
  <r>
    <x v="0"/>
    <x v="1"/>
    <x v="0"/>
    <s v="lt003_entity"/>
    <s v="enblng_trnvr_w"/>
    <x v="0"/>
    <s v="1. Concluído"/>
    <m/>
    <s v="Package 1"/>
    <s v="Package 20"/>
    <d v="2025-03-10T00:00:00"/>
    <d v="2025-03-14T00:00:00"/>
    <s v="Teste ao campo"/>
    <m/>
    <s v=""/>
    <s v=""/>
    <s v=""/>
    <m/>
    <m/>
    <s v="Novo Projeto - Em especificação"/>
    <s v="P3"/>
    <s v="FY25"/>
    <s v="Novos Requisitos FY25 - Outros"/>
    <x v="1"/>
    <s v="JB"/>
  </r>
  <r>
    <x v="0"/>
    <x v="1"/>
    <x v="0"/>
    <s v="lt003_entity"/>
    <s v="enblng_capex_ce"/>
    <x v="0"/>
    <s v="1. Concluído"/>
    <m/>
    <s v="Package 1"/>
    <s v="Package 20"/>
    <d v="2025-03-10T00:00:00"/>
    <d v="2025-03-14T00:00:00"/>
    <s v="Teste ao campo"/>
    <m/>
    <s v=""/>
    <s v=""/>
    <s v=""/>
    <m/>
    <m/>
    <s v="Novo Projeto - Em especificação"/>
    <s v="P3"/>
    <s v="FY25"/>
    <s v="Novos Requisitos FY25 - Outros"/>
    <x v="1"/>
    <s v="JB"/>
  </r>
  <r>
    <x v="0"/>
    <x v="1"/>
    <x v="0"/>
    <s v="lt003_entity"/>
    <s v="enblng_trnvr_ce"/>
    <x v="0"/>
    <s v="1. Concluído"/>
    <m/>
    <s v="Package 1"/>
    <s v="Package 20"/>
    <d v="2025-03-10T00:00:00"/>
    <d v="2025-03-14T00:00:00"/>
    <s v="Teste ao campo"/>
    <m/>
    <s v=""/>
    <s v=""/>
    <s v=""/>
    <m/>
    <m/>
    <s v="Novo Projeto - Em especificação"/>
    <s v="P3"/>
    <s v="FY25"/>
    <s v="Novos Requisitos FY25 - Outros"/>
    <x v="1"/>
    <s v="JB"/>
  </r>
  <r>
    <x v="0"/>
    <x v="1"/>
    <x v="0"/>
    <s v="lt004_protection"/>
    <s v="TYP_EMSSNS_LBL"/>
    <x v="0"/>
    <s v="1. Concluído"/>
    <m/>
    <s v="Package 2"/>
    <s v="Package 20"/>
    <d v="2025-03-10T00:00:00"/>
    <d v="2025-03-14T00:00:00"/>
    <s v="Teste ao campo"/>
    <m/>
    <s v=""/>
    <s v=""/>
    <s v=""/>
    <m/>
    <m/>
    <s v="Novo Projeto - Em especificação"/>
    <s v="ESG"/>
    <s v="FY25"/>
    <s v="Novos Requisitos FY25 - Outros"/>
    <x v="1"/>
    <s v="JB"/>
  </r>
  <r>
    <x v="0"/>
    <x v="1"/>
    <x v="0"/>
    <s v="lt004_protection"/>
    <s v="VHCL_EMSSNS_LBL"/>
    <x v="0"/>
    <s v="1. Concluído"/>
    <m/>
    <s v="Package 2"/>
    <s v="Package 20"/>
    <d v="2025-03-10T00:00:00"/>
    <d v="2025-03-14T00:00:00"/>
    <s v="Teste ao campo"/>
    <m/>
    <s v=""/>
    <s v=""/>
    <s v=""/>
    <m/>
    <m/>
    <s v="Novo Projeto - Em especificação"/>
    <s v="ESG"/>
    <s v="FY25"/>
    <s v="Novos Requisitos FY25 - Outros"/>
    <x v="1"/>
    <s v="JB"/>
  </r>
  <r>
    <x v="0"/>
    <x v="1"/>
    <x v="0"/>
    <s v="lt004_protection"/>
    <s v="VHCL_EMSSNS_SCR"/>
    <x v="0"/>
    <s v="1. Concluído"/>
    <m/>
    <s v="Package 2"/>
    <s v="Package 20"/>
    <d v="2025-03-10T00:00:00"/>
    <d v="2025-03-14T00:00:00"/>
    <s v="Teste ao campo"/>
    <m/>
    <s v=""/>
    <s v=""/>
    <s v=""/>
    <m/>
    <m/>
    <s v="Novo Projeto - Em especificação"/>
    <s v="ESG"/>
    <s v="FY25"/>
    <s v="Novos Requisitos FY25 - Outros"/>
    <x v="1"/>
    <s v="JB"/>
  </r>
  <r>
    <x v="0"/>
    <x v="1"/>
    <x v="0"/>
    <s v="lt004_protection"/>
    <s v="INSRNC_ID"/>
    <x v="0"/>
    <s v="1. Concluído"/>
    <m/>
    <s v="Package 2"/>
    <s v="Package 20"/>
    <d v="2025-03-10T00:00:00"/>
    <d v="2025-03-14T00:00:00"/>
    <s v="Teste ao campo"/>
    <m/>
    <s v=""/>
    <s v=""/>
    <s v=""/>
    <m/>
    <m/>
    <s v="Novo Projeto - Em especificação"/>
    <s v="ESG"/>
    <s v="FY25"/>
    <s v="Novos Requisitos FY25 - Outros"/>
    <x v="1"/>
    <s v="JB"/>
  </r>
  <r>
    <x v="0"/>
    <x v="1"/>
    <x v="0"/>
    <s v="lt004_protection"/>
    <s v="TYP_HZRDS_INSRD"/>
    <x v="0"/>
    <s v="1. Concluído"/>
    <m/>
    <s v="Package 2"/>
    <s v="Package 20"/>
    <d v="2025-03-10T00:00:00"/>
    <d v="2025-03-14T00:00:00"/>
    <s v="Teste ao campo"/>
    <m/>
    <s v=""/>
    <s v=""/>
    <s v=""/>
    <m/>
    <m/>
    <s v="Novo Projeto - Em especificação"/>
    <s v="ESG"/>
    <s v="FY25"/>
    <s v="Novos Requisitos FY25 - Outros"/>
    <x v="1"/>
    <s v="JB"/>
  </r>
  <r>
    <x v="0"/>
    <x v="1"/>
    <x v="0"/>
    <s v="lt004_protection"/>
    <s v="AMNT_CVRD_INSRNC"/>
    <x v="0"/>
    <s v="1. Concluído"/>
    <m/>
    <s v="Package 2"/>
    <s v="Package 20"/>
    <d v="2025-03-10T00:00:00"/>
    <d v="2025-03-14T00:00:00"/>
    <s v="Teste ao campo"/>
    <m/>
    <s v=""/>
    <s v=""/>
    <s v=""/>
    <m/>
    <m/>
    <s v="Novo Projeto - Em especificação"/>
    <s v="ESG"/>
    <s v="FY25"/>
    <s v="Novos Requisitos FY25 - Outros"/>
    <x v="1"/>
    <s v="JB"/>
  </r>
  <r>
    <x v="0"/>
    <x v="1"/>
    <x v="0"/>
    <s v="lt004_protection"/>
    <s v="DT_MTRTY_INSRNC"/>
    <x v="0"/>
    <s v="1. Concluído"/>
    <m/>
    <s v="Package 2"/>
    <s v="Package 20"/>
    <d v="2025-03-10T00:00:00"/>
    <d v="2025-03-14T00:00:00"/>
    <s v="Teste ao campo"/>
    <m/>
    <s v=""/>
    <s v=""/>
    <s v=""/>
    <m/>
    <m/>
    <s v="Novo Projeto - Em especificação"/>
    <s v="ESG"/>
    <s v="FY25"/>
    <s v="Novos Requisitos FY25 - Outros"/>
    <x v="1"/>
    <s v="JB"/>
  </r>
  <r>
    <x v="0"/>
    <x v="1"/>
    <x v="0"/>
    <s v="lt004_protection"/>
    <s v="FLG_FRST_HM"/>
    <x v="0"/>
    <s v="1. Concluído"/>
    <m/>
    <s v="Package 2"/>
    <s v="Package 20"/>
    <d v="2025-03-10T00:00:00"/>
    <d v="2025-03-14T00:00:00"/>
    <s v="Teste ao campo"/>
    <m/>
    <s v=""/>
    <s v=""/>
    <s v=""/>
    <m/>
    <m/>
    <s v="Novo Projeto - Em especificação"/>
    <s v="ESG"/>
    <s v="FY25"/>
    <s v="Novos Requisitos FY25 - Outros"/>
    <x v="1"/>
    <s v="JB"/>
  </r>
  <r>
    <x v="0"/>
    <x v="1"/>
    <x v="0"/>
    <s v="lt004_protection"/>
    <s v="RL_ESTT_CRTFCTN"/>
    <x v="0"/>
    <s v="1. Concluído"/>
    <m/>
    <s v="Package 2"/>
    <s v="Package 20"/>
    <d v="2025-03-10T00:00:00"/>
    <d v="2025-03-14T00:00:00"/>
    <s v="Teste ao campo"/>
    <m/>
    <s v=""/>
    <s v=""/>
    <s v=""/>
    <m/>
    <m/>
    <s v="Novo Projeto - Em especificação"/>
    <s v="P3 e ESG"/>
    <s v="FY25"/>
    <s v="Novos Requisitos FY25 - Outros"/>
    <x v="1"/>
    <s v="JB"/>
  </r>
  <r>
    <x v="0"/>
    <x v="1"/>
    <x v="0"/>
    <s v="lt004_protection"/>
    <s v="DT_RGSTRTN"/>
    <x v="0"/>
    <s v="1. Concluído"/>
    <m/>
    <s v="Package 2"/>
    <s v="Package 20"/>
    <d v="2025-03-10T00:00:00"/>
    <d v="2025-03-14T00:00:00"/>
    <s v="Teste ao campo"/>
    <m/>
    <s v=""/>
    <s v=""/>
    <s v=""/>
    <m/>
    <m/>
    <s v="Novo Projeto - Em especificação"/>
    <s v="P3 e ESG"/>
    <s v="FY25"/>
    <s v="Novos Requisitos FY25 - Outros"/>
    <x v="1"/>
    <s v="JB"/>
  </r>
  <r>
    <x v="0"/>
    <x v="1"/>
    <x v="0"/>
    <s v="lt004_protection"/>
    <s v="PRMRY_ENRGY_DMND_NN_RNWBL"/>
    <x v="0"/>
    <s v="1. Concluído"/>
    <m/>
    <s v="Package 3"/>
    <s v="Package 20"/>
    <d v="2025-03-10T00:00:00"/>
    <d v="2025-03-14T00:00:00"/>
    <s v="Teste ao campo"/>
    <m/>
    <s v=""/>
    <s v=""/>
    <s v=""/>
    <m/>
    <m/>
    <s v="Novo Projeto - Em especificação"/>
    <s v="P3 e ESG"/>
    <s v="FY25"/>
    <s v="Novos Requisitos FY25 - Outros"/>
    <x v="1"/>
    <s v="HF"/>
  </r>
  <r>
    <x v="0"/>
    <x v="1"/>
    <x v="0"/>
    <s v="lt002_instrument"/>
    <s v="grss_intrst_incm"/>
    <x v="2"/>
    <s v="6. Em implementação "/>
    <m/>
    <s v="Package 6"/>
    <s v="Sem Teste"/>
    <d v="2025-05-16T00:00:00"/>
    <s v="N/A"/>
    <s v="Não testar "/>
    <m/>
    <s v=""/>
    <s v=""/>
    <s v=""/>
    <d v="2024-10-30T00:00:00"/>
    <m/>
    <m/>
    <m/>
    <s v="FY24"/>
    <m/>
    <x v="0"/>
    <s v="HF"/>
  </r>
  <r>
    <x v="0"/>
    <x v="1"/>
    <x v="0"/>
    <s v="lt002_instrument"/>
    <s v="grss_cmmssn_incm"/>
    <x v="2"/>
    <s v="6. Em implementação "/>
    <m/>
    <s v="Package 6"/>
    <s v="Sem Teste"/>
    <d v="2025-05-16T00:00:00"/>
    <s v="N/A"/>
    <s v="Não testar "/>
    <m/>
    <s v=""/>
    <s v=""/>
    <s v=""/>
    <d v="2024-10-30T00:00:00"/>
    <m/>
    <m/>
    <m/>
    <s v="FY24"/>
    <m/>
    <x v="0"/>
    <s v="HF"/>
  </r>
  <r>
    <x v="0"/>
    <x v="1"/>
    <x v="0"/>
    <s v="lt002_instrument"/>
    <s v="grss_cmmssn_incm_off_blnc"/>
    <x v="2"/>
    <s v="6. Em implementação "/>
    <m/>
    <s v="Package 6"/>
    <s v="Sem Teste"/>
    <d v="2025-05-16T00:00:00"/>
    <s v="N/A"/>
    <s v="Não testar "/>
    <m/>
    <s v=""/>
    <s v=""/>
    <s v=""/>
    <d v="2024-10-30T00:00:00"/>
    <m/>
    <m/>
    <m/>
    <s v="FY24"/>
    <m/>
    <x v="0"/>
    <s v="HF"/>
  </r>
  <r>
    <x v="0"/>
    <x v="1"/>
    <x v="0"/>
    <s v="lt002_instrument"/>
    <s v="FRBRNC_STTS_INSTRMNT"/>
    <x v="0"/>
    <s v="1. Concluído"/>
    <m/>
    <s v="Package 2"/>
    <s v="Package 21"/>
    <d v="2025-03-10T00:00:00"/>
    <d v="2025-03-19T00:00:00"/>
    <s v="Testes Regressivos (LT Estr)"/>
    <m/>
    <s v=""/>
    <s v=""/>
    <s v=""/>
    <m/>
    <m/>
    <s v="Novo Projeto - Em especificação"/>
    <s v="ESTR, P3 e LF"/>
    <s v="FY25"/>
    <s v="Novos Requisitos FY25 - Âmbito ESTR e (ou) LF"/>
    <x v="1"/>
    <s v="JB"/>
  </r>
  <r>
    <x v="0"/>
    <x v="1"/>
    <x v="0"/>
    <s v="lt002_instrument"/>
    <s v="INTRNL_SGMNT"/>
    <x v="0"/>
    <s v="1. Concluído"/>
    <m/>
    <s v="Package 3"/>
    <s v="Package 21"/>
    <d v="2025-03-10T00:00:00"/>
    <d v="2025-03-19T00:00:00"/>
    <s v="Testes Regressivos (LT Estr)"/>
    <m/>
    <s v=""/>
    <s v=""/>
    <s v=""/>
    <m/>
    <m/>
    <s v="Novo Projeto - Em especificação"/>
    <s v="ESTR, ESG e LF"/>
    <s v="FY25"/>
    <s v="Novos Requisitos FY25 - Âmbito ESTR e (ou) LF"/>
    <x v="1"/>
    <s v="HF"/>
  </r>
  <r>
    <x v="0"/>
    <x v="1"/>
    <x v="0"/>
    <s v="lt002_instrument"/>
    <s v="DT_ORGNL_MTRTY"/>
    <x v="0"/>
    <s v="1. Concluído"/>
    <m/>
    <s v="Package 3"/>
    <s v="Package 21"/>
    <d v="2025-03-10T00:00:00"/>
    <d v="2025-03-19T00:00:00"/>
    <s v="Testes Regressivos (LT Estr)"/>
    <m/>
    <s v=""/>
    <s v=""/>
    <s v=""/>
    <m/>
    <m/>
    <s v="Novo Projeto - Em especificação"/>
    <s v="ESTR, P3, GF e LF"/>
    <s v="FY25"/>
    <s v="Novos Requisitos FY25 - Âmbito ESTR e (ou) LF"/>
    <x v="1"/>
    <s v="HF"/>
  </r>
  <r>
    <x v="0"/>
    <x v="1"/>
    <x v="0"/>
    <s v="lt002_instrument"/>
    <s v="EAD"/>
    <x v="0"/>
    <s v="1. Concluído"/>
    <m/>
    <s v="Package 3"/>
    <s v="Package 21"/>
    <d v="2025-03-10T00:00:00"/>
    <d v="2025-03-19T00:00:00"/>
    <s v="Testes Regressivos (LT Estr)"/>
    <m/>
    <s v=""/>
    <s v=""/>
    <s v=""/>
    <m/>
    <m/>
    <s v="Novo Projeto - Em especificação"/>
    <s v="ESTR, GD, ESG e LF"/>
    <s v="FY25"/>
    <s v="Novos Requisitos FY25 - Âmbito ESTR e (ou) LF"/>
    <x v="1"/>
    <s v="HF"/>
  </r>
  <r>
    <x v="0"/>
    <x v="1"/>
    <x v="0"/>
    <s v="lt002_instrument"/>
    <s v="RWA"/>
    <x v="0"/>
    <s v="1. Concluído"/>
    <m/>
    <s v="Package 3"/>
    <s v="Package 21"/>
    <d v="2025-03-10T00:00:00"/>
    <d v="2025-03-19T00:00:00"/>
    <s v="Testes Regressivos (LT Estr)"/>
    <m/>
    <s v=""/>
    <s v=""/>
    <s v=""/>
    <m/>
    <m/>
    <s v="Novo Projeto - Em especificação"/>
    <s v="ESTR, GD, P3, GF e LF"/>
    <s v="FY25"/>
    <s v="Novos Requisitos FY25 - Âmbito ESTR e (ou) LF"/>
    <x v="1"/>
    <s v="HF"/>
  </r>
  <r>
    <x v="0"/>
    <x v="1"/>
    <x v="0"/>
    <s v="lt002_instrument"/>
    <s v="LTV"/>
    <x v="0"/>
    <s v="1. Concluído"/>
    <m/>
    <s v="Package 3"/>
    <s v="Package 21"/>
    <d v="2025-03-10T00:00:00"/>
    <d v="2025-03-19T00:00:00"/>
    <s v="Testes Regressivos (LT Estr)"/>
    <m/>
    <s v=""/>
    <s v=""/>
    <s v=""/>
    <m/>
    <m/>
    <s v="Novo Projeto - Em especificação"/>
    <s v="ESTR e P3"/>
    <s v="FY25"/>
    <s v="Novos Requisitos FY25 - Âmbito ESTR e (ou) LF"/>
    <x v="1"/>
    <s v="HF"/>
  </r>
  <r>
    <x v="0"/>
    <x v="1"/>
    <x v="0"/>
    <s v="lt002_instrument"/>
    <s v="LTV_INCPTN"/>
    <x v="0"/>
    <s v="1. Concluído"/>
    <m/>
    <s v="Package 3"/>
    <s v="Package 21"/>
    <d v="2025-03-10T00:00:00"/>
    <d v="2025-03-19T00:00:00"/>
    <s v="Testes Regressivos (LT Estr)"/>
    <m/>
    <s v=""/>
    <s v=""/>
    <s v=""/>
    <m/>
    <m/>
    <s v="Novo Projeto - Em especificação"/>
    <s v="ESTR e P3"/>
    <s v="FY25"/>
    <s v="Novos Requisitos FY25 - Âmbito ESTR e (ou) LF"/>
    <x v="1"/>
    <s v="JB"/>
  </r>
  <r>
    <x v="0"/>
    <x v="1"/>
    <x v="0"/>
    <s v="lt002_instrument"/>
    <s v="EIR"/>
    <x v="0"/>
    <s v="1. Concluído"/>
    <m/>
    <s v="Package 3"/>
    <s v="Package 21"/>
    <d v="2025-03-10T00:00:00"/>
    <d v="2025-03-19T00:00:00"/>
    <s v="Testes Regressivos (LT Estr)"/>
    <m/>
    <s v=""/>
    <s v=""/>
    <s v=""/>
    <m/>
    <m/>
    <s v="Novo Projeto - Em especificação"/>
    <s v="ESTR, P3 e LF"/>
    <s v="FY25"/>
    <s v="Novos Requisitos FY25 - Âmbito ESTR e (ou) LF"/>
    <x v="1"/>
    <s v="JB"/>
  </r>
  <r>
    <x v="0"/>
    <x v="1"/>
    <x v="0"/>
    <s v="lt002_instrument"/>
    <s v="EIR_INCPTN"/>
    <x v="0"/>
    <s v="1. Concluído"/>
    <m/>
    <s v="Package 3"/>
    <s v="Package 21"/>
    <d v="2025-03-10T00:00:00"/>
    <d v="2025-03-19T00:00:00"/>
    <s v="Testes Regressivos (LT Estr)"/>
    <m/>
    <s v=""/>
    <s v=""/>
    <s v=""/>
    <m/>
    <m/>
    <s v="Novo Projeto - Em especificação"/>
    <s v="ESTR e P3"/>
    <s v="FY25"/>
    <s v="Novos Requisitos FY25 - Âmbito ESTR e (ou) LF"/>
    <x v="1"/>
    <s v="JB"/>
  </r>
  <r>
    <x v="0"/>
    <x v="1"/>
    <x v="0"/>
    <s v="lt002_instrument"/>
    <s v="INTRNL_SGMNT_CAT_MSTA"/>
    <x v="0"/>
    <s v="1. Concluído"/>
    <m/>
    <s v="Package 3"/>
    <s v="Package 21"/>
    <d v="2025-03-10T00:00:00"/>
    <d v="2025-03-19T00:00:00"/>
    <s v="Testes Regressivos (LT Estr)"/>
    <m/>
    <s v=""/>
    <s v=""/>
    <s v=""/>
    <m/>
    <m/>
    <s v="Novo Projeto - Em especificação"/>
    <s v="ESTR e ESG"/>
    <s v="FY25"/>
    <s v="Novos Requisitos FY25 - Âmbito ESTR e (ou) LF"/>
    <x v="1"/>
    <s v="JB"/>
  </r>
  <r>
    <x v="0"/>
    <x v="1"/>
    <x v="0"/>
    <s v="lt002_instrument"/>
    <s v="INTRNL_SGMNT_CATGSUB"/>
    <x v="0"/>
    <s v="1. Concluído"/>
    <m/>
    <s v="Package 3"/>
    <s v="Package 21"/>
    <d v="2025-03-10T00:00:00"/>
    <d v="2025-03-19T00:00:00"/>
    <s v="Testes Regressivos (LT Estr)"/>
    <m/>
    <s v=""/>
    <s v=""/>
    <s v=""/>
    <m/>
    <m/>
    <s v="Novo Projeto - Em especificação"/>
    <s v="ESTR e ESG"/>
    <s v="FY25"/>
    <s v="Novos Requisitos FY25 - Âmbito ESTR e (ou) LF"/>
    <x v="1"/>
    <s v="JB"/>
  </r>
  <r>
    <x v="0"/>
    <x v="1"/>
    <x v="0"/>
    <s v="lt003_entity"/>
    <s v="entty_nm"/>
    <x v="0"/>
    <s v="1. Concluído"/>
    <m/>
    <s v="Package 3"/>
    <s v="Package 21"/>
    <d v="2025-03-10T00:00:00"/>
    <d v="2025-03-19T00:00:00"/>
    <s v="Testes Regressivos (LT Estr)"/>
    <m/>
    <s v=""/>
    <s v=""/>
    <s v=""/>
    <m/>
    <m/>
    <s v="Novo Projeto - Em especificação"/>
    <s v="ESTR, P3, GF e LF"/>
    <s v="FY25"/>
    <s v="Novos Requisitos FY25 - Âmbito ESTR e (ou) LF"/>
    <x v="1"/>
    <s v="JB"/>
  </r>
  <r>
    <x v="0"/>
    <x v="2"/>
    <x v="0"/>
    <s v="modesg_out_sfics_taxon_europeia"/>
    <s v="cbalcao"/>
    <x v="0"/>
    <s v="1. Concluído"/>
    <m/>
    <s v="Package 5"/>
    <s v="Package 24"/>
    <d v="2025-03-31T00:00:00"/>
    <d v="2025-04-16T00:00:00"/>
    <m/>
    <m/>
    <s v=""/>
    <s v=""/>
    <s v=""/>
    <m/>
    <m/>
    <m/>
    <m/>
    <m/>
    <m/>
    <x v="0"/>
    <s v="RC"/>
  </r>
  <r>
    <x v="0"/>
    <x v="2"/>
    <x v="0"/>
    <s v="modesg_out_sfics_taxon_europeia"/>
    <s v="cempresa"/>
    <x v="0"/>
    <s v="1. Concluído"/>
    <m/>
    <s v="Package 5"/>
    <s v="Package 24"/>
    <d v="2025-03-31T00:00:00"/>
    <d v="2025-04-16T00:00:00"/>
    <m/>
    <m/>
    <s v=""/>
    <s v=""/>
    <s v=""/>
    <m/>
    <m/>
    <m/>
    <m/>
    <m/>
    <m/>
    <x v="0"/>
    <s v="RC"/>
  </r>
  <r>
    <x v="0"/>
    <x v="2"/>
    <x v="0"/>
    <s v="modesg_out_sfics_taxon_europeia"/>
    <s v="cnumecta"/>
    <x v="0"/>
    <s v="1. Concluído"/>
    <m/>
    <s v="Package 5"/>
    <s v="Package 24"/>
    <d v="2025-03-31T00:00:00"/>
    <d v="2025-04-16T00:00:00"/>
    <m/>
    <m/>
    <s v=""/>
    <s v=""/>
    <s v=""/>
    <m/>
    <m/>
    <m/>
    <m/>
    <m/>
    <m/>
    <x v="0"/>
    <s v="RC"/>
  </r>
  <r>
    <x v="0"/>
    <x v="2"/>
    <x v="0"/>
    <s v="modesg_out_sfics_taxon_europeia"/>
    <s v="cod_regra"/>
    <x v="3"/>
    <s v="0. Cancelado"/>
    <m/>
    <s v="Package 5"/>
    <m/>
    <d v="2025-03-31T00:00:00"/>
    <m/>
    <m/>
    <m/>
    <s v=""/>
    <s v=""/>
    <s v=""/>
    <m/>
    <m/>
    <m/>
    <m/>
    <m/>
    <m/>
    <x v="0"/>
    <s v="RC"/>
  </r>
  <r>
    <x v="0"/>
    <x v="2"/>
    <x v="0"/>
    <s v="modesg_out_sfics_taxon_europeia"/>
    <s v="nivel"/>
    <x v="3"/>
    <s v="0. Cancelado"/>
    <m/>
    <s v="Package 5"/>
    <m/>
    <m/>
    <m/>
    <m/>
    <m/>
    <s v=""/>
    <s v=""/>
    <s v=""/>
    <m/>
    <m/>
    <m/>
    <m/>
    <m/>
    <m/>
    <x v="5"/>
    <m/>
  </r>
  <r>
    <x v="0"/>
    <x v="2"/>
    <x v="0"/>
    <s v="modesg_out_sfics_taxon_europeia"/>
    <s v="montante_pndrc"/>
    <x v="0"/>
    <s v="2.1 Em Teste"/>
    <m/>
    <s v="Package 5"/>
    <s v="Package 24"/>
    <d v="2025-03-31T00:00:00"/>
    <d v="2025-04-16T00:00:00"/>
    <m/>
    <m/>
    <s v=""/>
    <s v=""/>
    <s v=""/>
    <m/>
    <m/>
    <m/>
    <m/>
    <m/>
    <m/>
    <x v="0"/>
    <s v="RC"/>
  </r>
  <r>
    <x v="0"/>
    <x v="2"/>
    <x v="0"/>
    <s v="modesg_out_sfics_taxon_europeia"/>
    <s v="nome_ctgr_sfics"/>
    <x v="0"/>
    <s v="2.1 Em Teste"/>
    <m/>
    <s v="Package 5"/>
    <s v="Package 24"/>
    <d v="2025-03-31T00:00:00"/>
    <d v="2025-04-16T00:00:00"/>
    <m/>
    <m/>
    <s v=""/>
    <s v=""/>
    <s v=""/>
    <m/>
    <m/>
    <m/>
    <m/>
    <m/>
    <m/>
    <x v="0"/>
    <s v="RC"/>
  </r>
  <r>
    <x v="0"/>
    <x v="2"/>
    <x v="0"/>
    <s v="modesg_out_sfics_taxon_europeia"/>
    <s v="nome_general_specific_purpose"/>
    <x v="1"/>
    <s v="2.1 Em Teste"/>
    <m/>
    <s v="Package 5"/>
    <s v="Package 24"/>
    <d v="2025-03-31T00:00:00"/>
    <d v="2025-04-16T00:00:00"/>
    <m/>
    <m/>
    <s v=""/>
    <s v=""/>
    <s v=""/>
    <m/>
    <m/>
    <m/>
    <m/>
    <m/>
    <m/>
    <x v="0"/>
    <s v="RC"/>
  </r>
  <r>
    <x v="0"/>
    <x v="2"/>
    <x v="0"/>
    <s v="modesg_out_sfics_taxon_europeia"/>
    <s v="nome_purpose_esg_alinh_tax"/>
    <x v="1"/>
    <s v="2.1 Em Teste"/>
    <m/>
    <s v="Package 5"/>
    <s v="Package 24"/>
    <d v="2025-03-31T00:00:00"/>
    <d v="2025-04-16T00:00:00"/>
    <m/>
    <m/>
    <s v=""/>
    <s v=""/>
    <s v=""/>
    <m/>
    <m/>
    <m/>
    <m/>
    <m/>
    <m/>
    <x v="0"/>
    <s v="RC"/>
  </r>
  <r>
    <x v="0"/>
    <x v="2"/>
    <x v="0"/>
    <s v="modesg_out_sfics_taxon_europeia"/>
    <s v="nome_purpose_esg_nalinh_tax"/>
    <x v="1"/>
    <s v="2.1 Em Teste"/>
    <m/>
    <s v="Package 5"/>
    <s v="Package 24"/>
    <d v="2025-03-31T00:00:00"/>
    <d v="2025-04-16T00:00:00"/>
    <m/>
    <m/>
    <s v=""/>
    <s v=""/>
    <s v=""/>
    <m/>
    <m/>
    <m/>
    <m/>
    <m/>
    <m/>
    <x v="3"/>
    <s v="RC"/>
  </r>
  <r>
    <x v="0"/>
    <x v="2"/>
    <x v="0"/>
    <s v="modesg_out_sfics_taxon_europeia"/>
    <s v="nome_specific_eligible"/>
    <x v="1"/>
    <s v="2.1 Em Teste"/>
    <m/>
    <s v="Package 5"/>
    <s v="Package 24"/>
    <d v="2025-03-31T00:00:00"/>
    <d v="2025-04-16T00:00:00"/>
    <m/>
    <m/>
    <s v=""/>
    <s v=""/>
    <s v=""/>
    <m/>
    <m/>
    <m/>
    <m/>
    <m/>
    <m/>
    <x v="0"/>
    <s v="RC"/>
  </r>
  <r>
    <x v="0"/>
    <x v="2"/>
    <x v="0"/>
    <s v="modesg_out_sfics_taxon_europeia"/>
    <s v="nome_specific_sustainable"/>
    <x v="1"/>
    <s v="2.1 Em Teste"/>
    <m/>
    <s v="Package 5"/>
    <s v="Package 24"/>
    <d v="2025-03-31T00:00:00"/>
    <d v="2025-04-16T00:00:00"/>
    <m/>
    <m/>
    <s v=""/>
    <s v=""/>
    <s v=""/>
    <m/>
    <m/>
    <m/>
    <m/>
    <m/>
    <m/>
    <x v="0"/>
    <s v="RC"/>
  </r>
  <r>
    <x v="0"/>
    <x v="2"/>
    <x v="0"/>
    <s v="modesg_out_sfics_taxon_europeia"/>
    <s v="sstnbl_indctr"/>
    <x v="0"/>
    <s v="2.1 Em Teste"/>
    <m/>
    <s v="Package 6"/>
    <s v="Package 24"/>
    <d v="2025-03-31T00:00:00"/>
    <d v="2025-04-16T00:00:00"/>
    <m/>
    <m/>
    <s v=""/>
    <s v=""/>
    <s v=""/>
    <m/>
    <m/>
    <m/>
    <m/>
    <m/>
    <m/>
    <x v="5"/>
    <m/>
  </r>
  <r>
    <x v="0"/>
    <x v="2"/>
    <x v="0"/>
    <s v="modesg_out_sfics_taxon_europeia"/>
    <s v="ref_date"/>
    <x v="0"/>
    <s v="1. Concluído"/>
    <m/>
    <s v="Package 5"/>
    <s v="Package 24"/>
    <d v="2025-03-31T00:00:00"/>
    <d v="2025-04-16T00:00:00"/>
    <m/>
    <m/>
    <s v=""/>
    <s v=""/>
    <s v=""/>
    <m/>
    <m/>
    <m/>
    <m/>
    <m/>
    <m/>
    <x v="0"/>
    <s v="RC"/>
  </r>
  <r>
    <x v="0"/>
    <x v="2"/>
    <x v="0"/>
    <s v="modesg_out_sfics_taxon_europeia"/>
    <s v="zdeposit"/>
    <x v="0"/>
    <s v="1. Concluído"/>
    <m/>
    <s v="Package 5"/>
    <s v="Package 24"/>
    <d v="2025-03-31T00:00:00"/>
    <d v="2025-04-16T00:00:00"/>
    <m/>
    <m/>
    <s v=""/>
    <s v=""/>
    <s v=""/>
    <m/>
    <m/>
    <m/>
    <m/>
    <m/>
    <m/>
    <x v="0"/>
    <s v="RC"/>
  </r>
  <r>
    <x v="0"/>
    <x v="3"/>
    <x v="1"/>
    <s v="ENERGY_CERTIFICATE_EST_INPUT"/>
    <s v="n.a."/>
    <x v="0"/>
    <s v="1. Concluído"/>
    <s v="Fase I"/>
    <m/>
    <m/>
    <m/>
    <m/>
    <m/>
    <m/>
    <s v=""/>
    <s v=""/>
    <s v=""/>
    <m/>
    <m/>
    <m/>
    <m/>
    <m/>
    <m/>
    <x v="0"/>
    <m/>
  </r>
  <r>
    <x v="0"/>
    <x v="3"/>
    <x v="0"/>
    <s v="ENERGY_CERTIFICATE_EST_INPUT"/>
    <s v="DATA_PROVIDER"/>
    <x v="3"/>
    <s v="0. Cancelado"/>
    <s v="Fase I"/>
    <m/>
    <m/>
    <m/>
    <m/>
    <m/>
    <m/>
    <s v=""/>
    <s v=""/>
    <s v=""/>
    <m/>
    <m/>
    <m/>
    <m/>
    <m/>
    <m/>
    <x v="0"/>
    <m/>
  </r>
  <r>
    <x v="0"/>
    <x v="3"/>
    <x v="0"/>
    <s v="ENERGY_CERTIFICATE_EST_INPUT"/>
    <s v="ACTUAL_VALUE_IND"/>
    <x v="3"/>
    <s v="0. Cancelado"/>
    <s v="Fase I"/>
    <m/>
    <m/>
    <m/>
    <m/>
    <m/>
    <m/>
    <s v=""/>
    <s v=""/>
    <s v=""/>
    <m/>
    <m/>
    <m/>
    <m/>
    <m/>
    <m/>
    <x v="0"/>
    <m/>
  </r>
  <r>
    <x v="0"/>
    <x v="0"/>
    <x v="1"/>
    <s v="PROCESS"/>
    <s v="n.a."/>
    <x v="0"/>
    <s v="1. Concluído"/>
    <m/>
    <m/>
    <m/>
    <m/>
    <m/>
    <m/>
    <m/>
    <s v=""/>
    <s v=""/>
    <s v=""/>
    <m/>
    <m/>
    <m/>
    <m/>
    <m/>
    <m/>
    <x v="0"/>
    <m/>
  </r>
  <r>
    <x v="0"/>
    <x v="0"/>
    <x v="0"/>
    <s v="PROCESS"/>
    <s v="PROCESS_BANK_ID"/>
    <x v="0"/>
    <s v="1. Concluído"/>
    <m/>
    <m/>
    <m/>
    <m/>
    <m/>
    <m/>
    <m/>
    <s v=""/>
    <s v=""/>
    <s v=""/>
    <m/>
    <m/>
    <m/>
    <m/>
    <m/>
    <m/>
    <x v="0"/>
    <m/>
  </r>
  <r>
    <x v="0"/>
    <x v="0"/>
    <x v="0"/>
    <s v="PROCESS"/>
    <s v="PROCESS_BRANCH_CODE"/>
    <x v="0"/>
    <s v="1. Concluído"/>
    <m/>
    <m/>
    <m/>
    <m/>
    <m/>
    <m/>
    <m/>
    <s v=""/>
    <s v=""/>
    <s v=""/>
    <m/>
    <m/>
    <m/>
    <m/>
    <m/>
    <m/>
    <x v="0"/>
    <m/>
  </r>
  <r>
    <x v="0"/>
    <x v="0"/>
    <x v="0"/>
    <s v="PROCESS"/>
    <s v="PROCESS_ACCOUNT_ID"/>
    <x v="0"/>
    <s v="1. Concluído"/>
    <m/>
    <m/>
    <m/>
    <m/>
    <m/>
    <m/>
    <m/>
    <s v=""/>
    <s v=""/>
    <s v=""/>
    <m/>
    <m/>
    <m/>
    <m/>
    <m/>
    <m/>
    <x v="0"/>
    <m/>
  </r>
  <r>
    <x v="0"/>
    <x v="0"/>
    <x v="0"/>
    <s v="PROCESS"/>
    <s v="cod_estd_prcs"/>
    <x v="3"/>
    <s v="0. Cancelado"/>
    <m/>
    <m/>
    <m/>
    <m/>
    <m/>
    <m/>
    <m/>
    <s v=""/>
    <s v=""/>
    <s v=""/>
    <m/>
    <m/>
    <m/>
    <m/>
    <m/>
    <m/>
    <x v="0"/>
    <m/>
  </r>
  <r>
    <x v="0"/>
    <x v="0"/>
    <x v="0"/>
    <s v="PROCESS"/>
    <s v="GUARANTEE_CODE"/>
    <x v="0"/>
    <s v="1. Concluído"/>
    <m/>
    <m/>
    <m/>
    <m/>
    <m/>
    <m/>
    <m/>
    <s v=""/>
    <s v=""/>
    <s v=""/>
    <m/>
    <m/>
    <m/>
    <m/>
    <m/>
    <m/>
    <x v="0"/>
    <m/>
  </r>
  <r>
    <x v="0"/>
    <x v="0"/>
    <x v="0"/>
    <s v="PROCESS"/>
    <s v="CURRENCY_CODE"/>
    <x v="0"/>
    <s v="1. Concluído"/>
    <m/>
    <m/>
    <m/>
    <m/>
    <m/>
    <m/>
    <m/>
    <s v=""/>
    <s v=""/>
    <s v=""/>
    <m/>
    <m/>
    <m/>
    <m/>
    <m/>
    <m/>
    <x v="0"/>
    <m/>
  </r>
  <r>
    <x v="0"/>
    <x v="0"/>
    <x v="0"/>
    <s v="PROCESS"/>
    <s v="PROCESS_CAMPAIGN_CODE"/>
    <x v="0"/>
    <s v="1. Concluído"/>
    <m/>
    <m/>
    <m/>
    <m/>
    <m/>
    <m/>
    <m/>
    <s v=""/>
    <s v=""/>
    <s v=""/>
    <m/>
    <m/>
    <m/>
    <m/>
    <m/>
    <m/>
    <x v="0"/>
    <m/>
  </r>
  <r>
    <x v="0"/>
    <x v="0"/>
    <x v="0"/>
    <s v="PROCESS"/>
    <s v="PROCESS_PRODUCT_ID"/>
    <x v="0"/>
    <s v="1. Concluído"/>
    <m/>
    <m/>
    <m/>
    <m/>
    <m/>
    <m/>
    <m/>
    <s v=""/>
    <s v=""/>
    <s v=""/>
    <m/>
    <m/>
    <m/>
    <m/>
    <m/>
    <m/>
    <x v="0"/>
    <m/>
  </r>
  <r>
    <x v="0"/>
    <x v="0"/>
    <x v="0"/>
    <s v="PROCESS"/>
    <s v="PROCESS_SUBPRODUCT_ID"/>
    <x v="0"/>
    <s v="1. Concluído"/>
    <m/>
    <m/>
    <m/>
    <m/>
    <m/>
    <m/>
    <m/>
    <s v=""/>
    <s v=""/>
    <s v=""/>
    <m/>
    <m/>
    <m/>
    <m/>
    <m/>
    <m/>
    <x v="0"/>
    <m/>
  </r>
  <r>
    <x v="0"/>
    <x v="0"/>
    <x v="0"/>
    <s v="PROCESS"/>
    <s v="GUARANTEE_TYPE_CODE"/>
    <x v="0"/>
    <s v="1. Concluído"/>
    <m/>
    <m/>
    <m/>
    <m/>
    <m/>
    <m/>
    <m/>
    <s v=""/>
    <s v=""/>
    <s v=""/>
    <m/>
    <m/>
    <m/>
    <m/>
    <m/>
    <m/>
    <x v="0"/>
    <m/>
  </r>
  <r>
    <x v="0"/>
    <x v="0"/>
    <x v="0"/>
    <s v="PROCESS"/>
    <s v="PROCESS_REFERENCE_CODE"/>
    <x v="0"/>
    <s v="1. Concluído"/>
    <m/>
    <m/>
    <m/>
    <m/>
    <m/>
    <m/>
    <m/>
    <s v=""/>
    <s v=""/>
    <s v=""/>
    <m/>
    <m/>
    <m/>
    <m/>
    <m/>
    <m/>
    <x v="0"/>
    <m/>
  </r>
  <r>
    <x v="0"/>
    <x v="0"/>
    <x v="0"/>
    <s v="PROCESS"/>
    <s v="PROCESS_START_DATE"/>
    <x v="0"/>
    <s v="1. Concluído"/>
    <m/>
    <m/>
    <m/>
    <m/>
    <m/>
    <m/>
    <m/>
    <s v=""/>
    <s v=""/>
    <s v=""/>
    <m/>
    <m/>
    <m/>
    <m/>
    <m/>
    <m/>
    <x v="0"/>
    <m/>
  </r>
  <r>
    <x v="0"/>
    <x v="0"/>
    <x v="0"/>
    <s v="PROCESS"/>
    <s v="PROCESS_DUE_DATE"/>
    <x v="0"/>
    <s v="1. Concluído"/>
    <m/>
    <m/>
    <m/>
    <m/>
    <m/>
    <m/>
    <m/>
    <s v=""/>
    <s v=""/>
    <s v=""/>
    <m/>
    <m/>
    <m/>
    <m/>
    <m/>
    <m/>
    <x v="0"/>
    <m/>
  </r>
  <r>
    <x v="0"/>
    <x v="0"/>
    <x v="0"/>
    <s v="PROCESS"/>
    <s v="montante_eur"/>
    <x v="3"/>
    <s v="0. Cancelado"/>
    <m/>
    <m/>
    <m/>
    <m/>
    <m/>
    <m/>
    <m/>
    <s v=""/>
    <s v=""/>
    <s v=""/>
    <m/>
    <m/>
    <m/>
    <m/>
    <m/>
    <m/>
    <x v="0"/>
    <m/>
  </r>
  <r>
    <x v="0"/>
    <x v="0"/>
    <x v="0"/>
    <s v="PROCESS"/>
    <s v="montante_org"/>
    <x v="3"/>
    <s v="0. Cancelado"/>
    <m/>
    <m/>
    <m/>
    <m/>
    <m/>
    <m/>
    <m/>
    <s v=""/>
    <s v=""/>
    <s v=""/>
    <m/>
    <m/>
    <m/>
    <m/>
    <m/>
    <m/>
    <x v="0"/>
    <m/>
  </r>
  <r>
    <x v="0"/>
    <x v="0"/>
    <x v="0"/>
    <s v="PROCESS"/>
    <s v="origem"/>
    <x v="3"/>
    <s v="0. Cancelado"/>
    <m/>
    <m/>
    <m/>
    <m/>
    <m/>
    <m/>
    <m/>
    <s v=""/>
    <s v=""/>
    <s v=""/>
    <m/>
    <m/>
    <m/>
    <m/>
    <m/>
    <m/>
    <x v="0"/>
    <m/>
  </r>
  <r>
    <x v="0"/>
    <x v="0"/>
    <x v="0"/>
    <s v="PROCESS"/>
    <s v="DATA_DATE_PART"/>
    <x v="0"/>
    <s v="1. Concluído"/>
    <m/>
    <m/>
    <m/>
    <m/>
    <m/>
    <m/>
    <m/>
    <s v=""/>
    <s v=""/>
    <s v=""/>
    <m/>
    <m/>
    <m/>
    <m/>
    <m/>
    <m/>
    <x v="0"/>
    <m/>
  </r>
  <r>
    <x v="0"/>
    <x v="0"/>
    <x v="0"/>
    <s v="PROCESS"/>
    <s v="SOURCE_CODE"/>
    <x v="0"/>
    <s v="1. Concluído"/>
    <m/>
    <m/>
    <m/>
    <m/>
    <m/>
    <m/>
    <m/>
    <s v=""/>
    <s v=""/>
    <s v=""/>
    <m/>
    <m/>
    <m/>
    <m/>
    <m/>
    <m/>
    <x v="0"/>
    <m/>
  </r>
  <r>
    <x v="0"/>
    <x v="0"/>
    <x v="1"/>
    <s v="RESPONSIBILITY_PROCESS_REL"/>
    <s v="n.a."/>
    <x v="0"/>
    <s v="1. Concluído"/>
    <m/>
    <m/>
    <m/>
    <m/>
    <m/>
    <m/>
    <m/>
    <s v=""/>
    <s v=""/>
    <s v=""/>
    <m/>
    <m/>
    <m/>
    <m/>
    <m/>
    <m/>
    <x v="0"/>
    <m/>
  </r>
  <r>
    <x v="0"/>
    <x v="0"/>
    <x v="0"/>
    <s v="RESPONSIBILITY_PROCESS_REL"/>
    <s v="PROCESS_BANK_ID"/>
    <x v="0"/>
    <s v="1. Concluído"/>
    <m/>
    <m/>
    <m/>
    <m/>
    <m/>
    <m/>
    <m/>
    <s v=""/>
    <s v=""/>
    <s v=""/>
    <m/>
    <m/>
    <m/>
    <m/>
    <m/>
    <m/>
    <x v="0"/>
    <m/>
  </r>
  <r>
    <x v="0"/>
    <x v="0"/>
    <x v="0"/>
    <s v="RESPONSIBILITY_PROCESS_REL"/>
    <s v="BANK_ID"/>
    <x v="0"/>
    <s v="1. Concluído"/>
    <m/>
    <m/>
    <m/>
    <m/>
    <m/>
    <m/>
    <m/>
    <s v=""/>
    <s v=""/>
    <s v=""/>
    <m/>
    <m/>
    <m/>
    <m/>
    <m/>
    <m/>
    <x v="0"/>
    <m/>
  </r>
  <r>
    <x v="0"/>
    <x v="0"/>
    <x v="0"/>
    <s v="RESPONSIBILITY_PROCESS_REL"/>
    <s v="PROCESS_BRANCH_CODE"/>
    <x v="0"/>
    <s v="1. Concluído"/>
    <m/>
    <m/>
    <m/>
    <m/>
    <m/>
    <m/>
    <m/>
    <s v=""/>
    <s v=""/>
    <s v=""/>
    <m/>
    <m/>
    <m/>
    <m/>
    <m/>
    <m/>
    <x v="0"/>
    <m/>
  </r>
  <r>
    <x v="0"/>
    <x v="0"/>
    <x v="0"/>
    <s v="RESPONSIBILITY_PROCESS_REL"/>
    <s v="BRANCH_CODE"/>
    <x v="0"/>
    <s v="1. Concluído"/>
    <m/>
    <m/>
    <m/>
    <m/>
    <m/>
    <m/>
    <m/>
    <s v=""/>
    <s v=""/>
    <s v=""/>
    <m/>
    <m/>
    <m/>
    <m/>
    <m/>
    <m/>
    <x v="0"/>
    <m/>
  </r>
  <r>
    <x v="0"/>
    <x v="0"/>
    <x v="0"/>
    <s v="RESPONSIBILITY_PROCESS_REL"/>
    <s v="CONTRACT_ID"/>
    <x v="0"/>
    <s v="1. Concluído"/>
    <m/>
    <m/>
    <m/>
    <m/>
    <m/>
    <m/>
    <m/>
    <s v=""/>
    <s v=""/>
    <s v=""/>
    <m/>
    <m/>
    <m/>
    <m/>
    <m/>
    <m/>
    <x v="0"/>
    <m/>
  </r>
  <r>
    <x v="0"/>
    <x v="0"/>
    <x v="0"/>
    <s v="RESPONSIBILITY_PROCESS_REL"/>
    <s v="PROCESS_ACCOUNT_ID"/>
    <x v="0"/>
    <s v="1. Concluído"/>
    <m/>
    <m/>
    <m/>
    <m/>
    <m/>
    <m/>
    <m/>
    <s v=""/>
    <s v=""/>
    <s v=""/>
    <m/>
    <m/>
    <m/>
    <m/>
    <m/>
    <m/>
    <x v="0"/>
    <m/>
  </r>
  <r>
    <x v="0"/>
    <x v="0"/>
    <x v="0"/>
    <s v="RESPONSIBILITY_PROCESS_REL"/>
    <s v="REFERENCE_CODE"/>
    <x v="0"/>
    <s v="1. Concluído"/>
    <m/>
    <m/>
    <m/>
    <m/>
    <m/>
    <m/>
    <m/>
    <s v=""/>
    <s v=""/>
    <s v=""/>
    <m/>
    <m/>
    <m/>
    <m/>
    <m/>
    <m/>
    <x v="0"/>
    <m/>
  </r>
  <r>
    <x v="0"/>
    <x v="0"/>
    <x v="0"/>
    <s v="RESPONSIBILITY_PROCESS_REL"/>
    <s v="PURPOSE_CODE"/>
    <x v="0"/>
    <s v="1. Concluído"/>
    <m/>
    <m/>
    <m/>
    <m/>
    <m/>
    <m/>
    <m/>
    <s v=""/>
    <s v=""/>
    <s v=""/>
    <m/>
    <m/>
    <m/>
    <m/>
    <m/>
    <m/>
    <x v="0"/>
    <m/>
  </r>
  <r>
    <x v="0"/>
    <x v="0"/>
    <x v="0"/>
    <s v="RESPONSIBILITY_PROCESS_REL"/>
    <s v="INDIVIDUAL_OCCUPATION_CODE"/>
    <x v="0"/>
    <s v="1. Concluído"/>
    <m/>
    <m/>
    <m/>
    <m/>
    <m/>
    <m/>
    <m/>
    <s v=""/>
    <s v=""/>
    <s v=""/>
    <m/>
    <m/>
    <m/>
    <m/>
    <m/>
    <m/>
    <x v="0"/>
    <m/>
  </r>
  <r>
    <x v="0"/>
    <x v="0"/>
    <x v="0"/>
    <s v="RESPONSIBILITY_PROCESS_REL"/>
    <s v="PRODUCT_ID"/>
    <x v="0"/>
    <s v="1. Concluído"/>
    <m/>
    <m/>
    <m/>
    <m/>
    <m/>
    <m/>
    <m/>
    <s v=""/>
    <s v=""/>
    <s v=""/>
    <m/>
    <m/>
    <m/>
    <m/>
    <m/>
    <m/>
    <x v="0"/>
    <m/>
  </r>
  <r>
    <x v="0"/>
    <x v="0"/>
    <x v="0"/>
    <s v="RESPONSIBILITY_PROCESS_REL"/>
    <s v="cod_sit"/>
    <x v="3"/>
    <s v="0. Cancelado"/>
    <m/>
    <m/>
    <m/>
    <m/>
    <m/>
    <m/>
    <m/>
    <s v=""/>
    <s v=""/>
    <s v=""/>
    <m/>
    <m/>
    <m/>
    <m/>
    <m/>
    <m/>
    <x v="0"/>
    <m/>
  </r>
  <r>
    <x v="0"/>
    <x v="0"/>
    <x v="0"/>
    <s v="RESPONSIBILITY_PROCESS_REL"/>
    <s v="SUBPRODUCT_ID"/>
    <x v="0"/>
    <s v="1. Concluído"/>
    <m/>
    <m/>
    <m/>
    <m/>
    <m/>
    <m/>
    <m/>
    <s v=""/>
    <s v=""/>
    <s v=""/>
    <m/>
    <m/>
    <m/>
    <m/>
    <m/>
    <m/>
    <x v="0"/>
    <m/>
  </r>
  <r>
    <x v="0"/>
    <x v="0"/>
    <x v="0"/>
    <s v="RESPONSIBILITY_PROCESS_REL"/>
    <s v="PROCESS_REFERENCE_CODE"/>
    <x v="0"/>
    <s v="1. Concluído"/>
    <m/>
    <m/>
    <m/>
    <m/>
    <m/>
    <m/>
    <m/>
    <s v=""/>
    <s v=""/>
    <s v=""/>
    <m/>
    <m/>
    <m/>
    <m/>
    <m/>
    <m/>
    <x v="0"/>
    <m/>
  </r>
  <r>
    <x v="0"/>
    <x v="0"/>
    <x v="0"/>
    <s v="RESPONSIBILITY_PROCESS_REL"/>
    <s v="EFFECTIVE_RELATION_END_DATE"/>
    <x v="0"/>
    <s v="1. Concluído"/>
    <m/>
    <m/>
    <m/>
    <m/>
    <m/>
    <m/>
    <m/>
    <s v=""/>
    <s v=""/>
    <s v=""/>
    <m/>
    <m/>
    <m/>
    <m/>
    <m/>
    <m/>
    <x v="0"/>
    <m/>
  </r>
  <r>
    <x v="0"/>
    <x v="0"/>
    <x v="0"/>
    <s v="RESPONSIBILITY_PROCESS_REL"/>
    <s v="RELATION_START_DATE"/>
    <x v="0"/>
    <s v="1. Concluído"/>
    <m/>
    <m/>
    <m/>
    <m/>
    <m/>
    <m/>
    <m/>
    <s v=""/>
    <s v=""/>
    <s v=""/>
    <m/>
    <m/>
    <m/>
    <m/>
    <m/>
    <m/>
    <x v="0"/>
    <m/>
  </r>
  <r>
    <x v="0"/>
    <x v="0"/>
    <x v="0"/>
    <s v="RESPONSIBILITY_PROCESS_REL"/>
    <s v="ESTABLISHED_RELATION_END_DATE"/>
    <x v="0"/>
    <s v="1. Concluído"/>
    <m/>
    <m/>
    <m/>
    <m/>
    <m/>
    <m/>
    <m/>
    <s v=""/>
    <s v=""/>
    <s v=""/>
    <m/>
    <m/>
    <m/>
    <m/>
    <m/>
    <m/>
    <x v="0"/>
    <m/>
  </r>
  <r>
    <x v="0"/>
    <x v="0"/>
    <x v="0"/>
    <s v="RESPONSIBILITY_PROCESS_REL"/>
    <s v="idetgar"/>
    <x v="3"/>
    <s v="0. Cancelado"/>
    <m/>
    <m/>
    <m/>
    <m/>
    <m/>
    <m/>
    <m/>
    <s v=""/>
    <s v=""/>
    <s v=""/>
    <m/>
    <m/>
    <m/>
    <m/>
    <m/>
    <m/>
    <x v="0"/>
    <m/>
  </r>
  <r>
    <x v="0"/>
    <x v="0"/>
    <x v="0"/>
    <s v="RESPONSIBILITY_PROCESS_REL"/>
    <s v="num_prop"/>
    <x v="3"/>
    <s v="0. Cancelado"/>
    <m/>
    <m/>
    <m/>
    <m/>
    <m/>
    <m/>
    <m/>
    <s v=""/>
    <s v=""/>
    <s v=""/>
    <m/>
    <m/>
    <m/>
    <m/>
    <m/>
    <m/>
    <x v="0"/>
    <m/>
  </r>
  <r>
    <x v="0"/>
    <x v="0"/>
    <x v="0"/>
    <s v="RESPONSIBILITY_PROCESS_REL"/>
    <s v="SOURCE_CODE"/>
    <x v="0"/>
    <s v="1. Concluído"/>
    <m/>
    <m/>
    <m/>
    <m/>
    <m/>
    <m/>
    <m/>
    <s v=""/>
    <s v=""/>
    <s v=""/>
    <m/>
    <m/>
    <m/>
    <m/>
    <m/>
    <m/>
    <x v="0"/>
    <m/>
  </r>
  <r>
    <x v="0"/>
    <x v="0"/>
    <x v="0"/>
    <s v="RESPONSIBILITY_PROCESS_REL"/>
    <s v="DATA_DATE_PART"/>
    <x v="0"/>
    <s v="1. Concluído"/>
    <m/>
    <m/>
    <m/>
    <m/>
    <m/>
    <m/>
    <m/>
    <s v=""/>
    <s v=""/>
    <s v=""/>
    <m/>
    <m/>
    <m/>
    <m/>
    <m/>
    <m/>
    <x v="0"/>
    <m/>
  </r>
  <r>
    <x v="0"/>
    <x v="0"/>
    <x v="1"/>
    <s v="PROCESS_PROPERTY_REL"/>
    <s v="n.a."/>
    <x v="0"/>
    <s v="1. Concluído"/>
    <m/>
    <m/>
    <m/>
    <m/>
    <m/>
    <m/>
    <m/>
    <s v=""/>
    <s v=""/>
    <s v=""/>
    <m/>
    <m/>
    <m/>
    <m/>
    <m/>
    <m/>
    <x v="0"/>
    <m/>
  </r>
  <r>
    <x v="0"/>
    <x v="0"/>
    <x v="0"/>
    <s v="PROCESS_PROPERTY_REL"/>
    <s v="PROPERTY_BANK_ID"/>
    <x v="0"/>
    <s v="1. Concluído"/>
    <m/>
    <m/>
    <m/>
    <m/>
    <m/>
    <m/>
    <m/>
    <s v=""/>
    <s v=""/>
    <s v=""/>
    <m/>
    <m/>
    <m/>
    <m/>
    <m/>
    <m/>
    <x v="0"/>
    <m/>
  </r>
  <r>
    <x v="0"/>
    <x v="0"/>
    <x v="0"/>
    <s v="PROCESS_PROPERTY_REL"/>
    <s v="PROCESS_BANK_ID"/>
    <x v="0"/>
    <s v="1. Concluído"/>
    <m/>
    <m/>
    <m/>
    <m/>
    <m/>
    <m/>
    <m/>
    <s v=""/>
    <s v=""/>
    <s v=""/>
    <m/>
    <m/>
    <m/>
    <m/>
    <m/>
    <m/>
    <x v="0"/>
    <m/>
  </r>
  <r>
    <x v="0"/>
    <x v="0"/>
    <x v="0"/>
    <s v="PROCESS_PROPERTY_REL"/>
    <s v="PROPERTY_BRANCH_CODE"/>
    <x v="0"/>
    <s v="1. Concluído"/>
    <m/>
    <m/>
    <m/>
    <m/>
    <m/>
    <m/>
    <m/>
    <s v=""/>
    <s v=""/>
    <s v=""/>
    <m/>
    <m/>
    <m/>
    <m/>
    <m/>
    <m/>
    <x v="0"/>
    <m/>
  </r>
  <r>
    <x v="0"/>
    <x v="0"/>
    <x v="0"/>
    <s v="PROCESS_PROPERTY_REL"/>
    <s v="PROCESS_BRANCH_CODE"/>
    <x v="0"/>
    <s v="1. Concluído"/>
    <m/>
    <m/>
    <m/>
    <m/>
    <m/>
    <m/>
    <m/>
    <s v=""/>
    <s v=""/>
    <s v=""/>
    <m/>
    <m/>
    <m/>
    <m/>
    <m/>
    <m/>
    <x v="0"/>
    <m/>
  </r>
  <r>
    <x v="0"/>
    <x v="0"/>
    <x v="0"/>
    <s v="PROCESS_PROPERTY_REL"/>
    <s v="PROPERTY_CONTRACT_ID"/>
    <x v="0"/>
    <s v="1. Concluído"/>
    <m/>
    <m/>
    <m/>
    <m/>
    <m/>
    <m/>
    <m/>
    <s v=""/>
    <s v=""/>
    <s v=""/>
    <m/>
    <m/>
    <m/>
    <m/>
    <m/>
    <m/>
    <x v="0"/>
    <m/>
  </r>
  <r>
    <x v="0"/>
    <x v="0"/>
    <x v="0"/>
    <s v="PROCESS_PROPERTY_REL"/>
    <s v="PROCESS_ACCOUNT_ID"/>
    <x v="0"/>
    <s v="1. Concluído"/>
    <m/>
    <m/>
    <m/>
    <m/>
    <m/>
    <m/>
    <m/>
    <s v=""/>
    <s v=""/>
    <s v=""/>
    <m/>
    <m/>
    <m/>
    <m/>
    <m/>
    <m/>
    <x v="0"/>
    <m/>
  </r>
  <r>
    <x v="0"/>
    <x v="0"/>
    <x v="0"/>
    <s v="PROCESS_PROPERTY_REL"/>
    <s v="PROPERTY_REFERENCE_CODE"/>
    <x v="0"/>
    <s v="1. Concluído"/>
    <m/>
    <m/>
    <m/>
    <m/>
    <m/>
    <m/>
    <m/>
    <s v=""/>
    <s v=""/>
    <s v=""/>
    <m/>
    <m/>
    <m/>
    <m/>
    <m/>
    <m/>
    <x v="0"/>
    <m/>
  </r>
  <r>
    <x v="0"/>
    <x v="0"/>
    <x v="0"/>
    <s v="PROCESS_PROPERTY_REL"/>
    <s v="PROCESS_REFERENCE_CODE"/>
    <x v="0"/>
    <s v="1. Concluído"/>
    <m/>
    <m/>
    <m/>
    <m/>
    <m/>
    <m/>
    <m/>
    <s v=""/>
    <s v=""/>
    <s v=""/>
    <m/>
    <m/>
    <m/>
    <m/>
    <m/>
    <m/>
    <x v="0"/>
    <m/>
  </r>
  <r>
    <x v="0"/>
    <x v="0"/>
    <x v="0"/>
    <s v="PROCESS_PROPERTY_REL"/>
    <s v="data_assc"/>
    <x v="3"/>
    <s v="0. Cancelado"/>
    <m/>
    <m/>
    <m/>
    <m/>
    <m/>
    <m/>
    <m/>
    <s v=""/>
    <s v=""/>
    <s v=""/>
    <m/>
    <m/>
    <m/>
    <m/>
    <m/>
    <m/>
    <x v="0"/>
    <m/>
  </r>
  <r>
    <x v="0"/>
    <x v="0"/>
    <x v="0"/>
    <s v="PROCESS_PROPERTY_REL"/>
    <s v="SEIZED_PROPERTY_IND"/>
    <x v="0"/>
    <s v="1. Concluído"/>
    <m/>
    <m/>
    <m/>
    <m/>
    <m/>
    <m/>
    <m/>
    <s v=""/>
    <s v=""/>
    <s v=""/>
    <m/>
    <m/>
    <m/>
    <m/>
    <m/>
    <m/>
    <x v="0"/>
    <m/>
  </r>
  <r>
    <x v="0"/>
    <x v="0"/>
    <x v="0"/>
    <s v="PROCESS_PROPERTY_REL"/>
    <s v="COLLATERAL_PROPERTY_IND"/>
    <x v="0"/>
    <s v="1. Concluído"/>
    <m/>
    <m/>
    <m/>
    <m/>
    <m/>
    <m/>
    <m/>
    <s v=""/>
    <s v=""/>
    <s v=""/>
    <m/>
    <m/>
    <m/>
    <m/>
    <m/>
    <m/>
    <x v="0"/>
    <m/>
  </r>
  <r>
    <x v="0"/>
    <x v="0"/>
    <x v="0"/>
    <s v="PROCESS_PROPERTY_REL"/>
    <s v="FINANCED_PROPERTY_IND"/>
    <x v="0"/>
    <s v="1. Concluído"/>
    <m/>
    <m/>
    <m/>
    <m/>
    <m/>
    <m/>
    <m/>
    <s v=""/>
    <s v=""/>
    <s v=""/>
    <m/>
    <m/>
    <m/>
    <m/>
    <m/>
    <m/>
    <x v="0"/>
    <m/>
  </r>
  <r>
    <x v="0"/>
    <x v="0"/>
    <x v="0"/>
    <s v="PROCESS_PROPERTY_REL"/>
    <s v="OWNED_PROPERTY_IND"/>
    <x v="0"/>
    <s v="1. Concluído"/>
    <m/>
    <m/>
    <m/>
    <m/>
    <m/>
    <m/>
    <m/>
    <s v=""/>
    <s v=""/>
    <s v=""/>
    <m/>
    <m/>
    <m/>
    <m/>
    <m/>
    <m/>
    <x v="0"/>
    <m/>
  </r>
  <r>
    <x v="0"/>
    <x v="0"/>
    <x v="0"/>
    <s v="PROCESS_PROPERTY_REL"/>
    <s v="SOURCE_CODE"/>
    <x v="0"/>
    <s v="1. Concluído"/>
    <m/>
    <m/>
    <m/>
    <m/>
    <m/>
    <m/>
    <m/>
    <s v=""/>
    <s v=""/>
    <s v=""/>
    <m/>
    <m/>
    <m/>
    <m/>
    <m/>
    <m/>
    <x v="0"/>
    <m/>
  </r>
  <r>
    <x v="0"/>
    <x v="0"/>
    <x v="0"/>
    <s v="PROCESS_PROPERTY_REL"/>
    <s v="DATA_DATE_PART"/>
    <x v="0"/>
    <s v="1. Concluído"/>
    <m/>
    <m/>
    <m/>
    <m/>
    <m/>
    <m/>
    <m/>
    <s v=""/>
    <s v=""/>
    <s v=""/>
    <m/>
    <m/>
    <m/>
    <m/>
    <m/>
    <m/>
    <x v="0"/>
    <m/>
  </r>
  <r>
    <x v="0"/>
    <x v="0"/>
    <x v="1"/>
    <s v="PROPERTY"/>
    <s v="n.a."/>
    <x v="0"/>
    <s v="1. Concluído"/>
    <m/>
    <m/>
    <m/>
    <m/>
    <m/>
    <m/>
    <m/>
    <s v=""/>
    <s v=""/>
    <s v=""/>
    <m/>
    <m/>
    <m/>
    <m/>
    <m/>
    <m/>
    <x v="0"/>
    <m/>
  </r>
  <r>
    <x v="0"/>
    <x v="0"/>
    <x v="0"/>
    <s v="PROPERTY"/>
    <s v="CONSTRUCTION_YEAR"/>
    <x v="0"/>
    <s v="1. Concluído"/>
    <m/>
    <m/>
    <m/>
    <m/>
    <m/>
    <m/>
    <m/>
    <s v=""/>
    <s v=""/>
    <s v=""/>
    <m/>
    <m/>
    <m/>
    <m/>
    <m/>
    <m/>
    <x v="0"/>
    <m/>
  </r>
  <r>
    <x v="0"/>
    <x v="0"/>
    <x v="0"/>
    <s v="PROPERTY"/>
    <s v="NET_FLOOR_AREA"/>
    <x v="0"/>
    <s v="1. Concluído"/>
    <m/>
    <m/>
    <m/>
    <m/>
    <m/>
    <m/>
    <m/>
    <s v=""/>
    <s v=""/>
    <s v=""/>
    <m/>
    <m/>
    <m/>
    <m/>
    <m/>
    <m/>
    <x v="0"/>
    <m/>
  </r>
  <r>
    <x v="0"/>
    <x v="0"/>
    <x v="0"/>
    <s v="PROPERTY"/>
    <s v="PROPERTY_BANK_ID"/>
    <x v="0"/>
    <s v="1. Concluído"/>
    <m/>
    <m/>
    <m/>
    <m/>
    <m/>
    <m/>
    <m/>
    <s v=""/>
    <s v=""/>
    <s v=""/>
    <m/>
    <m/>
    <m/>
    <m/>
    <m/>
    <m/>
    <x v="0"/>
    <m/>
  </r>
  <r>
    <x v="0"/>
    <x v="0"/>
    <x v="0"/>
    <s v="PROPERTY"/>
    <s v="PROPERTY_BRANCH_CODE"/>
    <x v="0"/>
    <s v="1. Concluído"/>
    <m/>
    <m/>
    <m/>
    <m/>
    <m/>
    <m/>
    <m/>
    <s v=""/>
    <s v=""/>
    <s v=""/>
    <m/>
    <m/>
    <m/>
    <m/>
    <m/>
    <m/>
    <x v="0"/>
    <m/>
  </r>
  <r>
    <x v="0"/>
    <x v="0"/>
    <x v="0"/>
    <s v="PROPERTY"/>
    <s v="PROPERTY_CONTRACT_ID"/>
    <x v="0"/>
    <s v="1. Concluído"/>
    <m/>
    <m/>
    <m/>
    <m/>
    <m/>
    <m/>
    <m/>
    <s v=""/>
    <s v=""/>
    <s v=""/>
    <m/>
    <m/>
    <m/>
    <m/>
    <m/>
    <m/>
    <x v="0"/>
    <m/>
  </r>
  <r>
    <x v="0"/>
    <x v="0"/>
    <x v="0"/>
    <s v="PROPERTY"/>
    <s v="PROPERTY_REFERENCE_CODE"/>
    <x v="0"/>
    <s v="1. Concluído"/>
    <m/>
    <m/>
    <m/>
    <m/>
    <m/>
    <m/>
    <m/>
    <s v=""/>
    <s v=""/>
    <s v=""/>
    <m/>
    <m/>
    <m/>
    <m/>
    <m/>
    <m/>
    <x v="0"/>
    <m/>
  </r>
  <r>
    <x v="0"/>
    <x v="0"/>
    <x v="0"/>
    <s v="PROPERTY"/>
    <s v="CADASTRAL_REGISTER_CODE"/>
    <x v="0"/>
    <s v="1. Concluído"/>
    <m/>
    <m/>
    <m/>
    <m/>
    <m/>
    <m/>
    <m/>
    <s v=""/>
    <s v=""/>
    <s v=""/>
    <m/>
    <m/>
    <m/>
    <m/>
    <m/>
    <m/>
    <x v="0"/>
    <m/>
  </r>
  <r>
    <x v="0"/>
    <x v="0"/>
    <x v="0"/>
    <s v="PROPERTY"/>
    <s v="APPRAISAL_CODE"/>
    <x v="0"/>
    <s v="1. Concluído"/>
    <m/>
    <m/>
    <m/>
    <m/>
    <m/>
    <m/>
    <m/>
    <s v=""/>
    <s v=""/>
    <s v=""/>
    <m/>
    <m/>
    <m/>
    <m/>
    <m/>
    <m/>
    <x v="0"/>
    <m/>
  </r>
  <r>
    <x v="0"/>
    <x v="0"/>
    <x v="0"/>
    <s v="PROPERTY"/>
    <s v="cod_bem"/>
    <x v="3"/>
    <s v="0. Cancelado"/>
    <m/>
    <m/>
    <m/>
    <m/>
    <m/>
    <m/>
    <m/>
    <s v=""/>
    <s v=""/>
    <s v=""/>
    <m/>
    <m/>
    <m/>
    <m/>
    <m/>
    <m/>
    <x v="0"/>
    <m/>
  </r>
  <r>
    <x v="0"/>
    <x v="0"/>
    <x v="0"/>
    <s v="PROPERTY"/>
    <s v="DISTRICT_MUNICIP_PARISH_CODE"/>
    <x v="0"/>
    <s v="1. Concluído"/>
    <m/>
    <m/>
    <m/>
    <m/>
    <m/>
    <m/>
    <m/>
    <s v=""/>
    <s v=""/>
    <s v=""/>
    <m/>
    <m/>
    <m/>
    <m/>
    <m/>
    <m/>
    <x v="0"/>
    <m/>
  </r>
  <r>
    <x v="0"/>
    <x v="0"/>
    <x v="0"/>
    <s v="PROPERTY"/>
    <s v="PROPERTY_PURPOSE_CODE"/>
    <x v="0"/>
    <s v="1. Concluído"/>
    <m/>
    <m/>
    <m/>
    <m/>
    <m/>
    <m/>
    <m/>
    <s v=""/>
    <s v=""/>
    <s v=""/>
    <m/>
    <m/>
    <m/>
    <m/>
    <m/>
    <m/>
    <x v="0"/>
    <m/>
  </r>
  <r>
    <x v="0"/>
    <x v="0"/>
    <x v="0"/>
    <s v="PROPERTY"/>
    <s v="PROPERTY_LIFETIME_CODE"/>
    <x v="0"/>
    <s v="1. Concluído"/>
    <m/>
    <m/>
    <m/>
    <m/>
    <m/>
    <m/>
    <m/>
    <s v=""/>
    <s v=""/>
    <s v=""/>
    <m/>
    <m/>
    <m/>
    <m/>
    <m/>
    <m/>
    <x v="0"/>
    <m/>
  </r>
  <r>
    <x v="0"/>
    <x v="0"/>
    <x v="0"/>
    <s v="PROPERTY"/>
    <s v="ADDRESS_CODE"/>
    <x v="0"/>
    <s v="1. Concluído"/>
    <m/>
    <m/>
    <m/>
    <m/>
    <m/>
    <m/>
    <m/>
    <s v=""/>
    <s v=""/>
    <s v=""/>
    <m/>
    <m/>
    <m/>
    <m/>
    <m/>
    <m/>
    <x v="0"/>
    <m/>
  </r>
  <r>
    <x v="0"/>
    <x v="0"/>
    <x v="0"/>
    <s v="PROPERTY"/>
    <s v="COUNTRY_CODE"/>
    <x v="0"/>
    <s v="1. Concluído"/>
    <m/>
    <m/>
    <m/>
    <m/>
    <m/>
    <m/>
    <m/>
    <s v=""/>
    <s v=""/>
    <s v=""/>
    <m/>
    <m/>
    <m/>
    <m/>
    <m/>
    <m/>
    <x v="0"/>
    <m/>
  </r>
  <r>
    <x v="0"/>
    <x v="0"/>
    <x v="0"/>
    <s v="PROPERTY"/>
    <s v="POSTAL_CODE"/>
    <x v="0"/>
    <s v="1. Concluído"/>
    <m/>
    <m/>
    <m/>
    <m/>
    <m/>
    <m/>
    <m/>
    <s v=""/>
    <s v=""/>
    <s v=""/>
    <m/>
    <m/>
    <m/>
    <m/>
    <m/>
    <m/>
    <x v="0"/>
    <m/>
  </r>
  <r>
    <x v="0"/>
    <x v="0"/>
    <x v="0"/>
    <s v="PROPERTY"/>
    <s v="PROPERTY_TYPE_CODE"/>
    <x v="0"/>
    <s v="1. Concluído"/>
    <m/>
    <m/>
    <m/>
    <m/>
    <m/>
    <m/>
    <m/>
    <s v=""/>
    <s v=""/>
    <s v=""/>
    <m/>
    <m/>
    <m/>
    <m/>
    <m/>
    <m/>
    <x v="0"/>
    <m/>
  </r>
  <r>
    <x v="0"/>
    <x v="0"/>
    <x v="0"/>
    <s v="PROPERTY"/>
    <s v="LAST_APPRAISAL_DATE"/>
    <x v="0"/>
    <s v="1. Concluído"/>
    <m/>
    <m/>
    <m/>
    <m/>
    <m/>
    <m/>
    <m/>
    <s v=""/>
    <s v=""/>
    <s v=""/>
    <m/>
    <m/>
    <m/>
    <m/>
    <m/>
    <m/>
    <x v="0"/>
    <m/>
  </r>
  <r>
    <x v="0"/>
    <x v="0"/>
    <x v="0"/>
    <s v="PROPERTY"/>
    <s v="USAGE_PERMIT_START_DATE"/>
    <x v="0"/>
    <s v="1. Concluído"/>
    <m/>
    <m/>
    <m/>
    <m/>
    <m/>
    <m/>
    <m/>
    <s v=""/>
    <s v=""/>
    <s v=""/>
    <m/>
    <m/>
    <m/>
    <m/>
    <m/>
    <m/>
    <x v="0"/>
    <m/>
  </r>
  <r>
    <x v="0"/>
    <x v="0"/>
    <x v="0"/>
    <s v="PROPERTY"/>
    <s v="CONSERVATORY_REG_FILE_ID"/>
    <x v="0"/>
    <s v="1. Concluído"/>
    <m/>
    <m/>
    <m/>
    <m/>
    <m/>
    <m/>
    <m/>
    <s v=""/>
    <s v=""/>
    <s v=""/>
    <m/>
    <m/>
    <m/>
    <m/>
    <m/>
    <m/>
    <x v="0"/>
    <m/>
  </r>
  <r>
    <x v="0"/>
    <x v="0"/>
    <x v="0"/>
    <s v="PROPERTY"/>
    <s v="FLOOR_NUMBER"/>
    <x v="0"/>
    <s v="1. Concluído"/>
    <m/>
    <m/>
    <m/>
    <m/>
    <m/>
    <m/>
    <m/>
    <s v=""/>
    <s v=""/>
    <s v=""/>
    <m/>
    <m/>
    <m/>
    <m/>
    <m/>
    <m/>
    <x v="0"/>
    <m/>
  </r>
  <r>
    <x v="0"/>
    <x v="0"/>
    <x v="0"/>
    <s v="PROPERTY"/>
    <s v="LOCALITY"/>
    <x v="0"/>
    <s v="1. Concluído"/>
    <m/>
    <m/>
    <m/>
    <m/>
    <m/>
    <m/>
    <m/>
    <s v=""/>
    <s v=""/>
    <s v=""/>
    <m/>
    <m/>
    <m/>
    <m/>
    <m/>
    <m/>
    <x v="0"/>
    <m/>
  </r>
  <r>
    <x v="0"/>
    <x v="0"/>
    <x v="0"/>
    <s v="PROPERTY"/>
    <s v="PROPERTY_LOT"/>
    <x v="0"/>
    <s v="1. Concluído"/>
    <m/>
    <m/>
    <m/>
    <m/>
    <m/>
    <m/>
    <m/>
    <s v=""/>
    <s v=""/>
    <s v=""/>
    <m/>
    <m/>
    <m/>
    <m/>
    <m/>
    <m/>
    <x v="0"/>
    <m/>
  </r>
  <r>
    <x v="0"/>
    <x v="0"/>
    <x v="0"/>
    <s v="PROPERTY"/>
    <s v="LAST_APPRAISAL_AMOUNT"/>
    <x v="0"/>
    <s v="1. Concluído"/>
    <m/>
    <m/>
    <m/>
    <m/>
    <m/>
    <m/>
    <m/>
    <s v=""/>
    <s v=""/>
    <s v=""/>
    <m/>
    <m/>
    <m/>
    <m/>
    <m/>
    <m/>
    <x v="0"/>
    <m/>
  </r>
  <r>
    <x v="0"/>
    <x v="0"/>
    <x v="0"/>
    <s v="PROPERTY"/>
    <s v="NET_APPRAISAL_AMOUNT"/>
    <x v="0"/>
    <s v="1. Concluído"/>
    <m/>
    <m/>
    <m/>
    <m/>
    <m/>
    <m/>
    <m/>
    <s v=""/>
    <s v=""/>
    <s v=""/>
    <m/>
    <m/>
    <m/>
    <m/>
    <m/>
    <m/>
    <x v="0"/>
    <m/>
  </r>
  <r>
    <x v="0"/>
    <x v="0"/>
    <x v="0"/>
    <s v="PROPERTY"/>
    <s v="COLLATERAL_FAST_SALE_AMOUNT"/>
    <x v="0"/>
    <s v="1. Concluído"/>
    <m/>
    <m/>
    <m/>
    <m/>
    <m/>
    <m/>
    <m/>
    <s v=""/>
    <s v=""/>
    <s v=""/>
    <m/>
    <m/>
    <m/>
    <m/>
    <m/>
    <m/>
    <x v="0"/>
    <m/>
  </r>
  <r>
    <x v="0"/>
    <x v="0"/>
    <x v="0"/>
    <s v="PROPERTY"/>
    <s v="ADDRESS"/>
    <x v="0"/>
    <s v="1. Concluído"/>
    <m/>
    <m/>
    <m/>
    <m/>
    <m/>
    <m/>
    <m/>
    <s v=""/>
    <s v=""/>
    <s v=""/>
    <m/>
    <m/>
    <m/>
    <m/>
    <m/>
    <m/>
    <x v="0"/>
    <m/>
  </r>
  <r>
    <x v="0"/>
    <x v="0"/>
    <x v="0"/>
    <s v="PROPERTY"/>
    <s v="PROPERTY_NUMBER"/>
    <x v="0"/>
    <s v="1. Concluído"/>
    <m/>
    <m/>
    <m/>
    <m/>
    <m/>
    <m/>
    <m/>
    <s v=""/>
    <s v=""/>
    <s v=""/>
    <m/>
    <m/>
    <m/>
    <m/>
    <m/>
    <m/>
    <x v="0"/>
    <m/>
  </r>
  <r>
    <x v="0"/>
    <x v="0"/>
    <x v="0"/>
    <s v="PROPERTY"/>
    <s v="Origem"/>
    <x v="3"/>
    <s v="0. Cancelado"/>
    <m/>
    <m/>
    <m/>
    <m/>
    <m/>
    <m/>
    <m/>
    <s v=""/>
    <s v=""/>
    <s v=""/>
    <m/>
    <m/>
    <m/>
    <m/>
    <m/>
    <m/>
    <x v="0"/>
    <m/>
  </r>
  <r>
    <x v="0"/>
    <x v="0"/>
    <x v="0"/>
    <s v="PROPERTY"/>
    <s v="CURRENT_CONSTRUCTION_PCT"/>
    <x v="0"/>
    <s v="1. Concluído"/>
    <m/>
    <m/>
    <m/>
    <m/>
    <m/>
    <m/>
    <m/>
    <s v=""/>
    <s v=""/>
    <s v=""/>
    <m/>
    <m/>
    <m/>
    <m/>
    <m/>
    <m/>
    <x v="0"/>
    <m/>
  </r>
  <r>
    <x v="0"/>
    <x v="0"/>
    <x v="0"/>
    <s v="PROPERTY"/>
    <s v="CONSTRUCTION_COMPLETED_PCT"/>
    <x v="0"/>
    <s v="1. Concluído"/>
    <m/>
    <m/>
    <m/>
    <m/>
    <m/>
    <m/>
    <m/>
    <s v=""/>
    <s v=""/>
    <s v=""/>
    <m/>
    <m/>
    <m/>
    <m/>
    <m/>
    <m/>
    <x v="0"/>
    <m/>
  </r>
  <r>
    <x v="0"/>
    <x v="0"/>
    <x v="0"/>
    <s v="PROPERTY"/>
    <s v="DATA_DATE_PART"/>
    <x v="0"/>
    <s v="1. Concluído"/>
    <m/>
    <m/>
    <m/>
    <m/>
    <m/>
    <m/>
    <m/>
    <s v=""/>
    <s v=""/>
    <s v=""/>
    <m/>
    <m/>
    <m/>
    <m/>
    <m/>
    <m/>
    <x v="0"/>
    <m/>
  </r>
  <r>
    <x v="0"/>
    <x v="0"/>
    <x v="0"/>
    <s v="PROPERTY"/>
    <s v="PROPERTY_CODE"/>
    <x v="0"/>
    <s v="1. Concluído"/>
    <m/>
    <m/>
    <m/>
    <m/>
    <m/>
    <m/>
    <m/>
    <s v=""/>
    <s v=""/>
    <s v=""/>
    <m/>
    <m/>
    <m/>
    <m/>
    <m/>
    <m/>
    <x v="0"/>
    <m/>
  </r>
  <r>
    <x v="0"/>
    <x v="0"/>
    <x v="0"/>
    <s v="PROPERTY"/>
    <s v="URBANIZATION"/>
    <x v="0"/>
    <s v="1. Concluído"/>
    <m/>
    <m/>
    <m/>
    <m/>
    <m/>
    <m/>
    <m/>
    <s v=""/>
    <s v=""/>
    <s v=""/>
    <m/>
    <m/>
    <m/>
    <m/>
    <m/>
    <m/>
    <x v="0"/>
    <m/>
  </r>
  <r>
    <x v="0"/>
    <x v="0"/>
    <x v="1"/>
    <s v="PROPERTY_ENERGY_CERTIFICATE"/>
    <s v="n.a."/>
    <x v="0"/>
    <s v="1. Concluído"/>
    <m/>
    <m/>
    <m/>
    <m/>
    <m/>
    <m/>
    <m/>
    <s v=""/>
    <s v=""/>
    <s v=""/>
    <m/>
    <m/>
    <m/>
    <m/>
    <m/>
    <m/>
    <x v="0"/>
    <m/>
  </r>
  <r>
    <x v="0"/>
    <x v="0"/>
    <x v="0"/>
    <s v="PROPERTY_ENERGY_CERTIFICATE"/>
    <s v="PROPERTY_BANK_ID"/>
    <x v="0"/>
    <s v="1. Concluído"/>
    <m/>
    <m/>
    <m/>
    <m/>
    <m/>
    <m/>
    <m/>
    <s v=""/>
    <s v=""/>
    <s v=""/>
    <m/>
    <m/>
    <m/>
    <m/>
    <m/>
    <m/>
    <x v="0"/>
    <m/>
  </r>
  <r>
    <x v="0"/>
    <x v="0"/>
    <x v="0"/>
    <s v="PROPERTY_ENERGY_CERTIFICATE"/>
    <s v="PROPERTY_BRANCH_CODE"/>
    <x v="0"/>
    <s v="1. Concluído"/>
    <m/>
    <m/>
    <m/>
    <m/>
    <m/>
    <m/>
    <m/>
    <s v=""/>
    <s v=""/>
    <s v=""/>
    <m/>
    <m/>
    <m/>
    <m/>
    <m/>
    <m/>
    <x v="0"/>
    <m/>
  </r>
  <r>
    <x v="0"/>
    <x v="0"/>
    <x v="0"/>
    <s v="PROPERTY_ENERGY_CERTIFICATE"/>
    <s v="PROPERTY_CONTRACT_ID"/>
    <x v="0"/>
    <s v="1. Concluído"/>
    <m/>
    <m/>
    <m/>
    <m/>
    <m/>
    <m/>
    <m/>
    <s v=""/>
    <s v=""/>
    <s v=""/>
    <m/>
    <m/>
    <m/>
    <m/>
    <m/>
    <m/>
    <x v="0"/>
    <m/>
  </r>
  <r>
    <x v="0"/>
    <x v="0"/>
    <x v="0"/>
    <s v="PROPERTY_ENERGY_CERTIFICATE"/>
    <s v="PROPERTY_REFERENCE_CODE"/>
    <x v="0"/>
    <s v="1. Concluído"/>
    <m/>
    <m/>
    <m/>
    <m/>
    <m/>
    <m/>
    <m/>
    <s v=""/>
    <s v=""/>
    <s v=""/>
    <m/>
    <m/>
    <m/>
    <m/>
    <m/>
    <m/>
    <x v="0"/>
    <m/>
  </r>
  <r>
    <x v="0"/>
    <x v="0"/>
    <x v="0"/>
    <s v="PROPERTY_ENERGY_CERTIFICATE"/>
    <s v="LAND_REGISTRY_OFFICE_CODE"/>
    <x v="0"/>
    <s v="1. Concluído"/>
    <m/>
    <m/>
    <m/>
    <m/>
    <m/>
    <m/>
    <m/>
    <s v=""/>
    <s v=""/>
    <s v=""/>
    <m/>
    <m/>
    <m/>
    <m/>
    <m/>
    <m/>
    <x v="0"/>
    <m/>
  </r>
  <r>
    <x v="0"/>
    <x v="0"/>
    <x v="0"/>
    <s v="PROPERTY_ENERGY_CERTIFICATE"/>
    <s v="PROPERTY_IDENTIFICATION_CODE"/>
    <x v="0"/>
    <s v="1. Concluído"/>
    <m/>
    <m/>
    <m/>
    <m/>
    <m/>
    <m/>
    <m/>
    <s v=""/>
    <s v=""/>
    <s v=""/>
    <m/>
    <m/>
    <m/>
    <m/>
    <m/>
    <m/>
    <x v="0"/>
    <m/>
  </r>
  <r>
    <x v="0"/>
    <x v="0"/>
    <x v="0"/>
    <s v="PROPERTY_ENERGY_CERTIFICATE"/>
    <s v="ENERGY_CERTIFICATION_SYSTEM_CODE"/>
    <x v="0"/>
    <s v="1. Concluído"/>
    <m/>
    <m/>
    <m/>
    <m/>
    <m/>
    <m/>
    <m/>
    <s v=""/>
    <s v=""/>
    <s v=""/>
    <m/>
    <m/>
    <m/>
    <m/>
    <m/>
    <m/>
    <x v="0"/>
    <m/>
  </r>
  <r>
    <x v="0"/>
    <x v="0"/>
    <x v="0"/>
    <s v="PROPERTY_ENERGY_CERTIFICATE"/>
    <s v="EPC_ISSUING_DATE"/>
    <x v="0"/>
    <s v="1. Concluído"/>
    <m/>
    <m/>
    <m/>
    <m/>
    <m/>
    <m/>
    <m/>
    <s v=""/>
    <s v=""/>
    <s v=""/>
    <m/>
    <m/>
    <m/>
    <m/>
    <m/>
    <m/>
    <x v="0"/>
    <m/>
  </r>
  <r>
    <x v="0"/>
    <x v="0"/>
    <x v="0"/>
    <s v="PROPERTY_ENERGY_CERTIFICATE"/>
    <s v="EPC_EXPIRATION_DATE"/>
    <x v="0"/>
    <s v="1. Concluído"/>
    <m/>
    <m/>
    <m/>
    <m/>
    <m/>
    <m/>
    <m/>
    <s v=""/>
    <s v=""/>
    <s v=""/>
    <m/>
    <m/>
    <m/>
    <m/>
    <m/>
    <m/>
    <x v="0"/>
    <m/>
  </r>
  <r>
    <x v="0"/>
    <x v="0"/>
    <x v="0"/>
    <s v="PROPERTY_ENERGY_CERTIFICATE"/>
    <s v="ENERGY_CONSUMPTION_TYPE_S_IND"/>
    <x v="0"/>
    <s v="1. Concluído"/>
    <m/>
    <m/>
    <m/>
    <m/>
    <m/>
    <m/>
    <m/>
    <s v=""/>
    <s v=""/>
    <s v=""/>
    <m/>
    <m/>
    <m/>
    <m/>
    <m/>
    <m/>
    <x v="0"/>
    <m/>
  </r>
  <r>
    <x v="0"/>
    <x v="0"/>
    <x v="0"/>
    <s v="PROPERTY_ENERGY_CERTIFICATE"/>
    <s v="ENERGY_CONSUMPTION_TYPE_T_IND"/>
    <x v="0"/>
    <s v="1. Concluído"/>
    <m/>
    <m/>
    <m/>
    <m/>
    <m/>
    <m/>
    <m/>
    <s v=""/>
    <s v=""/>
    <s v=""/>
    <m/>
    <m/>
    <m/>
    <m/>
    <m/>
    <m/>
    <x v="0"/>
    <m/>
  </r>
  <r>
    <x v="0"/>
    <x v="0"/>
    <x v="0"/>
    <s v="PROPERTY_ENERGY_CERTIFICATE"/>
    <s v="ENERGY_EFFICIENCY_IND"/>
    <x v="0"/>
    <s v="1. Concluído"/>
    <m/>
    <m/>
    <m/>
    <m/>
    <m/>
    <m/>
    <m/>
    <s v=""/>
    <s v=""/>
    <s v=""/>
    <m/>
    <m/>
    <m/>
    <m/>
    <m/>
    <m/>
    <x v="0"/>
    <m/>
  </r>
  <r>
    <x v="0"/>
    <x v="0"/>
    <x v="0"/>
    <s v="PROPERTY_ENERGY_CERTIFICATE"/>
    <s v="REN_ENERGY_EFFICIENCY_IND"/>
    <x v="0"/>
    <s v="1. Concluído"/>
    <m/>
    <m/>
    <m/>
    <m/>
    <m/>
    <m/>
    <m/>
    <s v=""/>
    <s v=""/>
    <s v=""/>
    <m/>
    <m/>
    <m/>
    <m/>
    <m/>
    <m/>
    <x v="0"/>
    <m/>
  </r>
  <r>
    <x v="0"/>
    <x v="0"/>
    <x v="0"/>
    <s v="PROPERTY_ENERGY_CERTIFICATE"/>
    <s v="NZEB_IND"/>
    <x v="0"/>
    <s v="1. Concluído"/>
    <m/>
    <m/>
    <m/>
    <m/>
    <m/>
    <m/>
    <m/>
    <s v=""/>
    <s v=""/>
    <s v=""/>
    <m/>
    <m/>
    <m/>
    <m/>
    <m/>
    <m/>
    <x v="0"/>
    <m/>
  </r>
  <r>
    <x v="0"/>
    <x v="0"/>
    <x v="0"/>
    <s v="PROPERTY_ENERGY_CERTIFICATE"/>
    <s v="QUALITY_SCORE"/>
    <x v="0"/>
    <s v="1. Concluído"/>
    <m/>
    <m/>
    <m/>
    <m/>
    <m/>
    <m/>
    <m/>
    <s v=""/>
    <s v=""/>
    <s v=""/>
    <m/>
    <m/>
    <m/>
    <m/>
    <m/>
    <m/>
    <x v="0"/>
    <m/>
  </r>
  <r>
    <x v="0"/>
    <x v="0"/>
    <x v="0"/>
    <s v="PROPERTY_ENERGY_CERTIFICATE"/>
    <s v="SOURCE_CODE"/>
    <x v="0"/>
    <s v="1. Concluído"/>
    <m/>
    <m/>
    <m/>
    <m/>
    <m/>
    <m/>
    <m/>
    <s v=""/>
    <s v=""/>
    <s v=""/>
    <m/>
    <m/>
    <m/>
    <m/>
    <m/>
    <m/>
    <x v="0"/>
    <m/>
  </r>
  <r>
    <x v="0"/>
    <x v="0"/>
    <x v="0"/>
    <s v="PROPERTY_ENERGY_CERTIFICATE"/>
    <s v="DATA_DATE_PART"/>
    <x v="0"/>
    <s v="1. Concluído"/>
    <m/>
    <m/>
    <m/>
    <m/>
    <m/>
    <m/>
    <m/>
    <s v=""/>
    <s v=""/>
    <s v=""/>
    <m/>
    <m/>
    <m/>
    <m/>
    <m/>
    <m/>
    <x v="0"/>
    <m/>
  </r>
  <r>
    <x v="0"/>
    <x v="0"/>
    <x v="0"/>
    <s v="PROPERTY_ENERGY_CERTIFICATE"/>
    <s v="CERTIFICATE_TYPE"/>
    <x v="0"/>
    <s v="1. Concluído"/>
    <m/>
    <m/>
    <m/>
    <m/>
    <m/>
    <m/>
    <m/>
    <s v=""/>
    <s v=""/>
    <s v=""/>
    <m/>
    <m/>
    <m/>
    <m/>
    <m/>
    <m/>
    <x v="0"/>
    <m/>
  </r>
  <r>
    <x v="0"/>
    <x v="0"/>
    <x v="0"/>
    <s v="PROPERTY_ENERGY_CERTIFICATE"/>
    <s v="BUILDING_DOMEST_HOTWATER_VALUE"/>
    <x v="0"/>
    <s v="1. Concluído"/>
    <m/>
    <m/>
    <m/>
    <m/>
    <m/>
    <m/>
    <m/>
    <s v=""/>
    <s v=""/>
    <s v=""/>
    <m/>
    <m/>
    <m/>
    <m/>
    <m/>
    <m/>
    <x v="0"/>
    <m/>
  </r>
  <r>
    <x v="0"/>
    <x v="0"/>
    <x v="0"/>
    <s v="PROPERTY_ENERGY_CERTIFICATE"/>
    <s v="RENEWABLE_DOMEST_HOTWATER_VALUE"/>
    <x v="0"/>
    <s v="1. Concluído"/>
    <m/>
    <m/>
    <m/>
    <m/>
    <m/>
    <m/>
    <m/>
    <s v=""/>
    <s v=""/>
    <s v=""/>
    <m/>
    <m/>
    <m/>
    <m/>
    <m/>
    <m/>
    <x v="0"/>
    <m/>
  </r>
  <r>
    <x v="0"/>
    <x v="0"/>
    <x v="0"/>
    <s v="PROPERTY_ENERGY_CERTIFICATE"/>
    <s v="DOMEST_HOTWATER_REF_VALUE"/>
    <x v="0"/>
    <s v="1. Concluído"/>
    <m/>
    <m/>
    <m/>
    <m/>
    <m/>
    <m/>
    <m/>
    <s v=""/>
    <s v=""/>
    <s v=""/>
    <m/>
    <m/>
    <m/>
    <m/>
    <m/>
    <m/>
    <x v="0"/>
    <m/>
  </r>
  <r>
    <x v="0"/>
    <x v="0"/>
    <x v="0"/>
    <s v="PROPERTY_ENERGY_CERTIFICATE"/>
    <s v="HEIGHT"/>
    <x v="0"/>
    <s v="1. Concluído"/>
    <m/>
    <m/>
    <m/>
    <m/>
    <m/>
    <m/>
    <m/>
    <s v=""/>
    <s v=""/>
    <s v=""/>
    <m/>
    <m/>
    <m/>
    <m/>
    <m/>
    <m/>
    <x v="0"/>
    <m/>
  </r>
  <r>
    <x v="0"/>
    <x v="0"/>
    <x v="0"/>
    <s v="PROPERTY_ENERGY_CERTIFICATE"/>
    <s v="BUILDING_SPACE_HEATING_VALUE"/>
    <x v="0"/>
    <s v="1. Concluído"/>
    <m/>
    <m/>
    <m/>
    <m/>
    <m/>
    <m/>
    <m/>
    <s v=""/>
    <s v=""/>
    <s v=""/>
    <m/>
    <m/>
    <m/>
    <m/>
    <m/>
    <m/>
    <x v="0"/>
    <m/>
  </r>
  <r>
    <x v="0"/>
    <x v="0"/>
    <x v="0"/>
    <s v="PROPERTY_ENERGY_CERTIFICATE"/>
    <s v="SPACE_HEATING_REF_VALUE"/>
    <x v="0"/>
    <s v="1. Concluído"/>
    <m/>
    <m/>
    <m/>
    <m/>
    <m/>
    <m/>
    <m/>
    <s v=""/>
    <s v=""/>
    <s v=""/>
    <m/>
    <m/>
    <m/>
    <m/>
    <m/>
    <m/>
    <x v="0"/>
    <m/>
  </r>
  <r>
    <x v="0"/>
    <x v="0"/>
    <x v="0"/>
    <s v="PROPERTY_ENERGY_CERTIFICATE"/>
    <s v="RENEWABLE_SPACE_HEATING_VALUE"/>
    <x v="0"/>
    <s v="1. Concluído"/>
    <m/>
    <m/>
    <m/>
    <m/>
    <m/>
    <m/>
    <m/>
    <s v=""/>
    <s v=""/>
    <s v=""/>
    <m/>
    <m/>
    <m/>
    <m/>
    <m/>
    <m/>
    <x v="0"/>
    <m/>
  </r>
  <r>
    <x v="0"/>
    <x v="0"/>
    <x v="0"/>
    <s v="PROPERTY_ENERGY_CERTIFICATE"/>
    <s v="BUILDING_SPACE_COOLING_VALUE"/>
    <x v="0"/>
    <s v="1. Concluído"/>
    <m/>
    <m/>
    <m/>
    <m/>
    <m/>
    <m/>
    <m/>
    <s v=""/>
    <s v=""/>
    <s v=""/>
    <m/>
    <m/>
    <m/>
    <m/>
    <m/>
    <m/>
    <x v="0"/>
    <m/>
  </r>
  <r>
    <x v="0"/>
    <x v="0"/>
    <x v="0"/>
    <s v="PROPERTY_ENERGY_CERTIFICATE"/>
    <s v="RENEWABLE_SPACE_COOLING_VALUE"/>
    <x v="0"/>
    <s v="1. Concluído"/>
    <m/>
    <m/>
    <m/>
    <m/>
    <m/>
    <m/>
    <m/>
    <s v=""/>
    <s v=""/>
    <s v=""/>
    <m/>
    <m/>
    <m/>
    <m/>
    <m/>
    <m/>
    <x v="0"/>
    <m/>
  </r>
  <r>
    <x v="0"/>
    <x v="0"/>
    <x v="0"/>
    <s v="PROPERTY_ENERGY_CERTIFICATE"/>
    <s v="SPACE_COOLING_REF_VALUE"/>
    <x v="0"/>
    <s v="1. Concluído"/>
    <m/>
    <m/>
    <m/>
    <m/>
    <m/>
    <m/>
    <m/>
    <s v=""/>
    <s v=""/>
    <s v=""/>
    <m/>
    <m/>
    <m/>
    <m/>
    <m/>
    <m/>
    <x v="0"/>
    <m/>
  </r>
  <r>
    <x v="0"/>
    <x v="0"/>
    <x v="0"/>
    <s v="PROPERTY_ENERGY_CERTIFICATE"/>
    <s v="ENERGY_CLASS_AFTER_MEASUREMENT"/>
    <x v="0"/>
    <s v="1. Concluído"/>
    <m/>
    <m/>
    <m/>
    <m/>
    <m/>
    <m/>
    <m/>
    <s v=""/>
    <s v=""/>
    <s v=""/>
    <m/>
    <m/>
    <m/>
    <m/>
    <m/>
    <m/>
    <x v="0"/>
    <m/>
  </r>
  <r>
    <x v="0"/>
    <x v="0"/>
    <x v="0"/>
    <s v="PROPERTY_ENERGY_CERTIFICATE"/>
    <s v="THERMAL_BEHAVIOUR_ROOF"/>
    <x v="0"/>
    <s v="1. Concluído"/>
    <m/>
    <m/>
    <m/>
    <m/>
    <m/>
    <m/>
    <m/>
    <s v=""/>
    <s v=""/>
    <s v=""/>
    <m/>
    <m/>
    <m/>
    <m/>
    <m/>
    <m/>
    <x v="0"/>
    <m/>
  </r>
  <r>
    <x v="0"/>
    <x v="0"/>
    <x v="0"/>
    <s v="PROPERTY_ENERGY_CERTIFICATE"/>
    <s v="THERMAL_BEHAVIOUR_WINDOWS"/>
    <x v="0"/>
    <s v="1. Concluído"/>
    <m/>
    <m/>
    <m/>
    <m/>
    <m/>
    <m/>
    <m/>
    <s v=""/>
    <s v=""/>
    <s v=""/>
    <m/>
    <m/>
    <m/>
    <m/>
    <m/>
    <m/>
    <x v="0"/>
    <m/>
  </r>
  <r>
    <x v="0"/>
    <x v="0"/>
    <x v="0"/>
    <s v="PROPERTY_ENERGY_CERTIFICATE"/>
    <s v="THERMAL_BEHAVIOUR_WALL"/>
    <x v="0"/>
    <s v="1. Concluído"/>
    <m/>
    <m/>
    <m/>
    <m/>
    <m/>
    <m/>
    <m/>
    <s v=""/>
    <s v=""/>
    <s v=""/>
    <m/>
    <m/>
    <m/>
    <m/>
    <m/>
    <m/>
    <x v="0"/>
    <m/>
  </r>
  <r>
    <x v="0"/>
    <x v="0"/>
    <x v="0"/>
    <s v="PROPERTY_ENERGY_CERTIFICATE"/>
    <s v="THERMAL_BEHAVIOUR_FLOORS"/>
    <x v="0"/>
    <s v="1. Concluído"/>
    <m/>
    <m/>
    <m/>
    <m/>
    <m/>
    <m/>
    <m/>
    <s v=""/>
    <s v=""/>
    <s v=""/>
    <m/>
    <m/>
    <m/>
    <m/>
    <m/>
    <m/>
    <x v="0"/>
    <m/>
  </r>
  <r>
    <x v="0"/>
    <x v="0"/>
    <x v="0"/>
    <s v="PROPERTY_ENERGY_CERTIFICATE"/>
    <s v="THERMAL_BEHAVIOUR_TECH_SYS_VENT"/>
    <x v="0"/>
    <s v="1. Concluído"/>
    <m/>
    <m/>
    <m/>
    <m/>
    <m/>
    <m/>
    <m/>
    <s v=""/>
    <s v=""/>
    <s v=""/>
    <m/>
    <m/>
    <m/>
    <m/>
    <m/>
    <m/>
    <x v="0"/>
    <m/>
  </r>
  <r>
    <x v="0"/>
    <x v="0"/>
    <x v="0"/>
    <s v="PROPERTY_ENERGY_CERTIFICATE"/>
    <s v="TOTAL_INVSTMNT_ESTMTD_VALUE"/>
    <x v="0"/>
    <s v="1. Concluído"/>
    <m/>
    <m/>
    <m/>
    <m/>
    <m/>
    <m/>
    <m/>
    <s v=""/>
    <s v=""/>
    <s v=""/>
    <m/>
    <m/>
    <m/>
    <m/>
    <m/>
    <m/>
    <x v="0"/>
    <m/>
  </r>
  <r>
    <x v="0"/>
    <x v="0"/>
    <x v="0"/>
    <s v="PROPERTY_ENERGY_CERTIFICATE"/>
    <s v="DURATION_SUMMER"/>
    <x v="0"/>
    <s v="1. Concluído"/>
    <m/>
    <m/>
    <m/>
    <m/>
    <m/>
    <m/>
    <m/>
    <s v=""/>
    <s v=""/>
    <s v=""/>
    <m/>
    <m/>
    <m/>
    <m/>
    <m/>
    <m/>
    <x v="0"/>
    <m/>
  </r>
  <r>
    <x v="0"/>
    <x v="0"/>
    <x v="0"/>
    <s v="PROPERTY_ENERGY_CERTIFICATE"/>
    <s v="DURATION_WINTER"/>
    <x v="0"/>
    <s v="1. Concluído"/>
    <m/>
    <m/>
    <m/>
    <m/>
    <m/>
    <m/>
    <m/>
    <s v=""/>
    <s v=""/>
    <s v=""/>
    <m/>
    <m/>
    <m/>
    <m/>
    <m/>
    <m/>
    <x v="0"/>
    <m/>
  </r>
  <r>
    <x v="0"/>
    <x v="0"/>
    <x v="0"/>
    <s v="PROPERTY_ENERGY_CERTIFICATE"/>
    <s v="CARBON_EMISSION_VALUE"/>
    <x v="0"/>
    <s v="1. Concluído"/>
    <m/>
    <m/>
    <m/>
    <m/>
    <m/>
    <m/>
    <m/>
    <s v=""/>
    <s v=""/>
    <s v=""/>
    <m/>
    <m/>
    <m/>
    <m/>
    <m/>
    <m/>
    <x v="0"/>
    <m/>
  </r>
  <r>
    <x v="0"/>
    <x v="0"/>
    <x v="0"/>
    <s v="PROPERTY_ENERGY_CERTIFICATE"/>
    <s v="USEFUL_ENERGY_FANS_REQ_VALUE"/>
    <x v="0"/>
    <s v="1. Concluído"/>
    <m/>
    <m/>
    <m/>
    <m/>
    <m/>
    <m/>
    <m/>
    <s v=""/>
    <s v=""/>
    <s v=""/>
    <m/>
    <m/>
    <m/>
    <m/>
    <m/>
    <m/>
    <x v="0"/>
    <m/>
  </r>
  <r>
    <x v="0"/>
    <x v="0"/>
    <x v="0"/>
    <s v="PROPERTY_ENERGY_CERTIFICATE"/>
    <s v="REN_ENERGY_PRODUCED_OTHER_VALUE"/>
    <x v="0"/>
    <s v="1. Concluído"/>
    <m/>
    <m/>
    <m/>
    <m/>
    <m/>
    <m/>
    <m/>
    <s v=""/>
    <s v=""/>
    <s v=""/>
    <m/>
    <m/>
    <m/>
    <m/>
    <m/>
    <m/>
    <x v="0"/>
    <m/>
  </r>
  <r>
    <x v="0"/>
    <x v="0"/>
    <x v="0"/>
    <s v="PROPERTY_ENERGY_CERTIFICATE"/>
    <s v="REN_ENERGY_PRODUCED_REG_VALUE"/>
    <x v="0"/>
    <s v="1. Concluído"/>
    <m/>
    <m/>
    <m/>
    <m/>
    <m/>
    <m/>
    <m/>
    <s v=""/>
    <s v=""/>
    <s v=""/>
    <m/>
    <m/>
    <m/>
    <m/>
    <m/>
    <m/>
    <x v="0"/>
    <m/>
  </r>
  <r>
    <x v="0"/>
    <x v="0"/>
    <x v="0"/>
    <s v="PROPERTY_ENERGY_CERTIFICATE"/>
    <s v="REN_ENERGY_PRODUCED_VALUE"/>
    <x v="0"/>
    <s v="1. Concluído"/>
    <m/>
    <m/>
    <m/>
    <m/>
    <m/>
    <m/>
    <m/>
    <s v=""/>
    <s v=""/>
    <s v=""/>
    <m/>
    <m/>
    <m/>
    <m/>
    <m/>
    <m/>
    <x v="0"/>
    <m/>
  </r>
  <r>
    <x v="0"/>
    <x v="0"/>
    <x v="0"/>
    <s v="PROPERTY_ENERGY_CERTIFICATE"/>
    <s v="USEFUL_ENERGY_DOM_HOTWATER_VALUE"/>
    <x v="0"/>
    <s v="1. Concluído"/>
    <m/>
    <m/>
    <m/>
    <m/>
    <m/>
    <m/>
    <m/>
    <s v=""/>
    <s v=""/>
    <s v=""/>
    <m/>
    <m/>
    <m/>
    <m/>
    <m/>
    <m/>
    <x v="0"/>
    <m/>
  </r>
  <r>
    <x v="0"/>
    <x v="0"/>
    <x v="0"/>
    <s v="PROPERTY_ENERGY_CERTIFICATE"/>
    <s v="USEFUL_ENERGY_COOLING_VALUE"/>
    <x v="0"/>
    <s v="1. Concluído"/>
    <m/>
    <m/>
    <m/>
    <m/>
    <m/>
    <m/>
    <m/>
    <s v=""/>
    <s v=""/>
    <s v=""/>
    <m/>
    <m/>
    <m/>
    <m/>
    <m/>
    <m/>
    <x v="0"/>
    <m/>
  </r>
  <r>
    <x v="0"/>
    <x v="0"/>
    <x v="0"/>
    <s v="PROPERTY_ENERGY_CERTIFICATE"/>
    <s v="TEMPERATURE_DAY_VALUE"/>
    <x v="0"/>
    <s v="1. Concluído"/>
    <m/>
    <m/>
    <m/>
    <m/>
    <m/>
    <m/>
    <m/>
    <s v=""/>
    <s v=""/>
    <s v=""/>
    <m/>
    <m/>
    <m/>
    <m/>
    <m/>
    <m/>
    <x v="0"/>
    <m/>
  </r>
  <r>
    <x v="0"/>
    <x v="0"/>
    <x v="0"/>
    <s v="PROPERTY_ENERGY_CERTIFICATE"/>
    <s v="PRIMARY_ENERGY_REQ_VALUE"/>
    <x v="0"/>
    <s v="1. Concluído"/>
    <m/>
    <m/>
    <m/>
    <m/>
    <m/>
    <m/>
    <m/>
    <s v=""/>
    <s v=""/>
    <s v=""/>
    <m/>
    <m/>
    <m/>
    <m/>
    <m/>
    <m/>
    <x v="0"/>
    <m/>
  </r>
  <r>
    <x v="0"/>
    <x v="0"/>
    <x v="0"/>
    <s v="PROPERTY_ENERGY_CERTIFICATE"/>
    <s v="USEFUL_ENERGY_HEATING_REQ_VALUE"/>
    <x v="0"/>
    <s v="1. Concluído"/>
    <m/>
    <m/>
    <m/>
    <m/>
    <m/>
    <m/>
    <m/>
    <s v=""/>
    <s v=""/>
    <s v=""/>
    <m/>
    <m/>
    <m/>
    <m/>
    <m/>
    <m/>
    <x v="0"/>
    <m/>
  </r>
  <r>
    <x v="0"/>
    <x v="0"/>
    <x v="0"/>
    <s v="PROPERTY_ENERGY_CERTIFICATE"/>
    <s v="PNL_WINTER_WALLS_DOORS_VALUE"/>
    <x v="0"/>
    <s v="1. Concluído"/>
    <m/>
    <m/>
    <m/>
    <m/>
    <m/>
    <m/>
    <m/>
    <s v=""/>
    <s v=""/>
    <s v=""/>
    <m/>
    <m/>
    <m/>
    <m/>
    <m/>
    <m/>
    <x v="0"/>
    <m/>
  </r>
  <r>
    <x v="0"/>
    <x v="0"/>
    <x v="0"/>
    <s v="PROPERTY_ENERGY_CERTIFICATE"/>
    <s v="PNL_WINTER_FLOORS_VALUE"/>
    <x v="0"/>
    <s v="1. Concluído"/>
    <m/>
    <m/>
    <m/>
    <m/>
    <m/>
    <m/>
    <m/>
    <s v=""/>
    <s v=""/>
    <s v=""/>
    <m/>
    <m/>
    <m/>
    <m/>
    <m/>
    <m/>
    <x v="0"/>
    <m/>
  </r>
  <r>
    <x v="0"/>
    <x v="0"/>
    <x v="0"/>
    <s v="PROPERTY_ENERGY_CERTIFICATE"/>
    <s v="PNL_WINTER_ROOF_VALUE"/>
    <x v="0"/>
    <s v="1. Concluído"/>
    <m/>
    <m/>
    <m/>
    <m/>
    <m/>
    <m/>
    <m/>
    <s v=""/>
    <s v=""/>
    <s v=""/>
    <m/>
    <m/>
    <m/>
    <m/>
    <m/>
    <m/>
    <x v="0"/>
    <m/>
  </r>
  <r>
    <x v="0"/>
    <x v="0"/>
    <x v="0"/>
    <s v="PROPERTY_ENERGY_CERTIFICATE"/>
    <s v="PNL_WINTER_WINDOWS_VALUE"/>
    <x v="0"/>
    <s v="1. Concluído"/>
    <m/>
    <m/>
    <m/>
    <m/>
    <m/>
    <m/>
    <m/>
    <s v=""/>
    <s v=""/>
    <s v=""/>
    <m/>
    <m/>
    <m/>
    <m/>
    <m/>
    <m/>
    <x v="0"/>
    <m/>
  </r>
  <r>
    <x v="0"/>
    <x v="0"/>
    <x v="0"/>
    <s v="PROPERTY_ENERGY_CERTIFICATE"/>
    <s v="PNL_WINTER_REF_VALUE"/>
    <x v="0"/>
    <s v="1. Concluído"/>
    <m/>
    <m/>
    <m/>
    <m/>
    <m/>
    <m/>
    <m/>
    <s v=""/>
    <s v=""/>
    <s v=""/>
    <m/>
    <m/>
    <m/>
    <m/>
    <m/>
    <m/>
    <x v="0"/>
    <m/>
  </r>
  <r>
    <x v="0"/>
    <x v="0"/>
    <x v="0"/>
    <s v="PROPERTY_ENERGY_CERTIFICATE"/>
    <s v="PNL_WINTER_FANS_VALUE"/>
    <x v="0"/>
    <s v="1. Concluído"/>
    <m/>
    <m/>
    <m/>
    <m/>
    <m/>
    <m/>
    <m/>
    <s v=""/>
    <s v=""/>
    <s v=""/>
    <m/>
    <m/>
    <m/>
    <m/>
    <m/>
    <m/>
    <x v="0"/>
    <m/>
  </r>
  <r>
    <x v="0"/>
    <x v="0"/>
    <x v="0"/>
    <s v="PROPERTY_ENERGY_CERTIFICATE"/>
    <s v="PNL_SUMMER_ROOF_VALUE"/>
    <x v="0"/>
    <s v="1. Concluído"/>
    <m/>
    <m/>
    <m/>
    <m/>
    <m/>
    <m/>
    <m/>
    <s v=""/>
    <s v=""/>
    <s v=""/>
    <m/>
    <m/>
    <m/>
    <m/>
    <m/>
    <m/>
    <x v="0"/>
    <m/>
  </r>
  <r>
    <x v="0"/>
    <x v="0"/>
    <x v="0"/>
    <s v="PROPERTY_ENERGY_CERTIFICATE"/>
    <s v="PNL_SUMMER_WINDOWS_VALUE"/>
    <x v="0"/>
    <s v="1. Concluído"/>
    <m/>
    <m/>
    <m/>
    <m/>
    <m/>
    <m/>
    <m/>
    <s v=""/>
    <s v=""/>
    <s v=""/>
    <m/>
    <m/>
    <m/>
    <m/>
    <m/>
    <m/>
    <x v="0"/>
    <m/>
  </r>
  <r>
    <x v="0"/>
    <x v="0"/>
    <x v="0"/>
    <s v="PROPERTY_ENERGY_CERTIFICATE"/>
    <s v="PNL_SUMMER_WALLS_DOORS_VALUE"/>
    <x v="0"/>
    <s v="1. Concluído"/>
    <m/>
    <m/>
    <m/>
    <m/>
    <m/>
    <m/>
    <m/>
    <s v=""/>
    <s v=""/>
    <s v=""/>
    <m/>
    <m/>
    <m/>
    <m/>
    <m/>
    <m/>
    <x v="0"/>
    <m/>
  </r>
  <r>
    <x v="0"/>
    <x v="0"/>
    <x v="0"/>
    <s v="PROPERTY_ENERGY_CERTIFICATE"/>
    <s v="PNL_SUMMER_REF_VALUE"/>
    <x v="0"/>
    <s v="1. Concluído"/>
    <m/>
    <m/>
    <m/>
    <m/>
    <m/>
    <m/>
    <m/>
    <s v=""/>
    <s v=""/>
    <s v=""/>
    <m/>
    <m/>
    <m/>
    <m/>
    <m/>
    <m/>
    <x v="0"/>
    <m/>
  </r>
  <r>
    <x v="0"/>
    <x v="0"/>
    <x v="0"/>
    <s v="PROPERTY_ENERGY_CERTIFICATE"/>
    <s v="INVOICE_RED_ANNUAL_ESTMTD_VALUE"/>
    <x v="0"/>
    <s v="1. Concluído"/>
    <m/>
    <m/>
    <m/>
    <m/>
    <m/>
    <m/>
    <m/>
    <s v=""/>
    <s v=""/>
    <s v=""/>
    <m/>
    <m/>
    <m/>
    <m/>
    <m/>
    <m/>
    <x v="0"/>
    <m/>
  </r>
  <r>
    <x v="0"/>
    <x v="0"/>
    <x v="0"/>
    <s v="PROPERTY_ENERGY_CERTIFICATE"/>
    <s v="TEMPERATURE_OUTDOOR_AVG_VALUE"/>
    <x v="0"/>
    <s v="1. Concluído"/>
    <m/>
    <m/>
    <m/>
    <m/>
    <m/>
    <m/>
    <m/>
    <s v=""/>
    <s v=""/>
    <s v=""/>
    <m/>
    <m/>
    <m/>
    <m/>
    <m/>
    <m/>
    <x v="0"/>
    <m/>
  </r>
  <r>
    <x v="0"/>
    <x v="0"/>
    <x v="0"/>
    <s v="PROPERTY_ENERGY_CERTIFICATE"/>
    <s v="CLIMATE_ZONE_WINTER"/>
    <x v="0"/>
    <s v="1. Concluído"/>
    <m/>
    <m/>
    <m/>
    <m/>
    <m/>
    <m/>
    <m/>
    <s v=""/>
    <s v=""/>
    <s v=""/>
    <m/>
    <m/>
    <m/>
    <m/>
    <m/>
    <m/>
    <x v="0"/>
    <m/>
  </r>
  <r>
    <x v="0"/>
    <x v="0"/>
    <x v="0"/>
    <s v="PROPERTY_ENERGY_CERTIFICATE"/>
    <s v="NET_FLOOR_AREA"/>
    <x v="0"/>
    <s v="1. Concluído"/>
    <m/>
    <m/>
    <m/>
    <m/>
    <m/>
    <m/>
    <m/>
    <s v=""/>
    <s v=""/>
    <s v=""/>
    <m/>
    <m/>
    <m/>
    <m/>
    <m/>
    <m/>
    <x v="0"/>
    <m/>
  </r>
  <r>
    <x v="0"/>
    <x v="0"/>
    <x v="0"/>
    <s v="PROPERTY_ENERGY_CERTIFICATE"/>
    <s v="CADASTRAL_REGISTER_CODE"/>
    <x v="0"/>
    <s v="1. Concluído"/>
    <m/>
    <m/>
    <m/>
    <m/>
    <m/>
    <m/>
    <m/>
    <s v=""/>
    <s v=""/>
    <s v=""/>
    <m/>
    <m/>
    <m/>
    <m/>
    <m/>
    <m/>
    <x v="0"/>
    <m/>
  </r>
  <r>
    <x v="0"/>
    <x v="0"/>
    <x v="0"/>
    <s v="PROPERTY_ENERGY_CERTIFICATE"/>
    <s v="DISTRICT_MUNICIP_PARISH_CODE"/>
    <x v="0"/>
    <s v="1. Concluído"/>
    <m/>
    <m/>
    <m/>
    <m/>
    <m/>
    <m/>
    <m/>
    <s v=""/>
    <s v=""/>
    <s v=""/>
    <m/>
    <m/>
    <m/>
    <m/>
    <m/>
    <m/>
    <x v="0"/>
    <m/>
  </r>
  <r>
    <x v="0"/>
    <x v="0"/>
    <x v="0"/>
    <s v="PROPERTY_ENERGY_CERTIFICATE"/>
    <s v="PROPERTY_PURPOSE_CODE"/>
    <x v="0"/>
    <s v="1. Concluído"/>
    <m/>
    <m/>
    <m/>
    <m/>
    <m/>
    <m/>
    <m/>
    <s v=""/>
    <s v=""/>
    <s v=""/>
    <m/>
    <m/>
    <m/>
    <m/>
    <m/>
    <m/>
    <x v="0"/>
    <m/>
  </r>
  <r>
    <x v="0"/>
    <x v="0"/>
    <x v="0"/>
    <s v="PROPERTY_ENERGY_CERTIFICATE"/>
    <s v="ADDRESS_CODE"/>
    <x v="0"/>
    <s v="1. Concluído"/>
    <m/>
    <m/>
    <m/>
    <m/>
    <m/>
    <m/>
    <m/>
    <s v=""/>
    <s v=""/>
    <s v=""/>
    <m/>
    <m/>
    <m/>
    <m/>
    <m/>
    <m/>
    <x v="0"/>
    <m/>
  </r>
  <r>
    <x v="0"/>
    <x v="0"/>
    <x v="0"/>
    <s v="PROPERTY_ENERGY_CERTIFICATE"/>
    <s v="FLOOR_NUMBER"/>
    <x v="0"/>
    <s v="1. Concluído"/>
    <m/>
    <m/>
    <m/>
    <m/>
    <m/>
    <m/>
    <m/>
    <s v=""/>
    <s v=""/>
    <s v=""/>
    <m/>
    <m/>
    <m/>
    <m/>
    <m/>
    <m/>
    <x v="0"/>
    <m/>
  </r>
  <r>
    <x v="0"/>
    <x v="0"/>
    <x v="0"/>
    <s v="PROPERTY_ENERGY_CERTIFICATE"/>
    <s v="LOCALITY"/>
    <x v="0"/>
    <s v="1. Concluído"/>
    <m/>
    <m/>
    <m/>
    <m/>
    <m/>
    <m/>
    <m/>
    <s v=""/>
    <s v=""/>
    <s v=""/>
    <m/>
    <m/>
    <m/>
    <m/>
    <m/>
    <m/>
    <x v="0"/>
    <m/>
  </r>
  <r>
    <x v="0"/>
    <x v="0"/>
    <x v="0"/>
    <s v="PROPERTY_ENERGY_CERTIFICATE"/>
    <s v="CLIMATE_ZONE_SUMMER"/>
    <x v="0"/>
    <s v="1. Concluído"/>
    <m/>
    <m/>
    <m/>
    <m/>
    <m/>
    <m/>
    <m/>
    <s v=""/>
    <s v=""/>
    <s v=""/>
    <m/>
    <m/>
    <m/>
    <m/>
    <m/>
    <m/>
    <x v="0"/>
    <m/>
  </r>
  <r>
    <x v="0"/>
    <x v="0"/>
    <x v="0"/>
    <s v="PROPERTY_ENERGY_CERTIFICATE"/>
    <s v="GPS_LATITUDE"/>
    <x v="0"/>
    <s v="1. Concluído"/>
    <m/>
    <m/>
    <m/>
    <m/>
    <m/>
    <m/>
    <m/>
    <s v=""/>
    <s v=""/>
    <s v=""/>
    <m/>
    <m/>
    <m/>
    <m/>
    <m/>
    <m/>
    <x v="0"/>
    <m/>
  </r>
  <r>
    <x v="0"/>
    <x v="0"/>
    <x v="0"/>
    <s v="PROPERTY_ENERGY_CERTIFICATE"/>
    <s v="GPS_LONGITUDE"/>
    <x v="0"/>
    <s v="1. Concluído"/>
    <m/>
    <m/>
    <m/>
    <m/>
    <m/>
    <m/>
    <m/>
    <s v=""/>
    <s v=""/>
    <s v=""/>
    <m/>
    <m/>
    <m/>
    <m/>
    <m/>
    <m/>
    <x v="0"/>
    <m/>
  </r>
  <r>
    <x v="0"/>
    <x v="4"/>
    <x v="0"/>
    <s v="modesg_param_sfics_taxon_europeia"/>
    <s v="ordem"/>
    <x v="0"/>
    <s v="1. Concluído"/>
    <m/>
    <m/>
    <s v="Package 22"/>
    <s v="A confirmar data de entrega"/>
    <d v="2025-03-21T00:00:00"/>
    <m/>
    <m/>
    <m/>
    <m/>
    <m/>
    <m/>
    <m/>
    <m/>
    <m/>
    <m/>
    <m/>
    <x v="0"/>
    <m/>
  </r>
  <r>
    <x v="0"/>
    <x v="4"/>
    <x v="0"/>
    <s v="modesg_param_sfics_taxon_europeia"/>
    <s v="nome_purpose_esg"/>
    <x v="3"/>
    <s v="0. Cancelado"/>
    <m/>
    <m/>
    <m/>
    <m/>
    <m/>
    <m/>
    <m/>
    <m/>
    <m/>
    <m/>
    <m/>
    <m/>
    <m/>
    <m/>
    <m/>
    <m/>
    <x v="0"/>
    <m/>
  </r>
  <r>
    <x v="0"/>
    <x v="4"/>
    <x v="0"/>
    <s v="modesg_param_sfics_taxon_europeia"/>
    <s v="dominio"/>
    <x v="3"/>
    <s v="0. Cancelado"/>
    <m/>
    <m/>
    <m/>
    <d v="2025-03-17T00:00:00"/>
    <d v="2025-03-21T00:00:00"/>
    <m/>
    <m/>
    <m/>
    <m/>
    <m/>
    <m/>
    <m/>
    <m/>
    <m/>
    <m/>
    <m/>
    <x v="0"/>
    <m/>
  </r>
  <r>
    <x v="0"/>
    <x v="4"/>
    <x v="1"/>
    <s v="modesg_inp_emss_vcls"/>
    <s v="n.a."/>
    <x v="0"/>
    <s v="1. Concluído"/>
    <m/>
    <m/>
    <m/>
    <m/>
    <m/>
    <m/>
    <m/>
    <s v=""/>
    <s v=""/>
    <s v=""/>
    <m/>
    <m/>
    <m/>
    <m/>
    <m/>
    <m/>
    <x v="0"/>
    <m/>
  </r>
  <r>
    <x v="0"/>
    <x v="4"/>
    <x v="1"/>
    <s v="modesg_inp_km_medios_emss_vcls"/>
    <s v="n.a."/>
    <x v="0"/>
    <s v="1. Concluído"/>
    <m/>
    <m/>
    <m/>
    <m/>
    <m/>
    <m/>
    <m/>
    <s v=""/>
    <s v=""/>
    <s v=""/>
    <m/>
    <m/>
    <m/>
    <m/>
    <m/>
    <m/>
    <x v="0"/>
    <m/>
  </r>
  <r>
    <x v="0"/>
    <x v="4"/>
    <x v="1"/>
    <s v="modesg_inp_empr_excl_paris"/>
    <s v="n.a."/>
    <x v="0"/>
    <s v="1. Concluído"/>
    <m/>
    <m/>
    <m/>
    <m/>
    <m/>
    <m/>
    <m/>
    <s v=""/>
    <s v=""/>
    <s v=""/>
    <m/>
    <m/>
    <m/>
    <m/>
    <m/>
    <m/>
    <x v="0"/>
    <m/>
  </r>
  <r>
    <x v="0"/>
    <x v="4"/>
    <x v="1"/>
    <s v="modesg_inp_nfrd_alinhamento_tax"/>
    <s v="n.a."/>
    <x v="0"/>
    <s v="1. Concluído"/>
    <m/>
    <m/>
    <m/>
    <m/>
    <m/>
    <m/>
    <m/>
    <s v=""/>
    <s v=""/>
    <s v=""/>
    <m/>
    <m/>
    <m/>
    <m/>
    <m/>
    <m/>
    <x v="0"/>
    <m/>
  </r>
  <r>
    <x v="0"/>
    <x v="4"/>
    <x v="1"/>
    <s v="modesg_inp_risco_fisico"/>
    <s v="n.a."/>
    <x v="0"/>
    <s v="1. Concluído"/>
    <m/>
    <m/>
    <m/>
    <m/>
    <m/>
    <m/>
    <m/>
    <s v=""/>
    <s v=""/>
    <s v=""/>
    <m/>
    <m/>
    <m/>
    <m/>
    <m/>
    <m/>
    <x v="0"/>
    <m/>
  </r>
  <r>
    <x v="0"/>
    <x v="4"/>
    <x v="1"/>
    <s v="modesg_inp_emss_scib"/>
    <s v="n.a."/>
    <x v="0"/>
    <s v="1. Concluído"/>
    <m/>
    <m/>
    <m/>
    <m/>
    <m/>
    <m/>
    <m/>
    <s v=""/>
    <s v=""/>
    <s v=""/>
    <m/>
    <m/>
    <m/>
    <m/>
    <m/>
    <m/>
    <x v="0"/>
    <m/>
  </r>
  <r>
    <x v="0"/>
    <x v="4"/>
    <x v="1"/>
    <s v="modesg_inp_emss_nace"/>
    <s v="n.a."/>
    <x v="0"/>
    <s v="1. Concluído"/>
    <m/>
    <m/>
    <m/>
    <m/>
    <m/>
    <m/>
    <s v="Package X"/>
    <s v=""/>
    <s v=""/>
    <s v=""/>
    <m/>
    <m/>
    <m/>
    <m/>
    <m/>
    <m/>
    <x v="0"/>
    <m/>
  </r>
  <r>
    <x v="0"/>
    <x v="4"/>
    <x v="1"/>
    <s v="modesg_inp_emss_bens_imoveis"/>
    <s v="n.a."/>
    <x v="0"/>
    <s v="1. Concluído"/>
    <m/>
    <m/>
    <m/>
    <m/>
    <m/>
    <m/>
    <m/>
    <s v=""/>
    <s v=""/>
    <s v=""/>
    <m/>
    <m/>
    <m/>
    <m/>
    <m/>
    <m/>
    <x v="0"/>
    <m/>
  </r>
  <r>
    <x v="0"/>
    <x v="4"/>
    <x v="0"/>
    <s v="modesg_inp_emss_vcls"/>
    <s v="ref_date"/>
    <x v="0"/>
    <s v="1. Concluído"/>
    <m/>
    <m/>
    <m/>
    <m/>
    <m/>
    <m/>
    <m/>
    <s v=""/>
    <s v=""/>
    <s v=""/>
    <m/>
    <m/>
    <m/>
    <m/>
    <m/>
    <m/>
    <x v="0"/>
    <m/>
  </r>
  <r>
    <x v="0"/>
    <x v="4"/>
    <x v="0"/>
    <s v="modesg_inp_emss_vcls"/>
    <s v="nome_regiao"/>
    <x v="0"/>
    <s v="1. Concluído"/>
    <m/>
    <m/>
    <m/>
    <m/>
    <m/>
    <m/>
    <m/>
    <s v=""/>
    <s v=""/>
    <s v=""/>
    <m/>
    <m/>
    <m/>
    <m/>
    <m/>
    <m/>
    <x v="0"/>
    <m/>
  </r>
  <r>
    <x v="0"/>
    <x v="4"/>
    <x v="0"/>
    <s v="modesg_inp_emss_vcls"/>
    <s v="nome_pais"/>
    <x v="0"/>
    <s v="1. Concluído"/>
    <m/>
    <m/>
    <m/>
    <m/>
    <m/>
    <m/>
    <m/>
    <s v=""/>
    <s v=""/>
    <s v=""/>
    <m/>
    <m/>
    <m/>
    <m/>
    <m/>
    <m/>
    <x v="0"/>
    <m/>
  </r>
  <r>
    <x v="0"/>
    <x v="4"/>
    <x v="0"/>
    <s v="modesg_inp_emss_vcls"/>
    <s v="nome_estado"/>
    <x v="0"/>
    <s v="1. Concluído"/>
    <m/>
    <m/>
    <m/>
    <m/>
    <m/>
    <m/>
    <m/>
    <s v=""/>
    <s v=""/>
    <s v=""/>
    <m/>
    <m/>
    <m/>
    <m/>
    <m/>
    <m/>
    <x v="0"/>
    <m/>
  </r>
  <r>
    <x v="0"/>
    <x v="4"/>
    <x v="0"/>
    <s v="modesg_inp_emss_vcls"/>
    <s v="tipo_veiculo"/>
    <x v="0"/>
    <s v="1. Concluído"/>
    <m/>
    <m/>
    <m/>
    <m/>
    <m/>
    <m/>
    <m/>
    <s v=""/>
    <s v=""/>
    <s v=""/>
    <m/>
    <m/>
    <m/>
    <m/>
    <m/>
    <m/>
    <x v="0"/>
    <m/>
  </r>
  <r>
    <x v="0"/>
    <x v="4"/>
    <x v="0"/>
    <s v="modesg_inp_emss_vcls"/>
    <s v="tipo_motor"/>
    <x v="0"/>
    <s v="1. Concluído"/>
    <m/>
    <m/>
    <m/>
    <m/>
    <m/>
    <m/>
    <m/>
    <s v=""/>
    <s v=""/>
    <s v=""/>
    <m/>
    <m/>
    <m/>
    <m/>
    <m/>
    <m/>
    <x v="0"/>
    <m/>
  </r>
  <r>
    <x v="0"/>
    <x v="4"/>
    <x v="0"/>
    <s v="modesg_inp_emss_vcls"/>
    <s v="marca"/>
    <x v="0"/>
    <s v="1. Concluído"/>
    <m/>
    <m/>
    <m/>
    <m/>
    <m/>
    <m/>
    <m/>
    <s v=""/>
    <s v=""/>
    <s v=""/>
    <m/>
    <m/>
    <m/>
    <m/>
    <m/>
    <m/>
    <x v="0"/>
    <m/>
  </r>
  <r>
    <x v="0"/>
    <x v="4"/>
    <x v="0"/>
    <s v="modesg_inp_emss_vcls"/>
    <s v="modelo"/>
    <x v="0"/>
    <s v="1. Concluído"/>
    <m/>
    <m/>
    <m/>
    <m/>
    <m/>
    <m/>
    <m/>
    <s v=""/>
    <s v=""/>
    <s v=""/>
    <m/>
    <m/>
    <m/>
    <m/>
    <m/>
    <m/>
    <x v="0"/>
    <m/>
  </r>
  <r>
    <x v="0"/>
    <x v="4"/>
    <x v="0"/>
    <s v="modesg_inp_emss_vcls"/>
    <s v="subgrupo"/>
    <x v="0"/>
    <s v="1. Concluído"/>
    <m/>
    <m/>
    <m/>
    <m/>
    <m/>
    <m/>
    <m/>
    <s v=""/>
    <s v=""/>
    <s v=""/>
    <m/>
    <m/>
    <m/>
    <m/>
    <m/>
    <m/>
    <x v="0"/>
    <m/>
  </r>
  <r>
    <x v="0"/>
    <x v="4"/>
    <x v="0"/>
    <s v="modesg_inp_emss_vcls"/>
    <s v="nome_unidade_funcional"/>
    <x v="0"/>
    <s v="1. Concluído"/>
    <m/>
    <m/>
    <m/>
    <m/>
    <m/>
    <m/>
    <m/>
    <s v=""/>
    <s v=""/>
    <s v=""/>
    <m/>
    <m/>
    <m/>
    <m/>
    <m/>
    <m/>
    <x v="0"/>
    <m/>
  </r>
  <r>
    <x v="0"/>
    <x v="4"/>
    <x v="0"/>
    <s v="modesg_inp_emss_vcls"/>
    <s v="unidade_funcional"/>
    <x v="0"/>
    <s v="1. Concluído"/>
    <m/>
    <m/>
    <m/>
    <m/>
    <m/>
    <m/>
    <m/>
    <s v=""/>
    <s v=""/>
    <s v=""/>
    <m/>
    <m/>
    <m/>
    <m/>
    <m/>
    <m/>
    <x v="0"/>
    <m/>
  </r>
  <r>
    <x v="0"/>
    <x v="4"/>
    <x v="0"/>
    <s v="modesg_inp_emss_vcls"/>
    <s v="nome_fator_emissao"/>
    <x v="0"/>
    <s v="1. Concluído"/>
    <m/>
    <m/>
    <m/>
    <m/>
    <m/>
    <m/>
    <m/>
    <s v=""/>
    <s v=""/>
    <s v=""/>
    <m/>
    <m/>
    <m/>
    <m/>
    <m/>
    <m/>
    <x v="0"/>
    <m/>
  </r>
  <r>
    <x v="0"/>
    <x v="4"/>
    <x v="0"/>
    <s v="modesg_inp_emss_vcls"/>
    <s v="unidade_fator_de_emissao"/>
    <x v="0"/>
    <s v="1. Concluído"/>
    <m/>
    <m/>
    <m/>
    <m/>
    <m/>
    <m/>
    <m/>
    <s v=""/>
    <s v=""/>
    <s v=""/>
    <m/>
    <m/>
    <m/>
    <m/>
    <m/>
    <m/>
    <x v="0"/>
    <m/>
  </r>
  <r>
    <x v="0"/>
    <x v="4"/>
    <x v="0"/>
    <s v="modesg_inp_emss_vcls"/>
    <s v="score_qualidade"/>
    <x v="0"/>
    <s v="1. Concluído"/>
    <m/>
    <m/>
    <m/>
    <m/>
    <m/>
    <m/>
    <m/>
    <s v=""/>
    <s v=""/>
    <s v=""/>
    <m/>
    <m/>
    <m/>
    <m/>
    <m/>
    <m/>
    <x v="0"/>
    <m/>
  </r>
  <r>
    <x v="0"/>
    <x v="4"/>
    <x v="0"/>
    <s v="modesg_inp_emss_vcls"/>
    <s v="scp1_ftr_emss"/>
    <x v="0"/>
    <s v="1. Concluído"/>
    <m/>
    <m/>
    <m/>
    <m/>
    <m/>
    <m/>
    <m/>
    <s v=""/>
    <s v=""/>
    <s v=""/>
    <m/>
    <m/>
    <m/>
    <m/>
    <m/>
    <m/>
    <x v="0"/>
    <m/>
  </r>
  <r>
    <x v="0"/>
    <x v="4"/>
    <x v="0"/>
    <s v="modesg_inp_emss_vcls"/>
    <s v="scp2_ftr_emss"/>
    <x v="0"/>
    <s v="1. Concluído"/>
    <m/>
    <m/>
    <m/>
    <m/>
    <m/>
    <m/>
    <m/>
    <s v=""/>
    <s v=""/>
    <s v=""/>
    <m/>
    <m/>
    <m/>
    <m/>
    <m/>
    <m/>
    <x v="0"/>
    <m/>
  </r>
  <r>
    <x v="0"/>
    <x v="4"/>
    <x v="0"/>
    <s v="modesg_inp_emss_vcls"/>
    <s v="scp3_ftr_emss"/>
    <x v="0"/>
    <s v="1. Concluído"/>
    <m/>
    <m/>
    <m/>
    <m/>
    <m/>
    <m/>
    <m/>
    <s v=""/>
    <s v=""/>
    <s v=""/>
    <m/>
    <m/>
    <m/>
    <m/>
    <m/>
    <m/>
    <x v="0"/>
    <m/>
  </r>
  <r>
    <x v="0"/>
    <x v="4"/>
    <x v="0"/>
    <s v="modesg_inp_km_medios_emss_vcls"/>
    <s v="ref_date"/>
    <x v="0"/>
    <s v="1. Concluído"/>
    <m/>
    <m/>
    <m/>
    <m/>
    <m/>
    <m/>
    <m/>
    <s v=""/>
    <s v=""/>
    <s v=""/>
    <m/>
    <m/>
    <m/>
    <m/>
    <m/>
    <m/>
    <x v="0"/>
    <m/>
  </r>
  <r>
    <x v="0"/>
    <x v="4"/>
    <x v="0"/>
    <s v="modesg_inp_km_medios_emss_vcls"/>
    <s v="nome_pais"/>
    <x v="0"/>
    <s v="1. Concluído"/>
    <m/>
    <m/>
    <m/>
    <m/>
    <m/>
    <m/>
    <m/>
    <s v=""/>
    <s v=""/>
    <s v=""/>
    <m/>
    <m/>
    <m/>
    <m/>
    <m/>
    <m/>
    <x v="0"/>
    <m/>
  </r>
  <r>
    <x v="0"/>
    <x v="4"/>
    <x v="0"/>
    <s v="modesg_inp_km_medios_emss_vcls"/>
    <s v="tipo_vcl"/>
    <x v="0"/>
    <s v="1. Concluído"/>
    <m/>
    <m/>
    <m/>
    <m/>
    <m/>
    <m/>
    <m/>
    <s v=""/>
    <s v=""/>
    <s v=""/>
    <m/>
    <m/>
    <m/>
    <m/>
    <m/>
    <m/>
    <x v="0"/>
    <m/>
  </r>
  <r>
    <x v="0"/>
    <x v="4"/>
    <x v="0"/>
    <s v="modesg_inp_km_medios_emss_vcls"/>
    <s v="tipo_motor"/>
    <x v="0"/>
    <s v="1. Concluído"/>
    <m/>
    <m/>
    <m/>
    <m/>
    <m/>
    <m/>
    <m/>
    <s v=""/>
    <s v=""/>
    <s v=""/>
    <m/>
    <m/>
    <m/>
    <m/>
    <m/>
    <m/>
    <x v="0"/>
    <m/>
  </r>
  <r>
    <x v="0"/>
    <x v="4"/>
    <x v="0"/>
    <s v="modesg_inp_km_medios_emss_vcls"/>
    <s v="subgrupo"/>
    <x v="0"/>
    <s v="1. Concluído"/>
    <m/>
    <m/>
    <m/>
    <m/>
    <m/>
    <m/>
    <m/>
    <s v=""/>
    <s v=""/>
    <s v=""/>
    <m/>
    <m/>
    <m/>
    <m/>
    <m/>
    <m/>
    <x v="0"/>
    <m/>
  </r>
  <r>
    <x v="0"/>
    <x v="4"/>
    <x v="0"/>
    <s v="modesg_inp_km_medios_emss_vcls"/>
    <s v="media_km"/>
    <x v="0"/>
    <s v="1. Concluído"/>
    <m/>
    <m/>
    <m/>
    <m/>
    <m/>
    <m/>
    <m/>
    <s v=""/>
    <s v=""/>
    <s v=""/>
    <m/>
    <m/>
    <m/>
    <m/>
    <m/>
    <m/>
    <x v="0"/>
    <m/>
  </r>
  <r>
    <x v="0"/>
    <x v="4"/>
    <x v="0"/>
    <s v="modesg_inp_empr_excl_paris"/>
    <s v="ref_date"/>
    <x v="0"/>
    <s v="1. Concluído"/>
    <m/>
    <m/>
    <m/>
    <m/>
    <m/>
    <m/>
    <m/>
    <s v=""/>
    <s v=""/>
    <s v=""/>
    <m/>
    <m/>
    <m/>
    <m/>
    <m/>
    <m/>
    <x v="0"/>
    <m/>
  </r>
  <r>
    <x v="0"/>
    <x v="4"/>
    <x v="0"/>
    <s v="modesg_inp_empr_excl_paris"/>
    <s v="isin"/>
    <x v="0"/>
    <s v="1. Concluído"/>
    <m/>
    <m/>
    <m/>
    <m/>
    <m/>
    <m/>
    <m/>
    <s v=""/>
    <s v=""/>
    <s v=""/>
    <m/>
    <m/>
    <m/>
    <m/>
    <m/>
    <m/>
    <x v="0"/>
    <m/>
  </r>
  <r>
    <x v="0"/>
    <x v="4"/>
    <x v="0"/>
    <s v="modesg_inp_empr_excl_paris"/>
    <s v="clei"/>
    <x v="0"/>
    <s v="1. Concluído"/>
    <m/>
    <m/>
    <m/>
    <m/>
    <m/>
    <m/>
    <m/>
    <s v=""/>
    <s v=""/>
    <s v=""/>
    <m/>
    <m/>
    <m/>
    <m/>
    <m/>
    <m/>
    <x v="0"/>
    <m/>
  </r>
  <r>
    <x v="0"/>
    <x v="4"/>
    <x v="0"/>
    <s v="modesg_inp_empr_excl_paris"/>
    <s v="ccli_kgl"/>
    <x v="0"/>
    <s v="1. Concluído"/>
    <m/>
    <m/>
    <m/>
    <m/>
    <m/>
    <m/>
    <m/>
    <s v=""/>
    <s v=""/>
    <s v=""/>
    <m/>
    <m/>
    <m/>
    <m/>
    <m/>
    <m/>
    <x v="0"/>
    <m/>
  </r>
  <r>
    <x v="0"/>
    <x v="4"/>
    <x v="0"/>
    <s v="modesg_inp_empr_excl_paris"/>
    <s v="nome_entidade"/>
    <x v="0"/>
    <s v="1. Concluído"/>
    <m/>
    <m/>
    <m/>
    <m/>
    <m/>
    <m/>
    <m/>
    <s v=""/>
    <s v=""/>
    <s v=""/>
    <m/>
    <m/>
    <m/>
    <m/>
    <m/>
    <m/>
    <x v="0"/>
    <m/>
  </r>
  <r>
    <x v="0"/>
    <x v="4"/>
    <x v="0"/>
    <s v="modesg_inp_empr_excl_paris"/>
    <s v="flg_scib"/>
    <x v="0"/>
    <s v="1. Concluído"/>
    <m/>
    <m/>
    <m/>
    <m/>
    <m/>
    <m/>
    <m/>
    <s v=""/>
    <s v=""/>
    <s v=""/>
    <m/>
    <m/>
    <m/>
    <m/>
    <m/>
    <m/>
    <x v="0"/>
    <m/>
  </r>
  <r>
    <x v="0"/>
    <x v="4"/>
    <x v="0"/>
    <s v="modesg_inp_empr_excl_paris"/>
    <s v="nome_pais"/>
    <x v="0"/>
    <s v="1. Concluído"/>
    <m/>
    <m/>
    <m/>
    <m/>
    <m/>
    <m/>
    <m/>
    <s v=""/>
    <s v=""/>
    <s v=""/>
    <m/>
    <m/>
    <m/>
    <m/>
    <m/>
    <m/>
    <x v="0"/>
    <m/>
  </r>
  <r>
    <x v="0"/>
    <x v="4"/>
    <x v="0"/>
    <s v="modesg_inp_nfrd_alinhamento_tax"/>
    <s v="ref_date"/>
    <x v="0"/>
    <s v="1. Concluído"/>
    <m/>
    <m/>
    <m/>
    <m/>
    <m/>
    <m/>
    <m/>
    <s v=""/>
    <s v=""/>
    <s v=""/>
    <m/>
    <m/>
    <m/>
    <m/>
    <m/>
    <m/>
    <x v="0"/>
    <m/>
  </r>
  <r>
    <x v="0"/>
    <x v="4"/>
    <x v="0"/>
    <s v="modesg_inp_nfrd_alinhamento_tax"/>
    <s v="ccli_kgl"/>
    <x v="0"/>
    <s v="1. Concluído"/>
    <m/>
    <m/>
    <m/>
    <m/>
    <m/>
    <m/>
    <m/>
    <s v=""/>
    <s v=""/>
    <s v=""/>
    <m/>
    <m/>
    <m/>
    <m/>
    <m/>
    <m/>
    <x v="0"/>
    <m/>
  </r>
  <r>
    <x v="0"/>
    <x v="4"/>
    <x v="0"/>
    <s v="modesg_inp_nfrd_alinhamento_tax"/>
    <s v="clei"/>
    <x v="0"/>
    <s v="1. Concluído"/>
    <m/>
    <m/>
    <m/>
    <m/>
    <m/>
    <m/>
    <m/>
    <s v=""/>
    <s v=""/>
    <s v=""/>
    <m/>
    <m/>
    <m/>
    <m/>
    <m/>
    <m/>
    <x v="0"/>
    <m/>
  </r>
  <r>
    <x v="0"/>
    <x v="4"/>
    <x v="0"/>
    <s v="modesg_inp_nfrd_alinhamento_tax"/>
    <s v="perm_id"/>
    <x v="0"/>
    <s v="1. Concluído"/>
    <m/>
    <m/>
    <m/>
    <m/>
    <m/>
    <m/>
    <m/>
    <s v=""/>
    <s v=""/>
    <s v=""/>
    <m/>
    <m/>
    <m/>
    <m/>
    <m/>
    <m/>
    <x v="0"/>
    <m/>
  </r>
  <r>
    <x v="0"/>
    <x v="4"/>
    <x v="0"/>
    <s v="modesg_inp_nfrd_alinhamento_tax"/>
    <s v="nome_entidade"/>
    <x v="0"/>
    <s v="1. Concluído"/>
    <m/>
    <m/>
    <m/>
    <m/>
    <m/>
    <m/>
    <m/>
    <s v=""/>
    <s v=""/>
    <s v=""/>
    <m/>
    <m/>
    <m/>
    <m/>
    <m/>
    <m/>
    <x v="0"/>
    <m/>
  </r>
  <r>
    <x v="0"/>
    <x v="4"/>
    <x v="0"/>
    <s v="modesg_inp_nfrd_alinhamento_tax"/>
    <s v="nome_pais"/>
    <x v="0"/>
    <s v="1. Concluído"/>
    <m/>
    <m/>
    <m/>
    <m/>
    <m/>
    <m/>
    <m/>
    <s v=""/>
    <s v=""/>
    <s v=""/>
    <m/>
    <m/>
    <m/>
    <m/>
    <m/>
    <m/>
    <x v="0"/>
    <m/>
  </r>
  <r>
    <x v="0"/>
    <x v="4"/>
    <x v="0"/>
    <s v="modesg_inp_nfrd_alinhamento_tax"/>
    <s v="flg_nfrd"/>
    <x v="0"/>
    <s v="1. Concluído"/>
    <m/>
    <m/>
    <m/>
    <m/>
    <m/>
    <m/>
    <m/>
    <s v=""/>
    <s v=""/>
    <s v=""/>
    <m/>
    <m/>
    <m/>
    <m/>
    <m/>
    <m/>
    <x v="0"/>
    <m/>
  </r>
  <r>
    <x v="0"/>
    <x v="4"/>
    <x v="0"/>
    <s v="modesg_inp_nfrd_alinhamento_tax"/>
    <s v="cca_trnvr_ttl_elgbl"/>
    <x v="0"/>
    <s v="1. Concluído"/>
    <m/>
    <m/>
    <m/>
    <m/>
    <m/>
    <m/>
    <m/>
    <s v=""/>
    <s v=""/>
    <s v=""/>
    <m/>
    <m/>
    <m/>
    <m/>
    <m/>
    <m/>
    <x v="0"/>
    <m/>
  </r>
  <r>
    <x v="0"/>
    <x v="4"/>
    <x v="0"/>
    <s v="modesg_inp_nfrd_alinhamento_tax"/>
    <s v="cca_trnvr_enblng_alignd"/>
    <x v="0"/>
    <s v="1. Concluído"/>
    <m/>
    <m/>
    <m/>
    <m/>
    <m/>
    <m/>
    <m/>
    <s v=""/>
    <s v=""/>
    <s v=""/>
    <m/>
    <m/>
    <m/>
    <m/>
    <m/>
    <m/>
    <x v="0"/>
    <m/>
  </r>
  <r>
    <x v="0"/>
    <x v="4"/>
    <x v="0"/>
    <s v="modesg_inp_nfrd_alinhamento_tax"/>
    <s v="cca_turnover_own_prfrmnce_algnd"/>
    <x v="0"/>
    <s v="1. Concluído"/>
    <m/>
    <m/>
    <m/>
    <m/>
    <m/>
    <m/>
    <m/>
    <s v=""/>
    <s v=""/>
    <s v=""/>
    <m/>
    <m/>
    <m/>
    <m/>
    <m/>
    <m/>
    <x v="0"/>
    <m/>
  </r>
  <r>
    <x v="0"/>
    <x v="4"/>
    <x v="0"/>
    <s v="modesg_inp_nfrd_alinhamento_tax"/>
    <s v="cca_capex_ttl_elgbl"/>
    <x v="0"/>
    <s v="1. Concluído"/>
    <m/>
    <m/>
    <m/>
    <m/>
    <m/>
    <m/>
    <m/>
    <s v=""/>
    <s v=""/>
    <s v=""/>
    <m/>
    <m/>
    <m/>
    <m/>
    <m/>
    <m/>
    <x v="0"/>
    <m/>
  </r>
  <r>
    <x v="0"/>
    <x v="4"/>
    <x v="0"/>
    <s v="modesg_inp_nfrd_alinhamento_tax"/>
    <s v="cca_capex_enblng_algnd"/>
    <x v="0"/>
    <s v="1. Concluído"/>
    <m/>
    <m/>
    <m/>
    <m/>
    <m/>
    <m/>
    <m/>
    <s v=""/>
    <s v=""/>
    <s v=""/>
    <m/>
    <m/>
    <m/>
    <m/>
    <m/>
    <m/>
    <x v="0"/>
    <m/>
  </r>
  <r>
    <x v="0"/>
    <x v="4"/>
    <x v="0"/>
    <s v="modesg_inp_nfrd_alinhamento_tax"/>
    <s v="cca_capex_own_prfrmnce_algnd"/>
    <x v="0"/>
    <s v="1. Concluído"/>
    <m/>
    <m/>
    <m/>
    <m/>
    <m/>
    <m/>
    <m/>
    <s v=""/>
    <s v=""/>
    <s v=""/>
    <m/>
    <m/>
    <m/>
    <m/>
    <m/>
    <m/>
    <x v="0"/>
    <m/>
  </r>
  <r>
    <x v="0"/>
    <x v="4"/>
    <x v="0"/>
    <s v="modesg_inp_nfrd_alinhamento_tax"/>
    <s v="ccm_trnvr_ttl_elgbl"/>
    <x v="0"/>
    <s v="1. Concluído"/>
    <m/>
    <m/>
    <m/>
    <m/>
    <m/>
    <m/>
    <m/>
    <s v=""/>
    <s v=""/>
    <s v=""/>
    <m/>
    <m/>
    <m/>
    <m/>
    <m/>
    <m/>
    <x v="0"/>
    <m/>
  </r>
  <r>
    <x v="0"/>
    <x v="4"/>
    <x v="0"/>
    <s v="modesg_inp_nfrd_alinhamento_tax"/>
    <s v="ccm_trnvr_enblng_algnd"/>
    <x v="0"/>
    <s v="1. Concluído"/>
    <m/>
    <m/>
    <m/>
    <m/>
    <m/>
    <m/>
    <m/>
    <s v=""/>
    <s v=""/>
    <s v=""/>
    <m/>
    <m/>
    <m/>
    <m/>
    <m/>
    <m/>
    <x v="0"/>
    <m/>
  </r>
  <r>
    <x v="0"/>
    <x v="4"/>
    <x v="0"/>
    <s v="modesg_inp_nfrd_alinhamento_tax"/>
    <s v="ccm_trnvr_trnstn_alignd"/>
    <x v="0"/>
    <s v="1. Concluído"/>
    <m/>
    <m/>
    <m/>
    <m/>
    <m/>
    <m/>
    <m/>
    <s v=""/>
    <s v=""/>
    <s v=""/>
    <m/>
    <m/>
    <m/>
    <m/>
    <m/>
    <m/>
    <x v="0"/>
    <m/>
  </r>
  <r>
    <x v="0"/>
    <x v="4"/>
    <x v="0"/>
    <s v="modesg_inp_nfrd_alinhamento_tax"/>
    <s v="ccm_trnvr_own_prfrmnce_algnd"/>
    <x v="0"/>
    <s v="1. Concluído"/>
    <m/>
    <m/>
    <m/>
    <m/>
    <m/>
    <m/>
    <m/>
    <s v=""/>
    <s v=""/>
    <s v=""/>
    <m/>
    <m/>
    <m/>
    <m/>
    <m/>
    <m/>
    <x v="0"/>
    <m/>
  </r>
  <r>
    <x v="0"/>
    <x v="4"/>
    <x v="0"/>
    <s v="modesg_inp_nfrd_alinhamento_tax"/>
    <s v="ccm_capex_ttl_elgbl"/>
    <x v="0"/>
    <s v="1. Concluído"/>
    <m/>
    <m/>
    <m/>
    <m/>
    <m/>
    <m/>
    <m/>
    <s v=""/>
    <s v=""/>
    <s v=""/>
    <m/>
    <m/>
    <m/>
    <m/>
    <m/>
    <m/>
    <x v="0"/>
    <m/>
  </r>
  <r>
    <x v="0"/>
    <x v="4"/>
    <x v="0"/>
    <s v="modesg_inp_nfrd_alinhamento_tax"/>
    <s v="ccm_capex_enblng_algnd"/>
    <x v="0"/>
    <s v="1. Concluído"/>
    <m/>
    <m/>
    <m/>
    <m/>
    <m/>
    <m/>
    <m/>
    <s v=""/>
    <s v=""/>
    <s v=""/>
    <m/>
    <m/>
    <m/>
    <m/>
    <m/>
    <m/>
    <x v="0"/>
    <m/>
  </r>
  <r>
    <x v="0"/>
    <x v="4"/>
    <x v="0"/>
    <s v="modesg_inp_nfrd_alinhamento_tax"/>
    <s v="ccm_capex_trnstn_algnd"/>
    <x v="0"/>
    <s v="1. Concluído"/>
    <m/>
    <m/>
    <m/>
    <m/>
    <m/>
    <m/>
    <m/>
    <s v=""/>
    <s v=""/>
    <s v=""/>
    <m/>
    <m/>
    <m/>
    <m/>
    <m/>
    <m/>
    <x v="0"/>
    <m/>
  </r>
  <r>
    <x v="0"/>
    <x v="4"/>
    <x v="0"/>
    <s v="modesg_inp_nfrd_alinhamento_tax"/>
    <s v="ccm_capex_own_prfrmnce_algnd"/>
    <x v="0"/>
    <s v="1. Concluído"/>
    <m/>
    <m/>
    <m/>
    <m/>
    <m/>
    <m/>
    <m/>
    <s v=""/>
    <s v=""/>
    <s v=""/>
    <m/>
    <m/>
    <m/>
    <m/>
    <m/>
    <m/>
    <x v="0"/>
    <m/>
  </r>
  <r>
    <x v="0"/>
    <x v="4"/>
    <x v="0"/>
    <s v="modesg_inp_nfrd_alinhamento_tax"/>
    <s v="ppc_trnvr_ttl_elgbl"/>
    <x v="0"/>
    <s v="1. Concluído"/>
    <m/>
    <m/>
    <m/>
    <m/>
    <m/>
    <m/>
    <m/>
    <s v=""/>
    <s v=""/>
    <s v=""/>
    <m/>
    <m/>
    <m/>
    <m/>
    <m/>
    <m/>
    <x v="0"/>
    <m/>
  </r>
  <r>
    <x v="0"/>
    <x v="4"/>
    <x v="0"/>
    <s v="modesg_inp_nfrd_alinhamento_tax"/>
    <s v="ppc_turnover_own_prfrmnce_algnd"/>
    <x v="0"/>
    <s v="1. Concluído"/>
    <m/>
    <m/>
    <m/>
    <m/>
    <m/>
    <m/>
    <m/>
    <s v=""/>
    <s v=""/>
    <s v=""/>
    <m/>
    <m/>
    <m/>
    <m/>
    <m/>
    <m/>
    <x v="0"/>
    <m/>
  </r>
  <r>
    <x v="0"/>
    <x v="4"/>
    <x v="0"/>
    <s v="modesg_inp_nfrd_alinhamento_tax"/>
    <s v="ppc_capex_ttl_elgbl"/>
    <x v="0"/>
    <s v="1. Concluído"/>
    <m/>
    <m/>
    <m/>
    <m/>
    <m/>
    <m/>
    <m/>
    <s v=""/>
    <s v=""/>
    <s v=""/>
    <m/>
    <m/>
    <m/>
    <m/>
    <m/>
    <m/>
    <x v="0"/>
    <m/>
  </r>
  <r>
    <x v="0"/>
    <x v="4"/>
    <x v="0"/>
    <s v="modesg_inp_nfrd_alinhamento_tax"/>
    <s v="ppc_capex_own_prfrmnce_algnd"/>
    <x v="0"/>
    <s v="1. Concluído"/>
    <m/>
    <m/>
    <m/>
    <m/>
    <m/>
    <m/>
    <m/>
    <s v=""/>
    <s v=""/>
    <s v=""/>
    <m/>
    <m/>
    <m/>
    <m/>
    <m/>
    <m/>
    <x v="0"/>
    <m/>
  </r>
  <r>
    <x v="0"/>
    <x v="4"/>
    <x v="0"/>
    <s v="modesg_inp_nfrd_alinhamento_tax"/>
    <s v="bio_trnvr_ttl_elgbl"/>
    <x v="0"/>
    <s v="1. Concluído"/>
    <m/>
    <m/>
    <m/>
    <m/>
    <m/>
    <m/>
    <m/>
    <s v=""/>
    <s v=""/>
    <s v=""/>
    <m/>
    <m/>
    <m/>
    <m/>
    <m/>
    <m/>
    <x v="0"/>
    <m/>
  </r>
  <r>
    <x v="0"/>
    <x v="4"/>
    <x v="0"/>
    <s v="modesg_inp_nfrd_alinhamento_tax"/>
    <s v="bio_turnover_own_prfrmnce_algnd"/>
    <x v="0"/>
    <s v="1. Concluído"/>
    <m/>
    <m/>
    <m/>
    <m/>
    <m/>
    <m/>
    <m/>
    <s v=""/>
    <s v=""/>
    <s v=""/>
    <m/>
    <m/>
    <m/>
    <m/>
    <m/>
    <m/>
    <x v="0"/>
    <m/>
  </r>
  <r>
    <x v="0"/>
    <x v="4"/>
    <x v="0"/>
    <s v="modesg_inp_nfrd_alinhamento_tax"/>
    <s v="bio_capex_ttl_elgbl"/>
    <x v="0"/>
    <s v="1. Concluído"/>
    <m/>
    <m/>
    <m/>
    <m/>
    <m/>
    <m/>
    <m/>
    <s v=""/>
    <s v=""/>
    <s v=""/>
    <m/>
    <m/>
    <m/>
    <m/>
    <m/>
    <m/>
    <x v="0"/>
    <m/>
  </r>
  <r>
    <x v="0"/>
    <x v="4"/>
    <x v="0"/>
    <s v="modesg_inp_nfrd_alinhamento_tax"/>
    <s v="bio_capex_own_prfrmnce_algnd"/>
    <x v="0"/>
    <s v="1. Concluído"/>
    <m/>
    <m/>
    <m/>
    <m/>
    <m/>
    <m/>
    <m/>
    <s v=""/>
    <s v=""/>
    <s v=""/>
    <m/>
    <m/>
    <m/>
    <m/>
    <m/>
    <m/>
    <x v="0"/>
    <m/>
  </r>
  <r>
    <x v="0"/>
    <x v="4"/>
    <x v="0"/>
    <s v="modesg_inp_nfrd_alinhamento_tax"/>
    <s v="wtr_trnvr_ttl_elgbl"/>
    <x v="0"/>
    <s v="1. Concluído"/>
    <m/>
    <m/>
    <m/>
    <m/>
    <m/>
    <m/>
    <m/>
    <s v=""/>
    <s v=""/>
    <s v=""/>
    <m/>
    <m/>
    <m/>
    <m/>
    <m/>
    <m/>
    <x v="0"/>
    <m/>
  </r>
  <r>
    <x v="0"/>
    <x v="4"/>
    <x v="0"/>
    <s v="modesg_inp_nfrd_alinhamento_tax"/>
    <s v="wtr_trnvr_enblng_alignd"/>
    <x v="0"/>
    <s v="1. Concluído"/>
    <m/>
    <m/>
    <m/>
    <m/>
    <m/>
    <m/>
    <m/>
    <s v=""/>
    <s v=""/>
    <s v=""/>
    <m/>
    <m/>
    <m/>
    <m/>
    <m/>
    <m/>
    <x v="0"/>
    <m/>
  </r>
  <r>
    <x v="0"/>
    <x v="4"/>
    <x v="0"/>
    <s v="modesg_inp_nfrd_alinhamento_tax"/>
    <s v="wtr_turnover_own_prfrmnce_algnd"/>
    <x v="0"/>
    <s v="1. Concluído"/>
    <m/>
    <m/>
    <m/>
    <m/>
    <m/>
    <m/>
    <m/>
    <s v=""/>
    <s v=""/>
    <s v=""/>
    <m/>
    <m/>
    <m/>
    <m/>
    <m/>
    <m/>
    <x v="0"/>
    <m/>
  </r>
  <r>
    <x v="0"/>
    <x v="4"/>
    <x v="0"/>
    <s v="modesg_inp_nfrd_alinhamento_tax"/>
    <s v="wtr_capex_ttl_elgbl"/>
    <x v="0"/>
    <s v="1. Concluído"/>
    <m/>
    <m/>
    <m/>
    <m/>
    <m/>
    <m/>
    <m/>
    <s v=""/>
    <s v=""/>
    <s v=""/>
    <m/>
    <m/>
    <m/>
    <m/>
    <m/>
    <m/>
    <x v="0"/>
    <m/>
  </r>
  <r>
    <x v="0"/>
    <x v="4"/>
    <x v="0"/>
    <s v="modesg_inp_nfrd_alinhamento_tax"/>
    <s v="wtr_capex_enblng_algnd"/>
    <x v="0"/>
    <s v="1. Concluído"/>
    <m/>
    <m/>
    <m/>
    <m/>
    <m/>
    <m/>
    <m/>
    <s v=""/>
    <s v=""/>
    <s v=""/>
    <m/>
    <m/>
    <m/>
    <m/>
    <m/>
    <m/>
    <x v="0"/>
    <m/>
  </r>
  <r>
    <x v="0"/>
    <x v="4"/>
    <x v="0"/>
    <s v="modesg_inp_nfrd_alinhamento_tax"/>
    <s v="wtr_capex_own_prfrmnce_algnd"/>
    <x v="0"/>
    <s v="1. Concluído"/>
    <m/>
    <m/>
    <m/>
    <m/>
    <m/>
    <m/>
    <m/>
    <s v=""/>
    <s v=""/>
    <s v=""/>
    <m/>
    <m/>
    <m/>
    <m/>
    <m/>
    <m/>
    <x v="0"/>
    <m/>
  </r>
  <r>
    <x v="0"/>
    <x v="4"/>
    <x v="0"/>
    <s v="modesg_inp_nfrd_alinhamento_tax"/>
    <s v="ce_trnvr_ttl_elgbl"/>
    <x v="0"/>
    <s v="1. Concluído"/>
    <m/>
    <m/>
    <m/>
    <m/>
    <m/>
    <m/>
    <m/>
    <s v=""/>
    <s v=""/>
    <s v=""/>
    <m/>
    <m/>
    <m/>
    <m/>
    <m/>
    <m/>
    <x v="0"/>
    <m/>
  </r>
  <r>
    <x v="0"/>
    <x v="4"/>
    <x v="0"/>
    <s v="modesg_inp_nfrd_alinhamento_tax"/>
    <s v="ce_trnvr_enblng_alignd"/>
    <x v="0"/>
    <s v="1. Concluído"/>
    <m/>
    <m/>
    <m/>
    <m/>
    <m/>
    <m/>
    <m/>
    <s v=""/>
    <s v=""/>
    <s v=""/>
    <m/>
    <m/>
    <m/>
    <m/>
    <m/>
    <m/>
    <x v="0"/>
    <m/>
  </r>
  <r>
    <x v="0"/>
    <x v="4"/>
    <x v="0"/>
    <s v="modesg_inp_nfrd_alinhamento_tax"/>
    <s v="ce_turnover_own_prfrmnce_algnd"/>
    <x v="0"/>
    <s v="1. Concluído"/>
    <m/>
    <m/>
    <m/>
    <m/>
    <m/>
    <m/>
    <m/>
    <s v=""/>
    <s v=""/>
    <s v=""/>
    <m/>
    <m/>
    <m/>
    <m/>
    <m/>
    <m/>
    <x v="0"/>
    <m/>
  </r>
  <r>
    <x v="0"/>
    <x v="4"/>
    <x v="0"/>
    <s v="modesg_inp_nfrd_alinhamento_tax"/>
    <s v="ce_capex_ttl_elgbl"/>
    <x v="0"/>
    <s v="1. Concluído"/>
    <m/>
    <m/>
    <m/>
    <m/>
    <m/>
    <m/>
    <m/>
    <s v=""/>
    <s v=""/>
    <s v=""/>
    <m/>
    <m/>
    <m/>
    <m/>
    <m/>
    <m/>
    <x v="0"/>
    <m/>
  </r>
  <r>
    <x v="0"/>
    <x v="4"/>
    <x v="0"/>
    <s v="modesg_inp_nfrd_alinhamento_tax"/>
    <s v="ce_capex_enblng_algnd"/>
    <x v="0"/>
    <s v="1. Concluído"/>
    <m/>
    <m/>
    <m/>
    <m/>
    <m/>
    <m/>
    <m/>
    <s v=""/>
    <s v=""/>
    <s v=""/>
    <m/>
    <m/>
    <m/>
    <m/>
    <m/>
    <m/>
    <x v="0"/>
    <m/>
  </r>
  <r>
    <x v="0"/>
    <x v="4"/>
    <x v="0"/>
    <s v="modesg_inp_nfrd_alinhamento_tax"/>
    <s v="ce_capex_own_prfrmnce_algnd"/>
    <x v="0"/>
    <s v="1. Concluído"/>
    <m/>
    <m/>
    <m/>
    <m/>
    <m/>
    <m/>
    <m/>
    <s v=""/>
    <s v=""/>
    <s v=""/>
    <m/>
    <m/>
    <m/>
    <m/>
    <m/>
    <m/>
    <x v="0"/>
    <m/>
  </r>
  <r>
    <x v="0"/>
    <x v="4"/>
    <x v="0"/>
    <s v="modesg_inp_risco_fisico"/>
    <s v="ref_date"/>
    <x v="0"/>
    <s v="1. Concluído"/>
    <m/>
    <m/>
    <m/>
    <m/>
    <m/>
    <m/>
    <m/>
    <s v=""/>
    <s v=""/>
    <s v=""/>
    <m/>
    <m/>
    <m/>
    <m/>
    <m/>
    <m/>
    <x v="0"/>
    <m/>
  </r>
  <r>
    <x v="0"/>
    <x v="4"/>
    <x v="0"/>
    <s v="modesg_inp_risco_fisico"/>
    <s v="cod_pais"/>
    <x v="0"/>
    <s v="1. Concluído"/>
    <m/>
    <m/>
    <m/>
    <m/>
    <m/>
    <m/>
    <m/>
    <s v=""/>
    <s v=""/>
    <s v=""/>
    <m/>
    <m/>
    <m/>
    <m/>
    <m/>
    <m/>
    <x v="0"/>
    <m/>
  </r>
  <r>
    <x v="0"/>
    <x v="4"/>
    <x v="0"/>
    <s v="modesg_inp_risco_fisico"/>
    <s v="cod_nutiii"/>
    <x v="0"/>
    <s v="1. Concluído"/>
    <m/>
    <m/>
    <m/>
    <m/>
    <m/>
    <m/>
    <m/>
    <s v=""/>
    <s v=""/>
    <s v=""/>
    <m/>
    <m/>
    <m/>
    <m/>
    <m/>
    <m/>
    <x v="0"/>
    <m/>
  </r>
  <r>
    <x v="0"/>
    <x v="4"/>
    <x v="0"/>
    <s v="modesg_inp_risco_fisico"/>
    <s v="cod_nace_esg"/>
    <x v="0"/>
    <s v="1. Concluído"/>
    <m/>
    <m/>
    <m/>
    <m/>
    <m/>
    <m/>
    <m/>
    <s v=""/>
    <s v=""/>
    <s v=""/>
    <m/>
    <m/>
    <m/>
    <m/>
    <m/>
    <m/>
    <x v="0"/>
    <m/>
  </r>
  <r>
    <x v="0"/>
    <x v="4"/>
    <x v="0"/>
    <s v="modesg_inp_risco_fisico"/>
    <s v="flg_rsc_fsc_agd"/>
    <x v="0"/>
    <s v="1. Concluído"/>
    <m/>
    <m/>
    <m/>
    <m/>
    <m/>
    <m/>
    <m/>
    <s v=""/>
    <s v=""/>
    <s v=""/>
    <m/>
    <m/>
    <m/>
    <m/>
    <m/>
    <m/>
    <x v="0"/>
    <m/>
  </r>
  <r>
    <x v="0"/>
    <x v="4"/>
    <x v="0"/>
    <s v="modesg_inp_risco_fisico"/>
    <s v="flg_rsc_fsc_crnc"/>
    <x v="0"/>
    <s v="1. Concluído"/>
    <m/>
    <m/>
    <m/>
    <m/>
    <m/>
    <m/>
    <m/>
    <s v=""/>
    <s v=""/>
    <s v=""/>
    <m/>
    <m/>
    <m/>
    <m/>
    <m/>
    <m/>
    <x v="0"/>
    <m/>
  </r>
  <r>
    <x v="0"/>
    <x v="4"/>
    <x v="0"/>
    <s v="modesg_inp_emss_scib"/>
    <s v="ref_date"/>
    <x v="0"/>
    <s v="1. Concluído"/>
    <m/>
    <m/>
    <m/>
    <m/>
    <m/>
    <m/>
    <m/>
    <s v=""/>
    <s v=""/>
    <s v=""/>
    <m/>
    <m/>
    <m/>
    <m/>
    <m/>
    <m/>
    <x v="0"/>
    <m/>
  </r>
  <r>
    <x v="0"/>
    <x v="4"/>
    <x v="0"/>
    <s v="modesg_inp_emss_scib"/>
    <s v="ccli_kgl"/>
    <x v="0"/>
    <s v="1. Concluído"/>
    <m/>
    <m/>
    <m/>
    <m/>
    <m/>
    <m/>
    <m/>
    <s v=""/>
    <s v=""/>
    <s v=""/>
    <m/>
    <m/>
    <m/>
    <m/>
    <m/>
    <m/>
    <x v="0"/>
    <m/>
  </r>
  <r>
    <x v="0"/>
    <x v="4"/>
    <x v="0"/>
    <s v="modesg_inp_emss_scib"/>
    <s v="nome_grupo"/>
    <x v="0"/>
    <s v="1. Concluído"/>
    <m/>
    <m/>
    <m/>
    <m/>
    <m/>
    <m/>
    <m/>
    <s v=""/>
    <s v=""/>
    <s v=""/>
    <m/>
    <m/>
    <m/>
    <m/>
    <m/>
    <m/>
    <x v="0"/>
    <m/>
  </r>
  <r>
    <x v="0"/>
    <x v="4"/>
    <x v="0"/>
    <s v="modesg_inp_emss_scib"/>
    <s v="isin"/>
    <x v="0"/>
    <s v="1. Concluído"/>
    <m/>
    <m/>
    <m/>
    <m/>
    <m/>
    <m/>
    <m/>
    <s v=""/>
    <s v=""/>
    <s v=""/>
    <m/>
    <m/>
    <m/>
    <m/>
    <m/>
    <m/>
    <x v="0"/>
    <m/>
  </r>
  <r>
    <x v="0"/>
    <x v="4"/>
    <x v="0"/>
    <s v="modesg_inp_emss_scib"/>
    <s v="clei"/>
    <x v="0"/>
    <s v="1. Concluído"/>
    <m/>
    <m/>
    <m/>
    <m/>
    <m/>
    <m/>
    <m/>
    <s v=""/>
    <s v=""/>
    <s v=""/>
    <m/>
    <m/>
    <m/>
    <m/>
    <m/>
    <m/>
    <x v="0"/>
    <m/>
  </r>
  <r>
    <x v="0"/>
    <x v="4"/>
    <x v="0"/>
    <s v="modesg_inp_emss_scib"/>
    <s v="scp1_emss"/>
    <x v="0"/>
    <s v="1. Concluído"/>
    <m/>
    <m/>
    <m/>
    <m/>
    <m/>
    <m/>
    <m/>
    <s v=""/>
    <s v=""/>
    <s v=""/>
    <m/>
    <m/>
    <m/>
    <m/>
    <m/>
    <m/>
    <x v="0"/>
    <m/>
  </r>
  <r>
    <x v="0"/>
    <x v="4"/>
    <x v="0"/>
    <s v="modesg_inp_emss_scib"/>
    <s v="scp2_emss"/>
    <x v="0"/>
    <s v="1. Concluído"/>
    <m/>
    <m/>
    <m/>
    <m/>
    <m/>
    <m/>
    <m/>
    <s v=""/>
    <s v=""/>
    <s v=""/>
    <m/>
    <m/>
    <m/>
    <m/>
    <m/>
    <m/>
    <x v="0"/>
    <m/>
  </r>
  <r>
    <x v="0"/>
    <x v="4"/>
    <x v="0"/>
    <s v="modesg_inp_emss_scib"/>
    <s v="scp3_emss"/>
    <x v="0"/>
    <s v="1. Concluído"/>
    <m/>
    <m/>
    <m/>
    <m/>
    <m/>
    <m/>
    <m/>
    <s v=""/>
    <s v=""/>
    <s v=""/>
    <m/>
    <m/>
    <m/>
    <m/>
    <m/>
    <m/>
    <x v="0"/>
    <m/>
  </r>
  <r>
    <x v="0"/>
    <x v="4"/>
    <x v="0"/>
    <s v="modesg_inp_emss_scib"/>
    <s v="score_scp1"/>
    <x v="0"/>
    <s v="1. Concluído"/>
    <m/>
    <m/>
    <m/>
    <m/>
    <m/>
    <m/>
    <m/>
    <s v=""/>
    <s v=""/>
    <s v=""/>
    <m/>
    <m/>
    <m/>
    <m/>
    <m/>
    <m/>
    <x v="0"/>
    <m/>
  </r>
  <r>
    <x v="0"/>
    <x v="4"/>
    <x v="0"/>
    <s v="modesg_inp_emss_scib"/>
    <s v="score_scp2"/>
    <x v="0"/>
    <s v="1. Concluído"/>
    <m/>
    <m/>
    <m/>
    <m/>
    <m/>
    <m/>
    <m/>
    <s v=""/>
    <s v=""/>
    <s v=""/>
    <m/>
    <m/>
    <m/>
    <m/>
    <m/>
    <m/>
    <x v="0"/>
    <m/>
  </r>
  <r>
    <x v="0"/>
    <x v="4"/>
    <x v="0"/>
    <s v="modesg_inp_emss_scib"/>
    <s v="score_scp3"/>
    <x v="0"/>
    <s v="1. Concluído"/>
    <m/>
    <m/>
    <m/>
    <m/>
    <m/>
    <m/>
    <m/>
    <s v=""/>
    <s v=""/>
    <s v=""/>
    <m/>
    <m/>
    <m/>
    <m/>
    <m/>
    <m/>
    <x v="0"/>
    <m/>
  </r>
  <r>
    <x v="0"/>
    <x v="4"/>
    <x v="0"/>
    <s v="modesg_inp_emss_scib"/>
    <s v="origem_scp1"/>
    <x v="0"/>
    <s v="1. Concluído"/>
    <m/>
    <m/>
    <m/>
    <m/>
    <m/>
    <m/>
    <m/>
    <s v=""/>
    <s v=""/>
    <s v=""/>
    <m/>
    <m/>
    <m/>
    <m/>
    <m/>
    <m/>
    <x v="0"/>
    <m/>
  </r>
  <r>
    <x v="0"/>
    <x v="4"/>
    <x v="0"/>
    <s v="modesg_inp_emss_scib"/>
    <s v="origem_scp2"/>
    <x v="0"/>
    <s v="1. Concluído"/>
    <m/>
    <m/>
    <m/>
    <m/>
    <m/>
    <m/>
    <m/>
    <s v=""/>
    <s v=""/>
    <s v=""/>
    <m/>
    <m/>
    <m/>
    <m/>
    <m/>
    <m/>
    <x v="0"/>
    <m/>
  </r>
  <r>
    <x v="0"/>
    <x v="4"/>
    <x v="0"/>
    <s v="modesg_inp_emss_scib"/>
    <s v="origem_scp3"/>
    <x v="0"/>
    <s v="1. Concluído"/>
    <m/>
    <m/>
    <m/>
    <m/>
    <m/>
    <m/>
    <m/>
    <s v=""/>
    <s v=""/>
    <s v=""/>
    <m/>
    <m/>
    <m/>
    <m/>
    <m/>
    <m/>
    <x v="0"/>
    <m/>
  </r>
  <r>
    <x v="0"/>
    <x v="4"/>
    <x v="0"/>
    <s v="modesg_inp_emss_scib"/>
    <s v="ano_info"/>
    <x v="0"/>
    <s v="1. Concluído"/>
    <m/>
    <m/>
    <m/>
    <m/>
    <m/>
    <m/>
    <m/>
    <s v=""/>
    <s v=""/>
    <s v=""/>
    <m/>
    <m/>
    <m/>
    <m/>
    <m/>
    <m/>
    <x v="0"/>
    <m/>
  </r>
  <r>
    <x v="0"/>
    <x v="4"/>
    <x v="0"/>
    <s v="modesg_inp_emss_scib"/>
    <s v="divida_total"/>
    <x v="0"/>
    <s v="1. Concluído"/>
    <m/>
    <m/>
    <m/>
    <m/>
    <m/>
    <m/>
    <m/>
    <s v=""/>
    <s v=""/>
    <s v=""/>
    <m/>
    <m/>
    <m/>
    <m/>
    <m/>
    <m/>
    <x v="0"/>
    <m/>
  </r>
  <r>
    <x v="0"/>
    <x v="4"/>
    <x v="0"/>
    <s v="modesg_inp_emss_scib"/>
    <s v="capital_proprio"/>
    <x v="0"/>
    <s v="1. Concluído"/>
    <m/>
    <m/>
    <m/>
    <m/>
    <m/>
    <m/>
    <m/>
    <s v=""/>
    <s v=""/>
    <s v=""/>
    <m/>
    <m/>
    <m/>
    <m/>
    <m/>
    <m/>
    <x v="0"/>
    <m/>
  </r>
  <r>
    <x v="0"/>
    <x v="4"/>
    <x v="0"/>
    <s v="modesg_inp_emss_nace"/>
    <s v="ref_date"/>
    <x v="0"/>
    <s v="1. Concluído"/>
    <m/>
    <m/>
    <m/>
    <m/>
    <m/>
    <m/>
    <s v="Package X"/>
    <s v=""/>
    <s v=""/>
    <s v=""/>
    <m/>
    <m/>
    <m/>
    <m/>
    <m/>
    <m/>
    <x v="0"/>
    <m/>
  </r>
  <r>
    <x v="0"/>
    <x v="4"/>
    <x v="0"/>
    <s v="modesg_inp_emss_nace"/>
    <s v="ano"/>
    <x v="0"/>
    <s v="1. Concluído"/>
    <m/>
    <m/>
    <m/>
    <m/>
    <m/>
    <m/>
    <s v="Package X"/>
    <s v=""/>
    <s v=""/>
    <s v=""/>
    <m/>
    <m/>
    <m/>
    <m/>
    <m/>
    <m/>
    <x v="0"/>
    <m/>
  </r>
  <r>
    <x v="0"/>
    <x v="4"/>
    <x v="0"/>
    <s v="modesg_inp_emss_nace"/>
    <s v="nome_pais"/>
    <x v="0"/>
    <s v="1. Concluído"/>
    <m/>
    <m/>
    <m/>
    <m/>
    <m/>
    <m/>
    <s v="Package X"/>
    <s v=""/>
    <s v=""/>
    <s v=""/>
    <m/>
    <m/>
    <m/>
    <m/>
    <m/>
    <m/>
    <x v="0"/>
    <m/>
  </r>
  <r>
    <x v="0"/>
    <x v="4"/>
    <x v="0"/>
    <s v="modesg_inp_emss_nace"/>
    <s v="cod_nace_esg"/>
    <x v="0"/>
    <s v="1. Concluído"/>
    <m/>
    <m/>
    <m/>
    <m/>
    <m/>
    <m/>
    <s v="Package X"/>
    <s v=""/>
    <s v=""/>
    <s v=""/>
    <m/>
    <m/>
    <m/>
    <m/>
    <m/>
    <m/>
    <x v="0"/>
    <m/>
  </r>
  <r>
    <x v="0"/>
    <x v="4"/>
    <x v="0"/>
    <s v="modesg_inp_emss_nace"/>
    <s v="cod_class_indust"/>
    <x v="0"/>
    <s v="1. Concluído"/>
    <m/>
    <m/>
    <m/>
    <m/>
    <m/>
    <m/>
    <s v="Package X"/>
    <s v=""/>
    <s v=""/>
    <s v=""/>
    <m/>
    <m/>
    <m/>
    <m/>
    <m/>
    <m/>
    <x v="0"/>
    <m/>
  </r>
  <r>
    <x v="0"/>
    <x v="4"/>
    <x v="0"/>
    <s v="modesg_inp_emss_nace"/>
    <s v="nivel_classificacao_1"/>
    <x v="0"/>
    <s v="1. Concluído"/>
    <m/>
    <m/>
    <m/>
    <m/>
    <m/>
    <m/>
    <s v="Package X"/>
    <s v=""/>
    <s v=""/>
    <s v=""/>
    <m/>
    <m/>
    <m/>
    <m/>
    <m/>
    <m/>
    <x v="0"/>
    <m/>
  </r>
  <r>
    <x v="0"/>
    <x v="4"/>
    <x v="0"/>
    <s v="modesg_inp_emss_nace"/>
    <s v="classe_ativo"/>
    <x v="0"/>
    <s v="1. Concluído"/>
    <m/>
    <m/>
    <m/>
    <m/>
    <m/>
    <m/>
    <s v="Package X"/>
    <s v=""/>
    <s v=""/>
    <s v=""/>
    <m/>
    <m/>
    <m/>
    <m/>
    <m/>
    <m/>
    <x v="0"/>
    <m/>
  </r>
  <r>
    <x v="0"/>
    <x v="4"/>
    <x v="0"/>
    <s v="modesg_inp_emss_nace"/>
    <s v="opcao_metodologia"/>
    <x v="0"/>
    <s v="1. Concluído"/>
    <m/>
    <m/>
    <m/>
    <m/>
    <m/>
    <m/>
    <s v="Package X"/>
    <s v=""/>
    <s v=""/>
    <s v=""/>
    <m/>
    <m/>
    <m/>
    <m/>
    <m/>
    <m/>
    <x v="0"/>
    <m/>
  </r>
  <r>
    <x v="0"/>
    <x v="4"/>
    <x v="0"/>
    <s v="modesg_inp_emss_nace"/>
    <s v="unidade_funcional"/>
    <x v="0"/>
    <s v="1. Concluído"/>
    <m/>
    <m/>
    <m/>
    <m/>
    <m/>
    <m/>
    <s v="Package X"/>
    <s v=""/>
    <s v=""/>
    <s v=""/>
    <m/>
    <m/>
    <m/>
    <m/>
    <m/>
    <m/>
    <x v="0"/>
    <m/>
  </r>
  <r>
    <x v="0"/>
    <x v="4"/>
    <x v="0"/>
    <s v="modesg_inp_emss_nace"/>
    <s v="unidades_fator_de_emissao"/>
    <x v="0"/>
    <s v="1. Concluído"/>
    <m/>
    <m/>
    <m/>
    <m/>
    <m/>
    <m/>
    <s v="Package X"/>
    <s v=""/>
    <s v=""/>
    <s v=""/>
    <m/>
    <m/>
    <m/>
    <m/>
    <m/>
    <m/>
    <x v="0"/>
    <m/>
  </r>
  <r>
    <x v="0"/>
    <x v="4"/>
    <x v="0"/>
    <s v="modesg_inp_emss_nace"/>
    <s v="score_qualidade"/>
    <x v="0"/>
    <s v="1. Concluído"/>
    <m/>
    <m/>
    <m/>
    <m/>
    <m/>
    <m/>
    <s v="Package X"/>
    <s v=""/>
    <s v=""/>
    <s v=""/>
    <m/>
    <m/>
    <m/>
    <m/>
    <m/>
    <m/>
    <x v="0"/>
    <m/>
  </r>
  <r>
    <x v="0"/>
    <x v="4"/>
    <x v="0"/>
    <s v="modesg_inp_emss_nace"/>
    <s v="scp1_ftr_emss"/>
    <x v="0"/>
    <s v="1. Concluído"/>
    <m/>
    <m/>
    <m/>
    <m/>
    <m/>
    <m/>
    <s v="Package X"/>
    <s v=""/>
    <s v=""/>
    <s v=""/>
    <m/>
    <m/>
    <m/>
    <m/>
    <m/>
    <m/>
    <x v="0"/>
    <m/>
  </r>
  <r>
    <x v="0"/>
    <x v="4"/>
    <x v="0"/>
    <s v="modesg_inp_emss_nace"/>
    <s v="scp2_ftr_emss"/>
    <x v="0"/>
    <s v="1. Concluído"/>
    <m/>
    <m/>
    <m/>
    <m/>
    <m/>
    <m/>
    <s v="Package X"/>
    <s v=""/>
    <s v=""/>
    <s v=""/>
    <m/>
    <m/>
    <m/>
    <m/>
    <m/>
    <m/>
    <x v="0"/>
    <m/>
  </r>
  <r>
    <x v="0"/>
    <x v="4"/>
    <x v="0"/>
    <s v="modesg_inp_emss_nace"/>
    <s v="scp3_ftr_emss"/>
    <x v="0"/>
    <s v="1. Concluído"/>
    <m/>
    <m/>
    <m/>
    <m/>
    <m/>
    <m/>
    <s v="Package X"/>
    <s v=""/>
    <s v=""/>
    <s v=""/>
    <m/>
    <m/>
    <m/>
    <m/>
    <m/>
    <m/>
    <x v="0"/>
    <m/>
  </r>
  <r>
    <x v="0"/>
    <x v="4"/>
    <x v="0"/>
    <s v="modesg_inp_emss_bens_imoveis"/>
    <s v="ref_date"/>
    <x v="0"/>
    <s v="1. Concluído"/>
    <m/>
    <m/>
    <m/>
    <m/>
    <m/>
    <m/>
    <m/>
    <s v=""/>
    <s v=""/>
    <s v=""/>
    <m/>
    <m/>
    <m/>
    <m/>
    <m/>
    <m/>
    <x v="0"/>
    <m/>
  </r>
  <r>
    <x v="0"/>
    <x v="4"/>
    <x v="0"/>
    <s v="modesg_inp_emss_bens_imoveis"/>
    <s v="nome_pais"/>
    <x v="0"/>
    <s v="1. Concluído"/>
    <m/>
    <m/>
    <m/>
    <m/>
    <m/>
    <m/>
    <m/>
    <s v=""/>
    <s v=""/>
    <s v=""/>
    <m/>
    <m/>
    <m/>
    <m/>
    <m/>
    <m/>
    <x v="0"/>
    <m/>
  </r>
  <r>
    <x v="0"/>
    <x v="4"/>
    <x v="0"/>
    <s v="modesg_inp_emss_bens_imoveis"/>
    <s v="nome_estado"/>
    <x v="0"/>
    <s v="1. Concluído"/>
    <m/>
    <m/>
    <m/>
    <m/>
    <m/>
    <m/>
    <m/>
    <s v=""/>
    <s v=""/>
    <s v=""/>
    <m/>
    <m/>
    <m/>
    <m/>
    <m/>
    <m/>
    <x v="0"/>
    <m/>
  </r>
  <r>
    <x v="0"/>
    <x v="4"/>
    <x v="0"/>
    <s v="modesg_inp_emss_bens_imoveis"/>
    <s v="classe_ativo"/>
    <x v="0"/>
    <s v="1. Concluído"/>
    <m/>
    <m/>
    <m/>
    <m/>
    <m/>
    <m/>
    <m/>
    <s v=""/>
    <s v=""/>
    <s v=""/>
    <m/>
    <m/>
    <m/>
    <m/>
    <m/>
    <m/>
    <x v="0"/>
    <m/>
  </r>
  <r>
    <x v="0"/>
    <x v="4"/>
    <x v="0"/>
    <s v="modesg_inp_emss_bens_imoveis"/>
    <s v="tipo_fator_emissao"/>
    <x v="0"/>
    <s v="1. Concluído"/>
    <m/>
    <m/>
    <m/>
    <m/>
    <m/>
    <m/>
    <m/>
    <s v=""/>
    <s v=""/>
    <s v=""/>
    <m/>
    <m/>
    <m/>
    <m/>
    <m/>
    <m/>
    <x v="0"/>
    <m/>
  </r>
  <r>
    <x v="0"/>
    <x v="4"/>
    <x v="0"/>
    <s v="modesg_inp_emss_bens_imoveis"/>
    <s v="regiao"/>
    <x v="0"/>
    <s v="1. Concluído"/>
    <m/>
    <m/>
    <m/>
    <m/>
    <m/>
    <m/>
    <m/>
    <s v=""/>
    <s v=""/>
    <s v=""/>
    <m/>
    <m/>
    <m/>
    <m/>
    <m/>
    <m/>
    <x v="0"/>
    <m/>
  </r>
  <r>
    <x v="0"/>
    <x v="4"/>
    <x v="0"/>
    <s v="modesg_inp_emss_bens_imoveis"/>
    <s v="tipo_bem"/>
    <x v="0"/>
    <s v="1. Concluído"/>
    <m/>
    <m/>
    <m/>
    <m/>
    <m/>
    <m/>
    <m/>
    <s v=""/>
    <s v=""/>
    <s v=""/>
    <m/>
    <m/>
    <m/>
    <m/>
    <m/>
    <m/>
    <x v="0"/>
    <m/>
  </r>
  <r>
    <x v="0"/>
    <x v="4"/>
    <x v="0"/>
    <s v="modesg_inp_emss_bens_imoveis"/>
    <s v="tipo_finalidade_bem"/>
    <x v="0"/>
    <s v="1. Concluído"/>
    <m/>
    <m/>
    <m/>
    <m/>
    <m/>
    <m/>
    <m/>
    <s v=""/>
    <s v=""/>
    <s v=""/>
    <m/>
    <m/>
    <m/>
    <m/>
    <m/>
    <m/>
    <x v="0"/>
    <m/>
  </r>
  <r>
    <x v="0"/>
    <x v="4"/>
    <x v="0"/>
    <s v="modesg_inp_emss_bens_imoveis"/>
    <s v="epc"/>
    <x v="0"/>
    <s v="1. Concluído"/>
    <m/>
    <m/>
    <m/>
    <m/>
    <m/>
    <m/>
    <m/>
    <s v=""/>
    <s v=""/>
    <s v=""/>
    <m/>
    <m/>
    <m/>
    <m/>
    <m/>
    <m/>
    <x v="0"/>
    <m/>
  </r>
  <r>
    <x v="0"/>
    <x v="4"/>
    <x v="0"/>
    <s v="modesg_inp_emss_bens_imoveis"/>
    <s v="flg_ftr_emss_area"/>
    <x v="3"/>
    <s v="0. Cancelado"/>
    <m/>
    <m/>
    <m/>
    <m/>
    <m/>
    <m/>
    <m/>
    <s v=""/>
    <s v=""/>
    <s v=""/>
    <m/>
    <m/>
    <m/>
    <m/>
    <m/>
    <m/>
    <x v="0"/>
    <m/>
  </r>
  <r>
    <x v="0"/>
    <x v="4"/>
    <x v="0"/>
    <s v="modesg_inp_emss_bens_imoveis"/>
    <s v="nome_unidade_funcional"/>
    <x v="0"/>
    <s v="1. Concluído"/>
    <m/>
    <m/>
    <m/>
    <m/>
    <m/>
    <m/>
    <m/>
    <s v=""/>
    <s v=""/>
    <s v=""/>
    <m/>
    <m/>
    <m/>
    <m/>
    <m/>
    <m/>
    <x v="0"/>
    <m/>
  </r>
  <r>
    <x v="0"/>
    <x v="4"/>
    <x v="0"/>
    <s v="modesg_inp_emss_bens_imoveis"/>
    <s v="unidade_funcional"/>
    <x v="0"/>
    <s v="1. Concluído"/>
    <m/>
    <m/>
    <m/>
    <m/>
    <m/>
    <m/>
    <m/>
    <s v=""/>
    <s v=""/>
    <s v=""/>
    <m/>
    <m/>
    <m/>
    <m/>
    <m/>
    <m/>
    <x v="0"/>
    <m/>
  </r>
  <r>
    <x v="0"/>
    <x v="4"/>
    <x v="0"/>
    <s v="modesg_inp_emss_bens_imoveis"/>
    <s v="nome_fator_emissao"/>
    <x v="0"/>
    <s v="1. Concluído"/>
    <m/>
    <m/>
    <m/>
    <m/>
    <m/>
    <m/>
    <m/>
    <s v=""/>
    <s v=""/>
    <s v=""/>
    <m/>
    <m/>
    <m/>
    <m/>
    <m/>
    <m/>
    <x v="0"/>
    <m/>
  </r>
  <r>
    <x v="0"/>
    <x v="4"/>
    <x v="0"/>
    <s v="modesg_inp_emss_bens_imoveis"/>
    <s v="unidade_fator_de_emissao"/>
    <x v="0"/>
    <s v="1. Concluído"/>
    <m/>
    <m/>
    <m/>
    <m/>
    <m/>
    <m/>
    <m/>
    <s v=""/>
    <s v=""/>
    <s v=""/>
    <m/>
    <m/>
    <m/>
    <m/>
    <m/>
    <m/>
    <x v="0"/>
    <m/>
  </r>
  <r>
    <x v="0"/>
    <x v="4"/>
    <x v="0"/>
    <s v="modesg_inp_emss_bens_imoveis"/>
    <s v="score_qualidade"/>
    <x v="0"/>
    <s v="1. Concluído"/>
    <m/>
    <m/>
    <m/>
    <m/>
    <m/>
    <m/>
    <m/>
    <s v=""/>
    <s v=""/>
    <s v=""/>
    <m/>
    <m/>
    <m/>
    <m/>
    <m/>
    <m/>
    <x v="0"/>
    <m/>
  </r>
  <r>
    <x v="0"/>
    <x v="4"/>
    <x v="0"/>
    <s v="modesg_inp_emss_bens_imoveis"/>
    <s v="ano_fator_emissao"/>
    <x v="0"/>
    <s v="1. Concluído"/>
    <m/>
    <m/>
    <m/>
    <m/>
    <m/>
    <m/>
    <m/>
    <s v=""/>
    <s v=""/>
    <s v=""/>
    <m/>
    <m/>
    <m/>
    <m/>
    <m/>
    <m/>
    <x v="0"/>
    <m/>
  </r>
  <r>
    <x v="0"/>
    <x v="4"/>
    <x v="0"/>
    <s v="modesg_inp_emss_bens_imoveis"/>
    <s v="scp1_ftr_emss"/>
    <x v="0"/>
    <s v="1. Concluído"/>
    <m/>
    <m/>
    <m/>
    <m/>
    <m/>
    <m/>
    <m/>
    <s v=""/>
    <s v=""/>
    <s v=""/>
    <m/>
    <m/>
    <m/>
    <m/>
    <m/>
    <m/>
    <x v="0"/>
    <m/>
  </r>
  <r>
    <x v="0"/>
    <x v="4"/>
    <x v="0"/>
    <s v="modesg_inp_emss_bens_imoveis"/>
    <s v="scp2_ftr_emss"/>
    <x v="0"/>
    <s v="1. Concluído"/>
    <m/>
    <m/>
    <m/>
    <m/>
    <m/>
    <m/>
    <m/>
    <s v=""/>
    <s v=""/>
    <s v=""/>
    <m/>
    <m/>
    <m/>
    <m/>
    <m/>
    <m/>
    <x v="0"/>
    <m/>
  </r>
  <r>
    <x v="0"/>
    <x v="4"/>
    <x v="0"/>
    <s v="modesg_inp_project_finance"/>
    <s v="codigo_unidade"/>
    <x v="0"/>
    <s v="1. Concluído"/>
    <m/>
    <m/>
    <m/>
    <m/>
    <m/>
    <m/>
    <m/>
    <s v=""/>
    <s v=""/>
    <s v=""/>
    <m/>
    <m/>
    <m/>
    <m/>
    <m/>
    <m/>
    <x v="3"/>
    <s v="HF"/>
  </r>
  <r>
    <x v="0"/>
    <x v="4"/>
    <x v="0"/>
    <s v="modesg_inp_project_finance"/>
    <s v="nome_unidade"/>
    <x v="0"/>
    <s v="1. Concluído"/>
    <m/>
    <m/>
    <m/>
    <m/>
    <m/>
    <m/>
    <m/>
    <s v=""/>
    <s v=""/>
    <s v=""/>
    <m/>
    <m/>
    <m/>
    <m/>
    <m/>
    <m/>
    <x v="3"/>
    <s v="HF"/>
  </r>
  <r>
    <x v="0"/>
    <x v="4"/>
    <x v="0"/>
    <s v="modesg_inp_project_finance"/>
    <s v="kgl"/>
    <x v="0"/>
    <s v="1. Concluído"/>
    <m/>
    <m/>
    <m/>
    <m/>
    <m/>
    <m/>
    <m/>
    <s v=""/>
    <s v=""/>
    <s v=""/>
    <m/>
    <m/>
    <m/>
    <m/>
    <m/>
    <m/>
    <x v="3"/>
    <s v="HF"/>
  </r>
  <r>
    <x v="0"/>
    <x v="4"/>
    <x v="0"/>
    <s v="modesg_inp_project_finance"/>
    <s v="nome_legal_kgl"/>
    <x v="0"/>
    <s v="1. Concluído"/>
    <m/>
    <m/>
    <m/>
    <m/>
    <m/>
    <m/>
    <m/>
    <s v=""/>
    <s v=""/>
    <s v=""/>
    <m/>
    <m/>
    <m/>
    <m/>
    <m/>
    <m/>
    <x v="3"/>
    <s v="HF"/>
  </r>
  <r>
    <x v="0"/>
    <x v="4"/>
    <x v="0"/>
    <s v="modesg_inp_project_finance"/>
    <s v="kgl_top_entidade_principal"/>
    <x v="0"/>
    <s v="1. Concluído"/>
    <m/>
    <m/>
    <m/>
    <m/>
    <m/>
    <m/>
    <m/>
    <s v=""/>
    <s v=""/>
    <s v=""/>
    <m/>
    <m/>
    <m/>
    <m/>
    <m/>
    <m/>
    <x v="3"/>
    <s v="HF"/>
  </r>
  <r>
    <x v="0"/>
    <x v="4"/>
    <x v="0"/>
    <s v="modesg_inp_project_finance"/>
    <s v="kgl_entidade_principal"/>
    <x v="0"/>
    <s v="1. Concluído"/>
    <m/>
    <m/>
    <m/>
    <m/>
    <m/>
    <m/>
    <m/>
    <s v=""/>
    <s v=""/>
    <s v=""/>
    <m/>
    <m/>
    <m/>
    <m/>
    <m/>
    <m/>
    <x v="3"/>
    <s v="HF"/>
  </r>
  <r>
    <x v="0"/>
    <x v="4"/>
    <x v="0"/>
    <s v="modesg_inp_project_finance"/>
    <s v="nome_top_entidade_principal"/>
    <x v="0"/>
    <s v="1. Concluído"/>
    <m/>
    <m/>
    <m/>
    <m/>
    <m/>
    <m/>
    <m/>
    <s v=""/>
    <s v=""/>
    <s v=""/>
    <m/>
    <m/>
    <m/>
    <m/>
    <m/>
    <m/>
    <x v="3"/>
    <s v="HF"/>
  </r>
  <r>
    <x v="0"/>
    <x v="4"/>
    <x v="0"/>
    <s v="modesg_inp_project_finance"/>
    <s v="codigo_unidade_operativa"/>
    <x v="0"/>
    <s v="1. Concluído"/>
    <m/>
    <m/>
    <m/>
    <m/>
    <m/>
    <m/>
    <m/>
    <s v=""/>
    <s v=""/>
    <s v=""/>
    <m/>
    <m/>
    <m/>
    <m/>
    <m/>
    <m/>
    <x v="3"/>
    <s v="HF"/>
  </r>
  <r>
    <x v="0"/>
    <x v="4"/>
    <x v="0"/>
    <s v="modesg_inp_project_finance"/>
    <s v="nome_entidade_operativa"/>
    <x v="0"/>
    <s v="1. Concluído"/>
    <m/>
    <m/>
    <m/>
    <m/>
    <m/>
    <m/>
    <m/>
    <s v=""/>
    <s v=""/>
    <s v=""/>
    <m/>
    <m/>
    <m/>
    <m/>
    <m/>
    <m/>
    <x v="3"/>
    <s v="HF"/>
  </r>
  <r>
    <x v="0"/>
    <x v="2"/>
    <x v="1"/>
    <s v="modesg_out_bens_imoveis"/>
    <s v="n.a."/>
    <x v="0"/>
    <s v="1. Concluído"/>
    <m/>
    <m/>
    <m/>
    <m/>
    <m/>
    <m/>
    <m/>
    <s v=""/>
    <s v=""/>
    <s v=""/>
    <m/>
    <m/>
    <m/>
    <m/>
    <m/>
    <m/>
    <x v="0"/>
    <m/>
  </r>
  <r>
    <x v="0"/>
    <x v="2"/>
    <x v="0"/>
    <s v="modesg_out_bens_imoveis"/>
    <s v="cempbem"/>
    <x v="0"/>
    <s v="1. Concluído"/>
    <m/>
    <m/>
    <m/>
    <m/>
    <m/>
    <m/>
    <m/>
    <s v=""/>
    <s v=""/>
    <s v=""/>
    <m/>
    <m/>
    <m/>
    <m/>
    <m/>
    <m/>
    <x v="0"/>
    <m/>
  </r>
  <r>
    <x v="0"/>
    <x v="2"/>
    <x v="0"/>
    <s v="modesg_out_bens_imoveis"/>
    <s v="ckbalbem"/>
    <x v="0"/>
    <s v="1. Concluído"/>
    <m/>
    <m/>
    <m/>
    <m/>
    <m/>
    <m/>
    <m/>
    <s v=""/>
    <s v=""/>
    <s v=""/>
    <m/>
    <m/>
    <m/>
    <m/>
    <m/>
    <m/>
    <x v="0"/>
    <m/>
  </r>
  <r>
    <x v="0"/>
    <x v="2"/>
    <x v="0"/>
    <s v="modesg_out_bens_imoveis"/>
    <s v="ckctabem"/>
    <x v="0"/>
    <s v="1. Concluído"/>
    <m/>
    <m/>
    <m/>
    <m/>
    <m/>
    <m/>
    <m/>
    <s v=""/>
    <s v=""/>
    <s v=""/>
    <m/>
    <m/>
    <m/>
    <m/>
    <m/>
    <m/>
    <x v="0"/>
    <m/>
  </r>
  <r>
    <x v="0"/>
    <x v="2"/>
    <x v="0"/>
    <s v="modesg_out_bens_imoveis"/>
    <s v="ckrefbem"/>
    <x v="0"/>
    <s v="1. Concluído"/>
    <m/>
    <m/>
    <m/>
    <m/>
    <m/>
    <m/>
    <m/>
    <s v=""/>
    <s v=""/>
    <s v=""/>
    <m/>
    <m/>
    <m/>
    <m/>
    <m/>
    <m/>
    <x v="0"/>
    <m/>
  </r>
  <r>
    <x v="0"/>
    <x v="2"/>
    <x v="0"/>
    <s v="modesg_out_bens_imoveis"/>
    <s v="origem_scp1_emss"/>
    <x v="0"/>
    <s v="1. Concluído"/>
    <m/>
    <m/>
    <m/>
    <m/>
    <m/>
    <m/>
    <s v="Package X"/>
    <s v=""/>
    <s v=""/>
    <s v=""/>
    <m/>
    <m/>
    <m/>
    <m/>
    <m/>
    <m/>
    <x v="0"/>
    <m/>
  </r>
  <r>
    <x v="0"/>
    <x v="2"/>
    <x v="0"/>
    <s v="modesg_out_bens_imoveis"/>
    <s v="origem_scp2_emss"/>
    <x v="0"/>
    <s v="1. Concluído"/>
    <m/>
    <m/>
    <m/>
    <m/>
    <m/>
    <m/>
    <s v="Package X"/>
    <s v=""/>
    <s v=""/>
    <s v=""/>
    <m/>
    <m/>
    <m/>
    <m/>
    <m/>
    <m/>
    <x v="0"/>
    <m/>
  </r>
  <r>
    <x v="0"/>
    <x v="2"/>
    <x v="0"/>
    <s v="modesg_out_bens_imoveis"/>
    <s v="origem_scp3_emss"/>
    <x v="0"/>
    <s v="1. Concluído"/>
    <m/>
    <m/>
    <m/>
    <m/>
    <m/>
    <m/>
    <s v="Package X"/>
    <s v=""/>
    <s v=""/>
    <s v=""/>
    <m/>
    <m/>
    <m/>
    <m/>
    <m/>
    <m/>
    <x v="0"/>
    <m/>
  </r>
  <r>
    <x v="0"/>
    <x v="2"/>
    <x v="0"/>
    <s v="modesg_out_bens_imoveis"/>
    <s v="ref_date"/>
    <x v="0"/>
    <s v="1. Concluído"/>
    <m/>
    <m/>
    <m/>
    <m/>
    <m/>
    <m/>
    <m/>
    <s v=""/>
    <s v=""/>
    <s v=""/>
    <m/>
    <m/>
    <m/>
    <m/>
    <m/>
    <m/>
    <x v="0"/>
    <m/>
  </r>
  <r>
    <x v="0"/>
    <x v="2"/>
    <x v="0"/>
    <s v="modesg_out_bens_imoveis"/>
    <s v="scp1_emss"/>
    <x v="0"/>
    <s v="1. Concluído"/>
    <m/>
    <m/>
    <m/>
    <m/>
    <m/>
    <m/>
    <s v="Package X"/>
    <s v=""/>
    <s v=""/>
    <s v=""/>
    <m/>
    <m/>
    <m/>
    <m/>
    <m/>
    <m/>
    <x v="0"/>
    <m/>
  </r>
  <r>
    <x v="0"/>
    <x v="2"/>
    <x v="0"/>
    <s v="modesg_out_bens_imoveis"/>
    <s v="scp2_emss"/>
    <x v="0"/>
    <s v="1. Concluído"/>
    <m/>
    <m/>
    <m/>
    <m/>
    <m/>
    <m/>
    <s v="Package X"/>
    <s v=""/>
    <s v=""/>
    <s v=""/>
    <m/>
    <m/>
    <m/>
    <m/>
    <m/>
    <m/>
    <x v="0"/>
    <m/>
  </r>
  <r>
    <x v="0"/>
    <x v="2"/>
    <x v="0"/>
    <s v="modesg_out_bens_imoveis"/>
    <s v="scp3_emss"/>
    <x v="0"/>
    <s v="1. Concluído"/>
    <m/>
    <m/>
    <m/>
    <m/>
    <m/>
    <m/>
    <s v="Package X"/>
    <s v=""/>
    <s v=""/>
    <s v=""/>
    <m/>
    <m/>
    <m/>
    <m/>
    <m/>
    <m/>
    <x v="0"/>
    <m/>
  </r>
  <r>
    <x v="0"/>
    <x v="2"/>
    <x v="0"/>
    <s v="modesg_out_bens_imoveis"/>
    <s v="unidade_funcional_scp1_emss"/>
    <x v="0"/>
    <s v="1. Concluído"/>
    <m/>
    <m/>
    <m/>
    <m/>
    <m/>
    <m/>
    <s v="Package X"/>
    <s v=""/>
    <s v=""/>
    <s v=""/>
    <m/>
    <m/>
    <m/>
    <m/>
    <m/>
    <m/>
    <x v="0"/>
    <m/>
  </r>
  <r>
    <x v="0"/>
    <x v="2"/>
    <x v="0"/>
    <s v="modesg_out_bens_imoveis"/>
    <s v="unidade_funcional_scp2_emss"/>
    <x v="0"/>
    <s v="1. Concluído"/>
    <m/>
    <m/>
    <m/>
    <m/>
    <m/>
    <m/>
    <s v="Package X"/>
    <s v=""/>
    <s v=""/>
    <s v=""/>
    <m/>
    <m/>
    <m/>
    <m/>
    <m/>
    <m/>
    <x v="0"/>
    <m/>
  </r>
  <r>
    <x v="0"/>
    <x v="2"/>
    <x v="0"/>
    <s v="modesg_out_bens_imoveis"/>
    <s v="unidade_funcional_scp3_emss"/>
    <x v="0"/>
    <s v="1. Concluído"/>
    <m/>
    <m/>
    <m/>
    <m/>
    <m/>
    <m/>
    <s v="Package X"/>
    <s v=""/>
    <s v=""/>
    <s v=""/>
    <m/>
    <m/>
    <m/>
    <m/>
    <m/>
    <m/>
    <x v="0"/>
    <m/>
  </r>
  <r>
    <x v="0"/>
    <x v="2"/>
    <x v="1"/>
    <s v="modesg_out_empr_info_nfin"/>
    <s v="n.a."/>
    <x v="0"/>
    <s v="1. Concluído"/>
    <m/>
    <m/>
    <m/>
    <m/>
    <m/>
    <m/>
    <m/>
    <s v=""/>
    <s v=""/>
    <s v=""/>
    <m/>
    <m/>
    <m/>
    <m/>
    <m/>
    <m/>
    <x v="0"/>
    <m/>
  </r>
  <r>
    <x v="0"/>
    <x v="2"/>
    <x v="0"/>
    <s v="modesg_out_empr_info_nfin"/>
    <s v="cca_capex_enblng_algnd"/>
    <x v="0"/>
    <s v="1. Concluído"/>
    <m/>
    <m/>
    <m/>
    <m/>
    <m/>
    <m/>
    <m/>
    <s v=""/>
    <s v=""/>
    <s v=""/>
    <m/>
    <m/>
    <m/>
    <m/>
    <m/>
    <m/>
    <x v="0"/>
    <m/>
  </r>
  <r>
    <x v="0"/>
    <x v="2"/>
    <x v="0"/>
    <s v="modesg_out_empr_info_nfin"/>
    <s v="cca_capex_own_prfrmnce_algnd"/>
    <x v="0"/>
    <s v="1. Concluído"/>
    <m/>
    <m/>
    <m/>
    <m/>
    <m/>
    <m/>
    <m/>
    <s v=""/>
    <s v=""/>
    <s v=""/>
    <m/>
    <m/>
    <m/>
    <m/>
    <m/>
    <m/>
    <x v="0"/>
    <m/>
  </r>
  <r>
    <x v="0"/>
    <x v="2"/>
    <x v="0"/>
    <s v="modesg_out_empr_info_nfin"/>
    <s v="cca_capex_ttl_elgbl"/>
    <x v="0"/>
    <s v="1. Concluído"/>
    <m/>
    <m/>
    <m/>
    <m/>
    <m/>
    <m/>
    <m/>
    <s v=""/>
    <s v=""/>
    <s v=""/>
    <m/>
    <m/>
    <m/>
    <m/>
    <m/>
    <m/>
    <x v="0"/>
    <m/>
  </r>
  <r>
    <x v="0"/>
    <x v="2"/>
    <x v="0"/>
    <s v="modesg_out_empr_info_nfin"/>
    <s v="cca_trnvr_enblng_alignd"/>
    <x v="0"/>
    <s v="1. Concluído"/>
    <m/>
    <m/>
    <m/>
    <m/>
    <m/>
    <m/>
    <m/>
    <s v=""/>
    <s v=""/>
    <s v=""/>
    <m/>
    <m/>
    <m/>
    <m/>
    <m/>
    <m/>
    <x v="0"/>
    <m/>
  </r>
  <r>
    <x v="0"/>
    <x v="2"/>
    <x v="0"/>
    <s v="modesg_out_empr_info_nfin"/>
    <s v="cca_trnvr_ttl_elgbl"/>
    <x v="0"/>
    <s v="1. Concluído"/>
    <m/>
    <m/>
    <m/>
    <m/>
    <m/>
    <m/>
    <m/>
    <s v=""/>
    <s v=""/>
    <s v=""/>
    <m/>
    <m/>
    <m/>
    <m/>
    <m/>
    <m/>
    <x v="0"/>
    <m/>
  </r>
  <r>
    <x v="0"/>
    <x v="2"/>
    <x v="0"/>
    <s v="modesg_out_empr_info_nfin"/>
    <s v="cca_turnover_own_prfrmnce_algnd"/>
    <x v="0"/>
    <s v="1. Concluído"/>
    <m/>
    <m/>
    <m/>
    <m/>
    <m/>
    <m/>
    <m/>
    <s v=""/>
    <s v=""/>
    <s v=""/>
    <m/>
    <m/>
    <m/>
    <m/>
    <m/>
    <m/>
    <x v="0"/>
    <m/>
  </r>
  <r>
    <x v="0"/>
    <x v="2"/>
    <x v="0"/>
    <s v="modesg_out_empr_info_nfin"/>
    <s v="ccm_capex_enblng_algnd"/>
    <x v="0"/>
    <s v="1. Concluído"/>
    <m/>
    <m/>
    <m/>
    <m/>
    <m/>
    <m/>
    <m/>
    <s v=""/>
    <s v=""/>
    <s v=""/>
    <m/>
    <m/>
    <m/>
    <m/>
    <m/>
    <m/>
    <x v="0"/>
    <m/>
  </r>
  <r>
    <x v="0"/>
    <x v="2"/>
    <x v="0"/>
    <s v="modesg_out_empr_info_nfin"/>
    <s v="ccm_capex_own_prfrmnce_algnd"/>
    <x v="0"/>
    <s v="1. Concluído"/>
    <m/>
    <m/>
    <m/>
    <m/>
    <m/>
    <m/>
    <m/>
    <s v=""/>
    <s v=""/>
    <s v=""/>
    <m/>
    <m/>
    <m/>
    <m/>
    <m/>
    <m/>
    <x v="0"/>
    <m/>
  </r>
  <r>
    <x v="0"/>
    <x v="2"/>
    <x v="0"/>
    <s v="modesg_out_empr_info_nfin"/>
    <s v="ccm_capex_trnstn_algnd"/>
    <x v="0"/>
    <s v="1. Concluído"/>
    <m/>
    <m/>
    <m/>
    <m/>
    <m/>
    <m/>
    <m/>
    <s v=""/>
    <s v=""/>
    <s v=""/>
    <m/>
    <m/>
    <m/>
    <m/>
    <m/>
    <m/>
    <x v="0"/>
    <m/>
  </r>
  <r>
    <x v="0"/>
    <x v="2"/>
    <x v="0"/>
    <s v="modesg_out_empr_info_nfin"/>
    <s v="ccm_capex_ttl_elgbl"/>
    <x v="0"/>
    <s v="1. Concluído"/>
    <m/>
    <m/>
    <m/>
    <m/>
    <m/>
    <m/>
    <m/>
    <s v=""/>
    <s v=""/>
    <s v=""/>
    <m/>
    <m/>
    <m/>
    <m/>
    <m/>
    <m/>
    <x v="0"/>
    <m/>
  </r>
  <r>
    <x v="0"/>
    <x v="2"/>
    <x v="0"/>
    <s v="modesg_out_empr_info_nfin"/>
    <s v="ccm_trnvr_enblng_algnd"/>
    <x v="0"/>
    <s v="1. Concluído"/>
    <m/>
    <m/>
    <m/>
    <m/>
    <m/>
    <m/>
    <m/>
    <s v=""/>
    <s v=""/>
    <s v=""/>
    <m/>
    <m/>
    <m/>
    <m/>
    <m/>
    <m/>
    <x v="0"/>
    <m/>
  </r>
  <r>
    <x v="0"/>
    <x v="2"/>
    <x v="0"/>
    <s v="modesg_out_empr_info_nfin"/>
    <s v="ccm_trnvr_own_prfrmnce_algnd"/>
    <x v="0"/>
    <s v="1. Concluído"/>
    <m/>
    <m/>
    <m/>
    <m/>
    <m/>
    <m/>
    <m/>
    <s v=""/>
    <s v=""/>
    <s v=""/>
    <m/>
    <m/>
    <m/>
    <m/>
    <m/>
    <m/>
    <x v="0"/>
    <m/>
  </r>
  <r>
    <x v="0"/>
    <x v="2"/>
    <x v="0"/>
    <s v="modesg_out_empr_info_nfin"/>
    <s v="ccm_trnvr_trnstn_alignd"/>
    <x v="0"/>
    <s v="1. Concluído"/>
    <m/>
    <m/>
    <m/>
    <m/>
    <m/>
    <m/>
    <m/>
    <s v=""/>
    <s v=""/>
    <s v=""/>
    <m/>
    <m/>
    <m/>
    <m/>
    <m/>
    <m/>
    <x v="0"/>
    <m/>
  </r>
  <r>
    <x v="0"/>
    <x v="2"/>
    <x v="0"/>
    <s v="modesg_out_empr_info_nfin"/>
    <s v="ccm_trnvr_ttl_elgbl"/>
    <x v="0"/>
    <s v="1. Concluído"/>
    <m/>
    <m/>
    <m/>
    <m/>
    <m/>
    <m/>
    <m/>
    <s v=""/>
    <s v=""/>
    <s v=""/>
    <m/>
    <m/>
    <m/>
    <m/>
    <m/>
    <m/>
    <x v="0"/>
    <m/>
  </r>
  <r>
    <x v="0"/>
    <x v="2"/>
    <x v="0"/>
    <s v="modesg_out_empr_info_nfin"/>
    <s v="flg_emprs_excl_paris"/>
    <x v="0"/>
    <s v="1. Concluído"/>
    <m/>
    <m/>
    <m/>
    <m/>
    <m/>
    <m/>
    <m/>
    <s v=""/>
    <s v=""/>
    <s v=""/>
    <m/>
    <m/>
    <m/>
    <m/>
    <m/>
    <m/>
    <x v="0"/>
    <m/>
  </r>
  <r>
    <x v="0"/>
    <x v="2"/>
    <x v="0"/>
    <s v="modesg_out_empr_info_nfin"/>
    <s v="flg_nfrd"/>
    <x v="0"/>
    <s v="1. Concluído"/>
    <m/>
    <m/>
    <m/>
    <m/>
    <m/>
    <m/>
    <m/>
    <s v=""/>
    <s v=""/>
    <s v=""/>
    <m/>
    <m/>
    <m/>
    <m/>
    <m/>
    <m/>
    <x v="0"/>
    <m/>
  </r>
  <r>
    <x v="0"/>
    <x v="2"/>
    <x v="0"/>
    <s v="modesg_out_empr_info_nfin"/>
    <s v="origem_alinhamentos"/>
    <x v="0"/>
    <s v="1. Concluído"/>
    <m/>
    <m/>
    <m/>
    <m/>
    <m/>
    <m/>
    <m/>
    <s v=""/>
    <s v=""/>
    <s v=""/>
    <m/>
    <m/>
    <m/>
    <m/>
    <m/>
    <m/>
    <x v="0"/>
    <m/>
  </r>
  <r>
    <x v="0"/>
    <x v="2"/>
    <x v="0"/>
    <s v="modesg_out_empr_info_nfin"/>
    <s v="origem_flg_emprs_excl_paris"/>
    <x v="0"/>
    <s v="1. Concluído"/>
    <m/>
    <m/>
    <m/>
    <m/>
    <m/>
    <m/>
    <m/>
    <s v=""/>
    <s v=""/>
    <s v=""/>
    <m/>
    <m/>
    <m/>
    <m/>
    <m/>
    <m/>
    <x v="0"/>
    <m/>
  </r>
  <r>
    <x v="0"/>
    <x v="2"/>
    <x v="0"/>
    <s v="modesg_out_empr_info_nfin"/>
    <s v="origem_flg_nfrd"/>
    <x v="0"/>
    <s v="1. Concluído"/>
    <m/>
    <m/>
    <m/>
    <m/>
    <m/>
    <m/>
    <m/>
    <s v=""/>
    <s v=""/>
    <s v=""/>
    <m/>
    <m/>
    <m/>
    <m/>
    <m/>
    <m/>
    <x v="0"/>
    <m/>
  </r>
  <r>
    <x v="0"/>
    <x v="2"/>
    <x v="0"/>
    <s v="modesg_out_empr_info_nfin"/>
    <s v="ref_date"/>
    <x v="0"/>
    <s v="1. Concluído"/>
    <m/>
    <m/>
    <m/>
    <m/>
    <m/>
    <m/>
    <m/>
    <s v=""/>
    <s v=""/>
    <s v=""/>
    <m/>
    <m/>
    <m/>
    <m/>
    <m/>
    <m/>
    <x v="0"/>
    <m/>
  </r>
  <r>
    <x v="0"/>
    <x v="2"/>
    <x v="0"/>
    <s v="modesg_out_empr_info_nfin"/>
    <s v="zcliente"/>
    <x v="0"/>
    <s v="1. Concluído"/>
    <m/>
    <m/>
    <m/>
    <m/>
    <m/>
    <m/>
    <m/>
    <s v=""/>
    <s v=""/>
    <s v=""/>
    <m/>
    <m/>
    <m/>
    <m/>
    <m/>
    <m/>
    <x v="0"/>
    <m/>
  </r>
  <r>
    <x v="0"/>
    <x v="2"/>
    <x v="1"/>
    <s v="modesg_out_emss_vcls"/>
    <s v="n.a."/>
    <x v="0"/>
    <s v="1. Concluído"/>
    <m/>
    <m/>
    <m/>
    <m/>
    <m/>
    <m/>
    <m/>
    <s v=""/>
    <s v=""/>
    <s v=""/>
    <m/>
    <m/>
    <m/>
    <m/>
    <m/>
    <m/>
    <x v="0"/>
    <m/>
  </r>
  <r>
    <x v="0"/>
    <x v="2"/>
    <x v="0"/>
    <s v="modesg_out_emss_vcls"/>
    <s v="cempbem"/>
    <x v="0"/>
    <s v="1. Concluído"/>
    <m/>
    <m/>
    <m/>
    <m/>
    <m/>
    <m/>
    <m/>
    <s v=""/>
    <s v=""/>
    <s v=""/>
    <m/>
    <m/>
    <m/>
    <m/>
    <m/>
    <m/>
    <x v="0"/>
    <m/>
  </r>
  <r>
    <x v="0"/>
    <x v="2"/>
    <x v="0"/>
    <s v="modesg_out_emss_vcls"/>
    <s v="ckbalbem"/>
    <x v="0"/>
    <s v="1. Concluído"/>
    <m/>
    <m/>
    <m/>
    <m/>
    <m/>
    <m/>
    <m/>
    <s v=""/>
    <s v=""/>
    <s v=""/>
    <m/>
    <m/>
    <m/>
    <m/>
    <m/>
    <m/>
    <x v="0"/>
    <m/>
  </r>
  <r>
    <x v="0"/>
    <x v="2"/>
    <x v="0"/>
    <s v="modesg_out_emss_vcls"/>
    <s v="ckctabem"/>
    <x v="0"/>
    <s v="1. Concluído"/>
    <m/>
    <m/>
    <m/>
    <m/>
    <m/>
    <m/>
    <m/>
    <s v=""/>
    <s v=""/>
    <s v=""/>
    <m/>
    <m/>
    <m/>
    <m/>
    <m/>
    <m/>
    <x v="0"/>
    <m/>
  </r>
  <r>
    <x v="0"/>
    <x v="2"/>
    <x v="0"/>
    <s v="modesg_out_emss_vcls"/>
    <s v="ckrefbem"/>
    <x v="0"/>
    <s v="1. Concluído"/>
    <m/>
    <m/>
    <m/>
    <m/>
    <m/>
    <m/>
    <m/>
    <s v=""/>
    <s v=""/>
    <s v=""/>
    <m/>
    <m/>
    <m/>
    <m/>
    <m/>
    <m/>
    <x v="0"/>
    <m/>
  </r>
  <r>
    <x v="0"/>
    <x v="2"/>
    <x v="0"/>
    <s v="modesg_out_emss_vcls"/>
    <s v="cnsm_co2"/>
    <x v="0"/>
    <s v="1. Concluído"/>
    <m/>
    <m/>
    <m/>
    <m/>
    <m/>
    <m/>
    <m/>
    <s v=""/>
    <s v=""/>
    <s v=""/>
    <m/>
    <m/>
    <m/>
    <m/>
    <m/>
    <m/>
    <x v="0"/>
    <m/>
  </r>
  <r>
    <x v="0"/>
    <x v="2"/>
    <x v="0"/>
    <s v="modesg_out_emss_vcls"/>
    <s v="origem_scp1_emss"/>
    <x v="0"/>
    <s v="1. Concluído"/>
    <m/>
    <m/>
    <m/>
    <m/>
    <m/>
    <m/>
    <s v="Package X"/>
    <s v=""/>
    <s v=""/>
    <s v=""/>
    <m/>
    <m/>
    <m/>
    <m/>
    <m/>
    <m/>
    <x v="0"/>
    <m/>
  </r>
  <r>
    <x v="0"/>
    <x v="2"/>
    <x v="0"/>
    <s v="modesg_out_emss_vcls"/>
    <s v="origem_scp2_emss"/>
    <x v="0"/>
    <s v="1. Concluído"/>
    <m/>
    <m/>
    <m/>
    <m/>
    <m/>
    <m/>
    <s v="Package X"/>
    <s v=""/>
    <s v=""/>
    <s v=""/>
    <m/>
    <m/>
    <m/>
    <m/>
    <m/>
    <m/>
    <x v="0"/>
    <m/>
  </r>
  <r>
    <x v="0"/>
    <x v="2"/>
    <x v="0"/>
    <s v="modesg_out_emss_vcls"/>
    <s v="origem_scp3_emss"/>
    <x v="0"/>
    <s v="1. Concluído"/>
    <m/>
    <m/>
    <m/>
    <m/>
    <m/>
    <m/>
    <s v="Package X"/>
    <s v=""/>
    <s v=""/>
    <s v=""/>
    <m/>
    <m/>
    <m/>
    <m/>
    <m/>
    <m/>
    <x v="0"/>
    <m/>
  </r>
  <r>
    <x v="0"/>
    <x v="2"/>
    <x v="0"/>
    <s v="modesg_out_emss_vcls"/>
    <s v="ref_date"/>
    <x v="0"/>
    <s v="1. Concluído"/>
    <m/>
    <m/>
    <m/>
    <m/>
    <m/>
    <m/>
    <m/>
    <s v=""/>
    <s v=""/>
    <s v=""/>
    <m/>
    <m/>
    <m/>
    <m/>
    <m/>
    <m/>
    <x v="0"/>
    <m/>
  </r>
  <r>
    <x v="0"/>
    <x v="2"/>
    <x v="0"/>
    <s v="modesg_out_emss_vcls"/>
    <s v="scp1_emss"/>
    <x v="0"/>
    <s v="1. Concluído"/>
    <m/>
    <m/>
    <m/>
    <m/>
    <m/>
    <m/>
    <s v="Package X"/>
    <s v=""/>
    <s v=""/>
    <s v=""/>
    <m/>
    <m/>
    <m/>
    <m/>
    <m/>
    <m/>
    <x v="0"/>
    <m/>
  </r>
  <r>
    <x v="0"/>
    <x v="2"/>
    <x v="0"/>
    <s v="modesg_out_emss_vcls"/>
    <s v="scp2_emss"/>
    <x v="0"/>
    <s v="1. Concluído"/>
    <m/>
    <m/>
    <m/>
    <m/>
    <m/>
    <m/>
    <s v="Package X"/>
    <s v=""/>
    <s v=""/>
    <s v=""/>
    <m/>
    <m/>
    <m/>
    <m/>
    <m/>
    <m/>
    <x v="0"/>
    <m/>
  </r>
  <r>
    <x v="0"/>
    <x v="2"/>
    <x v="0"/>
    <s v="modesg_out_emss_vcls"/>
    <s v="scp3_emss"/>
    <x v="0"/>
    <s v="1. Concluído"/>
    <m/>
    <m/>
    <m/>
    <m/>
    <m/>
    <m/>
    <s v="Package X"/>
    <s v=""/>
    <s v=""/>
    <s v=""/>
    <m/>
    <m/>
    <m/>
    <m/>
    <m/>
    <m/>
    <x v="0"/>
    <m/>
  </r>
  <r>
    <x v="0"/>
    <x v="2"/>
    <x v="0"/>
    <s v="modesg_out_emss_vcls"/>
    <s v="unidade_funcional_scp1_emss"/>
    <x v="0"/>
    <s v="1. Concluído"/>
    <m/>
    <m/>
    <m/>
    <m/>
    <m/>
    <m/>
    <s v="Package X"/>
    <s v=""/>
    <s v=""/>
    <s v=""/>
    <m/>
    <m/>
    <m/>
    <m/>
    <m/>
    <m/>
    <x v="0"/>
    <m/>
  </r>
  <r>
    <x v="0"/>
    <x v="2"/>
    <x v="0"/>
    <s v="modesg_out_emss_vcls"/>
    <s v="unidade_funcional_scp2_emss"/>
    <x v="0"/>
    <s v="1. Concluído"/>
    <m/>
    <m/>
    <m/>
    <m/>
    <m/>
    <m/>
    <s v="Package X"/>
    <s v=""/>
    <s v=""/>
    <s v=""/>
    <m/>
    <m/>
    <m/>
    <m/>
    <m/>
    <m/>
    <x v="0"/>
    <m/>
  </r>
  <r>
    <x v="0"/>
    <x v="2"/>
    <x v="0"/>
    <s v="modesg_out_emss_vcls"/>
    <s v="unidade_funcional_scp3_emss"/>
    <x v="0"/>
    <s v="1. Concluído"/>
    <m/>
    <m/>
    <m/>
    <m/>
    <m/>
    <m/>
    <s v="Package X"/>
    <s v=""/>
    <s v=""/>
    <s v=""/>
    <m/>
    <m/>
    <m/>
    <m/>
    <m/>
    <m/>
    <x v="0"/>
    <m/>
  </r>
  <r>
    <x v="0"/>
    <x v="2"/>
    <x v="0"/>
    <s v="modesg_out_sfics_taxon_europeia"/>
    <s v="ordem"/>
    <x v="3"/>
    <s v="0. Cancelado"/>
    <m/>
    <m/>
    <m/>
    <d v="2025-03-31T00:00:00"/>
    <m/>
    <m/>
    <m/>
    <s v=""/>
    <s v=""/>
    <s v=""/>
    <m/>
    <m/>
    <m/>
    <m/>
    <m/>
    <m/>
    <x v="0"/>
    <m/>
  </r>
  <r>
    <x v="0"/>
    <x v="1"/>
    <x v="0"/>
    <s v="lt003_entity"/>
    <s v="txnmy_elgbl_capex_ccm"/>
    <x v="0"/>
    <s v="1. Concluído"/>
    <m/>
    <m/>
    <m/>
    <m/>
    <m/>
    <m/>
    <m/>
    <s v=""/>
    <s v=""/>
    <s v=""/>
    <m/>
    <m/>
    <m/>
    <m/>
    <m/>
    <m/>
    <x v="0"/>
    <m/>
  </r>
  <r>
    <x v="0"/>
    <x v="1"/>
    <x v="0"/>
    <s v="lt003_entity"/>
    <s v="txnmy_elgbl_trnvr_ccm"/>
    <x v="0"/>
    <s v="1. Concluído"/>
    <m/>
    <m/>
    <m/>
    <m/>
    <m/>
    <m/>
    <m/>
    <s v=""/>
    <s v=""/>
    <s v=""/>
    <m/>
    <m/>
    <m/>
    <m/>
    <m/>
    <m/>
    <x v="0"/>
    <m/>
  </r>
  <r>
    <x v="0"/>
    <x v="1"/>
    <x v="0"/>
    <s v="lt003_entity"/>
    <s v="txnmy_elgbl_capex_cca"/>
    <x v="0"/>
    <s v="1. Concluído"/>
    <m/>
    <m/>
    <m/>
    <m/>
    <m/>
    <m/>
    <m/>
    <s v=""/>
    <s v=""/>
    <s v=""/>
    <m/>
    <m/>
    <m/>
    <m/>
    <m/>
    <m/>
    <x v="0"/>
    <m/>
  </r>
  <r>
    <x v="0"/>
    <x v="1"/>
    <x v="0"/>
    <s v="lt003_entity"/>
    <s v="txnmy_elgbl_trnvr_cca"/>
    <x v="0"/>
    <s v="1. Concluído"/>
    <m/>
    <m/>
    <m/>
    <m/>
    <m/>
    <m/>
    <m/>
    <s v=""/>
    <s v=""/>
    <s v=""/>
    <m/>
    <m/>
    <m/>
    <m/>
    <m/>
    <m/>
    <x v="0"/>
    <m/>
  </r>
  <r>
    <x v="0"/>
    <x v="1"/>
    <x v="0"/>
    <s v="lt003_entity"/>
    <s v="enblng_capex_ccm"/>
    <x v="0"/>
    <s v="1. Concluído"/>
    <m/>
    <m/>
    <m/>
    <m/>
    <m/>
    <m/>
    <m/>
    <s v=""/>
    <s v=""/>
    <s v=""/>
    <m/>
    <m/>
    <m/>
    <m/>
    <m/>
    <m/>
    <x v="0"/>
    <m/>
  </r>
  <r>
    <x v="0"/>
    <x v="1"/>
    <x v="0"/>
    <s v="lt003_entity"/>
    <s v="enblng_capex_cca"/>
    <x v="0"/>
    <s v="1. Concluído"/>
    <m/>
    <m/>
    <m/>
    <m/>
    <m/>
    <m/>
    <m/>
    <s v=""/>
    <s v=""/>
    <s v=""/>
    <m/>
    <m/>
    <m/>
    <m/>
    <m/>
    <m/>
    <x v="0"/>
    <m/>
  </r>
  <r>
    <x v="0"/>
    <x v="1"/>
    <x v="0"/>
    <s v="lt003_entity"/>
    <s v="trnstnl_capex"/>
    <x v="0"/>
    <s v="1. Concluído"/>
    <m/>
    <m/>
    <m/>
    <m/>
    <m/>
    <m/>
    <m/>
    <s v=""/>
    <s v=""/>
    <s v=""/>
    <m/>
    <m/>
    <m/>
    <m/>
    <m/>
    <m/>
    <x v="0"/>
    <m/>
  </r>
  <r>
    <x v="0"/>
    <x v="1"/>
    <x v="0"/>
    <s v="lt003_entity"/>
    <s v="pure_capex_ccm"/>
    <x v="0"/>
    <s v="1. Concluído"/>
    <m/>
    <m/>
    <m/>
    <m/>
    <m/>
    <m/>
    <m/>
    <s v=""/>
    <s v=""/>
    <s v=""/>
    <m/>
    <m/>
    <m/>
    <m/>
    <m/>
    <m/>
    <x v="0"/>
    <m/>
  </r>
  <r>
    <x v="0"/>
    <x v="1"/>
    <x v="0"/>
    <s v="lt003_entity"/>
    <s v="pure_capex_cca"/>
    <x v="0"/>
    <s v="1. Concluído"/>
    <m/>
    <m/>
    <m/>
    <m/>
    <m/>
    <m/>
    <m/>
    <s v=""/>
    <s v=""/>
    <s v=""/>
    <m/>
    <m/>
    <m/>
    <m/>
    <m/>
    <m/>
    <x v="0"/>
    <m/>
  </r>
  <r>
    <x v="0"/>
    <x v="1"/>
    <x v="0"/>
    <s v="lt003_entity"/>
    <s v="enblng_trnvr_ccm"/>
    <x v="0"/>
    <s v="1. Concluído"/>
    <m/>
    <m/>
    <m/>
    <m/>
    <m/>
    <m/>
    <m/>
    <s v=""/>
    <s v=""/>
    <s v=""/>
    <m/>
    <m/>
    <m/>
    <m/>
    <m/>
    <m/>
    <x v="0"/>
    <m/>
  </r>
  <r>
    <x v="0"/>
    <x v="1"/>
    <x v="0"/>
    <s v="lt003_entity"/>
    <s v="enblng_trnvr_cca"/>
    <x v="0"/>
    <s v="1. Concluído"/>
    <m/>
    <m/>
    <m/>
    <m/>
    <m/>
    <m/>
    <m/>
    <s v=""/>
    <s v=""/>
    <s v=""/>
    <m/>
    <m/>
    <m/>
    <m/>
    <m/>
    <m/>
    <x v="0"/>
    <m/>
  </r>
  <r>
    <x v="0"/>
    <x v="1"/>
    <x v="0"/>
    <s v="lt003_entity"/>
    <s v="trnstnl_trnvr"/>
    <x v="0"/>
    <s v="1. Concluído"/>
    <m/>
    <m/>
    <m/>
    <m/>
    <m/>
    <m/>
    <m/>
    <s v=""/>
    <s v=""/>
    <s v=""/>
    <m/>
    <m/>
    <m/>
    <m/>
    <m/>
    <m/>
    <x v="0"/>
    <m/>
  </r>
  <r>
    <x v="0"/>
    <x v="1"/>
    <x v="0"/>
    <s v="lt003_entity"/>
    <s v="pure_trnvr_ccm"/>
    <x v="0"/>
    <s v="1. Concluído"/>
    <m/>
    <m/>
    <m/>
    <m/>
    <m/>
    <m/>
    <m/>
    <s v=""/>
    <s v=""/>
    <s v=""/>
    <m/>
    <m/>
    <m/>
    <m/>
    <m/>
    <m/>
    <x v="0"/>
    <m/>
  </r>
  <r>
    <x v="0"/>
    <x v="1"/>
    <x v="0"/>
    <s v="lt003_entity"/>
    <s v="pure_trnvr_cca"/>
    <x v="0"/>
    <s v="1. Concluído"/>
    <m/>
    <m/>
    <m/>
    <m/>
    <m/>
    <m/>
    <m/>
    <s v=""/>
    <s v=""/>
    <s v=""/>
    <m/>
    <m/>
    <m/>
    <m/>
    <m/>
    <m/>
    <x v="0"/>
    <m/>
  </r>
  <r>
    <x v="0"/>
    <x v="1"/>
    <x v="0"/>
    <s v="lt003_entity"/>
    <s v="flg_nfrd_applcblty"/>
    <x v="0"/>
    <s v="1. Concluído"/>
    <m/>
    <m/>
    <m/>
    <m/>
    <m/>
    <m/>
    <m/>
    <s v=""/>
    <s v=""/>
    <s v=""/>
    <m/>
    <m/>
    <m/>
    <m/>
    <m/>
    <m/>
    <x v="0"/>
    <m/>
  </r>
  <r>
    <x v="0"/>
    <x v="1"/>
    <x v="0"/>
    <s v="lt003_entity"/>
    <s v="cntrprty_emssns_scp1"/>
    <x v="0"/>
    <s v="1. Concluído"/>
    <m/>
    <m/>
    <m/>
    <m/>
    <m/>
    <m/>
    <m/>
    <s v=""/>
    <s v=""/>
    <s v=""/>
    <m/>
    <m/>
    <m/>
    <m/>
    <m/>
    <m/>
    <x v="0"/>
    <m/>
  </r>
  <r>
    <x v="0"/>
    <x v="1"/>
    <x v="0"/>
    <s v="lt003_entity"/>
    <s v="cntrprty_emssns_scp2"/>
    <x v="0"/>
    <s v="1. Concluído"/>
    <m/>
    <m/>
    <m/>
    <m/>
    <m/>
    <m/>
    <m/>
    <s v=""/>
    <s v=""/>
    <s v=""/>
    <m/>
    <m/>
    <m/>
    <m/>
    <m/>
    <m/>
    <x v="0"/>
    <m/>
  </r>
  <r>
    <x v="0"/>
    <x v="1"/>
    <x v="0"/>
    <s v="lt003_entity"/>
    <s v="cntrprty_emssns_scp3"/>
    <x v="0"/>
    <s v="1. Concluído"/>
    <m/>
    <m/>
    <m/>
    <m/>
    <m/>
    <m/>
    <m/>
    <s v=""/>
    <s v=""/>
    <s v=""/>
    <m/>
    <m/>
    <m/>
    <m/>
    <m/>
    <m/>
    <x v="0"/>
    <m/>
  </r>
  <r>
    <x v="0"/>
    <x v="1"/>
    <x v="0"/>
    <s v="lt003_entity"/>
    <s v="flg_excldd_eu_prs_algnd_bnchmrk"/>
    <x v="0"/>
    <s v="1. Concluído"/>
    <m/>
    <m/>
    <m/>
    <m/>
    <m/>
    <m/>
    <m/>
    <s v=""/>
    <s v=""/>
    <s v=""/>
    <m/>
    <m/>
    <m/>
    <m/>
    <m/>
    <m/>
    <x v="0"/>
    <m/>
  </r>
  <r>
    <x v="0"/>
    <x v="1"/>
    <x v="0"/>
    <s v="lt003_entity"/>
    <s v="pst_cd"/>
    <x v="0"/>
    <s v="1. Concluído"/>
    <m/>
    <m/>
    <m/>
    <m/>
    <m/>
    <m/>
    <m/>
    <s v=""/>
    <s v=""/>
    <s v=""/>
    <m/>
    <m/>
    <m/>
    <m/>
    <m/>
    <m/>
    <x v="0"/>
    <m/>
  </r>
  <r>
    <x v="0"/>
    <x v="1"/>
    <x v="0"/>
    <s v="lt003_entity"/>
    <s v="ttl_lblty"/>
    <x v="0"/>
    <s v="1. Concluído"/>
    <m/>
    <m/>
    <m/>
    <m/>
    <m/>
    <m/>
    <m/>
    <s v=""/>
    <s v=""/>
    <s v=""/>
    <d v="2024-10-28T00:00:00"/>
    <m/>
    <m/>
    <m/>
    <m/>
    <m/>
    <x v="0"/>
    <m/>
  </r>
  <r>
    <x v="0"/>
    <x v="1"/>
    <x v="0"/>
    <s v="lt003_entity"/>
    <s v="isin"/>
    <x v="0"/>
    <s v="1. Concluído"/>
    <m/>
    <m/>
    <m/>
    <m/>
    <m/>
    <m/>
    <m/>
    <s v=""/>
    <s v=""/>
    <s v=""/>
    <d v="2024-10-23T00:00:00"/>
    <m/>
    <m/>
    <m/>
    <m/>
    <m/>
    <x v="0"/>
    <m/>
  </r>
  <r>
    <x v="0"/>
    <x v="1"/>
    <x v="0"/>
    <s v="lt003_entity"/>
    <s v="grp_annl_trnvr_le"/>
    <x v="0"/>
    <s v="1. Concluído"/>
    <m/>
    <m/>
    <m/>
    <m/>
    <m/>
    <m/>
    <m/>
    <s v=""/>
    <s v=""/>
    <s v=""/>
    <d v="2024-10-28T00:00:00"/>
    <m/>
    <m/>
    <m/>
    <m/>
    <m/>
    <x v="0"/>
    <m/>
  </r>
  <r>
    <x v="0"/>
    <x v="1"/>
    <x v="0"/>
    <s v="lt003_entity"/>
    <s v="grp_ttl_lblty"/>
    <x v="0"/>
    <s v="1. Concluído"/>
    <m/>
    <m/>
    <m/>
    <m/>
    <m/>
    <m/>
    <m/>
    <s v=""/>
    <s v=""/>
    <s v=""/>
    <d v="2024-10-28T00:00:00"/>
    <m/>
    <m/>
    <m/>
    <m/>
    <m/>
    <x v="0"/>
    <m/>
  </r>
  <r>
    <x v="0"/>
    <x v="1"/>
    <x v="0"/>
    <s v="lt003_entity"/>
    <s v="flg_grp_nfrd_applcblty"/>
    <x v="0"/>
    <s v="1. Concluído"/>
    <m/>
    <m/>
    <m/>
    <m/>
    <m/>
    <m/>
    <m/>
    <s v=""/>
    <s v=""/>
    <s v=""/>
    <d v="2024-10-23T00:00:00"/>
    <m/>
    <m/>
    <m/>
    <m/>
    <m/>
    <x v="0"/>
    <m/>
  </r>
  <r>
    <x v="0"/>
    <x v="1"/>
    <x v="0"/>
    <s v="lt003_entity"/>
    <s v="grp_emssns_scp1"/>
    <x v="0"/>
    <s v="1. Concluído"/>
    <m/>
    <m/>
    <m/>
    <m/>
    <m/>
    <m/>
    <m/>
    <s v=""/>
    <s v=""/>
    <s v=""/>
    <d v="2024-10-23T00:00:00"/>
    <m/>
    <m/>
    <m/>
    <m/>
    <m/>
    <x v="0"/>
    <m/>
  </r>
  <r>
    <x v="0"/>
    <x v="1"/>
    <x v="0"/>
    <s v="lt003_entity"/>
    <s v="grp_emssns_scp2"/>
    <x v="0"/>
    <s v="1. Concluído"/>
    <m/>
    <m/>
    <m/>
    <m/>
    <m/>
    <m/>
    <m/>
    <s v=""/>
    <s v=""/>
    <s v=""/>
    <d v="2024-10-23T00:00:00"/>
    <m/>
    <m/>
    <m/>
    <m/>
    <m/>
    <x v="0"/>
    <m/>
  </r>
  <r>
    <x v="0"/>
    <x v="1"/>
    <x v="0"/>
    <s v="lt003_entity"/>
    <s v="grp_emssns_scp3"/>
    <x v="0"/>
    <s v="1. Concluído"/>
    <m/>
    <m/>
    <m/>
    <m/>
    <m/>
    <m/>
    <m/>
    <s v=""/>
    <s v=""/>
    <s v=""/>
    <d v="2024-10-23T00:00:00"/>
    <m/>
    <m/>
    <m/>
    <m/>
    <m/>
    <x v="0"/>
    <m/>
  </r>
  <r>
    <x v="0"/>
    <x v="1"/>
    <x v="0"/>
    <s v="lt004_protection"/>
    <s v="typ_epc_lbl"/>
    <x v="0"/>
    <s v="1. Concluído"/>
    <m/>
    <m/>
    <m/>
    <m/>
    <m/>
    <m/>
    <s v="Package X"/>
    <s v=""/>
    <s v=""/>
    <s v=""/>
    <m/>
    <m/>
    <m/>
    <m/>
    <m/>
    <m/>
    <x v="0"/>
    <m/>
  </r>
  <r>
    <x v="0"/>
    <x v="1"/>
    <x v="0"/>
    <s v="lt004_protection"/>
    <s v="epc_lbl"/>
    <x v="0"/>
    <s v="1. Concluído"/>
    <m/>
    <m/>
    <m/>
    <m/>
    <m/>
    <m/>
    <s v="Package X"/>
    <s v=""/>
    <s v=""/>
    <s v=""/>
    <m/>
    <m/>
    <m/>
    <m/>
    <m/>
    <m/>
    <x v="0"/>
    <m/>
  </r>
  <r>
    <x v="0"/>
    <x v="1"/>
    <x v="0"/>
    <s v="lt004_protection"/>
    <s v="emssns_scp1_prtctn"/>
    <x v="0"/>
    <s v="1. Concluído"/>
    <m/>
    <m/>
    <m/>
    <m/>
    <m/>
    <m/>
    <s v="Package X"/>
    <s v=""/>
    <s v=""/>
    <s v=""/>
    <m/>
    <m/>
    <m/>
    <m/>
    <m/>
    <m/>
    <x v="0"/>
    <m/>
  </r>
  <r>
    <x v="0"/>
    <x v="1"/>
    <x v="0"/>
    <s v="lt004_protection"/>
    <s v="emssns_scp2_prtctn"/>
    <x v="0"/>
    <s v="1. Concluído"/>
    <m/>
    <m/>
    <m/>
    <m/>
    <m/>
    <m/>
    <s v="Package X"/>
    <s v=""/>
    <s v=""/>
    <s v=""/>
    <m/>
    <m/>
    <m/>
    <m/>
    <m/>
    <m/>
    <x v="0"/>
    <m/>
  </r>
  <r>
    <x v="0"/>
    <x v="1"/>
    <x v="0"/>
    <s v="lt004_protection"/>
    <s v="emssns_scp3_prtctn"/>
    <x v="0"/>
    <s v="1. Concluído"/>
    <m/>
    <m/>
    <m/>
    <m/>
    <m/>
    <m/>
    <s v="Package X"/>
    <s v=""/>
    <s v=""/>
    <s v=""/>
    <m/>
    <m/>
    <m/>
    <m/>
    <m/>
    <m/>
    <x v="0"/>
    <m/>
  </r>
  <r>
    <x v="0"/>
    <x v="1"/>
    <x v="0"/>
    <s v="lt004_protection"/>
    <s v="mthd_usd_prtctn_scp_1"/>
    <x v="0"/>
    <s v="1. Concluído"/>
    <m/>
    <m/>
    <m/>
    <m/>
    <m/>
    <m/>
    <s v="Package X"/>
    <s v=""/>
    <s v=""/>
    <s v=""/>
    <m/>
    <m/>
    <m/>
    <m/>
    <m/>
    <m/>
    <x v="0"/>
    <m/>
  </r>
  <r>
    <x v="0"/>
    <x v="1"/>
    <x v="0"/>
    <s v="lt004_protection"/>
    <s v="mthd_usd_prtctn_scp_2"/>
    <x v="0"/>
    <s v="1. Concluído"/>
    <m/>
    <m/>
    <m/>
    <m/>
    <m/>
    <m/>
    <s v="Package X"/>
    <s v=""/>
    <s v=""/>
    <s v=""/>
    <m/>
    <m/>
    <m/>
    <m/>
    <m/>
    <m/>
    <x v="0"/>
    <m/>
  </r>
  <r>
    <x v="0"/>
    <x v="1"/>
    <x v="0"/>
    <s v="lt004_protection"/>
    <s v="mthd_usd_prtctn_scp_3"/>
    <x v="0"/>
    <s v="1. Concluído"/>
    <m/>
    <m/>
    <m/>
    <m/>
    <m/>
    <m/>
    <s v="Package X"/>
    <s v=""/>
    <s v=""/>
    <s v=""/>
    <m/>
    <m/>
    <m/>
    <m/>
    <m/>
    <m/>
    <x v="0"/>
    <m/>
  </r>
  <r>
    <x v="0"/>
    <x v="1"/>
    <x v="0"/>
    <s v="lt002_instrument"/>
    <s v="rsk_mtgtd_cct"/>
    <x v="0"/>
    <s v="1. Concluído"/>
    <m/>
    <m/>
    <m/>
    <m/>
    <m/>
    <m/>
    <m/>
    <s v=""/>
    <s v=""/>
    <s v=""/>
    <d v="2024-10-30T00:00:00"/>
    <m/>
    <m/>
    <m/>
    <m/>
    <m/>
    <x v="0"/>
    <m/>
  </r>
  <r>
    <x v="0"/>
    <x v="1"/>
    <x v="0"/>
    <s v="lt007_instr_activity"/>
    <s v="envrnmntl_objctv"/>
    <x v="0"/>
    <s v="1. Concluído"/>
    <m/>
    <m/>
    <m/>
    <m/>
    <m/>
    <m/>
    <m/>
    <s v=""/>
    <s v=""/>
    <s v=""/>
    <d v="2024-10-28T00:00:00"/>
    <m/>
    <m/>
    <m/>
    <m/>
    <m/>
    <x v="0"/>
    <s v="Voltar a ver"/>
  </r>
  <r>
    <x v="0"/>
    <x v="1"/>
    <x v="0"/>
    <s v="lt007_instr_activity"/>
    <s v="typ_actvty"/>
    <x v="0"/>
    <s v="1. Concluído"/>
    <m/>
    <m/>
    <m/>
    <m/>
    <m/>
    <m/>
    <m/>
    <s v=""/>
    <s v=""/>
    <s v=""/>
    <d v="2024-10-28T00:00:00"/>
    <m/>
    <m/>
    <m/>
    <m/>
    <m/>
    <x v="0"/>
    <s v="Voltar a ver"/>
  </r>
  <r>
    <x v="0"/>
    <x v="1"/>
    <x v="0"/>
    <s v="lt002_instrument"/>
    <s v="lns_clltrlzd_clssfctn"/>
    <x v="0"/>
    <s v="1. Concluído"/>
    <m/>
    <m/>
    <m/>
    <m/>
    <m/>
    <m/>
    <m/>
    <s v=""/>
    <s v=""/>
    <s v=""/>
    <m/>
    <m/>
    <m/>
    <m/>
    <m/>
    <m/>
    <x v="0"/>
    <m/>
  </r>
  <r>
    <x v="0"/>
    <x v="1"/>
    <x v="0"/>
    <s v="lt827_mthd_usd_instrmnt"/>
    <s v="ambito"/>
    <x v="0"/>
    <s v="1. Concluído"/>
    <m/>
    <m/>
    <m/>
    <m/>
    <m/>
    <m/>
    <m/>
    <s v=""/>
    <s v=""/>
    <s v=""/>
    <d v="2024-10-28T00:00:00"/>
    <m/>
    <m/>
    <m/>
    <m/>
    <m/>
    <x v="0"/>
    <m/>
  </r>
  <r>
    <x v="0"/>
    <x v="1"/>
    <x v="0"/>
    <s v="lt827_mthd_usd_instrmnt"/>
    <s v="ref_date"/>
    <x v="0"/>
    <s v="1. Concluído"/>
    <m/>
    <m/>
    <m/>
    <m/>
    <m/>
    <m/>
    <m/>
    <s v=""/>
    <s v=""/>
    <s v=""/>
    <d v="2024-10-28T00:00:00"/>
    <m/>
    <m/>
    <m/>
    <m/>
    <m/>
    <x v="0"/>
    <m/>
  </r>
  <r>
    <x v="0"/>
    <x v="1"/>
    <x v="0"/>
    <s v="lt827_mthd_usd_instrmnt"/>
    <s v="ordem"/>
    <x v="0"/>
    <s v="1. Concluído"/>
    <m/>
    <m/>
    <m/>
    <m/>
    <m/>
    <m/>
    <m/>
    <s v=""/>
    <s v=""/>
    <s v=""/>
    <d v="2024-10-28T00:00:00"/>
    <m/>
    <m/>
    <m/>
    <m/>
    <m/>
    <x v="0"/>
    <m/>
  </r>
  <r>
    <x v="0"/>
    <x v="1"/>
    <x v="0"/>
    <s v="lt827_mthd_usd_instrmnt"/>
    <s v="tabela"/>
    <x v="0"/>
    <s v="1. Concluído"/>
    <m/>
    <m/>
    <m/>
    <m/>
    <m/>
    <m/>
    <m/>
    <s v=""/>
    <s v=""/>
    <s v=""/>
    <d v="2024-10-28T00:00:00"/>
    <m/>
    <m/>
    <m/>
    <m/>
    <m/>
    <x v="0"/>
    <m/>
  </r>
  <r>
    <x v="0"/>
    <x v="1"/>
    <x v="0"/>
    <s v="lt827_mthd_usd_instrmnt"/>
    <s v="origem_scp1_emss"/>
    <x v="0"/>
    <s v="1. Concluído"/>
    <m/>
    <m/>
    <m/>
    <m/>
    <m/>
    <m/>
    <m/>
    <s v=""/>
    <s v=""/>
    <s v=""/>
    <d v="2024-10-28T00:00:00"/>
    <m/>
    <m/>
    <m/>
    <m/>
    <m/>
    <x v="0"/>
    <m/>
  </r>
  <r>
    <x v="0"/>
    <x v="1"/>
    <x v="0"/>
    <s v="lt827_mthd_usd_instrmnt"/>
    <s v="origem_scp2_emss"/>
    <x v="0"/>
    <s v="1. Concluído"/>
    <m/>
    <m/>
    <m/>
    <m/>
    <m/>
    <m/>
    <m/>
    <s v=""/>
    <s v=""/>
    <s v=""/>
    <d v="2024-10-28T00:00:00"/>
    <m/>
    <m/>
    <m/>
    <m/>
    <m/>
    <x v="0"/>
    <m/>
  </r>
  <r>
    <x v="0"/>
    <x v="1"/>
    <x v="0"/>
    <s v="lt827_mthd_usd_instrmnt"/>
    <s v="origem_scp3_emss"/>
    <x v="0"/>
    <s v="1. Concluído"/>
    <m/>
    <m/>
    <m/>
    <m/>
    <m/>
    <m/>
    <m/>
    <s v=""/>
    <s v=""/>
    <s v=""/>
    <d v="2024-10-28T00:00:00"/>
    <m/>
    <m/>
    <m/>
    <m/>
    <m/>
    <x v="0"/>
    <m/>
  </r>
  <r>
    <x v="0"/>
    <x v="1"/>
    <x v="0"/>
    <s v="lt827_mthd_usd_instrmnt"/>
    <s v="mthd_usd_instrmnt_scp_1"/>
    <x v="0"/>
    <s v="1. Concluído"/>
    <m/>
    <m/>
    <m/>
    <m/>
    <m/>
    <m/>
    <m/>
    <s v=""/>
    <s v=""/>
    <s v=""/>
    <d v="2024-10-28T00:00:00"/>
    <m/>
    <m/>
    <m/>
    <m/>
    <m/>
    <x v="0"/>
    <m/>
  </r>
  <r>
    <x v="0"/>
    <x v="1"/>
    <x v="0"/>
    <s v="lt827_mthd_usd_instrmnt"/>
    <s v="mthd_usd_instrmnt_scp_2"/>
    <x v="0"/>
    <s v="1. Concluído"/>
    <m/>
    <m/>
    <m/>
    <m/>
    <m/>
    <m/>
    <m/>
    <e v="#REF!"/>
    <e v="#REF!"/>
    <e v="#REF!"/>
    <d v="2024-10-28T00:00:00"/>
    <m/>
    <m/>
    <m/>
    <m/>
    <m/>
    <x v="0"/>
    <m/>
  </r>
  <r>
    <x v="0"/>
    <x v="1"/>
    <x v="0"/>
    <s v="lt827_mthd_usd_instrmnt"/>
    <s v="mthd_usd_instrmnt_scp_3"/>
    <x v="0"/>
    <s v="1. Concluído"/>
    <m/>
    <m/>
    <m/>
    <m/>
    <m/>
    <m/>
    <m/>
    <s v=""/>
    <s v=""/>
    <s v=""/>
    <d v="2024-10-28T00:00:00"/>
    <m/>
    <m/>
    <m/>
    <m/>
    <m/>
    <x v="0"/>
    <m/>
  </r>
  <r>
    <x v="0"/>
    <x v="1"/>
    <x v="0"/>
    <s v="lt827_mthd_usd_instrmnt"/>
    <s v="purpose_code"/>
    <x v="0"/>
    <s v="1. Concluído"/>
    <m/>
    <m/>
    <m/>
    <m/>
    <m/>
    <m/>
    <m/>
    <s v=""/>
    <s v=""/>
    <s v=""/>
    <m/>
    <m/>
    <m/>
    <m/>
    <m/>
    <m/>
    <x v="0"/>
    <m/>
  </r>
  <r>
    <x v="0"/>
    <x v="1"/>
    <x v="0"/>
    <s v="lt827_mthd_usd_instrmnt"/>
    <s v="flg_fin"/>
    <x v="0"/>
    <s v="1. Concluído"/>
    <m/>
    <m/>
    <m/>
    <m/>
    <m/>
    <m/>
    <m/>
    <s v=""/>
    <s v=""/>
    <s v=""/>
    <m/>
    <m/>
    <m/>
    <m/>
    <m/>
    <m/>
    <x v="0"/>
    <m/>
  </r>
  <r>
    <x v="0"/>
    <x v="1"/>
    <x v="0"/>
    <s v="lt827_mthd_usd_instrmnt"/>
    <s v="flg_exec"/>
    <x v="0"/>
    <s v="1. Concluído"/>
    <m/>
    <m/>
    <m/>
    <m/>
    <m/>
    <m/>
    <m/>
    <s v=""/>
    <s v=""/>
    <s v=""/>
    <m/>
    <m/>
    <m/>
    <m/>
    <m/>
    <m/>
    <x v="0"/>
    <m/>
  </r>
  <r>
    <x v="0"/>
    <x v="1"/>
    <x v="0"/>
    <s v="lt827_mthd_usd_instrmnt"/>
    <s v="flg_col"/>
    <x v="0"/>
    <s v="1. Concluído"/>
    <m/>
    <m/>
    <m/>
    <m/>
    <m/>
    <m/>
    <m/>
    <s v=""/>
    <s v=""/>
    <s v=""/>
    <m/>
    <m/>
    <m/>
    <m/>
    <m/>
    <m/>
    <x v="0"/>
    <m/>
  </r>
  <r>
    <x v="0"/>
    <x v="1"/>
    <x v="0"/>
    <s v="lt827_mthd_usd_instrmnt"/>
    <s v="flg_pro"/>
    <x v="0"/>
    <s v="1. Concluído"/>
    <m/>
    <m/>
    <m/>
    <m/>
    <m/>
    <m/>
    <m/>
    <s v=""/>
    <s v=""/>
    <s v=""/>
    <m/>
    <m/>
    <m/>
    <m/>
    <m/>
    <m/>
    <x v="0"/>
    <m/>
  </r>
  <r>
    <x v="0"/>
    <x v="1"/>
    <x v="0"/>
    <s v="lt826_esg_sbsctr"/>
    <s v="ambito"/>
    <x v="0"/>
    <s v="1. Concluído"/>
    <m/>
    <m/>
    <m/>
    <m/>
    <m/>
    <m/>
    <m/>
    <s v=""/>
    <s v=""/>
    <s v=""/>
    <m/>
    <m/>
    <m/>
    <m/>
    <m/>
    <m/>
    <x v="0"/>
    <m/>
  </r>
  <r>
    <x v="0"/>
    <x v="1"/>
    <x v="0"/>
    <s v="lt826_esg_sbsctr"/>
    <s v="ref_date"/>
    <x v="0"/>
    <s v="1. Concluído"/>
    <m/>
    <m/>
    <m/>
    <m/>
    <m/>
    <m/>
    <m/>
    <s v=""/>
    <s v=""/>
    <s v=""/>
    <m/>
    <m/>
    <m/>
    <m/>
    <m/>
    <m/>
    <x v="0"/>
    <m/>
  </r>
  <r>
    <x v="0"/>
    <x v="1"/>
    <x v="0"/>
    <s v="lt826_esg_sbsctr"/>
    <s v="ordem"/>
    <x v="0"/>
    <s v="1. Concluído"/>
    <m/>
    <m/>
    <m/>
    <m/>
    <m/>
    <m/>
    <m/>
    <s v=""/>
    <s v=""/>
    <s v=""/>
    <m/>
    <m/>
    <m/>
    <m/>
    <m/>
    <m/>
    <x v="0"/>
    <m/>
  </r>
  <r>
    <x v="0"/>
    <x v="1"/>
    <x v="0"/>
    <s v="lt826_esg_sbsctr"/>
    <s v="nace_code"/>
    <x v="0"/>
    <s v="1. Concluído"/>
    <m/>
    <m/>
    <m/>
    <m/>
    <m/>
    <m/>
    <m/>
    <s v=""/>
    <s v=""/>
    <s v=""/>
    <m/>
    <m/>
    <m/>
    <m/>
    <m/>
    <m/>
    <x v="0"/>
    <m/>
  </r>
  <r>
    <x v="0"/>
    <x v="1"/>
    <x v="0"/>
    <s v="lt826_esg_sbsctr"/>
    <s v="contraparte"/>
    <x v="0"/>
    <s v="1. Concluído"/>
    <m/>
    <m/>
    <m/>
    <m/>
    <m/>
    <m/>
    <m/>
    <s v=""/>
    <s v=""/>
    <s v=""/>
    <m/>
    <m/>
    <m/>
    <m/>
    <m/>
    <m/>
    <x v="0"/>
    <m/>
  </r>
  <r>
    <x v="0"/>
    <x v="1"/>
    <x v="0"/>
    <s v="lt826_esg_sbsctr"/>
    <s v="cnatureza_juri"/>
    <x v="0"/>
    <s v="1. Concluído"/>
    <m/>
    <m/>
    <m/>
    <m/>
    <m/>
    <m/>
    <m/>
    <s v=""/>
    <s v=""/>
    <s v=""/>
    <m/>
    <m/>
    <m/>
    <m/>
    <m/>
    <m/>
    <x v="0"/>
    <m/>
  </r>
  <r>
    <x v="0"/>
    <x v="1"/>
    <x v="0"/>
    <s v="lt826_esg_sbsctr"/>
    <s v="idcomb"/>
    <x v="0"/>
    <s v="1. Concluído"/>
    <m/>
    <m/>
    <m/>
    <m/>
    <m/>
    <m/>
    <m/>
    <s v=""/>
    <s v=""/>
    <s v=""/>
    <m/>
    <m/>
    <m/>
    <m/>
    <m/>
    <m/>
    <x v="0"/>
    <m/>
  </r>
  <r>
    <x v="0"/>
    <x v="1"/>
    <x v="0"/>
    <s v="lt826_esg_sbsctr"/>
    <s v="esg_sbsctr"/>
    <x v="0"/>
    <s v="1. Concluído"/>
    <m/>
    <m/>
    <m/>
    <m/>
    <m/>
    <m/>
    <m/>
    <s v=""/>
    <s v=""/>
    <s v=""/>
    <m/>
    <m/>
    <m/>
    <m/>
    <m/>
    <m/>
    <x v="0"/>
    <m/>
  </r>
  <r>
    <x v="0"/>
    <x v="1"/>
    <x v="0"/>
    <s v="lt826_esg_sbsctr"/>
    <s v="descrição"/>
    <x v="0"/>
    <s v="1. Concluído"/>
    <m/>
    <m/>
    <m/>
    <m/>
    <m/>
    <m/>
    <m/>
    <s v=""/>
    <s v=""/>
    <s v=""/>
    <m/>
    <m/>
    <m/>
    <m/>
    <m/>
    <m/>
    <x v="0"/>
    <m/>
  </r>
  <r>
    <x v="0"/>
    <x v="1"/>
    <x v="0"/>
    <s v="lt002_instrument"/>
    <s v="dt_rfrnc"/>
    <x v="0"/>
    <s v="1. Concluído"/>
    <m/>
    <m/>
    <m/>
    <m/>
    <m/>
    <m/>
    <m/>
    <s v=""/>
    <s v=""/>
    <s v=""/>
    <m/>
    <m/>
    <m/>
    <m/>
    <m/>
    <m/>
    <x v="0"/>
    <m/>
  </r>
  <r>
    <x v="0"/>
    <x v="1"/>
    <x v="0"/>
    <s v="lt002_instrument"/>
    <s v="instrmnt_id"/>
    <x v="0"/>
    <s v="1. Concluído"/>
    <m/>
    <m/>
    <m/>
    <m/>
    <m/>
    <m/>
    <m/>
    <s v=""/>
    <s v=""/>
    <s v=""/>
    <m/>
    <m/>
    <m/>
    <m/>
    <m/>
    <m/>
    <x v="0"/>
    <m/>
  </r>
  <r>
    <x v="0"/>
    <x v="1"/>
    <x v="0"/>
    <s v="lt002_instrument"/>
    <s v="dt_incptn"/>
    <x v="0"/>
    <s v="1. Concluído"/>
    <m/>
    <m/>
    <m/>
    <m/>
    <m/>
    <m/>
    <m/>
    <s v=""/>
    <s v=""/>
    <s v=""/>
    <m/>
    <m/>
    <m/>
    <m/>
    <m/>
    <m/>
    <x v="0"/>
    <m/>
  </r>
  <r>
    <x v="0"/>
    <x v="1"/>
    <x v="0"/>
    <s v="lt002_instrument"/>
    <s v="dflt_stts_instrmnt"/>
    <x v="0"/>
    <s v="1. Concluído"/>
    <m/>
    <m/>
    <m/>
    <m/>
    <m/>
    <m/>
    <m/>
    <s v=""/>
    <s v=""/>
    <s v=""/>
    <m/>
    <m/>
    <m/>
    <m/>
    <m/>
    <m/>
    <x v="0"/>
    <m/>
  </r>
  <r>
    <x v="0"/>
    <x v="1"/>
    <x v="0"/>
    <s v="lt002_instrument"/>
    <s v="imprmnt_stts"/>
    <x v="0"/>
    <s v="1. Concluído"/>
    <m/>
    <m/>
    <m/>
    <m/>
    <m/>
    <m/>
    <m/>
    <s v=""/>
    <s v=""/>
    <s v=""/>
    <m/>
    <m/>
    <m/>
    <m/>
    <m/>
    <m/>
    <x v="0"/>
    <m/>
  </r>
  <r>
    <x v="0"/>
    <x v="1"/>
    <x v="0"/>
    <s v="lt002_instrument"/>
    <s v="prfrmng_stts"/>
    <x v="0"/>
    <s v="1. Concluído"/>
    <m/>
    <m/>
    <m/>
    <m/>
    <m/>
    <m/>
    <m/>
    <s v=""/>
    <s v=""/>
    <s v=""/>
    <m/>
    <m/>
    <m/>
    <m/>
    <m/>
    <m/>
    <x v="0"/>
    <m/>
  </r>
  <r>
    <x v="0"/>
    <x v="1"/>
    <x v="0"/>
    <s v="lt002_instrument"/>
    <s v="prjct_fnnc_ln"/>
    <x v="0"/>
    <s v="1. Concluído"/>
    <m/>
    <m/>
    <m/>
    <m/>
    <m/>
    <m/>
    <m/>
    <s v=""/>
    <s v=""/>
    <s v=""/>
    <m/>
    <m/>
    <m/>
    <m/>
    <m/>
    <m/>
    <x v="0"/>
    <m/>
  </r>
  <r>
    <x v="0"/>
    <x v="1"/>
    <x v="0"/>
    <s v="lt002_instrument"/>
    <s v="typ_instrmnt"/>
    <x v="0"/>
    <s v="1. Concluído"/>
    <m/>
    <m/>
    <m/>
    <m/>
    <m/>
    <m/>
    <m/>
    <s v=""/>
    <s v=""/>
    <s v=""/>
    <m/>
    <m/>
    <m/>
    <m/>
    <m/>
    <m/>
    <x v="0"/>
    <m/>
  </r>
  <r>
    <x v="0"/>
    <x v="1"/>
    <x v="0"/>
    <s v="lt002_instrument"/>
    <s v="grss_crryng_amnt_instrmnt"/>
    <x v="0"/>
    <s v="1. Concluído"/>
    <m/>
    <m/>
    <m/>
    <m/>
    <m/>
    <m/>
    <m/>
    <s v=""/>
    <s v=""/>
    <s v=""/>
    <m/>
    <m/>
    <m/>
    <m/>
    <m/>
    <m/>
    <x v="0"/>
    <m/>
  </r>
  <r>
    <x v="0"/>
    <x v="1"/>
    <x v="0"/>
    <s v="lt002_instrument"/>
    <s v="accmltd_chngs_fv_cr_instrmnt"/>
    <x v="0"/>
    <s v="1. Concluído"/>
    <m/>
    <m/>
    <m/>
    <m/>
    <m/>
    <m/>
    <m/>
    <s v=""/>
    <s v=""/>
    <s v=""/>
    <m/>
    <m/>
    <m/>
    <m/>
    <m/>
    <m/>
    <x v="0"/>
    <m/>
  </r>
  <r>
    <x v="0"/>
    <x v="1"/>
    <x v="0"/>
    <s v="lt002_instrument"/>
    <s v="accntng_clssfctn"/>
    <x v="0"/>
    <s v="1. Concluído"/>
    <m/>
    <m/>
    <m/>
    <m/>
    <m/>
    <m/>
    <m/>
    <s v=""/>
    <s v=""/>
    <s v=""/>
    <m/>
    <m/>
    <m/>
    <m/>
    <m/>
    <m/>
    <x v="0"/>
    <m/>
  </r>
  <r>
    <x v="0"/>
    <x v="1"/>
    <x v="0"/>
    <s v="lt002_instrument"/>
    <s v="dt_lgl_fnl_mtrty"/>
    <x v="0"/>
    <s v="1. Concluído"/>
    <m/>
    <m/>
    <m/>
    <m/>
    <m/>
    <m/>
    <m/>
    <s v=""/>
    <s v=""/>
    <s v=""/>
    <m/>
    <m/>
    <m/>
    <m/>
    <m/>
    <m/>
    <x v="0"/>
    <m/>
  </r>
  <r>
    <x v="0"/>
    <x v="1"/>
    <x v="0"/>
    <s v="lt002_instrument"/>
    <s v="accmltd_imprmnt_instrmnt"/>
    <x v="0"/>
    <s v="1. Concluído"/>
    <m/>
    <m/>
    <m/>
    <m/>
    <m/>
    <m/>
    <m/>
    <s v=""/>
    <s v=""/>
    <s v=""/>
    <m/>
    <m/>
    <m/>
    <m/>
    <m/>
    <m/>
    <x v="0"/>
    <m/>
  </r>
  <r>
    <x v="0"/>
    <x v="1"/>
    <x v="0"/>
    <s v="lt002_instrument"/>
    <s v="issr_cntry"/>
    <x v="0"/>
    <s v="1. Concluído"/>
    <m/>
    <m/>
    <m/>
    <m/>
    <m/>
    <m/>
    <m/>
    <s v=""/>
    <s v=""/>
    <s v=""/>
    <m/>
    <m/>
    <m/>
    <m/>
    <m/>
    <m/>
    <x v="0"/>
    <m/>
  </r>
  <r>
    <x v="0"/>
    <x v="1"/>
    <x v="0"/>
    <s v="lt002_instrument"/>
    <s v="issr_nace_sctr"/>
    <x v="0"/>
    <s v="1. Concluído"/>
    <m/>
    <m/>
    <m/>
    <m/>
    <m/>
    <m/>
    <m/>
    <s v=""/>
    <s v=""/>
    <s v=""/>
    <m/>
    <m/>
    <m/>
    <m/>
    <m/>
    <m/>
    <x v="0"/>
    <m/>
  </r>
  <r>
    <x v="0"/>
    <x v="1"/>
    <x v="0"/>
    <s v="lt002_instrument"/>
    <s v="prmry_asst_clssf"/>
    <x v="0"/>
    <s v="1. Concluído"/>
    <m/>
    <m/>
    <m/>
    <m/>
    <m/>
    <m/>
    <m/>
    <s v=""/>
    <s v=""/>
    <s v=""/>
    <m/>
    <m/>
    <m/>
    <m/>
    <m/>
    <m/>
    <x v="0"/>
    <m/>
  </r>
  <r>
    <x v="0"/>
    <x v="1"/>
    <x v="0"/>
    <s v="lt002_instrument"/>
    <s v="subportfolio_id"/>
    <x v="0"/>
    <s v="1. Concluído"/>
    <m/>
    <m/>
    <m/>
    <m/>
    <m/>
    <m/>
    <m/>
    <s v=""/>
    <s v=""/>
    <s v=""/>
    <m/>
    <m/>
    <m/>
    <m/>
    <m/>
    <m/>
    <x v="0"/>
    <m/>
  </r>
  <r>
    <x v="0"/>
    <x v="1"/>
    <x v="0"/>
    <s v="lt002_instrument"/>
    <s v="cod_soc"/>
    <x v="0"/>
    <s v="1. Concluído"/>
    <m/>
    <m/>
    <m/>
    <m/>
    <m/>
    <m/>
    <m/>
    <s v=""/>
    <s v=""/>
    <s v=""/>
    <m/>
    <m/>
    <m/>
    <m/>
    <m/>
    <m/>
    <x v="0"/>
    <m/>
  </r>
  <r>
    <x v="0"/>
    <x v="1"/>
    <x v="0"/>
    <s v="lt002_instrument"/>
    <s v="lcl_instmrnt_id"/>
    <x v="0"/>
    <s v="1. Concluído"/>
    <m/>
    <m/>
    <m/>
    <m/>
    <m/>
    <m/>
    <m/>
    <s v=""/>
    <s v=""/>
    <s v=""/>
    <m/>
    <m/>
    <m/>
    <m/>
    <m/>
    <m/>
    <x v="0"/>
    <m/>
  </r>
  <r>
    <x v="0"/>
    <x v="1"/>
    <x v="0"/>
    <s v="lt002_instrument"/>
    <s v="idcmb"/>
    <x v="0"/>
    <s v="1. Concluído"/>
    <m/>
    <m/>
    <m/>
    <m/>
    <m/>
    <m/>
    <m/>
    <s v=""/>
    <s v=""/>
    <s v=""/>
    <m/>
    <m/>
    <m/>
    <m/>
    <m/>
    <m/>
    <x v="0"/>
    <m/>
  </r>
  <r>
    <x v="0"/>
    <x v="1"/>
    <x v="0"/>
    <s v="lt003_entity"/>
    <s v="cntry"/>
    <x v="0"/>
    <s v="1. Concluído"/>
    <m/>
    <m/>
    <m/>
    <m/>
    <m/>
    <m/>
    <m/>
    <s v=""/>
    <s v=""/>
    <s v=""/>
    <m/>
    <m/>
    <m/>
    <m/>
    <m/>
    <m/>
    <x v="0"/>
    <m/>
  </r>
  <r>
    <x v="0"/>
    <x v="1"/>
    <x v="0"/>
    <s v="lt003_entity"/>
    <s v="dt_rfrnc"/>
    <x v="0"/>
    <s v="1. Concluído"/>
    <m/>
    <m/>
    <m/>
    <m/>
    <m/>
    <m/>
    <m/>
    <s v=""/>
    <s v=""/>
    <s v=""/>
    <m/>
    <m/>
    <m/>
    <m/>
    <m/>
    <m/>
    <x v="0"/>
    <m/>
  </r>
  <r>
    <x v="0"/>
    <x v="1"/>
    <x v="0"/>
    <s v="lt003_entity"/>
    <s v="entty_id"/>
    <x v="0"/>
    <s v="1. Concluído"/>
    <m/>
    <m/>
    <m/>
    <m/>
    <m/>
    <m/>
    <m/>
    <s v=""/>
    <s v=""/>
    <s v=""/>
    <m/>
    <m/>
    <m/>
    <m/>
    <m/>
    <m/>
    <x v="0"/>
    <m/>
  </r>
  <r>
    <x v="0"/>
    <x v="1"/>
    <x v="0"/>
    <s v="lt003_entity"/>
    <s v="lei"/>
    <x v="0"/>
    <s v="1. Concluído"/>
    <m/>
    <m/>
    <m/>
    <m/>
    <m/>
    <m/>
    <m/>
    <s v=""/>
    <s v=""/>
    <s v=""/>
    <m/>
    <m/>
    <m/>
    <m/>
    <m/>
    <m/>
    <x v="0"/>
    <m/>
  </r>
  <r>
    <x v="0"/>
    <x v="1"/>
    <x v="0"/>
    <s v="lt003_entity"/>
    <s v="ecnmc_actvty"/>
    <x v="0"/>
    <s v="1. Concluído"/>
    <m/>
    <m/>
    <m/>
    <m/>
    <m/>
    <m/>
    <m/>
    <s v=""/>
    <s v=""/>
    <s v=""/>
    <m/>
    <m/>
    <m/>
    <m/>
    <m/>
    <m/>
    <x v="0"/>
    <m/>
  </r>
  <r>
    <x v="0"/>
    <x v="1"/>
    <x v="0"/>
    <s v="lt003_entity"/>
    <s v="grp_eqty"/>
    <x v="0"/>
    <s v="1. Concluído"/>
    <m/>
    <m/>
    <m/>
    <m/>
    <m/>
    <m/>
    <m/>
    <s v=""/>
    <s v=""/>
    <s v=""/>
    <m/>
    <m/>
    <m/>
    <m/>
    <m/>
    <m/>
    <x v="0"/>
    <m/>
  </r>
  <r>
    <x v="0"/>
    <x v="1"/>
    <x v="0"/>
    <s v="lt003_entity"/>
    <s v="annl_trnvr_le"/>
    <x v="0"/>
    <s v="1. Concluído"/>
    <m/>
    <m/>
    <m/>
    <m/>
    <m/>
    <m/>
    <m/>
    <s v=""/>
    <s v=""/>
    <s v=""/>
    <m/>
    <m/>
    <m/>
    <m/>
    <m/>
    <m/>
    <x v="0"/>
    <m/>
  </r>
  <r>
    <x v="0"/>
    <x v="1"/>
    <x v="0"/>
    <s v="lt003_entity"/>
    <s v="eqty"/>
    <x v="0"/>
    <s v="1. Concluído"/>
    <m/>
    <m/>
    <m/>
    <m/>
    <m/>
    <m/>
    <m/>
    <s v=""/>
    <s v=""/>
    <s v=""/>
    <m/>
    <m/>
    <m/>
    <m/>
    <m/>
    <m/>
    <x v="0"/>
    <m/>
  </r>
  <r>
    <x v="0"/>
    <x v="1"/>
    <x v="0"/>
    <s v="lt003_entity"/>
    <s v="grp_ttl_dbt"/>
    <x v="0"/>
    <s v="1. Concluído"/>
    <m/>
    <m/>
    <m/>
    <m/>
    <m/>
    <m/>
    <m/>
    <s v=""/>
    <s v=""/>
    <s v=""/>
    <m/>
    <m/>
    <m/>
    <m/>
    <m/>
    <m/>
    <x v="0"/>
    <m/>
  </r>
  <r>
    <x v="0"/>
    <x v="1"/>
    <x v="0"/>
    <s v="lt003_entity"/>
    <s v="ttl_dbt"/>
    <x v="0"/>
    <s v="1. Concluído"/>
    <m/>
    <m/>
    <m/>
    <m/>
    <m/>
    <m/>
    <m/>
    <s v=""/>
    <s v=""/>
    <s v=""/>
    <m/>
    <m/>
    <m/>
    <m/>
    <m/>
    <m/>
    <x v="0"/>
    <m/>
  </r>
  <r>
    <x v="0"/>
    <x v="1"/>
    <x v="0"/>
    <s v="lt003_entity"/>
    <s v="cod_soc"/>
    <x v="0"/>
    <s v="1. Concluído"/>
    <m/>
    <m/>
    <m/>
    <m/>
    <m/>
    <m/>
    <m/>
    <s v=""/>
    <s v=""/>
    <s v=""/>
    <m/>
    <m/>
    <m/>
    <m/>
    <m/>
    <m/>
    <x v="0"/>
    <m/>
  </r>
  <r>
    <x v="0"/>
    <x v="1"/>
    <x v="0"/>
    <s v="lt004_protection"/>
    <s v="dt_rfrnc"/>
    <x v="0"/>
    <s v="1. Concluído"/>
    <m/>
    <m/>
    <m/>
    <m/>
    <m/>
    <m/>
    <m/>
    <s v=""/>
    <s v=""/>
    <s v=""/>
    <m/>
    <m/>
    <m/>
    <m/>
    <m/>
    <m/>
    <x v="0"/>
    <m/>
  </r>
  <r>
    <x v="0"/>
    <x v="1"/>
    <x v="0"/>
    <s v="lt004_protection"/>
    <s v="prtctn_id"/>
    <x v="0"/>
    <s v="1. Concluído"/>
    <m/>
    <m/>
    <m/>
    <m/>
    <m/>
    <m/>
    <m/>
    <s v=""/>
    <s v=""/>
    <s v=""/>
    <d v="2024-10-23T00:00:00"/>
    <m/>
    <m/>
    <m/>
    <m/>
    <m/>
    <x v="0"/>
    <m/>
  </r>
  <r>
    <x v="0"/>
    <x v="1"/>
    <x v="0"/>
    <s v="lt004_protection"/>
    <s v="rl_estt_clltrl_lctn"/>
    <x v="0"/>
    <s v="1. Concluído"/>
    <m/>
    <m/>
    <m/>
    <m/>
    <m/>
    <m/>
    <s v="Package X"/>
    <s v=""/>
    <s v=""/>
    <s v=""/>
    <d v="2024-10-23T00:00:00"/>
    <m/>
    <m/>
    <m/>
    <m/>
    <m/>
    <x v="0"/>
    <m/>
  </r>
  <r>
    <x v="0"/>
    <x v="1"/>
    <x v="0"/>
    <s v="lt004_protection"/>
    <s v="rl_estt_pst_cd"/>
    <x v="0"/>
    <s v="1. Concluído"/>
    <m/>
    <m/>
    <m/>
    <m/>
    <m/>
    <m/>
    <m/>
    <s v=""/>
    <s v=""/>
    <s v=""/>
    <d v="2024-10-23T00:00:00"/>
    <m/>
    <m/>
    <m/>
    <m/>
    <m/>
    <x v="0"/>
    <m/>
  </r>
  <r>
    <x v="0"/>
    <x v="1"/>
    <x v="0"/>
    <s v="lt004_protection"/>
    <s v="typ_prtctn"/>
    <x v="0"/>
    <s v="1. Concluído"/>
    <m/>
    <m/>
    <m/>
    <m/>
    <m/>
    <m/>
    <m/>
    <s v=""/>
    <s v=""/>
    <s v=""/>
    <d v="2024-10-30T00:00:00"/>
    <m/>
    <m/>
    <m/>
    <m/>
    <m/>
    <x v="0"/>
    <m/>
  </r>
  <r>
    <x v="0"/>
    <x v="1"/>
    <x v="0"/>
    <s v="lt004_protection"/>
    <s v="orgnl_prtctn_vl"/>
    <x v="0"/>
    <s v="1. Concluído"/>
    <m/>
    <m/>
    <m/>
    <m/>
    <m/>
    <m/>
    <m/>
    <s v=""/>
    <s v=""/>
    <s v=""/>
    <d v="2024-10-30T00:00:00"/>
    <m/>
    <m/>
    <m/>
    <m/>
    <m/>
    <x v="0"/>
    <m/>
  </r>
  <r>
    <x v="0"/>
    <x v="1"/>
    <x v="0"/>
    <s v="lt004_protection"/>
    <s v="prtctn_vl"/>
    <x v="0"/>
    <s v="1. Concluído"/>
    <m/>
    <m/>
    <m/>
    <m/>
    <m/>
    <m/>
    <m/>
    <s v=""/>
    <s v=""/>
    <s v=""/>
    <d v="2024-10-23T00:00:00"/>
    <m/>
    <m/>
    <m/>
    <m/>
    <m/>
    <x v="0"/>
    <m/>
  </r>
  <r>
    <x v="0"/>
    <x v="1"/>
    <x v="0"/>
    <s v="lt004_protection"/>
    <s v="cod_soc"/>
    <x v="0"/>
    <s v="1. Concluído"/>
    <m/>
    <m/>
    <m/>
    <m/>
    <m/>
    <m/>
    <m/>
    <s v=""/>
    <s v=""/>
    <s v=""/>
    <m/>
    <m/>
    <m/>
    <m/>
    <m/>
    <m/>
    <x v="0"/>
    <m/>
  </r>
  <r>
    <x v="0"/>
    <x v="1"/>
    <x v="0"/>
    <s v="lt005_instr_ent"/>
    <s v="dt_rfrnc"/>
    <x v="0"/>
    <s v="1. Concluído"/>
    <m/>
    <m/>
    <m/>
    <m/>
    <m/>
    <m/>
    <m/>
    <s v=""/>
    <s v=""/>
    <s v=""/>
    <m/>
    <m/>
    <m/>
    <m/>
    <m/>
    <m/>
    <x v="0"/>
    <m/>
  </r>
  <r>
    <x v="0"/>
    <x v="1"/>
    <x v="0"/>
    <s v="lt005_instr_ent"/>
    <s v="entty_id"/>
    <x v="0"/>
    <s v="1. Concluído"/>
    <m/>
    <m/>
    <m/>
    <m/>
    <m/>
    <m/>
    <m/>
    <s v=""/>
    <s v=""/>
    <s v=""/>
    <m/>
    <m/>
    <m/>
    <m/>
    <m/>
    <m/>
    <x v="0"/>
    <m/>
  </r>
  <r>
    <x v="0"/>
    <x v="1"/>
    <x v="0"/>
    <s v="lt005_instr_ent"/>
    <s v="instrmnt_id"/>
    <x v="0"/>
    <s v="1. Concluído"/>
    <m/>
    <m/>
    <m/>
    <m/>
    <m/>
    <m/>
    <m/>
    <s v=""/>
    <s v=""/>
    <s v=""/>
    <m/>
    <m/>
    <m/>
    <m/>
    <m/>
    <m/>
    <x v="0"/>
    <m/>
  </r>
  <r>
    <x v="0"/>
    <x v="1"/>
    <x v="0"/>
    <s v="lt005_instr_ent"/>
    <s v="cod_soc"/>
    <x v="0"/>
    <s v="1. Concluído"/>
    <m/>
    <m/>
    <m/>
    <m/>
    <m/>
    <m/>
    <m/>
    <s v=""/>
    <s v=""/>
    <s v=""/>
    <m/>
    <m/>
    <m/>
    <m/>
    <m/>
    <m/>
    <x v="0"/>
    <m/>
  </r>
  <r>
    <x v="0"/>
    <x v="1"/>
    <x v="0"/>
    <s v="lt005_instr_ent"/>
    <s v="mn_entty_id"/>
    <x v="0"/>
    <s v="1. Concluído"/>
    <m/>
    <m/>
    <m/>
    <m/>
    <m/>
    <m/>
    <m/>
    <s v=""/>
    <s v=""/>
    <s v=""/>
    <m/>
    <m/>
    <m/>
    <m/>
    <m/>
    <m/>
    <x v="0"/>
    <m/>
  </r>
  <r>
    <x v="0"/>
    <x v="1"/>
    <x v="0"/>
    <s v="lt006_instr_prot"/>
    <s v="dt_rfrnc"/>
    <x v="0"/>
    <s v="1. Concluído"/>
    <m/>
    <m/>
    <m/>
    <m/>
    <m/>
    <m/>
    <m/>
    <s v=""/>
    <s v=""/>
    <s v=""/>
    <m/>
    <m/>
    <m/>
    <m/>
    <m/>
    <m/>
    <x v="0"/>
    <m/>
  </r>
  <r>
    <x v="0"/>
    <x v="1"/>
    <x v="0"/>
    <s v="lt006_instr_prot"/>
    <s v="instrmnt_id"/>
    <x v="0"/>
    <s v="1. Concluído"/>
    <m/>
    <m/>
    <m/>
    <m/>
    <m/>
    <m/>
    <m/>
    <s v=""/>
    <s v=""/>
    <s v=""/>
    <m/>
    <m/>
    <m/>
    <m/>
    <m/>
    <m/>
    <x v="0"/>
    <m/>
  </r>
  <r>
    <x v="0"/>
    <x v="1"/>
    <x v="0"/>
    <s v="lt006_instr_prot"/>
    <s v="prtctn_id"/>
    <x v="0"/>
    <s v="1. Concluído"/>
    <m/>
    <m/>
    <m/>
    <m/>
    <m/>
    <m/>
    <m/>
    <s v=""/>
    <s v=""/>
    <s v=""/>
    <m/>
    <m/>
    <m/>
    <m/>
    <m/>
    <m/>
    <x v="0"/>
    <m/>
  </r>
  <r>
    <x v="0"/>
    <x v="1"/>
    <x v="0"/>
    <s v="lt006_instr_prot"/>
    <s v="cod_soc"/>
    <x v="0"/>
    <s v="1. Concluído"/>
    <m/>
    <m/>
    <m/>
    <m/>
    <m/>
    <m/>
    <m/>
    <s v=""/>
    <s v=""/>
    <s v=""/>
    <m/>
    <m/>
    <m/>
    <m/>
    <m/>
    <m/>
    <x v="0"/>
    <s v="JB"/>
  </r>
  <r>
    <x v="0"/>
    <x v="1"/>
    <x v="0"/>
    <s v="lt004_protection"/>
    <s v="flg_fin"/>
    <x v="3"/>
    <s v="0. Cancelado"/>
    <m/>
    <m/>
    <m/>
    <m/>
    <m/>
    <m/>
    <m/>
    <s v=""/>
    <s v=""/>
    <s v=""/>
    <m/>
    <m/>
    <m/>
    <m/>
    <m/>
    <m/>
    <x v="0"/>
    <s v="JB"/>
  </r>
  <r>
    <x v="0"/>
    <x v="1"/>
    <x v="0"/>
    <s v="lt004_protection"/>
    <s v="flg_exec"/>
    <x v="3"/>
    <s v="0. Cancelado"/>
    <m/>
    <m/>
    <m/>
    <m/>
    <m/>
    <m/>
    <m/>
    <s v=""/>
    <s v=""/>
    <s v=""/>
    <m/>
    <m/>
    <m/>
    <m/>
    <m/>
    <m/>
    <x v="0"/>
    <s v="JB"/>
  </r>
  <r>
    <x v="0"/>
    <x v="1"/>
    <x v="0"/>
    <s v="lt004_protection"/>
    <s v="flg_col"/>
    <x v="3"/>
    <s v="0. Cancelado"/>
    <m/>
    <m/>
    <m/>
    <m/>
    <m/>
    <m/>
    <m/>
    <s v=""/>
    <s v=""/>
    <s v=""/>
    <m/>
    <m/>
    <m/>
    <m/>
    <m/>
    <m/>
    <x v="0"/>
    <m/>
  </r>
  <r>
    <x v="0"/>
    <x v="1"/>
    <x v="0"/>
    <s v="lt004_protection"/>
    <s v="flg_pro"/>
    <x v="3"/>
    <s v="0. Cancelado"/>
    <m/>
    <m/>
    <m/>
    <m/>
    <m/>
    <m/>
    <m/>
    <s v=""/>
    <s v=""/>
    <s v=""/>
    <m/>
    <m/>
    <m/>
    <m/>
    <m/>
    <m/>
    <x v="0"/>
    <m/>
  </r>
  <r>
    <x v="0"/>
    <x v="4"/>
    <x v="0"/>
    <s v="modesg_inp_emss_nace"/>
    <s v="nome_regiao"/>
    <x v="3"/>
    <s v="0. Cancelado"/>
    <m/>
    <m/>
    <m/>
    <m/>
    <m/>
    <m/>
    <s v="Package X"/>
    <s v=""/>
    <s v=""/>
    <s v=""/>
    <m/>
    <m/>
    <m/>
    <m/>
    <m/>
    <m/>
    <x v="0"/>
    <m/>
  </r>
  <r>
    <x v="0"/>
    <x v="4"/>
    <x v="0"/>
    <s v="modesg_inp_emss_nace"/>
    <s v="area_atividade"/>
    <x v="3"/>
    <s v="0. Cancelado"/>
    <m/>
    <m/>
    <m/>
    <m/>
    <m/>
    <m/>
    <s v="Package X"/>
    <s v=""/>
    <s v=""/>
    <s v=""/>
    <m/>
    <m/>
    <m/>
    <m/>
    <m/>
    <m/>
    <x v="0"/>
    <m/>
  </r>
  <r>
    <x v="0"/>
    <x v="4"/>
    <x v="0"/>
    <s v="modesg_inp_emss_nace"/>
    <s v="tipo_atividade"/>
    <x v="3"/>
    <s v="0. Cancelado"/>
    <m/>
    <m/>
    <m/>
    <m/>
    <m/>
    <m/>
    <s v="Package X"/>
    <s v=""/>
    <s v=""/>
    <s v=""/>
    <m/>
    <m/>
    <m/>
    <m/>
    <m/>
    <m/>
    <x v="0"/>
    <m/>
  </r>
  <r>
    <x v="0"/>
    <x v="4"/>
    <x v="0"/>
    <s v="modesg_inp_emss_nace"/>
    <s v="sub_tipo_atividade_1"/>
    <x v="3"/>
    <s v="0. Cancelado"/>
    <m/>
    <m/>
    <m/>
    <m/>
    <m/>
    <m/>
    <s v="Package X"/>
    <s v=""/>
    <s v=""/>
    <s v=""/>
    <m/>
    <m/>
    <m/>
    <m/>
    <m/>
    <m/>
    <x v="0"/>
    <m/>
  </r>
  <r>
    <x v="0"/>
    <x v="4"/>
    <x v="0"/>
    <s v="modesg_inp_emss_nace"/>
    <s v="sub_tipo_atividade_2"/>
    <x v="3"/>
    <s v="0. Cancelado"/>
    <m/>
    <m/>
    <m/>
    <m/>
    <m/>
    <m/>
    <s v="Package X"/>
    <s v=""/>
    <s v=""/>
    <s v=""/>
    <m/>
    <m/>
    <m/>
    <m/>
    <m/>
    <m/>
    <x v="0"/>
    <m/>
  </r>
  <r>
    <x v="0"/>
    <x v="4"/>
    <x v="0"/>
    <s v="modesg_inp_emss_nace"/>
    <s v="unidades_unidade_funcional"/>
    <x v="3"/>
    <s v="0. Cancelado"/>
    <m/>
    <m/>
    <m/>
    <m/>
    <m/>
    <m/>
    <s v="Package X"/>
    <s v=""/>
    <s v=""/>
    <s v=""/>
    <m/>
    <m/>
    <m/>
    <m/>
    <m/>
    <m/>
    <x v="0"/>
    <m/>
  </r>
  <r>
    <x v="0"/>
    <x v="4"/>
    <x v="0"/>
    <s v="modesg_inp_emss_nace"/>
    <s v="fator_emissao"/>
    <x v="3"/>
    <s v="0. Cancelado"/>
    <m/>
    <m/>
    <m/>
    <m/>
    <m/>
    <m/>
    <s v="Package X"/>
    <s v=""/>
    <s v=""/>
    <s v=""/>
    <m/>
    <m/>
    <m/>
    <m/>
    <m/>
    <m/>
    <x v="0"/>
    <m/>
  </r>
  <r>
    <x v="0"/>
    <x v="4"/>
    <x v="0"/>
    <s v="modesg_inp_km_medios_emss_vcls"/>
    <s v="media_scp1_emss"/>
    <x v="3"/>
    <s v="0. Cancelado"/>
    <m/>
    <m/>
    <m/>
    <m/>
    <m/>
    <m/>
    <m/>
    <s v=""/>
    <s v=""/>
    <s v=""/>
    <m/>
    <m/>
    <m/>
    <m/>
    <m/>
    <m/>
    <x v="0"/>
    <m/>
  </r>
  <r>
    <x v="0"/>
    <x v="4"/>
    <x v="0"/>
    <s v="modesg_inp_km_medios_emss_vcls"/>
    <s v="media_scp2_emss"/>
    <x v="3"/>
    <s v="0. Cancelado"/>
    <m/>
    <m/>
    <m/>
    <m/>
    <m/>
    <m/>
    <m/>
    <s v=""/>
    <s v=""/>
    <s v=""/>
    <m/>
    <m/>
    <m/>
    <m/>
    <m/>
    <m/>
    <x v="0"/>
    <m/>
  </r>
  <r>
    <x v="0"/>
    <x v="4"/>
    <x v="0"/>
    <s v="modesg_inp_km_medios_emss_vcls"/>
    <s v="media_scp3_emss"/>
    <x v="3"/>
    <s v="0. Cancelado"/>
    <m/>
    <m/>
    <m/>
    <m/>
    <m/>
    <m/>
    <m/>
    <s v=""/>
    <s v=""/>
    <s v=""/>
    <m/>
    <m/>
    <m/>
    <m/>
    <m/>
    <m/>
    <x v="0"/>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6" cacheId="6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8">
  <location ref="B172:C177" firstHeaderRow="1" firstDataRow="1" firstDataCol="1" rowPageCount="2" colPageCount="1"/>
  <pivotFields count="25">
    <pivotField showAll="0"/>
    <pivotField axis="axisPage" multipleItemSelectionAllowed="1" showAll="0">
      <items count="6">
        <item h="1" x="3"/>
        <item h="1" x="0"/>
        <item h="1" x="4"/>
        <item h="1" x="2"/>
        <item x="1"/>
        <item t="default"/>
      </items>
    </pivotField>
    <pivotField showAll="0"/>
    <pivotField showAll="0"/>
    <pivotField showAll="0"/>
    <pivotField axis="axisRow" dataField="1" showAll="0" countASubtotal="1">
      <items count="14">
        <item x="3"/>
        <item x="0"/>
        <item x="4"/>
        <item m="1" x="11"/>
        <item m="1" x="8"/>
        <item m="1" x="12"/>
        <item m="1" x="7"/>
        <item x="1"/>
        <item x="2"/>
        <item m="1" x="10"/>
        <item m="1" x="6"/>
        <item m="1" x="9"/>
        <item m="1" x="5"/>
        <item t="countA"/>
      </items>
    </pivotField>
    <pivotField showAll="0"/>
    <pivotField showAll="0"/>
    <pivotField showAll="0" defaultSubtotal="0"/>
    <pivotField showAll="0" defaultSubtotal="0"/>
    <pivotField showAll="0" defaultSubtotal="0"/>
    <pivotField showAll="0" defaultSubtotal="0"/>
    <pivotField showAll="0" defaultSubtotal="0"/>
    <pivotField showAll="0" defaultSubtotal="0"/>
    <pivotField showAll="0"/>
    <pivotField showAll="0"/>
    <pivotField showAll="0"/>
    <pivotField showAll="0"/>
    <pivotField showAll="0"/>
    <pivotField showAll="0" defaultSubtotal="0"/>
    <pivotField showAll="0" defaultSubtotal="0"/>
    <pivotField showAll="0" defaultSubtotal="0"/>
    <pivotField showAll="0" defaultSubtotal="0"/>
    <pivotField axis="axisPage" multipleItemSelectionAllowed="1" showAll="0">
      <items count="8">
        <item x="1"/>
        <item h="1" x="0"/>
        <item h="1" x="3"/>
        <item h="1" x="4"/>
        <item h="1" x="2"/>
        <item h="1" m="1" x="6"/>
        <item h="1" x="5"/>
        <item t="default"/>
      </items>
    </pivotField>
    <pivotField showAll="0"/>
  </pivotFields>
  <rowFields count="1">
    <field x="5"/>
  </rowFields>
  <rowItems count="5">
    <i>
      <x v="1"/>
    </i>
    <i>
      <x v="2"/>
    </i>
    <i>
      <x v="7"/>
    </i>
    <i>
      <x v="8"/>
    </i>
    <i t="grand">
      <x/>
    </i>
  </rowItems>
  <colItems count="1">
    <i/>
  </colItems>
  <pageFields count="2">
    <pageField fld="1" hier="-1"/>
    <pageField fld="23" hier="-1"/>
  </pageFields>
  <dataFields count="1">
    <dataField name="Count of Status Atual" fld="5" subtotal="count" baseField="0" baseItem="0"/>
  </dataFields>
  <chartFormats count="12">
    <chartFormat chart="3" format="5" series="1">
      <pivotArea type="data" outline="0" fieldPosition="0">
        <references count="1">
          <reference field="4294967294" count="1" selected="0">
            <x v="0"/>
          </reference>
        </references>
      </pivotArea>
    </chartFormat>
    <chartFormat chart="9" format="18" series="1">
      <pivotArea type="data" outline="0" fieldPosition="0">
        <references count="1">
          <reference field="4294967294" count="1" selected="0">
            <x v="0"/>
          </reference>
        </references>
      </pivotArea>
    </chartFormat>
    <chartFormat chart="9" format="19">
      <pivotArea type="data" outline="0" fieldPosition="0">
        <references count="2">
          <reference field="4294967294" count="1" selected="0">
            <x v="0"/>
          </reference>
          <reference field="5" count="1" selected="0">
            <x v="1"/>
          </reference>
        </references>
      </pivotArea>
    </chartFormat>
    <chartFormat chart="9" format="20">
      <pivotArea type="data" outline="0" fieldPosition="0">
        <references count="2">
          <reference field="4294967294" count="1" selected="0">
            <x v="0"/>
          </reference>
          <reference field="5" count="1" selected="0">
            <x v="10"/>
          </reference>
        </references>
      </pivotArea>
    </chartFormat>
    <chartFormat chart="17" format="4" series="1">
      <pivotArea type="data" outline="0" fieldPosition="0">
        <references count="1">
          <reference field="4294967294" count="1" selected="0">
            <x v="0"/>
          </reference>
        </references>
      </pivotArea>
    </chartFormat>
    <chartFormat chart="17" format="5">
      <pivotArea type="data" outline="0" fieldPosition="0">
        <references count="2">
          <reference field="4294967294" count="1" selected="0">
            <x v="0"/>
          </reference>
          <reference field="5" count="1" selected="0">
            <x v="1"/>
          </reference>
        </references>
      </pivotArea>
    </chartFormat>
    <chartFormat chart="17" format="6">
      <pivotArea type="data" outline="0" fieldPosition="0">
        <references count="2">
          <reference field="4294967294" count="1" selected="0">
            <x v="0"/>
          </reference>
          <reference field="5" count="1" selected="0">
            <x v="10"/>
          </reference>
        </references>
      </pivotArea>
    </chartFormat>
    <chartFormat chart="17" format="7">
      <pivotArea type="data" outline="0" fieldPosition="0">
        <references count="2">
          <reference field="4294967294" count="1" selected="0">
            <x v="0"/>
          </reference>
          <reference field="5" count="1" selected="0">
            <x v="8"/>
          </reference>
        </references>
      </pivotArea>
    </chartFormat>
    <chartFormat chart="17" format="8">
      <pivotArea type="data" outline="0" fieldPosition="0">
        <references count="2">
          <reference field="4294967294" count="1" selected="0">
            <x v="0"/>
          </reference>
          <reference field="5" count="1" selected="0">
            <x v="6"/>
          </reference>
        </references>
      </pivotArea>
    </chartFormat>
    <chartFormat chart="17" format="9">
      <pivotArea type="data" outline="0" fieldPosition="0">
        <references count="2">
          <reference field="4294967294" count="1" selected="0">
            <x v="0"/>
          </reference>
          <reference field="5" count="1" selected="0">
            <x v="3"/>
          </reference>
        </references>
      </pivotArea>
    </chartFormat>
    <chartFormat chart="17" format="10">
      <pivotArea type="data" outline="0" fieldPosition="0">
        <references count="2">
          <reference field="4294967294" count="1" selected="0">
            <x v="0"/>
          </reference>
          <reference field="5" count="1" selected="0">
            <x v="2"/>
          </reference>
        </references>
      </pivotArea>
    </chartFormat>
    <chartFormat chart="17" format="11">
      <pivotArea type="data" outline="0" fieldPosition="0">
        <references count="2">
          <reference field="4294967294" count="1" selected="0">
            <x v="0"/>
          </reference>
          <reference field="5" count="1" selected="0">
            <x v="7"/>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8" cacheId="44"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15">
  <location ref="B111:C115" firstHeaderRow="1" firstDataRow="1" firstDataCol="1" rowPageCount="3" colPageCount="1"/>
  <pivotFields count="5">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5">
        <item x="0"/>
        <item x="1"/>
        <item x="2"/>
        <item x="3"/>
        <item x="4"/>
      </items>
    </pivotField>
  </pivotFields>
  <rowFields count="1">
    <field x="4"/>
  </rowFields>
  <rowItems count="4">
    <i>
      <x/>
    </i>
    <i>
      <x v="1"/>
    </i>
    <i>
      <x v="2"/>
    </i>
    <i t="grand">
      <x/>
    </i>
  </rowItems>
  <colItems count="1">
    <i/>
  </colItems>
  <pageFields count="3">
    <pageField fld="0" hier="36" name="[Table4].[Âmbito].[All]" cap="All"/>
    <pageField fld="1" hier="37" name="[Table4].[Sub-âmbito].&amp;[Modelo Verde - Input]" cap="Modelo Verde - Input"/>
    <pageField fld="2" hier="38" name="[Table4].[Tipo de teste].&amp;[2. Campo]" cap="2. Campo"/>
  </pageFields>
  <dataFields count="1">
    <dataField name="Count of Campo" fld="3" subtotal="count" baseField="0" baseItem="0"/>
  </dataFields>
  <chartFormats count="12">
    <chartFormat chart="9" format="57" series="1">
      <pivotArea type="data" outline="0" fieldPosition="0">
        <references count="1">
          <reference field="4294967294" count="1" selected="0">
            <x v="0"/>
          </reference>
        </references>
      </pivotArea>
    </chartFormat>
    <chartFormat chart="9" format="58">
      <pivotArea type="data" outline="0" fieldPosition="0">
        <references count="2">
          <reference field="4294967294" count="1" selected="0">
            <x v="0"/>
          </reference>
          <reference field="4" count="1" selected="0">
            <x v="0"/>
          </reference>
        </references>
      </pivotArea>
    </chartFormat>
    <chartFormat chart="9" format="59">
      <pivotArea type="data" outline="0" fieldPosition="0">
        <references count="2">
          <reference field="4294967294" count="1" selected="0">
            <x v="0"/>
          </reference>
          <reference field="4" count="1" selected="0">
            <x v="1"/>
          </reference>
        </references>
      </pivotArea>
    </chartFormat>
    <chartFormat chart="9" format="63">
      <pivotArea type="data" outline="0" fieldPosition="0">
        <references count="2">
          <reference field="4294967294" count="1" selected="0">
            <x v="0"/>
          </reference>
          <reference field="4" count="1" selected="0">
            <x v="4"/>
          </reference>
        </references>
      </pivotArea>
    </chartFormat>
    <chartFormat chart="10" format="73" series="1">
      <pivotArea type="data" outline="0" fieldPosition="0">
        <references count="1">
          <reference field="4294967294" count="1" selected="0">
            <x v="0"/>
          </reference>
        </references>
      </pivotArea>
    </chartFormat>
    <chartFormat chart="10" format="73" series="1">
      <pivotArea type="data" outline="0" fieldPosition="0">
        <references count="1">
          <reference field="4294967294" count="1" selected="0">
            <x v="0"/>
          </reference>
        </references>
      </pivotArea>
    </chartFormat>
    <chartFormat chart="6" format="64" series="1">
      <pivotArea type="data" outline="0" fieldPosition="0">
        <references count="1">
          <reference field="4294967294" count="1" selected="0">
            <x v="0"/>
          </reference>
        </references>
      </pivotArea>
    </chartFormat>
    <chartFormat chart="6" format="65">
      <pivotArea type="data" outline="0" fieldPosition="0">
        <references count="2">
          <reference field="4294967294" count="1" selected="0">
            <x v="0"/>
          </reference>
          <reference field="4" count="1" selected="0">
            <x v="1"/>
          </reference>
        </references>
      </pivotArea>
    </chartFormat>
    <chartFormat chart="6" format="66">
      <pivotArea type="data" outline="0" fieldPosition="0">
        <references count="2">
          <reference field="4294967294" count="1" selected="0">
            <x v="0"/>
          </reference>
          <reference field="4" count="1" selected="0">
            <x v="0"/>
          </reference>
        </references>
      </pivotArea>
    </chartFormat>
    <chartFormat chart="6" format="71">
      <pivotArea type="data" outline="0" fieldPosition="0">
        <references count="2">
          <reference field="4294967294" count="1" selected="0">
            <x v="0"/>
          </reference>
          <reference field="4" count="1" selected="0">
            <x v="4"/>
          </reference>
        </references>
      </pivotArea>
    </chartFormat>
    <chartFormat chart="6" format="73">
      <pivotArea type="data" outline="0" fieldPosition="0">
        <references count="2">
          <reference field="4294967294" count="1" selected="0">
            <x v="0"/>
          </reference>
          <reference field="4" count="1" selected="0">
            <x v="3"/>
          </reference>
        </references>
      </pivotArea>
    </chartFormat>
    <chartFormat chart="6" format="74">
      <pivotArea type="data" outline="0" fieldPosition="0">
        <references count="2">
          <reference field="4294967294" count="1" selected="0">
            <x v="0"/>
          </reference>
          <reference field="4" count="1" selected="0">
            <x v="2"/>
          </reference>
        </references>
      </pivotArea>
    </chartFormat>
  </chartFormats>
  <pivotHierarchies count="7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members count="2" level="1">
        <member name="[Table4].[Sub-âmbito].&amp;[Modelo Verde - Input]"/>
        <member name="[Table4].[Sub-âmbito].&amp;[Modelo Verde - Output]"/>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4]"/>
      </x15:pivotTableUISettings>
    </ext>
  </extLst>
</pivotTableDefinition>
</file>

<file path=xl/pivotTables/pivotTable3.xml><?xml version="1.0" encoding="utf-8"?>
<pivotTableDefinition xmlns="http://schemas.openxmlformats.org/spreadsheetml/2006/main" name="PivotTable9" cacheId="41"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16">
  <location ref="B133:H143" firstHeaderRow="1" firstDataRow="2" firstDataCol="1" rowPageCount="3" colPageCount="1"/>
  <pivotFields count="6">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 axis="axisCol" allDrilled="1" subtotalTop="0" showAll="0" dataSourceSort="1" defaultSubtotal="0" defaultAttributeDrillState="1">
      <items count="5">
        <item x="0"/>
        <item x="1"/>
        <item x="2"/>
        <item x="3"/>
        <item x="4"/>
      </items>
    </pivotField>
  </pivotFields>
  <rowFields count="1">
    <field x="3"/>
  </rowFields>
  <rowItems count="9">
    <i>
      <x/>
    </i>
    <i>
      <x v="1"/>
    </i>
    <i>
      <x v="2"/>
    </i>
    <i>
      <x v="3"/>
    </i>
    <i>
      <x v="4"/>
    </i>
    <i>
      <x v="5"/>
    </i>
    <i>
      <x v="6"/>
    </i>
    <i>
      <x v="7"/>
    </i>
    <i t="grand">
      <x/>
    </i>
  </rowItems>
  <colFields count="1">
    <field x="5"/>
  </colFields>
  <colItems count="6">
    <i>
      <x/>
    </i>
    <i>
      <x v="1"/>
    </i>
    <i>
      <x v="2"/>
    </i>
    <i>
      <x v="3"/>
    </i>
    <i>
      <x v="4"/>
    </i>
    <i t="grand">
      <x/>
    </i>
  </colItems>
  <pageFields count="3">
    <pageField fld="0" hier="36" name="[Table4].[Âmbito].&amp;[Pilar III]" cap="Pilar III"/>
    <pageField fld="1" hier="37" name="[Table4].[Sub-âmbito].&amp;[Pilar III]" cap="Pilar III"/>
    <pageField fld="2" hier="38" name="[Table4].[Tipo de teste].&amp;[2. Campo]" cap="2. Campo"/>
  </pageFields>
  <dataFields count="1">
    <dataField name="Count of Campo" fld="4" subtotal="count" baseField="0" baseItem="0"/>
  </dataFields>
  <chartFormats count="5">
    <chartFormat chart="7" format="56" series="1">
      <pivotArea type="data" outline="0" fieldPosition="0">
        <references count="2">
          <reference field="4294967294" count="1" selected="0">
            <x v="0"/>
          </reference>
          <reference field="5" count="1" selected="0">
            <x v="0"/>
          </reference>
        </references>
      </pivotArea>
    </chartFormat>
    <chartFormat chart="7" format="57" series="1">
      <pivotArea type="data" outline="0" fieldPosition="0">
        <references count="2">
          <reference field="4294967294" count="1" selected="0">
            <x v="0"/>
          </reference>
          <reference field="5" count="1" selected="0">
            <x v="1"/>
          </reference>
        </references>
      </pivotArea>
    </chartFormat>
    <chartFormat chart="7" format="61" series="1">
      <pivotArea type="data" outline="0" fieldPosition="0">
        <references count="2">
          <reference field="4294967294" count="1" selected="0">
            <x v="0"/>
          </reference>
          <reference field="5" count="1" selected="0">
            <x v="4"/>
          </reference>
        </references>
      </pivotArea>
    </chartFormat>
    <chartFormat chart="7" format="70" series="1">
      <pivotArea type="data" outline="0" fieldPosition="0">
        <references count="2">
          <reference field="4294967294" count="1" selected="0">
            <x v="0"/>
          </reference>
          <reference field="5" count="1" selected="0">
            <x v="3"/>
          </reference>
        </references>
      </pivotArea>
    </chartFormat>
    <chartFormat chart="7" format="72" series="1">
      <pivotArea type="data" outline="0" fieldPosition="0">
        <references count="2">
          <reference field="4294967294" count="1" selected="0">
            <x v="0"/>
          </reference>
          <reference field="5" count="1" selected="0">
            <x v="2"/>
          </reference>
        </references>
      </pivotArea>
    </chartFormat>
  </chartFormats>
  <pivotHierarchies count="7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1" level="1">
        <member name="[Table4].[Sub-âmbito].&amp;[Pilar III]"/>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9"/>
  </rowHierarchiesUsage>
  <colHierarchiesUsage count="1">
    <colHierarchyUsage hierarchyUsage="41"/>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stes GD Pilar 3 - Plano_versão trabalho_V1.2.xlsx!Table4">
        <x15:activeTabTopLevelEntity name="[Table4]"/>
      </x15:pivotTableUISettings>
    </ext>
  </extLst>
</pivotTableDefinition>
</file>

<file path=xl/pivotTables/pivotTable4.xml><?xml version="1.0" encoding="utf-8"?>
<pivotTableDefinition xmlns="http://schemas.openxmlformats.org/spreadsheetml/2006/main" name="PivotTable5" cacheId="53"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34">
  <location ref="B66:C69" firstHeaderRow="1" firstDataRow="1" firstDataCol="1" rowPageCount="3" colPageCount="1"/>
  <pivotFields count="7">
    <pivotField allDrilled="1" subtotalTop="0" showAll="0" dataSourceSort="1" defaultSubtotal="0" defaultAttributeDrillState="1"/>
    <pivotField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dataField="1" subtotalTop="0" showAll="0" defaultSubtotal="0"/>
    <pivotField axis="axisRow" allDrilled="1" subtotalTop="0" showAll="0" defaultSubtotal="0" defaultAttributeDrillState="1">
      <items count="3">
        <item x="0"/>
        <item x="1"/>
        <item x="2"/>
      </items>
    </pivotField>
  </pivotFields>
  <rowFields count="1">
    <field x="6"/>
  </rowFields>
  <rowItems count="3">
    <i>
      <x/>
    </i>
    <i>
      <x v="1"/>
    </i>
    <i t="grand">
      <x/>
    </i>
  </rowItems>
  <colItems count="1">
    <i/>
  </colItems>
  <pageFields count="3">
    <pageField fld="2" hier="36" name="[Table4].[Âmbito].&amp;[Pilar III]" cap="Pilar III"/>
    <pageField fld="3" hier="37" name="[Table4].[Sub-âmbito].&amp;[Bens Imóveis - Input]" cap="Bens Imóveis - Input"/>
    <pageField fld="4" hier="38" name="[Table4].[Tipo de teste].&amp;[2. Campo]" cap="2. Campo"/>
  </pageFields>
  <dataFields count="1">
    <dataField name="Count of Campo" fld="5" subtotal="count" baseField="0" baseItem="0"/>
  </dataFields>
  <chartFormats count="11">
    <chartFormat chart="6" format="57">
      <pivotArea type="data" outline="0" fieldPosition="0">
        <references count="2">
          <reference field="4294967294" count="1" selected="0">
            <x v="0"/>
          </reference>
          <reference field="6" count="1" selected="0">
            <x v="1"/>
          </reference>
        </references>
      </pivotArea>
    </chartFormat>
    <chartFormat chart="6" format="58">
      <pivotArea type="data" outline="0" fieldPosition="0">
        <references count="2">
          <reference field="4294967294" count="1" selected="0">
            <x v="0"/>
          </reference>
          <reference field="6" count="1" selected="0">
            <x v="0"/>
          </reference>
        </references>
      </pivotArea>
    </chartFormat>
    <chartFormat chart="6" format="59">
      <pivotArea type="data" outline="0" fieldPosition="0">
        <references count="2">
          <reference field="4294967294" count="1" selected="0">
            <x v="0"/>
          </reference>
          <reference field="6" count="1" selected="0">
            <x v="2"/>
          </reference>
        </references>
      </pivotArea>
    </chartFormat>
    <chartFormat chart="6" format="60">
      <pivotArea type="data" outline="0" fieldPosition="0">
        <references count="2">
          <reference field="4294967294" count="1" selected="0">
            <x v="0"/>
          </reference>
          <reference field="6" count="1" selected="0">
            <x v="1048832"/>
          </reference>
        </references>
      </pivotArea>
    </chartFormat>
    <chartFormat chart="6" format="61" series="1">
      <pivotArea type="data" outline="0" fieldPosition="0">
        <references count="1">
          <reference field="4294967294" count="1" selected="0">
            <x v="0"/>
          </reference>
        </references>
      </pivotArea>
    </chartFormat>
    <chartFormat chart="6" format="62">
      <pivotArea type="data" outline="0" fieldPosition="0">
        <references count="2">
          <reference field="4294967294" count="1" selected="0">
            <x v="0"/>
          </reference>
          <reference field="6" count="1" selected="0">
            <x v="1048832"/>
          </reference>
        </references>
      </pivotArea>
    </chartFormat>
    <chartFormat chart="6" format="63">
      <pivotArea type="data" outline="0" fieldPosition="0">
        <references count="2">
          <reference field="4294967294" count="1" selected="0">
            <x v="0"/>
          </reference>
          <reference field="6" count="1" selected="0">
            <x v="1048832"/>
          </reference>
        </references>
      </pivotArea>
    </chartFormat>
    <chartFormat chart="6" format="64">
      <pivotArea type="data" outline="0" fieldPosition="0">
        <references count="2">
          <reference field="4294967294" count="1" selected="0">
            <x v="0"/>
          </reference>
          <reference field="6" count="1" selected="0">
            <x v="1048832"/>
          </reference>
        </references>
      </pivotArea>
    </chartFormat>
    <chartFormat chart="6" format="65">
      <pivotArea type="data" outline="0" fieldPosition="0">
        <references count="2">
          <reference field="4294967294" count="1" selected="0">
            <x v="0"/>
          </reference>
          <reference field="6" count="1" selected="0">
            <x v="1048832"/>
          </reference>
        </references>
      </pivotArea>
    </chartFormat>
    <chartFormat chart="6" format="66">
      <pivotArea type="data" outline="0" fieldPosition="0">
        <references count="2">
          <reference field="4294967294" count="1" selected="0">
            <x v="0"/>
          </reference>
          <reference field="6" count="1" selected="0">
            <x v="1048832"/>
          </reference>
        </references>
      </pivotArea>
    </chartFormat>
    <chartFormat chart="6" format="67">
      <pivotArea type="data" outline="0" fieldPosition="0">
        <references count="2">
          <reference field="4294967294" count="1" selected="0">
            <x v="0"/>
          </reference>
          <reference field="6" count="1" selected="0">
            <x v="1048832"/>
          </reference>
        </references>
      </pivotArea>
    </chartFormat>
  </chartFormats>
  <pivotHierarchies count="79">
    <pivotHierarchy dragToData="1"/>
    <pivotHierarchy multipleItemSelectionAllowed="1" dragToData="1">
      <members count="2" level="1">
        <member name="[Range].[Sub-âmbito].&amp;[Bens Imóveis - Input]"/>
        <member name="[Range].[Sub-âmbito].&amp;[Bens Imóveis - Output]"/>
      </members>
    </pivotHierarchy>
    <pivotHierarchy multipleItemSelectionAllowed="1" dragToData="1">
      <members count="1" level="1">
        <member name="[Range].[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2" level="1">
        <member name="[Table4].[Sub-âmbito].&amp;[Bens Imóveis - Input]"/>
        <member name="[Table4].[Sub-âmbito].&amp;[Bens Imóveis - Output]"/>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
        <x15:activeTabTopLevelEntity name="[Table4]"/>
      </x15:pivotTableUISettings>
    </ext>
  </extLst>
</pivotTableDefinition>
</file>

<file path=xl/pivotTables/pivotTable5.xml><?xml version="1.0" encoding="utf-8"?>
<pivotTableDefinition xmlns="http://schemas.openxmlformats.org/spreadsheetml/2006/main" name="PivotTable10" cacheId="47"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21">
  <location ref="B154:C160" firstHeaderRow="1" firstDataRow="1" firstDataCol="1" rowPageCount="3" colPageCount="1"/>
  <pivotFields count="5">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defaultSubtotal="0" defaultAttributeDrillState="1">
      <items count="5">
        <item x="1"/>
        <item x="0"/>
        <item x="4"/>
        <item x="3"/>
        <item x="2"/>
      </items>
    </pivotField>
    <pivotField dataField="1" subtotalTop="0" showAll="0" defaultSubtotal="0"/>
  </pivotFields>
  <rowFields count="1">
    <field x="3"/>
  </rowFields>
  <rowItems count="6">
    <i>
      <x/>
    </i>
    <i>
      <x v="1"/>
    </i>
    <i>
      <x v="2"/>
    </i>
    <i>
      <x v="3"/>
    </i>
    <i>
      <x v="4"/>
    </i>
    <i t="grand">
      <x/>
    </i>
  </rowItems>
  <colItems count="1">
    <i/>
  </colItems>
  <pageFields count="3">
    <pageField fld="0" hier="36" name="[Table4].[Âmbito].&amp;[Pilar III]" cap="Pilar III"/>
    <pageField fld="1" hier="37" name="[Table4].[Sub-âmbito].&amp;[Pilar III]" cap="Pilar III"/>
    <pageField fld="2" hier="38" name="[Table4].[Tipo de teste].&amp;[2. Campo]" cap="2. Campo"/>
  </pageFields>
  <dataFields count="1">
    <dataField name="Count of Campo" fld="4" subtotal="count" baseField="0" baseItem="0"/>
  </dataFields>
  <pivotHierarchies count="7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1" level="1">
        <member name="[Table4].[Sub-âmbito].&amp;[Pilar III]"/>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4]"/>
      </x15:pivotTableUISettings>
    </ext>
  </extLst>
</pivotTableDefinition>
</file>

<file path=xl/pivotTables/pivotTable6.xml><?xml version="1.0" encoding="utf-8"?>
<pivotTableDefinition xmlns="http://schemas.openxmlformats.org/spreadsheetml/2006/main" name="PivotTable1" cacheId="50"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14">
  <location ref="B49:E57" firstHeaderRow="1" firstDataRow="2" firstDataCol="1" rowPageCount="3" colPageCount="1"/>
  <pivotFields count="6">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sortType="descending" defaultSubtotal="0" defaultAttributeDrillState="1">
      <items count="6">
        <item x="5"/>
        <item x="4"/>
        <item x="3"/>
        <item x="2"/>
        <item x="1"/>
        <item x="0"/>
      </items>
    </pivotField>
    <pivotField dataField="1" subtotalTop="0" showAll="0" defaultSubtotal="0"/>
    <pivotField axis="axisCol" allDrilled="1" subtotalTop="0" showAll="0" dataSourceSort="1" defaultSubtotal="0" defaultAttributeDrillState="1">
      <items count="3">
        <item x="0"/>
        <item x="1"/>
        <item x="2"/>
      </items>
    </pivotField>
  </pivotFields>
  <rowFields count="1">
    <field x="3"/>
  </rowFields>
  <rowItems count="7">
    <i>
      <x/>
    </i>
    <i>
      <x v="1"/>
    </i>
    <i>
      <x v="2"/>
    </i>
    <i>
      <x v="3"/>
    </i>
    <i>
      <x v="4"/>
    </i>
    <i>
      <x v="5"/>
    </i>
    <i t="grand">
      <x/>
    </i>
  </rowItems>
  <colFields count="1">
    <field x="5"/>
  </colFields>
  <colItems count="3">
    <i>
      <x/>
    </i>
    <i>
      <x v="1"/>
    </i>
    <i t="grand">
      <x/>
    </i>
  </colItems>
  <pageFields count="3">
    <pageField fld="0" hier="36" name="[Table4].[Âmbito].&amp;[Pilar III]" cap="Pilar III"/>
    <pageField fld="1" hier="37" name="[Table4].[Sub-âmbito].&amp;[Bens Imóveis - Input]" cap="Bens Imóveis - Input"/>
    <pageField fld="2" hier="38" name="[Table4].[Tipo de teste].&amp;[2. Campo]" cap="2. Campo"/>
  </pageFields>
  <dataFields count="1">
    <dataField name="Count of Campo" fld="4" subtotal="count" baseField="0" baseItem="0"/>
  </dataFields>
  <chartFormats count="3">
    <chartFormat chart="6" format="55" series="1">
      <pivotArea type="data" outline="0" fieldPosition="0">
        <references count="2">
          <reference field="4294967294" count="1" selected="0">
            <x v="0"/>
          </reference>
          <reference field="5" count="1" selected="0">
            <x v="0"/>
          </reference>
        </references>
      </pivotArea>
    </chartFormat>
    <chartFormat chart="6" format="56" series="1">
      <pivotArea type="data" outline="0" fieldPosition="0">
        <references count="2">
          <reference field="4294967294" count="1" selected="0">
            <x v="0"/>
          </reference>
          <reference field="5" count="1" selected="0">
            <x v="1"/>
          </reference>
        </references>
      </pivotArea>
    </chartFormat>
    <chartFormat chart="6" format="59" series="1">
      <pivotArea type="data" outline="0" fieldPosition="0">
        <references count="2">
          <reference field="4294967294" count="1" selected="0">
            <x v="0"/>
          </reference>
          <reference field="5" count="1" selected="0">
            <x v="2"/>
          </reference>
        </references>
      </pivotArea>
    </chartFormat>
  </chartFormats>
  <pivotHierarchies count="7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2" level="1">
        <member name="[Table4].[Sub-âmbito].&amp;[Bens Imóveis - Input]"/>
        <member name="[Table4].[Sub-âmbito].&amp;[Bens Imóveis - Output]"/>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9"/>
  </rowHierarchiesUsage>
  <colHierarchiesUsage count="1">
    <colHierarchyUsage hierarchyUsage="41"/>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stes GD Pilar 3 - Plano_versão trabalho_V1.2.xlsx!Table4">
        <x15:activeTabTopLevelEntity name="[Table4]"/>
      </x15:pivotTableUISettings>
    </ext>
  </extLst>
</pivotTableDefinition>
</file>

<file path=xl/pivotTables/pivotTable7.xml><?xml version="1.0" encoding="utf-8"?>
<pivotTableDefinition xmlns="http://schemas.openxmlformats.org/spreadsheetml/2006/main" name="PivotTable14" cacheId="6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
  <location ref="B9:H11" firstHeaderRow="1" firstDataRow="2" firstDataCol="1" rowPageCount="2" colPageCount="1"/>
  <pivotFields count="25">
    <pivotField axis="axisPage" showAll="0">
      <items count="2">
        <item x="0"/>
        <item t="default"/>
      </items>
    </pivotField>
    <pivotField showAll="0"/>
    <pivotField axis="axisPage" showAll="0">
      <items count="4">
        <item x="1"/>
        <item x="0"/>
        <item m="1" x="2"/>
        <item t="default"/>
      </items>
    </pivotField>
    <pivotField showAll="0"/>
    <pivotField dataField="1" showAll="0"/>
    <pivotField axis="axisCol" showAll="0">
      <items count="14">
        <item x="3"/>
        <item x="0"/>
        <item x="4"/>
        <item m="1" x="12"/>
        <item m="1" x="7"/>
        <item x="1"/>
        <item m="1" x="10"/>
        <item m="1" x="8"/>
        <item m="1" x="9"/>
        <item m="1" x="6"/>
        <item x="2"/>
        <item m="1" x="11"/>
        <item m="1" x="5"/>
        <item t="default"/>
      </items>
    </pivotField>
    <pivotField showAll="0"/>
    <pivotField showAll="0"/>
    <pivotField showAll="0" defaultSubtotal="0"/>
    <pivotField showAll="0" defaultSubtotal="0"/>
    <pivotField showAll="0" defaultSubtotal="0"/>
    <pivotField showAll="0" defaultSubtotal="0"/>
    <pivotField showAll="0" defaultSubtotal="0"/>
    <pivotField showAll="0" defaultSubtotal="0"/>
    <pivotField showAll="0"/>
    <pivotField showAll="0"/>
    <pivotField showAll="0"/>
    <pivotField showAll="0"/>
    <pivotField showAll="0"/>
    <pivotField showAll="0" defaultSubtotal="0"/>
    <pivotField showAll="0" defaultSubtotal="0"/>
    <pivotField showAll="0" defaultSubtotal="0"/>
    <pivotField showAll="0" defaultSubtotal="0"/>
    <pivotField showAll="0" defaultSubtotal="0"/>
    <pivotField showAll="0" defaultSubtotal="0"/>
  </pivotFields>
  <rowItems count="1">
    <i/>
  </rowItems>
  <colFields count="1">
    <field x="5"/>
  </colFields>
  <colItems count="6">
    <i>
      <x/>
    </i>
    <i>
      <x v="1"/>
    </i>
    <i>
      <x v="2"/>
    </i>
    <i>
      <x v="5"/>
    </i>
    <i>
      <x v="10"/>
    </i>
    <i t="grand">
      <x/>
    </i>
  </colItems>
  <pageFields count="2">
    <pageField fld="0" item="0" hier="-1"/>
    <pageField fld="2" item="1" hier="-1"/>
  </pageFields>
  <dataFields count="1">
    <dataField name="Count of Campo" fld="4" subtotal="count" baseField="0" baseItem="0"/>
  </dataFields>
  <chartFormats count="12">
    <chartFormat chart="0" format="9" series="1">
      <pivotArea type="data" outline="0" fieldPosition="0">
        <references count="2">
          <reference field="4294967294" count="1" selected="0">
            <x v="0"/>
          </reference>
          <reference field="5" count="1" selected="0">
            <x v="0"/>
          </reference>
        </references>
      </pivotArea>
    </chartFormat>
    <chartFormat chart="0" format="10" series="1">
      <pivotArea type="data" outline="0" fieldPosition="0">
        <references count="2">
          <reference field="4294967294" count="1" selected="0">
            <x v="0"/>
          </reference>
          <reference field="5" count="1" selected="0">
            <x v="1"/>
          </reference>
        </references>
      </pivotArea>
    </chartFormat>
    <chartFormat chart="0" format="11" series="1">
      <pivotArea type="data" outline="0" fieldPosition="0">
        <references count="2">
          <reference field="4294967294" count="1" selected="0">
            <x v="0"/>
          </reference>
          <reference field="5" count="1" selected="0">
            <x v="2"/>
          </reference>
        </references>
      </pivotArea>
    </chartFormat>
    <chartFormat chart="0" format="12" series="1">
      <pivotArea type="data" outline="0" fieldPosition="0">
        <references count="2">
          <reference field="4294967294" count="1" selected="0">
            <x v="0"/>
          </reference>
          <reference field="5" count="1" selected="0">
            <x v="3"/>
          </reference>
        </references>
      </pivotArea>
    </chartFormat>
    <chartFormat chart="0" format="13" series="1">
      <pivotArea type="data" outline="0" fieldPosition="0">
        <references count="2">
          <reference field="4294967294" count="1" selected="0">
            <x v="0"/>
          </reference>
          <reference field="5" count="1" selected="0">
            <x v="4"/>
          </reference>
        </references>
      </pivotArea>
    </chartFormat>
    <chartFormat chart="0" format="14" series="1">
      <pivotArea type="data" outline="0" fieldPosition="0">
        <references count="2">
          <reference field="4294967294" count="1" selected="0">
            <x v="0"/>
          </reference>
          <reference field="5" count="1" selected="0">
            <x v="5"/>
          </reference>
        </references>
      </pivotArea>
    </chartFormat>
    <chartFormat chart="0" format="15" series="1">
      <pivotArea type="data" outline="0" fieldPosition="0">
        <references count="2">
          <reference field="4294967294" count="1" selected="0">
            <x v="0"/>
          </reference>
          <reference field="5" count="1" selected="0">
            <x v="6"/>
          </reference>
        </references>
      </pivotArea>
    </chartFormat>
    <chartFormat chart="0" format="16" series="1">
      <pivotArea type="data" outline="0" fieldPosition="0">
        <references count="2">
          <reference field="4294967294" count="1" selected="0">
            <x v="0"/>
          </reference>
          <reference field="5" count="1" selected="0">
            <x v="7"/>
          </reference>
        </references>
      </pivotArea>
    </chartFormat>
    <chartFormat chart="0" format="17" series="1">
      <pivotArea type="data" outline="0" fieldPosition="0">
        <references count="2">
          <reference field="4294967294" count="1" selected="0">
            <x v="0"/>
          </reference>
          <reference field="5" count="1" selected="0">
            <x v="8"/>
          </reference>
        </references>
      </pivotArea>
    </chartFormat>
    <chartFormat chart="0" format="18" series="1">
      <pivotArea type="data" outline="0" fieldPosition="0">
        <references count="2">
          <reference field="4294967294" count="1" selected="0">
            <x v="0"/>
          </reference>
          <reference field="5" count="1" selected="0">
            <x v="9"/>
          </reference>
        </references>
      </pivotArea>
    </chartFormat>
    <chartFormat chart="0" format="19" series="1">
      <pivotArea type="data" outline="0" fieldPosition="0">
        <references count="2">
          <reference field="4294967294" count="1" selected="0">
            <x v="0"/>
          </reference>
          <reference field="5" count="1" selected="0">
            <x v="10"/>
          </reference>
        </references>
      </pivotArea>
    </chartFormat>
    <chartFormat chart="0" format="20" series="1">
      <pivotArea type="data" outline="0" fieldPosition="0">
        <references count="2">
          <reference field="4294967294" count="1" selected="0">
            <x v="0"/>
          </reference>
          <reference field="5" count="1" selected="0">
            <x v="1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8.xml><?xml version="1.0" encoding="utf-8"?>
<pivotTableDefinition xmlns="http://schemas.openxmlformats.org/spreadsheetml/2006/main" name="PivotTable12" cacheId="6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5">
  <location ref="B204:C210" firstHeaderRow="1" firstDataRow="1" firstDataCol="1" rowPageCount="2" colPageCount="1"/>
  <pivotFields count="25">
    <pivotField showAll="0"/>
    <pivotField axis="axisPage" multipleItemSelectionAllowed="1" showAll="0">
      <items count="6">
        <item h="1" x="3"/>
        <item h="1" x="0"/>
        <item h="1" x="4"/>
        <item h="1" x="2"/>
        <item x="1"/>
        <item t="default"/>
      </items>
    </pivotField>
    <pivotField showAll="0"/>
    <pivotField showAll="0"/>
    <pivotField showAll="0"/>
    <pivotField axis="axisRow" dataField="1" showAll="0" countASubtotal="1">
      <items count="14">
        <item x="3"/>
        <item x="0"/>
        <item x="4"/>
        <item m="1" x="11"/>
        <item m="1" x="8"/>
        <item m="1" x="12"/>
        <item m="1" x="7"/>
        <item x="1"/>
        <item x="2"/>
        <item m="1" x="10"/>
        <item m="1" x="6"/>
        <item m="1" x="9"/>
        <item m="1" x="5"/>
        <item t="countA"/>
      </items>
    </pivotField>
    <pivotField showAll="0"/>
    <pivotField showAll="0"/>
    <pivotField showAll="0" defaultSubtotal="0"/>
    <pivotField showAll="0" defaultSubtotal="0"/>
    <pivotField showAll="0" defaultSubtotal="0"/>
    <pivotField showAll="0" defaultSubtotal="0"/>
    <pivotField showAll="0" defaultSubtotal="0"/>
    <pivotField showAll="0" defaultSubtotal="0"/>
    <pivotField showAll="0"/>
    <pivotField showAll="0"/>
    <pivotField showAll="0"/>
    <pivotField showAll="0"/>
    <pivotField showAll="0"/>
    <pivotField showAll="0" defaultSubtotal="0"/>
    <pivotField showAll="0" defaultSubtotal="0"/>
    <pivotField showAll="0" defaultSubtotal="0"/>
    <pivotField showAll="0" defaultSubtotal="0"/>
    <pivotField axis="axisPage" multipleItemSelectionAllowed="1" showAll="0">
      <items count="8">
        <item h="1" x="1"/>
        <item x="0"/>
        <item x="3"/>
        <item h="1" x="4"/>
        <item h="1" x="2"/>
        <item h="1" m="1" x="6"/>
        <item h="1" x="5"/>
        <item t="default"/>
      </items>
    </pivotField>
    <pivotField showAll="0"/>
  </pivotFields>
  <rowFields count="1">
    <field x="5"/>
  </rowFields>
  <rowItems count="6">
    <i>
      <x/>
    </i>
    <i>
      <x v="1"/>
    </i>
    <i>
      <x v="2"/>
    </i>
    <i>
      <x v="7"/>
    </i>
    <i>
      <x v="8"/>
    </i>
    <i t="grand">
      <x/>
    </i>
  </rowItems>
  <colItems count="1">
    <i/>
  </colItems>
  <pageFields count="2">
    <pageField fld="1" hier="-1"/>
    <pageField fld="23" hier="-1"/>
  </pageFields>
  <dataFields count="1">
    <dataField name="Count of Status Atual" fld="5" subtotal="count" baseField="0" baseItem="0"/>
  </dataFields>
  <chartFormats count="17">
    <chartFormat chart="5" format="18" series="1">
      <pivotArea type="data" outline="0" fieldPosition="0">
        <references count="1">
          <reference field="4294967294" count="1" selected="0">
            <x v="0"/>
          </reference>
        </references>
      </pivotArea>
    </chartFormat>
    <chartFormat chart="5" format="19">
      <pivotArea type="data" outline="0" fieldPosition="0">
        <references count="2">
          <reference field="4294967294" count="1" selected="0">
            <x v="0"/>
          </reference>
          <reference field="5" count="1" selected="0">
            <x v="1"/>
          </reference>
        </references>
      </pivotArea>
    </chartFormat>
    <chartFormat chart="5" format="20">
      <pivotArea type="data" outline="0" fieldPosition="0">
        <references count="2">
          <reference field="4294967294" count="1" selected="0">
            <x v="0"/>
          </reference>
          <reference field="5" count="1" selected="0">
            <x v="10"/>
          </reference>
        </references>
      </pivotArea>
    </chartFormat>
    <chartFormat chart="8" format="15" series="1">
      <pivotArea type="data" outline="0" fieldPosition="0">
        <references count="1">
          <reference field="4294967294" count="1" selected="0">
            <x v="0"/>
          </reference>
        </references>
      </pivotArea>
    </chartFormat>
    <chartFormat chart="8" format="16">
      <pivotArea type="data" outline="0" fieldPosition="0">
        <references count="2">
          <reference field="4294967294" count="1" selected="0">
            <x v="0"/>
          </reference>
          <reference field="5" count="1" selected="0">
            <x v="1"/>
          </reference>
        </references>
      </pivotArea>
    </chartFormat>
    <chartFormat chart="8" format="17">
      <pivotArea type="data" outline="0" fieldPosition="0">
        <references count="2">
          <reference field="4294967294" count="1" selected="0">
            <x v="0"/>
          </reference>
          <reference field="5" count="1" selected="0">
            <x v="10"/>
          </reference>
        </references>
      </pivotArea>
    </chartFormat>
    <chartFormat chart="3" format="5" series="1">
      <pivotArea type="data" outline="0" fieldPosition="0">
        <references count="1">
          <reference field="4294967294" count="1" selected="0">
            <x v="0"/>
          </reference>
        </references>
      </pivotArea>
    </chartFormat>
    <chartFormat chart="14" format="15">
      <pivotArea type="data" outline="0" fieldPosition="0">
        <references count="2">
          <reference field="4294967294" count="1" selected="0">
            <x v="0"/>
          </reference>
          <reference field="5" count="1" selected="0">
            <x v="0"/>
          </reference>
        </references>
      </pivotArea>
    </chartFormat>
    <chartFormat chart="14" format="16">
      <pivotArea type="data" outline="0" fieldPosition="0">
        <references count="2">
          <reference field="4294967294" count="1" selected="0">
            <x v="0"/>
          </reference>
          <reference field="5" count="1" selected="0">
            <x v="6"/>
          </reference>
        </references>
      </pivotArea>
    </chartFormat>
    <chartFormat chart="14" format="17">
      <pivotArea type="data" outline="0" fieldPosition="0">
        <references count="2">
          <reference field="4294967294" count="1" selected="0">
            <x v="0"/>
          </reference>
          <reference field="5" count="1" selected="0">
            <x v="5"/>
          </reference>
        </references>
      </pivotArea>
    </chartFormat>
    <chartFormat chart="14" format="18">
      <pivotArea type="data" outline="0" fieldPosition="0">
        <references count="2">
          <reference field="4294967294" count="1" selected="0">
            <x v="0"/>
          </reference>
          <reference field="5" count="1" selected="0">
            <x v="10"/>
          </reference>
        </references>
      </pivotArea>
    </chartFormat>
    <chartFormat chart="14" format="19" series="1">
      <pivotArea type="data" outline="0" fieldPosition="0">
        <references count="1">
          <reference field="4294967294" count="1" selected="0">
            <x v="0"/>
          </reference>
        </references>
      </pivotArea>
    </chartFormat>
    <chartFormat chart="14" format="20">
      <pivotArea type="data" outline="0" fieldPosition="0">
        <references count="2">
          <reference field="4294967294" count="1" selected="0">
            <x v="0"/>
          </reference>
          <reference field="5" count="1" selected="0">
            <x v="1"/>
          </reference>
        </references>
      </pivotArea>
    </chartFormat>
    <chartFormat chart="14" format="21">
      <pivotArea type="data" outline="0" fieldPosition="0">
        <references count="2">
          <reference field="4294967294" count="1" selected="0">
            <x v="0"/>
          </reference>
          <reference field="5" count="1" selected="0">
            <x v="3"/>
          </reference>
        </references>
      </pivotArea>
    </chartFormat>
    <chartFormat chart="14" format="22">
      <pivotArea type="data" outline="0" fieldPosition="0">
        <references count="2">
          <reference field="4294967294" count="1" selected="0">
            <x v="0"/>
          </reference>
          <reference field="5" count="1" selected="0">
            <x v="8"/>
          </reference>
        </references>
      </pivotArea>
    </chartFormat>
    <chartFormat chart="14" format="23">
      <pivotArea type="data" outline="0" fieldPosition="0">
        <references count="2">
          <reference field="4294967294" count="1" selected="0">
            <x v="0"/>
          </reference>
          <reference field="5" count="1" selected="0">
            <x v="2"/>
          </reference>
        </references>
      </pivotArea>
    </chartFormat>
    <chartFormat chart="14" format="24">
      <pivotArea type="data" outline="0" fieldPosition="0">
        <references count="2">
          <reference field="4294967294" count="1" selected="0">
            <x v="0"/>
          </reference>
          <reference field="5" count="1" selected="0">
            <x v="7"/>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9.xml><?xml version="1.0" encoding="utf-8"?>
<pivotTableDefinition xmlns="http://schemas.openxmlformats.org/spreadsheetml/2006/main" name="PivotTable7" cacheId="56"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12">
  <location ref="B87:F104" firstHeaderRow="1" firstDataRow="2" firstDataCol="1" rowPageCount="3" colPageCount="1"/>
  <pivotFields count="6">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sortType="descending" defaultSubtotal="0" defaultAttributeDrillState="1">
      <items count="15">
        <item x="14"/>
        <item x="13"/>
        <item x="12"/>
        <item x="11"/>
        <item x="10"/>
        <item x="9"/>
        <item x="8"/>
        <item x="7"/>
        <item x="6"/>
        <item x="5"/>
        <item x="4"/>
        <item x="3"/>
        <item x="2"/>
        <item x="1"/>
        <item x="0"/>
      </items>
    </pivotField>
    <pivotField dataField="1" subtotalTop="0" showAll="0" defaultSubtotal="0"/>
    <pivotField axis="axisCol" allDrilled="1" subtotalTop="0" showAll="0" dataSourceSort="1" defaultSubtotal="0" defaultAttributeDrillState="1">
      <items count="5">
        <item x="0"/>
        <item x="1"/>
        <item x="2"/>
        <item x="3"/>
        <item x="4"/>
      </items>
    </pivotField>
  </pivotFields>
  <rowFields count="1">
    <field x="3"/>
  </rowFields>
  <rowItems count="16">
    <i>
      <x/>
    </i>
    <i>
      <x v="1"/>
    </i>
    <i>
      <x v="2"/>
    </i>
    <i>
      <x v="3"/>
    </i>
    <i>
      <x v="4"/>
    </i>
    <i>
      <x v="5"/>
    </i>
    <i>
      <x v="6"/>
    </i>
    <i>
      <x v="7"/>
    </i>
    <i>
      <x v="8"/>
    </i>
    <i>
      <x v="9"/>
    </i>
    <i>
      <x v="10"/>
    </i>
    <i>
      <x v="11"/>
    </i>
    <i>
      <x v="12"/>
    </i>
    <i>
      <x v="13"/>
    </i>
    <i>
      <x v="14"/>
    </i>
    <i t="grand">
      <x/>
    </i>
  </rowItems>
  <colFields count="1">
    <field x="5"/>
  </colFields>
  <colItems count="4">
    <i>
      <x/>
    </i>
    <i>
      <x v="1"/>
    </i>
    <i>
      <x v="2"/>
    </i>
    <i t="grand">
      <x/>
    </i>
  </colItems>
  <pageFields count="3">
    <pageField fld="0" hier="36" name="[Table4].[Âmbito].&amp;[Pilar III]" cap="Pilar III"/>
    <pageField fld="1" hier="37" name="[Table4].[Sub-âmbito].&amp;[Modelo Verde - Input]" cap="Modelo Verde - Input"/>
    <pageField fld="2" hier="38" name="[Table4].[Tipo de teste].&amp;[2. Campo]" cap="2. Campo"/>
  </pageFields>
  <dataFields count="1">
    <dataField name="Count of Campo" fld="4" subtotal="count" baseField="0" baseItem="0"/>
  </dataFields>
  <chartFormats count="6">
    <chartFormat chart="3" format="55" series="1">
      <pivotArea type="data" outline="0" fieldPosition="0">
        <references count="2">
          <reference field="4294967294" count="1" selected="0">
            <x v="0"/>
          </reference>
          <reference field="5" count="1" selected="0">
            <x v="0"/>
          </reference>
        </references>
      </pivotArea>
    </chartFormat>
    <chartFormat chart="3" format="56" series="1">
      <pivotArea type="data" outline="0" fieldPosition="0">
        <references count="2">
          <reference field="4294967294" count="1" selected="0">
            <x v="0"/>
          </reference>
          <reference field="5" count="1" selected="0">
            <x v="1"/>
          </reference>
        </references>
      </pivotArea>
    </chartFormat>
    <chartFormat chart="3" format="59" series="1">
      <pivotArea type="data" outline="0" fieldPosition="0">
        <references count="2">
          <reference field="4294967294" count="1" selected="0">
            <x v="0"/>
          </reference>
          <reference field="5" count="1" selected="0">
            <x v="4"/>
          </reference>
        </references>
      </pivotArea>
    </chartFormat>
    <chartFormat chart="3" format="66" series="1">
      <pivotArea type="data" outline="0" fieldPosition="0">
        <references count="2">
          <reference field="4294967294" count="1" selected="0">
            <x v="0"/>
          </reference>
          <reference field="5" count="1" selected="0">
            <x v="3"/>
          </reference>
        </references>
      </pivotArea>
    </chartFormat>
    <chartFormat chart="3" format="67" series="1">
      <pivotArea type="data" outline="0" fieldPosition="0">
        <references count="2">
          <reference field="4294967294" count="1" selected="0">
            <x v="0"/>
          </reference>
          <reference field="5" count="1" selected="0">
            <x v="2"/>
          </reference>
        </references>
      </pivotArea>
    </chartFormat>
    <chartFormat chart="3" format="68">
      <pivotArea type="data" outline="0" fieldPosition="0">
        <references count="3">
          <reference field="4294967294" count="1" selected="0">
            <x v="0"/>
          </reference>
          <reference field="3" count="1" selected="0">
            <x v="1"/>
          </reference>
          <reference field="5" count="1" selected="0">
            <x v="2"/>
          </reference>
        </references>
      </pivotArea>
    </chartFormat>
  </chartFormats>
  <pivotHierarchies count="7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2" level="1">
        <member name="[Table4].[Sub-âmbito].&amp;[Modelo Verde - Input]"/>
        <member name="[Table4].[Sub-âmbito].&amp;[Modelo Verde - Output]"/>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9"/>
  </rowHierarchiesUsage>
  <colHierarchiesUsage count="1">
    <colHierarchyUsage hierarchyUsage="41"/>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stes GD Pilar 3 - Plano_versão trabalho_V1.2.xlsx!Table4">
        <x15:activeTabTopLevelEntity name="[Table4]"/>
      </x15:pivotTableUISettings>
    </ext>
  </extLst>
</pivotTableDefinition>
</file>

<file path=xl/pivotTables/pivotTable10.xml><?xml version="1.0" encoding="utf-8"?>
<pivotTableDefinition xmlns="http://schemas.openxmlformats.org/spreadsheetml/2006/main" name="PivotTable15" cacheId="6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
  <location ref="B23:C29" firstHeaderRow="1" firstDataRow="1" firstDataCol="1" rowPageCount="2" colPageCount="1"/>
  <pivotFields count="25">
    <pivotField axis="axisPage" showAll="0">
      <items count="2">
        <item x="0"/>
        <item t="default"/>
      </items>
    </pivotField>
    <pivotField showAll="0"/>
    <pivotField axis="axisPage" showAll="0">
      <items count="4">
        <item x="1"/>
        <item x="0"/>
        <item m="1" x="2"/>
        <item t="default"/>
      </items>
    </pivotField>
    <pivotField showAll="0"/>
    <pivotField dataField="1" showAll="0"/>
    <pivotField axis="axisRow" showAll="0">
      <items count="14">
        <item x="3"/>
        <item x="0"/>
        <item x="4"/>
        <item m="1" x="12"/>
        <item m="1" x="7"/>
        <item x="1"/>
        <item m="1" x="10"/>
        <item m="1" x="8"/>
        <item m="1" x="9"/>
        <item m="1" x="6"/>
        <item x="2"/>
        <item m="1" x="11"/>
        <item m="1" x="5"/>
        <item t="default"/>
      </items>
    </pivotField>
    <pivotField showAll="0"/>
    <pivotField showAll="0"/>
    <pivotField showAll="0" defaultSubtotal="0"/>
    <pivotField showAll="0" defaultSubtotal="0"/>
    <pivotField showAll="0" defaultSubtotal="0"/>
    <pivotField showAll="0" defaultSubtotal="0"/>
    <pivotField showAll="0" defaultSubtotal="0"/>
    <pivotField showAll="0" defaultSubtotal="0"/>
    <pivotField showAll="0"/>
    <pivotField showAll="0"/>
    <pivotField showAll="0"/>
    <pivotField showAll="0"/>
    <pivotField showAll="0"/>
    <pivotField showAll="0" defaultSubtotal="0"/>
    <pivotField showAll="0" defaultSubtotal="0"/>
    <pivotField showAll="0" defaultSubtotal="0"/>
    <pivotField showAll="0" defaultSubtotal="0"/>
    <pivotField showAll="0" defaultSubtotal="0"/>
    <pivotField showAll="0" defaultSubtotal="0"/>
  </pivotFields>
  <rowFields count="1">
    <field x="5"/>
  </rowFields>
  <rowItems count="6">
    <i>
      <x/>
    </i>
    <i>
      <x v="1"/>
    </i>
    <i>
      <x v="2"/>
    </i>
    <i>
      <x v="5"/>
    </i>
    <i>
      <x v="10"/>
    </i>
    <i t="grand">
      <x/>
    </i>
  </rowItems>
  <colItems count="1">
    <i/>
  </colItems>
  <pageFields count="2">
    <pageField fld="0" item="0" hier="-1"/>
    <pageField fld="2" item="1" hier="-1"/>
  </pageFields>
  <dataFields count="1">
    <dataField name="Count of Campo" fld="4" subtotal="count" baseField="0" baseItem="0"/>
  </dataFields>
  <chartFormats count="12">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5" count="1" selected="0">
            <x v="0"/>
          </reference>
        </references>
      </pivotArea>
    </chartFormat>
    <chartFormat chart="0" format="2">
      <pivotArea type="data" outline="0" fieldPosition="0">
        <references count="2">
          <reference field="4294967294" count="1" selected="0">
            <x v="0"/>
          </reference>
          <reference field="5" count="1" selected="0">
            <x v="1"/>
          </reference>
        </references>
      </pivotArea>
    </chartFormat>
    <chartFormat chart="0" format="3">
      <pivotArea type="data" outline="0" fieldPosition="0">
        <references count="2">
          <reference field="4294967294" count="1" selected="0">
            <x v="0"/>
          </reference>
          <reference field="5" count="1" selected="0">
            <x v="2"/>
          </reference>
        </references>
      </pivotArea>
    </chartFormat>
    <chartFormat chart="0" format="4">
      <pivotArea type="data" outline="0" fieldPosition="0">
        <references count="2">
          <reference field="4294967294" count="1" selected="0">
            <x v="0"/>
          </reference>
          <reference field="5" count="1" selected="0">
            <x v="3"/>
          </reference>
        </references>
      </pivotArea>
    </chartFormat>
    <chartFormat chart="0" format="5">
      <pivotArea type="data" outline="0" fieldPosition="0">
        <references count="2">
          <reference field="4294967294" count="1" selected="0">
            <x v="0"/>
          </reference>
          <reference field="5" count="1" selected="0">
            <x v="4"/>
          </reference>
        </references>
      </pivotArea>
    </chartFormat>
    <chartFormat chart="0" format="6">
      <pivotArea type="data" outline="0" fieldPosition="0">
        <references count="2">
          <reference field="4294967294" count="1" selected="0">
            <x v="0"/>
          </reference>
          <reference field="5" count="1" selected="0">
            <x v="5"/>
          </reference>
        </references>
      </pivotArea>
    </chartFormat>
    <chartFormat chart="0" format="7">
      <pivotArea type="data" outline="0" fieldPosition="0">
        <references count="2">
          <reference field="4294967294" count="1" selected="0">
            <x v="0"/>
          </reference>
          <reference field="5" count="1" selected="0">
            <x v="6"/>
          </reference>
        </references>
      </pivotArea>
    </chartFormat>
    <chartFormat chart="0" format="8">
      <pivotArea type="data" outline="0" fieldPosition="0">
        <references count="2">
          <reference field="4294967294" count="1" selected="0">
            <x v="0"/>
          </reference>
          <reference field="5" count="1" selected="0">
            <x v="7"/>
          </reference>
        </references>
      </pivotArea>
    </chartFormat>
    <chartFormat chart="0" format="9">
      <pivotArea type="data" outline="0" fieldPosition="0">
        <references count="2">
          <reference field="4294967294" count="1" selected="0">
            <x v="0"/>
          </reference>
          <reference field="5" count="1" selected="0">
            <x v="9"/>
          </reference>
        </references>
      </pivotArea>
    </chartFormat>
    <chartFormat chart="0" format="10">
      <pivotArea type="data" outline="0" fieldPosition="0">
        <references count="2">
          <reference field="4294967294" count="1" selected="0">
            <x v="0"/>
          </reference>
          <reference field="5" count="1" selected="0">
            <x v="10"/>
          </reference>
        </references>
      </pivotArea>
    </chartFormat>
    <chartFormat chart="0" format="11">
      <pivotArea type="data" outline="0" fieldPosition="0">
        <references count="2">
          <reference field="4294967294" count="1" selected="0">
            <x v="0"/>
          </reference>
          <reference field="5" count="1" selected="0">
            <x v="1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1.xml><?xml version="1.0" encoding="utf-8"?>
<pivotTableDefinition xmlns="http://schemas.openxmlformats.org/spreadsheetml/2006/main" name="PivotTable1" cacheId="38" applyNumberFormats="0" applyBorderFormats="0" applyFontFormats="0" applyPatternFormats="0" applyAlignmentFormats="0" applyWidthHeightFormats="1" dataCaption="Values" updatedVersion="6" minRefreshableVersion="3" useAutoFormatting="1" subtotalHiddenItems="1" itemPrintTitles="1" createdVersion="8" indent="0" compact="0" compactData="0" multipleFieldFilters="0">
  <location ref="A3:B739" firstHeaderRow="1" firstDataRow="1" firstDataCol="1"/>
  <pivotFields count="2">
    <pivotField axis="axisRow" compact="0" allDrilled="1" outline="0" subtotalTop="0" showAll="0" dataSourceSort="1" defaultSubtotal="0" defaultAttributeDrillState="1">
      <items count="73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s>
      <extLst>
        <ext xmlns:x14="http://schemas.microsoft.com/office/spreadsheetml/2009/9/main" uri="{2946ED86-A175-432a-8AC1-64E0C546D7DE}">
          <x14:pivotField fillDownLabels="1"/>
        </ext>
      </extLst>
    </pivotField>
    <pivotField dataField="1" compact="0" outline="0" subtotalTop="0" showAll="0" defaultSubtotal="0">
      <extLst>
        <ext xmlns:x14="http://schemas.microsoft.com/office/spreadsheetml/2009/9/main" uri="{2946ED86-A175-432a-8AC1-64E0C546D7DE}">
          <x14:pivotField fillDownLabels="1"/>
        </ext>
      </extLst>
    </pivotField>
  </pivotFields>
  <rowFields count="1">
    <field x="0"/>
  </rowFields>
  <rowItems count="736">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x v="599"/>
    </i>
    <i>
      <x v="600"/>
    </i>
    <i>
      <x v="601"/>
    </i>
    <i>
      <x v="602"/>
    </i>
    <i>
      <x v="603"/>
    </i>
    <i>
      <x v="604"/>
    </i>
    <i>
      <x v="605"/>
    </i>
    <i>
      <x v="606"/>
    </i>
    <i>
      <x v="607"/>
    </i>
    <i>
      <x v="608"/>
    </i>
    <i>
      <x v="609"/>
    </i>
    <i>
      <x v="610"/>
    </i>
    <i>
      <x v="611"/>
    </i>
    <i>
      <x v="612"/>
    </i>
    <i>
      <x v="613"/>
    </i>
    <i>
      <x v="614"/>
    </i>
    <i>
      <x v="615"/>
    </i>
    <i>
      <x v="616"/>
    </i>
    <i>
      <x v="617"/>
    </i>
    <i>
      <x v="618"/>
    </i>
    <i>
      <x v="619"/>
    </i>
    <i>
      <x v="620"/>
    </i>
    <i>
      <x v="621"/>
    </i>
    <i>
      <x v="622"/>
    </i>
    <i>
      <x v="623"/>
    </i>
    <i>
      <x v="624"/>
    </i>
    <i>
      <x v="625"/>
    </i>
    <i>
      <x v="626"/>
    </i>
    <i>
      <x v="627"/>
    </i>
    <i>
      <x v="628"/>
    </i>
    <i>
      <x v="629"/>
    </i>
    <i>
      <x v="630"/>
    </i>
    <i>
      <x v="631"/>
    </i>
    <i>
      <x v="632"/>
    </i>
    <i>
      <x v="633"/>
    </i>
    <i>
      <x v="634"/>
    </i>
    <i>
      <x v="635"/>
    </i>
    <i>
      <x v="636"/>
    </i>
    <i>
      <x v="637"/>
    </i>
    <i>
      <x v="638"/>
    </i>
    <i>
      <x v="639"/>
    </i>
    <i>
      <x v="640"/>
    </i>
    <i>
      <x v="641"/>
    </i>
    <i>
      <x v="642"/>
    </i>
    <i>
      <x v="643"/>
    </i>
    <i>
      <x v="644"/>
    </i>
    <i>
      <x v="645"/>
    </i>
    <i>
      <x v="646"/>
    </i>
    <i>
      <x v="647"/>
    </i>
    <i>
      <x v="648"/>
    </i>
    <i>
      <x v="649"/>
    </i>
    <i>
      <x v="650"/>
    </i>
    <i>
      <x v="651"/>
    </i>
    <i>
      <x v="652"/>
    </i>
    <i>
      <x v="653"/>
    </i>
    <i>
      <x v="654"/>
    </i>
    <i>
      <x v="655"/>
    </i>
    <i>
      <x v="656"/>
    </i>
    <i>
      <x v="657"/>
    </i>
    <i>
      <x v="658"/>
    </i>
    <i>
      <x v="659"/>
    </i>
    <i>
      <x v="660"/>
    </i>
    <i>
      <x v="661"/>
    </i>
    <i>
      <x v="662"/>
    </i>
    <i>
      <x v="663"/>
    </i>
    <i>
      <x v="664"/>
    </i>
    <i>
      <x v="665"/>
    </i>
    <i>
      <x v="666"/>
    </i>
    <i>
      <x v="667"/>
    </i>
    <i>
      <x v="668"/>
    </i>
    <i>
      <x v="669"/>
    </i>
    <i>
      <x v="670"/>
    </i>
    <i>
      <x v="671"/>
    </i>
    <i>
      <x v="672"/>
    </i>
    <i>
      <x v="673"/>
    </i>
    <i>
      <x v="674"/>
    </i>
    <i>
      <x v="675"/>
    </i>
    <i>
      <x v="676"/>
    </i>
    <i>
      <x v="677"/>
    </i>
    <i>
      <x v="678"/>
    </i>
    <i>
      <x v="679"/>
    </i>
    <i>
      <x v="680"/>
    </i>
    <i>
      <x v="681"/>
    </i>
    <i>
      <x v="682"/>
    </i>
    <i>
      <x v="683"/>
    </i>
    <i>
      <x v="684"/>
    </i>
    <i>
      <x v="685"/>
    </i>
    <i>
      <x v="686"/>
    </i>
    <i>
      <x v="687"/>
    </i>
    <i>
      <x v="688"/>
    </i>
    <i>
      <x v="689"/>
    </i>
    <i>
      <x v="690"/>
    </i>
    <i>
      <x v="691"/>
    </i>
    <i>
      <x v="692"/>
    </i>
    <i>
      <x v="693"/>
    </i>
    <i>
      <x v="694"/>
    </i>
    <i>
      <x v="695"/>
    </i>
    <i>
      <x v="696"/>
    </i>
    <i>
      <x v="697"/>
    </i>
    <i>
      <x v="698"/>
    </i>
    <i>
      <x v="699"/>
    </i>
    <i>
      <x v="700"/>
    </i>
    <i>
      <x v="701"/>
    </i>
    <i>
      <x v="702"/>
    </i>
    <i>
      <x v="703"/>
    </i>
    <i>
      <x v="704"/>
    </i>
    <i>
      <x v="705"/>
    </i>
    <i>
      <x v="706"/>
    </i>
    <i>
      <x v="707"/>
    </i>
    <i>
      <x v="708"/>
    </i>
    <i>
      <x v="709"/>
    </i>
    <i>
      <x v="710"/>
    </i>
    <i>
      <x v="711"/>
    </i>
    <i>
      <x v="712"/>
    </i>
    <i>
      <x v="713"/>
    </i>
    <i>
      <x v="714"/>
    </i>
    <i>
      <x v="715"/>
    </i>
    <i>
      <x v="716"/>
    </i>
    <i>
      <x v="717"/>
    </i>
    <i>
      <x v="718"/>
    </i>
    <i>
      <x v="719"/>
    </i>
    <i>
      <x v="720"/>
    </i>
    <i>
      <x v="721"/>
    </i>
    <i>
      <x v="722"/>
    </i>
    <i>
      <x v="723"/>
    </i>
    <i>
      <x v="724"/>
    </i>
    <i>
      <x v="725"/>
    </i>
    <i>
      <x v="726"/>
    </i>
    <i>
      <x v="727"/>
    </i>
    <i>
      <x v="728"/>
    </i>
    <i>
      <x v="729"/>
    </i>
    <i>
      <x v="730"/>
    </i>
    <i>
      <x v="731"/>
    </i>
    <i>
      <x v="732"/>
    </i>
    <i>
      <x v="733"/>
    </i>
    <i>
      <x v="734"/>
    </i>
    <i t="grand">
      <x/>
    </i>
  </rowItems>
  <colItems count="1">
    <i/>
  </colItems>
  <dataFields count="1">
    <dataField name="Max of Status2" fld="1" subtotal="max" baseField="0" baseItem="2"/>
  </dataFields>
  <pivotHierarchies count="7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Max of Status2"/>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8"/>
  </rowHierarchiesUsage>
  <extLst>
    <ext xmlns:x14="http://schemas.microsoft.com/office/spreadsheetml/2009/9/main" uri="{962EF5D1-5CA2-4c93-8EF4-DBF5C05439D2}">
      <x14:pivotTableDefinition xmlns:xm="http://schemas.microsoft.com/office/excel/2006/main" fillDownLabelsDefault="1" calculatedMembersInFilters="1" hideValuesRow="1"/>
    </ext>
    <ext xmlns:x15="http://schemas.microsoft.com/office/spreadsheetml/2010/11/main" uri="{E67621CE-5B39-4880-91FE-76760E9C1902}">
      <x15:pivotTableUISettings sourceDataName="WorksheetConnection_Tipologias de Testes GD &amp; ModeloVerde &amp; BensImov_V0.11.xlsx!Table1">
        <x15:activeTabTopLevelEntity name="[Table1]"/>
      </x15:pivotTableUISettings>
    </ext>
  </extLst>
</pivotTableDefinition>
</file>

<file path=xl/tables/table1.xml><?xml version="1.0" encoding="utf-8"?>
<table xmlns="http://schemas.openxmlformats.org/spreadsheetml/2006/main" id="4" name="Table4" displayName="Table4" ref="B6:Z740" totalsRowShown="0" headerRowDxfId="370" tableBorderDxfId="369">
  <autoFilter ref="B6:Z740">
    <filterColumn colId="1">
      <filters>
        <filter val="Pilar III"/>
      </filters>
    </filterColumn>
    <filterColumn colId="5">
      <filters>
        <filter val="2.1 Em Teste"/>
      </filters>
    </filterColumn>
    <filterColumn colId="6">
      <filters>
        <filter val="2.1 Em Teste"/>
        <filter val="5. Em Correção"/>
        <filter val="6. Em implementação"/>
      </filters>
    </filterColumn>
    <filterColumn colId="12">
      <filters>
        <filter val="Teste ao campo"/>
        <filter val="Testes Regressivos (LT Estr)"/>
        <filter val="Testes Regressivos (LT GD)"/>
      </filters>
    </filterColumn>
  </autoFilter>
  <tableColumns count="25">
    <tableColumn id="1" name="Âmbito" dataDxfId="368"/>
    <tableColumn id="2" name="Sub-âmbito" dataDxfId="367"/>
    <tableColumn id="3" name="Tipo de teste" dataDxfId="366"/>
    <tableColumn id="4" name="Tabela" dataDxfId="365"/>
    <tableColumn id="5" name="Campo" dataDxfId="364"/>
    <tableColumn id="6" name="Status Atual" dataDxfId="363">
      <calculatedColumnFormula>VLOOKUP(A7,Plano_V3!$A$26:$G$768,7,0)</calculatedColumnFormula>
    </tableColumn>
    <tableColumn id="7" name="Status Anterior" dataDxfId="362"/>
    <tableColumn id="14" name="Fase" dataDxfId="361"/>
    <tableColumn id="8" name="Observações - Especificações" dataDxfId="360"/>
    <tableColumn id="20" name="Observações - Testes" dataDxfId="359"/>
    <tableColumn id="23" name="Data Final - Entrega IT" dataDxfId="358"/>
    <tableColumn id="22" name="Data Final - Validação Testes" dataDxfId="357"/>
    <tableColumn id="24" name="Tipologia Teste" dataDxfId="356"/>
    <tableColumn id="19" name="Observações - Testes sem visibilidade" dataDxfId="355"/>
    <tableColumn id="9" name="Data de Pedido correção/esclarecimento" dataDxfId="354">
      <calculatedColumnFormula>IF(VLOOKUP(A7,'Aux - pivots1'!$A:$E,3,0)=0, "",VLOOKUP(A7,'Aux - pivots1'!$A:$E,3,0))</calculatedColumnFormula>
    </tableColumn>
    <tableColumn id="10" name="Data de correção prevista" dataDxfId="353">
      <calculatedColumnFormula>IF(VLOOKUP(A7,'Aux - pivots1'!$A:$E,4,0)=0, "",VLOOKUP(A7,'Aux - pivots1'!$A:$E,4,0))</calculatedColumnFormula>
    </tableColumn>
    <tableColumn id="11" name="Data de correção efetiva" dataDxfId="352">
      <calculatedColumnFormula>IF(VLOOKUP(A7,'Aux - pivots1'!$A:$E,5,0)=0, "",VLOOKUP(A7,'Aux - pivots1'!$A:$E,5,0))</calculatedColumnFormula>
    </tableColumn>
    <tableColumn id="12" name="Data Prevista de Re-especificação" dataDxfId="351"/>
    <tableColumn id="13" name="Data Prevista de Teste" dataDxfId="350"/>
    <tableColumn id="15" name="Projeto (Aux JB)" dataDxfId="349"/>
    <tableColumn id="18" name="LT Âmbito" dataDxfId="348"/>
    <tableColumn id="25" name="Âmbito Testes" dataDxfId="347"/>
    <tableColumn id="21" name="LT Âmbito- Aux" dataDxfId="346"/>
    <tableColumn id="16" name="Plano" dataDxfId="345"/>
    <tableColumn id="17" name="Owner" dataDxfId="344"/>
  </tableColumns>
  <tableStyleInfo showFirstColumn="0" showLastColumn="0" showRowStripes="1" showColumnStripes="0"/>
</table>
</file>

<file path=xl/tables/table2.xml><?xml version="1.0" encoding="utf-8"?>
<table xmlns="http://schemas.openxmlformats.org/spreadsheetml/2006/main" id="1" name="Table1" displayName="Table1" ref="B8:Y1532" headerRowDxfId="103" dataDxfId="101" totalsRowDxfId="99" headerRowBorderDxfId="102" tableBorderDxfId="100" totalsRowBorderDxfId="98">
  <autoFilter ref="B8:Y1532">
    <filterColumn colId="4">
      <filters>
        <filter val="lt007_instr_activity"/>
      </filters>
    </filterColumn>
  </autoFilter>
  <tableColumns count="24">
    <tableColumn id="1" name="Âmbito" dataDxfId="97" totalsRowDxfId="96"/>
    <tableColumn id="12" name="Sub-âmbito" dataDxfId="95" totalsRowDxfId="94"/>
    <tableColumn id="2" name="Origem" dataDxfId="93" totalsRowDxfId="92"/>
    <tableColumn id="18" name="Campo Origem" dataDxfId="91" totalsRowDxfId="90"/>
    <tableColumn id="5" name="Tabela" dataDxfId="89" totalsRowDxfId="88"/>
    <tableColumn id="3" name="Campo" dataDxfId="87" totalsRowDxfId="86"/>
    <tableColumn id="20" name="concat" dataDxfId="85" totalsRowDxfId="84">
      <calculatedColumnFormula>Table1[[#This Row],[Tabela]]&amp;Table1[[#This Row],[Campo]]</calculatedColumnFormula>
    </tableColumn>
    <tableColumn id="4" name="Status" dataDxfId="83" totalsRowDxfId="82"/>
    <tableColumn id="19" name="Status2" dataDxfId="81">
      <calculatedColumnFormula>VLOOKUP(Table1[[#This Row],[Status]],Auxiliar!$B$16:$C$24,2,0)</calculatedColumnFormula>
    </tableColumn>
    <tableColumn id="6" name="Tipologia_Testes" dataDxfId="80" totalsRowDxfId="79"/>
    <tableColumn id="10" name="Necessidade de re-especificação? (campo)" dataDxfId="78" totalsRowDxfId="77"/>
    <tableColumn id="9" name="Complexidade" dataDxfId="76" totalsRowDxfId="75"/>
    <tableColumn id="17" name="Data de Alteração Status" dataDxfId="74" totalsRowDxfId="73"/>
    <tableColumn id="8" name="Estimação (horas)" totalsRowFunction="custom" dataDxfId="72" totalsRowDxfId="71">
      <calculatedColumnFormula>INDEX(Auxiliar!$D$5:$F$11,MATCH(Table1[[#This Row],[Tipologia_Testes]],Auxiliar!$B$5:$B$11,0),MATCH(Table1[[#This Row],[Complexidade]],Auxiliar!$D$4:$F$4,0))</calculatedColumnFormula>
      <totalsRowFormula>SUMIF(Table1[Estimação (horas)],"&gt;0")</totalsRowFormula>
    </tableColumn>
    <tableColumn id="7" name="Notas" dataDxfId="70" totalsRowDxfId="69"/>
    <tableColumn id="11" name="Owner" dataDxfId="68" totalsRowDxfId="67"/>
    <tableColumn id="21" name="Data alteração especificação" dataDxfId="66" totalsRowDxfId="65"/>
    <tableColumn id="13" name="Data de inicio testes" dataDxfId="64" totalsRowDxfId="63"/>
    <tableColumn id="14" name="Data de incidência / pedido esclarecimento" dataDxfId="62" totalsRowDxfId="61"/>
    <tableColumn id="15" name="Data de correção/resposta prevista" dataDxfId="60" totalsRowDxfId="59"/>
    <tableColumn id="22" name="Data de correção/resposta efetiva" dataDxfId="58" totalsRowDxfId="57"/>
    <tableColumn id="23" name="Horas efetivas" dataDxfId="56" totalsRowDxfId="55">
      <calculatedColumnFormula>VLOOKUP(Table1[[#This Row],[Status]],Auxiliar!$B$16:$D$24,3,0)*Table1[[#This Row],[Estimação (horas)]]</calculatedColumnFormula>
    </tableColumn>
    <tableColumn id="16" name="Query" dataDxfId="54" totalsRowDxfId="53">
      <calculatedColumnFormula>+VLOOKUP(CONCATENATE(Table1[[#This Row],[Tabela]],Table1[[#This Row],[Campo]]),'2. Status Detalhe Campos FY24'!A:J,9,FALSE)</calculatedColumnFormula>
    </tableColumn>
    <tableColumn id="24" name="Aux" dataDxfId="52" totalsRowDxfId="51">
      <calculatedColumnFormula>+VLOOKUP(A9,#REF!,1,FALSE)</calculatedColumnFormula>
    </tableColumn>
  </tableColumns>
  <tableStyleInfo name="TableStyleLight11" showFirstColumn="0" showLastColumn="0" showRowStripes="1" showColumnStripes="0"/>
</table>
</file>

<file path=xl/theme/theme1.xml><?xml version="1.0" encoding="utf-8"?>
<a:theme xmlns:a="http://schemas.openxmlformats.org/drawingml/2006/main" name="Theme1">
  <a:themeElements>
    <a:clrScheme name="Personalizado 3">
      <a:dk1>
        <a:sysClr val="windowText" lastClr="000000"/>
      </a:dk1>
      <a:lt1>
        <a:sysClr val="window" lastClr="FFFFFF"/>
      </a:lt1>
      <a:dk2>
        <a:srgbClr val="6E7678"/>
      </a:dk2>
      <a:lt2>
        <a:srgbClr val="E7E6E6"/>
      </a:lt2>
      <a:accent1>
        <a:srgbClr val="EB0000"/>
      </a:accent1>
      <a:accent2>
        <a:srgbClr val="DEEDF1"/>
      </a:accent2>
      <a:accent3>
        <a:srgbClr val="9D3566"/>
      </a:accent3>
      <a:accent4>
        <a:srgbClr val="62B967"/>
      </a:accent4>
      <a:accent5>
        <a:srgbClr val="1AB2BB"/>
      </a:accent5>
      <a:accent6>
        <a:srgbClr val="FFCB32"/>
      </a:accent6>
      <a:hlink>
        <a:srgbClr val="3265FF"/>
      </a:hlink>
      <a:folHlink>
        <a:srgbClr val="954F72"/>
      </a:folHlink>
    </a:clrScheme>
    <a:fontScheme name="Personalizado 66">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ln>
          <a:noFill/>
        </a:ln>
      </a:spPr>
      <a:bodyPr rtlCol="0" anchor="ctr"/>
      <a:lstStyle>
        <a:defPPr algn="ctr">
          <a:defRPr/>
        </a:defPPr>
      </a:lstStyle>
      <a:style>
        <a:lnRef idx="2">
          <a:schemeClr val="accent1">
            <a:shade val="50000"/>
          </a:schemeClr>
        </a:lnRef>
        <a:fillRef idx="1">
          <a:schemeClr val="accent1"/>
        </a:fillRef>
        <a:effectRef idx="0">
          <a:schemeClr val="accent1"/>
        </a:effectRef>
        <a:fontRef idx="minor">
          <a:schemeClr val="lt1"/>
        </a:fontRef>
      </a:style>
    </a:spDef>
  </a:objectDefaults>
  <a:extraClrSchemeLst/>
  <a:extLst>
    <a:ext uri="{05A4C25C-085E-4340-85A3-A5531E510DB2}">
      <thm15:themeFamily xmlns:thm15="http://schemas.microsoft.com/office/thememl/2012/main" name="Theme1" id="{8BDB853A-54BD-4433-8E51-5903F66EB5F0}" vid="{9C57DD7C-8BAB-4642-925B-0FA04BD7A767}"/>
    </a:ext>
  </a:extLst>
</a:theme>
</file>

<file path=xl/theme/themeOverride1.xml><?xml version="1.0" encoding="utf-8"?>
<a:themeOverride xmlns:a="http://schemas.openxmlformats.org/drawingml/2006/main">
  <a:clrScheme name="Personalizado 3">
    <a:dk1>
      <a:sysClr val="windowText" lastClr="000000"/>
    </a:dk1>
    <a:lt1>
      <a:sysClr val="window" lastClr="FFFFFF"/>
    </a:lt1>
    <a:dk2>
      <a:srgbClr val="6E7678"/>
    </a:dk2>
    <a:lt2>
      <a:srgbClr val="E7E6E6"/>
    </a:lt2>
    <a:accent1>
      <a:srgbClr val="EB0000"/>
    </a:accent1>
    <a:accent2>
      <a:srgbClr val="DEEDF1"/>
    </a:accent2>
    <a:accent3>
      <a:srgbClr val="9D3566"/>
    </a:accent3>
    <a:accent4>
      <a:srgbClr val="62B967"/>
    </a:accent4>
    <a:accent5>
      <a:srgbClr val="1AB2BB"/>
    </a:accent5>
    <a:accent6>
      <a:srgbClr val="FFCB32"/>
    </a:accent6>
    <a:hlink>
      <a:srgbClr val="3265FF"/>
    </a:hlink>
    <a:folHlink>
      <a:srgbClr val="954F72"/>
    </a:folHlink>
  </a:clrScheme>
  <a:fontScheme name="Personalizado 66">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xml><?xml version="1.0" encoding="utf-8"?>
<a:themeOverride xmlns:a="http://schemas.openxmlformats.org/drawingml/2006/main">
  <a:clrScheme name="Personalizado 3">
    <a:dk1>
      <a:sysClr val="windowText" lastClr="000000"/>
    </a:dk1>
    <a:lt1>
      <a:sysClr val="window" lastClr="FFFFFF"/>
    </a:lt1>
    <a:dk2>
      <a:srgbClr val="6E7678"/>
    </a:dk2>
    <a:lt2>
      <a:srgbClr val="E7E6E6"/>
    </a:lt2>
    <a:accent1>
      <a:srgbClr val="EB0000"/>
    </a:accent1>
    <a:accent2>
      <a:srgbClr val="DEEDF1"/>
    </a:accent2>
    <a:accent3>
      <a:srgbClr val="9D3566"/>
    </a:accent3>
    <a:accent4>
      <a:srgbClr val="62B967"/>
    </a:accent4>
    <a:accent5>
      <a:srgbClr val="1AB2BB"/>
    </a:accent5>
    <a:accent6>
      <a:srgbClr val="FFCB32"/>
    </a:accent6>
    <a:hlink>
      <a:srgbClr val="3265FF"/>
    </a:hlink>
    <a:folHlink>
      <a:srgbClr val="954F72"/>
    </a:folHlink>
  </a:clrScheme>
  <a:fontScheme name="Personalizado 66">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readedComments/threadedComment1.xml><?xml version="1.0" encoding="utf-8"?>
<ThreadedComments xmlns="http://schemas.microsoft.com/office/spreadsheetml/2018/threadedcomments" xmlns:x="http://schemas.openxmlformats.org/spreadsheetml/2006/main">
  <threadedComment ref="I26" dT="2024-07-15T14:39:11.45" personId="{113755EB-BB16-4E64-80A6-1C8DF6B29E4C}" id="{803F0E32-87E9-4F81-ABD6-87DDD70E836A}">
    <text>Uma manha todas as semanas</text>
  </threadedComment>
</ThreadedComments>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microsoft.com/office/2017/10/relationships/threadedComment" Target="../threadedComments/threadedComment1.xml"/><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rinterSettings" Target="../printerSettings/printerSettings6.bin"/><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printerSettings" Target="../printerSettings/printerSettings8.bin"/><Relationship Id="rId1" Type="http://schemas.openxmlformats.org/officeDocument/2006/relationships/pivotTable" Target="../pivotTables/pivotTable11.xm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theme="4"/>
  </sheetPr>
  <dimension ref="A1:FL639"/>
  <sheetViews>
    <sheetView showGridLines="0" zoomScale="55" zoomScaleNormal="55" workbookViewId="0">
      <pane xSplit="12" ySplit="13" topLeftCell="M230" activePane="bottomRight" state="frozen"/>
      <selection pane="topRight" activeCell="F337" sqref="F337"/>
      <selection pane="bottomLeft" activeCell="F337" sqref="F337"/>
      <selection pane="bottomRight" activeCell="F337" sqref="F337"/>
    </sheetView>
  </sheetViews>
  <sheetFormatPr defaultColWidth="0" defaultRowHeight="18" outlineLevelRow="1"/>
  <cols>
    <col min="1" max="1" width="3.58203125" customWidth="1"/>
    <col min="2" max="2" width="8.58203125" bestFit="1" customWidth="1"/>
    <col min="3" max="3" width="19.58203125" bestFit="1" customWidth="1"/>
    <col min="4" max="4" width="14.58203125" hidden="1" customWidth="1"/>
    <col min="5" max="5" width="35.58203125" customWidth="1"/>
    <col min="6" max="6" width="33.58203125" customWidth="1"/>
    <col min="7" max="8" width="14.58203125" customWidth="1"/>
    <col min="9" max="10" width="8.58203125" style="25" customWidth="1"/>
    <col min="11" max="11" width="13.08203125" customWidth="1"/>
    <col min="12" max="12" width="8.58203125" customWidth="1"/>
    <col min="13" max="13" width="4.5" customWidth="1"/>
    <col min="14" max="167" width="5.58203125" customWidth="1"/>
    <col min="168" max="168" width="8.58203125" customWidth="1"/>
    <col min="169" max="16384" width="8.58203125" hidden="1"/>
  </cols>
  <sheetData>
    <row r="1" spans="1:168" s="25" customFormat="1">
      <c r="AF1" s="117"/>
    </row>
    <row r="2" spans="1:168" s="25" customFormat="1"/>
    <row r="3" spans="1:168" s="25" customFormat="1"/>
    <row r="4" spans="1:168" s="25" customFormat="1" ht="5.15" customHeight="1">
      <c r="A4" s="114"/>
      <c r="B4" s="114"/>
      <c r="C4" s="114"/>
      <c r="D4" s="114"/>
      <c r="E4" s="114"/>
      <c r="F4" s="114"/>
      <c r="G4" s="114"/>
      <c r="H4" s="114"/>
      <c r="I4" s="114"/>
      <c r="J4" s="114"/>
      <c r="K4" s="114"/>
      <c r="L4" s="114"/>
      <c r="M4" s="114"/>
      <c r="N4" s="114"/>
      <c r="O4" s="114"/>
      <c r="P4" s="114"/>
      <c r="Q4" s="114"/>
      <c r="R4" s="114"/>
      <c r="S4" s="114"/>
      <c r="T4" s="114"/>
      <c r="U4" s="114"/>
      <c r="V4" s="114"/>
      <c r="W4" s="114"/>
      <c r="X4" s="114"/>
      <c r="Y4" s="114"/>
      <c r="Z4" s="114"/>
      <c r="AA4" s="114"/>
      <c r="AB4" s="114"/>
      <c r="AC4" s="114"/>
      <c r="AD4" s="114"/>
      <c r="AE4" s="114"/>
      <c r="AF4" s="114"/>
      <c r="AG4" s="114"/>
      <c r="AH4" s="114"/>
      <c r="AI4" s="114"/>
      <c r="AJ4" s="114"/>
      <c r="AK4" s="114"/>
      <c r="AL4" s="114"/>
      <c r="AM4" s="114"/>
      <c r="AN4" s="114"/>
      <c r="AO4" s="114"/>
      <c r="AP4" s="114"/>
      <c r="AQ4" s="114"/>
      <c r="AR4" s="114"/>
      <c r="AS4" s="114"/>
      <c r="AT4" s="114"/>
      <c r="AU4" s="114"/>
      <c r="AV4" s="114"/>
      <c r="AW4" s="114"/>
      <c r="AX4" s="114"/>
      <c r="AY4" s="114"/>
      <c r="AZ4" s="114"/>
      <c r="BA4" s="114"/>
      <c r="BB4" s="114"/>
      <c r="BC4" s="114"/>
      <c r="BD4" s="114"/>
      <c r="BE4" s="114"/>
      <c r="BF4" s="114"/>
      <c r="BG4" s="114"/>
      <c r="BH4" s="114"/>
      <c r="BI4" s="114"/>
      <c r="BJ4" s="114"/>
      <c r="BK4" s="114"/>
      <c r="BL4" s="114"/>
      <c r="BM4" s="114"/>
      <c r="BN4" s="114"/>
      <c r="BO4" s="114"/>
      <c r="BP4" s="114"/>
      <c r="BQ4" s="114"/>
      <c r="BR4" s="114"/>
      <c r="BS4" s="114"/>
      <c r="BT4" s="114"/>
      <c r="BU4" s="114"/>
      <c r="BV4" s="114"/>
      <c r="BW4" s="114"/>
      <c r="BX4" s="114"/>
      <c r="BY4" s="114"/>
      <c r="BZ4" s="114"/>
      <c r="CA4" s="114"/>
      <c r="CB4" s="114"/>
      <c r="CC4" s="114"/>
      <c r="CD4" s="114"/>
      <c r="CE4" s="114"/>
      <c r="CF4" s="114"/>
      <c r="CG4" s="114"/>
      <c r="CH4" s="114"/>
      <c r="CI4" s="114"/>
      <c r="CJ4" s="114"/>
      <c r="CK4" s="114"/>
      <c r="CL4" s="114"/>
      <c r="CM4" s="114"/>
      <c r="CN4" s="114"/>
      <c r="CO4" s="114"/>
      <c r="CP4" s="114"/>
      <c r="CQ4" s="114"/>
      <c r="CR4" s="114"/>
      <c r="CS4" s="114"/>
      <c r="CT4" s="114"/>
      <c r="CU4" s="114"/>
      <c r="CV4" s="114"/>
      <c r="CW4" s="114"/>
      <c r="CX4" s="114"/>
      <c r="CY4" s="114"/>
      <c r="CZ4" s="114"/>
      <c r="DA4" s="114"/>
      <c r="DB4" s="114"/>
      <c r="DC4" s="114"/>
      <c r="DD4" s="114"/>
      <c r="DE4" s="114"/>
      <c r="DF4" s="114"/>
      <c r="DG4" s="114"/>
      <c r="DH4" s="114"/>
      <c r="DI4" s="114"/>
      <c r="DJ4" s="114"/>
      <c r="DK4" s="114"/>
      <c r="DL4" s="114"/>
      <c r="DM4" s="114"/>
      <c r="DN4" s="114"/>
      <c r="DO4" s="114"/>
      <c r="DP4" s="114"/>
      <c r="DQ4" s="114"/>
      <c r="DR4" s="114"/>
      <c r="DS4" s="114"/>
      <c r="DT4" s="114"/>
      <c r="DU4" s="114"/>
      <c r="DV4" s="114"/>
      <c r="DW4" s="114"/>
      <c r="DX4" s="114"/>
      <c r="DY4" s="114"/>
      <c r="DZ4" s="114"/>
      <c r="EA4" s="114"/>
      <c r="EB4" s="114"/>
      <c r="EC4" s="114"/>
      <c r="ED4" s="114"/>
      <c r="EE4" s="114"/>
      <c r="EF4" s="114"/>
      <c r="EG4" s="114"/>
      <c r="EH4" s="114"/>
      <c r="EI4" s="114"/>
      <c r="EJ4" s="114"/>
      <c r="EK4" s="114"/>
      <c r="EL4" s="114"/>
      <c r="EM4" s="114"/>
      <c r="EN4" s="114"/>
      <c r="EO4" s="114"/>
      <c r="EP4" s="114"/>
      <c r="EQ4" s="114"/>
      <c r="ER4" s="114"/>
      <c r="ES4" s="114"/>
      <c r="ET4" s="114"/>
      <c r="EU4" s="114"/>
      <c r="EV4" s="114"/>
      <c r="EW4" s="114"/>
      <c r="EX4" s="114"/>
      <c r="EY4" s="114"/>
      <c r="EZ4" s="114"/>
      <c r="FA4" s="114"/>
      <c r="FB4" s="114"/>
      <c r="FC4" s="114"/>
      <c r="FD4" s="114"/>
      <c r="FE4" s="114"/>
      <c r="FF4" s="114"/>
      <c r="FG4" s="114"/>
      <c r="FH4" s="114"/>
      <c r="FI4" s="114"/>
      <c r="FJ4" s="114"/>
      <c r="FK4" s="114"/>
      <c r="FL4" s="114"/>
    </row>
    <row r="5" spans="1:168">
      <c r="M5" s="90"/>
    </row>
    <row r="6" spans="1:168" hidden="1">
      <c r="B6" s="108" t="s">
        <v>0</v>
      </c>
      <c r="C6" s="108"/>
      <c r="D6" s="109">
        <v>0.2</v>
      </c>
      <c r="M6" s="90">
        <f>M7-M10</f>
        <v>0</v>
      </c>
      <c r="N6" s="90">
        <f t="shared" ref="N6:BY6" si="0">N7-N10</f>
        <v>0</v>
      </c>
      <c r="O6" s="90">
        <f t="shared" si="0"/>
        <v>0</v>
      </c>
      <c r="P6" s="90">
        <f t="shared" si="0"/>
        <v>0</v>
      </c>
      <c r="Q6" s="90">
        <f t="shared" si="0"/>
        <v>0</v>
      </c>
      <c r="R6" s="90">
        <f t="shared" si="0"/>
        <v>0</v>
      </c>
      <c r="S6" s="90">
        <f t="shared" si="0"/>
        <v>0</v>
      </c>
      <c r="T6" s="90">
        <f t="shared" si="0"/>
        <v>0</v>
      </c>
      <c r="U6" s="90">
        <f t="shared" si="0"/>
        <v>0</v>
      </c>
      <c r="V6" s="90">
        <f t="shared" si="0"/>
        <v>0</v>
      </c>
      <c r="W6" s="90">
        <f t="shared" si="0"/>
        <v>0</v>
      </c>
      <c r="X6" s="90">
        <f t="shared" si="0"/>
        <v>0</v>
      </c>
      <c r="Y6" s="90">
        <f t="shared" si="0"/>
        <v>0</v>
      </c>
      <c r="Z6" s="90">
        <f t="shared" si="0"/>
        <v>0</v>
      </c>
      <c r="AA6" s="90">
        <f t="shared" si="0"/>
        <v>0</v>
      </c>
      <c r="AB6" s="90">
        <f t="shared" si="0"/>
        <v>0</v>
      </c>
      <c r="AC6" s="90">
        <f t="shared" si="0"/>
        <v>0</v>
      </c>
      <c r="AD6" s="90">
        <f t="shared" si="0"/>
        <v>0</v>
      </c>
      <c r="AE6" s="90">
        <f t="shared" si="0"/>
        <v>0</v>
      </c>
      <c r="AF6" s="90">
        <f t="shared" si="0"/>
        <v>0</v>
      </c>
      <c r="AG6" s="90">
        <f t="shared" si="0"/>
        <v>0</v>
      </c>
      <c r="AH6" s="90">
        <f t="shared" si="0"/>
        <v>0</v>
      </c>
      <c r="AI6" s="90">
        <f t="shared" si="0"/>
        <v>0</v>
      </c>
      <c r="AJ6" s="90">
        <f t="shared" si="0"/>
        <v>0</v>
      </c>
      <c r="AK6" s="90">
        <f t="shared" si="0"/>
        <v>0</v>
      </c>
      <c r="AL6" s="90">
        <f t="shared" si="0"/>
        <v>0</v>
      </c>
      <c r="AM6" s="90">
        <f t="shared" si="0"/>
        <v>0</v>
      </c>
      <c r="AN6" s="90">
        <f t="shared" si="0"/>
        <v>0</v>
      </c>
      <c r="AO6" s="90">
        <f t="shared" si="0"/>
        <v>0</v>
      </c>
      <c r="AP6" s="90">
        <f t="shared" si="0"/>
        <v>0</v>
      </c>
      <c r="AQ6" s="90">
        <f t="shared" si="0"/>
        <v>0</v>
      </c>
      <c r="AR6" s="90">
        <f t="shared" si="0"/>
        <v>0</v>
      </c>
      <c r="AS6" s="90">
        <f t="shared" si="0"/>
        <v>0</v>
      </c>
      <c r="AT6" s="90">
        <f t="shared" si="0"/>
        <v>0</v>
      </c>
      <c r="AU6" s="90">
        <f t="shared" si="0"/>
        <v>0</v>
      </c>
      <c r="AV6" s="90">
        <f t="shared" si="0"/>
        <v>0</v>
      </c>
      <c r="AW6" s="90">
        <f t="shared" si="0"/>
        <v>0</v>
      </c>
      <c r="AX6" s="90">
        <f t="shared" si="0"/>
        <v>0</v>
      </c>
      <c r="AY6" s="90">
        <f t="shared" si="0"/>
        <v>0</v>
      </c>
      <c r="AZ6" s="90">
        <f t="shared" si="0"/>
        <v>0</v>
      </c>
      <c r="BA6" s="90">
        <f t="shared" si="0"/>
        <v>0</v>
      </c>
      <c r="BB6" s="90">
        <f t="shared" si="0"/>
        <v>0</v>
      </c>
      <c r="BC6" s="90">
        <f t="shared" si="0"/>
        <v>0</v>
      </c>
      <c r="BD6" s="90">
        <f t="shared" si="0"/>
        <v>0</v>
      </c>
      <c r="BE6" s="90">
        <f t="shared" si="0"/>
        <v>0</v>
      </c>
      <c r="BF6" s="90">
        <f t="shared" si="0"/>
        <v>0</v>
      </c>
      <c r="BG6" s="90">
        <f t="shared" si="0"/>
        <v>0</v>
      </c>
      <c r="BH6" s="90">
        <f t="shared" si="0"/>
        <v>0</v>
      </c>
      <c r="BI6" s="90">
        <f t="shared" si="0"/>
        <v>0</v>
      </c>
      <c r="BJ6" s="90">
        <f t="shared" si="0"/>
        <v>0</v>
      </c>
      <c r="BK6" s="90">
        <f t="shared" si="0"/>
        <v>0</v>
      </c>
      <c r="BL6" s="90">
        <f t="shared" si="0"/>
        <v>0</v>
      </c>
      <c r="BM6" s="90">
        <f t="shared" si="0"/>
        <v>0</v>
      </c>
      <c r="BN6" s="90">
        <f t="shared" si="0"/>
        <v>0</v>
      </c>
      <c r="BO6" s="90">
        <f t="shared" si="0"/>
        <v>0</v>
      </c>
      <c r="BP6" s="90">
        <f t="shared" si="0"/>
        <v>0</v>
      </c>
      <c r="BQ6" s="90">
        <f t="shared" si="0"/>
        <v>0</v>
      </c>
      <c r="BR6" s="90">
        <f t="shared" si="0"/>
        <v>0</v>
      </c>
      <c r="BS6" s="90">
        <f t="shared" si="0"/>
        <v>0</v>
      </c>
      <c r="BT6" s="90">
        <f t="shared" si="0"/>
        <v>0</v>
      </c>
      <c r="BU6" s="90">
        <f t="shared" si="0"/>
        <v>0</v>
      </c>
      <c r="BV6" s="90">
        <f t="shared" si="0"/>
        <v>0</v>
      </c>
      <c r="BW6" s="90">
        <f t="shared" si="0"/>
        <v>0</v>
      </c>
      <c r="BX6" s="90">
        <f t="shared" si="0"/>
        <v>0</v>
      </c>
      <c r="BY6" s="90">
        <f t="shared" si="0"/>
        <v>0</v>
      </c>
      <c r="BZ6" s="90">
        <f t="shared" ref="BZ6:EK6" si="1">BZ7-BZ10</f>
        <v>0</v>
      </c>
      <c r="CA6" s="90">
        <f t="shared" si="1"/>
        <v>0</v>
      </c>
      <c r="CB6" s="90">
        <f t="shared" si="1"/>
        <v>0</v>
      </c>
      <c r="CC6" s="90">
        <f t="shared" si="1"/>
        <v>0</v>
      </c>
      <c r="CD6" s="90">
        <f t="shared" si="1"/>
        <v>0</v>
      </c>
      <c r="CE6" s="90">
        <f t="shared" si="1"/>
        <v>0</v>
      </c>
      <c r="CF6" s="90">
        <f t="shared" si="1"/>
        <v>0</v>
      </c>
      <c r="CG6" s="90">
        <f t="shared" si="1"/>
        <v>0</v>
      </c>
      <c r="CH6" s="90">
        <f t="shared" si="1"/>
        <v>0</v>
      </c>
      <c r="CI6" s="90">
        <f t="shared" si="1"/>
        <v>0</v>
      </c>
      <c r="CJ6" s="90">
        <f t="shared" si="1"/>
        <v>0</v>
      </c>
      <c r="CK6" s="90">
        <f t="shared" si="1"/>
        <v>0</v>
      </c>
      <c r="CL6" s="90">
        <f t="shared" si="1"/>
        <v>0</v>
      </c>
      <c r="CM6" s="90">
        <f t="shared" si="1"/>
        <v>0</v>
      </c>
      <c r="CN6" s="90">
        <f t="shared" si="1"/>
        <v>0</v>
      </c>
      <c r="CO6" s="90">
        <f t="shared" si="1"/>
        <v>0</v>
      </c>
      <c r="CP6" s="90">
        <f t="shared" si="1"/>
        <v>0</v>
      </c>
      <c r="CQ6" s="90">
        <f t="shared" si="1"/>
        <v>0</v>
      </c>
      <c r="CR6" s="90">
        <f t="shared" si="1"/>
        <v>0</v>
      </c>
      <c r="CS6" s="90">
        <f t="shared" si="1"/>
        <v>0</v>
      </c>
      <c r="CT6" s="90">
        <f t="shared" si="1"/>
        <v>0</v>
      </c>
      <c r="CU6" s="90">
        <f t="shared" si="1"/>
        <v>0</v>
      </c>
      <c r="CV6" s="90">
        <f t="shared" si="1"/>
        <v>0</v>
      </c>
      <c r="CW6" s="90">
        <f t="shared" si="1"/>
        <v>0</v>
      </c>
      <c r="CX6" s="90">
        <f t="shared" si="1"/>
        <v>0</v>
      </c>
      <c r="CY6" s="90">
        <f t="shared" si="1"/>
        <v>0</v>
      </c>
      <c r="CZ6" s="90">
        <f t="shared" si="1"/>
        <v>0</v>
      </c>
      <c r="DA6" s="90">
        <f t="shared" si="1"/>
        <v>0</v>
      </c>
      <c r="DB6" s="90">
        <f t="shared" si="1"/>
        <v>0</v>
      </c>
      <c r="DC6" s="90">
        <f t="shared" si="1"/>
        <v>0</v>
      </c>
      <c r="DD6" s="90">
        <f t="shared" si="1"/>
        <v>0</v>
      </c>
      <c r="DE6" s="90">
        <f t="shared" si="1"/>
        <v>0</v>
      </c>
      <c r="DF6" s="90">
        <f t="shared" si="1"/>
        <v>0</v>
      </c>
      <c r="DG6" s="90">
        <f t="shared" si="1"/>
        <v>0</v>
      </c>
      <c r="DH6" s="90">
        <f t="shared" si="1"/>
        <v>0</v>
      </c>
      <c r="DI6" s="90">
        <f t="shared" si="1"/>
        <v>0</v>
      </c>
      <c r="DJ6" s="90">
        <f t="shared" si="1"/>
        <v>0</v>
      </c>
      <c r="DK6" s="90">
        <f t="shared" si="1"/>
        <v>0</v>
      </c>
      <c r="DL6" s="90">
        <f t="shared" si="1"/>
        <v>0</v>
      </c>
      <c r="DM6" s="90">
        <f t="shared" si="1"/>
        <v>0</v>
      </c>
      <c r="DN6" s="90">
        <f t="shared" si="1"/>
        <v>0</v>
      </c>
      <c r="DO6" s="90">
        <f t="shared" si="1"/>
        <v>0</v>
      </c>
      <c r="DP6" s="90">
        <f t="shared" si="1"/>
        <v>0</v>
      </c>
      <c r="DQ6" s="90">
        <f t="shared" si="1"/>
        <v>0</v>
      </c>
      <c r="DR6" s="90">
        <f t="shared" si="1"/>
        <v>0</v>
      </c>
      <c r="DS6" s="90">
        <f t="shared" si="1"/>
        <v>0</v>
      </c>
      <c r="DT6" s="90">
        <f t="shared" si="1"/>
        <v>0</v>
      </c>
      <c r="DU6" s="90">
        <f t="shared" si="1"/>
        <v>0</v>
      </c>
      <c r="DV6" s="90">
        <f t="shared" si="1"/>
        <v>0</v>
      </c>
      <c r="DW6" s="90">
        <f t="shared" si="1"/>
        <v>0</v>
      </c>
      <c r="DX6" s="90">
        <f t="shared" si="1"/>
        <v>0</v>
      </c>
      <c r="DY6" s="90">
        <f t="shared" si="1"/>
        <v>0</v>
      </c>
      <c r="DZ6" s="90">
        <f t="shared" si="1"/>
        <v>0</v>
      </c>
      <c r="EA6" s="90">
        <f t="shared" si="1"/>
        <v>0</v>
      </c>
      <c r="EB6" s="90">
        <f t="shared" si="1"/>
        <v>0</v>
      </c>
      <c r="EC6" s="90">
        <f t="shared" si="1"/>
        <v>0</v>
      </c>
      <c r="ED6" s="90">
        <f t="shared" si="1"/>
        <v>0</v>
      </c>
      <c r="EE6" s="90">
        <f t="shared" si="1"/>
        <v>0</v>
      </c>
      <c r="EF6" s="90">
        <f t="shared" si="1"/>
        <v>0</v>
      </c>
      <c r="EG6" s="90">
        <f t="shared" si="1"/>
        <v>0</v>
      </c>
      <c r="EH6" s="90">
        <f t="shared" si="1"/>
        <v>0</v>
      </c>
      <c r="EI6" s="90">
        <f t="shared" si="1"/>
        <v>0</v>
      </c>
      <c r="EJ6" s="90">
        <f t="shared" si="1"/>
        <v>0</v>
      </c>
      <c r="EK6" s="90">
        <f t="shared" si="1"/>
        <v>0</v>
      </c>
      <c r="EL6" s="90">
        <f t="shared" ref="EL6:FK6" si="2">EL7-EL10</f>
        <v>0</v>
      </c>
      <c r="EM6" s="90">
        <f t="shared" si="2"/>
        <v>0</v>
      </c>
      <c r="EN6" s="90">
        <f t="shared" si="2"/>
        <v>0</v>
      </c>
      <c r="EO6" s="90">
        <f t="shared" si="2"/>
        <v>0</v>
      </c>
      <c r="EP6" s="90">
        <f t="shared" si="2"/>
        <v>0</v>
      </c>
      <c r="EQ6" s="90">
        <f t="shared" si="2"/>
        <v>0</v>
      </c>
      <c r="ER6" s="90">
        <f t="shared" si="2"/>
        <v>0</v>
      </c>
      <c r="ES6" s="90">
        <f t="shared" si="2"/>
        <v>0</v>
      </c>
      <c r="ET6" s="90">
        <f t="shared" si="2"/>
        <v>0</v>
      </c>
      <c r="EU6" s="90">
        <f t="shared" si="2"/>
        <v>0</v>
      </c>
      <c r="EV6" s="90">
        <f t="shared" si="2"/>
        <v>0</v>
      </c>
      <c r="EW6" s="90">
        <f t="shared" si="2"/>
        <v>0</v>
      </c>
      <c r="EX6" s="90">
        <f t="shared" si="2"/>
        <v>0</v>
      </c>
      <c r="EY6" s="90">
        <f t="shared" si="2"/>
        <v>0</v>
      </c>
      <c r="EZ6" s="90">
        <f t="shared" si="2"/>
        <v>0</v>
      </c>
      <c r="FA6" s="90">
        <f t="shared" si="2"/>
        <v>0</v>
      </c>
      <c r="FB6" s="90">
        <f t="shared" si="2"/>
        <v>0</v>
      </c>
      <c r="FC6" s="90">
        <f t="shared" si="2"/>
        <v>0</v>
      </c>
      <c r="FD6" s="90">
        <f t="shared" si="2"/>
        <v>0</v>
      </c>
      <c r="FE6" s="90">
        <f t="shared" si="2"/>
        <v>0</v>
      </c>
      <c r="FF6" s="90">
        <f t="shared" si="2"/>
        <v>0</v>
      </c>
      <c r="FG6" s="90">
        <f t="shared" si="2"/>
        <v>0</v>
      </c>
      <c r="FH6" s="90">
        <f t="shared" si="2"/>
        <v>0</v>
      </c>
      <c r="FI6" s="90">
        <f t="shared" si="2"/>
        <v>0</v>
      </c>
      <c r="FJ6" s="90">
        <f t="shared" si="2"/>
        <v>0</v>
      </c>
      <c r="FK6" s="90">
        <f t="shared" si="2"/>
        <v>0</v>
      </c>
    </row>
    <row r="7" spans="1:168" hidden="1">
      <c r="B7" s="108" t="s">
        <v>1</v>
      </c>
      <c r="C7" s="108"/>
      <c r="D7" s="109">
        <f>50%*25%</f>
        <v>0.125</v>
      </c>
      <c r="E7" s="95"/>
      <c r="L7" s="106">
        <f>AVERAGE(M7:EL7)</f>
        <v>2.4923076923076923</v>
      </c>
      <c r="M7" s="90">
        <v>3</v>
      </c>
      <c r="N7" s="90">
        <v>3</v>
      </c>
      <c r="O7" s="90">
        <v>3</v>
      </c>
      <c r="P7" s="90">
        <v>3</v>
      </c>
      <c r="Q7" s="90">
        <v>3</v>
      </c>
      <c r="R7" s="90">
        <v>2</v>
      </c>
      <c r="S7" s="90">
        <v>2</v>
      </c>
      <c r="T7" s="90">
        <v>2</v>
      </c>
      <c r="U7" s="90">
        <v>2</v>
      </c>
      <c r="V7" s="90">
        <v>2</v>
      </c>
      <c r="W7" s="90">
        <v>2</v>
      </c>
      <c r="X7" s="90">
        <v>2</v>
      </c>
      <c r="Y7" s="90">
        <v>2</v>
      </c>
      <c r="Z7" s="90">
        <v>2</v>
      </c>
      <c r="AA7" s="90">
        <v>2</v>
      </c>
      <c r="AB7" s="90">
        <v>2</v>
      </c>
      <c r="AC7" s="90">
        <v>2</v>
      </c>
      <c r="AD7" s="90">
        <v>1</v>
      </c>
      <c r="AE7" s="90">
        <v>1</v>
      </c>
      <c r="AF7" s="90">
        <v>1</v>
      </c>
      <c r="AG7" s="90">
        <v>3</v>
      </c>
      <c r="AH7" s="90">
        <v>3</v>
      </c>
      <c r="AI7" s="90">
        <v>3</v>
      </c>
      <c r="AJ7" s="90">
        <v>3</v>
      </c>
      <c r="AK7" s="90">
        <v>2</v>
      </c>
      <c r="AL7" s="90">
        <v>3</v>
      </c>
      <c r="AM7" s="90">
        <v>3</v>
      </c>
      <c r="AN7" s="90">
        <v>3</v>
      </c>
      <c r="AO7" s="90">
        <v>3</v>
      </c>
      <c r="AP7" s="90">
        <v>3</v>
      </c>
      <c r="AQ7" s="90">
        <v>2</v>
      </c>
      <c r="AR7" s="90">
        <v>2</v>
      </c>
      <c r="AS7" s="90">
        <v>2</v>
      </c>
      <c r="AT7" s="90">
        <v>0</v>
      </c>
      <c r="AU7" s="90">
        <v>1</v>
      </c>
      <c r="AV7" s="90">
        <v>1</v>
      </c>
      <c r="AW7" s="90">
        <v>0</v>
      </c>
      <c r="AX7" s="90">
        <v>1</v>
      </c>
      <c r="AY7" s="90">
        <v>1</v>
      </c>
      <c r="AZ7" s="90">
        <v>1</v>
      </c>
      <c r="BA7" s="90">
        <v>2</v>
      </c>
      <c r="BB7" s="90">
        <v>2</v>
      </c>
      <c r="BC7" s="90">
        <v>2</v>
      </c>
      <c r="BD7" s="90">
        <v>2</v>
      </c>
      <c r="BE7" s="90">
        <v>2</v>
      </c>
      <c r="BF7" s="90">
        <v>2</v>
      </c>
      <c r="BG7" s="90">
        <v>2</v>
      </c>
      <c r="BH7" s="90">
        <v>2</v>
      </c>
      <c r="BI7" s="90">
        <v>2</v>
      </c>
      <c r="BJ7" s="90">
        <v>2</v>
      </c>
      <c r="BK7" s="90">
        <v>2</v>
      </c>
      <c r="BL7" s="90">
        <v>2</v>
      </c>
      <c r="BM7" s="90">
        <v>2</v>
      </c>
      <c r="BN7" s="90">
        <v>2</v>
      </c>
      <c r="BO7" s="90">
        <v>2</v>
      </c>
      <c r="BP7" s="90">
        <v>3</v>
      </c>
      <c r="BQ7" s="90">
        <v>3</v>
      </c>
      <c r="BR7" s="90">
        <v>3</v>
      </c>
      <c r="BS7" s="90">
        <v>3</v>
      </c>
      <c r="BT7" s="90">
        <v>3</v>
      </c>
      <c r="BU7" s="90">
        <v>3</v>
      </c>
      <c r="BV7" s="90">
        <v>3</v>
      </c>
      <c r="BW7" s="90">
        <v>3</v>
      </c>
      <c r="BX7" s="90">
        <v>3</v>
      </c>
      <c r="BY7" s="90">
        <v>3</v>
      </c>
      <c r="BZ7" s="90">
        <v>3</v>
      </c>
      <c r="CA7" s="90">
        <v>3</v>
      </c>
      <c r="CB7" s="90">
        <v>3</v>
      </c>
      <c r="CC7" s="90">
        <v>3</v>
      </c>
      <c r="CD7" s="90">
        <v>3</v>
      </c>
      <c r="CE7" s="90">
        <v>3</v>
      </c>
      <c r="CF7" s="90">
        <v>3</v>
      </c>
      <c r="CG7" s="90">
        <v>3</v>
      </c>
      <c r="CH7" s="90">
        <v>3</v>
      </c>
      <c r="CI7" s="90">
        <v>3</v>
      </c>
      <c r="CJ7" s="90">
        <v>3</v>
      </c>
      <c r="CK7" s="90">
        <v>3</v>
      </c>
      <c r="CL7" s="90">
        <v>3</v>
      </c>
      <c r="CM7" s="90">
        <v>3</v>
      </c>
      <c r="CN7" s="90">
        <v>3</v>
      </c>
      <c r="CO7" s="90">
        <v>3</v>
      </c>
      <c r="CP7" s="90">
        <v>3</v>
      </c>
      <c r="CQ7" s="90">
        <v>3</v>
      </c>
      <c r="CR7" s="90">
        <v>3</v>
      </c>
      <c r="CS7" s="90">
        <v>3</v>
      </c>
      <c r="CT7" s="90">
        <v>3</v>
      </c>
      <c r="CU7" s="90">
        <v>3</v>
      </c>
      <c r="CV7" s="90">
        <v>3</v>
      </c>
      <c r="CW7" s="90">
        <v>3</v>
      </c>
      <c r="CX7" s="90">
        <v>3</v>
      </c>
      <c r="CY7" s="90">
        <v>3</v>
      </c>
      <c r="CZ7" s="90">
        <v>3</v>
      </c>
      <c r="DA7" s="90">
        <v>3</v>
      </c>
      <c r="DB7" s="90">
        <v>3</v>
      </c>
      <c r="DC7" s="90">
        <v>3</v>
      </c>
      <c r="DD7" s="90">
        <v>3</v>
      </c>
      <c r="DE7" s="90">
        <v>3</v>
      </c>
      <c r="DF7" s="90">
        <v>3</v>
      </c>
      <c r="DG7" s="90">
        <v>3</v>
      </c>
      <c r="DH7" s="90">
        <v>3</v>
      </c>
      <c r="DI7" s="90">
        <v>3</v>
      </c>
      <c r="DJ7" s="90">
        <v>3</v>
      </c>
      <c r="DK7" s="90">
        <v>3</v>
      </c>
      <c r="DL7" s="90">
        <v>3</v>
      </c>
      <c r="DM7" s="90">
        <v>3</v>
      </c>
      <c r="DN7" s="90">
        <v>2</v>
      </c>
      <c r="DO7" s="90">
        <v>3</v>
      </c>
      <c r="DP7" s="90">
        <v>3</v>
      </c>
      <c r="DQ7" s="90">
        <v>3</v>
      </c>
      <c r="DR7" s="90">
        <v>3</v>
      </c>
      <c r="DS7" s="90">
        <v>3</v>
      </c>
      <c r="DT7" s="90">
        <v>3</v>
      </c>
      <c r="DU7" s="90">
        <v>3</v>
      </c>
      <c r="DV7" s="90">
        <v>3</v>
      </c>
      <c r="DW7" s="90">
        <v>3</v>
      </c>
      <c r="DX7" s="90">
        <v>3</v>
      </c>
      <c r="DY7" s="90">
        <v>3</v>
      </c>
      <c r="DZ7" s="90">
        <v>3</v>
      </c>
      <c r="EA7" s="90">
        <v>3</v>
      </c>
      <c r="EB7" s="90">
        <v>3</v>
      </c>
      <c r="EC7" s="90">
        <v>3</v>
      </c>
      <c r="ED7" s="90">
        <v>3</v>
      </c>
      <c r="EE7" s="90">
        <v>3</v>
      </c>
      <c r="EF7" s="90">
        <v>3</v>
      </c>
      <c r="EG7" s="90">
        <v>3</v>
      </c>
      <c r="EH7" s="90">
        <v>3</v>
      </c>
      <c r="EI7" s="90">
        <v>0</v>
      </c>
      <c r="EJ7" s="90">
        <v>0</v>
      </c>
      <c r="EK7" s="90">
        <v>0</v>
      </c>
      <c r="EL7" s="90">
        <v>0</v>
      </c>
      <c r="EM7" s="90">
        <v>0</v>
      </c>
      <c r="EN7" s="90">
        <v>0</v>
      </c>
      <c r="EO7" s="90">
        <v>0</v>
      </c>
      <c r="EP7" s="90">
        <v>3</v>
      </c>
      <c r="EQ7" s="90">
        <v>3</v>
      </c>
      <c r="ER7" s="90">
        <v>3</v>
      </c>
      <c r="ES7" s="90">
        <v>3</v>
      </c>
      <c r="ET7" s="90">
        <v>3</v>
      </c>
      <c r="EU7" s="90">
        <v>3</v>
      </c>
      <c r="EV7" s="90">
        <v>3</v>
      </c>
      <c r="EW7" s="90">
        <v>3</v>
      </c>
      <c r="EX7" s="90">
        <v>3</v>
      </c>
      <c r="EY7" s="90">
        <v>3</v>
      </c>
      <c r="EZ7" s="90">
        <v>3</v>
      </c>
      <c r="FA7" s="90">
        <v>3</v>
      </c>
      <c r="FB7" s="90">
        <v>3</v>
      </c>
      <c r="FC7" s="90">
        <v>3</v>
      </c>
      <c r="FD7" s="90">
        <v>3</v>
      </c>
      <c r="FE7" s="90">
        <v>3</v>
      </c>
      <c r="FF7" s="90">
        <v>3</v>
      </c>
      <c r="FG7" s="90">
        <v>3</v>
      </c>
      <c r="FH7" s="90">
        <v>3</v>
      </c>
      <c r="FI7" s="90">
        <v>3</v>
      </c>
      <c r="FJ7" s="90">
        <v>3</v>
      </c>
      <c r="FK7" s="90">
        <v>3</v>
      </c>
    </row>
    <row r="8" spans="1:168" hidden="1"/>
    <row r="9" spans="1:168" hidden="1"/>
    <row r="10" spans="1:168" hidden="1">
      <c r="M10" s="90">
        <f t="shared" ref="M10:AR10" si="3">SUBTOTAL(9,M14:M636)</f>
        <v>3</v>
      </c>
      <c r="N10" s="90">
        <f t="shared" si="3"/>
        <v>3</v>
      </c>
      <c r="O10" s="90">
        <f t="shared" si="3"/>
        <v>3</v>
      </c>
      <c r="P10" s="90">
        <f t="shared" si="3"/>
        <v>3</v>
      </c>
      <c r="Q10" s="90">
        <f t="shared" si="3"/>
        <v>3</v>
      </c>
      <c r="R10" s="90">
        <f t="shared" si="3"/>
        <v>2</v>
      </c>
      <c r="S10" s="90">
        <f t="shared" si="3"/>
        <v>2</v>
      </c>
      <c r="T10" s="90">
        <f t="shared" si="3"/>
        <v>2</v>
      </c>
      <c r="U10" s="90">
        <f t="shared" si="3"/>
        <v>2</v>
      </c>
      <c r="V10" s="90">
        <f t="shared" si="3"/>
        <v>2</v>
      </c>
      <c r="W10" s="90">
        <f t="shared" si="3"/>
        <v>2</v>
      </c>
      <c r="X10" s="90">
        <f t="shared" si="3"/>
        <v>2</v>
      </c>
      <c r="Y10" s="90">
        <f t="shared" si="3"/>
        <v>2</v>
      </c>
      <c r="Z10" s="90">
        <f t="shared" si="3"/>
        <v>2</v>
      </c>
      <c r="AA10" s="90">
        <f t="shared" si="3"/>
        <v>2</v>
      </c>
      <c r="AB10" s="90">
        <f t="shared" si="3"/>
        <v>2</v>
      </c>
      <c r="AC10" s="90">
        <f t="shared" si="3"/>
        <v>2</v>
      </c>
      <c r="AD10" s="90">
        <f t="shared" si="3"/>
        <v>1</v>
      </c>
      <c r="AE10" s="90">
        <f t="shared" si="3"/>
        <v>1</v>
      </c>
      <c r="AF10" s="90">
        <f t="shared" si="3"/>
        <v>1</v>
      </c>
      <c r="AG10" s="90">
        <f t="shared" si="3"/>
        <v>3</v>
      </c>
      <c r="AH10" s="90">
        <f t="shared" si="3"/>
        <v>3</v>
      </c>
      <c r="AI10" s="90">
        <f t="shared" si="3"/>
        <v>3</v>
      </c>
      <c r="AJ10" s="90">
        <f t="shared" si="3"/>
        <v>3</v>
      </c>
      <c r="AK10" s="90">
        <f t="shared" si="3"/>
        <v>2</v>
      </c>
      <c r="AL10" s="90">
        <f t="shared" si="3"/>
        <v>3</v>
      </c>
      <c r="AM10" s="90">
        <f t="shared" si="3"/>
        <v>3</v>
      </c>
      <c r="AN10" s="90">
        <f t="shared" si="3"/>
        <v>3</v>
      </c>
      <c r="AO10" s="90">
        <f t="shared" si="3"/>
        <v>3</v>
      </c>
      <c r="AP10" s="90">
        <f t="shared" si="3"/>
        <v>3</v>
      </c>
      <c r="AQ10" s="90">
        <f t="shared" si="3"/>
        <v>2</v>
      </c>
      <c r="AR10" s="90">
        <f t="shared" si="3"/>
        <v>2</v>
      </c>
      <c r="AS10" s="90">
        <f t="shared" ref="AS10:BX10" si="4">SUBTOTAL(9,AS14:AS636)</f>
        <v>2</v>
      </c>
      <c r="AT10" s="90">
        <f t="shared" si="4"/>
        <v>0</v>
      </c>
      <c r="AU10" s="90">
        <f t="shared" si="4"/>
        <v>1</v>
      </c>
      <c r="AV10" s="90">
        <f t="shared" si="4"/>
        <v>1</v>
      </c>
      <c r="AW10" s="90">
        <f t="shared" si="4"/>
        <v>0</v>
      </c>
      <c r="AX10" s="90">
        <f t="shared" si="4"/>
        <v>1</v>
      </c>
      <c r="AY10" s="90">
        <f t="shared" si="4"/>
        <v>1</v>
      </c>
      <c r="AZ10" s="90">
        <f t="shared" si="4"/>
        <v>1</v>
      </c>
      <c r="BA10" s="90">
        <f t="shared" si="4"/>
        <v>2</v>
      </c>
      <c r="BB10" s="90">
        <f t="shared" si="4"/>
        <v>2</v>
      </c>
      <c r="BC10" s="90">
        <f t="shared" si="4"/>
        <v>2</v>
      </c>
      <c r="BD10" s="90">
        <f t="shared" si="4"/>
        <v>2</v>
      </c>
      <c r="BE10" s="90">
        <f t="shared" si="4"/>
        <v>2</v>
      </c>
      <c r="BF10" s="90">
        <f t="shared" si="4"/>
        <v>2</v>
      </c>
      <c r="BG10" s="90">
        <f t="shared" si="4"/>
        <v>2</v>
      </c>
      <c r="BH10" s="90">
        <f t="shared" si="4"/>
        <v>2</v>
      </c>
      <c r="BI10" s="90">
        <f t="shared" si="4"/>
        <v>2</v>
      </c>
      <c r="BJ10" s="90">
        <f t="shared" si="4"/>
        <v>2</v>
      </c>
      <c r="BK10" s="90">
        <f t="shared" si="4"/>
        <v>2</v>
      </c>
      <c r="BL10" s="90">
        <f t="shared" si="4"/>
        <v>2</v>
      </c>
      <c r="BM10" s="90">
        <f t="shared" si="4"/>
        <v>2</v>
      </c>
      <c r="BN10" s="90">
        <f t="shared" si="4"/>
        <v>2</v>
      </c>
      <c r="BO10" s="90">
        <f t="shared" si="4"/>
        <v>2</v>
      </c>
      <c r="BP10" s="90">
        <f t="shared" si="4"/>
        <v>3</v>
      </c>
      <c r="BQ10" s="90">
        <f t="shared" si="4"/>
        <v>3</v>
      </c>
      <c r="BR10" s="90">
        <f t="shared" si="4"/>
        <v>3</v>
      </c>
      <c r="BS10" s="90">
        <f t="shared" si="4"/>
        <v>3</v>
      </c>
      <c r="BT10" s="90">
        <f t="shared" si="4"/>
        <v>3</v>
      </c>
      <c r="BU10" s="90">
        <f t="shared" si="4"/>
        <v>3</v>
      </c>
      <c r="BV10" s="90">
        <f t="shared" si="4"/>
        <v>3</v>
      </c>
      <c r="BW10" s="90">
        <f t="shared" si="4"/>
        <v>3</v>
      </c>
      <c r="BX10" s="90">
        <f t="shared" si="4"/>
        <v>3</v>
      </c>
      <c r="BY10" s="90">
        <f t="shared" ref="BY10:DD10" si="5">SUBTOTAL(9,BY14:BY636)</f>
        <v>3</v>
      </c>
      <c r="BZ10" s="90">
        <f t="shared" si="5"/>
        <v>3</v>
      </c>
      <c r="CA10" s="90">
        <f t="shared" si="5"/>
        <v>3</v>
      </c>
      <c r="CB10" s="90">
        <f t="shared" si="5"/>
        <v>3</v>
      </c>
      <c r="CC10" s="90">
        <f t="shared" si="5"/>
        <v>3</v>
      </c>
      <c r="CD10" s="90">
        <f t="shared" si="5"/>
        <v>3</v>
      </c>
      <c r="CE10" s="90">
        <f t="shared" si="5"/>
        <v>3</v>
      </c>
      <c r="CF10" s="90">
        <f t="shared" si="5"/>
        <v>3</v>
      </c>
      <c r="CG10" s="90">
        <f t="shared" si="5"/>
        <v>3</v>
      </c>
      <c r="CH10" s="90">
        <f t="shared" si="5"/>
        <v>3</v>
      </c>
      <c r="CI10" s="90">
        <f t="shared" si="5"/>
        <v>3</v>
      </c>
      <c r="CJ10" s="90">
        <f t="shared" si="5"/>
        <v>3</v>
      </c>
      <c r="CK10" s="90">
        <f t="shared" si="5"/>
        <v>3</v>
      </c>
      <c r="CL10" s="90">
        <f t="shared" si="5"/>
        <v>3</v>
      </c>
      <c r="CM10" s="90">
        <f t="shared" si="5"/>
        <v>3</v>
      </c>
      <c r="CN10" s="90">
        <f t="shared" si="5"/>
        <v>3</v>
      </c>
      <c r="CO10" s="90">
        <f t="shared" si="5"/>
        <v>3</v>
      </c>
      <c r="CP10" s="90">
        <f t="shared" si="5"/>
        <v>3</v>
      </c>
      <c r="CQ10" s="90">
        <f t="shared" si="5"/>
        <v>3</v>
      </c>
      <c r="CR10" s="90">
        <f t="shared" si="5"/>
        <v>3</v>
      </c>
      <c r="CS10" s="90">
        <f t="shared" si="5"/>
        <v>3</v>
      </c>
      <c r="CT10" s="90">
        <f t="shared" si="5"/>
        <v>3</v>
      </c>
      <c r="CU10" s="90">
        <f t="shared" si="5"/>
        <v>3</v>
      </c>
      <c r="CV10" s="90">
        <f t="shared" si="5"/>
        <v>3</v>
      </c>
      <c r="CW10" s="90">
        <f t="shared" si="5"/>
        <v>3</v>
      </c>
      <c r="CX10" s="90">
        <f t="shared" si="5"/>
        <v>3</v>
      </c>
      <c r="CY10" s="90">
        <f t="shared" si="5"/>
        <v>3</v>
      </c>
      <c r="CZ10" s="90">
        <f t="shared" si="5"/>
        <v>3</v>
      </c>
      <c r="DA10" s="90">
        <f t="shared" si="5"/>
        <v>3</v>
      </c>
      <c r="DB10" s="90">
        <f t="shared" si="5"/>
        <v>3</v>
      </c>
      <c r="DC10" s="90">
        <f t="shared" si="5"/>
        <v>3</v>
      </c>
      <c r="DD10" s="90">
        <f t="shared" si="5"/>
        <v>3</v>
      </c>
      <c r="DE10" s="90">
        <f t="shared" ref="DE10:EJ10" si="6">SUBTOTAL(9,DE14:DE636)</f>
        <v>3</v>
      </c>
      <c r="DF10" s="90">
        <f t="shared" si="6"/>
        <v>3</v>
      </c>
      <c r="DG10" s="90">
        <f t="shared" si="6"/>
        <v>3</v>
      </c>
      <c r="DH10" s="90">
        <f t="shared" si="6"/>
        <v>3</v>
      </c>
      <c r="DI10" s="90">
        <f t="shared" si="6"/>
        <v>3</v>
      </c>
      <c r="DJ10" s="90">
        <f t="shared" si="6"/>
        <v>3</v>
      </c>
      <c r="DK10" s="90">
        <f t="shared" si="6"/>
        <v>3</v>
      </c>
      <c r="DL10" s="90">
        <f t="shared" si="6"/>
        <v>3</v>
      </c>
      <c r="DM10" s="90">
        <f t="shared" si="6"/>
        <v>3</v>
      </c>
      <c r="DN10" s="90">
        <f t="shared" si="6"/>
        <v>2</v>
      </c>
      <c r="DO10" s="90">
        <f t="shared" si="6"/>
        <v>3</v>
      </c>
      <c r="DP10" s="90">
        <f t="shared" si="6"/>
        <v>3</v>
      </c>
      <c r="DQ10" s="90">
        <f t="shared" si="6"/>
        <v>3</v>
      </c>
      <c r="DR10" s="90">
        <f t="shared" si="6"/>
        <v>3</v>
      </c>
      <c r="DS10" s="90">
        <f t="shared" si="6"/>
        <v>3</v>
      </c>
      <c r="DT10" s="90">
        <f t="shared" si="6"/>
        <v>3</v>
      </c>
      <c r="DU10" s="90">
        <f t="shared" si="6"/>
        <v>3</v>
      </c>
      <c r="DV10" s="90">
        <f t="shared" si="6"/>
        <v>3</v>
      </c>
      <c r="DW10" s="90">
        <f t="shared" si="6"/>
        <v>3</v>
      </c>
      <c r="DX10" s="90">
        <f t="shared" si="6"/>
        <v>3</v>
      </c>
      <c r="DY10" s="90">
        <f t="shared" si="6"/>
        <v>3</v>
      </c>
      <c r="DZ10" s="90">
        <f t="shared" si="6"/>
        <v>3</v>
      </c>
      <c r="EA10" s="90">
        <f t="shared" si="6"/>
        <v>3</v>
      </c>
      <c r="EB10" s="90">
        <f t="shared" si="6"/>
        <v>3</v>
      </c>
      <c r="EC10" s="90">
        <f t="shared" si="6"/>
        <v>3</v>
      </c>
      <c r="ED10" s="90">
        <f t="shared" si="6"/>
        <v>3</v>
      </c>
      <c r="EE10" s="90">
        <f t="shared" si="6"/>
        <v>3</v>
      </c>
      <c r="EF10" s="90">
        <f t="shared" si="6"/>
        <v>3</v>
      </c>
      <c r="EG10" s="90">
        <f t="shared" si="6"/>
        <v>3</v>
      </c>
      <c r="EH10" s="90">
        <f t="shared" si="6"/>
        <v>3</v>
      </c>
      <c r="EI10" s="90">
        <f t="shared" si="6"/>
        <v>0</v>
      </c>
      <c r="EJ10" s="90">
        <f t="shared" si="6"/>
        <v>0</v>
      </c>
      <c r="EK10" s="90">
        <f t="shared" ref="EK10:FK10" si="7">SUBTOTAL(9,EK14:EK636)</f>
        <v>0</v>
      </c>
      <c r="EL10" s="90">
        <f t="shared" si="7"/>
        <v>0</v>
      </c>
      <c r="EM10" s="90">
        <f t="shared" si="7"/>
        <v>0</v>
      </c>
      <c r="EN10" s="90">
        <f t="shared" si="7"/>
        <v>0</v>
      </c>
      <c r="EO10" s="90">
        <f t="shared" si="7"/>
        <v>0</v>
      </c>
      <c r="EP10" s="90">
        <f t="shared" si="7"/>
        <v>3</v>
      </c>
      <c r="EQ10" s="90">
        <f t="shared" si="7"/>
        <v>3</v>
      </c>
      <c r="ER10" s="90">
        <f t="shared" si="7"/>
        <v>3</v>
      </c>
      <c r="ES10" s="90">
        <f t="shared" si="7"/>
        <v>3</v>
      </c>
      <c r="ET10" s="90">
        <f t="shared" si="7"/>
        <v>3</v>
      </c>
      <c r="EU10" s="90">
        <f t="shared" si="7"/>
        <v>3</v>
      </c>
      <c r="EV10" s="90">
        <f t="shared" si="7"/>
        <v>3</v>
      </c>
      <c r="EW10" s="90">
        <f t="shared" si="7"/>
        <v>3</v>
      </c>
      <c r="EX10" s="107">
        <f t="shared" si="7"/>
        <v>3</v>
      </c>
      <c r="EY10" s="90">
        <f t="shared" si="7"/>
        <v>3</v>
      </c>
      <c r="EZ10" s="90">
        <f t="shared" si="7"/>
        <v>3</v>
      </c>
      <c r="FA10" s="90">
        <f t="shared" si="7"/>
        <v>3</v>
      </c>
      <c r="FB10" s="90">
        <f t="shared" si="7"/>
        <v>3</v>
      </c>
      <c r="FC10" s="90">
        <f t="shared" si="7"/>
        <v>3</v>
      </c>
      <c r="FD10" s="90">
        <f t="shared" si="7"/>
        <v>3</v>
      </c>
      <c r="FE10" s="90">
        <f t="shared" si="7"/>
        <v>3</v>
      </c>
      <c r="FF10" s="90">
        <f t="shared" si="7"/>
        <v>3</v>
      </c>
      <c r="FG10" s="90">
        <f t="shared" si="7"/>
        <v>3</v>
      </c>
      <c r="FH10" s="90">
        <f t="shared" si="7"/>
        <v>3</v>
      </c>
      <c r="FI10" s="90">
        <f t="shared" si="7"/>
        <v>3</v>
      </c>
      <c r="FJ10" s="90">
        <f t="shared" si="7"/>
        <v>3</v>
      </c>
      <c r="FK10" s="90">
        <f t="shared" si="7"/>
        <v>3</v>
      </c>
    </row>
    <row r="11" spans="1:168">
      <c r="M11" s="75" t="s">
        <v>2</v>
      </c>
      <c r="N11" s="75"/>
      <c r="O11" s="75"/>
      <c r="P11" s="75"/>
      <c r="Q11" s="75"/>
      <c r="R11" s="75"/>
      <c r="S11" s="75"/>
      <c r="T11" s="75"/>
      <c r="U11" s="75"/>
      <c r="V11" s="75"/>
      <c r="W11" s="75" t="s">
        <v>2</v>
      </c>
      <c r="X11" s="75"/>
      <c r="Y11" s="75"/>
      <c r="Z11" s="75"/>
      <c r="AA11" s="75"/>
      <c r="AB11" s="75"/>
      <c r="AC11" s="75"/>
      <c r="AD11" s="75"/>
      <c r="AE11" s="75"/>
      <c r="AF11" s="75"/>
      <c r="AG11" s="75"/>
      <c r="AH11" s="75"/>
      <c r="AI11" s="75"/>
      <c r="AJ11" s="75" t="s">
        <v>3</v>
      </c>
      <c r="AK11" s="75"/>
      <c r="AL11" s="75"/>
      <c r="AM11" s="75"/>
      <c r="AN11" s="75"/>
      <c r="AO11" s="75"/>
      <c r="AP11" s="75"/>
      <c r="AQ11" s="75"/>
      <c r="AR11" s="75"/>
      <c r="AS11" s="75"/>
      <c r="AT11" s="75"/>
      <c r="AU11" s="75"/>
      <c r="AV11" s="75"/>
      <c r="AW11" s="75"/>
      <c r="AX11" s="75"/>
      <c r="AY11" s="75"/>
      <c r="AZ11" s="75"/>
      <c r="BA11" s="75"/>
      <c r="BB11" s="75"/>
      <c r="BC11" s="75"/>
      <c r="BD11" s="75"/>
      <c r="BE11" s="75"/>
      <c r="BF11" s="75" t="s">
        <v>4</v>
      </c>
      <c r="BG11" s="75"/>
      <c r="BH11" s="75"/>
      <c r="BI11" s="75"/>
      <c r="BJ11" s="75"/>
      <c r="BK11" s="75"/>
      <c r="BL11" s="75"/>
      <c r="BM11" s="75"/>
      <c r="BN11" s="75"/>
      <c r="BO11" s="75"/>
      <c r="BP11" s="75"/>
      <c r="BQ11" s="75"/>
      <c r="BR11" s="75"/>
      <c r="BS11" s="75"/>
      <c r="BT11" s="75"/>
      <c r="BU11" s="75"/>
      <c r="BV11" s="75"/>
      <c r="BW11" s="75"/>
      <c r="BX11" s="75"/>
      <c r="BY11" s="75"/>
      <c r="BZ11" s="75"/>
      <c r="CA11" s="75" t="s">
        <v>5</v>
      </c>
      <c r="CB11" s="75"/>
      <c r="CC11" s="75"/>
      <c r="CD11" s="75"/>
      <c r="CE11" s="75"/>
      <c r="CF11" s="75"/>
      <c r="CG11" s="75"/>
      <c r="CH11" s="75"/>
      <c r="CI11" s="75"/>
      <c r="CJ11" s="75"/>
      <c r="CK11" s="75"/>
      <c r="CL11" s="75"/>
      <c r="CM11" s="75"/>
      <c r="CN11" s="75"/>
      <c r="CO11" s="75"/>
      <c r="CP11" s="75"/>
      <c r="CQ11" s="75"/>
      <c r="CR11" s="75"/>
      <c r="CS11" s="75"/>
      <c r="CT11" s="75"/>
      <c r="CU11" s="75"/>
      <c r="CV11" s="75"/>
      <c r="CW11" s="75"/>
      <c r="CX11" s="75" t="s">
        <v>6</v>
      </c>
      <c r="CY11" s="75"/>
      <c r="CZ11" s="75"/>
      <c r="DA11" s="75"/>
      <c r="DB11" s="75"/>
      <c r="DC11" s="75"/>
      <c r="DD11" s="75"/>
      <c r="DE11" s="75"/>
      <c r="DF11" s="75"/>
      <c r="DG11" s="75"/>
      <c r="DH11" s="75"/>
      <c r="DI11" s="75"/>
      <c r="DJ11" s="75"/>
      <c r="DK11" s="75"/>
      <c r="DL11" s="75"/>
      <c r="DM11" s="75"/>
      <c r="DN11" s="75"/>
      <c r="DO11" s="75"/>
      <c r="DP11" s="75"/>
      <c r="DQ11" s="75"/>
      <c r="DR11" s="75"/>
      <c r="DS11" s="75" t="s">
        <v>7</v>
      </c>
      <c r="DT11" s="75"/>
      <c r="DU11" s="75"/>
      <c r="DV11" s="75"/>
      <c r="DW11" s="75"/>
      <c r="DX11" s="75"/>
      <c r="DY11" s="75"/>
      <c r="DZ11" s="75"/>
      <c r="EA11" s="75"/>
      <c r="EB11" s="75"/>
      <c r="EC11" s="75"/>
      <c r="ED11" s="75"/>
      <c r="EE11" s="75"/>
      <c r="EF11" s="75"/>
      <c r="EG11" s="75"/>
      <c r="EH11" s="75"/>
      <c r="EI11" s="75"/>
      <c r="EJ11" s="75"/>
      <c r="EK11" s="75"/>
      <c r="EL11" s="75"/>
      <c r="EM11" s="75"/>
      <c r="EN11" s="75"/>
      <c r="EO11" s="75" t="s">
        <v>445</v>
      </c>
      <c r="EP11" s="75"/>
      <c r="EQ11" s="75"/>
      <c r="ER11" s="75"/>
      <c r="ES11" s="75"/>
      <c r="ET11" s="75"/>
      <c r="EU11" s="75"/>
      <c r="EV11" s="75"/>
      <c r="EW11" s="75"/>
      <c r="EX11" s="75"/>
      <c r="EY11" s="75"/>
      <c r="EZ11" s="75"/>
      <c r="FA11" s="75"/>
      <c r="FB11" s="75"/>
      <c r="FC11" s="75"/>
      <c r="FD11" s="75"/>
      <c r="FE11" s="75"/>
      <c r="FF11" s="75"/>
      <c r="FG11" s="75"/>
      <c r="FH11" s="75"/>
      <c r="FI11" s="75"/>
      <c r="FJ11" s="75"/>
      <c r="FK11" s="75"/>
    </row>
    <row r="12" spans="1:168">
      <c r="M12" s="76">
        <f t="shared" ref="M12:BX12" si="8">M13</f>
        <v>45474</v>
      </c>
      <c r="N12" s="76">
        <f t="shared" si="8"/>
        <v>45475</v>
      </c>
      <c r="O12" s="76">
        <f t="shared" si="8"/>
        <v>45476</v>
      </c>
      <c r="P12" s="76">
        <f t="shared" si="8"/>
        <v>45477</v>
      </c>
      <c r="Q12" s="76">
        <f t="shared" si="8"/>
        <v>45478</v>
      </c>
      <c r="R12" s="76">
        <f t="shared" si="8"/>
        <v>45481</v>
      </c>
      <c r="S12" s="76">
        <f t="shared" si="8"/>
        <v>45482</v>
      </c>
      <c r="T12" s="76">
        <f t="shared" si="8"/>
        <v>45483</v>
      </c>
      <c r="U12" s="76">
        <f t="shared" si="8"/>
        <v>45484</v>
      </c>
      <c r="V12" s="76">
        <f t="shared" si="8"/>
        <v>45485</v>
      </c>
      <c r="W12" s="76">
        <f t="shared" si="8"/>
        <v>45488</v>
      </c>
      <c r="X12" s="76">
        <f t="shared" si="8"/>
        <v>45489</v>
      </c>
      <c r="Y12" s="76">
        <f t="shared" si="8"/>
        <v>45490</v>
      </c>
      <c r="Z12" s="76">
        <f t="shared" si="8"/>
        <v>45491</v>
      </c>
      <c r="AA12" s="76">
        <f t="shared" si="8"/>
        <v>45492</v>
      </c>
      <c r="AB12" s="76">
        <f t="shared" si="8"/>
        <v>45495</v>
      </c>
      <c r="AC12" s="76">
        <f t="shared" si="8"/>
        <v>45496</v>
      </c>
      <c r="AD12" s="76">
        <f t="shared" si="8"/>
        <v>45497</v>
      </c>
      <c r="AE12" s="76">
        <f t="shared" si="8"/>
        <v>45498</v>
      </c>
      <c r="AF12" s="76">
        <f t="shared" si="8"/>
        <v>45499</v>
      </c>
      <c r="AG12" s="76">
        <f t="shared" si="8"/>
        <v>45502</v>
      </c>
      <c r="AH12" s="76">
        <f t="shared" si="8"/>
        <v>45503</v>
      </c>
      <c r="AI12" s="76">
        <f t="shared" si="8"/>
        <v>45504</v>
      </c>
      <c r="AJ12" s="76">
        <f t="shared" si="8"/>
        <v>45505</v>
      </c>
      <c r="AK12" s="76">
        <f t="shared" si="8"/>
        <v>45506</v>
      </c>
      <c r="AL12" s="76">
        <f t="shared" si="8"/>
        <v>45509</v>
      </c>
      <c r="AM12" s="76">
        <f t="shared" si="8"/>
        <v>45510</v>
      </c>
      <c r="AN12" s="76">
        <f t="shared" si="8"/>
        <v>45511</v>
      </c>
      <c r="AO12" s="76">
        <f t="shared" si="8"/>
        <v>45512</v>
      </c>
      <c r="AP12" s="76">
        <f t="shared" si="8"/>
        <v>45513</v>
      </c>
      <c r="AQ12" s="76">
        <f t="shared" si="8"/>
        <v>45516</v>
      </c>
      <c r="AR12" s="76">
        <f t="shared" si="8"/>
        <v>45517</v>
      </c>
      <c r="AS12" s="76">
        <f t="shared" si="8"/>
        <v>45518</v>
      </c>
      <c r="AT12" s="76">
        <f t="shared" si="8"/>
        <v>45519</v>
      </c>
      <c r="AU12" s="76">
        <f t="shared" si="8"/>
        <v>45520</v>
      </c>
      <c r="AV12" s="76">
        <f t="shared" si="8"/>
        <v>45523</v>
      </c>
      <c r="AW12" s="76">
        <f t="shared" si="8"/>
        <v>45524</v>
      </c>
      <c r="AX12" s="76">
        <f t="shared" si="8"/>
        <v>45525</v>
      </c>
      <c r="AY12" s="76">
        <f t="shared" si="8"/>
        <v>45526</v>
      </c>
      <c r="AZ12" s="76">
        <f t="shared" si="8"/>
        <v>45527</v>
      </c>
      <c r="BA12" s="76">
        <f t="shared" si="8"/>
        <v>45530</v>
      </c>
      <c r="BB12" s="76">
        <f t="shared" si="8"/>
        <v>45531</v>
      </c>
      <c r="BC12" s="76">
        <f t="shared" si="8"/>
        <v>45532</v>
      </c>
      <c r="BD12" s="76">
        <f t="shared" si="8"/>
        <v>45533</v>
      </c>
      <c r="BE12" s="76">
        <f t="shared" si="8"/>
        <v>45534</v>
      </c>
      <c r="BF12" s="76">
        <f t="shared" si="8"/>
        <v>45537</v>
      </c>
      <c r="BG12" s="76">
        <f t="shared" si="8"/>
        <v>45538</v>
      </c>
      <c r="BH12" s="76">
        <f t="shared" si="8"/>
        <v>45539</v>
      </c>
      <c r="BI12" s="76">
        <f t="shared" si="8"/>
        <v>45540</v>
      </c>
      <c r="BJ12" s="76">
        <f t="shared" si="8"/>
        <v>45541</v>
      </c>
      <c r="BK12" s="76">
        <f t="shared" si="8"/>
        <v>45544</v>
      </c>
      <c r="BL12" s="76">
        <f t="shared" si="8"/>
        <v>45545</v>
      </c>
      <c r="BM12" s="76">
        <f t="shared" si="8"/>
        <v>45546</v>
      </c>
      <c r="BN12" s="76">
        <f t="shared" si="8"/>
        <v>45547</v>
      </c>
      <c r="BO12" s="76">
        <f t="shared" si="8"/>
        <v>45548</v>
      </c>
      <c r="BP12" s="76">
        <f t="shared" si="8"/>
        <v>45551</v>
      </c>
      <c r="BQ12" s="76">
        <f t="shared" si="8"/>
        <v>45552</v>
      </c>
      <c r="BR12" s="76">
        <f t="shared" si="8"/>
        <v>45553</v>
      </c>
      <c r="BS12" s="76">
        <f t="shared" si="8"/>
        <v>45554</v>
      </c>
      <c r="BT12" s="76">
        <f t="shared" si="8"/>
        <v>45555</v>
      </c>
      <c r="BU12" s="76">
        <f t="shared" si="8"/>
        <v>45558</v>
      </c>
      <c r="BV12" s="76">
        <f t="shared" si="8"/>
        <v>45559</v>
      </c>
      <c r="BW12" s="76">
        <f t="shared" si="8"/>
        <v>45560</v>
      </c>
      <c r="BX12" s="76">
        <f t="shared" si="8"/>
        <v>45561</v>
      </c>
      <c r="BY12" s="76">
        <f t="shared" ref="BY12:EJ12" si="9">BY13</f>
        <v>45562</v>
      </c>
      <c r="BZ12" s="76">
        <f t="shared" si="9"/>
        <v>45565</v>
      </c>
      <c r="CA12" s="76">
        <f t="shared" si="9"/>
        <v>45566</v>
      </c>
      <c r="CB12" s="76">
        <f t="shared" si="9"/>
        <v>45567</v>
      </c>
      <c r="CC12" s="76">
        <f t="shared" si="9"/>
        <v>45568</v>
      </c>
      <c r="CD12" s="76">
        <f t="shared" si="9"/>
        <v>45569</v>
      </c>
      <c r="CE12" s="76">
        <f t="shared" si="9"/>
        <v>45572</v>
      </c>
      <c r="CF12" s="76">
        <f t="shared" si="9"/>
        <v>45573</v>
      </c>
      <c r="CG12" s="76">
        <f t="shared" si="9"/>
        <v>45574</v>
      </c>
      <c r="CH12" s="76">
        <f t="shared" si="9"/>
        <v>45575</v>
      </c>
      <c r="CI12" s="76">
        <f t="shared" si="9"/>
        <v>45576</v>
      </c>
      <c r="CJ12" s="76">
        <f t="shared" si="9"/>
        <v>45579</v>
      </c>
      <c r="CK12" s="76">
        <f t="shared" si="9"/>
        <v>45580</v>
      </c>
      <c r="CL12" s="76">
        <f t="shared" si="9"/>
        <v>45581</v>
      </c>
      <c r="CM12" s="76">
        <f t="shared" si="9"/>
        <v>45582</v>
      </c>
      <c r="CN12" s="76">
        <f t="shared" si="9"/>
        <v>45583</v>
      </c>
      <c r="CO12" s="76">
        <f t="shared" si="9"/>
        <v>45586</v>
      </c>
      <c r="CP12" s="76">
        <f t="shared" si="9"/>
        <v>45587</v>
      </c>
      <c r="CQ12" s="76">
        <f t="shared" si="9"/>
        <v>45588</v>
      </c>
      <c r="CR12" s="76">
        <f t="shared" si="9"/>
        <v>45589</v>
      </c>
      <c r="CS12" s="76">
        <f t="shared" si="9"/>
        <v>45590</v>
      </c>
      <c r="CT12" s="76">
        <f t="shared" si="9"/>
        <v>45593</v>
      </c>
      <c r="CU12" s="76">
        <f t="shared" si="9"/>
        <v>45594</v>
      </c>
      <c r="CV12" s="76">
        <f t="shared" si="9"/>
        <v>45595</v>
      </c>
      <c r="CW12" s="76">
        <f t="shared" si="9"/>
        <v>45596</v>
      </c>
      <c r="CX12" s="76">
        <f t="shared" si="9"/>
        <v>45597</v>
      </c>
      <c r="CY12" s="76">
        <f t="shared" si="9"/>
        <v>45600</v>
      </c>
      <c r="CZ12" s="76">
        <f t="shared" si="9"/>
        <v>45601</v>
      </c>
      <c r="DA12" s="76">
        <f t="shared" si="9"/>
        <v>45602</v>
      </c>
      <c r="DB12" s="76">
        <f t="shared" si="9"/>
        <v>45603</v>
      </c>
      <c r="DC12" s="76">
        <f t="shared" si="9"/>
        <v>45604</v>
      </c>
      <c r="DD12" s="76">
        <f t="shared" si="9"/>
        <v>45607</v>
      </c>
      <c r="DE12" s="76">
        <f t="shared" si="9"/>
        <v>45608</v>
      </c>
      <c r="DF12" s="76">
        <f t="shared" si="9"/>
        <v>45609</v>
      </c>
      <c r="DG12" s="76">
        <f t="shared" si="9"/>
        <v>45610</v>
      </c>
      <c r="DH12" s="76">
        <f t="shared" si="9"/>
        <v>45611</v>
      </c>
      <c r="DI12" s="76">
        <f t="shared" si="9"/>
        <v>45614</v>
      </c>
      <c r="DJ12" s="76">
        <f t="shared" si="9"/>
        <v>45615</v>
      </c>
      <c r="DK12" s="76">
        <f t="shared" si="9"/>
        <v>45616</v>
      </c>
      <c r="DL12" s="76">
        <f t="shared" si="9"/>
        <v>45617</v>
      </c>
      <c r="DM12" s="76">
        <f t="shared" si="9"/>
        <v>45618</v>
      </c>
      <c r="DN12" s="76">
        <f t="shared" si="9"/>
        <v>45621</v>
      </c>
      <c r="DO12" s="76">
        <f t="shared" si="9"/>
        <v>45622</v>
      </c>
      <c r="DP12" s="76">
        <f t="shared" si="9"/>
        <v>45623</v>
      </c>
      <c r="DQ12" s="76">
        <f t="shared" si="9"/>
        <v>45624</v>
      </c>
      <c r="DR12" s="76">
        <f t="shared" si="9"/>
        <v>45625</v>
      </c>
      <c r="DS12" s="76">
        <f t="shared" si="9"/>
        <v>45628</v>
      </c>
      <c r="DT12" s="76">
        <f t="shared" si="9"/>
        <v>45629</v>
      </c>
      <c r="DU12" s="76">
        <f t="shared" si="9"/>
        <v>45630</v>
      </c>
      <c r="DV12" s="76">
        <f t="shared" si="9"/>
        <v>45631</v>
      </c>
      <c r="DW12" s="76">
        <f t="shared" si="9"/>
        <v>45632</v>
      </c>
      <c r="DX12" s="76">
        <f t="shared" si="9"/>
        <v>45635</v>
      </c>
      <c r="DY12" s="76">
        <f t="shared" si="9"/>
        <v>45636</v>
      </c>
      <c r="DZ12" s="76">
        <f t="shared" si="9"/>
        <v>45637</v>
      </c>
      <c r="EA12" s="76">
        <f t="shared" si="9"/>
        <v>45638</v>
      </c>
      <c r="EB12" s="76">
        <f t="shared" si="9"/>
        <v>45639</v>
      </c>
      <c r="EC12" s="76">
        <f t="shared" si="9"/>
        <v>45642</v>
      </c>
      <c r="ED12" s="76">
        <f t="shared" si="9"/>
        <v>45643</v>
      </c>
      <c r="EE12" s="76">
        <f t="shared" si="9"/>
        <v>45644</v>
      </c>
      <c r="EF12" s="76">
        <f t="shared" si="9"/>
        <v>45645</v>
      </c>
      <c r="EG12" s="76">
        <f t="shared" si="9"/>
        <v>45646</v>
      </c>
      <c r="EH12" s="76">
        <f t="shared" si="9"/>
        <v>45649</v>
      </c>
      <c r="EI12" s="76">
        <f t="shared" si="9"/>
        <v>45650</v>
      </c>
      <c r="EJ12" s="76">
        <f t="shared" si="9"/>
        <v>45651</v>
      </c>
      <c r="EK12" s="76">
        <f t="shared" ref="EK12:FK12" si="10">EK13</f>
        <v>45652</v>
      </c>
      <c r="EL12" s="76">
        <f t="shared" si="10"/>
        <v>45653</v>
      </c>
      <c r="EM12" s="76">
        <f t="shared" si="10"/>
        <v>45656</v>
      </c>
      <c r="EN12" s="76">
        <f t="shared" si="10"/>
        <v>45657</v>
      </c>
      <c r="EO12" s="76">
        <f t="shared" si="10"/>
        <v>45658</v>
      </c>
      <c r="EP12" s="76">
        <f t="shared" si="10"/>
        <v>45659</v>
      </c>
      <c r="EQ12" s="76">
        <f t="shared" si="10"/>
        <v>45660</v>
      </c>
      <c r="ER12" s="76">
        <f t="shared" si="10"/>
        <v>45663</v>
      </c>
      <c r="ES12" s="76">
        <f t="shared" si="10"/>
        <v>45664</v>
      </c>
      <c r="ET12" s="76">
        <f t="shared" si="10"/>
        <v>45665</v>
      </c>
      <c r="EU12" s="76">
        <f t="shared" si="10"/>
        <v>45666</v>
      </c>
      <c r="EV12" s="76">
        <f t="shared" si="10"/>
        <v>45667</v>
      </c>
      <c r="EW12" s="76">
        <f t="shared" si="10"/>
        <v>45670</v>
      </c>
      <c r="EX12" s="76">
        <f t="shared" si="10"/>
        <v>45671</v>
      </c>
      <c r="EY12" s="76">
        <f t="shared" si="10"/>
        <v>45672</v>
      </c>
      <c r="EZ12" s="76">
        <f t="shared" si="10"/>
        <v>45673</v>
      </c>
      <c r="FA12" s="76">
        <f t="shared" si="10"/>
        <v>45674</v>
      </c>
      <c r="FB12" s="76">
        <f t="shared" si="10"/>
        <v>45677</v>
      </c>
      <c r="FC12" s="76">
        <f t="shared" si="10"/>
        <v>45678</v>
      </c>
      <c r="FD12" s="76">
        <f t="shared" si="10"/>
        <v>45679</v>
      </c>
      <c r="FE12" s="76">
        <f t="shared" si="10"/>
        <v>45680</v>
      </c>
      <c r="FF12" s="76">
        <f t="shared" si="10"/>
        <v>45681</v>
      </c>
      <c r="FG12" s="76">
        <f t="shared" si="10"/>
        <v>45684</v>
      </c>
      <c r="FH12" s="76">
        <f t="shared" si="10"/>
        <v>45685</v>
      </c>
      <c r="FI12" s="76">
        <f t="shared" si="10"/>
        <v>45686</v>
      </c>
      <c r="FJ12" s="76">
        <f t="shared" si="10"/>
        <v>45687</v>
      </c>
      <c r="FK12" s="76">
        <f t="shared" si="10"/>
        <v>45688</v>
      </c>
    </row>
    <row r="13" spans="1:168">
      <c r="B13" s="60" t="s">
        <v>8</v>
      </c>
      <c r="C13" s="61" t="s">
        <v>9</v>
      </c>
      <c r="D13" s="61" t="s">
        <v>10</v>
      </c>
      <c r="E13" s="61" t="s">
        <v>11</v>
      </c>
      <c r="F13" s="61" t="s">
        <v>12</v>
      </c>
      <c r="G13" s="61" t="s">
        <v>13</v>
      </c>
      <c r="H13" s="61" t="s">
        <v>14</v>
      </c>
      <c r="I13" s="61" t="s">
        <v>446</v>
      </c>
      <c r="J13" s="61" t="s">
        <v>16</v>
      </c>
      <c r="K13" s="62" t="s">
        <v>447</v>
      </c>
      <c r="L13" s="74" t="s">
        <v>23</v>
      </c>
      <c r="M13" s="77">
        <v>45474</v>
      </c>
      <c r="N13" s="77">
        <f t="shared" ref="N13:BY13" si="11">WORKDAY(M13,1)</f>
        <v>45475</v>
      </c>
      <c r="O13" s="77">
        <f t="shared" si="11"/>
        <v>45476</v>
      </c>
      <c r="P13" s="77">
        <f t="shared" si="11"/>
        <v>45477</v>
      </c>
      <c r="Q13" s="77">
        <f t="shared" si="11"/>
        <v>45478</v>
      </c>
      <c r="R13" s="77">
        <f t="shared" si="11"/>
        <v>45481</v>
      </c>
      <c r="S13" s="77">
        <f t="shared" si="11"/>
        <v>45482</v>
      </c>
      <c r="T13" s="77">
        <f t="shared" si="11"/>
        <v>45483</v>
      </c>
      <c r="U13" s="77">
        <f t="shared" si="11"/>
        <v>45484</v>
      </c>
      <c r="V13" s="77">
        <f t="shared" si="11"/>
        <v>45485</v>
      </c>
      <c r="W13" s="77">
        <f t="shared" si="11"/>
        <v>45488</v>
      </c>
      <c r="X13" s="77">
        <f t="shared" si="11"/>
        <v>45489</v>
      </c>
      <c r="Y13" s="77">
        <f t="shared" si="11"/>
        <v>45490</v>
      </c>
      <c r="Z13" s="77">
        <f t="shared" si="11"/>
        <v>45491</v>
      </c>
      <c r="AA13" s="77">
        <f t="shared" si="11"/>
        <v>45492</v>
      </c>
      <c r="AB13" s="77">
        <f t="shared" si="11"/>
        <v>45495</v>
      </c>
      <c r="AC13" s="77">
        <f t="shared" si="11"/>
        <v>45496</v>
      </c>
      <c r="AD13" s="77">
        <f t="shared" si="11"/>
        <v>45497</v>
      </c>
      <c r="AE13" s="77">
        <f t="shared" si="11"/>
        <v>45498</v>
      </c>
      <c r="AF13" s="77">
        <f t="shared" si="11"/>
        <v>45499</v>
      </c>
      <c r="AG13" s="77">
        <f t="shared" si="11"/>
        <v>45502</v>
      </c>
      <c r="AH13" s="77">
        <f t="shared" si="11"/>
        <v>45503</v>
      </c>
      <c r="AI13" s="77">
        <f t="shared" si="11"/>
        <v>45504</v>
      </c>
      <c r="AJ13" s="77">
        <f t="shared" si="11"/>
        <v>45505</v>
      </c>
      <c r="AK13" s="77">
        <f t="shared" si="11"/>
        <v>45506</v>
      </c>
      <c r="AL13" s="77">
        <f t="shared" si="11"/>
        <v>45509</v>
      </c>
      <c r="AM13" s="77">
        <f t="shared" si="11"/>
        <v>45510</v>
      </c>
      <c r="AN13" s="77">
        <f t="shared" si="11"/>
        <v>45511</v>
      </c>
      <c r="AO13" s="77">
        <f t="shared" si="11"/>
        <v>45512</v>
      </c>
      <c r="AP13" s="77">
        <f t="shared" si="11"/>
        <v>45513</v>
      </c>
      <c r="AQ13" s="77">
        <f t="shared" si="11"/>
        <v>45516</v>
      </c>
      <c r="AR13" s="77">
        <f t="shared" si="11"/>
        <v>45517</v>
      </c>
      <c r="AS13" s="77">
        <f t="shared" si="11"/>
        <v>45518</v>
      </c>
      <c r="AT13" s="77">
        <f t="shared" si="11"/>
        <v>45519</v>
      </c>
      <c r="AU13" s="77">
        <f t="shared" si="11"/>
        <v>45520</v>
      </c>
      <c r="AV13" s="77">
        <f t="shared" si="11"/>
        <v>45523</v>
      </c>
      <c r="AW13" s="77">
        <f t="shared" si="11"/>
        <v>45524</v>
      </c>
      <c r="AX13" s="77">
        <f t="shared" si="11"/>
        <v>45525</v>
      </c>
      <c r="AY13" s="77">
        <f t="shared" si="11"/>
        <v>45526</v>
      </c>
      <c r="AZ13" s="77">
        <f t="shared" si="11"/>
        <v>45527</v>
      </c>
      <c r="BA13" s="77">
        <f t="shared" si="11"/>
        <v>45530</v>
      </c>
      <c r="BB13" s="77">
        <f t="shared" si="11"/>
        <v>45531</v>
      </c>
      <c r="BC13" s="77">
        <f t="shared" si="11"/>
        <v>45532</v>
      </c>
      <c r="BD13" s="77">
        <f t="shared" si="11"/>
        <v>45533</v>
      </c>
      <c r="BE13" s="77">
        <f t="shared" si="11"/>
        <v>45534</v>
      </c>
      <c r="BF13" s="77">
        <f t="shared" si="11"/>
        <v>45537</v>
      </c>
      <c r="BG13" s="77">
        <f t="shared" si="11"/>
        <v>45538</v>
      </c>
      <c r="BH13" s="77">
        <f t="shared" si="11"/>
        <v>45539</v>
      </c>
      <c r="BI13" s="77">
        <f t="shared" si="11"/>
        <v>45540</v>
      </c>
      <c r="BJ13" s="77">
        <f t="shared" si="11"/>
        <v>45541</v>
      </c>
      <c r="BK13" s="77">
        <f t="shared" si="11"/>
        <v>45544</v>
      </c>
      <c r="BL13" s="77">
        <f t="shared" si="11"/>
        <v>45545</v>
      </c>
      <c r="BM13" s="77">
        <f t="shared" si="11"/>
        <v>45546</v>
      </c>
      <c r="BN13" s="77">
        <f t="shared" si="11"/>
        <v>45547</v>
      </c>
      <c r="BO13" s="77">
        <f t="shared" si="11"/>
        <v>45548</v>
      </c>
      <c r="BP13" s="77">
        <f t="shared" si="11"/>
        <v>45551</v>
      </c>
      <c r="BQ13" s="77">
        <f t="shared" si="11"/>
        <v>45552</v>
      </c>
      <c r="BR13" s="77">
        <f t="shared" si="11"/>
        <v>45553</v>
      </c>
      <c r="BS13" s="77">
        <f t="shared" si="11"/>
        <v>45554</v>
      </c>
      <c r="BT13" s="77">
        <f t="shared" si="11"/>
        <v>45555</v>
      </c>
      <c r="BU13" s="77">
        <f t="shared" si="11"/>
        <v>45558</v>
      </c>
      <c r="BV13" s="77">
        <f t="shared" si="11"/>
        <v>45559</v>
      </c>
      <c r="BW13" s="77">
        <f t="shared" si="11"/>
        <v>45560</v>
      </c>
      <c r="BX13" s="77">
        <f t="shared" si="11"/>
        <v>45561</v>
      </c>
      <c r="BY13" s="77">
        <f t="shared" si="11"/>
        <v>45562</v>
      </c>
      <c r="BZ13" s="77">
        <f t="shared" ref="BZ13:EK13" si="12">WORKDAY(BY13,1)</f>
        <v>45565</v>
      </c>
      <c r="CA13" s="77">
        <f t="shared" si="12"/>
        <v>45566</v>
      </c>
      <c r="CB13" s="77">
        <f t="shared" si="12"/>
        <v>45567</v>
      </c>
      <c r="CC13" s="77">
        <f t="shared" si="12"/>
        <v>45568</v>
      </c>
      <c r="CD13" s="77">
        <f t="shared" si="12"/>
        <v>45569</v>
      </c>
      <c r="CE13" s="77">
        <f t="shared" si="12"/>
        <v>45572</v>
      </c>
      <c r="CF13" s="77">
        <f t="shared" si="12"/>
        <v>45573</v>
      </c>
      <c r="CG13" s="77">
        <f t="shared" si="12"/>
        <v>45574</v>
      </c>
      <c r="CH13" s="77">
        <f t="shared" si="12"/>
        <v>45575</v>
      </c>
      <c r="CI13" s="77">
        <f t="shared" si="12"/>
        <v>45576</v>
      </c>
      <c r="CJ13" s="77">
        <f t="shared" si="12"/>
        <v>45579</v>
      </c>
      <c r="CK13" s="77">
        <f t="shared" si="12"/>
        <v>45580</v>
      </c>
      <c r="CL13" s="77">
        <f t="shared" si="12"/>
        <v>45581</v>
      </c>
      <c r="CM13" s="77">
        <f t="shared" si="12"/>
        <v>45582</v>
      </c>
      <c r="CN13" s="77">
        <f t="shared" si="12"/>
        <v>45583</v>
      </c>
      <c r="CO13" s="77">
        <f t="shared" si="12"/>
        <v>45586</v>
      </c>
      <c r="CP13" s="77">
        <f t="shared" si="12"/>
        <v>45587</v>
      </c>
      <c r="CQ13" s="77">
        <f t="shared" si="12"/>
        <v>45588</v>
      </c>
      <c r="CR13" s="77">
        <f t="shared" si="12"/>
        <v>45589</v>
      </c>
      <c r="CS13" s="77">
        <f t="shared" si="12"/>
        <v>45590</v>
      </c>
      <c r="CT13" s="77">
        <f t="shared" si="12"/>
        <v>45593</v>
      </c>
      <c r="CU13" s="77">
        <f t="shared" si="12"/>
        <v>45594</v>
      </c>
      <c r="CV13" s="77">
        <f t="shared" si="12"/>
        <v>45595</v>
      </c>
      <c r="CW13" s="77">
        <f t="shared" si="12"/>
        <v>45596</v>
      </c>
      <c r="CX13" s="77">
        <f t="shared" si="12"/>
        <v>45597</v>
      </c>
      <c r="CY13" s="77">
        <f t="shared" si="12"/>
        <v>45600</v>
      </c>
      <c r="CZ13" s="77">
        <f t="shared" si="12"/>
        <v>45601</v>
      </c>
      <c r="DA13" s="77">
        <f t="shared" si="12"/>
        <v>45602</v>
      </c>
      <c r="DB13" s="77">
        <f t="shared" si="12"/>
        <v>45603</v>
      </c>
      <c r="DC13" s="77">
        <f t="shared" si="12"/>
        <v>45604</v>
      </c>
      <c r="DD13" s="77">
        <f t="shared" si="12"/>
        <v>45607</v>
      </c>
      <c r="DE13" s="77">
        <f t="shared" si="12"/>
        <v>45608</v>
      </c>
      <c r="DF13" s="77">
        <f t="shared" si="12"/>
        <v>45609</v>
      </c>
      <c r="DG13" s="77">
        <f t="shared" si="12"/>
        <v>45610</v>
      </c>
      <c r="DH13" s="77">
        <f t="shared" si="12"/>
        <v>45611</v>
      </c>
      <c r="DI13" s="77">
        <f t="shared" si="12"/>
        <v>45614</v>
      </c>
      <c r="DJ13" s="77">
        <f t="shared" si="12"/>
        <v>45615</v>
      </c>
      <c r="DK13" s="77">
        <f t="shared" si="12"/>
        <v>45616</v>
      </c>
      <c r="DL13" s="77">
        <f t="shared" si="12"/>
        <v>45617</v>
      </c>
      <c r="DM13" s="77">
        <f t="shared" si="12"/>
        <v>45618</v>
      </c>
      <c r="DN13" s="77">
        <f t="shared" si="12"/>
        <v>45621</v>
      </c>
      <c r="DO13" s="77">
        <f t="shared" si="12"/>
        <v>45622</v>
      </c>
      <c r="DP13" s="77">
        <f t="shared" si="12"/>
        <v>45623</v>
      </c>
      <c r="DQ13" s="77">
        <f t="shared" si="12"/>
        <v>45624</v>
      </c>
      <c r="DR13" s="77">
        <f t="shared" si="12"/>
        <v>45625</v>
      </c>
      <c r="DS13" s="77">
        <f t="shared" si="12"/>
        <v>45628</v>
      </c>
      <c r="DT13" s="77">
        <f t="shared" si="12"/>
        <v>45629</v>
      </c>
      <c r="DU13" s="77">
        <f t="shared" si="12"/>
        <v>45630</v>
      </c>
      <c r="DV13" s="77">
        <f t="shared" si="12"/>
        <v>45631</v>
      </c>
      <c r="DW13" s="77">
        <f t="shared" si="12"/>
        <v>45632</v>
      </c>
      <c r="DX13" s="77">
        <f t="shared" si="12"/>
        <v>45635</v>
      </c>
      <c r="DY13" s="77">
        <f t="shared" si="12"/>
        <v>45636</v>
      </c>
      <c r="DZ13" s="77">
        <f t="shared" si="12"/>
        <v>45637</v>
      </c>
      <c r="EA13" s="77">
        <f t="shared" si="12"/>
        <v>45638</v>
      </c>
      <c r="EB13" s="77">
        <f t="shared" si="12"/>
        <v>45639</v>
      </c>
      <c r="EC13" s="77">
        <f t="shared" si="12"/>
        <v>45642</v>
      </c>
      <c r="ED13" s="77">
        <f t="shared" si="12"/>
        <v>45643</v>
      </c>
      <c r="EE13" s="77">
        <f t="shared" si="12"/>
        <v>45644</v>
      </c>
      <c r="EF13" s="77">
        <f t="shared" si="12"/>
        <v>45645</v>
      </c>
      <c r="EG13" s="77">
        <f t="shared" si="12"/>
        <v>45646</v>
      </c>
      <c r="EH13" s="77">
        <f t="shared" si="12"/>
        <v>45649</v>
      </c>
      <c r="EI13" s="77">
        <f t="shared" si="12"/>
        <v>45650</v>
      </c>
      <c r="EJ13" s="77">
        <f t="shared" si="12"/>
        <v>45651</v>
      </c>
      <c r="EK13" s="77">
        <f t="shared" si="12"/>
        <v>45652</v>
      </c>
      <c r="EL13" s="77">
        <f t="shared" ref="EL13:FK13" si="13">WORKDAY(EK13,1)</f>
        <v>45653</v>
      </c>
      <c r="EM13" s="77">
        <f t="shared" si="13"/>
        <v>45656</v>
      </c>
      <c r="EN13" s="77">
        <f t="shared" si="13"/>
        <v>45657</v>
      </c>
      <c r="EO13" s="77">
        <f t="shared" si="13"/>
        <v>45658</v>
      </c>
      <c r="EP13" s="77">
        <f t="shared" si="13"/>
        <v>45659</v>
      </c>
      <c r="EQ13" s="77">
        <f t="shared" si="13"/>
        <v>45660</v>
      </c>
      <c r="ER13" s="77">
        <f t="shared" si="13"/>
        <v>45663</v>
      </c>
      <c r="ES13" s="77">
        <f t="shared" si="13"/>
        <v>45664</v>
      </c>
      <c r="ET13" s="77">
        <f t="shared" si="13"/>
        <v>45665</v>
      </c>
      <c r="EU13" s="77">
        <f t="shared" si="13"/>
        <v>45666</v>
      </c>
      <c r="EV13" s="77">
        <f t="shared" si="13"/>
        <v>45667</v>
      </c>
      <c r="EW13" s="77">
        <f t="shared" si="13"/>
        <v>45670</v>
      </c>
      <c r="EX13" s="77">
        <f t="shared" si="13"/>
        <v>45671</v>
      </c>
      <c r="EY13" s="77">
        <f t="shared" si="13"/>
        <v>45672</v>
      </c>
      <c r="EZ13" s="77">
        <f t="shared" si="13"/>
        <v>45673</v>
      </c>
      <c r="FA13" s="77">
        <f t="shared" si="13"/>
        <v>45674</v>
      </c>
      <c r="FB13" s="77">
        <f t="shared" si="13"/>
        <v>45677</v>
      </c>
      <c r="FC13" s="77">
        <f t="shared" si="13"/>
        <v>45678</v>
      </c>
      <c r="FD13" s="77">
        <f t="shared" si="13"/>
        <v>45679</v>
      </c>
      <c r="FE13" s="77">
        <f t="shared" si="13"/>
        <v>45680</v>
      </c>
      <c r="FF13" s="77">
        <f t="shared" si="13"/>
        <v>45681</v>
      </c>
      <c r="FG13" s="77">
        <f t="shared" si="13"/>
        <v>45684</v>
      </c>
      <c r="FH13" s="77">
        <f t="shared" si="13"/>
        <v>45685</v>
      </c>
      <c r="FI13" s="77">
        <f t="shared" si="13"/>
        <v>45686</v>
      </c>
      <c r="FJ13" s="77">
        <f t="shared" si="13"/>
        <v>45687</v>
      </c>
      <c r="FK13" s="77">
        <f t="shared" si="13"/>
        <v>45688</v>
      </c>
    </row>
    <row r="14" spans="1:168">
      <c r="B14" s="82" t="s">
        <v>24</v>
      </c>
      <c r="C14" s="83"/>
      <c r="D14" s="83"/>
      <c r="E14" s="83"/>
      <c r="F14" s="83"/>
      <c r="G14" s="83"/>
      <c r="H14" s="83"/>
      <c r="I14" s="105">
        <f>SUM(I15:I18)</f>
        <v>280</v>
      </c>
      <c r="J14" s="105">
        <f>SUM(J15:J18)</f>
        <v>35</v>
      </c>
      <c r="K14" s="86"/>
      <c r="M14" s="139"/>
      <c r="N14" s="139"/>
      <c r="O14" s="139"/>
      <c r="P14" s="139"/>
      <c r="Q14" s="139"/>
      <c r="R14" s="139"/>
      <c r="S14" s="139"/>
      <c r="T14" s="139"/>
      <c r="U14" s="139"/>
      <c r="V14" s="139"/>
      <c r="W14" s="139"/>
      <c r="X14" s="139"/>
      <c r="Y14" s="139"/>
      <c r="Z14" s="139"/>
      <c r="AA14" s="139"/>
      <c r="AB14" s="139"/>
      <c r="AC14" s="139"/>
      <c r="AD14" s="139"/>
      <c r="AE14" s="139"/>
      <c r="AF14" s="139"/>
      <c r="AG14" s="139"/>
      <c r="AH14" s="78"/>
      <c r="AI14" s="78"/>
      <c r="AJ14" s="78"/>
      <c r="AK14" s="78"/>
      <c r="AL14" s="78"/>
      <c r="AM14" s="78"/>
      <c r="AN14" s="78"/>
      <c r="AO14" s="78"/>
      <c r="AP14" s="78"/>
      <c r="AQ14" s="78"/>
      <c r="AR14" s="78"/>
      <c r="AS14" s="78"/>
      <c r="AT14" s="91"/>
      <c r="AU14" s="78"/>
      <c r="AV14" s="78"/>
      <c r="AW14" s="78"/>
      <c r="AX14" s="78"/>
      <c r="AY14" s="78"/>
      <c r="AZ14" s="78"/>
      <c r="BA14" s="78"/>
      <c r="BB14" s="78"/>
      <c r="BC14" s="78"/>
      <c r="BD14" s="78"/>
      <c r="BE14" s="78"/>
      <c r="BF14" s="78"/>
      <c r="BG14" s="78"/>
      <c r="BH14" s="78"/>
      <c r="BI14" s="78"/>
      <c r="BJ14" s="78"/>
      <c r="BK14" s="78"/>
      <c r="BL14" s="78"/>
      <c r="BM14" s="78"/>
      <c r="BN14" s="78"/>
      <c r="BO14" s="78"/>
      <c r="BP14" s="78"/>
      <c r="BQ14" s="78"/>
      <c r="BR14" s="78"/>
      <c r="BS14" s="78"/>
      <c r="BT14" s="78"/>
      <c r="BU14" s="78"/>
      <c r="BV14" s="78"/>
      <c r="BW14" s="78"/>
      <c r="BX14" s="78"/>
      <c r="BY14" s="78"/>
      <c r="BZ14" s="78"/>
      <c r="CA14" s="78"/>
      <c r="CB14" s="78"/>
      <c r="CC14" s="78"/>
      <c r="CD14" s="78"/>
      <c r="CE14" s="78"/>
      <c r="CF14" s="78"/>
      <c r="CG14" s="78"/>
      <c r="CH14" s="78"/>
      <c r="CI14" s="78"/>
      <c r="CJ14" s="78"/>
      <c r="CK14" s="78"/>
      <c r="CL14" s="78"/>
      <c r="CM14" s="78"/>
      <c r="CN14" s="78"/>
      <c r="CO14" s="78"/>
      <c r="CP14" s="78"/>
      <c r="CQ14" s="78"/>
      <c r="CR14" s="78"/>
      <c r="CS14" s="78"/>
      <c r="CT14" s="78"/>
      <c r="CU14" s="78"/>
      <c r="CV14" s="78"/>
      <c r="CW14" s="78"/>
      <c r="CX14" s="78"/>
      <c r="CY14" s="78"/>
      <c r="CZ14" s="78"/>
      <c r="DA14" s="78"/>
      <c r="DB14" s="78"/>
      <c r="DC14" s="78"/>
      <c r="DD14" s="78"/>
      <c r="DE14" s="78"/>
      <c r="DF14" s="78"/>
      <c r="DG14" s="78"/>
      <c r="DH14" s="78"/>
      <c r="DI14" s="78"/>
      <c r="DJ14" s="78"/>
      <c r="DK14" s="78"/>
      <c r="DL14" s="78"/>
      <c r="DM14" s="78"/>
      <c r="DN14" s="78"/>
      <c r="DO14" s="78"/>
      <c r="DP14" s="78"/>
      <c r="DQ14" s="78"/>
      <c r="DR14" s="78"/>
      <c r="DS14" s="78"/>
      <c r="DT14" s="78"/>
      <c r="DU14" s="78"/>
      <c r="DV14" s="78"/>
      <c r="DW14" s="78"/>
      <c r="DX14" s="78"/>
      <c r="DY14" s="78"/>
      <c r="DZ14" s="78"/>
      <c r="EA14" s="78"/>
      <c r="EB14" s="78"/>
      <c r="EC14" s="78"/>
      <c r="ED14" s="78"/>
      <c r="EE14" s="78"/>
      <c r="EF14" s="78"/>
      <c r="EG14" s="78"/>
      <c r="EH14" s="78"/>
      <c r="EI14" s="91"/>
      <c r="EJ14" s="91"/>
      <c r="EK14" s="91"/>
      <c r="EL14" s="91"/>
      <c r="EM14" s="91"/>
      <c r="EN14" s="91"/>
      <c r="EO14" s="91"/>
      <c r="EP14" s="78"/>
      <c r="EQ14" s="78"/>
      <c r="ER14" s="78"/>
      <c r="ES14" s="78"/>
      <c r="ET14" s="78"/>
      <c r="EU14" s="78"/>
      <c r="EV14" s="78"/>
      <c r="EW14" s="78"/>
      <c r="EX14" s="78"/>
      <c r="EY14" s="78"/>
      <c r="EZ14" s="78"/>
      <c r="FA14" s="78"/>
      <c r="FB14" s="78"/>
      <c r="FC14" s="78"/>
      <c r="FD14" s="78"/>
      <c r="FE14" s="78"/>
      <c r="FF14" s="78"/>
      <c r="FG14" s="78"/>
      <c r="FH14" s="78"/>
      <c r="FI14" s="78"/>
      <c r="FJ14" s="78"/>
      <c r="FK14" s="78"/>
    </row>
    <row r="15" spans="1:168" hidden="1" outlineLevel="1">
      <c r="B15" s="65" t="s">
        <v>26</v>
      </c>
      <c r="C15" s="64" t="s">
        <v>27</v>
      </c>
      <c r="D15" s="64"/>
      <c r="E15" s="64"/>
      <c r="F15" s="64"/>
      <c r="G15" s="64" t="s">
        <v>28</v>
      </c>
      <c r="H15" s="64"/>
      <c r="I15" s="84">
        <f>J15*8</f>
        <v>40</v>
      </c>
      <c r="J15" s="84">
        <v>5</v>
      </c>
      <c r="K15" s="87"/>
      <c r="L15" s="90">
        <f>J15-SUM(M15:FK15)</f>
        <v>0</v>
      </c>
      <c r="M15" s="78"/>
      <c r="N15" s="78"/>
      <c r="O15" s="78"/>
      <c r="P15" s="78"/>
      <c r="Q15" s="78"/>
      <c r="R15" s="78"/>
      <c r="S15" s="78"/>
      <c r="T15" s="78"/>
      <c r="U15" s="78"/>
      <c r="V15" s="78"/>
      <c r="W15" s="78">
        <v>1</v>
      </c>
      <c r="X15" s="78">
        <v>1</v>
      </c>
      <c r="Y15" s="78">
        <v>1</v>
      </c>
      <c r="Z15" s="78">
        <v>1</v>
      </c>
      <c r="AA15" s="78">
        <v>1</v>
      </c>
      <c r="AB15" s="78"/>
      <c r="AC15" s="78"/>
      <c r="AD15" s="78"/>
      <c r="AE15" s="78"/>
      <c r="AF15" s="78"/>
      <c r="AG15" s="78"/>
      <c r="AH15" s="78"/>
      <c r="AI15" s="78"/>
      <c r="AJ15" s="78"/>
      <c r="AK15" s="78"/>
      <c r="AL15" s="78"/>
      <c r="AM15" s="78"/>
      <c r="AN15" s="78"/>
      <c r="AO15" s="78"/>
      <c r="AP15" s="78"/>
      <c r="AQ15" s="78"/>
      <c r="AR15" s="78"/>
      <c r="AS15" s="78"/>
      <c r="AT15" s="91"/>
      <c r="AU15" s="78"/>
      <c r="AV15" s="78"/>
      <c r="AW15" s="78"/>
      <c r="AX15" s="78"/>
      <c r="AY15" s="78"/>
      <c r="AZ15" s="78"/>
      <c r="BA15" s="78"/>
      <c r="BB15" s="78"/>
      <c r="BC15" s="78"/>
      <c r="BD15" s="78"/>
      <c r="BE15" s="78"/>
      <c r="BF15" s="78"/>
      <c r="BG15" s="78"/>
      <c r="BH15" s="78"/>
      <c r="BI15" s="78"/>
      <c r="BJ15" s="78"/>
      <c r="BK15" s="78"/>
      <c r="BL15" s="78"/>
      <c r="BM15" s="78"/>
      <c r="BN15" s="78"/>
      <c r="BO15" s="78"/>
      <c r="BP15" s="78"/>
      <c r="BQ15" s="78"/>
      <c r="BR15" s="78"/>
      <c r="BS15" s="78"/>
      <c r="BT15" s="78"/>
      <c r="BU15" s="78"/>
      <c r="BV15" s="78"/>
      <c r="BW15" s="78"/>
      <c r="BX15" s="78"/>
      <c r="BY15" s="78"/>
      <c r="BZ15" s="78"/>
      <c r="CA15" s="78"/>
      <c r="CB15" s="78"/>
      <c r="CC15" s="78"/>
      <c r="CD15" s="78"/>
      <c r="CE15" s="78"/>
      <c r="CF15" s="78"/>
      <c r="CG15" s="78"/>
      <c r="CH15" s="78"/>
      <c r="CI15" s="78"/>
      <c r="CJ15" s="78"/>
      <c r="CK15" s="78"/>
      <c r="CL15" s="78"/>
      <c r="CM15" s="78"/>
      <c r="CN15" s="78"/>
      <c r="CO15" s="78"/>
      <c r="CP15" s="78"/>
      <c r="CQ15" s="78"/>
      <c r="CR15" s="78"/>
      <c r="CS15" s="78"/>
      <c r="CT15" s="78"/>
      <c r="CU15" s="78"/>
      <c r="CV15" s="78"/>
      <c r="CW15" s="78"/>
      <c r="CX15" s="78"/>
      <c r="CY15" s="78"/>
      <c r="CZ15" s="78"/>
      <c r="DA15" s="78"/>
      <c r="DB15" s="78"/>
      <c r="DC15" s="78"/>
      <c r="DD15" s="78"/>
      <c r="DE15" s="78"/>
      <c r="DF15" s="78"/>
      <c r="DG15" s="78"/>
      <c r="DH15" s="78"/>
      <c r="DI15" s="78"/>
      <c r="DJ15" s="78"/>
      <c r="DK15" s="78"/>
      <c r="DL15" s="78"/>
      <c r="DM15" s="78"/>
      <c r="DN15" s="78"/>
      <c r="DO15" s="78"/>
      <c r="DP15" s="78"/>
      <c r="DQ15" s="78"/>
      <c r="DR15" s="78"/>
      <c r="DS15" s="78"/>
      <c r="DT15" s="78"/>
      <c r="DU15" s="78"/>
      <c r="DV15" s="78"/>
      <c r="DW15" s="78"/>
      <c r="DX15" s="78"/>
      <c r="DY15" s="78"/>
      <c r="DZ15" s="78"/>
      <c r="EA15" s="78"/>
      <c r="EB15" s="78"/>
      <c r="EC15" s="78"/>
      <c r="ED15" s="78"/>
      <c r="EE15" s="78"/>
      <c r="EF15" s="78"/>
      <c r="EG15" s="78"/>
      <c r="EH15" s="78"/>
      <c r="EI15" s="91"/>
      <c r="EJ15" s="91"/>
      <c r="EK15" s="91"/>
      <c r="EL15" s="91"/>
      <c r="EM15" s="91"/>
      <c r="EN15" s="91"/>
      <c r="EO15" s="91"/>
      <c r="EP15" s="78"/>
      <c r="EQ15" s="78"/>
      <c r="ER15" s="78"/>
      <c r="ES15" s="78"/>
      <c r="ET15" s="78"/>
      <c r="EU15" s="78"/>
      <c r="EV15" s="78"/>
      <c r="EW15" s="78"/>
      <c r="EX15" s="78"/>
      <c r="EY15" s="78"/>
      <c r="EZ15" s="78"/>
      <c r="FA15" s="78"/>
      <c r="FB15" s="78"/>
      <c r="FC15" s="78"/>
      <c r="FD15" s="78"/>
      <c r="FE15" s="78"/>
      <c r="FF15" s="78"/>
      <c r="FG15" s="78"/>
      <c r="FH15" s="78"/>
      <c r="FI15" s="78"/>
      <c r="FJ15" s="78"/>
      <c r="FK15" s="78"/>
    </row>
    <row r="16" spans="1:168" hidden="1" outlineLevel="1">
      <c r="B16" s="65" t="s">
        <v>26</v>
      </c>
      <c r="C16" s="64" t="s">
        <v>29</v>
      </c>
      <c r="D16" s="64"/>
      <c r="E16" s="66"/>
      <c r="F16" s="64"/>
      <c r="G16" s="64" t="s">
        <v>28</v>
      </c>
      <c r="H16" s="64"/>
      <c r="I16" s="84">
        <f>J16*8</f>
        <v>80</v>
      </c>
      <c r="J16" s="84">
        <v>10</v>
      </c>
      <c r="K16" s="87"/>
      <c r="L16" s="90">
        <f>J16-SUM(M16:FK16)</f>
        <v>0</v>
      </c>
      <c r="M16" s="78"/>
      <c r="N16" s="78"/>
      <c r="O16" s="78"/>
      <c r="P16" s="78"/>
      <c r="Q16" s="78"/>
      <c r="R16" s="78">
        <v>2</v>
      </c>
      <c r="S16" s="78">
        <v>2</v>
      </c>
      <c r="T16" s="78">
        <v>2</v>
      </c>
      <c r="U16" s="78">
        <v>2</v>
      </c>
      <c r="V16" s="78">
        <v>2</v>
      </c>
      <c r="W16" s="78"/>
      <c r="X16" s="78"/>
      <c r="Y16" s="78"/>
      <c r="Z16" s="78"/>
      <c r="AA16" s="78"/>
      <c r="AB16" s="78"/>
      <c r="AC16" s="78"/>
      <c r="AD16" s="78"/>
      <c r="AE16" s="78"/>
      <c r="AF16" s="78"/>
      <c r="AG16" s="78"/>
      <c r="AH16" s="78"/>
      <c r="AI16" s="78"/>
      <c r="AJ16" s="78"/>
      <c r="AK16" s="78"/>
      <c r="AL16" s="78"/>
      <c r="AM16" s="78"/>
      <c r="AN16" s="78"/>
      <c r="AO16" s="78"/>
      <c r="AP16" s="78"/>
      <c r="AQ16" s="78"/>
      <c r="AR16" s="78"/>
      <c r="AS16" s="78"/>
      <c r="AT16" s="91"/>
      <c r="AU16" s="78"/>
      <c r="AV16" s="78"/>
      <c r="AW16" s="78"/>
      <c r="AX16" s="78"/>
      <c r="AY16" s="78"/>
      <c r="AZ16" s="78"/>
      <c r="BA16" s="78"/>
      <c r="BB16" s="78"/>
      <c r="BC16" s="78"/>
      <c r="BD16" s="78"/>
      <c r="BE16" s="78"/>
      <c r="BF16" s="78"/>
      <c r="BG16" s="78"/>
      <c r="BH16" s="78"/>
      <c r="BI16" s="78"/>
      <c r="BJ16" s="78"/>
      <c r="BK16" s="78"/>
      <c r="BL16" s="78"/>
      <c r="BM16" s="78"/>
      <c r="BN16" s="78"/>
      <c r="BO16" s="78"/>
      <c r="BP16" s="78"/>
      <c r="BQ16" s="78"/>
      <c r="BR16" s="78"/>
      <c r="BS16" s="78"/>
      <c r="BT16" s="78"/>
      <c r="BU16" s="78"/>
      <c r="BV16" s="78"/>
      <c r="BW16" s="78"/>
      <c r="BX16" s="78"/>
      <c r="BY16" s="78"/>
      <c r="BZ16" s="78"/>
      <c r="CA16" s="78"/>
      <c r="CB16" s="78"/>
      <c r="CC16" s="78"/>
      <c r="CD16" s="78"/>
      <c r="CE16" s="78"/>
      <c r="CF16" s="78"/>
      <c r="CG16" s="78"/>
      <c r="CH16" s="78"/>
      <c r="CI16" s="78"/>
      <c r="CJ16" s="78"/>
      <c r="CK16" s="78"/>
      <c r="CL16" s="78"/>
      <c r="CM16" s="78"/>
      <c r="CN16" s="78"/>
      <c r="CO16" s="78"/>
      <c r="CP16" s="78"/>
      <c r="CQ16" s="78"/>
      <c r="CR16" s="78"/>
      <c r="CS16" s="78"/>
      <c r="CT16" s="78"/>
      <c r="CU16" s="78"/>
      <c r="CV16" s="78"/>
      <c r="CW16" s="78"/>
      <c r="CX16" s="78"/>
      <c r="CY16" s="78"/>
      <c r="CZ16" s="78"/>
      <c r="DA16" s="78"/>
      <c r="DB16" s="78"/>
      <c r="DC16" s="78"/>
      <c r="DD16" s="78"/>
      <c r="DE16" s="78"/>
      <c r="DF16" s="78"/>
      <c r="DG16" s="78"/>
      <c r="DH16" s="78"/>
      <c r="DI16" s="78"/>
      <c r="DJ16" s="78"/>
      <c r="DK16" s="78"/>
      <c r="DL16" s="78"/>
      <c r="DM16" s="78"/>
      <c r="DN16" s="78"/>
      <c r="DO16" s="78"/>
      <c r="DP16" s="78"/>
      <c r="DQ16" s="78"/>
      <c r="DR16" s="78"/>
      <c r="DS16" s="78"/>
      <c r="DT16" s="78"/>
      <c r="DU16" s="78"/>
      <c r="DV16" s="78"/>
      <c r="DW16" s="78"/>
      <c r="DX16" s="78"/>
      <c r="DY16" s="78"/>
      <c r="DZ16" s="78"/>
      <c r="EA16" s="78"/>
      <c r="EB16" s="78"/>
      <c r="EC16" s="78"/>
      <c r="ED16" s="78"/>
      <c r="EE16" s="78"/>
      <c r="EF16" s="78"/>
      <c r="EG16" s="78"/>
      <c r="EH16" s="78"/>
      <c r="EI16" s="91"/>
      <c r="EJ16" s="91"/>
      <c r="EK16" s="91"/>
      <c r="EL16" s="91"/>
      <c r="EM16" s="91"/>
      <c r="EN16" s="91"/>
      <c r="EO16" s="91"/>
      <c r="EP16" s="78"/>
      <c r="EQ16" s="78"/>
      <c r="ER16" s="78"/>
      <c r="ES16" s="78"/>
      <c r="ET16" s="78"/>
      <c r="EU16" s="78"/>
      <c r="EV16" s="78"/>
      <c r="EW16" s="78"/>
      <c r="EX16" s="78"/>
      <c r="EY16" s="78"/>
      <c r="EZ16" s="78"/>
      <c r="FA16" s="78"/>
      <c r="FB16" s="78"/>
      <c r="FC16" s="78"/>
      <c r="FD16" s="78"/>
      <c r="FE16" s="78"/>
      <c r="FF16" s="78"/>
      <c r="FG16" s="78"/>
      <c r="FH16" s="78"/>
      <c r="FI16" s="78"/>
      <c r="FJ16" s="78"/>
      <c r="FK16" s="78"/>
    </row>
    <row r="17" spans="1:167" hidden="1" outlineLevel="1">
      <c r="B17" s="65" t="s">
        <v>26</v>
      </c>
      <c r="C17" s="64" t="s">
        <v>26</v>
      </c>
      <c r="D17" s="64"/>
      <c r="E17" s="64"/>
      <c r="F17" s="64"/>
      <c r="G17" s="64" t="s">
        <v>28</v>
      </c>
      <c r="H17" s="64"/>
      <c r="I17" s="84">
        <f>J17*8</f>
        <v>40</v>
      </c>
      <c r="J17" s="84">
        <v>5</v>
      </c>
      <c r="K17" s="87"/>
      <c r="L17" s="90">
        <f>J17-SUM(M17:FK17)</f>
        <v>0</v>
      </c>
      <c r="M17" s="78"/>
      <c r="N17" s="78"/>
      <c r="O17" s="78"/>
      <c r="P17" s="78"/>
      <c r="Q17" s="78"/>
      <c r="R17" s="78"/>
      <c r="S17" s="78"/>
      <c r="T17" s="78"/>
      <c r="U17" s="78"/>
      <c r="V17" s="78"/>
      <c r="W17" s="78"/>
      <c r="X17" s="78"/>
      <c r="Y17" s="78"/>
      <c r="Z17" s="78"/>
      <c r="AA17" s="78"/>
      <c r="AB17" s="78">
        <v>1</v>
      </c>
      <c r="AC17" s="78">
        <v>1</v>
      </c>
      <c r="AD17" s="78">
        <v>1</v>
      </c>
      <c r="AE17" s="78">
        <v>1</v>
      </c>
      <c r="AF17" s="78">
        <v>0.5</v>
      </c>
      <c r="AG17" s="78">
        <v>0.5</v>
      </c>
      <c r="AH17" s="78"/>
      <c r="AI17" s="78"/>
      <c r="AJ17" s="78"/>
      <c r="AK17" s="78"/>
      <c r="AL17" s="78"/>
      <c r="AM17" s="78"/>
      <c r="AN17" s="78"/>
      <c r="AO17" s="78"/>
      <c r="AP17" s="78"/>
      <c r="AQ17" s="78"/>
      <c r="AR17" s="78"/>
      <c r="AS17" s="78"/>
      <c r="AT17" s="91"/>
      <c r="AU17" s="78"/>
      <c r="AV17" s="78"/>
      <c r="AW17" s="78"/>
      <c r="AX17" s="78"/>
      <c r="AY17" s="78"/>
      <c r="AZ17" s="78"/>
      <c r="BA17" s="78"/>
      <c r="BB17" s="78"/>
      <c r="BC17" s="78"/>
      <c r="BD17" s="78"/>
      <c r="BE17" s="78"/>
      <c r="BF17" s="78"/>
      <c r="BG17" s="78"/>
      <c r="BH17" s="78"/>
      <c r="BI17" s="78"/>
      <c r="BJ17" s="78"/>
      <c r="BK17" s="78"/>
      <c r="BL17" s="78"/>
      <c r="BM17" s="78"/>
      <c r="BN17" s="78"/>
      <c r="BO17" s="78"/>
      <c r="BP17" s="78"/>
      <c r="BQ17" s="78"/>
      <c r="BR17" s="78"/>
      <c r="BS17" s="78"/>
      <c r="BT17" s="78"/>
      <c r="BU17" s="78"/>
      <c r="BV17" s="78"/>
      <c r="BW17" s="78"/>
      <c r="BX17" s="78"/>
      <c r="BY17" s="78"/>
      <c r="BZ17" s="78"/>
      <c r="CA17" s="78"/>
      <c r="CB17" s="78"/>
      <c r="CC17" s="78"/>
      <c r="CD17" s="78"/>
      <c r="CE17" s="78"/>
      <c r="CF17" s="78"/>
      <c r="CG17" s="78"/>
      <c r="CH17" s="78"/>
      <c r="CI17" s="78"/>
      <c r="CJ17" s="78"/>
      <c r="CK17" s="78"/>
      <c r="CL17" s="78"/>
      <c r="CM17" s="78"/>
      <c r="CN17" s="78"/>
      <c r="CO17" s="78"/>
      <c r="CP17" s="78"/>
      <c r="CQ17" s="78"/>
      <c r="CR17" s="78"/>
      <c r="CS17" s="78"/>
      <c r="CT17" s="78"/>
      <c r="CU17" s="78"/>
      <c r="CV17" s="78"/>
      <c r="CW17" s="78"/>
      <c r="CX17" s="78"/>
      <c r="CY17" s="78"/>
      <c r="CZ17" s="78"/>
      <c r="DA17" s="78"/>
      <c r="DB17" s="78"/>
      <c r="DC17" s="78"/>
      <c r="DD17" s="78"/>
      <c r="DE17" s="78"/>
      <c r="DF17" s="78"/>
      <c r="DG17" s="78"/>
      <c r="DH17" s="78"/>
      <c r="DI17" s="78"/>
      <c r="DJ17" s="78"/>
      <c r="DK17" s="78"/>
      <c r="DL17" s="78"/>
      <c r="DM17" s="78"/>
      <c r="DN17" s="78"/>
      <c r="DO17" s="78"/>
      <c r="DP17" s="78"/>
      <c r="DQ17" s="78"/>
      <c r="DR17" s="78"/>
      <c r="DS17" s="78"/>
      <c r="DT17" s="78"/>
      <c r="DU17" s="78"/>
      <c r="DV17" s="78"/>
      <c r="DW17" s="78"/>
      <c r="DX17" s="78"/>
      <c r="DY17" s="78"/>
      <c r="DZ17" s="78"/>
      <c r="EA17" s="78"/>
      <c r="EB17" s="78"/>
      <c r="EC17" s="78"/>
      <c r="ED17" s="78"/>
      <c r="EE17" s="78"/>
      <c r="EF17" s="78"/>
      <c r="EG17" s="78"/>
      <c r="EH17" s="78"/>
      <c r="EI17" s="91"/>
      <c r="EJ17" s="91"/>
      <c r="EK17" s="91"/>
      <c r="EL17" s="91"/>
      <c r="EM17" s="91"/>
      <c r="EN17" s="91"/>
      <c r="EO17" s="91"/>
      <c r="EP17" s="78"/>
      <c r="EQ17" s="78"/>
      <c r="ER17" s="78"/>
      <c r="ES17" s="78"/>
      <c r="ET17" s="78"/>
      <c r="EU17" s="78"/>
      <c r="EV17" s="78"/>
      <c r="EW17" s="78"/>
      <c r="EX17" s="78"/>
      <c r="EY17" s="78"/>
      <c r="EZ17" s="78"/>
      <c r="FA17" s="78"/>
      <c r="FB17" s="78"/>
      <c r="FC17" s="78"/>
      <c r="FD17" s="78"/>
      <c r="FE17" s="78"/>
      <c r="FF17" s="78"/>
      <c r="FG17" s="78"/>
      <c r="FH17" s="78"/>
      <c r="FI17" s="78"/>
      <c r="FJ17" s="78"/>
      <c r="FK17" s="78"/>
    </row>
    <row r="18" spans="1:167" hidden="1" outlineLevel="1">
      <c r="B18" s="65" t="s">
        <v>31</v>
      </c>
      <c r="C18" s="64" t="s">
        <v>31</v>
      </c>
      <c r="D18" s="64"/>
      <c r="E18" s="64"/>
      <c r="F18" s="64"/>
      <c r="G18" s="64" t="s">
        <v>28</v>
      </c>
      <c r="H18" s="64"/>
      <c r="I18" s="84">
        <f>J18*8</f>
        <v>120</v>
      </c>
      <c r="J18" s="84">
        <v>15</v>
      </c>
      <c r="K18" s="87"/>
      <c r="L18" s="90">
        <f>J18-SUM(M18:FK18)</f>
        <v>0</v>
      </c>
      <c r="M18" s="80">
        <v>3</v>
      </c>
      <c r="N18" s="80">
        <v>3</v>
      </c>
      <c r="O18" s="80">
        <v>3</v>
      </c>
      <c r="P18" s="80">
        <v>3</v>
      </c>
      <c r="Q18" s="80">
        <v>3</v>
      </c>
      <c r="R18" s="80"/>
      <c r="S18" s="80"/>
      <c r="T18" s="80"/>
      <c r="U18" s="80"/>
      <c r="V18" s="80"/>
      <c r="W18" s="80"/>
      <c r="X18" s="80"/>
      <c r="Y18" s="80"/>
      <c r="Z18" s="80"/>
      <c r="AA18" s="80"/>
      <c r="AB18" s="80"/>
      <c r="AC18" s="80"/>
      <c r="AD18" s="80"/>
      <c r="AE18" s="80"/>
      <c r="AF18" s="80"/>
      <c r="AG18" s="80"/>
      <c r="AH18" s="80"/>
      <c r="AI18" s="80"/>
      <c r="AJ18" s="80"/>
      <c r="AK18" s="80"/>
      <c r="AL18" s="80"/>
      <c r="AM18" s="80"/>
      <c r="AN18" s="80"/>
      <c r="AO18" s="80"/>
      <c r="AP18" s="80"/>
      <c r="AQ18" s="80"/>
      <c r="AR18" s="80"/>
      <c r="AS18" s="80"/>
      <c r="AT18" s="92"/>
      <c r="AU18" s="80"/>
      <c r="AV18" s="80"/>
      <c r="AW18" s="80"/>
      <c r="AX18" s="80"/>
      <c r="AY18" s="80"/>
      <c r="AZ18" s="80"/>
      <c r="BA18" s="80"/>
      <c r="BB18" s="80"/>
      <c r="BC18" s="80"/>
      <c r="BD18" s="80"/>
      <c r="BE18" s="80"/>
      <c r="BF18" s="80"/>
      <c r="BG18" s="80"/>
      <c r="BH18" s="80"/>
      <c r="BI18" s="80"/>
      <c r="BJ18" s="80"/>
      <c r="BK18" s="80"/>
      <c r="BL18" s="80"/>
      <c r="BM18" s="80"/>
      <c r="BN18" s="80"/>
      <c r="BO18" s="80"/>
      <c r="BP18" s="80"/>
      <c r="BQ18" s="80"/>
      <c r="BR18" s="80"/>
      <c r="BS18" s="80"/>
      <c r="BT18" s="80"/>
      <c r="BU18" s="80"/>
      <c r="BV18" s="80"/>
      <c r="BW18" s="80"/>
      <c r="BX18" s="80"/>
      <c r="BY18" s="80"/>
      <c r="BZ18" s="80"/>
      <c r="CA18" s="80"/>
      <c r="CB18" s="80"/>
      <c r="CC18" s="80"/>
      <c r="CD18" s="80"/>
      <c r="CE18" s="80"/>
      <c r="CF18" s="80"/>
      <c r="CG18" s="80"/>
      <c r="CH18" s="80"/>
      <c r="CI18" s="80"/>
      <c r="CJ18" s="80"/>
      <c r="CK18" s="80"/>
      <c r="CL18" s="80"/>
      <c r="CM18" s="80"/>
      <c r="CN18" s="80"/>
      <c r="CO18" s="80"/>
      <c r="CP18" s="80"/>
      <c r="CQ18" s="80"/>
      <c r="CR18" s="80"/>
      <c r="CS18" s="80"/>
      <c r="CT18" s="80"/>
      <c r="CU18" s="80"/>
      <c r="CV18" s="80"/>
      <c r="CW18" s="80"/>
      <c r="CX18" s="80"/>
      <c r="CY18" s="80"/>
      <c r="CZ18" s="80"/>
      <c r="DA18" s="80"/>
      <c r="DB18" s="80"/>
      <c r="DC18" s="80"/>
      <c r="DD18" s="80"/>
      <c r="DE18" s="80"/>
      <c r="DF18" s="80"/>
      <c r="DG18" s="80"/>
      <c r="DH18" s="80"/>
      <c r="DI18" s="80"/>
      <c r="DJ18" s="80"/>
      <c r="DK18" s="80"/>
      <c r="DL18" s="80"/>
      <c r="DM18" s="80"/>
      <c r="DN18" s="80"/>
      <c r="DO18" s="80"/>
      <c r="DP18" s="80"/>
      <c r="DQ18" s="80"/>
      <c r="DR18" s="80"/>
      <c r="DS18" s="80"/>
      <c r="DT18" s="80"/>
      <c r="DU18" s="80"/>
      <c r="DV18" s="80"/>
      <c r="DW18" s="80"/>
      <c r="DX18" s="80"/>
      <c r="DY18" s="80"/>
      <c r="DZ18" s="80"/>
      <c r="EA18" s="80"/>
      <c r="EB18" s="80"/>
      <c r="EC18" s="80"/>
      <c r="ED18" s="80"/>
      <c r="EE18" s="80"/>
      <c r="EF18" s="80"/>
      <c r="EG18" s="80"/>
      <c r="EH18" s="80"/>
      <c r="EI18" s="92"/>
      <c r="EJ18" s="92"/>
      <c r="EK18" s="92"/>
      <c r="EL18" s="92"/>
      <c r="EM18" s="92"/>
      <c r="EN18" s="92"/>
      <c r="EO18" s="92"/>
      <c r="EP18" s="80"/>
      <c r="EQ18" s="80"/>
      <c r="ER18" s="80"/>
      <c r="ES18" s="80"/>
      <c r="ET18" s="80"/>
      <c r="EU18" s="80"/>
      <c r="EV18" s="80"/>
      <c r="EW18" s="80"/>
      <c r="EX18" s="80"/>
      <c r="EY18" s="80"/>
      <c r="EZ18" s="80"/>
      <c r="FA18" s="80"/>
      <c r="FB18" s="80"/>
      <c r="FC18" s="80"/>
      <c r="FD18" s="80"/>
      <c r="FE18" s="80"/>
      <c r="FF18" s="80"/>
      <c r="FG18" s="80"/>
      <c r="FH18" s="80"/>
      <c r="FI18" s="80"/>
      <c r="FJ18" s="80"/>
      <c r="FK18" s="80"/>
    </row>
    <row r="19" spans="1:167" ht="10.4" customHeight="1" collapsed="1">
      <c r="B19" s="64"/>
      <c r="C19" s="64"/>
      <c r="D19" s="64"/>
      <c r="E19" s="64"/>
      <c r="F19" s="64"/>
      <c r="G19" s="64"/>
      <c r="H19" s="64"/>
      <c r="I19" s="84"/>
      <c r="J19" s="84"/>
      <c r="K19" s="88"/>
      <c r="M19" s="79"/>
      <c r="N19" s="79"/>
      <c r="O19" s="79"/>
      <c r="P19" s="79"/>
      <c r="Q19" s="79"/>
      <c r="R19" s="79"/>
      <c r="S19" s="79"/>
      <c r="T19" s="79"/>
      <c r="U19" s="79"/>
      <c r="V19" s="79"/>
      <c r="W19" s="79"/>
      <c r="X19" s="79"/>
      <c r="Y19" s="79"/>
      <c r="Z19" s="79"/>
      <c r="AA19" s="79"/>
      <c r="AB19" s="79"/>
      <c r="AC19" s="79"/>
      <c r="AD19" s="79"/>
      <c r="AE19" s="79"/>
      <c r="AF19" s="79"/>
      <c r="AG19" s="79"/>
      <c r="AH19" s="79"/>
      <c r="AI19" s="79"/>
      <c r="AJ19" s="79"/>
      <c r="AK19" s="79"/>
      <c r="AL19" s="79"/>
      <c r="AM19" s="79"/>
      <c r="AN19" s="79"/>
      <c r="AO19" s="79"/>
      <c r="AP19" s="79"/>
      <c r="AQ19" s="79"/>
      <c r="AR19" s="79"/>
      <c r="AS19" s="79"/>
      <c r="AT19" s="93"/>
      <c r="AU19" s="79"/>
      <c r="AV19" s="79"/>
      <c r="AW19" s="79"/>
      <c r="AX19" s="79"/>
      <c r="AY19" s="79"/>
      <c r="AZ19" s="79"/>
      <c r="BA19" s="79"/>
      <c r="BB19" s="79"/>
      <c r="BC19" s="79"/>
      <c r="BD19" s="79"/>
      <c r="BE19" s="79"/>
      <c r="BF19" s="79"/>
      <c r="BG19" s="79"/>
      <c r="BH19" s="79"/>
      <c r="BI19" s="79"/>
      <c r="BJ19" s="79"/>
      <c r="BK19" s="79"/>
      <c r="BL19" s="79"/>
      <c r="BM19" s="79"/>
      <c r="BN19" s="79"/>
      <c r="BO19" s="79"/>
      <c r="BP19" s="79"/>
      <c r="BQ19" s="79"/>
      <c r="BR19" s="79"/>
      <c r="BS19" s="79"/>
      <c r="BT19" s="79"/>
      <c r="BU19" s="79"/>
      <c r="BV19" s="79"/>
      <c r="BW19" s="79"/>
      <c r="BX19" s="79"/>
      <c r="BY19" s="79"/>
      <c r="BZ19" s="79"/>
      <c r="CA19" s="79"/>
      <c r="CB19" s="79"/>
      <c r="CC19" s="79"/>
      <c r="CD19" s="79"/>
      <c r="CE19" s="79"/>
      <c r="CF19" s="79"/>
      <c r="CG19" s="79"/>
      <c r="CH19" s="79"/>
      <c r="CI19" s="79"/>
      <c r="CJ19" s="79"/>
      <c r="CK19" s="79"/>
      <c r="CL19" s="79"/>
      <c r="CM19" s="79"/>
      <c r="CN19" s="79"/>
      <c r="CO19" s="79"/>
      <c r="CP19" s="79"/>
      <c r="CQ19" s="79"/>
      <c r="CR19" s="79"/>
      <c r="CS19" s="79"/>
      <c r="CT19" s="79"/>
      <c r="CU19" s="79"/>
      <c r="CV19" s="79"/>
      <c r="CW19" s="79"/>
      <c r="CX19" s="79"/>
      <c r="CY19" s="79"/>
      <c r="CZ19" s="79"/>
      <c r="DA19" s="79"/>
      <c r="DB19" s="79"/>
      <c r="DC19" s="79"/>
      <c r="DD19" s="79"/>
      <c r="DE19" s="79"/>
      <c r="DF19" s="79"/>
      <c r="DG19" s="79"/>
      <c r="DH19" s="79"/>
      <c r="DI19" s="79"/>
      <c r="DJ19" s="79"/>
      <c r="DK19" s="79"/>
      <c r="DL19" s="79"/>
      <c r="DM19" s="79"/>
      <c r="DN19" s="79"/>
      <c r="DO19" s="79"/>
      <c r="DP19" s="79"/>
      <c r="DQ19" s="79"/>
      <c r="DR19" s="79"/>
      <c r="DS19" s="79"/>
      <c r="DT19" s="79"/>
      <c r="DU19" s="79"/>
      <c r="DV19" s="79"/>
      <c r="DW19" s="79"/>
      <c r="DX19" s="79"/>
      <c r="DY19" s="79"/>
      <c r="DZ19" s="79"/>
      <c r="EA19" s="79"/>
      <c r="EB19" s="79"/>
      <c r="EC19" s="79"/>
      <c r="ED19" s="79"/>
      <c r="EE19" s="79"/>
      <c r="EF19" s="79"/>
      <c r="EG19" s="79"/>
      <c r="EH19" s="79"/>
      <c r="EI19" s="93"/>
      <c r="EJ19" s="93"/>
      <c r="EK19" s="93"/>
      <c r="EL19" s="93"/>
      <c r="EM19" s="93"/>
      <c r="EN19" s="93"/>
      <c r="EO19" s="93"/>
      <c r="EP19" s="79"/>
      <c r="EQ19" s="79"/>
      <c r="ER19" s="79"/>
      <c r="ES19" s="79"/>
      <c r="ET19" s="79"/>
      <c r="EU19" s="79"/>
      <c r="EV19" s="79"/>
      <c r="EW19" s="79"/>
      <c r="EX19" s="79"/>
      <c r="EY19" s="79"/>
      <c r="EZ19" s="79"/>
      <c r="FA19" s="79"/>
      <c r="FB19" s="79"/>
      <c r="FC19" s="79"/>
      <c r="FD19" s="79"/>
      <c r="FE19" s="79"/>
      <c r="FF19" s="79"/>
      <c r="FG19" s="79"/>
      <c r="FH19" s="79"/>
      <c r="FI19" s="79"/>
      <c r="FJ19" s="79"/>
      <c r="FK19" s="79"/>
    </row>
    <row r="20" spans="1:167">
      <c r="B20" s="82" t="s">
        <v>32</v>
      </c>
      <c r="C20" s="83"/>
      <c r="D20" s="83"/>
      <c r="E20" s="83"/>
      <c r="F20" s="83"/>
      <c r="G20" s="83"/>
      <c r="H20" s="83"/>
      <c r="I20" s="105">
        <f>SUM(I21:I23)</f>
        <v>120</v>
      </c>
      <c r="J20" s="105">
        <f>SUM(J21:J23)</f>
        <v>15</v>
      </c>
      <c r="K20" s="86"/>
      <c r="M20" s="81"/>
      <c r="N20" s="81"/>
      <c r="O20" s="81"/>
      <c r="P20" s="81"/>
      <c r="Q20" s="81"/>
      <c r="R20" s="81"/>
      <c r="S20" s="81"/>
      <c r="T20" s="81"/>
      <c r="U20" s="81"/>
      <c r="V20" s="81"/>
      <c r="W20" s="140"/>
      <c r="X20" s="81"/>
      <c r="Y20" s="81"/>
      <c r="Z20" s="81"/>
      <c r="AA20" s="81"/>
      <c r="AB20" s="140"/>
      <c r="AC20" s="81"/>
      <c r="AD20" s="81"/>
      <c r="AE20" s="81"/>
      <c r="AF20" s="81"/>
      <c r="AG20" s="140"/>
      <c r="AH20" s="81"/>
      <c r="AI20" s="81"/>
      <c r="AJ20" s="81"/>
      <c r="AK20" s="81"/>
      <c r="AL20" s="140"/>
      <c r="AM20" s="81"/>
      <c r="AN20" s="81"/>
      <c r="AO20" s="81"/>
      <c r="AP20" s="81"/>
      <c r="AQ20" s="140"/>
      <c r="AR20" s="81"/>
      <c r="AS20" s="81"/>
      <c r="AT20" s="94"/>
      <c r="AU20" s="81"/>
      <c r="AV20" s="140"/>
      <c r="AW20" s="81"/>
      <c r="AX20" s="81"/>
      <c r="AY20" s="81"/>
      <c r="AZ20" s="81"/>
      <c r="BA20" s="140"/>
      <c r="BB20" s="81"/>
      <c r="BC20" s="81"/>
      <c r="BD20" s="81"/>
      <c r="BE20" s="81"/>
      <c r="BF20" s="140"/>
      <c r="BG20" s="81"/>
      <c r="BH20" s="81"/>
      <c r="BI20" s="81"/>
      <c r="BJ20" s="81"/>
      <c r="BK20" s="140"/>
      <c r="BL20" s="81"/>
      <c r="BM20" s="81"/>
      <c r="BN20" s="81"/>
      <c r="BO20" s="81"/>
      <c r="BP20" s="140"/>
      <c r="BQ20" s="81"/>
      <c r="BR20" s="81"/>
      <c r="BS20" s="81"/>
      <c r="BT20" s="81"/>
      <c r="BU20" s="140"/>
      <c r="BV20" s="81"/>
      <c r="BW20" s="81"/>
      <c r="BX20" s="81"/>
      <c r="BY20" s="81"/>
      <c r="BZ20" s="140"/>
      <c r="CA20" s="81"/>
      <c r="CB20" s="81"/>
      <c r="CC20" s="81"/>
      <c r="CD20" s="81"/>
      <c r="CE20" s="140"/>
      <c r="CF20" s="81"/>
      <c r="CG20" s="81"/>
      <c r="CH20" s="81"/>
      <c r="CI20" s="81"/>
      <c r="CJ20" s="140"/>
      <c r="CK20" s="81"/>
      <c r="CL20" s="81"/>
      <c r="CM20" s="81"/>
      <c r="CN20" s="81"/>
      <c r="CO20" s="140"/>
      <c r="CP20" s="81"/>
      <c r="CQ20" s="81"/>
      <c r="CR20" s="81"/>
      <c r="CS20" s="81"/>
      <c r="CT20" s="140"/>
      <c r="CU20" s="81"/>
      <c r="CV20" s="81"/>
      <c r="CW20" s="81"/>
      <c r="CX20" s="81"/>
      <c r="CY20" s="140"/>
      <c r="CZ20" s="81"/>
      <c r="DA20" s="81"/>
      <c r="DB20" s="81"/>
      <c r="DC20" s="81"/>
      <c r="DD20" s="81"/>
      <c r="DE20" s="81"/>
      <c r="DF20" s="81"/>
      <c r="DG20" s="81"/>
      <c r="DH20" s="81"/>
      <c r="DI20" s="81"/>
      <c r="DJ20" s="81"/>
      <c r="DK20" s="81"/>
      <c r="DL20" s="81"/>
      <c r="DM20" s="81"/>
      <c r="DN20" s="81"/>
      <c r="DO20" s="81"/>
      <c r="DP20" s="81"/>
      <c r="DQ20" s="81"/>
      <c r="DR20" s="81"/>
      <c r="DS20" s="81"/>
      <c r="DT20" s="81"/>
      <c r="DU20" s="81"/>
      <c r="DV20" s="81"/>
      <c r="DW20" s="81"/>
      <c r="DX20" s="81"/>
      <c r="DY20" s="81"/>
      <c r="DZ20" s="81"/>
      <c r="EA20" s="81"/>
      <c r="EB20" s="81"/>
      <c r="EC20" s="81"/>
      <c r="ED20" s="81"/>
      <c r="EE20" s="81"/>
      <c r="EF20" s="81"/>
      <c r="EG20" s="81"/>
      <c r="EH20" s="81"/>
      <c r="EI20" s="94"/>
      <c r="EJ20" s="94"/>
      <c r="EK20" s="94"/>
      <c r="EL20" s="94"/>
      <c r="EM20" s="94"/>
      <c r="EN20" s="94"/>
      <c r="EO20" s="94"/>
      <c r="EP20" s="81"/>
      <c r="EQ20" s="81"/>
      <c r="ER20" s="81"/>
      <c r="ES20" s="81"/>
      <c r="ET20" s="81"/>
      <c r="EU20" s="81"/>
      <c r="EV20" s="81"/>
      <c r="EW20" s="81"/>
      <c r="EX20" s="81"/>
      <c r="EY20" s="81"/>
      <c r="EZ20" s="81"/>
      <c r="FA20" s="81"/>
      <c r="FB20" s="81"/>
      <c r="FC20" s="81"/>
      <c r="FD20" s="81"/>
      <c r="FE20" s="81"/>
      <c r="FF20" s="81"/>
      <c r="FG20" s="81"/>
      <c r="FH20" s="81"/>
      <c r="FI20" s="81"/>
      <c r="FJ20" s="81"/>
      <c r="FK20" s="81"/>
    </row>
    <row r="21" spans="1:167" hidden="1" outlineLevel="1">
      <c r="B21" s="65" t="s">
        <v>26</v>
      </c>
      <c r="C21" s="64" t="s">
        <v>27</v>
      </c>
      <c r="D21" s="64"/>
      <c r="E21" s="64"/>
      <c r="F21" s="64"/>
      <c r="G21" s="64" t="s">
        <v>28</v>
      </c>
      <c r="H21" s="64"/>
      <c r="I21" s="84">
        <f>J21*8</f>
        <v>40</v>
      </c>
      <c r="J21" s="84">
        <v>5</v>
      </c>
      <c r="K21" s="87"/>
      <c r="L21" s="90">
        <f>J21-SUM(M21:FK21)</f>
        <v>0</v>
      </c>
      <c r="M21" s="78"/>
      <c r="N21" s="78"/>
      <c r="O21" s="78"/>
      <c r="P21" s="78"/>
      <c r="Q21" s="78"/>
      <c r="R21" s="78"/>
      <c r="S21" s="78"/>
      <c r="T21" s="78"/>
      <c r="U21" s="78"/>
      <c r="V21" s="78"/>
      <c r="W21" s="78">
        <v>0.5</v>
      </c>
      <c r="X21" s="78"/>
      <c r="Y21" s="78"/>
      <c r="Z21" s="78"/>
      <c r="AA21" s="78"/>
      <c r="AB21" s="78">
        <v>0.5</v>
      </c>
      <c r="AC21" s="78"/>
      <c r="AD21" s="78"/>
      <c r="AE21" s="78"/>
      <c r="AF21" s="78"/>
      <c r="AG21" s="78">
        <v>0.5</v>
      </c>
      <c r="AH21" s="78"/>
      <c r="AI21" s="78"/>
      <c r="AJ21" s="78"/>
      <c r="AK21" s="78"/>
      <c r="AL21" s="78">
        <v>0.5</v>
      </c>
      <c r="AM21" s="78"/>
      <c r="AN21" s="78"/>
      <c r="AO21" s="78"/>
      <c r="AP21" s="78"/>
      <c r="AQ21" s="78">
        <v>0.5</v>
      </c>
      <c r="AR21" s="78"/>
      <c r="AS21" s="78"/>
      <c r="AT21" s="91"/>
      <c r="AU21" s="78"/>
      <c r="AV21" s="78">
        <v>0.5</v>
      </c>
      <c r="AW21" s="78"/>
      <c r="AX21" s="78"/>
      <c r="AY21" s="78"/>
      <c r="AZ21" s="78"/>
      <c r="BA21" s="78">
        <v>0.5</v>
      </c>
      <c r="BB21" s="78"/>
      <c r="BC21" s="78"/>
      <c r="BD21" s="78"/>
      <c r="BE21" s="78"/>
      <c r="BF21" s="78">
        <v>0.5</v>
      </c>
      <c r="BG21" s="78"/>
      <c r="BH21" s="78"/>
      <c r="BI21" s="78"/>
      <c r="BJ21" s="78"/>
      <c r="BK21" s="78">
        <v>0.5</v>
      </c>
      <c r="BL21" s="78"/>
      <c r="BM21" s="78"/>
      <c r="BN21" s="78"/>
      <c r="BO21" s="78"/>
      <c r="BP21" s="78">
        <v>0.5</v>
      </c>
      <c r="BQ21" s="78"/>
      <c r="BR21" s="78"/>
      <c r="BS21" s="78"/>
      <c r="BT21" s="78"/>
      <c r="BU21" s="78"/>
      <c r="BV21" s="78"/>
      <c r="BW21" s="78"/>
      <c r="BX21" s="78"/>
      <c r="BY21" s="78"/>
      <c r="BZ21" s="78"/>
      <c r="CA21" s="78"/>
      <c r="CB21" s="78"/>
      <c r="CC21" s="78"/>
      <c r="CD21" s="78"/>
      <c r="CE21" s="78"/>
      <c r="CF21" s="78"/>
      <c r="CG21" s="78"/>
      <c r="CH21" s="78"/>
      <c r="CI21" s="78"/>
      <c r="CJ21" s="78"/>
      <c r="CK21" s="78"/>
      <c r="CL21" s="78"/>
      <c r="CM21" s="78"/>
      <c r="CN21" s="78"/>
      <c r="CO21" s="78"/>
      <c r="CP21" s="78"/>
      <c r="CQ21" s="78"/>
      <c r="CR21" s="78"/>
      <c r="CS21" s="78"/>
      <c r="CT21" s="78"/>
      <c r="CU21" s="78"/>
      <c r="CV21" s="78"/>
      <c r="CW21" s="78"/>
      <c r="CX21" s="78"/>
      <c r="CY21" s="78"/>
      <c r="CZ21" s="78"/>
      <c r="DA21" s="78"/>
      <c r="DB21" s="78"/>
      <c r="DC21" s="78"/>
      <c r="DD21" s="78"/>
      <c r="DE21" s="78"/>
      <c r="DF21" s="78"/>
      <c r="DG21" s="78"/>
      <c r="DH21" s="78"/>
      <c r="DI21" s="78"/>
      <c r="DJ21" s="78"/>
      <c r="DK21" s="78"/>
      <c r="DL21" s="78"/>
      <c r="DM21" s="78"/>
      <c r="DN21" s="78"/>
      <c r="DO21" s="78"/>
      <c r="DP21" s="78"/>
      <c r="DQ21" s="78"/>
      <c r="DR21" s="78"/>
      <c r="DS21" s="78"/>
      <c r="DT21" s="78"/>
      <c r="DU21" s="78"/>
      <c r="DV21" s="78"/>
      <c r="DW21" s="78"/>
      <c r="DX21" s="78"/>
      <c r="DY21" s="78"/>
      <c r="DZ21" s="78"/>
      <c r="EA21" s="78"/>
      <c r="EB21" s="78"/>
      <c r="EC21" s="78"/>
      <c r="ED21" s="78"/>
      <c r="EE21" s="78"/>
      <c r="EF21" s="78"/>
      <c r="EG21" s="78"/>
      <c r="EH21" s="78"/>
      <c r="EI21" s="91"/>
      <c r="EJ21" s="91"/>
      <c r="EK21" s="91"/>
      <c r="EL21" s="91"/>
      <c r="EM21" s="91"/>
      <c r="EN21" s="91"/>
      <c r="EO21" s="91"/>
      <c r="EP21" s="78"/>
      <c r="EQ21" s="78"/>
      <c r="ER21" s="78"/>
      <c r="ES21" s="78"/>
      <c r="ET21" s="78"/>
      <c r="EU21" s="78"/>
      <c r="EV21" s="78"/>
      <c r="EW21" s="78"/>
      <c r="EX21" s="78"/>
      <c r="EY21" s="78"/>
      <c r="EZ21" s="78"/>
      <c r="FA21" s="78"/>
      <c r="FB21" s="78"/>
      <c r="FC21" s="78"/>
      <c r="FD21" s="78"/>
      <c r="FE21" s="78"/>
      <c r="FF21" s="78"/>
      <c r="FG21" s="78"/>
      <c r="FH21" s="78"/>
      <c r="FI21" s="78"/>
      <c r="FJ21" s="78"/>
      <c r="FK21" s="78"/>
    </row>
    <row r="22" spans="1:167" hidden="1" outlineLevel="1">
      <c r="B22" s="65" t="s">
        <v>26</v>
      </c>
      <c r="C22" s="64" t="s">
        <v>29</v>
      </c>
      <c r="D22" s="64"/>
      <c r="E22" s="64"/>
      <c r="F22" s="64"/>
      <c r="G22" s="64" t="s">
        <v>28</v>
      </c>
      <c r="H22" s="64"/>
      <c r="I22" s="84">
        <f>J22*8</f>
        <v>40</v>
      </c>
      <c r="J22" s="84">
        <v>5</v>
      </c>
      <c r="K22" s="87"/>
      <c r="L22" s="90">
        <f>J22-SUM(M22:FK22)</f>
        <v>0</v>
      </c>
      <c r="M22" s="78"/>
      <c r="N22" s="78"/>
      <c r="O22" s="78"/>
      <c r="P22" s="78"/>
      <c r="Q22" s="78"/>
      <c r="R22" s="78"/>
      <c r="S22" s="78"/>
      <c r="T22" s="78"/>
      <c r="U22" s="78"/>
      <c r="V22" s="78"/>
      <c r="W22" s="78">
        <v>0.5</v>
      </c>
      <c r="X22" s="78"/>
      <c r="Y22" s="78"/>
      <c r="Z22" s="78"/>
      <c r="AA22" s="78"/>
      <c r="AB22" s="78">
        <v>0.5</v>
      </c>
      <c r="AC22" s="78"/>
      <c r="AD22" s="78"/>
      <c r="AE22" s="78"/>
      <c r="AF22" s="78"/>
      <c r="AG22" s="78">
        <v>0.5</v>
      </c>
      <c r="AH22" s="78"/>
      <c r="AI22" s="78"/>
      <c r="AJ22" s="78"/>
      <c r="AK22" s="78"/>
      <c r="AL22" s="78">
        <v>0.5</v>
      </c>
      <c r="AM22" s="78"/>
      <c r="AN22" s="78"/>
      <c r="AO22" s="78"/>
      <c r="AP22" s="78"/>
      <c r="AQ22" s="78">
        <v>0.5</v>
      </c>
      <c r="AR22" s="78"/>
      <c r="AS22" s="78"/>
      <c r="AT22" s="91"/>
      <c r="AU22" s="78"/>
      <c r="AV22" s="78">
        <v>0.5</v>
      </c>
      <c r="AW22" s="78"/>
      <c r="AX22" s="78"/>
      <c r="AY22" s="78"/>
      <c r="AZ22" s="78"/>
      <c r="BA22" s="78">
        <v>0.5</v>
      </c>
      <c r="BB22" s="78"/>
      <c r="BC22" s="78"/>
      <c r="BD22" s="78"/>
      <c r="BE22" s="78"/>
      <c r="BF22" s="78">
        <v>0.5</v>
      </c>
      <c r="BG22" s="78"/>
      <c r="BH22" s="78"/>
      <c r="BI22" s="78"/>
      <c r="BJ22" s="78"/>
      <c r="BK22" s="78">
        <v>0.5</v>
      </c>
      <c r="BL22" s="78"/>
      <c r="BM22" s="78"/>
      <c r="BN22" s="78"/>
      <c r="BO22" s="78"/>
      <c r="BP22" s="78">
        <v>0.5</v>
      </c>
      <c r="BQ22" s="78"/>
      <c r="BR22" s="78"/>
      <c r="BS22" s="78"/>
      <c r="BT22" s="78"/>
      <c r="BU22" s="78"/>
      <c r="BV22" s="78"/>
      <c r="BW22" s="78"/>
      <c r="BX22" s="78"/>
      <c r="BY22" s="78"/>
      <c r="BZ22" s="78"/>
      <c r="CA22" s="78"/>
      <c r="CB22" s="78"/>
      <c r="CC22" s="78"/>
      <c r="CD22" s="78"/>
      <c r="CE22" s="78"/>
      <c r="CF22" s="78"/>
      <c r="CG22" s="78"/>
      <c r="CH22" s="78"/>
      <c r="CI22" s="78"/>
      <c r="CJ22" s="78"/>
      <c r="CK22" s="78"/>
      <c r="CL22" s="78"/>
      <c r="CM22" s="78"/>
      <c r="CN22" s="78"/>
      <c r="CO22" s="78"/>
      <c r="CP22" s="78"/>
      <c r="CQ22" s="78"/>
      <c r="CR22" s="78"/>
      <c r="CS22" s="78"/>
      <c r="CT22" s="78"/>
      <c r="CU22" s="78"/>
      <c r="CV22" s="78"/>
      <c r="CW22" s="78"/>
      <c r="CX22" s="78"/>
      <c r="CY22" s="78"/>
      <c r="CZ22" s="78"/>
      <c r="DA22" s="78"/>
      <c r="DB22" s="78"/>
      <c r="DC22" s="78"/>
      <c r="DD22" s="78"/>
      <c r="DE22" s="78"/>
      <c r="DF22" s="78"/>
      <c r="DG22" s="78"/>
      <c r="DH22" s="78"/>
      <c r="DI22" s="78"/>
      <c r="DJ22" s="78"/>
      <c r="DK22" s="78"/>
      <c r="DL22" s="78"/>
      <c r="DM22" s="78"/>
      <c r="DN22" s="78"/>
      <c r="DO22" s="78"/>
      <c r="DP22" s="78"/>
      <c r="DQ22" s="78"/>
      <c r="DR22" s="78"/>
      <c r="DS22" s="78"/>
      <c r="DT22" s="78"/>
      <c r="DU22" s="78"/>
      <c r="DV22" s="78"/>
      <c r="DW22" s="78"/>
      <c r="DX22" s="78"/>
      <c r="DY22" s="78"/>
      <c r="DZ22" s="78"/>
      <c r="EA22" s="78"/>
      <c r="EB22" s="78"/>
      <c r="EC22" s="78"/>
      <c r="ED22" s="78"/>
      <c r="EE22" s="78"/>
      <c r="EF22" s="78"/>
      <c r="EG22" s="78"/>
      <c r="EH22" s="78"/>
      <c r="EI22" s="91"/>
      <c r="EJ22" s="91"/>
      <c r="EK22" s="91"/>
      <c r="EL22" s="91"/>
      <c r="EM22" s="91"/>
      <c r="EN22" s="91"/>
      <c r="EO22" s="91"/>
      <c r="EP22" s="78"/>
      <c r="EQ22" s="78"/>
      <c r="ER22" s="78"/>
      <c r="ES22" s="78"/>
      <c r="ET22" s="78"/>
      <c r="EU22" s="78"/>
      <c r="EV22" s="78"/>
      <c r="EW22" s="78"/>
      <c r="EX22" s="78"/>
      <c r="EY22" s="78"/>
      <c r="EZ22" s="78"/>
      <c r="FA22" s="78"/>
      <c r="FB22" s="78"/>
      <c r="FC22" s="78"/>
      <c r="FD22" s="78"/>
      <c r="FE22" s="78"/>
      <c r="FF22" s="78"/>
      <c r="FG22" s="78"/>
      <c r="FH22" s="78"/>
      <c r="FI22" s="78"/>
      <c r="FJ22" s="78"/>
      <c r="FK22" s="78"/>
    </row>
    <row r="23" spans="1:167" hidden="1" outlineLevel="1">
      <c r="B23" s="65" t="s">
        <v>26</v>
      </c>
      <c r="C23" s="64" t="s">
        <v>26</v>
      </c>
      <c r="D23" s="64"/>
      <c r="E23" s="64"/>
      <c r="F23" s="64"/>
      <c r="G23" s="64" t="s">
        <v>28</v>
      </c>
      <c r="H23" s="64"/>
      <c r="I23" s="84">
        <f>J23*8</f>
        <v>40</v>
      </c>
      <c r="J23" s="84">
        <v>5</v>
      </c>
      <c r="K23" s="87"/>
      <c r="L23" s="90">
        <f>J23-SUM(M23:FK23)</f>
        <v>0</v>
      </c>
      <c r="M23" s="78"/>
      <c r="N23" s="78"/>
      <c r="O23" s="78"/>
      <c r="P23" s="78"/>
      <c r="Q23" s="78"/>
      <c r="R23" s="78"/>
      <c r="S23" s="78"/>
      <c r="T23" s="78"/>
      <c r="U23" s="78"/>
      <c r="V23" s="78"/>
      <c r="W23" s="78"/>
      <c r="X23" s="78"/>
      <c r="Y23" s="78"/>
      <c r="Z23" s="78"/>
      <c r="AA23" s="78"/>
      <c r="AB23" s="78"/>
      <c r="AC23" s="78"/>
      <c r="AD23" s="78"/>
      <c r="AE23" s="78"/>
      <c r="AF23" s="78"/>
      <c r="AG23" s="78"/>
      <c r="AH23" s="78"/>
      <c r="AI23" s="78"/>
      <c r="AJ23" s="78"/>
      <c r="AK23" s="78"/>
      <c r="AL23" s="78"/>
      <c r="AM23" s="78"/>
      <c r="AN23" s="78"/>
      <c r="AO23" s="78"/>
      <c r="AP23" s="78"/>
      <c r="AQ23" s="78"/>
      <c r="AR23" s="78"/>
      <c r="AS23" s="78"/>
      <c r="AT23" s="91"/>
      <c r="AU23" s="78"/>
      <c r="AV23" s="78"/>
      <c r="AW23" s="78"/>
      <c r="AX23" s="78"/>
      <c r="AY23" s="78"/>
      <c r="AZ23" s="78"/>
      <c r="BA23" s="78"/>
      <c r="BB23" s="78"/>
      <c r="BC23" s="78"/>
      <c r="BD23" s="78"/>
      <c r="BE23" s="78"/>
      <c r="BF23" s="78">
        <v>0.5</v>
      </c>
      <c r="BG23" s="78"/>
      <c r="BH23" s="78"/>
      <c r="BI23" s="78"/>
      <c r="BJ23" s="78"/>
      <c r="BK23" s="78">
        <v>0.5</v>
      </c>
      <c r="BL23" s="78"/>
      <c r="BM23" s="78"/>
      <c r="BN23" s="78"/>
      <c r="BO23" s="78"/>
      <c r="BP23" s="78">
        <v>0.5</v>
      </c>
      <c r="BQ23" s="78"/>
      <c r="BR23" s="78"/>
      <c r="BS23" s="78"/>
      <c r="BT23" s="78"/>
      <c r="BU23" s="78">
        <v>0.5</v>
      </c>
      <c r="BV23" s="78"/>
      <c r="BW23" s="78"/>
      <c r="BX23" s="78"/>
      <c r="BY23" s="78"/>
      <c r="BZ23" s="78">
        <v>0.5</v>
      </c>
      <c r="CA23" s="78"/>
      <c r="CB23" s="78"/>
      <c r="CC23" s="78"/>
      <c r="CD23" s="78"/>
      <c r="CE23" s="78">
        <v>0.5</v>
      </c>
      <c r="CF23" s="78"/>
      <c r="CG23" s="78"/>
      <c r="CH23" s="78"/>
      <c r="CI23" s="78"/>
      <c r="CJ23" s="78">
        <v>0.5</v>
      </c>
      <c r="CK23" s="78"/>
      <c r="CL23" s="78"/>
      <c r="CM23" s="78"/>
      <c r="CN23" s="78"/>
      <c r="CO23" s="78">
        <v>0.5</v>
      </c>
      <c r="CP23" s="78"/>
      <c r="CQ23" s="78"/>
      <c r="CR23" s="78"/>
      <c r="CS23" s="78"/>
      <c r="CT23" s="78">
        <v>0.5</v>
      </c>
      <c r="CU23" s="78"/>
      <c r="CV23" s="78"/>
      <c r="CW23" s="78"/>
      <c r="CX23" s="78"/>
      <c r="CY23" s="78">
        <v>0.5</v>
      </c>
      <c r="CZ23" s="78"/>
      <c r="DA23" s="78"/>
      <c r="DB23" s="78"/>
      <c r="DC23" s="78"/>
      <c r="DD23" s="78"/>
      <c r="DE23" s="78"/>
      <c r="DF23" s="78"/>
      <c r="DG23" s="78"/>
      <c r="DH23" s="78"/>
      <c r="DI23" s="78"/>
      <c r="DJ23" s="78"/>
      <c r="DK23" s="78"/>
      <c r="DL23" s="78"/>
      <c r="DM23" s="78"/>
      <c r="DN23" s="78"/>
      <c r="DO23" s="78"/>
      <c r="DP23" s="78"/>
      <c r="DQ23" s="78"/>
      <c r="DR23" s="78"/>
      <c r="DS23" s="78"/>
      <c r="DT23" s="78"/>
      <c r="DU23" s="78"/>
      <c r="DV23" s="78"/>
      <c r="DW23" s="78"/>
      <c r="DX23" s="78"/>
      <c r="DY23" s="78"/>
      <c r="DZ23" s="78"/>
      <c r="EA23" s="78"/>
      <c r="EB23" s="78"/>
      <c r="EC23" s="78"/>
      <c r="ED23" s="78"/>
      <c r="EE23" s="78"/>
      <c r="EF23" s="78"/>
      <c r="EG23" s="78"/>
      <c r="EH23" s="78"/>
      <c r="EI23" s="91"/>
      <c r="EJ23" s="91"/>
      <c r="EK23" s="91"/>
      <c r="EL23" s="91"/>
      <c r="EM23" s="91"/>
      <c r="EN23" s="91"/>
      <c r="EO23" s="91"/>
      <c r="EP23" s="78"/>
      <c r="EQ23" s="78"/>
      <c r="ER23" s="78"/>
      <c r="ES23" s="78"/>
      <c r="ET23" s="78"/>
      <c r="EU23" s="78"/>
      <c r="EV23" s="78"/>
      <c r="EW23" s="78"/>
      <c r="EX23" s="78"/>
      <c r="EY23" s="78"/>
      <c r="EZ23" s="78"/>
      <c r="FA23" s="78"/>
      <c r="FB23" s="78"/>
      <c r="FC23" s="78"/>
      <c r="FD23" s="78"/>
      <c r="FE23" s="78"/>
      <c r="FF23" s="78"/>
      <c r="FG23" s="78"/>
      <c r="FH23" s="78"/>
      <c r="FI23" s="78"/>
      <c r="FJ23" s="78"/>
      <c r="FK23" s="78"/>
    </row>
    <row r="24" spans="1:167" ht="10.4" customHeight="1" collapsed="1">
      <c r="B24" s="64"/>
      <c r="C24" s="64"/>
      <c r="D24" s="64"/>
      <c r="E24" s="64"/>
      <c r="F24" s="64"/>
      <c r="G24" s="64"/>
      <c r="H24" s="64"/>
      <c r="I24" s="84"/>
      <c r="J24" s="84"/>
      <c r="K24" s="88"/>
      <c r="M24" s="79"/>
      <c r="N24" s="79"/>
      <c r="O24" s="79"/>
      <c r="P24" s="79"/>
      <c r="Q24" s="79"/>
      <c r="R24" s="79"/>
      <c r="S24" s="79"/>
      <c r="T24" s="79"/>
      <c r="U24" s="79"/>
      <c r="V24" s="79"/>
      <c r="W24" s="79"/>
      <c r="X24" s="79"/>
      <c r="Y24" s="79"/>
      <c r="Z24" s="79"/>
      <c r="AA24" s="79"/>
      <c r="AB24" s="79"/>
      <c r="AC24" s="79"/>
      <c r="AD24" s="79"/>
      <c r="AE24" s="79"/>
      <c r="AF24" s="79"/>
      <c r="AG24" s="79"/>
      <c r="AH24" s="79"/>
      <c r="AI24" s="79"/>
      <c r="AJ24" s="79"/>
      <c r="AK24" s="79"/>
      <c r="AL24" s="79"/>
      <c r="AM24" s="79"/>
      <c r="AN24" s="79"/>
      <c r="AO24" s="79"/>
      <c r="AP24" s="79"/>
      <c r="AQ24" s="79"/>
      <c r="AR24" s="79"/>
      <c r="AS24" s="79"/>
      <c r="AT24" s="93"/>
      <c r="AU24" s="79"/>
      <c r="AV24" s="79"/>
      <c r="AW24" s="79"/>
      <c r="AX24" s="79"/>
      <c r="AY24" s="79"/>
      <c r="AZ24" s="79"/>
      <c r="BA24" s="79"/>
      <c r="BB24" s="79"/>
      <c r="BC24" s="79"/>
      <c r="BD24" s="79"/>
      <c r="BE24" s="79"/>
      <c r="BF24" s="79"/>
      <c r="BG24" s="79"/>
      <c r="BH24" s="79"/>
      <c r="BI24" s="79"/>
      <c r="BJ24" s="79"/>
      <c r="BK24" s="79"/>
      <c r="BL24" s="79"/>
      <c r="BM24" s="79"/>
      <c r="BN24" s="79"/>
      <c r="BO24" s="79"/>
      <c r="BP24" s="79"/>
      <c r="BQ24" s="79"/>
      <c r="BR24" s="79"/>
      <c r="BS24" s="79"/>
      <c r="BT24" s="79"/>
      <c r="BU24" s="79"/>
      <c r="BV24" s="79"/>
      <c r="BW24" s="79"/>
      <c r="BX24" s="79"/>
      <c r="BY24" s="79"/>
      <c r="BZ24" s="79"/>
      <c r="CA24" s="79"/>
      <c r="CB24" s="79"/>
      <c r="CC24" s="79"/>
      <c r="CD24" s="79"/>
      <c r="CE24" s="79"/>
      <c r="CF24" s="79"/>
      <c r="CG24" s="79"/>
      <c r="CH24" s="79"/>
      <c r="CI24" s="79"/>
      <c r="CJ24" s="79"/>
      <c r="CK24" s="79"/>
      <c r="CL24" s="79"/>
      <c r="CM24" s="79"/>
      <c r="CN24" s="79"/>
      <c r="CO24" s="79"/>
      <c r="CP24" s="79"/>
      <c r="CQ24" s="79"/>
      <c r="CR24" s="79"/>
      <c r="CS24" s="79"/>
      <c r="CT24" s="79"/>
      <c r="CU24" s="79"/>
      <c r="CV24" s="79"/>
      <c r="CW24" s="79"/>
      <c r="CX24" s="79"/>
      <c r="CY24" s="79"/>
      <c r="CZ24" s="79"/>
      <c r="DA24" s="79"/>
      <c r="DB24" s="79"/>
      <c r="DC24" s="79"/>
      <c r="DD24" s="79"/>
      <c r="DE24" s="79"/>
      <c r="DF24" s="79"/>
      <c r="DG24" s="79"/>
      <c r="DH24" s="79"/>
      <c r="DI24" s="79"/>
      <c r="DJ24" s="79"/>
      <c r="DK24" s="79"/>
      <c r="DL24" s="79"/>
      <c r="DM24" s="79"/>
      <c r="DN24" s="79"/>
      <c r="DO24" s="79"/>
      <c r="DP24" s="79"/>
      <c r="DQ24" s="79"/>
      <c r="DR24" s="79"/>
      <c r="DS24" s="79"/>
      <c r="DT24" s="79"/>
      <c r="DU24" s="79"/>
      <c r="DV24" s="79"/>
      <c r="DW24" s="79"/>
      <c r="DX24" s="79"/>
      <c r="DY24" s="79"/>
      <c r="DZ24" s="79"/>
      <c r="EA24" s="79"/>
      <c r="EB24" s="79"/>
      <c r="EC24" s="79"/>
      <c r="ED24" s="79"/>
      <c r="EE24" s="79"/>
      <c r="EF24" s="79"/>
      <c r="EG24" s="79"/>
      <c r="EH24" s="79"/>
      <c r="EI24" s="93"/>
      <c r="EJ24" s="93"/>
      <c r="EK24" s="93"/>
      <c r="EL24" s="93"/>
      <c r="EM24" s="93"/>
      <c r="EN24" s="93"/>
      <c r="EO24" s="93"/>
      <c r="EP24" s="79"/>
      <c r="EQ24" s="79"/>
      <c r="ER24" s="79"/>
      <c r="ES24" s="79"/>
      <c r="ET24" s="79"/>
      <c r="EU24" s="79"/>
      <c r="EV24" s="79"/>
      <c r="EW24" s="79"/>
      <c r="EX24" s="79"/>
      <c r="EY24" s="79"/>
      <c r="EZ24" s="79"/>
      <c r="FA24" s="79"/>
      <c r="FB24" s="79"/>
      <c r="FC24" s="79"/>
      <c r="FD24" s="79"/>
      <c r="FE24" s="79"/>
      <c r="FF24" s="79"/>
      <c r="FG24" s="79"/>
      <c r="FH24" s="79"/>
      <c r="FI24" s="79"/>
      <c r="FJ24" s="79"/>
      <c r="FK24" s="79"/>
    </row>
    <row r="25" spans="1:167">
      <c r="B25" s="82" t="s">
        <v>33</v>
      </c>
      <c r="C25" s="83"/>
      <c r="D25" s="83"/>
      <c r="E25" s="83"/>
      <c r="F25" s="83"/>
      <c r="G25" s="83"/>
      <c r="H25" s="83"/>
      <c r="I25" s="105">
        <f>I26+I27+I42+I198+I362+I447</f>
        <v>1188.2</v>
      </c>
      <c r="J25" s="105">
        <f>J26+J27+J42+J198+J362+J447</f>
        <v>150</v>
      </c>
      <c r="K25" s="86"/>
      <c r="M25" s="81"/>
      <c r="N25" s="81"/>
      <c r="O25" s="81"/>
      <c r="P25" s="81"/>
      <c r="Q25" s="81"/>
      <c r="R25" s="81"/>
      <c r="S25" s="81"/>
      <c r="T25" s="81"/>
      <c r="U25" s="81"/>
      <c r="V25" s="81"/>
      <c r="W25" s="81"/>
      <c r="X25" s="140"/>
      <c r="Y25" s="140"/>
      <c r="Z25" s="140"/>
      <c r="AA25" s="140"/>
      <c r="AB25" s="140"/>
      <c r="AC25" s="140"/>
      <c r="AD25" s="140"/>
      <c r="AE25" s="140"/>
      <c r="AF25" s="140"/>
      <c r="AG25" s="140"/>
      <c r="AH25" s="140"/>
      <c r="AI25" s="140"/>
      <c r="AJ25" s="140"/>
      <c r="AK25" s="140"/>
      <c r="AL25" s="140"/>
      <c r="AM25" s="140"/>
      <c r="AN25" s="140"/>
      <c r="AO25" s="140"/>
      <c r="AP25" s="140"/>
      <c r="AQ25" s="140"/>
      <c r="AR25" s="140"/>
      <c r="AS25" s="140"/>
      <c r="AT25" s="94"/>
      <c r="AU25" s="140"/>
      <c r="AV25" s="81"/>
      <c r="AW25" s="81"/>
      <c r="AX25" s="140"/>
      <c r="AY25" s="140"/>
      <c r="AZ25" s="140"/>
      <c r="BA25" s="140"/>
      <c r="BB25" s="140"/>
      <c r="BC25" s="140"/>
      <c r="BD25" s="140"/>
      <c r="BE25" s="140"/>
      <c r="BF25" s="140"/>
      <c r="BG25" s="140"/>
      <c r="BH25" s="140"/>
      <c r="BI25" s="140"/>
      <c r="BJ25" s="140"/>
      <c r="BK25" s="140"/>
      <c r="BL25" s="140"/>
      <c r="BM25" s="140"/>
      <c r="BN25" s="140"/>
      <c r="BO25" s="140"/>
      <c r="BP25" s="140"/>
      <c r="BQ25" s="140"/>
      <c r="BR25" s="140"/>
      <c r="BS25" s="140"/>
      <c r="BT25" s="140"/>
      <c r="BU25" s="140"/>
      <c r="BV25" s="140"/>
      <c r="BW25" s="140"/>
      <c r="BX25" s="140"/>
      <c r="BY25" s="140"/>
      <c r="BZ25" s="140"/>
      <c r="CA25" s="140"/>
      <c r="CB25" s="140"/>
      <c r="CC25" s="140"/>
      <c r="CD25" s="140"/>
      <c r="CE25" s="140"/>
      <c r="CF25" s="140"/>
      <c r="CG25" s="140"/>
      <c r="CH25" s="140"/>
      <c r="CI25" s="140"/>
      <c r="CJ25" s="140"/>
      <c r="CK25" s="140"/>
      <c r="CL25" s="140"/>
      <c r="CM25" s="140"/>
      <c r="CN25" s="140"/>
      <c r="CO25" s="140"/>
      <c r="CP25" s="140"/>
      <c r="CQ25" s="140"/>
      <c r="CR25" s="140"/>
      <c r="CS25" s="140"/>
      <c r="CT25" s="140"/>
      <c r="CU25" s="140"/>
      <c r="CV25" s="140"/>
      <c r="CW25" s="140"/>
      <c r="CX25" s="140"/>
      <c r="CY25" s="140"/>
      <c r="CZ25" s="140"/>
      <c r="DA25" s="140"/>
      <c r="DB25" s="140"/>
      <c r="DC25" s="140"/>
      <c r="DD25" s="140"/>
      <c r="DE25" s="140"/>
      <c r="DF25" s="140"/>
      <c r="DG25" s="140"/>
      <c r="DH25" s="140"/>
      <c r="DI25" s="140"/>
      <c r="DJ25" s="140"/>
      <c r="DK25" s="140"/>
      <c r="DL25" s="140"/>
      <c r="DM25" s="140"/>
      <c r="DN25" s="140"/>
      <c r="DO25" s="140"/>
      <c r="DP25" s="140"/>
      <c r="DQ25" s="140"/>
      <c r="DR25" s="140"/>
      <c r="DS25" s="140"/>
      <c r="DT25" s="140"/>
      <c r="DU25" s="140"/>
      <c r="DV25" s="140"/>
      <c r="DW25" s="140"/>
      <c r="DX25" s="140"/>
      <c r="DY25" s="140"/>
      <c r="DZ25" s="140"/>
      <c r="EA25" s="140"/>
      <c r="EB25" s="140"/>
      <c r="EC25" s="140"/>
      <c r="ED25" s="140"/>
      <c r="EE25" s="140"/>
      <c r="EF25" s="140"/>
      <c r="EG25" s="140"/>
      <c r="EH25" s="140"/>
      <c r="EI25" s="94"/>
      <c r="EJ25" s="94"/>
      <c r="EK25" s="94"/>
      <c r="EL25" s="94"/>
      <c r="EM25" s="94"/>
      <c r="EN25" s="94"/>
      <c r="EO25" s="94"/>
      <c r="EP25" s="81"/>
      <c r="EQ25" s="81"/>
      <c r="ER25" s="81"/>
      <c r="ES25" s="81"/>
      <c r="ET25" s="81"/>
      <c r="EU25" s="81"/>
      <c r="EV25" s="81"/>
      <c r="EW25" s="81"/>
      <c r="EX25" s="81"/>
      <c r="EY25" s="81"/>
      <c r="EZ25" s="81"/>
      <c r="FA25" s="81"/>
      <c r="FB25" s="81"/>
      <c r="FC25" s="81"/>
      <c r="FD25" s="81"/>
      <c r="FE25" s="81"/>
      <c r="FF25" s="81"/>
      <c r="FG25" s="81"/>
      <c r="FH25" s="81"/>
      <c r="FI25" s="81"/>
      <c r="FJ25" s="81"/>
      <c r="FK25" s="81"/>
    </row>
    <row r="26" spans="1:167">
      <c r="B26" s="63" t="s">
        <v>448</v>
      </c>
      <c r="C26" s="64"/>
      <c r="D26" s="64"/>
      <c r="E26" s="64"/>
      <c r="F26" s="64"/>
      <c r="G26" s="64" t="s">
        <v>28</v>
      </c>
      <c r="H26" s="64"/>
      <c r="I26" s="99">
        <f>4*22</f>
        <v>88</v>
      </c>
      <c r="J26" s="99">
        <f>I26/8</f>
        <v>11</v>
      </c>
      <c r="K26" s="87"/>
      <c r="L26" s="90">
        <f t="shared" ref="L26:L89" si="14">J26-SUM(M26:FK26)</f>
        <v>0</v>
      </c>
      <c r="M26" s="78"/>
      <c r="N26" s="78"/>
      <c r="O26" s="78"/>
      <c r="P26" s="78"/>
      <c r="Q26" s="78"/>
      <c r="R26" s="78"/>
      <c r="S26" s="78"/>
      <c r="T26" s="78"/>
      <c r="U26" s="78"/>
      <c r="V26" s="78"/>
      <c r="W26" s="78"/>
      <c r="X26" s="78"/>
      <c r="Y26" s="78"/>
      <c r="Z26" s="78"/>
      <c r="AA26" s="78">
        <v>0.5</v>
      </c>
      <c r="AB26" s="78"/>
      <c r="AC26" s="78"/>
      <c r="AD26" s="78"/>
      <c r="AE26" s="78"/>
      <c r="AF26" s="78">
        <v>0.5</v>
      </c>
      <c r="AG26" s="78"/>
      <c r="AH26" s="78"/>
      <c r="AI26" s="78"/>
      <c r="AJ26" s="78"/>
      <c r="AK26" s="78">
        <v>0.5</v>
      </c>
      <c r="AL26" s="78"/>
      <c r="AM26" s="78"/>
      <c r="AN26" s="78"/>
      <c r="AO26" s="78"/>
      <c r="AP26" s="78">
        <v>0.5</v>
      </c>
      <c r="AQ26" s="78"/>
      <c r="AR26" s="78"/>
      <c r="AS26" s="78"/>
      <c r="AT26" s="91"/>
      <c r="AU26" s="78">
        <v>0.5</v>
      </c>
      <c r="AV26" s="78"/>
      <c r="AW26" s="78"/>
      <c r="AX26" s="78"/>
      <c r="AY26" s="78"/>
      <c r="AZ26" s="78">
        <v>0.5</v>
      </c>
      <c r="BA26" s="78"/>
      <c r="BB26" s="78"/>
      <c r="BC26" s="78"/>
      <c r="BD26" s="78"/>
      <c r="BE26" s="78">
        <v>0.5</v>
      </c>
      <c r="BF26" s="78"/>
      <c r="BG26" s="78"/>
      <c r="BH26" s="78"/>
      <c r="BI26" s="78"/>
      <c r="BJ26" s="78">
        <v>0.5</v>
      </c>
      <c r="BK26" s="78"/>
      <c r="BL26" s="78"/>
      <c r="BM26" s="78"/>
      <c r="BN26" s="78"/>
      <c r="BO26" s="78">
        <v>0.5</v>
      </c>
      <c r="BP26" s="78"/>
      <c r="BQ26" s="78"/>
      <c r="BR26" s="78"/>
      <c r="BS26" s="78"/>
      <c r="BT26" s="78">
        <v>0.5</v>
      </c>
      <c r="BU26" s="78"/>
      <c r="BV26" s="78"/>
      <c r="BW26" s="78"/>
      <c r="BX26" s="78"/>
      <c r="BY26" s="78">
        <v>0.5</v>
      </c>
      <c r="BZ26" s="78"/>
      <c r="CA26" s="78"/>
      <c r="CB26" s="78"/>
      <c r="CC26" s="78"/>
      <c r="CD26" s="78">
        <v>0.5</v>
      </c>
      <c r="CE26" s="78"/>
      <c r="CF26" s="78"/>
      <c r="CG26" s="78"/>
      <c r="CH26" s="78"/>
      <c r="CI26" s="78">
        <v>0.5</v>
      </c>
      <c r="CJ26" s="78"/>
      <c r="CK26" s="78"/>
      <c r="CL26" s="78"/>
      <c r="CM26" s="78"/>
      <c r="CN26" s="78">
        <v>0.5</v>
      </c>
      <c r="CO26" s="78"/>
      <c r="CP26" s="78"/>
      <c r="CQ26" s="78"/>
      <c r="CR26" s="78"/>
      <c r="CS26" s="78">
        <v>0.5</v>
      </c>
      <c r="CT26" s="78"/>
      <c r="CU26" s="78"/>
      <c r="CV26" s="78"/>
      <c r="CW26" s="78"/>
      <c r="CX26" s="78">
        <v>0.5</v>
      </c>
      <c r="CY26" s="78"/>
      <c r="CZ26" s="78"/>
      <c r="DA26" s="78"/>
      <c r="DB26" s="78"/>
      <c r="DC26" s="78">
        <v>0.5</v>
      </c>
      <c r="DD26" s="78"/>
      <c r="DE26" s="78"/>
      <c r="DF26" s="78"/>
      <c r="DG26" s="78"/>
      <c r="DH26" s="78">
        <v>0.5</v>
      </c>
      <c r="DI26" s="78"/>
      <c r="DJ26" s="78"/>
      <c r="DK26" s="78"/>
      <c r="DL26" s="78"/>
      <c r="DM26" s="78">
        <v>0.5</v>
      </c>
      <c r="DN26" s="78"/>
      <c r="DO26" s="78"/>
      <c r="DP26" s="78"/>
      <c r="DQ26" s="78"/>
      <c r="DR26" s="78">
        <v>0.5</v>
      </c>
      <c r="DS26" s="78"/>
      <c r="DT26" s="78"/>
      <c r="DU26" s="78"/>
      <c r="DV26" s="78"/>
      <c r="DW26" s="78">
        <v>0.5</v>
      </c>
      <c r="DX26" s="78"/>
      <c r="DY26" s="78"/>
      <c r="DZ26" s="78"/>
      <c r="EA26" s="78"/>
      <c r="EB26" s="78">
        <v>0.5</v>
      </c>
      <c r="EC26" s="78"/>
      <c r="ED26" s="78"/>
      <c r="EE26" s="78"/>
      <c r="EF26" s="78"/>
      <c r="EG26" s="78"/>
      <c r="EH26" s="78"/>
      <c r="EI26" s="91"/>
      <c r="EJ26" s="91"/>
      <c r="EK26" s="91"/>
      <c r="EL26" s="91"/>
      <c r="EM26" s="91"/>
      <c r="EN26" s="91"/>
      <c r="EO26" s="91"/>
      <c r="EP26" s="78"/>
      <c r="EQ26" s="78"/>
      <c r="ER26" s="78"/>
      <c r="ES26" s="78"/>
      <c r="ET26" s="78"/>
      <c r="EU26" s="78"/>
      <c r="EV26" s="78"/>
      <c r="EW26" s="78"/>
      <c r="EX26" s="78"/>
      <c r="EY26" s="78"/>
      <c r="EZ26" s="78"/>
      <c r="FA26" s="78"/>
      <c r="FB26" s="78"/>
      <c r="FC26" s="78"/>
      <c r="FD26" s="78"/>
      <c r="FE26" s="78"/>
      <c r="FF26" s="78"/>
      <c r="FG26" s="78"/>
      <c r="FH26" s="78"/>
      <c r="FI26" s="78"/>
      <c r="FJ26" s="78"/>
      <c r="FK26" s="78"/>
    </row>
    <row r="27" spans="1:167">
      <c r="B27" s="63" t="s">
        <v>26</v>
      </c>
      <c r="C27" s="96" t="s">
        <v>34</v>
      </c>
      <c r="D27" s="64"/>
      <c r="E27" s="64"/>
      <c r="F27" s="64"/>
      <c r="G27" s="64"/>
      <c r="H27" s="64"/>
      <c r="I27" s="99">
        <f>SUM(I28:I41)</f>
        <v>0</v>
      </c>
      <c r="J27" s="99">
        <f>ROUNDUP(I27/8,0)</f>
        <v>0</v>
      </c>
      <c r="K27" s="87"/>
      <c r="L27" s="90">
        <f t="shared" si="14"/>
        <v>-3</v>
      </c>
      <c r="M27" s="78"/>
      <c r="N27" s="78"/>
      <c r="O27" s="78"/>
      <c r="P27" s="78"/>
      <c r="Q27" s="78"/>
      <c r="R27" s="78"/>
      <c r="S27" s="78"/>
      <c r="T27" s="78"/>
      <c r="U27" s="78"/>
      <c r="V27" s="78"/>
      <c r="W27" s="78"/>
      <c r="X27" s="78">
        <v>0.5</v>
      </c>
      <c r="Y27" s="78">
        <v>0.5</v>
      </c>
      <c r="Z27" s="78"/>
      <c r="AA27" s="78"/>
      <c r="AB27" s="78"/>
      <c r="AC27" s="78">
        <v>0.5</v>
      </c>
      <c r="AD27" s="78"/>
      <c r="AE27" s="78"/>
      <c r="AF27" s="78"/>
      <c r="AG27" s="78">
        <v>1</v>
      </c>
      <c r="AH27" s="78">
        <v>0.5</v>
      </c>
      <c r="AI27" s="78"/>
      <c r="AJ27" s="78"/>
      <c r="AK27" s="78"/>
      <c r="AL27" s="78"/>
      <c r="AM27" s="78"/>
      <c r="AN27" s="78"/>
      <c r="AO27" s="78"/>
      <c r="AP27" s="78"/>
      <c r="AQ27" s="78"/>
      <c r="AR27" s="78"/>
      <c r="AS27" s="78"/>
      <c r="AT27" s="91"/>
      <c r="AU27" s="78"/>
      <c r="AV27" s="78"/>
      <c r="AW27" s="78"/>
      <c r="AX27" s="78"/>
      <c r="AY27" s="78"/>
      <c r="AZ27" s="78"/>
      <c r="BA27" s="78"/>
      <c r="BB27" s="78"/>
      <c r="BC27" s="78"/>
      <c r="BD27" s="78"/>
      <c r="BE27" s="78"/>
      <c r="BF27" s="78"/>
      <c r="BG27" s="78"/>
      <c r="BH27" s="78"/>
      <c r="BI27" s="78"/>
      <c r="BJ27" s="78"/>
      <c r="BK27" s="78"/>
      <c r="BL27" s="78"/>
      <c r="BM27" s="78"/>
      <c r="BN27" s="78"/>
      <c r="BO27" s="78"/>
      <c r="BP27" s="78"/>
      <c r="BQ27" s="78"/>
      <c r="BR27" s="78"/>
      <c r="BS27" s="78"/>
      <c r="BT27" s="78"/>
      <c r="BU27" s="78"/>
      <c r="BV27" s="78"/>
      <c r="BW27" s="78"/>
      <c r="BX27" s="78"/>
      <c r="BY27" s="78"/>
      <c r="BZ27" s="78"/>
      <c r="CA27" s="78"/>
      <c r="CB27" s="78"/>
      <c r="CC27" s="78"/>
      <c r="CD27" s="78"/>
      <c r="CE27" s="78"/>
      <c r="CF27" s="78"/>
      <c r="CG27" s="78"/>
      <c r="CH27" s="78"/>
      <c r="CI27" s="78"/>
      <c r="CJ27" s="78"/>
      <c r="CK27" s="78"/>
      <c r="CL27" s="78"/>
      <c r="CM27" s="78"/>
      <c r="CN27" s="78"/>
      <c r="CO27" s="78"/>
      <c r="CP27" s="78"/>
      <c r="CQ27" s="78"/>
      <c r="CR27" s="78"/>
      <c r="CS27" s="78"/>
      <c r="CT27" s="78"/>
      <c r="CU27" s="78"/>
      <c r="CV27" s="78"/>
      <c r="CW27" s="78"/>
      <c r="CX27" s="78"/>
      <c r="CY27" s="78"/>
      <c r="CZ27" s="78"/>
      <c r="DA27" s="78"/>
      <c r="DB27" s="78"/>
      <c r="DC27" s="78"/>
      <c r="DD27" s="78"/>
      <c r="DE27" s="78"/>
      <c r="DF27" s="78"/>
      <c r="DG27" s="78"/>
      <c r="DH27" s="78"/>
      <c r="DI27" s="78"/>
      <c r="DJ27" s="78"/>
      <c r="DK27" s="78"/>
      <c r="DL27" s="78"/>
      <c r="DM27" s="78"/>
      <c r="DN27" s="78"/>
      <c r="DO27" s="78"/>
      <c r="DP27" s="78"/>
      <c r="DQ27" s="78"/>
      <c r="DR27" s="78"/>
      <c r="DS27" s="78"/>
      <c r="DT27" s="78"/>
      <c r="DU27" s="78"/>
      <c r="DV27" s="78"/>
      <c r="DW27" s="78"/>
      <c r="DX27" s="78"/>
      <c r="DY27" s="78"/>
      <c r="DZ27" s="78"/>
      <c r="EA27" s="78"/>
      <c r="EB27" s="78"/>
      <c r="EC27" s="78"/>
      <c r="ED27" s="78"/>
      <c r="EE27" s="78"/>
      <c r="EF27" s="78"/>
      <c r="EG27" s="78"/>
      <c r="EH27" s="78"/>
      <c r="EI27" s="91"/>
      <c r="EJ27" s="91"/>
      <c r="EK27" s="91"/>
      <c r="EL27" s="91"/>
      <c r="EM27" s="91"/>
      <c r="EN27" s="91"/>
      <c r="EO27" s="91"/>
      <c r="EP27" s="78"/>
      <c r="EQ27" s="78"/>
      <c r="ER27" s="78"/>
      <c r="ES27" s="78"/>
      <c r="ET27" s="78"/>
      <c r="EU27" s="78"/>
      <c r="EV27" s="78"/>
      <c r="EW27" s="78"/>
      <c r="EX27" s="78"/>
      <c r="EY27" s="78"/>
      <c r="EZ27" s="78"/>
      <c r="FA27" s="78"/>
      <c r="FB27" s="78"/>
      <c r="FC27" s="78"/>
      <c r="FD27" s="78"/>
      <c r="FE27" s="78"/>
      <c r="FF27" s="78"/>
      <c r="FG27" s="78"/>
      <c r="FH27" s="78"/>
      <c r="FI27" s="78"/>
      <c r="FJ27" s="78"/>
      <c r="FK27" s="78"/>
    </row>
    <row r="28" spans="1:167" hidden="1" outlineLevel="1">
      <c r="A28" s="29" t="str">
        <f>E28&amp;F28</f>
        <v>cd_imv_inp_certif_estimativan.a.</v>
      </c>
      <c r="B28" s="67" t="s">
        <v>26</v>
      </c>
      <c r="C28" s="68" t="s">
        <v>34</v>
      </c>
      <c r="D28" s="64" t="s">
        <v>36</v>
      </c>
      <c r="E28" s="66" t="s">
        <v>449</v>
      </c>
      <c r="F28" s="64" t="s">
        <v>38</v>
      </c>
      <c r="G28" s="64" t="e">
        <f>INDEX(Auxiliar!$B$16:$B$24,MATCH(Plano_V1!H28,Auxiliar!$C$16:$C$24,0),1)</f>
        <v>#N/A</v>
      </c>
      <c r="H28" s="64" t="e">
        <f>VLOOKUP(A28,'Aux - pivots1'!$A:$B,2,0)</f>
        <v>#N/A</v>
      </c>
      <c r="I28" s="84">
        <f>SUMIFS(Table1[Estimação (horas)],Table1[Tabela],Plano_V1!E28,Table1[Campo],Plano_V1!F28)</f>
        <v>0</v>
      </c>
      <c r="J28" s="84">
        <f t="shared" ref="J28:J40" si="15">I28/8</f>
        <v>0</v>
      </c>
      <c r="K28" s="89" t="s">
        <v>39</v>
      </c>
      <c r="L28" s="90">
        <f t="shared" si="14"/>
        <v>0</v>
      </c>
      <c r="M28" s="78"/>
      <c r="N28" s="78"/>
      <c r="O28" s="78"/>
      <c r="P28" s="78"/>
      <c r="Q28" s="78"/>
      <c r="R28" s="78"/>
      <c r="S28" s="78"/>
      <c r="T28" s="78"/>
      <c r="U28" s="78"/>
      <c r="V28" s="78"/>
      <c r="W28" s="78"/>
      <c r="X28" s="78"/>
      <c r="Y28" s="78"/>
      <c r="Z28" s="78"/>
      <c r="AA28" s="78"/>
      <c r="AB28" s="78"/>
      <c r="AC28" s="78"/>
      <c r="AD28" s="78"/>
      <c r="AE28" s="78"/>
      <c r="AF28" s="78"/>
      <c r="AG28" s="78"/>
      <c r="AH28" s="78"/>
      <c r="AI28" s="78"/>
      <c r="AJ28" s="78"/>
      <c r="AK28" s="78"/>
      <c r="AL28" s="78"/>
      <c r="AM28" s="78"/>
      <c r="AN28" s="78"/>
      <c r="AO28" s="78"/>
      <c r="AP28" s="78"/>
      <c r="AQ28" s="78"/>
      <c r="AR28" s="78"/>
      <c r="AS28" s="78"/>
      <c r="AT28" s="91"/>
      <c r="AU28" s="78"/>
      <c r="AV28" s="78"/>
      <c r="AW28" s="78"/>
      <c r="AX28" s="78"/>
      <c r="AY28" s="78"/>
      <c r="AZ28" s="78"/>
      <c r="BA28" s="78"/>
      <c r="BB28" s="78"/>
      <c r="BC28" s="78"/>
      <c r="BD28" s="78"/>
      <c r="BE28" s="78"/>
      <c r="BF28" s="78"/>
      <c r="BG28" s="78"/>
      <c r="BH28" s="78"/>
      <c r="BI28" s="78"/>
      <c r="BJ28" s="78"/>
      <c r="BK28" s="78"/>
      <c r="BL28" s="78"/>
      <c r="BM28" s="78"/>
      <c r="BN28" s="78"/>
      <c r="BO28" s="78"/>
      <c r="BP28" s="78"/>
      <c r="BQ28" s="78"/>
      <c r="BR28" s="78"/>
      <c r="BS28" s="78"/>
      <c r="BT28" s="78"/>
      <c r="BU28" s="78"/>
      <c r="BV28" s="78"/>
      <c r="BW28" s="78"/>
      <c r="BX28" s="78"/>
      <c r="BY28" s="78"/>
      <c r="BZ28" s="78"/>
      <c r="CA28" s="78"/>
      <c r="CB28" s="78"/>
      <c r="CC28" s="78"/>
      <c r="CD28" s="78"/>
      <c r="CE28" s="78"/>
      <c r="CF28" s="78"/>
      <c r="CG28" s="78"/>
      <c r="CH28" s="78"/>
      <c r="CI28" s="78"/>
      <c r="CJ28" s="78"/>
      <c r="CK28" s="78"/>
      <c r="CL28" s="78"/>
      <c r="CM28" s="78"/>
      <c r="CN28" s="78"/>
      <c r="CO28" s="78"/>
      <c r="CP28" s="78"/>
      <c r="CQ28" s="78"/>
      <c r="CR28" s="78"/>
      <c r="CS28" s="78"/>
      <c r="CT28" s="78"/>
      <c r="CU28" s="78"/>
      <c r="CV28" s="78"/>
      <c r="CW28" s="78"/>
      <c r="CX28" s="78"/>
      <c r="CY28" s="78"/>
      <c r="CZ28" s="78"/>
      <c r="DA28" s="78"/>
      <c r="DB28" s="78"/>
      <c r="DC28" s="78"/>
      <c r="DD28" s="78"/>
      <c r="DE28" s="78"/>
      <c r="DF28" s="78"/>
      <c r="DG28" s="78"/>
      <c r="DH28" s="78"/>
      <c r="DI28" s="78"/>
      <c r="DJ28" s="78"/>
      <c r="DK28" s="78"/>
      <c r="DL28" s="78"/>
      <c r="DM28" s="78"/>
      <c r="DN28" s="78"/>
      <c r="DO28" s="78"/>
      <c r="DP28" s="78"/>
      <c r="DQ28" s="78"/>
      <c r="DR28" s="78"/>
      <c r="DS28" s="78"/>
      <c r="DT28" s="78"/>
      <c r="DU28" s="78"/>
      <c r="DV28" s="78"/>
      <c r="DW28" s="78"/>
      <c r="DX28" s="78"/>
      <c r="DY28" s="78"/>
      <c r="DZ28" s="78"/>
      <c r="EA28" s="78"/>
      <c r="EB28" s="78"/>
      <c r="EC28" s="78"/>
      <c r="ED28" s="78"/>
      <c r="EE28" s="78"/>
      <c r="EF28" s="78"/>
      <c r="EG28" s="78"/>
      <c r="EH28" s="78"/>
      <c r="EI28" s="91"/>
      <c r="EJ28" s="91"/>
      <c r="EK28" s="91"/>
      <c r="EL28" s="91"/>
      <c r="EM28" s="91"/>
      <c r="EN28" s="91"/>
      <c r="EO28" s="91"/>
      <c r="EP28" s="78"/>
      <c r="EQ28" s="78"/>
      <c r="ER28" s="78"/>
      <c r="ES28" s="78"/>
      <c r="ET28" s="78"/>
      <c r="EU28" s="78"/>
      <c r="EV28" s="78"/>
      <c r="EW28" s="78"/>
      <c r="EX28" s="78"/>
      <c r="EY28" s="78"/>
      <c r="EZ28" s="78"/>
      <c r="FA28" s="78"/>
      <c r="FB28" s="78"/>
      <c r="FC28" s="78"/>
      <c r="FD28" s="78"/>
      <c r="FE28" s="78"/>
      <c r="FF28" s="78"/>
      <c r="FG28" s="78"/>
      <c r="FH28" s="78"/>
      <c r="FI28" s="78"/>
      <c r="FJ28" s="78"/>
      <c r="FK28" s="78"/>
    </row>
    <row r="29" spans="1:167" hidden="1" outlineLevel="1">
      <c r="A29" s="29" t="str">
        <f t="shared" ref="A29:A92" si="16">E29&amp;F29</f>
        <v>cd_imv_inp_certif_estimativacempbem</v>
      </c>
      <c r="B29" s="67" t="s">
        <v>26</v>
      </c>
      <c r="C29" s="68" t="s">
        <v>34</v>
      </c>
      <c r="D29" s="64" t="s">
        <v>40</v>
      </c>
      <c r="E29" s="66" t="s">
        <v>449</v>
      </c>
      <c r="F29" s="64" t="s">
        <v>313</v>
      </c>
      <c r="G29" s="64" t="e">
        <f>INDEX(Auxiliar!$B$16:$B$24,MATCH(Plano_V1!H29,Auxiliar!$C$16:$C$24,0),1)</f>
        <v>#N/A</v>
      </c>
      <c r="H29" s="64" t="e">
        <f>VLOOKUP(A29,'Aux - pivots1'!$A:$B,2,0)</f>
        <v>#N/A</v>
      </c>
      <c r="I29" s="84">
        <f>SUMIFS(Table1[Estimação (horas)],Table1[Tabela],Plano_V1!E29,Table1[Campo],Plano_V1!F29)</f>
        <v>0</v>
      </c>
      <c r="J29" s="84">
        <f t="shared" si="15"/>
        <v>0</v>
      </c>
      <c r="K29" s="89" t="s">
        <v>39</v>
      </c>
      <c r="L29" s="90">
        <f t="shared" si="14"/>
        <v>0</v>
      </c>
      <c r="M29" s="78"/>
      <c r="N29" s="78"/>
      <c r="O29" s="78"/>
      <c r="P29" s="78"/>
      <c r="Q29" s="78"/>
      <c r="R29" s="78"/>
      <c r="S29" s="78"/>
      <c r="T29" s="78"/>
      <c r="U29" s="78"/>
      <c r="V29" s="78"/>
      <c r="W29" s="78"/>
      <c r="X29" s="78"/>
      <c r="Y29" s="78"/>
      <c r="Z29" s="78"/>
      <c r="AA29" s="78"/>
      <c r="AB29" s="78"/>
      <c r="AC29" s="78"/>
      <c r="AD29" s="78"/>
      <c r="AE29" s="78"/>
      <c r="AF29" s="78"/>
      <c r="AG29" s="78"/>
      <c r="AH29" s="78"/>
      <c r="AI29" s="78"/>
      <c r="AJ29" s="78"/>
      <c r="AK29" s="78"/>
      <c r="AL29" s="78"/>
      <c r="AM29" s="78"/>
      <c r="AN29" s="78"/>
      <c r="AO29" s="78"/>
      <c r="AP29" s="78"/>
      <c r="AQ29" s="78"/>
      <c r="AR29" s="78"/>
      <c r="AS29" s="78"/>
      <c r="AT29" s="91"/>
      <c r="AU29" s="78"/>
      <c r="AV29" s="78"/>
      <c r="AW29" s="78"/>
      <c r="AX29" s="78"/>
      <c r="AY29" s="78"/>
      <c r="AZ29" s="78"/>
      <c r="BA29" s="78"/>
      <c r="BB29" s="78"/>
      <c r="BC29" s="78"/>
      <c r="BD29" s="78"/>
      <c r="BE29" s="78"/>
      <c r="BF29" s="78"/>
      <c r="BG29" s="78"/>
      <c r="BH29" s="78"/>
      <c r="BI29" s="78"/>
      <c r="BJ29" s="78"/>
      <c r="BK29" s="78"/>
      <c r="BL29" s="78"/>
      <c r="BM29" s="78"/>
      <c r="BN29" s="78"/>
      <c r="BO29" s="78"/>
      <c r="BP29" s="78"/>
      <c r="BQ29" s="78"/>
      <c r="BR29" s="78"/>
      <c r="BS29" s="78"/>
      <c r="BT29" s="78"/>
      <c r="BU29" s="78"/>
      <c r="BV29" s="78"/>
      <c r="BW29" s="78"/>
      <c r="BX29" s="78"/>
      <c r="BY29" s="78"/>
      <c r="BZ29" s="78"/>
      <c r="CA29" s="78"/>
      <c r="CB29" s="78"/>
      <c r="CC29" s="78"/>
      <c r="CD29" s="78"/>
      <c r="CE29" s="78"/>
      <c r="CF29" s="78"/>
      <c r="CG29" s="78"/>
      <c r="CH29" s="78"/>
      <c r="CI29" s="78"/>
      <c r="CJ29" s="78"/>
      <c r="CK29" s="78"/>
      <c r="CL29" s="78"/>
      <c r="CM29" s="78"/>
      <c r="CN29" s="78"/>
      <c r="CO29" s="78"/>
      <c r="CP29" s="78"/>
      <c r="CQ29" s="78"/>
      <c r="CR29" s="78"/>
      <c r="CS29" s="78"/>
      <c r="CT29" s="78"/>
      <c r="CU29" s="78"/>
      <c r="CV29" s="78"/>
      <c r="CW29" s="78"/>
      <c r="CX29" s="78"/>
      <c r="CY29" s="78"/>
      <c r="CZ29" s="78"/>
      <c r="DA29" s="78"/>
      <c r="DB29" s="78"/>
      <c r="DC29" s="78"/>
      <c r="DD29" s="78"/>
      <c r="DE29" s="78"/>
      <c r="DF29" s="78"/>
      <c r="DG29" s="78"/>
      <c r="DH29" s="78"/>
      <c r="DI29" s="78"/>
      <c r="DJ29" s="78"/>
      <c r="DK29" s="78"/>
      <c r="DL29" s="78"/>
      <c r="DM29" s="78"/>
      <c r="DN29" s="78"/>
      <c r="DO29" s="78"/>
      <c r="DP29" s="78"/>
      <c r="DQ29" s="78"/>
      <c r="DR29" s="78"/>
      <c r="DS29" s="78"/>
      <c r="DT29" s="78"/>
      <c r="DU29" s="78"/>
      <c r="DV29" s="78"/>
      <c r="DW29" s="78"/>
      <c r="DX29" s="78"/>
      <c r="DY29" s="78"/>
      <c r="DZ29" s="78"/>
      <c r="EA29" s="78"/>
      <c r="EB29" s="78"/>
      <c r="EC29" s="78"/>
      <c r="ED29" s="78"/>
      <c r="EE29" s="78"/>
      <c r="EF29" s="78"/>
      <c r="EG29" s="78"/>
      <c r="EH29" s="78"/>
      <c r="EI29" s="91"/>
      <c r="EJ29" s="91"/>
      <c r="EK29" s="91"/>
      <c r="EL29" s="91"/>
      <c r="EM29" s="91"/>
      <c r="EN29" s="91"/>
      <c r="EO29" s="91"/>
      <c r="EP29" s="78"/>
      <c r="EQ29" s="78"/>
      <c r="ER29" s="78"/>
      <c r="ES29" s="78"/>
      <c r="ET29" s="78"/>
      <c r="EU29" s="78"/>
      <c r="EV29" s="78"/>
      <c r="EW29" s="78"/>
      <c r="EX29" s="78"/>
      <c r="EY29" s="78"/>
      <c r="EZ29" s="78"/>
      <c r="FA29" s="78"/>
      <c r="FB29" s="78"/>
      <c r="FC29" s="78"/>
      <c r="FD29" s="78"/>
      <c r="FE29" s="78"/>
      <c r="FF29" s="78"/>
      <c r="FG29" s="78"/>
      <c r="FH29" s="78"/>
      <c r="FI29" s="78"/>
      <c r="FJ29" s="78"/>
      <c r="FK29" s="78"/>
    </row>
    <row r="30" spans="1:167" hidden="1" outlineLevel="1">
      <c r="A30" s="29" t="str">
        <f t="shared" si="16"/>
        <v>cd_imv_inp_certif_estimativachave_encriptada</v>
      </c>
      <c r="B30" s="67" t="s">
        <v>26</v>
      </c>
      <c r="C30" s="68" t="s">
        <v>34</v>
      </c>
      <c r="D30" s="64" t="s">
        <v>40</v>
      </c>
      <c r="E30" s="66" t="s">
        <v>449</v>
      </c>
      <c r="F30" s="64" t="s">
        <v>450</v>
      </c>
      <c r="G30" s="64" t="e">
        <f>INDEX(Auxiliar!$B$16:$B$24,MATCH(Plano_V1!H30,Auxiliar!$C$16:$C$24,0),1)</f>
        <v>#N/A</v>
      </c>
      <c r="H30" s="64" t="e">
        <f>VLOOKUP(A30,'Aux - pivots1'!$A:$B,2,0)</f>
        <v>#N/A</v>
      </c>
      <c r="I30" s="84">
        <f>SUMIFS(Table1[Estimação (horas)],Table1[Tabela],Plano_V1!E30,Table1[Campo],Plano_V1!F30)</f>
        <v>0</v>
      </c>
      <c r="J30" s="84">
        <f t="shared" si="15"/>
        <v>0</v>
      </c>
      <c r="K30" s="89" t="s">
        <v>39</v>
      </c>
      <c r="L30" s="90">
        <f t="shared" si="14"/>
        <v>0</v>
      </c>
      <c r="M30" s="78"/>
      <c r="N30" s="78"/>
      <c r="O30" s="78"/>
      <c r="P30" s="78"/>
      <c r="Q30" s="78"/>
      <c r="R30" s="78"/>
      <c r="S30" s="78"/>
      <c r="T30" s="78"/>
      <c r="U30" s="78"/>
      <c r="V30" s="78"/>
      <c r="W30" s="78"/>
      <c r="X30" s="78"/>
      <c r="Y30" s="78"/>
      <c r="Z30" s="78"/>
      <c r="AA30" s="78"/>
      <c r="AB30" s="78"/>
      <c r="AC30" s="78"/>
      <c r="AD30" s="78"/>
      <c r="AE30" s="78"/>
      <c r="AF30" s="78"/>
      <c r="AG30" s="78"/>
      <c r="AH30" s="78"/>
      <c r="AI30" s="78"/>
      <c r="AJ30" s="78"/>
      <c r="AK30" s="78"/>
      <c r="AL30" s="78"/>
      <c r="AM30" s="78"/>
      <c r="AN30" s="78"/>
      <c r="AO30" s="78"/>
      <c r="AP30" s="78"/>
      <c r="AQ30" s="78"/>
      <c r="AR30" s="78"/>
      <c r="AS30" s="78"/>
      <c r="AT30" s="91"/>
      <c r="AU30" s="78"/>
      <c r="AV30" s="78"/>
      <c r="AW30" s="78"/>
      <c r="AX30" s="78"/>
      <c r="AY30" s="78"/>
      <c r="AZ30" s="78"/>
      <c r="BA30" s="78"/>
      <c r="BB30" s="78"/>
      <c r="BC30" s="78"/>
      <c r="BD30" s="78"/>
      <c r="BE30" s="78"/>
      <c r="BF30" s="78"/>
      <c r="BG30" s="78"/>
      <c r="BH30" s="78"/>
      <c r="BI30" s="78"/>
      <c r="BJ30" s="78"/>
      <c r="BK30" s="78"/>
      <c r="BL30" s="78"/>
      <c r="BM30" s="78"/>
      <c r="BN30" s="78"/>
      <c r="BO30" s="78"/>
      <c r="BP30" s="78"/>
      <c r="BQ30" s="78"/>
      <c r="BR30" s="78"/>
      <c r="BS30" s="78"/>
      <c r="BT30" s="78"/>
      <c r="BU30" s="78"/>
      <c r="BV30" s="78"/>
      <c r="BW30" s="78"/>
      <c r="BX30" s="78"/>
      <c r="BY30" s="78"/>
      <c r="BZ30" s="78"/>
      <c r="CA30" s="78"/>
      <c r="CB30" s="78"/>
      <c r="CC30" s="78"/>
      <c r="CD30" s="78"/>
      <c r="CE30" s="78"/>
      <c r="CF30" s="78"/>
      <c r="CG30" s="78"/>
      <c r="CH30" s="78"/>
      <c r="CI30" s="78"/>
      <c r="CJ30" s="78"/>
      <c r="CK30" s="78"/>
      <c r="CL30" s="78"/>
      <c r="CM30" s="78"/>
      <c r="CN30" s="78"/>
      <c r="CO30" s="78"/>
      <c r="CP30" s="78"/>
      <c r="CQ30" s="78"/>
      <c r="CR30" s="78"/>
      <c r="CS30" s="78"/>
      <c r="CT30" s="78"/>
      <c r="CU30" s="78"/>
      <c r="CV30" s="78"/>
      <c r="CW30" s="78"/>
      <c r="CX30" s="78"/>
      <c r="CY30" s="78"/>
      <c r="CZ30" s="78"/>
      <c r="DA30" s="78"/>
      <c r="DB30" s="78"/>
      <c r="DC30" s="78"/>
      <c r="DD30" s="78"/>
      <c r="DE30" s="78"/>
      <c r="DF30" s="78"/>
      <c r="DG30" s="78"/>
      <c r="DH30" s="78"/>
      <c r="DI30" s="78"/>
      <c r="DJ30" s="78"/>
      <c r="DK30" s="78"/>
      <c r="DL30" s="78"/>
      <c r="DM30" s="78"/>
      <c r="DN30" s="78"/>
      <c r="DO30" s="78"/>
      <c r="DP30" s="78"/>
      <c r="DQ30" s="78"/>
      <c r="DR30" s="78"/>
      <c r="DS30" s="78"/>
      <c r="DT30" s="78"/>
      <c r="DU30" s="78"/>
      <c r="DV30" s="78"/>
      <c r="DW30" s="78"/>
      <c r="DX30" s="78"/>
      <c r="DY30" s="78"/>
      <c r="DZ30" s="78"/>
      <c r="EA30" s="78"/>
      <c r="EB30" s="78"/>
      <c r="EC30" s="78"/>
      <c r="ED30" s="78"/>
      <c r="EE30" s="78"/>
      <c r="EF30" s="78"/>
      <c r="EG30" s="78"/>
      <c r="EH30" s="78"/>
      <c r="EI30" s="91"/>
      <c r="EJ30" s="91"/>
      <c r="EK30" s="91"/>
      <c r="EL30" s="91"/>
      <c r="EM30" s="91"/>
      <c r="EN30" s="91"/>
      <c r="EO30" s="91"/>
      <c r="EP30" s="78"/>
      <c r="EQ30" s="78"/>
      <c r="ER30" s="78"/>
      <c r="ES30" s="78"/>
      <c r="ET30" s="78"/>
      <c r="EU30" s="78"/>
      <c r="EV30" s="78"/>
      <c r="EW30" s="78"/>
      <c r="EX30" s="78"/>
      <c r="EY30" s="78"/>
      <c r="EZ30" s="78"/>
      <c r="FA30" s="78"/>
      <c r="FB30" s="78"/>
      <c r="FC30" s="78"/>
      <c r="FD30" s="78"/>
      <c r="FE30" s="78"/>
      <c r="FF30" s="78"/>
      <c r="FG30" s="78"/>
      <c r="FH30" s="78"/>
      <c r="FI30" s="78"/>
      <c r="FJ30" s="78"/>
      <c r="FK30" s="78"/>
    </row>
    <row r="31" spans="1:167" hidden="1" outlineLevel="1">
      <c r="A31" s="29" t="str">
        <f t="shared" si="16"/>
        <v>cd_imv_inp_certif_estimativackbalbem</v>
      </c>
      <c r="B31" s="67" t="s">
        <v>26</v>
      </c>
      <c r="C31" s="68" t="s">
        <v>34</v>
      </c>
      <c r="D31" s="64" t="s">
        <v>40</v>
      </c>
      <c r="E31" s="66" t="s">
        <v>449</v>
      </c>
      <c r="F31" s="64" t="s">
        <v>314</v>
      </c>
      <c r="G31" s="64" t="e">
        <f>INDEX(Auxiliar!$B$16:$B$24,MATCH(Plano_V1!H31,Auxiliar!$C$16:$C$24,0),1)</f>
        <v>#N/A</v>
      </c>
      <c r="H31" s="64" t="e">
        <f>VLOOKUP(A31,'Aux - pivots1'!$A:$B,2,0)</f>
        <v>#N/A</v>
      </c>
      <c r="I31" s="84">
        <f>SUMIFS(Table1[Estimação (horas)],Table1[Tabela],Plano_V1!E31,Table1[Campo],Plano_V1!F31)</f>
        <v>0</v>
      </c>
      <c r="J31" s="84">
        <f t="shared" si="15"/>
        <v>0</v>
      </c>
      <c r="K31" s="89" t="s">
        <v>39</v>
      </c>
      <c r="L31" s="90">
        <f t="shared" si="14"/>
        <v>0</v>
      </c>
      <c r="M31" s="78"/>
      <c r="N31" s="78"/>
      <c r="O31" s="78"/>
      <c r="P31" s="78"/>
      <c r="Q31" s="78"/>
      <c r="R31" s="78"/>
      <c r="S31" s="78"/>
      <c r="T31" s="78"/>
      <c r="U31" s="78"/>
      <c r="V31" s="78"/>
      <c r="W31" s="78"/>
      <c r="X31" s="78"/>
      <c r="Y31" s="78"/>
      <c r="Z31" s="78"/>
      <c r="AA31" s="78"/>
      <c r="AB31" s="78"/>
      <c r="AC31" s="78"/>
      <c r="AD31" s="78"/>
      <c r="AE31" s="78"/>
      <c r="AF31" s="78"/>
      <c r="AG31" s="78"/>
      <c r="AH31" s="78"/>
      <c r="AI31" s="78"/>
      <c r="AJ31" s="78"/>
      <c r="AK31" s="78"/>
      <c r="AL31" s="78"/>
      <c r="AM31" s="78"/>
      <c r="AN31" s="78"/>
      <c r="AO31" s="78"/>
      <c r="AP31" s="78"/>
      <c r="AQ31" s="78"/>
      <c r="AR31" s="78"/>
      <c r="AS31" s="78"/>
      <c r="AT31" s="91"/>
      <c r="AU31" s="78"/>
      <c r="AV31" s="78"/>
      <c r="AW31" s="78"/>
      <c r="AX31" s="78"/>
      <c r="AY31" s="78"/>
      <c r="AZ31" s="78"/>
      <c r="BA31" s="78"/>
      <c r="BB31" s="78"/>
      <c r="BC31" s="78"/>
      <c r="BD31" s="78"/>
      <c r="BE31" s="78"/>
      <c r="BF31" s="78"/>
      <c r="BG31" s="78"/>
      <c r="BH31" s="78"/>
      <c r="BI31" s="78"/>
      <c r="BJ31" s="78"/>
      <c r="BK31" s="78"/>
      <c r="BL31" s="78"/>
      <c r="BM31" s="78"/>
      <c r="BN31" s="78"/>
      <c r="BO31" s="78"/>
      <c r="BP31" s="78"/>
      <c r="BQ31" s="78"/>
      <c r="BR31" s="78"/>
      <c r="BS31" s="78"/>
      <c r="BT31" s="78"/>
      <c r="BU31" s="78"/>
      <c r="BV31" s="78"/>
      <c r="BW31" s="78"/>
      <c r="BX31" s="78"/>
      <c r="BY31" s="78"/>
      <c r="BZ31" s="78"/>
      <c r="CA31" s="78"/>
      <c r="CB31" s="78"/>
      <c r="CC31" s="78"/>
      <c r="CD31" s="78"/>
      <c r="CE31" s="78"/>
      <c r="CF31" s="78"/>
      <c r="CG31" s="78"/>
      <c r="CH31" s="78"/>
      <c r="CI31" s="78"/>
      <c r="CJ31" s="78"/>
      <c r="CK31" s="78"/>
      <c r="CL31" s="78"/>
      <c r="CM31" s="78"/>
      <c r="CN31" s="78"/>
      <c r="CO31" s="78"/>
      <c r="CP31" s="78"/>
      <c r="CQ31" s="78"/>
      <c r="CR31" s="78"/>
      <c r="CS31" s="78"/>
      <c r="CT31" s="78"/>
      <c r="CU31" s="78"/>
      <c r="CV31" s="78"/>
      <c r="CW31" s="78"/>
      <c r="CX31" s="78"/>
      <c r="CY31" s="78"/>
      <c r="CZ31" s="78"/>
      <c r="DA31" s="78"/>
      <c r="DB31" s="78"/>
      <c r="DC31" s="78"/>
      <c r="DD31" s="78"/>
      <c r="DE31" s="78"/>
      <c r="DF31" s="78"/>
      <c r="DG31" s="78"/>
      <c r="DH31" s="78"/>
      <c r="DI31" s="78"/>
      <c r="DJ31" s="78"/>
      <c r="DK31" s="78"/>
      <c r="DL31" s="78"/>
      <c r="DM31" s="78"/>
      <c r="DN31" s="78"/>
      <c r="DO31" s="78"/>
      <c r="DP31" s="78"/>
      <c r="DQ31" s="78"/>
      <c r="DR31" s="78"/>
      <c r="DS31" s="78"/>
      <c r="DT31" s="78"/>
      <c r="DU31" s="78"/>
      <c r="DV31" s="78"/>
      <c r="DW31" s="78"/>
      <c r="DX31" s="78"/>
      <c r="DY31" s="78"/>
      <c r="DZ31" s="78"/>
      <c r="EA31" s="78"/>
      <c r="EB31" s="78"/>
      <c r="EC31" s="78"/>
      <c r="ED31" s="78"/>
      <c r="EE31" s="78"/>
      <c r="EF31" s="78"/>
      <c r="EG31" s="78"/>
      <c r="EH31" s="78"/>
      <c r="EI31" s="91"/>
      <c r="EJ31" s="91"/>
      <c r="EK31" s="91"/>
      <c r="EL31" s="91"/>
      <c r="EM31" s="91"/>
      <c r="EN31" s="91"/>
      <c r="EO31" s="91"/>
      <c r="EP31" s="78"/>
      <c r="EQ31" s="78"/>
      <c r="ER31" s="78"/>
      <c r="ES31" s="78"/>
      <c r="ET31" s="78"/>
      <c r="EU31" s="78"/>
      <c r="EV31" s="78"/>
      <c r="EW31" s="78"/>
      <c r="EX31" s="78"/>
      <c r="EY31" s="78"/>
      <c r="EZ31" s="78"/>
      <c r="FA31" s="78"/>
      <c r="FB31" s="78"/>
      <c r="FC31" s="78"/>
      <c r="FD31" s="78"/>
      <c r="FE31" s="78"/>
      <c r="FF31" s="78"/>
      <c r="FG31" s="78"/>
      <c r="FH31" s="78"/>
      <c r="FI31" s="78"/>
      <c r="FJ31" s="78"/>
      <c r="FK31" s="78"/>
    </row>
    <row r="32" spans="1:167" hidden="1" outlineLevel="1">
      <c r="A32" s="29" t="str">
        <f t="shared" si="16"/>
        <v>cd_imv_inp_certif_estimativackctabem</v>
      </c>
      <c r="B32" s="67" t="s">
        <v>26</v>
      </c>
      <c r="C32" s="68" t="s">
        <v>34</v>
      </c>
      <c r="D32" s="64" t="s">
        <v>40</v>
      </c>
      <c r="E32" s="66" t="s">
        <v>449</v>
      </c>
      <c r="F32" s="64" t="s">
        <v>315</v>
      </c>
      <c r="G32" s="64" t="e">
        <f>INDEX(Auxiliar!$B$16:$B$24,MATCH(Plano_V1!H32,Auxiliar!$C$16:$C$24,0),1)</f>
        <v>#N/A</v>
      </c>
      <c r="H32" s="64" t="e">
        <f>VLOOKUP(A32,'Aux - pivots1'!$A:$B,2,0)</f>
        <v>#N/A</v>
      </c>
      <c r="I32" s="84">
        <f>SUMIFS(Table1[Estimação (horas)],Table1[Tabela],Plano_V1!E32,Table1[Campo],Plano_V1!F32)</f>
        <v>0</v>
      </c>
      <c r="J32" s="84">
        <f t="shared" si="15"/>
        <v>0</v>
      </c>
      <c r="K32" s="89" t="s">
        <v>39</v>
      </c>
      <c r="L32" s="90">
        <f t="shared" si="14"/>
        <v>0</v>
      </c>
      <c r="M32" s="78"/>
      <c r="N32" s="78"/>
      <c r="O32" s="78"/>
      <c r="P32" s="78"/>
      <c r="Q32" s="78"/>
      <c r="R32" s="78"/>
      <c r="S32" s="78"/>
      <c r="T32" s="78"/>
      <c r="U32" s="78"/>
      <c r="V32" s="78"/>
      <c r="W32" s="78"/>
      <c r="X32" s="78"/>
      <c r="Y32" s="78"/>
      <c r="Z32" s="78"/>
      <c r="AA32" s="78"/>
      <c r="AB32" s="78"/>
      <c r="AC32" s="78"/>
      <c r="AD32" s="78"/>
      <c r="AE32" s="78"/>
      <c r="AF32" s="78"/>
      <c r="AG32" s="78"/>
      <c r="AH32" s="78"/>
      <c r="AI32" s="78"/>
      <c r="AJ32" s="78"/>
      <c r="AK32" s="78"/>
      <c r="AL32" s="78"/>
      <c r="AM32" s="78"/>
      <c r="AN32" s="78"/>
      <c r="AO32" s="78"/>
      <c r="AP32" s="78"/>
      <c r="AQ32" s="78"/>
      <c r="AR32" s="78"/>
      <c r="AS32" s="78"/>
      <c r="AT32" s="91"/>
      <c r="AU32" s="78"/>
      <c r="AV32" s="78"/>
      <c r="AW32" s="78"/>
      <c r="AX32" s="78"/>
      <c r="AY32" s="78"/>
      <c r="AZ32" s="78"/>
      <c r="BA32" s="78"/>
      <c r="BB32" s="78"/>
      <c r="BC32" s="78"/>
      <c r="BD32" s="78"/>
      <c r="BE32" s="78"/>
      <c r="BF32" s="78"/>
      <c r="BG32" s="78"/>
      <c r="BH32" s="78"/>
      <c r="BI32" s="78"/>
      <c r="BJ32" s="78"/>
      <c r="BK32" s="78"/>
      <c r="BL32" s="78"/>
      <c r="BM32" s="78"/>
      <c r="BN32" s="78"/>
      <c r="BO32" s="78"/>
      <c r="BP32" s="78"/>
      <c r="BQ32" s="78"/>
      <c r="BR32" s="78"/>
      <c r="BS32" s="78"/>
      <c r="BT32" s="78"/>
      <c r="BU32" s="78"/>
      <c r="BV32" s="78"/>
      <c r="BW32" s="78"/>
      <c r="BX32" s="78"/>
      <c r="BY32" s="78"/>
      <c r="BZ32" s="78"/>
      <c r="CA32" s="78"/>
      <c r="CB32" s="78"/>
      <c r="CC32" s="78"/>
      <c r="CD32" s="78"/>
      <c r="CE32" s="78"/>
      <c r="CF32" s="78"/>
      <c r="CG32" s="78"/>
      <c r="CH32" s="78"/>
      <c r="CI32" s="78"/>
      <c r="CJ32" s="78"/>
      <c r="CK32" s="78"/>
      <c r="CL32" s="78"/>
      <c r="CM32" s="78"/>
      <c r="CN32" s="78"/>
      <c r="CO32" s="78"/>
      <c r="CP32" s="78"/>
      <c r="CQ32" s="78"/>
      <c r="CR32" s="78"/>
      <c r="CS32" s="78"/>
      <c r="CT32" s="78"/>
      <c r="CU32" s="78"/>
      <c r="CV32" s="78"/>
      <c r="CW32" s="78"/>
      <c r="CX32" s="78"/>
      <c r="CY32" s="78"/>
      <c r="CZ32" s="78"/>
      <c r="DA32" s="78"/>
      <c r="DB32" s="78"/>
      <c r="DC32" s="78"/>
      <c r="DD32" s="78"/>
      <c r="DE32" s="78"/>
      <c r="DF32" s="78"/>
      <c r="DG32" s="78"/>
      <c r="DH32" s="78"/>
      <c r="DI32" s="78"/>
      <c r="DJ32" s="78"/>
      <c r="DK32" s="78"/>
      <c r="DL32" s="78"/>
      <c r="DM32" s="78"/>
      <c r="DN32" s="78"/>
      <c r="DO32" s="78"/>
      <c r="DP32" s="78"/>
      <c r="DQ32" s="78"/>
      <c r="DR32" s="78"/>
      <c r="DS32" s="78"/>
      <c r="DT32" s="78"/>
      <c r="DU32" s="78"/>
      <c r="DV32" s="78"/>
      <c r="DW32" s="78"/>
      <c r="DX32" s="78"/>
      <c r="DY32" s="78"/>
      <c r="DZ32" s="78"/>
      <c r="EA32" s="78"/>
      <c r="EB32" s="78"/>
      <c r="EC32" s="78"/>
      <c r="ED32" s="78"/>
      <c r="EE32" s="78"/>
      <c r="EF32" s="78"/>
      <c r="EG32" s="78"/>
      <c r="EH32" s="78"/>
      <c r="EI32" s="91"/>
      <c r="EJ32" s="91"/>
      <c r="EK32" s="91"/>
      <c r="EL32" s="91"/>
      <c r="EM32" s="91"/>
      <c r="EN32" s="91"/>
      <c r="EO32" s="91"/>
      <c r="EP32" s="78"/>
      <c r="EQ32" s="78"/>
      <c r="ER32" s="78"/>
      <c r="ES32" s="78"/>
      <c r="ET32" s="78"/>
      <c r="EU32" s="78"/>
      <c r="EV32" s="78"/>
      <c r="EW32" s="78"/>
      <c r="EX32" s="78"/>
      <c r="EY32" s="78"/>
      <c r="EZ32" s="78"/>
      <c r="FA32" s="78"/>
      <c r="FB32" s="78"/>
      <c r="FC32" s="78"/>
      <c r="FD32" s="78"/>
      <c r="FE32" s="78"/>
      <c r="FF32" s="78"/>
      <c r="FG32" s="78"/>
      <c r="FH32" s="78"/>
      <c r="FI32" s="78"/>
      <c r="FJ32" s="78"/>
      <c r="FK32" s="78"/>
    </row>
    <row r="33" spans="1:167" hidden="1" outlineLevel="1">
      <c r="A33" s="29" t="str">
        <f t="shared" si="16"/>
        <v>cd_imv_inp_certif_estimativackrefbem</v>
      </c>
      <c r="B33" s="67" t="s">
        <v>26</v>
      </c>
      <c r="C33" s="68" t="s">
        <v>34</v>
      </c>
      <c r="D33" s="64" t="s">
        <v>40</v>
      </c>
      <c r="E33" s="66" t="s">
        <v>449</v>
      </c>
      <c r="F33" s="64" t="s">
        <v>316</v>
      </c>
      <c r="G33" s="64" t="e">
        <f>INDEX(Auxiliar!$B$16:$B$24,MATCH(Plano_V1!H33,Auxiliar!$C$16:$C$24,0),1)</f>
        <v>#N/A</v>
      </c>
      <c r="H33" s="64" t="e">
        <f>VLOOKUP(A33,'Aux - pivots1'!$A:$B,2,0)</f>
        <v>#N/A</v>
      </c>
      <c r="I33" s="84">
        <f>SUMIFS(Table1[Estimação (horas)],Table1[Tabela],Plano_V1!E33,Table1[Campo],Plano_V1!F33)</f>
        <v>0</v>
      </c>
      <c r="J33" s="84">
        <f t="shared" si="15"/>
        <v>0</v>
      </c>
      <c r="K33" s="89" t="s">
        <v>39</v>
      </c>
      <c r="L33" s="90">
        <f t="shared" si="14"/>
        <v>0</v>
      </c>
      <c r="M33" s="78"/>
      <c r="N33" s="78"/>
      <c r="O33" s="78"/>
      <c r="P33" s="78"/>
      <c r="Q33" s="78"/>
      <c r="R33" s="78"/>
      <c r="S33" s="78"/>
      <c r="T33" s="78"/>
      <c r="U33" s="78"/>
      <c r="V33" s="78"/>
      <c r="W33" s="78"/>
      <c r="X33" s="78"/>
      <c r="Y33" s="78"/>
      <c r="Z33" s="78"/>
      <c r="AA33" s="78"/>
      <c r="AB33" s="78"/>
      <c r="AC33" s="78"/>
      <c r="AD33" s="78"/>
      <c r="AE33" s="78"/>
      <c r="AF33" s="78"/>
      <c r="AG33" s="78"/>
      <c r="AH33" s="78"/>
      <c r="AI33" s="78"/>
      <c r="AJ33" s="78"/>
      <c r="AK33" s="78"/>
      <c r="AL33" s="78"/>
      <c r="AM33" s="78"/>
      <c r="AN33" s="78"/>
      <c r="AO33" s="78"/>
      <c r="AP33" s="78"/>
      <c r="AQ33" s="78"/>
      <c r="AR33" s="78"/>
      <c r="AS33" s="78"/>
      <c r="AT33" s="91"/>
      <c r="AU33" s="78"/>
      <c r="AV33" s="78"/>
      <c r="AW33" s="78"/>
      <c r="AX33" s="78"/>
      <c r="AY33" s="78"/>
      <c r="AZ33" s="78"/>
      <c r="BA33" s="78"/>
      <c r="BB33" s="78"/>
      <c r="BC33" s="78"/>
      <c r="BD33" s="78"/>
      <c r="BE33" s="78"/>
      <c r="BF33" s="78"/>
      <c r="BG33" s="78"/>
      <c r="BH33" s="78"/>
      <c r="BI33" s="78"/>
      <c r="BJ33" s="78"/>
      <c r="BK33" s="78"/>
      <c r="BL33" s="78"/>
      <c r="BM33" s="78"/>
      <c r="BN33" s="78"/>
      <c r="BO33" s="78"/>
      <c r="BP33" s="78"/>
      <c r="BQ33" s="78"/>
      <c r="BR33" s="78"/>
      <c r="BS33" s="78"/>
      <c r="BT33" s="78"/>
      <c r="BU33" s="78"/>
      <c r="BV33" s="78"/>
      <c r="BW33" s="78"/>
      <c r="BX33" s="78"/>
      <c r="BY33" s="78"/>
      <c r="BZ33" s="78"/>
      <c r="CA33" s="78"/>
      <c r="CB33" s="78"/>
      <c r="CC33" s="78"/>
      <c r="CD33" s="78"/>
      <c r="CE33" s="78"/>
      <c r="CF33" s="78"/>
      <c r="CG33" s="78"/>
      <c r="CH33" s="78"/>
      <c r="CI33" s="78"/>
      <c r="CJ33" s="78"/>
      <c r="CK33" s="78"/>
      <c r="CL33" s="78"/>
      <c r="CM33" s="78"/>
      <c r="CN33" s="78"/>
      <c r="CO33" s="78"/>
      <c r="CP33" s="78"/>
      <c r="CQ33" s="78"/>
      <c r="CR33" s="78"/>
      <c r="CS33" s="78"/>
      <c r="CT33" s="78"/>
      <c r="CU33" s="78"/>
      <c r="CV33" s="78"/>
      <c r="CW33" s="78"/>
      <c r="CX33" s="78"/>
      <c r="CY33" s="78"/>
      <c r="CZ33" s="78"/>
      <c r="DA33" s="78"/>
      <c r="DB33" s="78"/>
      <c r="DC33" s="78"/>
      <c r="DD33" s="78"/>
      <c r="DE33" s="78"/>
      <c r="DF33" s="78"/>
      <c r="DG33" s="78"/>
      <c r="DH33" s="78"/>
      <c r="DI33" s="78"/>
      <c r="DJ33" s="78"/>
      <c r="DK33" s="78"/>
      <c r="DL33" s="78"/>
      <c r="DM33" s="78"/>
      <c r="DN33" s="78"/>
      <c r="DO33" s="78"/>
      <c r="DP33" s="78"/>
      <c r="DQ33" s="78"/>
      <c r="DR33" s="78"/>
      <c r="DS33" s="78"/>
      <c r="DT33" s="78"/>
      <c r="DU33" s="78"/>
      <c r="DV33" s="78"/>
      <c r="DW33" s="78"/>
      <c r="DX33" s="78"/>
      <c r="DY33" s="78"/>
      <c r="DZ33" s="78"/>
      <c r="EA33" s="78"/>
      <c r="EB33" s="78"/>
      <c r="EC33" s="78"/>
      <c r="ED33" s="78"/>
      <c r="EE33" s="78"/>
      <c r="EF33" s="78"/>
      <c r="EG33" s="78"/>
      <c r="EH33" s="78"/>
      <c r="EI33" s="91"/>
      <c r="EJ33" s="91"/>
      <c r="EK33" s="91"/>
      <c r="EL33" s="91"/>
      <c r="EM33" s="91"/>
      <c r="EN33" s="91"/>
      <c r="EO33" s="91"/>
      <c r="EP33" s="78"/>
      <c r="EQ33" s="78"/>
      <c r="ER33" s="78"/>
      <c r="ES33" s="78"/>
      <c r="ET33" s="78"/>
      <c r="EU33" s="78"/>
      <c r="EV33" s="78"/>
      <c r="EW33" s="78"/>
      <c r="EX33" s="78"/>
      <c r="EY33" s="78"/>
      <c r="EZ33" s="78"/>
      <c r="FA33" s="78"/>
      <c r="FB33" s="78"/>
      <c r="FC33" s="78"/>
      <c r="FD33" s="78"/>
      <c r="FE33" s="78"/>
      <c r="FF33" s="78"/>
      <c r="FG33" s="78"/>
      <c r="FH33" s="78"/>
      <c r="FI33" s="78"/>
      <c r="FJ33" s="78"/>
      <c r="FK33" s="78"/>
    </row>
    <row r="34" spans="1:167" hidden="1" outlineLevel="1">
      <c r="A34" s="29" t="str">
        <f t="shared" si="16"/>
        <v>cd_imv_inp_certif_estimativadata_extraccao_info</v>
      </c>
      <c r="B34" s="67" t="s">
        <v>26</v>
      </c>
      <c r="C34" s="68" t="s">
        <v>34</v>
      </c>
      <c r="D34" s="64" t="s">
        <v>40</v>
      </c>
      <c r="E34" s="66" t="s">
        <v>449</v>
      </c>
      <c r="F34" s="64" t="s">
        <v>451</v>
      </c>
      <c r="G34" s="64" t="e">
        <f>INDEX(Auxiliar!$B$16:$B$24,MATCH(Plano_V1!H34,Auxiliar!$C$16:$C$24,0),1)</f>
        <v>#N/A</v>
      </c>
      <c r="H34" s="64" t="e">
        <f>VLOOKUP(A34,'Aux - pivots1'!$A:$B,2,0)</f>
        <v>#N/A</v>
      </c>
      <c r="I34" s="84">
        <f>SUMIFS(Table1[Estimação (horas)],Table1[Tabela],Plano_V1!E34,Table1[Campo],Plano_V1!F34)</f>
        <v>0</v>
      </c>
      <c r="J34" s="84">
        <f t="shared" si="15"/>
        <v>0</v>
      </c>
      <c r="K34" s="89" t="s">
        <v>39</v>
      </c>
      <c r="L34" s="90">
        <f t="shared" si="14"/>
        <v>0</v>
      </c>
      <c r="M34" s="78"/>
      <c r="N34" s="78"/>
      <c r="O34" s="78"/>
      <c r="P34" s="78"/>
      <c r="Q34" s="78"/>
      <c r="R34" s="78"/>
      <c r="S34" s="78"/>
      <c r="T34" s="78"/>
      <c r="U34" s="78"/>
      <c r="V34" s="78"/>
      <c r="W34" s="78"/>
      <c r="X34" s="78"/>
      <c r="Y34" s="78"/>
      <c r="Z34" s="78"/>
      <c r="AA34" s="78"/>
      <c r="AB34" s="78"/>
      <c r="AC34" s="78"/>
      <c r="AD34" s="78"/>
      <c r="AE34" s="78"/>
      <c r="AF34" s="78"/>
      <c r="AG34" s="78"/>
      <c r="AH34" s="78"/>
      <c r="AI34" s="78"/>
      <c r="AJ34" s="78"/>
      <c r="AK34" s="78"/>
      <c r="AL34" s="78"/>
      <c r="AM34" s="78"/>
      <c r="AN34" s="78"/>
      <c r="AO34" s="78"/>
      <c r="AP34" s="78"/>
      <c r="AQ34" s="78"/>
      <c r="AR34" s="78"/>
      <c r="AS34" s="78"/>
      <c r="AT34" s="91"/>
      <c r="AU34" s="78"/>
      <c r="AV34" s="78"/>
      <c r="AW34" s="78"/>
      <c r="AX34" s="78"/>
      <c r="AY34" s="78"/>
      <c r="AZ34" s="78"/>
      <c r="BA34" s="78"/>
      <c r="BB34" s="78"/>
      <c r="BC34" s="78"/>
      <c r="BD34" s="78"/>
      <c r="BE34" s="78"/>
      <c r="BF34" s="78"/>
      <c r="BG34" s="78"/>
      <c r="BH34" s="78"/>
      <c r="BI34" s="78"/>
      <c r="BJ34" s="78"/>
      <c r="BK34" s="78"/>
      <c r="BL34" s="78"/>
      <c r="BM34" s="78"/>
      <c r="BN34" s="78"/>
      <c r="BO34" s="78"/>
      <c r="BP34" s="78"/>
      <c r="BQ34" s="78"/>
      <c r="BR34" s="78"/>
      <c r="BS34" s="78"/>
      <c r="BT34" s="78"/>
      <c r="BU34" s="78"/>
      <c r="BV34" s="78"/>
      <c r="BW34" s="78"/>
      <c r="BX34" s="78"/>
      <c r="BY34" s="78"/>
      <c r="BZ34" s="78"/>
      <c r="CA34" s="78"/>
      <c r="CB34" s="78"/>
      <c r="CC34" s="78"/>
      <c r="CD34" s="78"/>
      <c r="CE34" s="78"/>
      <c r="CF34" s="78"/>
      <c r="CG34" s="78"/>
      <c r="CH34" s="78"/>
      <c r="CI34" s="78"/>
      <c r="CJ34" s="78"/>
      <c r="CK34" s="78"/>
      <c r="CL34" s="78"/>
      <c r="CM34" s="78"/>
      <c r="CN34" s="78"/>
      <c r="CO34" s="78"/>
      <c r="CP34" s="78"/>
      <c r="CQ34" s="78"/>
      <c r="CR34" s="78"/>
      <c r="CS34" s="78"/>
      <c r="CT34" s="78"/>
      <c r="CU34" s="78"/>
      <c r="CV34" s="78"/>
      <c r="CW34" s="78"/>
      <c r="CX34" s="78"/>
      <c r="CY34" s="78"/>
      <c r="CZ34" s="78"/>
      <c r="DA34" s="78"/>
      <c r="DB34" s="78"/>
      <c r="DC34" s="78"/>
      <c r="DD34" s="78"/>
      <c r="DE34" s="78"/>
      <c r="DF34" s="78"/>
      <c r="DG34" s="78"/>
      <c r="DH34" s="78"/>
      <c r="DI34" s="78"/>
      <c r="DJ34" s="78"/>
      <c r="DK34" s="78"/>
      <c r="DL34" s="78"/>
      <c r="DM34" s="78"/>
      <c r="DN34" s="78"/>
      <c r="DO34" s="78"/>
      <c r="DP34" s="78"/>
      <c r="DQ34" s="78"/>
      <c r="DR34" s="78"/>
      <c r="DS34" s="78"/>
      <c r="DT34" s="78"/>
      <c r="DU34" s="78"/>
      <c r="DV34" s="78"/>
      <c r="DW34" s="78"/>
      <c r="DX34" s="78"/>
      <c r="DY34" s="78"/>
      <c r="DZ34" s="78"/>
      <c r="EA34" s="78"/>
      <c r="EB34" s="78"/>
      <c r="EC34" s="78"/>
      <c r="ED34" s="78"/>
      <c r="EE34" s="78"/>
      <c r="EF34" s="78"/>
      <c r="EG34" s="78"/>
      <c r="EH34" s="78"/>
      <c r="EI34" s="91"/>
      <c r="EJ34" s="91"/>
      <c r="EK34" s="91"/>
      <c r="EL34" s="91"/>
      <c r="EM34" s="91"/>
      <c r="EN34" s="91"/>
      <c r="EO34" s="91"/>
      <c r="EP34" s="78"/>
      <c r="EQ34" s="78"/>
      <c r="ER34" s="78"/>
      <c r="ES34" s="78"/>
      <c r="ET34" s="78"/>
      <c r="EU34" s="78"/>
      <c r="EV34" s="78"/>
      <c r="EW34" s="78"/>
      <c r="EX34" s="78"/>
      <c r="EY34" s="78"/>
      <c r="EZ34" s="78"/>
      <c r="FA34" s="78"/>
      <c r="FB34" s="78"/>
      <c r="FC34" s="78"/>
      <c r="FD34" s="78"/>
      <c r="FE34" s="78"/>
      <c r="FF34" s="78"/>
      <c r="FG34" s="78"/>
      <c r="FH34" s="78"/>
      <c r="FI34" s="78"/>
      <c r="FJ34" s="78"/>
      <c r="FK34" s="78"/>
    </row>
    <row r="35" spans="1:167" hidden="1" outlineLevel="1">
      <c r="A35" s="29" t="str">
        <f t="shared" si="16"/>
        <v>cd_imv_inp_certif_estimativaepc</v>
      </c>
      <c r="B35" s="67" t="s">
        <v>26</v>
      </c>
      <c r="C35" s="68" t="s">
        <v>34</v>
      </c>
      <c r="D35" s="64" t="s">
        <v>40</v>
      </c>
      <c r="E35" s="66" t="s">
        <v>449</v>
      </c>
      <c r="F35" s="64" t="s">
        <v>198</v>
      </c>
      <c r="G35" s="64" t="e">
        <f>INDEX(Auxiliar!$B$16:$B$24,MATCH(Plano_V1!H35,Auxiliar!$C$16:$C$24,0),1)</f>
        <v>#N/A</v>
      </c>
      <c r="H35" s="64" t="e">
        <f>VLOOKUP(A35,'Aux - pivots1'!$A:$B,2,0)</f>
        <v>#N/A</v>
      </c>
      <c r="I35" s="84">
        <f>SUMIFS(Table1[Estimação (horas)],Table1[Tabela],Plano_V1!E35,Table1[Campo],Plano_V1!F35)</f>
        <v>0</v>
      </c>
      <c r="J35" s="84">
        <f t="shared" si="15"/>
        <v>0</v>
      </c>
      <c r="K35" s="89" t="s">
        <v>39</v>
      </c>
      <c r="L35" s="90">
        <f t="shared" si="14"/>
        <v>0</v>
      </c>
      <c r="M35" s="78"/>
      <c r="N35" s="78"/>
      <c r="O35" s="78"/>
      <c r="P35" s="78"/>
      <c r="Q35" s="78"/>
      <c r="R35" s="78"/>
      <c r="S35" s="78"/>
      <c r="T35" s="78"/>
      <c r="U35" s="78"/>
      <c r="V35" s="78"/>
      <c r="W35" s="78"/>
      <c r="X35" s="78"/>
      <c r="Y35" s="78"/>
      <c r="Z35" s="78"/>
      <c r="AA35" s="78"/>
      <c r="AB35" s="78"/>
      <c r="AC35" s="78"/>
      <c r="AD35" s="78"/>
      <c r="AE35" s="78"/>
      <c r="AF35" s="78"/>
      <c r="AG35" s="78"/>
      <c r="AH35" s="78"/>
      <c r="AI35" s="78"/>
      <c r="AJ35" s="78"/>
      <c r="AK35" s="78"/>
      <c r="AL35" s="78"/>
      <c r="AM35" s="78"/>
      <c r="AN35" s="78"/>
      <c r="AO35" s="78"/>
      <c r="AP35" s="78"/>
      <c r="AQ35" s="78"/>
      <c r="AR35" s="78"/>
      <c r="AS35" s="78"/>
      <c r="AT35" s="91"/>
      <c r="AU35" s="78"/>
      <c r="AV35" s="78"/>
      <c r="AW35" s="78"/>
      <c r="AX35" s="78"/>
      <c r="AY35" s="78"/>
      <c r="AZ35" s="78"/>
      <c r="BA35" s="78"/>
      <c r="BB35" s="78"/>
      <c r="BC35" s="78"/>
      <c r="BD35" s="78"/>
      <c r="BE35" s="78"/>
      <c r="BF35" s="78"/>
      <c r="BG35" s="78"/>
      <c r="BH35" s="78"/>
      <c r="BI35" s="78"/>
      <c r="BJ35" s="78"/>
      <c r="BK35" s="78"/>
      <c r="BL35" s="78"/>
      <c r="BM35" s="78"/>
      <c r="BN35" s="78"/>
      <c r="BO35" s="78"/>
      <c r="BP35" s="78"/>
      <c r="BQ35" s="78"/>
      <c r="BR35" s="78"/>
      <c r="BS35" s="78"/>
      <c r="BT35" s="78"/>
      <c r="BU35" s="78"/>
      <c r="BV35" s="78"/>
      <c r="BW35" s="78"/>
      <c r="BX35" s="78"/>
      <c r="BY35" s="78"/>
      <c r="BZ35" s="78"/>
      <c r="CA35" s="78"/>
      <c r="CB35" s="78"/>
      <c r="CC35" s="78"/>
      <c r="CD35" s="78"/>
      <c r="CE35" s="78"/>
      <c r="CF35" s="78"/>
      <c r="CG35" s="78"/>
      <c r="CH35" s="78"/>
      <c r="CI35" s="78"/>
      <c r="CJ35" s="78"/>
      <c r="CK35" s="78"/>
      <c r="CL35" s="78"/>
      <c r="CM35" s="78"/>
      <c r="CN35" s="78"/>
      <c r="CO35" s="78"/>
      <c r="CP35" s="78"/>
      <c r="CQ35" s="78"/>
      <c r="CR35" s="78"/>
      <c r="CS35" s="78"/>
      <c r="CT35" s="78"/>
      <c r="CU35" s="78"/>
      <c r="CV35" s="78"/>
      <c r="CW35" s="78"/>
      <c r="CX35" s="78"/>
      <c r="CY35" s="78"/>
      <c r="CZ35" s="78"/>
      <c r="DA35" s="78"/>
      <c r="DB35" s="78"/>
      <c r="DC35" s="78"/>
      <c r="DD35" s="78"/>
      <c r="DE35" s="78"/>
      <c r="DF35" s="78"/>
      <c r="DG35" s="78"/>
      <c r="DH35" s="78"/>
      <c r="DI35" s="78"/>
      <c r="DJ35" s="78"/>
      <c r="DK35" s="78"/>
      <c r="DL35" s="78"/>
      <c r="DM35" s="78"/>
      <c r="DN35" s="78"/>
      <c r="DO35" s="78"/>
      <c r="DP35" s="78"/>
      <c r="DQ35" s="78"/>
      <c r="DR35" s="78"/>
      <c r="DS35" s="78"/>
      <c r="DT35" s="78"/>
      <c r="DU35" s="78"/>
      <c r="DV35" s="78"/>
      <c r="DW35" s="78"/>
      <c r="DX35" s="78"/>
      <c r="DY35" s="78"/>
      <c r="DZ35" s="78"/>
      <c r="EA35" s="78"/>
      <c r="EB35" s="78"/>
      <c r="EC35" s="78"/>
      <c r="ED35" s="78"/>
      <c r="EE35" s="78"/>
      <c r="EF35" s="78"/>
      <c r="EG35" s="78"/>
      <c r="EH35" s="78"/>
      <c r="EI35" s="91"/>
      <c r="EJ35" s="91"/>
      <c r="EK35" s="91"/>
      <c r="EL35" s="91"/>
      <c r="EM35" s="91"/>
      <c r="EN35" s="91"/>
      <c r="EO35" s="91"/>
      <c r="EP35" s="78"/>
      <c r="EQ35" s="78"/>
      <c r="ER35" s="78"/>
      <c r="ES35" s="78"/>
      <c r="ET35" s="78"/>
      <c r="EU35" s="78"/>
      <c r="EV35" s="78"/>
      <c r="EW35" s="78"/>
      <c r="EX35" s="78"/>
      <c r="EY35" s="78"/>
      <c r="EZ35" s="78"/>
      <c r="FA35" s="78"/>
      <c r="FB35" s="78"/>
      <c r="FC35" s="78"/>
      <c r="FD35" s="78"/>
      <c r="FE35" s="78"/>
      <c r="FF35" s="78"/>
      <c r="FG35" s="78"/>
      <c r="FH35" s="78"/>
      <c r="FI35" s="78"/>
      <c r="FJ35" s="78"/>
      <c r="FK35" s="78"/>
    </row>
    <row r="36" spans="1:167" hidden="1" outlineLevel="1">
      <c r="A36" s="29" t="str">
        <f t="shared" si="16"/>
        <v>cd_imv_inp_certif_estimativafornecedor</v>
      </c>
      <c r="B36" s="67" t="s">
        <v>26</v>
      </c>
      <c r="C36" s="68" t="s">
        <v>34</v>
      </c>
      <c r="D36" s="64" t="s">
        <v>40</v>
      </c>
      <c r="E36" s="66" t="s">
        <v>449</v>
      </c>
      <c r="F36" s="64" t="s">
        <v>452</v>
      </c>
      <c r="G36" s="64" t="e">
        <f>INDEX(Auxiliar!$B$16:$B$24,MATCH(Plano_V1!H36,Auxiliar!$C$16:$C$24,0),1)</f>
        <v>#N/A</v>
      </c>
      <c r="H36" s="64" t="e">
        <f>VLOOKUP(A36,'Aux - pivots1'!$A:$B,2,0)</f>
        <v>#N/A</v>
      </c>
      <c r="I36" s="84">
        <f>SUMIFS(Table1[Estimação (horas)],Table1[Tabela],Plano_V1!E36,Table1[Campo],Plano_V1!F36)</f>
        <v>0</v>
      </c>
      <c r="J36" s="84">
        <f t="shared" si="15"/>
        <v>0</v>
      </c>
      <c r="K36" s="89" t="s">
        <v>39</v>
      </c>
      <c r="L36" s="90">
        <f t="shared" si="14"/>
        <v>0</v>
      </c>
      <c r="M36" s="78"/>
      <c r="N36" s="78"/>
      <c r="O36" s="78"/>
      <c r="P36" s="78"/>
      <c r="Q36" s="78"/>
      <c r="R36" s="78"/>
      <c r="S36" s="78"/>
      <c r="T36" s="78"/>
      <c r="U36" s="78"/>
      <c r="V36" s="78"/>
      <c r="W36" s="78"/>
      <c r="X36" s="78"/>
      <c r="Y36" s="78"/>
      <c r="Z36" s="78"/>
      <c r="AA36" s="78"/>
      <c r="AB36" s="78"/>
      <c r="AC36" s="78"/>
      <c r="AD36" s="78"/>
      <c r="AE36" s="78"/>
      <c r="AF36" s="78"/>
      <c r="AG36" s="78"/>
      <c r="AH36" s="78"/>
      <c r="AI36" s="78"/>
      <c r="AJ36" s="78"/>
      <c r="AK36" s="78"/>
      <c r="AL36" s="78"/>
      <c r="AM36" s="78"/>
      <c r="AN36" s="78"/>
      <c r="AO36" s="78"/>
      <c r="AP36" s="78"/>
      <c r="AQ36" s="78"/>
      <c r="AR36" s="78"/>
      <c r="AS36" s="78"/>
      <c r="AT36" s="91"/>
      <c r="AU36" s="78"/>
      <c r="AV36" s="78"/>
      <c r="AW36" s="78"/>
      <c r="AX36" s="78"/>
      <c r="AY36" s="78"/>
      <c r="AZ36" s="78"/>
      <c r="BA36" s="78"/>
      <c r="BB36" s="78"/>
      <c r="BC36" s="78"/>
      <c r="BD36" s="78"/>
      <c r="BE36" s="78"/>
      <c r="BF36" s="78"/>
      <c r="BG36" s="78"/>
      <c r="BH36" s="78"/>
      <c r="BI36" s="78"/>
      <c r="BJ36" s="78"/>
      <c r="BK36" s="78"/>
      <c r="BL36" s="78"/>
      <c r="BM36" s="78"/>
      <c r="BN36" s="78"/>
      <c r="BO36" s="78"/>
      <c r="BP36" s="78"/>
      <c r="BQ36" s="78"/>
      <c r="BR36" s="78"/>
      <c r="BS36" s="78"/>
      <c r="BT36" s="78"/>
      <c r="BU36" s="78"/>
      <c r="BV36" s="78"/>
      <c r="BW36" s="78"/>
      <c r="BX36" s="78"/>
      <c r="BY36" s="78"/>
      <c r="BZ36" s="78"/>
      <c r="CA36" s="78"/>
      <c r="CB36" s="78"/>
      <c r="CC36" s="78"/>
      <c r="CD36" s="78"/>
      <c r="CE36" s="78"/>
      <c r="CF36" s="78"/>
      <c r="CG36" s="78"/>
      <c r="CH36" s="78"/>
      <c r="CI36" s="78"/>
      <c r="CJ36" s="78"/>
      <c r="CK36" s="78"/>
      <c r="CL36" s="78"/>
      <c r="CM36" s="78"/>
      <c r="CN36" s="78"/>
      <c r="CO36" s="78"/>
      <c r="CP36" s="78"/>
      <c r="CQ36" s="78"/>
      <c r="CR36" s="78"/>
      <c r="CS36" s="78"/>
      <c r="CT36" s="78"/>
      <c r="CU36" s="78"/>
      <c r="CV36" s="78"/>
      <c r="CW36" s="78"/>
      <c r="CX36" s="78"/>
      <c r="CY36" s="78"/>
      <c r="CZ36" s="78"/>
      <c r="DA36" s="78"/>
      <c r="DB36" s="78"/>
      <c r="DC36" s="78"/>
      <c r="DD36" s="78"/>
      <c r="DE36" s="78"/>
      <c r="DF36" s="78"/>
      <c r="DG36" s="78"/>
      <c r="DH36" s="78"/>
      <c r="DI36" s="78"/>
      <c r="DJ36" s="78"/>
      <c r="DK36" s="78"/>
      <c r="DL36" s="78"/>
      <c r="DM36" s="78"/>
      <c r="DN36" s="78"/>
      <c r="DO36" s="78"/>
      <c r="DP36" s="78"/>
      <c r="DQ36" s="78"/>
      <c r="DR36" s="78"/>
      <c r="DS36" s="78"/>
      <c r="DT36" s="78"/>
      <c r="DU36" s="78"/>
      <c r="DV36" s="78"/>
      <c r="DW36" s="78"/>
      <c r="DX36" s="78"/>
      <c r="DY36" s="78"/>
      <c r="DZ36" s="78"/>
      <c r="EA36" s="78"/>
      <c r="EB36" s="78"/>
      <c r="EC36" s="78"/>
      <c r="ED36" s="78"/>
      <c r="EE36" s="78"/>
      <c r="EF36" s="78"/>
      <c r="EG36" s="78"/>
      <c r="EH36" s="78"/>
      <c r="EI36" s="91"/>
      <c r="EJ36" s="91"/>
      <c r="EK36" s="91"/>
      <c r="EL36" s="91"/>
      <c r="EM36" s="91"/>
      <c r="EN36" s="91"/>
      <c r="EO36" s="91"/>
      <c r="EP36" s="78"/>
      <c r="EQ36" s="78"/>
      <c r="ER36" s="78"/>
      <c r="ES36" s="78"/>
      <c r="ET36" s="78"/>
      <c r="EU36" s="78"/>
      <c r="EV36" s="78"/>
      <c r="EW36" s="78"/>
      <c r="EX36" s="78"/>
      <c r="EY36" s="78"/>
      <c r="EZ36" s="78"/>
      <c r="FA36" s="78"/>
      <c r="FB36" s="78"/>
      <c r="FC36" s="78"/>
      <c r="FD36" s="78"/>
      <c r="FE36" s="78"/>
      <c r="FF36" s="78"/>
      <c r="FG36" s="78"/>
      <c r="FH36" s="78"/>
      <c r="FI36" s="78"/>
      <c r="FJ36" s="78"/>
      <c r="FK36" s="78"/>
    </row>
    <row r="37" spans="1:167" hidden="1" outlineLevel="1">
      <c r="A37" s="29" t="str">
        <f t="shared" si="16"/>
        <v>cd_imv_inp_certif_estimativametodo_info</v>
      </c>
      <c r="B37" s="67" t="s">
        <v>26</v>
      </c>
      <c r="C37" s="68" t="s">
        <v>34</v>
      </c>
      <c r="D37" s="64" t="s">
        <v>40</v>
      </c>
      <c r="E37" s="66" t="s">
        <v>449</v>
      </c>
      <c r="F37" s="64" t="s">
        <v>453</v>
      </c>
      <c r="G37" s="64" t="e">
        <f>INDEX(Auxiliar!$B$16:$B$24,MATCH(Plano_V1!H37,Auxiliar!$C$16:$C$24,0),1)</f>
        <v>#N/A</v>
      </c>
      <c r="H37" s="64" t="e">
        <f>VLOOKUP(A37,'Aux - pivots1'!$A:$B,2,0)</f>
        <v>#N/A</v>
      </c>
      <c r="I37" s="84">
        <f>SUMIFS(Table1[Estimação (horas)],Table1[Tabela],Plano_V1!E37,Table1[Campo],Plano_V1!F37)</f>
        <v>0</v>
      </c>
      <c r="J37" s="84">
        <f t="shared" si="15"/>
        <v>0</v>
      </c>
      <c r="K37" s="89" t="s">
        <v>39</v>
      </c>
      <c r="L37" s="90">
        <f t="shared" si="14"/>
        <v>0</v>
      </c>
      <c r="M37" s="78"/>
      <c r="N37" s="78"/>
      <c r="O37" s="78"/>
      <c r="P37" s="78"/>
      <c r="Q37" s="78"/>
      <c r="R37" s="78"/>
      <c r="S37" s="78"/>
      <c r="T37" s="78"/>
      <c r="U37" s="78"/>
      <c r="V37" s="78"/>
      <c r="W37" s="78"/>
      <c r="X37" s="78"/>
      <c r="Y37" s="78"/>
      <c r="Z37" s="78"/>
      <c r="AA37" s="78"/>
      <c r="AB37" s="78"/>
      <c r="AC37" s="78"/>
      <c r="AD37" s="78"/>
      <c r="AE37" s="78"/>
      <c r="AF37" s="78"/>
      <c r="AG37" s="78"/>
      <c r="AH37" s="78"/>
      <c r="AI37" s="78"/>
      <c r="AJ37" s="78"/>
      <c r="AK37" s="78"/>
      <c r="AL37" s="78"/>
      <c r="AM37" s="78"/>
      <c r="AN37" s="78"/>
      <c r="AO37" s="78"/>
      <c r="AP37" s="78"/>
      <c r="AQ37" s="78"/>
      <c r="AR37" s="78"/>
      <c r="AS37" s="78"/>
      <c r="AT37" s="91"/>
      <c r="AU37" s="78"/>
      <c r="AV37" s="78"/>
      <c r="AW37" s="78"/>
      <c r="AX37" s="78"/>
      <c r="AY37" s="78"/>
      <c r="AZ37" s="78"/>
      <c r="BA37" s="78"/>
      <c r="BB37" s="78"/>
      <c r="BC37" s="78"/>
      <c r="BD37" s="78"/>
      <c r="BE37" s="78"/>
      <c r="BF37" s="78"/>
      <c r="BG37" s="78"/>
      <c r="BH37" s="78"/>
      <c r="BI37" s="78"/>
      <c r="BJ37" s="78"/>
      <c r="BK37" s="78"/>
      <c r="BL37" s="78"/>
      <c r="BM37" s="78"/>
      <c r="BN37" s="78"/>
      <c r="BO37" s="78"/>
      <c r="BP37" s="78"/>
      <c r="BQ37" s="78"/>
      <c r="BR37" s="78"/>
      <c r="BS37" s="78"/>
      <c r="BT37" s="78"/>
      <c r="BU37" s="78"/>
      <c r="BV37" s="78"/>
      <c r="BW37" s="78"/>
      <c r="BX37" s="78"/>
      <c r="BY37" s="78"/>
      <c r="BZ37" s="78"/>
      <c r="CA37" s="78"/>
      <c r="CB37" s="78"/>
      <c r="CC37" s="78"/>
      <c r="CD37" s="78"/>
      <c r="CE37" s="78"/>
      <c r="CF37" s="78"/>
      <c r="CG37" s="78"/>
      <c r="CH37" s="78"/>
      <c r="CI37" s="78"/>
      <c r="CJ37" s="78"/>
      <c r="CK37" s="78"/>
      <c r="CL37" s="78"/>
      <c r="CM37" s="78"/>
      <c r="CN37" s="78"/>
      <c r="CO37" s="78"/>
      <c r="CP37" s="78"/>
      <c r="CQ37" s="78"/>
      <c r="CR37" s="78"/>
      <c r="CS37" s="78"/>
      <c r="CT37" s="78"/>
      <c r="CU37" s="78"/>
      <c r="CV37" s="78"/>
      <c r="CW37" s="78"/>
      <c r="CX37" s="78"/>
      <c r="CY37" s="78"/>
      <c r="CZ37" s="78"/>
      <c r="DA37" s="78"/>
      <c r="DB37" s="78"/>
      <c r="DC37" s="78"/>
      <c r="DD37" s="78"/>
      <c r="DE37" s="78"/>
      <c r="DF37" s="78"/>
      <c r="DG37" s="78"/>
      <c r="DH37" s="78"/>
      <c r="DI37" s="78"/>
      <c r="DJ37" s="78"/>
      <c r="DK37" s="78"/>
      <c r="DL37" s="78"/>
      <c r="DM37" s="78"/>
      <c r="DN37" s="78"/>
      <c r="DO37" s="78"/>
      <c r="DP37" s="78"/>
      <c r="DQ37" s="78"/>
      <c r="DR37" s="78"/>
      <c r="DS37" s="78"/>
      <c r="DT37" s="78"/>
      <c r="DU37" s="78"/>
      <c r="DV37" s="78"/>
      <c r="DW37" s="78"/>
      <c r="DX37" s="78"/>
      <c r="DY37" s="78"/>
      <c r="DZ37" s="78"/>
      <c r="EA37" s="78"/>
      <c r="EB37" s="78"/>
      <c r="EC37" s="78"/>
      <c r="ED37" s="78"/>
      <c r="EE37" s="78"/>
      <c r="EF37" s="78"/>
      <c r="EG37" s="78"/>
      <c r="EH37" s="78"/>
      <c r="EI37" s="91"/>
      <c r="EJ37" s="91"/>
      <c r="EK37" s="91"/>
      <c r="EL37" s="91"/>
      <c r="EM37" s="91"/>
      <c r="EN37" s="91"/>
      <c r="EO37" s="91"/>
      <c r="EP37" s="78"/>
      <c r="EQ37" s="78"/>
      <c r="ER37" s="78"/>
      <c r="ES37" s="78"/>
      <c r="ET37" s="78"/>
      <c r="EU37" s="78"/>
      <c r="EV37" s="78"/>
      <c r="EW37" s="78"/>
      <c r="EX37" s="78"/>
      <c r="EY37" s="78"/>
      <c r="EZ37" s="78"/>
      <c r="FA37" s="78"/>
      <c r="FB37" s="78"/>
      <c r="FC37" s="78"/>
      <c r="FD37" s="78"/>
      <c r="FE37" s="78"/>
      <c r="FF37" s="78"/>
      <c r="FG37" s="78"/>
      <c r="FH37" s="78"/>
      <c r="FI37" s="78"/>
      <c r="FJ37" s="78"/>
      <c r="FK37" s="78"/>
    </row>
    <row r="38" spans="1:167" hidden="1" outlineLevel="1">
      <c r="A38" s="29" t="str">
        <f t="shared" si="16"/>
        <v>cd_imv_inp_certif_estimativascore_qualidade</v>
      </c>
      <c r="B38" s="67" t="s">
        <v>26</v>
      </c>
      <c r="C38" s="68" t="s">
        <v>34</v>
      </c>
      <c r="D38" s="64" t="s">
        <v>40</v>
      </c>
      <c r="E38" s="66" t="s">
        <v>449</v>
      </c>
      <c r="F38" s="64" t="s">
        <v>232</v>
      </c>
      <c r="G38" s="64" t="e">
        <f>INDEX(Auxiliar!$B$16:$B$24,MATCH(Plano_V1!H38,Auxiliar!$C$16:$C$24,0),1)</f>
        <v>#N/A</v>
      </c>
      <c r="H38" s="64" t="e">
        <f>VLOOKUP(A38,'Aux - pivots1'!$A:$B,2,0)</f>
        <v>#N/A</v>
      </c>
      <c r="I38" s="84">
        <f>SUMIFS(Table1[Estimação (horas)],Table1[Tabela],Plano_V1!E38,Table1[Campo],Plano_V1!F38)</f>
        <v>0</v>
      </c>
      <c r="J38" s="84">
        <f t="shared" si="15"/>
        <v>0</v>
      </c>
      <c r="K38" s="89" t="s">
        <v>39</v>
      </c>
      <c r="L38" s="90">
        <f t="shared" si="14"/>
        <v>0</v>
      </c>
      <c r="M38" s="78"/>
      <c r="N38" s="78"/>
      <c r="O38" s="78"/>
      <c r="P38" s="78"/>
      <c r="Q38" s="78"/>
      <c r="R38" s="78"/>
      <c r="S38" s="78"/>
      <c r="T38" s="78"/>
      <c r="U38" s="78"/>
      <c r="V38" s="78"/>
      <c r="W38" s="78"/>
      <c r="X38" s="78"/>
      <c r="Y38" s="78"/>
      <c r="Z38" s="78"/>
      <c r="AA38" s="78"/>
      <c r="AB38" s="78"/>
      <c r="AC38" s="78"/>
      <c r="AD38" s="78"/>
      <c r="AE38" s="78"/>
      <c r="AF38" s="78"/>
      <c r="AG38" s="78"/>
      <c r="AH38" s="78"/>
      <c r="AI38" s="78"/>
      <c r="AJ38" s="78"/>
      <c r="AK38" s="78"/>
      <c r="AL38" s="78"/>
      <c r="AM38" s="78"/>
      <c r="AN38" s="78"/>
      <c r="AO38" s="78"/>
      <c r="AP38" s="78"/>
      <c r="AQ38" s="78"/>
      <c r="AR38" s="78"/>
      <c r="AS38" s="78"/>
      <c r="AT38" s="91"/>
      <c r="AU38" s="78"/>
      <c r="AV38" s="78"/>
      <c r="AW38" s="78"/>
      <c r="AX38" s="78"/>
      <c r="AY38" s="78"/>
      <c r="AZ38" s="78"/>
      <c r="BA38" s="78"/>
      <c r="BB38" s="78"/>
      <c r="BC38" s="78"/>
      <c r="BD38" s="78"/>
      <c r="BE38" s="78"/>
      <c r="BF38" s="78"/>
      <c r="BG38" s="78"/>
      <c r="BH38" s="78"/>
      <c r="BI38" s="78"/>
      <c r="BJ38" s="78"/>
      <c r="BK38" s="78"/>
      <c r="BL38" s="78"/>
      <c r="BM38" s="78"/>
      <c r="BN38" s="78"/>
      <c r="BO38" s="78"/>
      <c r="BP38" s="78"/>
      <c r="BQ38" s="78"/>
      <c r="BR38" s="78"/>
      <c r="BS38" s="78"/>
      <c r="BT38" s="78"/>
      <c r="BU38" s="78"/>
      <c r="BV38" s="78"/>
      <c r="BW38" s="78"/>
      <c r="BX38" s="78"/>
      <c r="BY38" s="78"/>
      <c r="BZ38" s="78"/>
      <c r="CA38" s="78"/>
      <c r="CB38" s="78"/>
      <c r="CC38" s="78"/>
      <c r="CD38" s="78"/>
      <c r="CE38" s="78"/>
      <c r="CF38" s="78"/>
      <c r="CG38" s="78"/>
      <c r="CH38" s="78"/>
      <c r="CI38" s="78"/>
      <c r="CJ38" s="78"/>
      <c r="CK38" s="78"/>
      <c r="CL38" s="78"/>
      <c r="CM38" s="78"/>
      <c r="CN38" s="78"/>
      <c r="CO38" s="78"/>
      <c r="CP38" s="78"/>
      <c r="CQ38" s="78"/>
      <c r="CR38" s="78"/>
      <c r="CS38" s="78"/>
      <c r="CT38" s="78"/>
      <c r="CU38" s="78"/>
      <c r="CV38" s="78"/>
      <c r="CW38" s="78"/>
      <c r="CX38" s="78"/>
      <c r="CY38" s="78"/>
      <c r="CZ38" s="78"/>
      <c r="DA38" s="78"/>
      <c r="DB38" s="78"/>
      <c r="DC38" s="78"/>
      <c r="DD38" s="78"/>
      <c r="DE38" s="78"/>
      <c r="DF38" s="78"/>
      <c r="DG38" s="78"/>
      <c r="DH38" s="78"/>
      <c r="DI38" s="78"/>
      <c r="DJ38" s="78"/>
      <c r="DK38" s="78"/>
      <c r="DL38" s="78"/>
      <c r="DM38" s="78"/>
      <c r="DN38" s="78"/>
      <c r="DO38" s="78"/>
      <c r="DP38" s="78"/>
      <c r="DQ38" s="78"/>
      <c r="DR38" s="78"/>
      <c r="DS38" s="78"/>
      <c r="DT38" s="78"/>
      <c r="DU38" s="78"/>
      <c r="DV38" s="78"/>
      <c r="DW38" s="78"/>
      <c r="DX38" s="78"/>
      <c r="DY38" s="78"/>
      <c r="DZ38" s="78"/>
      <c r="EA38" s="78"/>
      <c r="EB38" s="78"/>
      <c r="EC38" s="78"/>
      <c r="ED38" s="78"/>
      <c r="EE38" s="78"/>
      <c r="EF38" s="78"/>
      <c r="EG38" s="78"/>
      <c r="EH38" s="78"/>
      <c r="EI38" s="91"/>
      <c r="EJ38" s="91"/>
      <c r="EK38" s="91"/>
      <c r="EL38" s="91"/>
      <c r="EM38" s="91"/>
      <c r="EN38" s="91"/>
      <c r="EO38" s="91"/>
      <c r="EP38" s="78"/>
      <c r="EQ38" s="78"/>
      <c r="ER38" s="78"/>
      <c r="ES38" s="78"/>
      <c r="ET38" s="78"/>
      <c r="EU38" s="78"/>
      <c r="EV38" s="78"/>
      <c r="EW38" s="78"/>
      <c r="EX38" s="78"/>
      <c r="EY38" s="78"/>
      <c r="EZ38" s="78"/>
      <c r="FA38" s="78"/>
      <c r="FB38" s="78"/>
      <c r="FC38" s="78"/>
      <c r="FD38" s="78"/>
      <c r="FE38" s="78"/>
      <c r="FF38" s="78"/>
      <c r="FG38" s="78"/>
      <c r="FH38" s="78"/>
      <c r="FI38" s="78"/>
      <c r="FJ38" s="78"/>
      <c r="FK38" s="78"/>
    </row>
    <row r="39" spans="1:167" hidden="1" outlineLevel="1">
      <c r="A39" s="29" t="str">
        <f t="shared" si="16"/>
        <v>cd_imv_inp_certif_estimativavlr_cnsm_ano</v>
      </c>
      <c r="B39" s="67" t="s">
        <v>26</v>
      </c>
      <c r="C39" s="68" t="s">
        <v>34</v>
      </c>
      <c r="D39" s="64" t="s">
        <v>40</v>
      </c>
      <c r="E39" s="66" t="s">
        <v>449</v>
      </c>
      <c r="F39" s="64" t="s">
        <v>454</v>
      </c>
      <c r="G39" s="64" t="e">
        <f>INDEX(Auxiliar!$B$16:$B$24,MATCH(Plano_V1!H39,Auxiliar!$C$16:$C$24,0),1)</f>
        <v>#N/A</v>
      </c>
      <c r="H39" s="64" t="e">
        <f>VLOOKUP(A39,'Aux - pivots1'!$A:$B,2,0)</f>
        <v>#N/A</v>
      </c>
      <c r="I39" s="84">
        <f>SUMIFS(Table1[Estimação (horas)],Table1[Tabela],Plano_V1!E39,Table1[Campo],Plano_V1!F39)</f>
        <v>0</v>
      </c>
      <c r="J39" s="84">
        <f t="shared" si="15"/>
        <v>0</v>
      </c>
      <c r="K39" s="89" t="s">
        <v>39</v>
      </c>
      <c r="L39" s="90">
        <f t="shared" si="14"/>
        <v>0</v>
      </c>
      <c r="M39" s="78"/>
      <c r="N39" s="78"/>
      <c r="O39" s="78"/>
      <c r="P39" s="78"/>
      <c r="Q39" s="78"/>
      <c r="R39" s="78"/>
      <c r="S39" s="78"/>
      <c r="T39" s="78"/>
      <c r="U39" s="78"/>
      <c r="V39" s="78"/>
      <c r="W39" s="78"/>
      <c r="X39" s="78"/>
      <c r="Y39" s="78"/>
      <c r="Z39" s="78"/>
      <c r="AA39" s="78"/>
      <c r="AB39" s="78"/>
      <c r="AC39" s="78"/>
      <c r="AD39" s="78"/>
      <c r="AE39" s="78"/>
      <c r="AF39" s="78"/>
      <c r="AG39" s="78"/>
      <c r="AH39" s="78"/>
      <c r="AI39" s="78"/>
      <c r="AJ39" s="78"/>
      <c r="AK39" s="78"/>
      <c r="AL39" s="78"/>
      <c r="AM39" s="78"/>
      <c r="AN39" s="78"/>
      <c r="AO39" s="78"/>
      <c r="AP39" s="78"/>
      <c r="AQ39" s="78"/>
      <c r="AR39" s="78"/>
      <c r="AS39" s="78"/>
      <c r="AT39" s="91"/>
      <c r="AU39" s="78"/>
      <c r="AV39" s="78"/>
      <c r="AW39" s="78"/>
      <c r="AX39" s="78"/>
      <c r="AY39" s="78"/>
      <c r="AZ39" s="78"/>
      <c r="BA39" s="78"/>
      <c r="BB39" s="78"/>
      <c r="BC39" s="78"/>
      <c r="BD39" s="78"/>
      <c r="BE39" s="78"/>
      <c r="BF39" s="78"/>
      <c r="BG39" s="78"/>
      <c r="BH39" s="78"/>
      <c r="BI39" s="78"/>
      <c r="BJ39" s="78"/>
      <c r="BK39" s="78"/>
      <c r="BL39" s="78"/>
      <c r="BM39" s="78"/>
      <c r="BN39" s="78"/>
      <c r="BO39" s="78"/>
      <c r="BP39" s="78"/>
      <c r="BQ39" s="78"/>
      <c r="BR39" s="78"/>
      <c r="BS39" s="78"/>
      <c r="BT39" s="78"/>
      <c r="BU39" s="78"/>
      <c r="BV39" s="78"/>
      <c r="BW39" s="78"/>
      <c r="BX39" s="78"/>
      <c r="BY39" s="78"/>
      <c r="BZ39" s="78"/>
      <c r="CA39" s="78"/>
      <c r="CB39" s="78"/>
      <c r="CC39" s="78"/>
      <c r="CD39" s="78"/>
      <c r="CE39" s="78"/>
      <c r="CF39" s="78"/>
      <c r="CG39" s="78"/>
      <c r="CH39" s="78"/>
      <c r="CI39" s="78"/>
      <c r="CJ39" s="78"/>
      <c r="CK39" s="78"/>
      <c r="CL39" s="78"/>
      <c r="CM39" s="78"/>
      <c r="CN39" s="78"/>
      <c r="CO39" s="78"/>
      <c r="CP39" s="78"/>
      <c r="CQ39" s="78"/>
      <c r="CR39" s="78"/>
      <c r="CS39" s="78"/>
      <c r="CT39" s="78"/>
      <c r="CU39" s="78"/>
      <c r="CV39" s="78"/>
      <c r="CW39" s="78"/>
      <c r="CX39" s="78"/>
      <c r="CY39" s="78"/>
      <c r="CZ39" s="78"/>
      <c r="DA39" s="78"/>
      <c r="DB39" s="78"/>
      <c r="DC39" s="78"/>
      <c r="DD39" s="78"/>
      <c r="DE39" s="78"/>
      <c r="DF39" s="78"/>
      <c r="DG39" s="78"/>
      <c r="DH39" s="78"/>
      <c r="DI39" s="78"/>
      <c r="DJ39" s="78"/>
      <c r="DK39" s="78"/>
      <c r="DL39" s="78"/>
      <c r="DM39" s="78"/>
      <c r="DN39" s="78"/>
      <c r="DO39" s="78"/>
      <c r="DP39" s="78"/>
      <c r="DQ39" s="78"/>
      <c r="DR39" s="78"/>
      <c r="DS39" s="78"/>
      <c r="DT39" s="78"/>
      <c r="DU39" s="78"/>
      <c r="DV39" s="78"/>
      <c r="DW39" s="78"/>
      <c r="DX39" s="78"/>
      <c r="DY39" s="78"/>
      <c r="DZ39" s="78"/>
      <c r="EA39" s="78"/>
      <c r="EB39" s="78"/>
      <c r="EC39" s="78"/>
      <c r="ED39" s="78"/>
      <c r="EE39" s="78"/>
      <c r="EF39" s="78"/>
      <c r="EG39" s="78"/>
      <c r="EH39" s="78"/>
      <c r="EI39" s="91"/>
      <c r="EJ39" s="91"/>
      <c r="EK39" s="91"/>
      <c r="EL39" s="91"/>
      <c r="EM39" s="91"/>
      <c r="EN39" s="91"/>
      <c r="EO39" s="91"/>
      <c r="EP39" s="78"/>
      <c r="EQ39" s="78"/>
      <c r="ER39" s="78"/>
      <c r="ES39" s="78"/>
      <c r="ET39" s="78"/>
      <c r="EU39" s="78"/>
      <c r="EV39" s="78"/>
      <c r="EW39" s="78"/>
      <c r="EX39" s="78"/>
      <c r="EY39" s="78"/>
      <c r="EZ39" s="78"/>
      <c r="FA39" s="78"/>
      <c r="FB39" s="78"/>
      <c r="FC39" s="78"/>
      <c r="FD39" s="78"/>
      <c r="FE39" s="78"/>
      <c r="FF39" s="78"/>
      <c r="FG39" s="78"/>
      <c r="FH39" s="78"/>
      <c r="FI39" s="78"/>
      <c r="FJ39" s="78"/>
      <c r="FK39" s="78"/>
    </row>
    <row r="40" spans="1:167" hidden="1" outlineLevel="1">
      <c r="A40" s="29" t="str">
        <f t="shared" si="16"/>
        <v>cd_imv_inp_certif_estimativavlr_emss_ano</v>
      </c>
      <c r="B40" s="67" t="s">
        <v>26</v>
      </c>
      <c r="C40" s="68" t="s">
        <v>34</v>
      </c>
      <c r="D40" s="64" t="s">
        <v>40</v>
      </c>
      <c r="E40" s="66" t="s">
        <v>449</v>
      </c>
      <c r="F40" s="64" t="s">
        <v>455</v>
      </c>
      <c r="G40" s="64" t="e">
        <f>INDEX(Auxiliar!$B$16:$B$24,MATCH(Plano_V1!H40,Auxiliar!$C$16:$C$24,0),1)</f>
        <v>#N/A</v>
      </c>
      <c r="H40" s="64" t="e">
        <f>VLOOKUP(A40,'Aux - pivots1'!$A:$B,2,0)</f>
        <v>#N/A</v>
      </c>
      <c r="I40" s="84">
        <f>SUMIFS(Table1[Estimação (horas)],Table1[Tabela],Plano_V1!E40,Table1[Campo],Plano_V1!F40)</f>
        <v>0</v>
      </c>
      <c r="J40" s="84">
        <f t="shared" si="15"/>
        <v>0</v>
      </c>
      <c r="K40" s="89" t="s">
        <v>39</v>
      </c>
      <c r="L40" s="90">
        <f t="shared" si="14"/>
        <v>0</v>
      </c>
      <c r="M40" s="78"/>
      <c r="N40" s="78"/>
      <c r="O40" s="78"/>
      <c r="P40" s="78"/>
      <c r="Q40" s="78"/>
      <c r="R40" s="78"/>
      <c r="S40" s="78"/>
      <c r="T40" s="78"/>
      <c r="U40" s="78"/>
      <c r="V40" s="78"/>
      <c r="W40" s="78"/>
      <c r="X40" s="78"/>
      <c r="Y40" s="78"/>
      <c r="Z40" s="78"/>
      <c r="AA40" s="78"/>
      <c r="AB40" s="78"/>
      <c r="AC40" s="78"/>
      <c r="AD40" s="78"/>
      <c r="AE40" s="78"/>
      <c r="AF40" s="78"/>
      <c r="AG40" s="78"/>
      <c r="AH40" s="78"/>
      <c r="AI40" s="78"/>
      <c r="AJ40" s="78"/>
      <c r="AK40" s="78"/>
      <c r="AL40" s="78"/>
      <c r="AM40" s="78"/>
      <c r="AN40" s="78"/>
      <c r="AO40" s="78"/>
      <c r="AP40" s="78"/>
      <c r="AQ40" s="78"/>
      <c r="AR40" s="78"/>
      <c r="AS40" s="78"/>
      <c r="AT40" s="91"/>
      <c r="AU40" s="78"/>
      <c r="AV40" s="78"/>
      <c r="AW40" s="78"/>
      <c r="AX40" s="78"/>
      <c r="AY40" s="78"/>
      <c r="AZ40" s="78"/>
      <c r="BA40" s="78"/>
      <c r="BB40" s="78"/>
      <c r="BC40" s="78"/>
      <c r="BD40" s="78"/>
      <c r="BE40" s="78"/>
      <c r="BF40" s="78"/>
      <c r="BG40" s="78"/>
      <c r="BH40" s="78"/>
      <c r="BI40" s="78"/>
      <c r="BJ40" s="78"/>
      <c r="BK40" s="78"/>
      <c r="BL40" s="78"/>
      <c r="BM40" s="78"/>
      <c r="BN40" s="78"/>
      <c r="BO40" s="78"/>
      <c r="BP40" s="78"/>
      <c r="BQ40" s="78"/>
      <c r="BR40" s="78"/>
      <c r="BS40" s="78"/>
      <c r="BT40" s="78"/>
      <c r="BU40" s="78"/>
      <c r="BV40" s="78"/>
      <c r="BW40" s="78"/>
      <c r="BX40" s="78"/>
      <c r="BY40" s="78"/>
      <c r="BZ40" s="78"/>
      <c r="CA40" s="78"/>
      <c r="CB40" s="78"/>
      <c r="CC40" s="78"/>
      <c r="CD40" s="78"/>
      <c r="CE40" s="78"/>
      <c r="CF40" s="78"/>
      <c r="CG40" s="78"/>
      <c r="CH40" s="78"/>
      <c r="CI40" s="78"/>
      <c r="CJ40" s="78"/>
      <c r="CK40" s="78"/>
      <c r="CL40" s="78"/>
      <c r="CM40" s="78"/>
      <c r="CN40" s="78"/>
      <c r="CO40" s="78"/>
      <c r="CP40" s="78"/>
      <c r="CQ40" s="78"/>
      <c r="CR40" s="78"/>
      <c r="CS40" s="78"/>
      <c r="CT40" s="78"/>
      <c r="CU40" s="78"/>
      <c r="CV40" s="78"/>
      <c r="CW40" s="78"/>
      <c r="CX40" s="78"/>
      <c r="CY40" s="78"/>
      <c r="CZ40" s="78"/>
      <c r="DA40" s="78"/>
      <c r="DB40" s="78"/>
      <c r="DC40" s="78"/>
      <c r="DD40" s="78"/>
      <c r="DE40" s="78"/>
      <c r="DF40" s="78"/>
      <c r="DG40" s="78"/>
      <c r="DH40" s="78"/>
      <c r="DI40" s="78"/>
      <c r="DJ40" s="78"/>
      <c r="DK40" s="78"/>
      <c r="DL40" s="78"/>
      <c r="DM40" s="78"/>
      <c r="DN40" s="78"/>
      <c r="DO40" s="78"/>
      <c r="DP40" s="78"/>
      <c r="DQ40" s="78"/>
      <c r="DR40" s="78"/>
      <c r="DS40" s="78"/>
      <c r="DT40" s="78"/>
      <c r="DU40" s="78"/>
      <c r="DV40" s="78"/>
      <c r="DW40" s="78"/>
      <c r="DX40" s="78"/>
      <c r="DY40" s="78"/>
      <c r="DZ40" s="78"/>
      <c r="EA40" s="78"/>
      <c r="EB40" s="78"/>
      <c r="EC40" s="78"/>
      <c r="ED40" s="78"/>
      <c r="EE40" s="78"/>
      <c r="EF40" s="78"/>
      <c r="EG40" s="78"/>
      <c r="EH40" s="78"/>
      <c r="EI40" s="91"/>
      <c r="EJ40" s="91"/>
      <c r="EK40" s="91"/>
      <c r="EL40" s="91"/>
      <c r="EM40" s="91"/>
      <c r="EN40" s="91"/>
      <c r="EO40" s="91"/>
      <c r="EP40" s="78"/>
      <c r="EQ40" s="78"/>
      <c r="ER40" s="78"/>
      <c r="ES40" s="78"/>
      <c r="ET40" s="78"/>
      <c r="EU40" s="78"/>
      <c r="EV40" s="78"/>
      <c r="EW40" s="78"/>
      <c r="EX40" s="78"/>
      <c r="EY40" s="78"/>
      <c r="EZ40" s="78"/>
      <c r="FA40" s="78"/>
      <c r="FB40" s="78"/>
      <c r="FC40" s="78"/>
      <c r="FD40" s="78"/>
      <c r="FE40" s="78"/>
      <c r="FF40" s="78"/>
      <c r="FG40" s="78"/>
      <c r="FH40" s="78"/>
      <c r="FI40" s="78"/>
      <c r="FJ40" s="78"/>
      <c r="FK40" s="78"/>
    </row>
    <row r="41" spans="1:167" hidden="1" outlineLevel="1">
      <c r="A41" s="29" t="str">
        <f t="shared" si="16"/>
        <v>Re-testesn.a.</v>
      </c>
      <c r="B41" s="67" t="s">
        <v>26</v>
      </c>
      <c r="C41" s="68" t="s">
        <v>34</v>
      </c>
      <c r="D41" s="64" t="s">
        <v>40</v>
      </c>
      <c r="E41" s="66" t="s">
        <v>53</v>
      </c>
      <c r="F41" s="64" t="s">
        <v>38</v>
      </c>
      <c r="G41" s="64" t="s">
        <v>28</v>
      </c>
      <c r="H41" s="64"/>
      <c r="I41" s="84">
        <f>SUM(I28:I40)*D6</f>
        <v>0</v>
      </c>
      <c r="J41" s="84">
        <f>I41/8</f>
        <v>0</v>
      </c>
      <c r="K41" s="89" t="s">
        <v>39</v>
      </c>
      <c r="L41" s="90">
        <f t="shared" si="14"/>
        <v>0</v>
      </c>
      <c r="M41" s="78"/>
      <c r="N41" s="78"/>
      <c r="O41" s="78"/>
      <c r="P41" s="78"/>
      <c r="Q41" s="78"/>
      <c r="R41" s="78"/>
      <c r="S41" s="78"/>
      <c r="T41" s="78"/>
      <c r="U41" s="78"/>
      <c r="V41" s="78"/>
      <c r="W41" s="78"/>
      <c r="X41" s="78"/>
      <c r="Y41" s="78"/>
      <c r="Z41" s="78"/>
      <c r="AA41" s="78"/>
      <c r="AB41" s="78"/>
      <c r="AC41" s="78"/>
      <c r="AD41" s="78"/>
      <c r="AE41" s="78"/>
      <c r="AF41" s="78"/>
      <c r="AG41" s="78"/>
      <c r="AH41" s="78"/>
      <c r="AI41" s="78"/>
      <c r="AJ41" s="78"/>
      <c r="AK41" s="78"/>
      <c r="AL41" s="78"/>
      <c r="AM41" s="78"/>
      <c r="AN41" s="78"/>
      <c r="AO41" s="78"/>
      <c r="AP41" s="78"/>
      <c r="AQ41" s="78"/>
      <c r="AR41" s="78"/>
      <c r="AS41" s="78"/>
      <c r="AT41" s="91"/>
      <c r="AU41" s="78"/>
      <c r="AV41" s="78"/>
      <c r="AW41" s="78"/>
      <c r="AX41" s="78"/>
      <c r="AY41" s="78"/>
      <c r="AZ41" s="78"/>
      <c r="BA41" s="78"/>
      <c r="BB41" s="78"/>
      <c r="BC41" s="78"/>
      <c r="BD41" s="78"/>
      <c r="BE41" s="78"/>
      <c r="BF41" s="78"/>
      <c r="BG41" s="78"/>
      <c r="BH41" s="78"/>
      <c r="BI41" s="78"/>
      <c r="BJ41" s="78"/>
      <c r="BK41" s="78"/>
      <c r="BL41" s="78"/>
      <c r="BM41" s="78"/>
      <c r="BN41" s="78"/>
      <c r="BO41" s="78"/>
      <c r="BP41" s="78"/>
      <c r="BQ41" s="78"/>
      <c r="BR41" s="78"/>
      <c r="BS41" s="78"/>
      <c r="BT41" s="78"/>
      <c r="BU41" s="78"/>
      <c r="BV41" s="78"/>
      <c r="BW41" s="78"/>
      <c r="BX41" s="78"/>
      <c r="BY41" s="78"/>
      <c r="BZ41" s="78"/>
      <c r="CA41" s="78"/>
      <c r="CB41" s="78"/>
      <c r="CC41" s="78"/>
      <c r="CD41" s="78"/>
      <c r="CE41" s="78"/>
      <c r="CF41" s="78"/>
      <c r="CG41" s="78"/>
      <c r="CH41" s="78"/>
      <c r="CI41" s="78"/>
      <c r="CJ41" s="78"/>
      <c r="CK41" s="78"/>
      <c r="CL41" s="78"/>
      <c r="CM41" s="78"/>
      <c r="CN41" s="78"/>
      <c r="CO41" s="78"/>
      <c r="CP41" s="78"/>
      <c r="CQ41" s="78"/>
      <c r="CR41" s="78"/>
      <c r="CS41" s="78"/>
      <c r="CT41" s="78"/>
      <c r="CU41" s="78"/>
      <c r="CV41" s="78"/>
      <c r="CW41" s="78"/>
      <c r="CX41" s="78"/>
      <c r="CY41" s="78"/>
      <c r="CZ41" s="78"/>
      <c r="DA41" s="78"/>
      <c r="DB41" s="78"/>
      <c r="DC41" s="78"/>
      <c r="DD41" s="78"/>
      <c r="DE41" s="78"/>
      <c r="DF41" s="78"/>
      <c r="DG41" s="78"/>
      <c r="DH41" s="78"/>
      <c r="DI41" s="78"/>
      <c r="DJ41" s="78"/>
      <c r="DK41" s="78"/>
      <c r="DL41" s="78"/>
      <c r="DM41" s="78"/>
      <c r="DN41" s="78"/>
      <c r="DO41" s="78"/>
      <c r="DP41" s="78"/>
      <c r="DQ41" s="78"/>
      <c r="DR41" s="78"/>
      <c r="DS41" s="78"/>
      <c r="DT41" s="78"/>
      <c r="DU41" s="78"/>
      <c r="DV41" s="78"/>
      <c r="DW41" s="78"/>
      <c r="DX41" s="78"/>
      <c r="DY41" s="78"/>
      <c r="DZ41" s="78"/>
      <c r="EA41" s="78"/>
      <c r="EB41" s="78"/>
      <c r="EC41" s="78"/>
      <c r="ED41" s="78"/>
      <c r="EE41" s="78"/>
      <c r="EF41" s="78"/>
      <c r="EG41" s="78"/>
      <c r="EH41" s="78"/>
      <c r="EI41" s="91"/>
      <c r="EJ41" s="91"/>
      <c r="EK41" s="91"/>
      <c r="EL41" s="91"/>
      <c r="EM41" s="91"/>
      <c r="EN41" s="91"/>
      <c r="EO41" s="91"/>
      <c r="EP41" s="78"/>
      <c r="EQ41" s="78"/>
      <c r="ER41" s="78"/>
      <c r="ES41" s="78"/>
      <c r="ET41" s="78"/>
      <c r="EU41" s="78"/>
      <c r="EV41" s="78"/>
      <c r="EW41" s="78"/>
      <c r="EX41" s="78"/>
      <c r="EY41" s="78"/>
      <c r="EZ41" s="78"/>
      <c r="FA41" s="78"/>
      <c r="FB41" s="78"/>
      <c r="FC41" s="78"/>
      <c r="FD41" s="78"/>
      <c r="FE41" s="78"/>
      <c r="FF41" s="78"/>
      <c r="FG41" s="78"/>
      <c r="FH41" s="78"/>
      <c r="FI41" s="78"/>
      <c r="FJ41" s="78"/>
      <c r="FK41" s="78"/>
    </row>
    <row r="42" spans="1:167" collapsed="1">
      <c r="A42" s="29" t="str">
        <f t="shared" si="16"/>
        <v/>
      </c>
      <c r="B42" s="63" t="s">
        <v>26</v>
      </c>
      <c r="C42" s="96" t="s">
        <v>54</v>
      </c>
      <c r="D42" s="96"/>
      <c r="E42" s="103"/>
      <c r="F42" s="96"/>
      <c r="G42" s="96"/>
      <c r="H42" s="96"/>
      <c r="I42" s="99">
        <f>SUM(I43:I197)</f>
        <v>0</v>
      </c>
      <c r="J42" s="99">
        <f>ROUNDUP(I42/8,0)</f>
        <v>0</v>
      </c>
      <c r="K42" s="87"/>
      <c r="L42" s="90">
        <f t="shared" si="14"/>
        <v>-100</v>
      </c>
      <c r="M42" s="78"/>
      <c r="N42" s="78"/>
      <c r="O42" s="78"/>
      <c r="P42" s="78"/>
      <c r="Q42" s="78"/>
      <c r="R42" s="78"/>
      <c r="S42" s="78"/>
      <c r="T42" s="78"/>
      <c r="U42" s="78"/>
      <c r="V42" s="78"/>
      <c r="W42" s="78"/>
      <c r="X42" s="78"/>
      <c r="Y42" s="78"/>
      <c r="Z42" s="78"/>
      <c r="AA42" s="78"/>
      <c r="AB42" s="78"/>
      <c r="AC42" s="78"/>
      <c r="AD42" s="78"/>
      <c r="AE42" s="78"/>
      <c r="AF42" s="78"/>
      <c r="AG42" s="78"/>
      <c r="AH42" s="78">
        <v>0.5</v>
      </c>
      <c r="AI42" s="78">
        <v>1</v>
      </c>
      <c r="AJ42" s="78">
        <v>1</v>
      </c>
      <c r="AK42" s="78"/>
      <c r="AL42" s="78"/>
      <c r="AM42" s="78">
        <v>1</v>
      </c>
      <c r="AN42" s="78">
        <v>1</v>
      </c>
      <c r="AO42" s="78">
        <v>1</v>
      </c>
      <c r="AP42" s="78">
        <v>0.5</v>
      </c>
      <c r="AQ42" s="78"/>
      <c r="AR42" s="78">
        <v>1</v>
      </c>
      <c r="AS42" s="78">
        <v>2</v>
      </c>
      <c r="AT42" s="91"/>
      <c r="AU42" s="78">
        <v>0.5</v>
      </c>
      <c r="AV42" s="78"/>
      <c r="AW42" s="78"/>
      <c r="AX42" s="78">
        <v>1</v>
      </c>
      <c r="AY42" s="78">
        <v>1</v>
      </c>
      <c r="AZ42" s="78">
        <v>0.5</v>
      </c>
      <c r="BA42" s="78">
        <v>1</v>
      </c>
      <c r="BB42" s="78">
        <v>2</v>
      </c>
      <c r="BC42" s="78">
        <v>2</v>
      </c>
      <c r="BD42" s="78">
        <v>2</v>
      </c>
      <c r="BE42" s="78">
        <v>1.5</v>
      </c>
      <c r="BF42" s="78">
        <v>0.5</v>
      </c>
      <c r="BG42" s="78">
        <v>2</v>
      </c>
      <c r="BH42" s="78">
        <v>2</v>
      </c>
      <c r="BI42" s="78">
        <v>2</v>
      </c>
      <c r="BJ42" s="78">
        <v>1.5</v>
      </c>
      <c r="BK42" s="78">
        <v>0.5</v>
      </c>
      <c r="BL42" s="78">
        <v>2</v>
      </c>
      <c r="BM42" s="78">
        <v>2</v>
      </c>
      <c r="BN42" s="78">
        <v>2</v>
      </c>
      <c r="BO42" s="78">
        <v>1.5</v>
      </c>
      <c r="BP42" s="78">
        <v>1.5</v>
      </c>
      <c r="BQ42" s="78">
        <v>2</v>
      </c>
      <c r="BR42" s="78">
        <v>2</v>
      </c>
      <c r="BS42" s="78">
        <v>2</v>
      </c>
      <c r="BT42" s="78">
        <v>2</v>
      </c>
      <c r="BU42" s="78">
        <v>2</v>
      </c>
      <c r="BV42" s="78">
        <v>2</v>
      </c>
      <c r="BW42" s="78">
        <v>2</v>
      </c>
      <c r="BX42" s="78">
        <v>2</v>
      </c>
      <c r="BY42" s="78">
        <v>2</v>
      </c>
      <c r="BZ42" s="78">
        <v>2</v>
      </c>
      <c r="CA42" s="78">
        <v>2</v>
      </c>
      <c r="CB42" s="78">
        <v>2</v>
      </c>
      <c r="CC42" s="78">
        <v>2</v>
      </c>
      <c r="CD42" s="78">
        <v>2</v>
      </c>
      <c r="CE42" s="78">
        <v>2</v>
      </c>
      <c r="CF42" s="78">
        <v>2</v>
      </c>
      <c r="CG42" s="78">
        <v>2</v>
      </c>
      <c r="CH42" s="78">
        <v>2</v>
      </c>
      <c r="CI42" s="78">
        <v>2</v>
      </c>
      <c r="CJ42" s="78">
        <v>2</v>
      </c>
      <c r="CK42" s="78">
        <v>2</v>
      </c>
      <c r="CL42" s="78">
        <v>2</v>
      </c>
      <c r="CM42" s="78">
        <v>2</v>
      </c>
      <c r="CN42" s="78">
        <v>2</v>
      </c>
      <c r="CO42" s="78">
        <v>2</v>
      </c>
      <c r="CP42" s="78">
        <v>2</v>
      </c>
      <c r="CQ42" s="78">
        <v>2</v>
      </c>
      <c r="CR42" s="78">
        <v>2</v>
      </c>
      <c r="CS42" s="78">
        <v>2</v>
      </c>
      <c r="CT42" s="78">
        <v>2</v>
      </c>
      <c r="CU42" s="78">
        <v>2</v>
      </c>
      <c r="CV42" s="78"/>
      <c r="CW42" s="78"/>
      <c r="CX42" s="78"/>
      <c r="CY42" s="78"/>
      <c r="CZ42" s="78"/>
      <c r="DA42" s="78"/>
      <c r="DB42" s="78"/>
      <c r="DC42" s="78"/>
      <c r="DD42" s="78"/>
      <c r="DE42" s="78"/>
      <c r="DF42" s="78"/>
      <c r="DG42" s="78"/>
      <c r="DH42" s="78"/>
      <c r="DI42" s="78"/>
      <c r="DJ42" s="78"/>
      <c r="DK42" s="78"/>
      <c r="DL42" s="78"/>
      <c r="DM42" s="78"/>
      <c r="DN42" s="78"/>
      <c r="DO42" s="78"/>
      <c r="DP42" s="78"/>
      <c r="DQ42" s="78"/>
      <c r="DR42" s="78"/>
      <c r="DS42" s="78"/>
      <c r="DT42" s="78"/>
      <c r="DU42" s="78"/>
      <c r="DV42" s="78"/>
      <c r="DW42" s="78"/>
      <c r="DX42" s="78"/>
      <c r="DY42" s="78"/>
      <c r="DZ42" s="78"/>
      <c r="EA42" s="78"/>
      <c r="EB42" s="78"/>
      <c r="EC42" s="78"/>
      <c r="ED42" s="78"/>
      <c r="EE42" s="78"/>
      <c r="EF42" s="78"/>
      <c r="EG42" s="78"/>
      <c r="EH42" s="78"/>
      <c r="EI42" s="91"/>
      <c r="EJ42" s="91"/>
      <c r="EK42" s="91"/>
      <c r="EL42" s="91"/>
      <c r="EM42" s="91"/>
      <c r="EN42" s="91"/>
      <c r="EO42" s="91"/>
      <c r="EP42" s="78"/>
      <c r="EQ42" s="78"/>
      <c r="ER42" s="78"/>
      <c r="ES42" s="78"/>
      <c r="ET42" s="78"/>
      <c r="EU42" s="78"/>
      <c r="EV42" s="78"/>
      <c r="EW42" s="78"/>
      <c r="EX42" s="78"/>
      <c r="EY42" s="78"/>
      <c r="EZ42" s="78"/>
      <c r="FA42" s="78"/>
      <c r="FB42" s="78"/>
      <c r="FC42" s="78"/>
      <c r="FD42" s="78"/>
      <c r="FE42" s="78"/>
      <c r="FF42" s="78"/>
      <c r="FG42" s="78"/>
      <c r="FH42" s="78"/>
      <c r="FI42" s="78"/>
      <c r="FJ42" s="78"/>
      <c r="FK42" s="78"/>
    </row>
    <row r="43" spans="1:167" hidden="1" outlineLevel="1">
      <c r="A43" s="29" t="str">
        <f t="shared" si="16"/>
        <v>cd_imv_out_prcn.a.</v>
      </c>
      <c r="B43" s="67" t="s">
        <v>26</v>
      </c>
      <c r="C43" s="68" t="s">
        <v>54</v>
      </c>
      <c r="D43" s="64" t="s">
        <v>36</v>
      </c>
      <c r="E43" s="66" t="s">
        <v>456</v>
      </c>
      <c r="F43" s="64" t="s">
        <v>38</v>
      </c>
      <c r="G43" s="64" t="e">
        <f>INDEX(Auxiliar!$B$16:$B$24,MATCH(Plano_V1!H43,Auxiliar!$C$16:$C$24,0),1)</f>
        <v>#N/A</v>
      </c>
      <c r="H43" s="64" t="e">
        <f>VLOOKUP(A43,'Aux - pivots1'!$A:$B,2,0)</f>
        <v>#N/A</v>
      </c>
      <c r="I43" s="84">
        <f>SUMIFS(Table1[Estimação (horas)],Table1[Tabela],Plano_V1!E43,Table1[Campo],Plano_V1!F43)</f>
        <v>0</v>
      </c>
      <c r="J43" s="84">
        <f t="shared" ref="J43:J106" si="17">I43/8</f>
        <v>0</v>
      </c>
      <c r="K43" s="89" t="s">
        <v>56</v>
      </c>
      <c r="L43" s="90">
        <f t="shared" si="14"/>
        <v>0</v>
      </c>
      <c r="M43" s="78"/>
      <c r="N43" s="78"/>
      <c r="O43" s="78"/>
      <c r="P43" s="78"/>
      <c r="Q43" s="78"/>
      <c r="R43" s="78"/>
      <c r="S43" s="78"/>
      <c r="T43" s="78"/>
      <c r="U43" s="78"/>
      <c r="V43" s="78"/>
      <c r="W43" s="78"/>
      <c r="X43" s="78"/>
      <c r="Y43" s="78"/>
      <c r="Z43" s="78"/>
      <c r="AA43" s="78"/>
      <c r="AB43" s="78"/>
      <c r="AC43" s="78"/>
      <c r="AD43" s="78"/>
      <c r="AE43" s="78"/>
      <c r="AF43" s="78"/>
      <c r="AG43" s="78"/>
      <c r="AH43" s="78"/>
      <c r="AI43" s="78"/>
      <c r="AJ43" s="78"/>
      <c r="AK43" s="78"/>
      <c r="AL43" s="78"/>
      <c r="AM43" s="78"/>
      <c r="AN43" s="78"/>
      <c r="AO43" s="78"/>
      <c r="AP43" s="78"/>
      <c r="AQ43" s="78"/>
      <c r="AR43" s="78"/>
      <c r="AS43" s="78"/>
      <c r="AT43" s="91"/>
      <c r="AU43" s="78"/>
      <c r="AV43" s="78"/>
      <c r="AW43" s="78"/>
      <c r="AX43" s="78"/>
      <c r="AY43" s="78"/>
      <c r="AZ43" s="78"/>
      <c r="BA43" s="78"/>
      <c r="BB43" s="78"/>
      <c r="BC43" s="78"/>
      <c r="BD43" s="78"/>
      <c r="BE43" s="78"/>
      <c r="BF43" s="78"/>
      <c r="BG43" s="78"/>
      <c r="BH43" s="78"/>
      <c r="BI43" s="78"/>
      <c r="BJ43" s="78"/>
      <c r="BK43" s="78"/>
      <c r="BL43" s="78"/>
      <c r="BM43" s="78"/>
      <c r="BN43" s="78"/>
      <c r="BO43" s="78"/>
      <c r="BP43" s="78"/>
      <c r="BQ43" s="78"/>
      <c r="BR43" s="78"/>
      <c r="BS43" s="78"/>
      <c r="BT43" s="78"/>
      <c r="BU43" s="78"/>
      <c r="BV43" s="78"/>
      <c r="BW43" s="78"/>
      <c r="BX43" s="78"/>
      <c r="BY43" s="78"/>
      <c r="BZ43" s="78"/>
      <c r="CA43" s="78"/>
      <c r="CB43" s="78"/>
      <c r="CC43" s="78"/>
      <c r="CD43" s="78"/>
      <c r="CE43" s="78"/>
      <c r="CF43" s="78"/>
      <c r="CG43" s="78"/>
      <c r="CH43" s="78"/>
      <c r="CI43" s="78"/>
      <c r="CJ43" s="78"/>
      <c r="CK43" s="78"/>
      <c r="CL43" s="78"/>
      <c r="CM43" s="78"/>
      <c r="CN43" s="78"/>
      <c r="CO43" s="78"/>
      <c r="CP43" s="78"/>
      <c r="CQ43" s="78"/>
      <c r="CR43" s="78"/>
      <c r="CS43" s="78"/>
      <c r="CT43" s="78"/>
      <c r="CU43" s="78"/>
      <c r="CV43" s="78"/>
      <c r="CW43" s="78"/>
      <c r="CX43" s="78"/>
      <c r="CY43" s="78"/>
      <c r="CZ43" s="78"/>
      <c r="DA43" s="78"/>
      <c r="DB43" s="78"/>
      <c r="DC43" s="78"/>
      <c r="DD43" s="78"/>
      <c r="DE43" s="78"/>
      <c r="DF43" s="78"/>
      <c r="DG43" s="78"/>
      <c r="DH43" s="78"/>
      <c r="DI43" s="78"/>
      <c r="DJ43" s="78"/>
      <c r="DK43" s="78"/>
      <c r="DL43" s="78"/>
      <c r="DM43" s="78"/>
      <c r="DN43" s="78"/>
      <c r="DO43" s="78"/>
      <c r="DP43" s="78"/>
      <c r="DQ43" s="78"/>
      <c r="DR43" s="78"/>
      <c r="DS43" s="78"/>
      <c r="DT43" s="78"/>
      <c r="DU43" s="78"/>
      <c r="DV43" s="78"/>
      <c r="DW43" s="78"/>
      <c r="DX43" s="78"/>
      <c r="DY43" s="78"/>
      <c r="DZ43" s="78"/>
      <c r="EA43" s="78"/>
      <c r="EB43" s="78"/>
      <c r="EC43" s="78"/>
      <c r="ED43" s="78"/>
      <c r="EE43" s="78"/>
      <c r="EF43" s="78"/>
      <c r="EG43" s="78"/>
      <c r="EH43" s="78"/>
      <c r="EI43" s="91"/>
      <c r="EJ43" s="91"/>
      <c r="EK43" s="91"/>
      <c r="EL43" s="91"/>
      <c r="EM43" s="91"/>
      <c r="EN43" s="91"/>
      <c r="EO43" s="91"/>
      <c r="EP43" s="78"/>
      <c r="EQ43" s="78"/>
      <c r="ER43" s="78"/>
      <c r="ES43" s="78"/>
      <c r="ET43" s="78"/>
      <c r="EU43" s="78"/>
      <c r="EV43" s="78"/>
      <c r="EW43" s="78"/>
      <c r="EX43" s="78"/>
      <c r="EY43" s="78"/>
      <c r="EZ43" s="78"/>
      <c r="FA43" s="78"/>
      <c r="FB43" s="78"/>
      <c r="FC43" s="78"/>
      <c r="FD43" s="78"/>
      <c r="FE43" s="78"/>
      <c r="FF43" s="78"/>
      <c r="FG43" s="78"/>
      <c r="FH43" s="78"/>
      <c r="FI43" s="78"/>
      <c r="FJ43" s="78"/>
      <c r="FK43" s="78"/>
    </row>
    <row r="44" spans="1:167" hidden="1" outlineLevel="1">
      <c r="A44" s="29" t="str">
        <f t="shared" si="16"/>
        <v>cd_imv_out_prccempresa</v>
      </c>
      <c r="B44" s="67" t="s">
        <v>26</v>
      </c>
      <c r="C44" s="68" t="s">
        <v>54</v>
      </c>
      <c r="D44" s="64" t="s">
        <v>40</v>
      </c>
      <c r="E44" s="66" t="s">
        <v>456</v>
      </c>
      <c r="F44" s="64" t="s">
        <v>184</v>
      </c>
      <c r="G44" s="64" t="e">
        <f>INDEX(Auxiliar!$B$16:$B$24,MATCH(Plano_V1!H44,Auxiliar!$C$16:$C$24,0),1)</f>
        <v>#N/A</v>
      </c>
      <c r="H44" s="64" t="e">
        <f>VLOOKUP(A44,'Aux - pivots1'!$A:$B,2,0)</f>
        <v>#N/A</v>
      </c>
      <c r="I44" s="84">
        <f>SUMIFS(Table1[Estimação (horas)],Table1[Tabela],Plano_V1!E44,Table1[Campo],Plano_V1!F44)</f>
        <v>0</v>
      </c>
      <c r="J44" s="84">
        <f t="shared" si="17"/>
        <v>0</v>
      </c>
      <c r="K44" s="89" t="s">
        <v>56</v>
      </c>
      <c r="L44" s="90">
        <f t="shared" si="14"/>
        <v>0</v>
      </c>
      <c r="M44" s="78"/>
      <c r="N44" s="78"/>
      <c r="O44" s="78"/>
      <c r="P44" s="78"/>
      <c r="Q44" s="78"/>
      <c r="R44" s="78"/>
      <c r="S44" s="78"/>
      <c r="T44" s="78"/>
      <c r="U44" s="78"/>
      <c r="V44" s="78"/>
      <c r="W44" s="78"/>
      <c r="X44" s="78"/>
      <c r="Y44" s="78"/>
      <c r="Z44" s="78"/>
      <c r="AA44" s="78"/>
      <c r="AB44" s="78"/>
      <c r="AC44" s="78"/>
      <c r="AD44" s="78"/>
      <c r="AE44" s="78"/>
      <c r="AF44" s="78"/>
      <c r="AG44" s="78"/>
      <c r="AH44" s="78"/>
      <c r="AI44" s="78"/>
      <c r="AJ44" s="78"/>
      <c r="AK44" s="78"/>
      <c r="AL44" s="78"/>
      <c r="AM44" s="78"/>
      <c r="AN44" s="78"/>
      <c r="AO44" s="78"/>
      <c r="AP44" s="78"/>
      <c r="AQ44" s="78"/>
      <c r="AR44" s="78"/>
      <c r="AS44" s="78"/>
      <c r="AT44" s="91"/>
      <c r="AU44" s="78"/>
      <c r="AV44" s="78"/>
      <c r="AW44" s="78"/>
      <c r="AX44" s="78"/>
      <c r="AY44" s="78"/>
      <c r="AZ44" s="78"/>
      <c r="BA44" s="78"/>
      <c r="BB44" s="78"/>
      <c r="BC44" s="78"/>
      <c r="BD44" s="78"/>
      <c r="BE44" s="78"/>
      <c r="BF44" s="78"/>
      <c r="BG44" s="78"/>
      <c r="BH44" s="78"/>
      <c r="BI44" s="78"/>
      <c r="BJ44" s="78"/>
      <c r="BK44" s="78"/>
      <c r="BL44" s="78"/>
      <c r="BM44" s="78"/>
      <c r="BN44" s="78"/>
      <c r="BO44" s="78"/>
      <c r="BP44" s="78"/>
      <c r="BQ44" s="78"/>
      <c r="BR44" s="78"/>
      <c r="BS44" s="78"/>
      <c r="BT44" s="78"/>
      <c r="BU44" s="78"/>
      <c r="BV44" s="78"/>
      <c r="BW44" s="78"/>
      <c r="BX44" s="78"/>
      <c r="BY44" s="78"/>
      <c r="BZ44" s="78"/>
      <c r="CA44" s="78"/>
      <c r="CB44" s="78"/>
      <c r="CC44" s="78"/>
      <c r="CD44" s="78"/>
      <c r="CE44" s="78"/>
      <c r="CF44" s="78"/>
      <c r="CG44" s="78"/>
      <c r="CH44" s="78"/>
      <c r="CI44" s="78"/>
      <c r="CJ44" s="78"/>
      <c r="CK44" s="78"/>
      <c r="CL44" s="78"/>
      <c r="CM44" s="78"/>
      <c r="CN44" s="78"/>
      <c r="CO44" s="78"/>
      <c r="CP44" s="78"/>
      <c r="CQ44" s="78"/>
      <c r="CR44" s="78"/>
      <c r="CS44" s="78"/>
      <c r="CT44" s="78"/>
      <c r="CU44" s="78"/>
      <c r="CV44" s="78"/>
      <c r="CW44" s="78"/>
      <c r="CX44" s="78"/>
      <c r="CY44" s="78"/>
      <c r="CZ44" s="78"/>
      <c r="DA44" s="78"/>
      <c r="DB44" s="78"/>
      <c r="DC44" s="78"/>
      <c r="DD44" s="78"/>
      <c r="DE44" s="78"/>
      <c r="DF44" s="78"/>
      <c r="DG44" s="78"/>
      <c r="DH44" s="78"/>
      <c r="DI44" s="78"/>
      <c r="DJ44" s="78"/>
      <c r="DK44" s="78"/>
      <c r="DL44" s="78"/>
      <c r="DM44" s="78"/>
      <c r="DN44" s="78"/>
      <c r="DO44" s="78"/>
      <c r="DP44" s="78"/>
      <c r="DQ44" s="78"/>
      <c r="DR44" s="78"/>
      <c r="DS44" s="78"/>
      <c r="DT44" s="78"/>
      <c r="DU44" s="78"/>
      <c r="DV44" s="78"/>
      <c r="DW44" s="78"/>
      <c r="DX44" s="78"/>
      <c r="DY44" s="78"/>
      <c r="DZ44" s="78"/>
      <c r="EA44" s="78"/>
      <c r="EB44" s="78"/>
      <c r="EC44" s="78"/>
      <c r="ED44" s="78"/>
      <c r="EE44" s="78"/>
      <c r="EF44" s="78"/>
      <c r="EG44" s="78"/>
      <c r="EH44" s="78"/>
      <c r="EI44" s="91"/>
      <c r="EJ44" s="91"/>
      <c r="EK44" s="91"/>
      <c r="EL44" s="91"/>
      <c r="EM44" s="91"/>
      <c r="EN44" s="91"/>
      <c r="EO44" s="91"/>
      <c r="EP44" s="78"/>
      <c r="EQ44" s="78"/>
      <c r="ER44" s="78"/>
      <c r="ES44" s="78"/>
      <c r="ET44" s="78"/>
      <c r="EU44" s="78"/>
      <c r="EV44" s="78"/>
      <c r="EW44" s="78"/>
      <c r="EX44" s="78"/>
      <c r="EY44" s="78"/>
      <c r="EZ44" s="78"/>
      <c r="FA44" s="78"/>
      <c r="FB44" s="78"/>
      <c r="FC44" s="78"/>
      <c r="FD44" s="78"/>
      <c r="FE44" s="78"/>
      <c r="FF44" s="78"/>
      <c r="FG44" s="78"/>
      <c r="FH44" s="78"/>
      <c r="FI44" s="78"/>
      <c r="FJ44" s="78"/>
      <c r="FK44" s="78"/>
    </row>
    <row r="45" spans="1:167" hidden="1" outlineLevel="1">
      <c r="A45" s="29" t="str">
        <f t="shared" si="16"/>
        <v>cd_imv_out_prcckbalcao</v>
      </c>
      <c r="B45" s="67" t="s">
        <v>26</v>
      </c>
      <c r="C45" s="68" t="s">
        <v>54</v>
      </c>
      <c r="D45" s="64" t="s">
        <v>40</v>
      </c>
      <c r="E45" s="66" t="s">
        <v>456</v>
      </c>
      <c r="F45" s="64" t="s">
        <v>457</v>
      </c>
      <c r="G45" s="64" t="e">
        <f>INDEX(Auxiliar!$B$16:$B$24,MATCH(Plano_V1!H45,Auxiliar!$C$16:$C$24,0),1)</f>
        <v>#N/A</v>
      </c>
      <c r="H45" s="64" t="e">
        <f>VLOOKUP(A45,'Aux - pivots1'!$A:$B,2,0)</f>
        <v>#N/A</v>
      </c>
      <c r="I45" s="84">
        <f>SUMIFS(Table1[Estimação (horas)],Table1[Tabela],Plano_V1!E45,Table1[Campo],Plano_V1!F45)</f>
        <v>0</v>
      </c>
      <c r="J45" s="84">
        <f t="shared" si="17"/>
        <v>0</v>
      </c>
      <c r="K45" s="89" t="s">
        <v>56</v>
      </c>
      <c r="L45" s="90">
        <f t="shared" si="14"/>
        <v>0</v>
      </c>
      <c r="M45" s="78"/>
      <c r="N45" s="78"/>
      <c r="O45" s="78"/>
      <c r="P45" s="78"/>
      <c r="Q45" s="78"/>
      <c r="R45" s="78"/>
      <c r="S45" s="78"/>
      <c r="T45" s="78"/>
      <c r="U45" s="78"/>
      <c r="V45" s="78"/>
      <c r="W45" s="78"/>
      <c r="X45" s="78"/>
      <c r="Y45" s="78"/>
      <c r="Z45" s="78"/>
      <c r="AA45" s="78"/>
      <c r="AB45" s="78"/>
      <c r="AC45" s="78"/>
      <c r="AD45" s="78"/>
      <c r="AE45" s="78"/>
      <c r="AF45" s="78"/>
      <c r="AG45" s="78"/>
      <c r="AH45" s="78"/>
      <c r="AI45" s="78"/>
      <c r="AJ45" s="78"/>
      <c r="AK45" s="78"/>
      <c r="AL45" s="78"/>
      <c r="AM45" s="78"/>
      <c r="AN45" s="78"/>
      <c r="AO45" s="78"/>
      <c r="AP45" s="78"/>
      <c r="AQ45" s="78"/>
      <c r="AR45" s="78"/>
      <c r="AS45" s="78"/>
      <c r="AT45" s="91"/>
      <c r="AU45" s="78"/>
      <c r="AV45" s="78"/>
      <c r="AW45" s="78"/>
      <c r="AX45" s="78"/>
      <c r="AY45" s="78"/>
      <c r="AZ45" s="78"/>
      <c r="BA45" s="78"/>
      <c r="BB45" s="78"/>
      <c r="BC45" s="78"/>
      <c r="BD45" s="78"/>
      <c r="BE45" s="78"/>
      <c r="BF45" s="78"/>
      <c r="BG45" s="78"/>
      <c r="BH45" s="78"/>
      <c r="BI45" s="78"/>
      <c r="BJ45" s="78"/>
      <c r="BK45" s="78"/>
      <c r="BL45" s="78"/>
      <c r="BM45" s="78"/>
      <c r="BN45" s="78"/>
      <c r="BO45" s="78"/>
      <c r="BP45" s="78"/>
      <c r="BQ45" s="78"/>
      <c r="BR45" s="78"/>
      <c r="BS45" s="78"/>
      <c r="BT45" s="78"/>
      <c r="BU45" s="78"/>
      <c r="BV45" s="78"/>
      <c r="BW45" s="78"/>
      <c r="BX45" s="78"/>
      <c r="BY45" s="78"/>
      <c r="BZ45" s="78"/>
      <c r="CA45" s="78"/>
      <c r="CB45" s="78"/>
      <c r="CC45" s="78"/>
      <c r="CD45" s="78"/>
      <c r="CE45" s="78"/>
      <c r="CF45" s="78"/>
      <c r="CG45" s="78"/>
      <c r="CH45" s="78"/>
      <c r="CI45" s="78"/>
      <c r="CJ45" s="78"/>
      <c r="CK45" s="78"/>
      <c r="CL45" s="78"/>
      <c r="CM45" s="78"/>
      <c r="CN45" s="78"/>
      <c r="CO45" s="78"/>
      <c r="CP45" s="78"/>
      <c r="CQ45" s="78"/>
      <c r="CR45" s="78"/>
      <c r="CS45" s="78"/>
      <c r="CT45" s="78"/>
      <c r="CU45" s="78"/>
      <c r="CV45" s="78"/>
      <c r="CW45" s="78"/>
      <c r="CX45" s="78"/>
      <c r="CY45" s="78"/>
      <c r="CZ45" s="78"/>
      <c r="DA45" s="78"/>
      <c r="DB45" s="78"/>
      <c r="DC45" s="78"/>
      <c r="DD45" s="78"/>
      <c r="DE45" s="78"/>
      <c r="DF45" s="78"/>
      <c r="DG45" s="78"/>
      <c r="DH45" s="78"/>
      <c r="DI45" s="78"/>
      <c r="DJ45" s="78"/>
      <c r="DK45" s="78"/>
      <c r="DL45" s="78"/>
      <c r="DM45" s="78"/>
      <c r="DN45" s="78"/>
      <c r="DO45" s="78"/>
      <c r="DP45" s="78"/>
      <c r="DQ45" s="78"/>
      <c r="DR45" s="78"/>
      <c r="DS45" s="78"/>
      <c r="DT45" s="78"/>
      <c r="DU45" s="78"/>
      <c r="DV45" s="78"/>
      <c r="DW45" s="78"/>
      <c r="DX45" s="78"/>
      <c r="DY45" s="78"/>
      <c r="DZ45" s="78"/>
      <c r="EA45" s="78"/>
      <c r="EB45" s="78"/>
      <c r="EC45" s="78"/>
      <c r="ED45" s="78"/>
      <c r="EE45" s="78"/>
      <c r="EF45" s="78"/>
      <c r="EG45" s="78"/>
      <c r="EH45" s="78"/>
      <c r="EI45" s="91"/>
      <c r="EJ45" s="91"/>
      <c r="EK45" s="91"/>
      <c r="EL45" s="91"/>
      <c r="EM45" s="91"/>
      <c r="EN45" s="91"/>
      <c r="EO45" s="91"/>
      <c r="EP45" s="78"/>
      <c r="EQ45" s="78"/>
      <c r="ER45" s="78"/>
      <c r="ES45" s="78"/>
      <c r="ET45" s="78"/>
      <c r="EU45" s="78"/>
      <c r="EV45" s="78"/>
      <c r="EW45" s="78"/>
      <c r="EX45" s="78"/>
      <c r="EY45" s="78"/>
      <c r="EZ45" s="78"/>
      <c r="FA45" s="78"/>
      <c r="FB45" s="78"/>
      <c r="FC45" s="78"/>
      <c r="FD45" s="78"/>
      <c r="FE45" s="78"/>
      <c r="FF45" s="78"/>
      <c r="FG45" s="78"/>
      <c r="FH45" s="78"/>
      <c r="FI45" s="78"/>
      <c r="FJ45" s="78"/>
      <c r="FK45" s="78"/>
    </row>
    <row r="46" spans="1:167" hidden="1" outlineLevel="1">
      <c r="A46" s="29" t="str">
        <f t="shared" si="16"/>
        <v>cd_imv_out_prccknumcta</v>
      </c>
      <c r="B46" s="67" t="s">
        <v>26</v>
      </c>
      <c r="C46" s="68" t="s">
        <v>54</v>
      </c>
      <c r="D46" s="64" t="s">
        <v>40</v>
      </c>
      <c r="E46" s="66" t="s">
        <v>456</v>
      </c>
      <c r="F46" s="64" t="s">
        <v>458</v>
      </c>
      <c r="G46" s="64" t="e">
        <f>INDEX(Auxiliar!$B$16:$B$24,MATCH(Plano_V1!H46,Auxiliar!$C$16:$C$24,0),1)</f>
        <v>#N/A</v>
      </c>
      <c r="H46" s="64" t="e">
        <f>VLOOKUP(A46,'Aux - pivots1'!$A:$B,2,0)</f>
        <v>#N/A</v>
      </c>
      <c r="I46" s="84">
        <f>SUMIFS(Table1[Estimação (horas)],Table1[Tabela],Plano_V1!E46,Table1[Campo],Plano_V1!F46)</f>
        <v>0</v>
      </c>
      <c r="J46" s="84">
        <f t="shared" si="17"/>
        <v>0</v>
      </c>
      <c r="K46" s="89" t="s">
        <v>56</v>
      </c>
      <c r="L46" s="90">
        <f t="shared" si="14"/>
        <v>0</v>
      </c>
      <c r="M46" s="78"/>
      <c r="N46" s="78"/>
      <c r="O46" s="78"/>
      <c r="P46" s="78"/>
      <c r="Q46" s="78"/>
      <c r="R46" s="78"/>
      <c r="S46" s="78"/>
      <c r="T46" s="78"/>
      <c r="U46" s="78"/>
      <c r="V46" s="78"/>
      <c r="W46" s="78"/>
      <c r="X46" s="78"/>
      <c r="Y46" s="78"/>
      <c r="Z46" s="78"/>
      <c r="AA46" s="78"/>
      <c r="AB46" s="78"/>
      <c r="AC46" s="78"/>
      <c r="AD46" s="78"/>
      <c r="AE46" s="78"/>
      <c r="AF46" s="78"/>
      <c r="AG46" s="78"/>
      <c r="AH46" s="78"/>
      <c r="AI46" s="78"/>
      <c r="AJ46" s="78"/>
      <c r="AK46" s="78"/>
      <c r="AL46" s="78"/>
      <c r="AM46" s="78"/>
      <c r="AN46" s="78"/>
      <c r="AO46" s="78"/>
      <c r="AP46" s="78"/>
      <c r="AQ46" s="78"/>
      <c r="AR46" s="78"/>
      <c r="AS46" s="78"/>
      <c r="AT46" s="91"/>
      <c r="AU46" s="78"/>
      <c r="AV46" s="78"/>
      <c r="AW46" s="78"/>
      <c r="AX46" s="78"/>
      <c r="AY46" s="78"/>
      <c r="AZ46" s="78"/>
      <c r="BA46" s="78"/>
      <c r="BB46" s="78"/>
      <c r="BC46" s="78"/>
      <c r="BD46" s="78"/>
      <c r="BE46" s="78"/>
      <c r="BF46" s="78"/>
      <c r="BG46" s="78"/>
      <c r="BH46" s="78"/>
      <c r="BI46" s="78"/>
      <c r="BJ46" s="78"/>
      <c r="BK46" s="78"/>
      <c r="BL46" s="78"/>
      <c r="BM46" s="78"/>
      <c r="BN46" s="78"/>
      <c r="BO46" s="78"/>
      <c r="BP46" s="78"/>
      <c r="BQ46" s="78"/>
      <c r="BR46" s="78"/>
      <c r="BS46" s="78"/>
      <c r="BT46" s="78"/>
      <c r="BU46" s="78"/>
      <c r="BV46" s="78"/>
      <c r="BW46" s="78"/>
      <c r="BX46" s="78"/>
      <c r="BY46" s="78"/>
      <c r="BZ46" s="78"/>
      <c r="CA46" s="78"/>
      <c r="CB46" s="78"/>
      <c r="CC46" s="78"/>
      <c r="CD46" s="78"/>
      <c r="CE46" s="78"/>
      <c r="CF46" s="78"/>
      <c r="CG46" s="78"/>
      <c r="CH46" s="78"/>
      <c r="CI46" s="78"/>
      <c r="CJ46" s="78"/>
      <c r="CK46" s="78"/>
      <c r="CL46" s="78"/>
      <c r="CM46" s="78"/>
      <c r="CN46" s="78"/>
      <c r="CO46" s="78"/>
      <c r="CP46" s="78"/>
      <c r="CQ46" s="78"/>
      <c r="CR46" s="78"/>
      <c r="CS46" s="78"/>
      <c r="CT46" s="78"/>
      <c r="CU46" s="78"/>
      <c r="CV46" s="78"/>
      <c r="CW46" s="78"/>
      <c r="CX46" s="78"/>
      <c r="CY46" s="78"/>
      <c r="CZ46" s="78"/>
      <c r="DA46" s="78"/>
      <c r="DB46" s="78"/>
      <c r="DC46" s="78"/>
      <c r="DD46" s="78"/>
      <c r="DE46" s="78"/>
      <c r="DF46" s="78"/>
      <c r="DG46" s="78"/>
      <c r="DH46" s="78"/>
      <c r="DI46" s="78"/>
      <c r="DJ46" s="78"/>
      <c r="DK46" s="78"/>
      <c r="DL46" s="78"/>
      <c r="DM46" s="78"/>
      <c r="DN46" s="78"/>
      <c r="DO46" s="78"/>
      <c r="DP46" s="78"/>
      <c r="DQ46" s="78"/>
      <c r="DR46" s="78"/>
      <c r="DS46" s="78"/>
      <c r="DT46" s="78"/>
      <c r="DU46" s="78"/>
      <c r="DV46" s="78"/>
      <c r="DW46" s="78"/>
      <c r="DX46" s="78"/>
      <c r="DY46" s="78"/>
      <c r="DZ46" s="78"/>
      <c r="EA46" s="78"/>
      <c r="EB46" s="78"/>
      <c r="EC46" s="78"/>
      <c r="ED46" s="78"/>
      <c r="EE46" s="78"/>
      <c r="EF46" s="78"/>
      <c r="EG46" s="78"/>
      <c r="EH46" s="78"/>
      <c r="EI46" s="91"/>
      <c r="EJ46" s="91"/>
      <c r="EK46" s="91"/>
      <c r="EL46" s="91"/>
      <c r="EM46" s="91"/>
      <c r="EN46" s="91"/>
      <c r="EO46" s="91"/>
      <c r="EP46" s="78"/>
      <c r="EQ46" s="78"/>
      <c r="ER46" s="78"/>
      <c r="ES46" s="78"/>
      <c r="ET46" s="78"/>
      <c r="EU46" s="78"/>
      <c r="EV46" s="78"/>
      <c r="EW46" s="78"/>
      <c r="EX46" s="78"/>
      <c r="EY46" s="78"/>
      <c r="EZ46" s="78"/>
      <c r="FA46" s="78"/>
      <c r="FB46" s="78"/>
      <c r="FC46" s="78"/>
      <c r="FD46" s="78"/>
      <c r="FE46" s="78"/>
      <c r="FF46" s="78"/>
      <c r="FG46" s="78"/>
      <c r="FH46" s="78"/>
      <c r="FI46" s="78"/>
      <c r="FJ46" s="78"/>
      <c r="FK46" s="78"/>
    </row>
    <row r="47" spans="1:167" hidden="1" outlineLevel="1">
      <c r="A47" s="29" t="str">
        <f t="shared" si="16"/>
        <v>cd_imv_out_prccod_estd_prcs</v>
      </c>
      <c r="B47" s="67" t="s">
        <v>26</v>
      </c>
      <c r="C47" s="68" t="s">
        <v>54</v>
      </c>
      <c r="D47" s="64" t="s">
        <v>40</v>
      </c>
      <c r="E47" s="66" t="s">
        <v>456</v>
      </c>
      <c r="F47" s="64" t="s">
        <v>60</v>
      </c>
      <c r="G47" s="64" t="e">
        <f>INDEX(Auxiliar!$B$16:$B$24,MATCH(Plano_V1!H47,Auxiliar!$C$16:$C$24,0),1)</f>
        <v>#N/A</v>
      </c>
      <c r="H47" s="64" t="e">
        <f>VLOOKUP(A47,'Aux - pivots1'!$A:$B,2,0)</f>
        <v>#N/A</v>
      </c>
      <c r="I47" s="85">
        <v>0</v>
      </c>
      <c r="J47" s="84">
        <f t="shared" si="17"/>
        <v>0</v>
      </c>
      <c r="K47" s="89" t="s">
        <v>56</v>
      </c>
      <c r="L47" s="90">
        <f t="shared" si="14"/>
        <v>0</v>
      </c>
      <c r="M47" s="78"/>
      <c r="N47" s="78"/>
      <c r="O47" s="78"/>
      <c r="P47" s="78"/>
      <c r="Q47" s="78"/>
      <c r="R47" s="78"/>
      <c r="S47" s="78"/>
      <c r="T47" s="78"/>
      <c r="U47" s="78"/>
      <c r="V47" s="78"/>
      <c r="W47" s="78"/>
      <c r="X47" s="78"/>
      <c r="Y47" s="78"/>
      <c r="Z47" s="78"/>
      <c r="AA47" s="78"/>
      <c r="AB47" s="78"/>
      <c r="AC47" s="78"/>
      <c r="AD47" s="78"/>
      <c r="AE47" s="78"/>
      <c r="AF47" s="78"/>
      <c r="AG47" s="78"/>
      <c r="AH47" s="78"/>
      <c r="AI47" s="78"/>
      <c r="AJ47" s="78"/>
      <c r="AK47" s="78"/>
      <c r="AL47" s="78"/>
      <c r="AM47" s="78"/>
      <c r="AN47" s="78"/>
      <c r="AO47" s="78"/>
      <c r="AP47" s="78"/>
      <c r="AQ47" s="78"/>
      <c r="AR47" s="78"/>
      <c r="AS47" s="78"/>
      <c r="AT47" s="91"/>
      <c r="AU47" s="78"/>
      <c r="AV47" s="78"/>
      <c r="AW47" s="78"/>
      <c r="AX47" s="78"/>
      <c r="AY47" s="78"/>
      <c r="AZ47" s="78"/>
      <c r="BA47" s="78"/>
      <c r="BB47" s="78"/>
      <c r="BC47" s="78"/>
      <c r="BD47" s="78"/>
      <c r="BE47" s="78"/>
      <c r="BF47" s="78"/>
      <c r="BG47" s="78"/>
      <c r="BH47" s="78"/>
      <c r="BI47" s="78"/>
      <c r="BJ47" s="78"/>
      <c r="BK47" s="78"/>
      <c r="BL47" s="78"/>
      <c r="BM47" s="78"/>
      <c r="BN47" s="78"/>
      <c r="BO47" s="78"/>
      <c r="BP47" s="78"/>
      <c r="BQ47" s="78"/>
      <c r="BR47" s="78"/>
      <c r="BS47" s="78"/>
      <c r="BT47" s="78"/>
      <c r="BU47" s="78"/>
      <c r="BV47" s="78"/>
      <c r="BW47" s="78"/>
      <c r="BX47" s="78"/>
      <c r="BY47" s="78"/>
      <c r="BZ47" s="78"/>
      <c r="CA47" s="78"/>
      <c r="CB47" s="78"/>
      <c r="CC47" s="78"/>
      <c r="CD47" s="78"/>
      <c r="CE47" s="78"/>
      <c r="CF47" s="78"/>
      <c r="CG47" s="78"/>
      <c r="CH47" s="78"/>
      <c r="CI47" s="78"/>
      <c r="CJ47" s="78"/>
      <c r="CK47" s="78"/>
      <c r="CL47" s="78"/>
      <c r="CM47" s="78"/>
      <c r="CN47" s="78"/>
      <c r="CO47" s="78"/>
      <c r="CP47" s="78"/>
      <c r="CQ47" s="78"/>
      <c r="CR47" s="78"/>
      <c r="CS47" s="78"/>
      <c r="CT47" s="78"/>
      <c r="CU47" s="78"/>
      <c r="CV47" s="78"/>
      <c r="CW47" s="78"/>
      <c r="CX47" s="78"/>
      <c r="CY47" s="78"/>
      <c r="CZ47" s="78"/>
      <c r="DA47" s="78"/>
      <c r="DB47" s="78"/>
      <c r="DC47" s="78"/>
      <c r="DD47" s="78"/>
      <c r="DE47" s="78"/>
      <c r="DF47" s="78"/>
      <c r="DG47" s="78"/>
      <c r="DH47" s="78"/>
      <c r="DI47" s="78"/>
      <c r="DJ47" s="78"/>
      <c r="DK47" s="78"/>
      <c r="DL47" s="78"/>
      <c r="DM47" s="78"/>
      <c r="DN47" s="78"/>
      <c r="DO47" s="78"/>
      <c r="DP47" s="78"/>
      <c r="DQ47" s="78"/>
      <c r="DR47" s="78"/>
      <c r="DS47" s="78"/>
      <c r="DT47" s="78"/>
      <c r="DU47" s="78"/>
      <c r="DV47" s="78"/>
      <c r="DW47" s="78"/>
      <c r="DX47" s="78"/>
      <c r="DY47" s="78"/>
      <c r="DZ47" s="78"/>
      <c r="EA47" s="78"/>
      <c r="EB47" s="78"/>
      <c r="EC47" s="78"/>
      <c r="ED47" s="78"/>
      <c r="EE47" s="78"/>
      <c r="EF47" s="78"/>
      <c r="EG47" s="78"/>
      <c r="EH47" s="78"/>
      <c r="EI47" s="91"/>
      <c r="EJ47" s="91"/>
      <c r="EK47" s="91"/>
      <c r="EL47" s="91"/>
      <c r="EM47" s="91"/>
      <c r="EN47" s="91"/>
      <c r="EO47" s="91"/>
      <c r="EP47" s="78"/>
      <c r="EQ47" s="78"/>
      <c r="ER47" s="78"/>
      <c r="ES47" s="78"/>
      <c r="ET47" s="78"/>
      <c r="EU47" s="78"/>
      <c r="EV47" s="78"/>
      <c r="EW47" s="78"/>
      <c r="EX47" s="78"/>
      <c r="EY47" s="78"/>
      <c r="EZ47" s="78"/>
      <c r="FA47" s="78"/>
      <c r="FB47" s="78"/>
      <c r="FC47" s="78"/>
      <c r="FD47" s="78"/>
      <c r="FE47" s="78"/>
      <c r="FF47" s="78"/>
      <c r="FG47" s="78"/>
      <c r="FH47" s="78"/>
      <c r="FI47" s="78"/>
      <c r="FJ47" s="78"/>
      <c r="FK47" s="78"/>
    </row>
    <row r="48" spans="1:167" hidden="1" outlineLevel="1">
      <c r="A48" s="29" t="str">
        <f t="shared" si="16"/>
        <v>cd_imv_out_prccod_grt</v>
      </c>
      <c r="B48" s="67" t="s">
        <v>26</v>
      </c>
      <c r="C48" s="68" t="s">
        <v>54</v>
      </c>
      <c r="D48" s="64" t="s">
        <v>40</v>
      </c>
      <c r="E48" s="66" t="s">
        <v>456</v>
      </c>
      <c r="F48" s="64" t="s">
        <v>459</v>
      </c>
      <c r="G48" s="64" t="e">
        <f>INDEX(Auxiliar!$B$16:$B$24,MATCH(Plano_V1!H48,Auxiliar!$C$16:$C$24,0),1)</f>
        <v>#N/A</v>
      </c>
      <c r="H48" s="64" t="e">
        <f>VLOOKUP(A48,'Aux - pivots1'!$A:$B,2,0)</f>
        <v>#N/A</v>
      </c>
      <c r="I48" s="84">
        <f>SUMIFS(Table1[Estimação (horas)],Table1[Tabela],Plano_V1!E48,Table1[Campo],Plano_V1!F48)</f>
        <v>0</v>
      </c>
      <c r="J48" s="84">
        <f t="shared" si="17"/>
        <v>0</v>
      </c>
      <c r="K48" s="89" t="s">
        <v>56</v>
      </c>
      <c r="L48" s="90">
        <f t="shared" si="14"/>
        <v>0</v>
      </c>
      <c r="M48" s="78"/>
      <c r="N48" s="78"/>
      <c r="O48" s="78"/>
      <c r="P48" s="78"/>
      <c r="Q48" s="78"/>
      <c r="R48" s="78"/>
      <c r="S48" s="78"/>
      <c r="T48" s="78"/>
      <c r="U48" s="78"/>
      <c r="V48" s="78"/>
      <c r="W48" s="78"/>
      <c r="X48" s="78"/>
      <c r="Y48" s="78"/>
      <c r="Z48" s="78"/>
      <c r="AA48" s="78"/>
      <c r="AB48" s="78"/>
      <c r="AC48" s="78"/>
      <c r="AD48" s="78"/>
      <c r="AE48" s="78"/>
      <c r="AF48" s="78"/>
      <c r="AG48" s="78"/>
      <c r="AH48" s="78"/>
      <c r="AI48" s="78"/>
      <c r="AJ48" s="78"/>
      <c r="AK48" s="78"/>
      <c r="AL48" s="78"/>
      <c r="AM48" s="78"/>
      <c r="AN48" s="78"/>
      <c r="AO48" s="78"/>
      <c r="AP48" s="78"/>
      <c r="AQ48" s="78"/>
      <c r="AR48" s="78"/>
      <c r="AS48" s="78"/>
      <c r="AT48" s="91"/>
      <c r="AU48" s="78"/>
      <c r="AV48" s="78"/>
      <c r="AW48" s="78"/>
      <c r="AX48" s="78"/>
      <c r="AY48" s="78"/>
      <c r="AZ48" s="78"/>
      <c r="BA48" s="78"/>
      <c r="BB48" s="78"/>
      <c r="BC48" s="78"/>
      <c r="BD48" s="78"/>
      <c r="BE48" s="78"/>
      <c r="BF48" s="78"/>
      <c r="BG48" s="78"/>
      <c r="BH48" s="78"/>
      <c r="BI48" s="78"/>
      <c r="BJ48" s="78"/>
      <c r="BK48" s="78"/>
      <c r="BL48" s="78"/>
      <c r="BM48" s="78"/>
      <c r="BN48" s="78"/>
      <c r="BO48" s="78"/>
      <c r="BP48" s="78"/>
      <c r="BQ48" s="78"/>
      <c r="BR48" s="78"/>
      <c r="BS48" s="78"/>
      <c r="BT48" s="78"/>
      <c r="BU48" s="78"/>
      <c r="BV48" s="78"/>
      <c r="BW48" s="78"/>
      <c r="BX48" s="78"/>
      <c r="BY48" s="78"/>
      <c r="BZ48" s="78"/>
      <c r="CA48" s="78"/>
      <c r="CB48" s="78"/>
      <c r="CC48" s="78"/>
      <c r="CD48" s="78"/>
      <c r="CE48" s="78"/>
      <c r="CF48" s="78"/>
      <c r="CG48" s="78"/>
      <c r="CH48" s="78"/>
      <c r="CI48" s="78"/>
      <c r="CJ48" s="78"/>
      <c r="CK48" s="78"/>
      <c r="CL48" s="78"/>
      <c r="CM48" s="78"/>
      <c r="CN48" s="78"/>
      <c r="CO48" s="78"/>
      <c r="CP48" s="78"/>
      <c r="CQ48" s="78"/>
      <c r="CR48" s="78"/>
      <c r="CS48" s="78"/>
      <c r="CT48" s="78"/>
      <c r="CU48" s="78"/>
      <c r="CV48" s="78"/>
      <c r="CW48" s="78"/>
      <c r="CX48" s="78"/>
      <c r="CY48" s="78"/>
      <c r="CZ48" s="78"/>
      <c r="DA48" s="78"/>
      <c r="DB48" s="78"/>
      <c r="DC48" s="78"/>
      <c r="DD48" s="78"/>
      <c r="DE48" s="78"/>
      <c r="DF48" s="78"/>
      <c r="DG48" s="78"/>
      <c r="DH48" s="78"/>
      <c r="DI48" s="78"/>
      <c r="DJ48" s="78"/>
      <c r="DK48" s="78"/>
      <c r="DL48" s="78"/>
      <c r="DM48" s="78"/>
      <c r="DN48" s="78"/>
      <c r="DO48" s="78"/>
      <c r="DP48" s="78"/>
      <c r="DQ48" s="78"/>
      <c r="DR48" s="78"/>
      <c r="DS48" s="78"/>
      <c r="DT48" s="78"/>
      <c r="DU48" s="78"/>
      <c r="DV48" s="78"/>
      <c r="DW48" s="78"/>
      <c r="DX48" s="78"/>
      <c r="DY48" s="78"/>
      <c r="DZ48" s="78"/>
      <c r="EA48" s="78"/>
      <c r="EB48" s="78"/>
      <c r="EC48" s="78"/>
      <c r="ED48" s="78"/>
      <c r="EE48" s="78"/>
      <c r="EF48" s="78"/>
      <c r="EG48" s="78"/>
      <c r="EH48" s="78"/>
      <c r="EI48" s="91"/>
      <c r="EJ48" s="91"/>
      <c r="EK48" s="91"/>
      <c r="EL48" s="91"/>
      <c r="EM48" s="91"/>
      <c r="EN48" s="91"/>
      <c r="EO48" s="91"/>
      <c r="EP48" s="78"/>
      <c r="EQ48" s="78"/>
      <c r="ER48" s="78"/>
      <c r="ES48" s="78"/>
      <c r="ET48" s="78"/>
      <c r="EU48" s="78"/>
      <c r="EV48" s="78"/>
      <c r="EW48" s="78"/>
      <c r="EX48" s="78"/>
      <c r="EY48" s="78"/>
      <c r="EZ48" s="78"/>
      <c r="FA48" s="78"/>
      <c r="FB48" s="78"/>
      <c r="FC48" s="78"/>
      <c r="FD48" s="78"/>
      <c r="FE48" s="78"/>
      <c r="FF48" s="78"/>
      <c r="FG48" s="78"/>
      <c r="FH48" s="78"/>
      <c r="FI48" s="78"/>
      <c r="FJ48" s="78"/>
      <c r="FK48" s="78"/>
    </row>
    <row r="49" spans="1:167" hidden="1" outlineLevel="1">
      <c r="A49" s="29" t="str">
        <f t="shared" si="16"/>
        <v>cd_imv_out_prccod_moeda</v>
      </c>
      <c r="B49" s="67" t="s">
        <v>26</v>
      </c>
      <c r="C49" s="68" t="s">
        <v>54</v>
      </c>
      <c r="D49" s="64" t="s">
        <v>40</v>
      </c>
      <c r="E49" s="66" t="s">
        <v>456</v>
      </c>
      <c r="F49" s="64" t="s">
        <v>460</v>
      </c>
      <c r="G49" s="64" t="e">
        <f>INDEX(Auxiliar!$B$16:$B$24,MATCH(Plano_V1!H49,Auxiliar!$C$16:$C$24,0),1)</f>
        <v>#N/A</v>
      </c>
      <c r="H49" s="64" t="e">
        <f>VLOOKUP(A49,'Aux - pivots1'!$A:$B,2,0)</f>
        <v>#N/A</v>
      </c>
      <c r="I49" s="84">
        <f>SUMIFS(Table1[Estimação (horas)],Table1[Tabela],Plano_V1!E49,Table1[Campo],Plano_V1!F49)</f>
        <v>0</v>
      </c>
      <c r="J49" s="84">
        <f t="shared" si="17"/>
        <v>0</v>
      </c>
      <c r="K49" s="89" t="s">
        <v>56</v>
      </c>
      <c r="L49" s="90">
        <f t="shared" si="14"/>
        <v>0</v>
      </c>
      <c r="M49" s="78"/>
      <c r="N49" s="78"/>
      <c r="O49" s="78"/>
      <c r="P49" s="78"/>
      <c r="Q49" s="78"/>
      <c r="R49" s="78"/>
      <c r="S49" s="78"/>
      <c r="T49" s="78"/>
      <c r="U49" s="78"/>
      <c r="V49" s="78"/>
      <c r="W49" s="78"/>
      <c r="X49" s="78"/>
      <c r="Y49" s="78"/>
      <c r="Z49" s="78"/>
      <c r="AA49" s="78"/>
      <c r="AB49" s="78"/>
      <c r="AC49" s="78"/>
      <c r="AD49" s="78"/>
      <c r="AE49" s="78"/>
      <c r="AF49" s="78"/>
      <c r="AG49" s="78"/>
      <c r="AH49" s="78"/>
      <c r="AI49" s="78"/>
      <c r="AJ49" s="78"/>
      <c r="AK49" s="78"/>
      <c r="AL49" s="78"/>
      <c r="AM49" s="78"/>
      <c r="AN49" s="78"/>
      <c r="AO49" s="78"/>
      <c r="AP49" s="78"/>
      <c r="AQ49" s="78"/>
      <c r="AR49" s="78"/>
      <c r="AS49" s="78"/>
      <c r="AT49" s="91"/>
      <c r="AU49" s="78"/>
      <c r="AV49" s="78"/>
      <c r="AW49" s="78"/>
      <c r="AX49" s="78"/>
      <c r="AY49" s="78"/>
      <c r="AZ49" s="78"/>
      <c r="BA49" s="78"/>
      <c r="BB49" s="78"/>
      <c r="BC49" s="78"/>
      <c r="BD49" s="78"/>
      <c r="BE49" s="78"/>
      <c r="BF49" s="78"/>
      <c r="BG49" s="78"/>
      <c r="BH49" s="78"/>
      <c r="BI49" s="78"/>
      <c r="BJ49" s="78"/>
      <c r="BK49" s="78"/>
      <c r="BL49" s="78"/>
      <c r="BM49" s="78"/>
      <c r="BN49" s="78"/>
      <c r="BO49" s="78"/>
      <c r="BP49" s="78"/>
      <c r="BQ49" s="78"/>
      <c r="BR49" s="78"/>
      <c r="BS49" s="78"/>
      <c r="BT49" s="78"/>
      <c r="BU49" s="78"/>
      <c r="BV49" s="78"/>
      <c r="BW49" s="78"/>
      <c r="BX49" s="78"/>
      <c r="BY49" s="78"/>
      <c r="BZ49" s="78"/>
      <c r="CA49" s="78"/>
      <c r="CB49" s="78"/>
      <c r="CC49" s="78"/>
      <c r="CD49" s="78"/>
      <c r="CE49" s="78"/>
      <c r="CF49" s="78"/>
      <c r="CG49" s="78"/>
      <c r="CH49" s="78"/>
      <c r="CI49" s="78"/>
      <c r="CJ49" s="78"/>
      <c r="CK49" s="78"/>
      <c r="CL49" s="78"/>
      <c r="CM49" s="78"/>
      <c r="CN49" s="78"/>
      <c r="CO49" s="78"/>
      <c r="CP49" s="78"/>
      <c r="CQ49" s="78"/>
      <c r="CR49" s="78"/>
      <c r="CS49" s="78"/>
      <c r="CT49" s="78"/>
      <c r="CU49" s="78"/>
      <c r="CV49" s="78"/>
      <c r="CW49" s="78"/>
      <c r="CX49" s="78"/>
      <c r="CY49" s="78"/>
      <c r="CZ49" s="78"/>
      <c r="DA49" s="78"/>
      <c r="DB49" s="78"/>
      <c r="DC49" s="78"/>
      <c r="DD49" s="78"/>
      <c r="DE49" s="78"/>
      <c r="DF49" s="78"/>
      <c r="DG49" s="78"/>
      <c r="DH49" s="78"/>
      <c r="DI49" s="78"/>
      <c r="DJ49" s="78"/>
      <c r="DK49" s="78"/>
      <c r="DL49" s="78"/>
      <c r="DM49" s="78"/>
      <c r="DN49" s="78"/>
      <c r="DO49" s="78"/>
      <c r="DP49" s="78"/>
      <c r="DQ49" s="78"/>
      <c r="DR49" s="78"/>
      <c r="DS49" s="78"/>
      <c r="DT49" s="78"/>
      <c r="DU49" s="78"/>
      <c r="DV49" s="78"/>
      <c r="DW49" s="78"/>
      <c r="DX49" s="78"/>
      <c r="DY49" s="78"/>
      <c r="DZ49" s="78"/>
      <c r="EA49" s="78"/>
      <c r="EB49" s="78"/>
      <c r="EC49" s="78"/>
      <c r="ED49" s="78"/>
      <c r="EE49" s="78"/>
      <c r="EF49" s="78"/>
      <c r="EG49" s="78"/>
      <c r="EH49" s="78"/>
      <c r="EI49" s="91"/>
      <c r="EJ49" s="91"/>
      <c r="EK49" s="91"/>
      <c r="EL49" s="91"/>
      <c r="EM49" s="91"/>
      <c r="EN49" s="91"/>
      <c r="EO49" s="91"/>
      <c r="EP49" s="78"/>
      <c r="EQ49" s="78"/>
      <c r="ER49" s="78"/>
      <c r="ES49" s="78"/>
      <c r="ET49" s="78"/>
      <c r="EU49" s="78"/>
      <c r="EV49" s="78"/>
      <c r="EW49" s="78"/>
      <c r="EX49" s="78"/>
      <c r="EY49" s="78"/>
      <c r="EZ49" s="78"/>
      <c r="FA49" s="78"/>
      <c r="FB49" s="78"/>
      <c r="FC49" s="78"/>
      <c r="FD49" s="78"/>
      <c r="FE49" s="78"/>
      <c r="FF49" s="78"/>
      <c r="FG49" s="78"/>
      <c r="FH49" s="78"/>
      <c r="FI49" s="78"/>
      <c r="FJ49" s="78"/>
      <c r="FK49" s="78"/>
    </row>
    <row r="50" spans="1:167" hidden="1" outlineLevel="1">
      <c r="A50" s="29" t="str">
        <f t="shared" si="16"/>
        <v>cd_imv_out_prccod_observacao</v>
      </c>
      <c r="B50" s="67" t="s">
        <v>26</v>
      </c>
      <c r="C50" s="68" t="s">
        <v>54</v>
      </c>
      <c r="D50" s="64" t="s">
        <v>40</v>
      </c>
      <c r="E50" s="66" t="s">
        <v>456</v>
      </c>
      <c r="F50" s="64" t="s">
        <v>461</v>
      </c>
      <c r="G50" s="64" t="e">
        <f>INDEX(Auxiliar!$B$16:$B$24,MATCH(Plano_V1!H50,Auxiliar!$C$16:$C$24,0),1)</f>
        <v>#N/A</v>
      </c>
      <c r="H50" s="64" t="e">
        <f>VLOOKUP(A50,'Aux - pivots1'!$A:$B,2,0)</f>
        <v>#N/A</v>
      </c>
      <c r="I50" s="84">
        <f>SUMIFS(Table1[Estimação (horas)],Table1[Tabela],Plano_V1!E50,Table1[Campo],Plano_V1!F50)</f>
        <v>0</v>
      </c>
      <c r="J50" s="84">
        <f t="shared" si="17"/>
        <v>0</v>
      </c>
      <c r="K50" s="89" t="s">
        <v>56</v>
      </c>
      <c r="L50" s="90">
        <f t="shared" si="14"/>
        <v>0</v>
      </c>
      <c r="M50" s="78"/>
      <c r="N50" s="78"/>
      <c r="O50" s="78"/>
      <c r="P50" s="78"/>
      <c r="Q50" s="78"/>
      <c r="R50" s="78"/>
      <c r="S50" s="78"/>
      <c r="T50" s="78"/>
      <c r="U50" s="78"/>
      <c r="V50" s="78"/>
      <c r="W50" s="78"/>
      <c r="X50" s="78"/>
      <c r="Y50" s="78"/>
      <c r="Z50" s="78"/>
      <c r="AA50" s="78"/>
      <c r="AB50" s="78"/>
      <c r="AC50" s="78"/>
      <c r="AD50" s="78"/>
      <c r="AE50" s="78"/>
      <c r="AF50" s="78"/>
      <c r="AG50" s="78"/>
      <c r="AH50" s="78"/>
      <c r="AI50" s="78"/>
      <c r="AJ50" s="78"/>
      <c r="AK50" s="78"/>
      <c r="AL50" s="78"/>
      <c r="AM50" s="78"/>
      <c r="AN50" s="78"/>
      <c r="AO50" s="78"/>
      <c r="AP50" s="78"/>
      <c r="AQ50" s="78"/>
      <c r="AR50" s="78"/>
      <c r="AS50" s="78"/>
      <c r="AT50" s="91"/>
      <c r="AU50" s="78"/>
      <c r="AV50" s="78"/>
      <c r="AW50" s="78"/>
      <c r="AX50" s="78"/>
      <c r="AY50" s="78"/>
      <c r="AZ50" s="78"/>
      <c r="BA50" s="78"/>
      <c r="BB50" s="78"/>
      <c r="BC50" s="78"/>
      <c r="BD50" s="78"/>
      <c r="BE50" s="78"/>
      <c r="BF50" s="78"/>
      <c r="BG50" s="78"/>
      <c r="BH50" s="78"/>
      <c r="BI50" s="78"/>
      <c r="BJ50" s="78"/>
      <c r="BK50" s="78"/>
      <c r="BL50" s="78"/>
      <c r="BM50" s="78"/>
      <c r="BN50" s="78"/>
      <c r="BO50" s="78"/>
      <c r="BP50" s="78"/>
      <c r="BQ50" s="78"/>
      <c r="BR50" s="78"/>
      <c r="BS50" s="78"/>
      <c r="BT50" s="78"/>
      <c r="BU50" s="78"/>
      <c r="BV50" s="78"/>
      <c r="BW50" s="78"/>
      <c r="BX50" s="78"/>
      <c r="BY50" s="78"/>
      <c r="BZ50" s="78"/>
      <c r="CA50" s="78"/>
      <c r="CB50" s="78"/>
      <c r="CC50" s="78"/>
      <c r="CD50" s="78"/>
      <c r="CE50" s="78"/>
      <c r="CF50" s="78"/>
      <c r="CG50" s="78"/>
      <c r="CH50" s="78"/>
      <c r="CI50" s="78"/>
      <c r="CJ50" s="78"/>
      <c r="CK50" s="78"/>
      <c r="CL50" s="78"/>
      <c r="CM50" s="78"/>
      <c r="CN50" s="78"/>
      <c r="CO50" s="78"/>
      <c r="CP50" s="78"/>
      <c r="CQ50" s="78"/>
      <c r="CR50" s="78"/>
      <c r="CS50" s="78"/>
      <c r="CT50" s="78"/>
      <c r="CU50" s="78"/>
      <c r="CV50" s="78"/>
      <c r="CW50" s="78"/>
      <c r="CX50" s="78"/>
      <c r="CY50" s="78"/>
      <c r="CZ50" s="78"/>
      <c r="DA50" s="78"/>
      <c r="DB50" s="78"/>
      <c r="DC50" s="78"/>
      <c r="DD50" s="78"/>
      <c r="DE50" s="78"/>
      <c r="DF50" s="78"/>
      <c r="DG50" s="78"/>
      <c r="DH50" s="78"/>
      <c r="DI50" s="78"/>
      <c r="DJ50" s="78"/>
      <c r="DK50" s="78"/>
      <c r="DL50" s="78"/>
      <c r="DM50" s="78"/>
      <c r="DN50" s="78"/>
      <c r="DO50" s="78"/>
      <c r="DP50" s="78"/>
      <c r="DQ50" s="78"/>
      <c r="DR50" s="78"/>
      <c r="DS50" s="78"/>
      <c r="DT50" s="78"/>
      <c r="DU50" s="78"/>
      <c r="DV50" s="78"/>
      <c r="DW50" s="78"/>
      <c r="DX50" s="78"/>
      <c r="DY50" s="78"/>
      <c r="DZ50" s="78"/>
      <c r="EA50" s="78"/>
      <c r="EB50" s="78"/>
      <c r="EC50" s="78"/>
      <c r="ED50" s="78"/>
      <c r="EE50" s="78"/>
      <c r="EF50" s="78"/>
      <c r="EG50" s="78"/>
      <c r="EH50" s="78"/>
      <c r="EI50" s="91"/>
      <c r="EJ50" s="91"/>
      <c r="EK50" s="91"/>
      <c r="EL50" s="91"/>
      <c r="EM50" s="91"/>
      <c r="EN50" s="91"/>
      <c r="EO50" s="91"/>
      <c r="EP50" s="78"/>
      <c r="EQ50" s="78"/>
      <c r="ER50" s="78"/>
      <c r="ES50" s="78"/>
      <c r="ET50" s="78"/>
      <c r="EU50" s="78"/>
      <c r="EV50" s="78"/>
      <c r="EW50" s="78"/>
      <c r="EX50" s="78"/>
      <c r="EY50" s="78"/>
      <c r="EZ50" s="78"/>
      <c r="FA50" s="78"/>
      <c r="FB50" s="78"/>
      <c r="FC50" s="78"/>
      <c r="FD50" s="78"/>
      <c r="FE50" s="78"/>
      <c r="FF50" s="78"/>
      <c r="FG50" s="78"/>
      <c r="FH50" s="78"/>
      <c r="FI50" s="78"/>
      <c r="FJ50" s="78"/>
      <c r="FK50" s="78"/>
    </row>
    <row r="51" spans="1:167" hidden="1" outlineLevel="1">
      <c r="A51" s="29" t="str">
        <f t="shared" si="16"/>
        <v>cd_imv_out_prccod_prd_grnt</v>
      </c>
      <c r="B51" s="67" t="s">
        <v>26</v>
      </c>
      <c r="C51" s="68" t="s">
        <v>54</v>
      </c>
      <c r="D51" s="64" t="s">
        <v>40</v>
      </c>
      <c r="E51" s="66" t="s">
        <v>456</v>
      </c>
      <c r="F51" s="64" t="s">
        <v>462</v>
      </c>
      <c r="G51" s="64" t="e">
        <f>INDEX(Auxiliar!$B$16:$B$24,MATCH(Plano_V1!H51,Auxiliar!$C$16:$C$24,0),1)</f>
        <v>#N/A</v>
      </c>
      <c r="H51" s="64" t="e">
        <f>VLOOKUP(A51,'Aux - pivots1'!$A:$B,2,0)</f>
        <v>#N/A</v>
      </c>
      <c r="I51" s="84">
        <f>SUMIFS(Table1[Estimação (horas)],Table1[Tabela],Plano_V1!E51,Table1[Campo],Plano_V1!F51)</f>
        <v>0</v>
      </c>
      <c r="J51" s="84">
        <f t="shared" si="17"/>
        <v>0</v>
      </c>
      <c r="K51" s="89" t="s">
        <v>56</v>
      </c>
      <c r="L51" s="90">
        <f t="shared" si="14"/>
        <v>0</v>
      </c>
      <c r="M51" s="78"/>
      <c r="N51" s="78"/>
      <c r="O51" s="78"/>
      <c r="P51" s="78"/>
      <c r="Q51" s="78"/>
      <c r="R51" s="78"/>
      <c r="S51" s="78"/>
      <c r="T51" s="78"/>
      <c r="U51" s="78"/>
      <c r="V51" s="78"/>
      <c r="W51" s="78"/>
      <c r="X51" s="78"/>
      <c r="Y51" s="78"/>
      <c r="Z51" s="78"/>
      <c r="AA51" s="78"/>
      <c r="AB51" s="78"/>
      <c r="AC51" s="78"/>
      <c r="AD51" s="78"/>
      <c r="AE51" s="78"/>
      <c r="AF51" s="78"/>
      <c r="AG51" s="78"/>
      <c r="AH51" s="78"/>
      <c r="AI51" s="78"/>
      <c r="AJ51" s="78"/>
      <c r="AK51" s="78"/>
      <c r="AL51" s="78"/>
      <c r="AM51" s="78"/>
      <c r="AN51" s="78"/>
      <c r="AO51" s="78"/>
      <c r="AP51" s="78"/>
      <c r="AQ51" s="78"/>
      <c r="AR51" s="78"/>
      <c r="AS51" s="78"/>
      <c r="AT51" s="91"/>
      <c r="AU51" s="78"/>
      <c r="AV51" s="78"/>
      <c r="AW51" s="78"/>
      <c r="AX51" s="78"/>
      <c r="AY51" s="78"/>
      <c r="AZ51" s="78"/>
      <c r="BA51" s="78"/>
      <c r="BB51" s="78"/>
      <c r="BC51" s="78"/>
      <c r="BD51" s="78"/>
      <c r="BE51" s="78"/>
      <c r="BF51" s="78"/>
      <c r="BG51" s="78"/>
      <c r="BH51" s="78"/>
      <c r="BI51" s="78"/>
      <c r="BJ51" s="78"/>
      <c r="BK51" s="78"/>
      <c r="BL51" s="78"/>
      <c r="BM51" s="78"/>
      <c r="BN51" s="78"/>
      <c r="BO51" s="78"/>
      <c r="BP51" s="78"/>
      <c r="BQ51" s="78"/>
      <c r="BR51" s="78"/>
      <c r="BS51" s="78"/>
      <c r="BT51" s="78"/>
      <c r="BU51" s="78"/>
      <c r="BV51" s="78"/>
      <c r="BW51" s="78"/>
      <c r="BX51" s="78"/>
      <c r="BY51" s="78"/>
      <c r="BZ51" s="78"/>
      <c r="CA51" s="78"/>
      <c r="CB51" s="78"/>
      <c r="CC51" s="78"/>
      <c r="CD51" s="78"/>
      <c r="CE51" s="78"/>
      <c r="CF51" s="78"/>
      <c r="CG51" s="78"/>
      <c r="CH51" s="78"/>
      <c r="CI51" s="78"/>
      <c r="CJ51" s="78"/>
      <c r="CK51" s="78"/>
      <c r="CL51" s="78"/>
      <c r="CM51" s="78"/>
      <c r="CN51" s="78"/>
      <c r="CO51" s="78"/>
      <c r="CP51" s="78"/>
      <c r="CQ51" s="78"/>
      <c r="CR51" s="78"/>
      <c r="CS51" s="78"/>
      <c r="CT51" s="78"/>
      <c r="CU51" s="78"/>
      <c r="CV51" s="78"/>
      <c r="CW51" s="78"/>
      <c r="CX51" s="78"/>
      <c r="CY51" s="78"/>
      <c r="CZ51" s="78"/>
      <c r="DA51" s="78"/>
      <c r="DB51" s="78"/>
      <c r="DC51" s="78"/>
      <c r="DD51" s="78"/>
      <c r="DE51" s="78"/>
      <c r="DF51" s="78"/>
      <c r="DG51" s="78"/>
      <c r="DH51" s="78"/>
      <c r="DI51" s="78"/>
      <c r="DJ51" s="78"/>
      <c r="DK51" s="78"/>
      <c r="DL51" s="78"/>
      <c r="DM51" s="78"/>
      <c r="DN51" s="78"/>
      <c r="DO51" s="78"/>
      <c r="DP51" s="78"/>
      <c r="DQ51" s="78"/>
      <c r="DR51" s="78"/>
      <c r="DS51" s="78"/>
      <c r="DT51" s="78"/>
      <c r="DU51" s="78"/>
      <c r="DV51" s="78"/>
      <c r="DW51" s="78"/>
      <c r="DX51" s="78"/>
      <c r="DY51" s="78"/>
      <c r="DZ51" s="78"/>
      <c r="EA51" s="78"/>
      <c r="EB51" s="78"/>
      <c r="EC51" s="78"/>
      <c r="ED51" s="78"/>
      <c r="EE51" s="78"/>
      <c r="EF51" s="78"/>
      <c r="EG51" s="78"/>
      <c r="EH51" s="78"/>
      <c r="EI51" s="91"/>
      <c r="EJ51" s="91"/>
      <c r="EK51" s="91"/>
      <c r="EL51" s="91"/>
      <c r="EM51" s="91"/>
      <c r="EN51" s="91"/>
      <c r="EO51" s="91"/>
      <c r="EP51" s="78"/>
      <c r="EQ51" s="78"/>
      <c r="ER51" s="78"/>
      <c r="ES51" s="78"/>
      <c r="ET51" s="78"/>
      <c r="EU51" s="78"/>
      <c r="EV51" s="78"/>
      <c r="EW51" s="78"/>
      <c r="EX51" s="78"/>
      <c r="EY51" s="78"/>
      <c r="EZ51" s="78"/>
      <c r="FA51" s="78"/>
      <c r="FB51" s="78"/>
      <c r="FC51" s="78"/>
      <c r="FD51" s="78"/>
      <c r="FE51" s="78"/>
      <c r="FF51" s="78"/>
      <c r="FG51" s="78"/>
      <c r="FH51" s="78"/>
      <c r="FI51" s="78"/>
      <c r="FJ51" s="78"/>
      <c r="FK51" s="78"/>
    </row>
    <row r="52" spans="1:167" hidden="1" outlineLevel="1">
      <c r="A52" s="29" t="str">
        <f t="shared" si="16"/>
        <v>cd_imv_out_prccod_sprd_grnt</v>
      </c>
      <c r="B52" s="67" t="s">
        <v>26</v>
      </c>
      <c r="C52" s="68" t="s">
        <v>54</v>
      </c>
      <c r="D52" s="64" t="s">
        <v>40</v>
      </c>
      <c r="E52" s="66" t="s">
        <v>456</v>
      </c>
      <c r="F52" s="64" t="s">
        <v>463</v>
      </c>
      <c r="G52" s="64" t="e">
        <f>INDEX(Auxiliar!$B$16:$B$24,MATCH(Plano_V1!H52,Auxiliar!$C$16:$C$24,0),1)</f>
        <v>#N/A</v>
      </c>
      <c r="H52" s="64" t="e">
        <f>VLOOKUP(A52,'Aux - pivots1'!$A:$B,2,0)</f>
        <v>#N/A</v>
      </c>
      <c r="I52" s="84">
        <f>SUMIFS(Table1[Estimação (horas)],Table1[Tabela],Plano_V1!E52,Table1[Campo],Plano_V1!F52)</f>
        <v>0</v>
      </c>
      <c r="J52" s="84">
        <f t="shared" si="17"/>
        <v>0</v>
      </c>
      <c r="K52" s="89" t="s">
        <v>56</v>
      </c>
      <c r="L52" s="90">
        <f t="shared" si="14"/>
        <v>0</v>
      </c>
      <c r="M52" s="78"/>
      <c r="N52" s="78"/>
      <c r="O52" s="78"/>
      <c r="P52" s="78"/>
      <c r="Q52" s="78"/>
      <c r="R52" s="78"/>
      <c r="S52" s="78"/>
      <c r="T52" s="78"/>
      <c r="U52" s="78"/>
      <c r="V52" s="78"/>
      <c r="W52" s="78"/>
      <c r="X52" s="78"/>
      <c r="Y52" s="78"/>
      <c r="Z52" s="78"/>
      <c r="AA52" s="78"/>
      <c r="AB52" s="78"/>
      <c r="AC52" s="78"/>
      <c r="AD52" s="78"/>
      <c r="AE52" s="78"/>
      <c r="AF52" s="78"/>
      <c r="AG52" s="78"/>
      <c r="AH52" s="78"/>
      <c r="AI52" s="78"/>
      <c r="AJ52" s="78"/>
      <c r="AK52" s="78"/>
      <c r="AL52" s="78"/>
      <c r="AM52" s="78"/>
      <c r="AN52" s="78"/>
      <c r="AO52" s="78"/>
      <c r="AP52" s="78"/>
      <c r="AQ52" s="78"/>
      <c r="AR52" s="78"/>
      <c r="AS52" s="78"/>
      <c r="AT52" s="91"/>
      <c r="AU52" s="78"/>
      <c r="AV52" s="78"/>
      <c r="AW52" s="78"/>
      <c r="AX52" s="78"/>
      <c r="AY52" s="78"/>
      <c r="AZ52" s="78"/>
      <c r="BA52" s="78"/>
      <c r="BB52" s="78"/>
      <c r="BC52" s="78"/>
      <c r="BD52" s="78"/>
      <c r="BE52" s="78"/>
      <c r="BF52" s="78"/>
      <c r="BG52" s="78"/>
      <c r="BH52" s="78"/>
      <c r="BI52" s="78"/>
      <c r="BJ52" s="78"/>
      <c r="BK52" s="78"/>
      <c r="BL52" s="78"/>
      <c r="BM52" s="78"/>
      <c r="BN52" s="78"/>
      <c r="BO52" s="78"/>
      <c r="BP52" s="78"/>
      <c r="BQ52" s="78"/>
      <c r="BR52" s="78"/>
      <c r="BS52" s="78"/>
      <c r="BT52" s="78"/>
      <c r="BU52" s="78"/>
      <c r="BV52" s="78"/>
      <c r="BW52" s="78"/>
      <c r="BX52" s="78"/>
      <c r="BY52" s="78"/>
      <c r="BZ52" s="78"/>
      <c r="CA52" s="78"/>
      <c r="CB52" s="78"/>
      <c r="CC52" s="78"/>
      <c r="CD52" s="78"/>
      <c r="CE52" s="78"/>
      <c r="CF52" s="78"/>
      <c r="CG52" s="78"/>
      <c r="CH52" s="78"/>
      <c r="CI52" s="78"/>
      <c r="CJ52" s="78"/>
      <c r="CK52" s="78"/>
      <c r="CL52" s="78"/>
      <c r="CM52" s="78"/>
      <c r="CN52" s="78"/>
      <c r="CO52" s="78"/>
      <c r="CP52" s="78"/>
      <c r="CQ52" s="78"/>
      <c r="CR52" s="78"/>
      <c r="CS52" s="78"/>
      <c r="CT52" s="78"/>
      <c r="CU52" s="78"/>
      <c r="CV52" s="78"/>
      <c r="CW52" s="78"/>
      <c r="CX52" s="78"/>
      <c r="CY52" s="78"/>
      <c r="CZ52" s="78"/>
      <c r="DA52" s="78"/>
      <c r="DB52" s="78"/>
      <c r="DC52" s="78"/>
      <c r="DD52" s="78"/>
      <c r="DE52" s="78"/>
      <c r="DF52" s="78"/>
      <c r="DG52" s="78"/>
      <c r="DH52" s="78"/>
      <c r="DI52" s="78"/>
      <c r="DJ52" s="78"/>
      <c r="DK52" s="78"/>
      <c r="DL52" s="78"/>
      <c r="DM52" s="78"/>
      <c r="DN52" s="78"/>
      <c r="DO52" s="78"/>
      <c r="DP52" s="78"/>
      <c r="DQ52" s="78"/>
      <c r="DR52" s="78"/>
      <c r="DS52" s="78"/>
      <c r="DT52" s="78"/>
      <c r="DU52" s="78"/>
      <c r="DV52" s="78"/>
      <c r="DW52" s="78"/>
      <c r="DX52" s="78"/>
      <c r="DY52" s="78"/>
      <c r="DZ52" s="78"/>
      <c r="EA52" s="78"/>
      <c r="EB52" s="78"/>
      <c r="EC52" s="78"/>
      <c r="ED52" s="78"/>
      <c r="EE52" s="78"/>
      <c r="EF52" s="78"/>
      <c r="EG52" s="78"/>
      <c r="EH52" s="78"/>
      <c r="EI52" s="91"/>
      <c r="EJ52" s="91"/>
      <c r="EK52" s="91"/>
      <c r="EL52" s="91"/>
      <c r="EM52" s="91"/>
      <c r="EN52" s="91"/>
      <c r="EO52" s="91"/>
      <c r="EP52" s="78"/>
      <c r="EQ52" s="78"/>
      <c r="ER52" s="78"/>
      <c r="ES52" s="78"/>
      <c r="ET52" s="78"/>
      <c r="EU52" s="78"/>
      <c r="EV52" s="78"/>
      <c r="EW52" s="78"/>
      <c r="EX52" s="78"/>
      <c r="EY52" s="78"/>
      <c r="EZ52" s="78"/>
      <c r="FA52" s="78"/>
      <c r="FB52" s="78"/>
      <c r="FC52" s="78"/>
      <c r="FD52" s="78"/>
      <c r="FE52" s="78"/>
      <c r="FF52" s="78"/>
      <c r="FG52" s="78"/>
      <c r="FH52" s="78"/>
      <c r="FI52" s="78"/>
      <c r="FJ52" s="78"/>
      <c r="FK52" s="78"/>
    </row>
    <row r="53" spans="1:167" hidden="1" outlineLevel="1">
      <c r="A53" s="29" t="str">
        <f t="shared" si="16"/>
        <v>cd_imv_out_prccod_tipo</v>
      </c>
      <c r="B53" s="67" t="s">
        <v>26</v>
      </c>
      <c r="C53" s="68" t="s">
        <v>54</v>
      </c>
      <c r="D53" s="64" t="s">
        <v>40</v>
      </c>
      <c r="E53" s="66" t="s">
        <v>456</v>
      </c>
      <c r="F53" s="64" t="s">
        <v>464</v>
      </c>
      <c r="G53" s="64" t="e">
        <f>INDEX(Auxiliar!$B$16:$B$24,MATCH(Plano_V1!H53,Auxiliar!$C$16:$C$24,0),1)</f>
        <v>#N/A</v>
      </c>
      <c r="H53" s="64" t="e">
        <f>VLOOKUP(A53,'Aux - pivots1'!$A:$B,2,0)</f>
        <v>#N/A</v>
      </c>
      <c r="I53" s="84">
        <f>SUMIFS(Table1[Estimação (horas)],Table1[Tabela],Plano_V1!E53,Table1[Campo],Plano_V1!F53)</f>
        <v>0</v>
      </c>
      <c r="J53" s="84">
        <f t="shared" si="17"/>
        <v>0</v>
      </c>
      <c r="K53" s="89" t="s">
        <v>56</v>
      </c>
      <c r="L53" s="90">
        <f t="shared" si="14"/>
        <v>0</v>
      </c>
      <c r="M53" s="78"/>
      <c r="N53" s="78"/>
      <c r="O53" s="78"/>
      <c r="P53" s="78"/>
      <c r="Q53" s="78"/>
      <c r="R53" s="78"/>
      <c r="S53" s="78"/>
      <c r="T53" s="78"/>
      <c r="U53" s="78"/>
      <c r="V53" s="78"/>
      <c r="W53" s="78"/>
      <c r="X53" s="78"/>
      <c r="Y53" s="78"/>
      <c r="Z53" s="78"/>
      <c r="AA53" s="78"/>
      <c r="AB53" s="78"/>
      <c r="AC53" s="78"/>
      <c r="AD53" s="78"/>
      <c r="AE53" s="78"/>
      <c r="AF53" s="78"/>
      <c r="AG53" s="78"/>
      <c r="AH53" s="78"/>
      <c r="AI53" s="78"/>
      <c r="AJ53" s="78"/>
      <c r="AK53" s="78"/>
      <c r="AL53" s="78"/>
      <c r="AM53" s="78"/>
      <c r="AN53" s="78"/>
      <c r="AO53" s="78"/>
      <c r="AP53" s="78"/>
      <c r="AQ53" s="78"/>
      <c r="AR53" s="78"/>
      <c r="AS53" s="78"/>
      <c r="AT53" s="91"/>
      <c r="AU53" s="78"/>
      <c r="AV53" s="78"/>
      <c r="AW53" s="78"/>
      <c r="AX53" s="78"/>
      <c r="AY53" s="78"/>
      <c r="AZ53" s="78"/>
      <c r="BA53" s="78"/>
      <c r="BB53" s="78"/>
      <c r="BC53" s="78"/>
      <c r="BD53" s="78"/>
      <c r="BE53" s="78"/>
      <c r="BF53" s="78"/>
      <c r="BG53" s="78"/>
      <c r="BH53" s="78"/>
      <c r="BI53" s="78"/>
      <c r="BJ53" s="78"/>
      <c r="BK53" s="78"/>
      <c r="BL53" s="78"/>
      <c r="BM53" s="78"/>
      <c r="BN53" s="78"/>
      <c r="BO53" s="78"/>
      <c r="BP53" s="78"/>
      <c r="BQ53" s="78"/>
      <c r="BR53" s="78"/>
      <c r="BS53" s="78"/>
      <c r="BT53" s="78"/>
      <c r="BU53" s="78"/>
      <c r="BV53" s="78"/>
      <c r="BW53" s="78"/>
      <c r="BX53" s="78"/>
      <c r="BY53" s="78"/>
      <c r="BZ53" s="78"/>
      <c r="CA53" s="78"/>
      <c r="CB53" s="78"/>
      <c r="CC53" s="78"/>
      <c r="CD53" s="78"/>
      <c r="CE53" s="78"/>
      <c r="CF53" s="78"/>
      <c r="CG53" s="78"/>
      <c r="CH53" s="78"/>
      <c r="CI53" s="78"/>
      <c r="CJ53" s="78"/>
      <c r="CK53" s="78"/>
      <c r="CL53" s="78"/>
      <c r="CM53" s="78"/>
      <c r="CN53" s="78"/>
      <c r="CO53" s="78"/>
      <c r="CP53" s="78"/>
      <c r="CQ53" s="78"/>
      <c r="CR53" s="78"/>
      <c r="CS53" s="78"/>
      <c r="CT53" s="78"/>
      <c r="CU53" s="78"/>
      <c r="CV53" s="78"/>
      <c r="CW53" s="78"/>
      <c r="CX53" s="78"/>
      <c r="CY53" s="78"/>
      <c r="CZ53" s="78"/>
      <c r="DA53" s="78"/>
      <c r="DB53" s="78"/>
      <c r="DC53" s="78"/>
      <c r="DD53" s="78"/>
      <c r="DE53" s="78"/>
      <c r="DF53" s="78"/>
      <c r="DG53" s="78"/>
      <c r="DH53" s="78"/>
      <c r="DI53" s="78"/>
      <c r="DJ53" s="78"/>
      <c r="DK53" s="78"/>
      <c r="DL53" s="78"/>
      <c r="DM53" s="78"/>
      <c r="DN53" s="78"/>
      <c r="DO53" s="78"/>
      <c r="DP53" s="78"/>
      <c r="DQ53" s="78"/>
      <c r="DR53" s="78"/>
      <c r="DS53" s="78"/>
      <c r="DT53" s="78"/>
      <c r="DU53" s="78"/>
      <c r="DV53" s="78"/>
      <c r="DW53" s="78"/>
      <c r="DX53" s="78"/>
      <c r="DY53" s="78"/>
      <c r="DZ53" s="78"/>
      <c r="EA53" s="78"/>
      <c r="EB53" s="78"/>
      <c r="EC53" s="78"/>
      <c r="ED53" s="78"/>
      <c r="EE53" s="78"/>
      <c r="EF53" s="78"/>
      <c r="EG53" s="78"/>
      <c r="EH53" s="78"/>
      <c r="EI53" s="91"/>
      <c r="EJ53" s="91"/>
      <c r="EK53" s="91"/>
      <c r="EL53" s="91"/>
      <c r="EM53" s="91"/>
      <c r="EN53" s="91"/>
      <c r="EO53" s="91"/>
      <c r="EP53" s="78"/>
      <c r="EQ53" s="78"/>
      <c r="ER53" s="78"/>
      <c r="ES53" s="78"/>
      <c r="ET53" s="78"/>
      <c r="EU53" s="78"/>
      <c r="EV53" s="78"/>
      <c r="EW53" s="78"/>
      <c r="EX53" s="78"/>
      <c r="EY53" s="78"/>
      <c r="EZ53" s="78"/>
      <c r="FA53" s="78"/>
      <c r="FB53" s="78"/>
      <c r="FC53" s="78"/>
      <c r="FD53" s="78"/>
      <c r="FE53" s="78"/>
      <c r="FF53" s="78"/>
      <c r="FG53" s="78"/>
      <c r="FH53" s="78"/>
      <c r="FI53" s="78"/>
      <c r="FJ53" s="78"/>
      <c r="FK53" s="78"/>
    </row>
    <row r="54" spans="1:167" hidden="1" outlineLevel="1">
      <c r="A54" s="29" t="str">
        <f t="shared" si="16"/>
        <v>cd_imv_out_prccomp_id_gar</v>
      </c>
      <c r="B54" s="67" t="s">
        <v>26</v>
      </c>
      <c r="C54" s="68" t="s">
        <v>54</v>
      </c>
      <c r="D54" s="64" t="s">
        <v>40</v>
      </c>
      <c r="E54" s="66" t="s">
        <v>456</v>
      </c>
      <c r="F54" s="64" t="s">
        <v>465</v>
      </c>
      <c r="G54" s="64" t="e">
        <f>INDEX(Auxiliar!$B$16:$B$24,MATCH(Plano_V1!H54,Auxiliar!$C$16:$C$24,0),1)</f>
        <v>#N/A</v>
      </c>
      <c r="H54" s="64" t="e">
        <f>VLOOKUP(A54,'Aux - pivots1'!$A:$B,2,0)</f>
        <v>#N/A</v>
      </c>
      <c r="I54" s="84">
        <f>SUMIFS(Table1[Estimação (horas)],Table1[Tabela],Plano_V1!E54,Table1[Campo],Plano_V1!F54)</f>
        <v>0</v>
      </c>
      <c r="J54" s="84">
        <f t="shared" si="17"/>
        <v>0</v>
      </c>
      <c r="K54" s="89" t="s">
        <v>56</v>
      </c>
      <c r="L54" s="90">
        <f t="shared" si="14"/>
        <v>0</v>
      </c>
      <c r="M54" s="78"/>
      <c r="N54" s="78"/>
      <c r="O54" s="78"/>
      <c r="P54" s="78"/>
      <c r="Q54" s="78"/>
      <c r="R54" s="78"/>
      <c r="S54" s="78"/>
      <c r="T54" s="78"/>
      <c r="U54" s="78"/>
      <c r="V54" s="78"/>
      <c r="W54" s="78"/>
      <c r="X54" s="78"/>
      <c r="Y54" s="78"/>
      <c r="Z54" s="78"/>
      <c r="AA54" s="78"/>
      <c r="AB54" s="78"/>
      <c r="AC54" s="78"/>
      <c r="AD54" s="78"/>
      <c r="AE54" s="78"/>
      <c r="AF54" s="78"/>
      <c r="AG54" s="78"/>
      <c r="AH54" s="78"/>
      <c r="AI54" s="78"/>
      <c r="AJ54" s="78"/>
      <c r="AK54" s="78"/>
      <c r="AL54" s="78"/>
      <c r="AM54" s="78"/>
      <c r="AN54" s="78"/>
      <c r="AO54" s="78"/>
      <c r="AP54" s="78"/>
      <c r="AQ54" s="78"/>
      <c r="AR54" s="78"/>
      <c r="AS54" s="78"/>
      <c r="AT54" s="91"/>
      <c r="AU54" s="78"/>
      <c r="AV54" s="78"/>
      <c r="AW54" s="78"/>
      <c r="AX54" s="78"/>
      <c r="AY54" s="78"/>
      <c r="AZ54" s="78"/>
      <c r="BA54" s="78"/>
      <c r="BB54" s="78"/>
      <c r="BC54" s="78"/>
      <c r="BD54" s="78"/>
      <c r="BE54" s="78"/>
      <c r="BF54" s="78"/>
      <c r="BG54" s="78"/>
      <c r="BH54" s="78"/>
      <c r="BI54" s="78"/>
      <c r="BJ54" s="78"/>
      <c r="BK54" s="78"/>
      <c r="BL54" s="78"/>
      <c r="BM54" s="78"/>
      <c r="BN54" s="78"/>
      <c r="BO54" s="78"/>
      <c r="BP54" s="78"/>
      <c r="BQ54" s="78"/>
      <c r="BR54" s="78"/>
      <c r="BS54" s="78"/>
      <c r="BT54" s="78"/>
      <c r="BU54" s="78"/>
      <c r="BV54" s="78"/>
      <c r="BW54" s="78"/>
      <c r="BX54" s="78"/>
      <c r="BY54" s="78"/>
      <c r="BZ54" s="78"/>
      <c r="CA54" s="78"/>
      <c r="CB54" s="78"/>
      <c r="CC54" s="78"/>
      <c r="CD54" s="78"/>
      <c r="CE54" s="78"/>
      <c r="CF54" s="78"/>
      <c r="CG54" s="78"/>
      <c r="CH54" s="78"/>
      <c r="CI54" s="78"/>
      <c r="CJ54" s="78"/>
      <c r="CK54" s="78"/>
      <c r="CL54" s="78"/>
      <c r="CM54" s="78"/>
      <c r="CN54" s="78"/>
      <c r="CO54" s="78"/>
      <c r="CP54" s="78"/>
      <c r="CQ54" s="78"/>
      <c r="CR54" s="78"/>
      <c r="CS54" s="78"/>
      <c r="CT54" s="78"/>
      <c r="CU54" s="78"/>
      <c r="CV54" s="78"/>
      <c r="CW54" s="78"/>
      <c r="CX54" s="78"/>
      <c r="CY54" s="78"/>
      <c r="CZ54" s="78"/>
      <c r="DA54" s="78"/>
      <c r="DB54" s="78"/>
      <c r="DC54" s="78"/>
      <c r="DD54" s="78"/>
      <c r="DE54" s="78"/>
      <c r="DF54" s="78"/>
      <c r="DG54" s="78"/>
      <c r="DH54" s="78"/>
      <c r="DI54" s="78"/>
      <c r="DJ54" s="78"/>
      <c r="DK54" s="78"/>
      <c r="DL54" s="78"/>
      <c r="DM54" s="78"/>
      <c r="DN54" s="78"/>
      <c r="DO54" s="78"/>
      <c r="DP54" s="78"/>
      <c r="DQ54" s="78"/>
      <c r="DR54" s="78"/>
      <c r="DS54" s="78"/>
      <c r="DT54" s="78"/>
      <c r="DU54" s="78"/>
      <c r="DV54" s="78"/>
      <c r="DW54" s="78"/>
      <c r="DX54" s="78"/>
      <c r="DY54" s="78"/>
      <c r="DZ54" s="78"/>
      <c r="EA54" s="78"/>
      <c r="EB54" s="78"/>
      <c r="EC54" s="78"/>
      <c r="ED54" s="78"/>
      <c r="EE54" s="78"/>
      <c r="EF54" s="78"/>
      <c r="EG54" s="78"/>
      <c r="EH54" s="78"/>
      <c r="EI54" s="91"/>
      <c r="EJ54" s="91"/>
      <c r="EK54" s="91"/>
      <c r="EL54" s="91"/>
      <c r="EM54" s="91"/>
      <c r="EN54" s="91"/>
      <c r="EO54" s="91"/>
      <c r="EP54" s="78"/>
      <c r="EQ54" s="78"/>
      <c r="ER54" s="78"/>
      <c r="ES54" s="78"/>
      <c r="ET54" s="78"/>
      <c r="EU54" s="78"/>
      <c r="EV54" s="78"/>
      <c r="EW54" s="78"/>
      <c r="EX54" s="78"/>
      <c r="EY54" s="78"/>
      <c r="EZ54" s="78"/>
      <c r="FA54" s="78"/>
      <c r="FB54" s="78"/>
      <c r="FC54" s="78"/>
      <c r="FD54" s="78"/>
      <c r="FE54" s="78"/>
      <c r="FF54" s="78"/>
      <c r="FG54" s="78"/>
      <c r="FH54" s="78"/>
      <c r="FI54" s="78"/>
      <c r="FJ54" s="78"/>
      <c r="FK54" s="78"/>
    </row>
    <row r="55" spans="1:167" hidden="1" outlineLevel="1">
      <c r="A55" s="29" t="str">
        <f t="shared" si="16"/>
        <v>cd_imv_out_prcdata_inicio</v>
      </c>
      <c r="B55" s="67" t="s">
        <v>26</v>
      </c>
      <c r="C55" s="68" t="s">
        <v>54</v>
      </c>
      <c r="D55" s="64" t="s">
        <v>40</v>
      </c>
      <c r="E55" s="66" t="s">
        <v>456</v>
      </c>
      <c r="F55" s="64" t="s">
        <v>466</v>
      </c>
      <c r="G55" s="64" t="e">
        <f>INDEX(Auxiliar!$B$16:$B$24,MATCH(Plano_V1!H55,Auxiliar!$C$16:$C$24,0),1)</f>
        <v>#N/A</v>
      </c>
      <c r="H55" s="64" t="e">
        <f>VLOOKUP(A55,'Aux - pivots1'!$A:$B,2,0)</f>
        <v>#N/A</v>
      </c>
      <c r="I55" s="84">
        <f>SUMIFS(Table1[Estimação (horas)],Table1[Tabela],Plano_V1!E55,Table1[Campo],Plano_V1!F55)</f>
        <v>0</v>
      </c>
      <c r="J55" s="84">
        <f t="shared" si="17"/>
        <v>0</v>
      </c>
      <c r="K55" s="89" t="s">
        <v>56</v>
      </c>
      <c r="L55" s="90">
        <f t="shared" si="14"/>
        <v>0</v>
      </c>
      <c r="M55" s="78"/>
      <c r="N55" s="78"/>
      <c r="O55" s="78"/>
      <c r="P55" s="78"/>
      <c r="Q55" s="78"/>
      <c r="R55" s="78"/>
      <c r="S55" s="78"/>
      <c r="T55" s="78"/>
      <c r="U55" s="78"/>
      <c r="V55" s="78"/>
      <c r="W55" s="78"/>
      <c r="X55" s="78"/>
      <c r="Y55" s="78"/>
      <c r="Z55" s="78"/>
      <c r="AA55" s="78"/>
      <c r="AB55" s="78"/>
      <c r="AC55" s="78"/>
      <c r="AD55" s="78"/>
      <c r="AE55" s="78"/>
      <c r="AF55" s="78"/>
      <c r="AG55" s="78"/>
      <c r="AH55" s="78"/>
      <c r="AI55" s="78"/>
      <c r="AJ55" s="78"/>
      <c r="AK55" s="78"/>
      <c r="AL55" s="78"/>
      <c r="AM55" s="78"/>
      <c r="AN55" s="78"/>
      <c r="AO55" s="78"/>
      <c r="AP55" s="78"/>
      <c r="AQ55" s="78"/>
      <c r="AR55" s="78"/>
      <c r="AS55" s="78"/>
      <c r="AT55" s="91"/>
      <c r="AU55" s="78"/>
      <c r="AV55" s="78"/>
      <c r="AW55" s="78"/>
      <c r="AX55" s="78"/>
      <c r="AY55" s="78"/>
      <c r="AZ55" s="78"/>
      <c r="BA55" s="78"/>
      <c r="BB55" s="78"/>
      <c r="BC55" s="78"/>
      <c r="BD55" s="78"/>
      <c r="BE55" s="78"/>
      <c r="BF55" s="78"/>
      <c r="BG55" s="78"/>
      <c r="BH55" s="78"/>
      <c r="BI55" s="78"/>
      <c r="BJ55" s="78"/>
      <c r="BK55" s="78"/>
      <c r="BL55" s="78"/>
      <c r="BM55" s="78"/>
      <c r="BN55" s="78"/>
      <c r="BO55" s="78"/>
      <c r="BP55" s="78"/>
      <c r="BQ55" s="78"/>
      <c r="BR55" s="78"/>
      <c r="BS55" s="78"/>
      <c r="BT55" s="78"/>
      <c r="BU55" s="78"/>
      <c r="BV55" s="78"/>
      <c r="BW55" s="78"/>
      <c r="BX55" s="78"/>
      <c r="BY55" s="78"/>
      <c r="BZ55" s="78"/>
      <c r="CA55" s="78"/>
      <c r="CB55" s="78"/>
      <c r="CC55" s="78"/>
      <c r="CD55" s="78"/>
      <c r="CE55" s="78"/>
      <c r="CF55" s="78"/>
      <c r="CG55" s="78"/>
      <c r="CH55" s="78"/>
      <c r="CI55" s="78"/>
      <c r="CJ55" s="78"/>
      <c r="CK55" s="78"/>
      <c r="CL55" s="78"/>
      <c r="CM55" s="78"/>
      <c r="CN55" s="78"/>
      <c r="CO55" s="78"/>
      <c r="CP55" s="78"/>
      <c r="CQ55" s="78"/>
      <c r="CR55" s="78"/>
      <c r="CS55" s="78"/>
      <c r="CT55" s="78"/>
      <c r="CU55" s="78"/>
      <c r="CV55" s="78"/>
      <c r="CW55" s="78"/>
      <c r="CX55" s="78"/>
      <c r="CY55" s="78"/>
      <c r="CZ55" s="78"/>
      <c r="DA55" s="78"/>
      <c r="DB55" s="78"/>
      <c r="DC55" s="78"/>
      <c r="DD55" s="78"/>
      <c r="DE55" s="78"/>
      <c r="DF55" s="78"/>
      <c r="DG55" s="78"/>
      <c r="DH55" s="78"/>
      <c r="DI55" s="78"/>
      <c r="DJ55" s="78"/>
      <c r="DK55" s="78"/>
      <c r="DL55" s="78"/>
      <c r="DM55" s="78"/>
      <c r="DN55" s="78"/>
      <c r="DO55" s="78"/>
      <c r="DP55" s="78"/>
      <c r="DQ55" s="78"/>
      <c r="DR55" s="78"/>
      <c r="DS55" s="78"/>
      <c r="DT55" s="78"/>
      <c r="DU55" s="78"/>
      <c r="DV55" s="78"/>
      <c r="DW55" s="78"/>
      <c r="DX55" s="78"/>
      <c r="DY55" s="78"/>
      <c r="DZ55" s="78"/>
      <c r="EA55" s="78"/>
      <c r="EB55" s="78"/>
      <c r="EC55" s="78"/>
      <c r="ED55" s="78"/>
      <c r="EE55" s="78"/>
      <c r="EF55" s="78"/>
      <c r="EG55" s="78"/>
      <c r="EH55" s="78"/>
      <c r="EI55" s="91"/>
      <c r="EJ55" s="91"/>
      <c r="EK55" s="91"/>
      <c r="EL55" s="91"/>
      <c r="EM55" s="91"/>
      <c r="EN55" s="91"/>
      <c r="EO55" s="91"/>
      <c r="EP55" s="78"/>
      <c r="EQ55" s="78"/>
      <c r="ER55" s="78"/>
      <c r="ES55" s="78"/>
      <c r="ET55" s="78"/>
      <c r="EU55" s="78"/>
      <c r="EV55" s="78"/>
      <c r="EW55" s="78"/>
      <c r="EX55" s="78"/>
      <c r="EY55" s="78"/>
      <c r="EZ55" s="78"/>
      <c r="FA55" s="78"/>
      <c r="FB55" s="78"/>
      <c r="FC55" s="78"/>
      <c r="FD55" s="78"/>
      <c r="FE55" s="78"/>
      <c r="FF55" s="78"/>
      <c r="FG55" s="78"/>
      <c r="FH55" s="78"/>
      <c r="FI55" s="78"/>
      <c r="FJ55" s="78"/>
      <c r="FK55" s="78"/>
    </row>
    <row r="56" spans="1:167" hidden="1" outlineLevel="1">
      <c r="A56" s="29" t="str">
        <f t="shared" si="16"/>
        <v>cd_imv_out_prcdata_vcmt</v>
      </c>
      <c r="B56" s="67" t="s">
        <v>26</v>
      </c>
      <c r="C56" s="68" t="s">
        <v>54</v>
      </c>
      <c r="D56" s="64" t="s">
        <v>40</v>
      </c>
      <c r="E56" s="66" t="s">
        <v>456</v>
      </c>
      <c r="F56" s="64" t="s">
        <v>467</v>
      </c>
      <c r="G56" s="64" t="e">
        <f>INDEX(Auxiliar!$B$16:$B$24,MATCH(Plano_V1!H56,Auxiliar!$C$16:$C$24,0),1)</f>
        <v>#N/A</v>
      </c>
      <c r="H56" s="64" t="e">
        <f>VLOOKUP(A56,'Aux - pivots1'!$A:$B,2,0)</f>
        <v>#N/A</v>
      </c>
      <c r="I56" s="84">
        <f>SUMIFS(Table1[Estimação (horas)],Table1[Tabela],Plano_V1!E56,Table1[Campo],Plano_V1!F56)</f>
        <v>0</v>
      </c>
      <c r="J56" s="84">
        <f t="shared" si="17"/>
        <v>0</v>
      </c>
      <c r="K56" s="89" t="s">
        <v>56</v>
      </c>
      <c r="L56" s="90">
        <f t="shared" si="14"/>
        <v>0</v>
      </c>
      <c r="M56" s="78"/>
      <c r="N56" s="78"/>
      <c r="O56" s="78"/>
      <c r="P56" s="78"/>
      <c r="Q56" s="78"/>
      <c r="R56" s="78"/>
      <c r="S56" s="78"/>
      <c r="T56" s="78"/>
      <c r="U56" s="78"/>
      <c r="V56" s="78"/>
      <c r="W56" s="78"/>
      <c r="X56" s="78"/>
      <c r="Y56" s="78"/>
      <c r="Z56" s="78"/>
      <c r="AA56" s="78"/>
      <c r="AB56" s="78"/>
      <c r="AC56" s="78"/>
      <c r="AD56" s="78"/>
      <c r="AE56" s="78"/>
      <c r="AF56" s="78"/>
      <c r="AG56" s="78"/>
      <c r="AH56" s="78"/>
      <c r="AI56" s="78"/>
      <c r="AJ56" s="78"/>
      <c r="AK56" s="78"/>
      <c r="AL56" s="78"/>
      <c r="AM56" s="78"/>
      <c r="AN56" s="78"/>
      <c r="AO56" s="78"/>
      <c r="AP56" s="78"/>
      <c r="AQ56" s="78"/>
      <c r="AR56" s="78"/>
      <c r="AS56" s="78"/>
      <c r="AT56" s="91"/>
      <c r="AU56" s="78"/>
      <c r="AV56" s="78"/>
      <c r="AW56" s="78"/>
      <c r="AX56" s="78"/>
      <c r="AY56" s="78"/>
      <c r="AZ56" s="78"/>
      <c r="BA56" s="78"/>
      <c r="BB56" s="78"/>
      <c r="BC56" s="78"/>
      <c r="BD56" s="78"/>
      <c r="BE56" s="78"/>
      <c r="BF56" s="78"/>
      <c r="BG56" s="78"/>
      <c r="BH56" s="78"/>
      <c r="BI56" s="78"/>
      <c r="BJ56" s="78"/>
      <c r="BK56" s="78"/>
      <c r="BL56" s="78"/>
      <c r="BM56" s="78"/>
      <c r="BN56" s="78"/>
      <c r="BO56" s="78"/>
      <c r="BP56" s="78"/>
      <c r="BQ56" s="78"/>
      <c r="BR56" s="78"/>
      <c r="BS56" s="78"/>
      <c r="BT56" s="78"/>
      <c r="BU56" s="78"/>
      <c r="BV56" s="78"/>
      <c r="BW56" s="78"/>
      <c r="BX56" s="78"/>
      <c r="BY56" s="78"/>
      <c r="BZ56" s="78"/>
      <c r="CA56" s="78"/>
      <c r="CB56" s="78"/>
      <c r="CC56" s="78"/>
      <c r="CD56" s="78"/>
      <c r="CE56" s="78"/>
      <c r="CF56" s="78"/>
      <c r="CG56" s="78"/>
      <c r="CH56" s="78"/>
      <c r="CI56" s="78"/>
      <c r="CJ56" s="78"/>
      <c r="CK56" s="78"/>
      <c r="CL56" s="78"/>
      <c r="CM56" s="78"/>
      <c r="CN56" s="78"/>
      <c r="CO56" s="78"/>
      <c r="CP56" s="78"/>
      <c r="CQ56" s="78"/>
      <c r="CR56" s="78"/>
      <c r="CS56" s="78"/>
      <c r="CT56" s="78"/>
      <c r="CU56" s="78"/>
      <c r="CV56" s="78"/>
      <c r="CW56" s="78"/>
      <c r="CX56" s="78"/>
      <c r="CY56" s="78"/>
      <c r="CZ56" s="78"/>
      <c r="DA56" s="78"/>
      <c r="DB56" s="78"/>
      <c r="DC56" s="78"/>
      <c r="DD56" s="78"/>
      <c r="DE56" s="78"/>
      <c r="DF56" s="78"/>
      <c r="DG56" s="78"/>
      <c r="DH56" s="78"/>
      <c r="DI56" s="78"/>
      <c r="DJ56" s="78"/>
      <c r="DK56" s="78"/>
      <c r="DL56" s="78"/>
      <c r="DM56" s="78"/>
      <c r="DN56" s="78"/>
      <c r="DO56" s="78"/>
      <c r="DP56" s="78"/>
      <c r="DQ56" s="78"/>
      <c r="DR56" s="78"/>
      <c r="DS56" s="78"/>
      <c r="DT56" s="78"/>
      <c r="DU56" s="78"/>
      <c r="DV56" s="78"/>
      <c r="DW56" s="78"/>
      <c r="DX56" s="78"/>
      <c r="DY56" s="78"/>
      <c r="DZ56" s="78"/>
      <c r="EA56" s="78"/>
      <c r="EB56" s="78"/>
      <c r="EC56" s="78"/>
      <c r="ED56" s="78"/>
      <c r="EE56" s="78"/>
      <c r="EF56" s="78"/>
      <c r="EG56" s="78"/>
      <c r="EH56" s="78"/>
      <c r="EI56" s="91"/>
      <c r="EJ56" s="91"/>
      <c r="EK56" s="91"/>
      <c r="EL56" s="91"/>
      <c r="EM56" s="91"/>
      <c r="EN56" s="91"/>
      <c r="EO56" s="91"/>
      <c r="EP56" s="78"/>
      <c r="EQ56" s="78"/>
      <c r="ER56" s="78"/>
      <c r="ES56" s="78"/>
      <c r="ET56" s="78"/>
      <c r="EU56" s="78"/>
      <c r="EV56" s="78"/>
      <c r="EW56" s="78"/>
      <c r="EX56" s="78"/>
      <c r="EY56" s="78"/>
      <c r="EZ56" s="78"/>
      <c r="FA56" s="78"/>
      <c r="FB56" s="78"/>
      <c r="FC56" s="78"/>
      <c r="FD56" s="78"/>
      <c r="FE56" s="78"/>
      <c r="FF56" s="78"/>
      <c r="FG56" s="78"/>
      <c r="FH56" s="78"/>
      <c r="FI56" s="78"/>
      <c r="FJ56" s="78"/>
      <c r="FK56" s="78"/>
    </row>
    <row r="57" spans="1:167" hidden="1" outlineLevel="1">
      <c r="A57" s="29" t="str">
        <f t="shared" si="16"/>
        <v>cd_imv_out_prcmontante_eur</v>
      </c>
      <c r="B57" s="67" t="s">
        <v>26</v>
      </c>
      <c r="C57" s="68" t="s">
        <v>54</v>
      </c>
      <c r="D57" s="64" t="s">
        <v>40</v>
      </c>
      <c r="E57" s="66" t="s">
        <v>456</v>
      </c>
      <c r="F57" s="64" t="s">
        <v>70</v>
      </c>
      <c r="G57" s="64" t="e">
        <f>INDEX(Auxiliar!$B$16:$B$24,MATCH(Plano_V1!H57,Auxiliar!$C$16:$C$24,0),1)</f>
        <v>#N/A</v>
      </c>
      <c r="H57" s="64" t="e">
        <f>VLOOKUP(A57,'Aux - pivots1'!$A:$B,2,0)</f>
        <v>#N/A</v>
      </c>
      <c r="I57" s="85">
        <v>0</v>
      </c>
      <c r="J57" s="84">
        <f t="shared" si="17"/>
        <v>0</v>
      </c>
      <c r="K57" s="89" t="s">
        <v>56</v>
      </c>
      <c r="L57" s="90">
        <f t="shared" si="14"/>
        <v>0</v>
      </c>
      <c r="M57" s="78"/>
      <c r="N57" s="78"/>
      <c r="O57" s="78"/>
      <c r="P57" s="78"/>
      <c r="Q57" s="78"/>
      <c r="R57" s="78"/>
      <c r="S57" s="78"/>
      <c r="T57" s="78"/>
      <c r="U57" s="78"/>
      <c r="V57" s="78"/>
      <c r="W57" s="78"/>
      <c r="X57" s="78"/>
      <c r="Y57" s="78"/>
      <c r="Z57" s="78"/>
      <c r="AA57" s="78"/>
      <c r="AB57" s="78"/>
      <c r="AC57" s="78"/>
      <c r="AD57" s="78"/>
      <c r="AE57" s="78"/>
      <c r="AF57" s="78"/>
      <c r="AG57" s="78"/>
      <c r="AH57" s="78"/>
      <c r="AI57" s="78"/>
      <c r="AJ57" s="78"/>
      <c r="AK57" s="78"/>
      <c r="AL57" s="78"/>
      <c r="AM57" s="78"/>
      <c r="AN57" s="78"/>
      <c r="AO57" s="78"/>
      <c r="AP57" s="78"/>
      <c r="AQ57" s="78"/>
      <c r="AR57" s="78"/>
      <c r="AS57" s="78"/>
      <c r="AT57" s="91"/>
      <c r="AU57" s="78"/>
      <c r="AV57" s="78"/>
      <c r="AW57" s="78"/>
      <c r="AX57" s="78"/>
      <c r="AY57" s="78"/>
      <c r="AZ57" s="78"/>
      <c r="BA57" s="78"/>
      <c r="BB57" s="78"/>
      <c r="BC57" s="78"/>
      <c r="BD57" s="78"/>
      <c r="BE57" s="78"/>
      <c r="BF57" s="78"/>
      <c r="BG57" s="78"/>
      <c r="BH57" s="78"/>
      <c r="BI57" s="78"/>
      <c r="BJ57" s="78"/>
      <c r="BK57" s="78"/>
      <c r="BL57" s="78"/>
      <c r="BM57" s="78"/>
      <c r="BN57" s="78"/>
      <c r="BO57" s="78"/>
      <c r="BP57" s="78"/>
      <c r="BQ57" s="78"/>
      <c r="BR57" s="78"/>
      <c r="BS57" s="78"/>
      <c r="BT57" s="78"/>
      <c r="BU57" s="78"/>
      <c r="BV57" s="78"/>
      <c r="BW57" s="78"/>
      <c r="BX57" s="78"/>
      <c r="BY57" s="78"/>
      <c r="BZ57" s="78"/>
      <c r="CA57" s="78"/>
      <c r="CB57" s="78"/>
      <c r="CC57" s="78"/>
      <c r="CD57" s="78"/>
      <c r="CE57" s="78"/>
      <c r="CF57" s="78"/>
      <c r="CG57" s="78"/>
      <c r="CH57" s="78"/>
      <c r="CI57" s="78"/>
      <c r="CJ57" s="78"/>
      <c r="CK57" s="78"/>
      <c r="CL57" s="78"/>
      <c r="CM57" s="78"/>
      <c r="CN57" s="78"/>
      <c r="CO57" s="78"/>
      <c r="CP57" s="78"/>
      <c r="CQ57" s="78"/>
      <c r="CR57" s="78"/>
      <c r="CS57" s="78"/>
      <c r="CT57" s="78"/>
      <c r="CU57" s="78"/>
      <c r="CV57" s="78"/>
      <c r="CW57" s="78"/>
      <c r="CX57" s="78"/>
      <c r="CY57" s="78"/>
      <c r="CZ57" s="78"/>
      <c r="DA57" s="78"/>
      <c r="DB57" s="78"/>
      <c r="DC57" s="78"/>
      <c r="DD57" s="78"/>
      <c r="DE57" s="78"/>
      <c r="DF57" s="78"/>
      <c r="DG57" s="78"/>
      <c r="DH57" s="78"/>
      <c r="DI57" s="78"/>
      <c r="DJ57" s="78"/>
      <c r="DK57" s="78"/>
      <c r="DL57" s="78"/>
      <c r="DM57" s="78"/>
      <c r="DN57" s="78"/>
      <c r="DO57" s="78"/>
      <c r="DP57" s="78"/>
      <c r="DQ57" s="78"/>
      <c r="DR57" s="78"/>
      <c r="DS57" s="78"/>
      <c r="DT57" s="78"/>
      <c r="DU57" s="78"/>
      <c r="DV57" s="78"/>
      <c r="DW57" s="78"/>
      <c r="DX57" s="78"/>
      <c r="DY57" s="78"/>
      <c r="DZ57" s="78"/>
      <c r="EA57" s="78"/>
      <c r="EB57" s="78"/>
      <c r="EC57" s="78"/>
      <c r="ED57" s="78"/>
      <c r="EE57" s="78"/>
      <c r="EF57" s="78"/>
      <c r="EG57" s="78"/>
      <c r="EH57" s="78"/>
      <c r="EI57" s="91"/>
      <c r="EJ57" s="91"/>
      <c r="EK57" s="91"/>
      <c r="EL57" s="91"/>
      <c r="EM57" s="91"/>
      <c r="EN57" s="91"/>
      <c r="EO57" s="91"/>
      <c r="EP57" s="78"/>
      <c r="EQ57" s="78"/>
      <c r="ER57" s="78"/>
      <c r="ES57" s="78"/>
      <c r="ET57" s="78"/>
      <c r="EU57" s="78"/>
      <c r="EV57" s="78"/>
      <c r="EW57" s="78"/>
      <c r="EX57" s="78"/>
      <c r="EY57" s="78"/>
      <c r="EZ57" s="78"/>
      <c r="FA57" s="78"/>
      <c r="FB57" s="78"/>
      <c r="FC57" s="78"/>
      <c r="FD57" s="78"/>
      <c r="FE57" s="78"/>
      <c r="FF57" s="78"/>
      <c r="FG57" s="78"/>
      <c r="FH57" s="78"/>
      <c r="FI57" s="78"/>
      <c r="FJ57" s="78"/>
      <c r="FK57" s="78"/>
    </row>
    <row r="58" spans="1:167" hidden="1" outlineLevel="1">
      <c r="A58" s="29" t="str">
        <f t="shared" si="16"/>
        <v>cd_imv_out_prcmontante_org</v>
      </c>
      <c r="B58" s="67" t="s">
        <v>26</v>
      </c>
      <c r="C58" s="68" t="s">
        <v>54</v>
      </c>
      <c r="D58" s="64" t="s">
        <v>40</v>
      </c>
      <c r="E58" s="66" t="s">
        <v>456</v>
      </c>
      <c r="F58" s="64" t="s">
        <v>71</v>
      </c>
      <c r="G58" s="64" t="e">
        <f>INDEX(Auxiliar!$B$16:$B$24,MATCH(Plano_V1!H58,Auxiliar!$C$16:$C$24,0),1)</f>
        <v>#N/A</v>
      </c>
      <c r="H58" s="64" t="e">
        <f>VLOOKUP(A58,'Aux - pivots1'!$A:$B,2,0)</f>
        <v>#N/A</v>
      </c>
      <c r="I58" s="85">
        <v>0</v>
      </c>
      <c r="J58" s="84">
        <f t="shared" si="17"/>
        <v>0</v>
      </c>
      <c r="K58" s="89" t="s">
        <v>56</v>
      </c>
      <c r="L58" s="90">
        <f t="shared" si="14"/>
        <v>0</v>
      </c>
      <c r="M58" s="78"/>
      <c r="N58" s="78"/>
      <c r="O58" s="78"/>
      <c r="P58" s="78"/>
      <c r="Q58" s="78"/>
      <c r="R58" s="78"/>
      <c r="S58" s="78"/>
      <c r="T58" s="78"/>
      <c r="U58" s="78"/>
      <c r="V58" s="78"/>
      <c r="W58" s="78"/>
      <c r="X58" s="78"/>
      <c r="Y58" s="78"/>
      <c r="Z58" s="78"/>
      <c r="AA58" s="78"/>
      <c r="AB58" s="78"/>
      <c r="AC58" s="78"/>
      <c r="AD58" s="78"/>
      <c r="AE58" s="78"/>
      <c r="AF58" s="78"/>
      <c r="AG58" s="78"/>
      <c r="AH58" s="78"/>
      <c r="AI58" s="78"/>
      <c r="AJ58" s="78"/>
      <c r="AK58" s="78"/>
      <c r="AL58" s="78"/>
      <c r="AM58" s="78"/>
      <c r="AN58" s="78"/>
      <c r="AO58" s="78"/>
      <c r="AP58" s="78"/>
      <c r="AQ58" s="78"/>
      <c r="AR58" s="78"/>
      <c r="AS58" s="78"/>
      <c r="AT58" s="91"/>
      <c r="AU58" s="78"/>
      <c r="AV58" s="78"/>
      <c r="AW58" s="78"/>
      <c r="AX58" s="78"/>
      <c r="AY58" s="78"/>
      <c r="AZ58" s="78"/>
      <c r="BA58" s="78"/>
      <c r="BB58" s="78"/>
      <c r="BC58" s="78"/>
      <c r="BD58" s="78"/>
      <c r="BE58" s="78"/>
      <c r="BF58" s="78"/>
      <c r="BG58" s="78"/>
      <c r="BH58" s="78"/>
      <c r="BI58" s="78"/>
      <c r="BJ58" s="78"/>
      <c r="BK58" s="78"/>
      <c r="BL58" s="78"/>
      <c r="BM58" s="78"/>
      <c r="BN58" s="78"/>
      <c r="BO58" s="78"/>
      <c r="BP58" s="78"/>
      <c r="BQ58" s="78"/>
      <c r="BR58" s="78"/>
      <c r="BS58" s="78"/>
      <c r="BT58" s="78"/>
      <c r="BU58" s="78"/>
      <c r="BV58" s="78"/>
      <c r="BW58" s="78"/>
      <c r="BX58" s="78"/>
      <c r="BY58" s="78"/>
      <c r="BZ58" s="78"/>
      <c r="CA58" s="78"/>
      <c r="CB58" s="78"/>
      <c r="CC58" s="78"/>
      <c r="CD58" s="78"/>
      <c r="CE58" s="78"/>
      <c r="CF58" s="78"/>
      <c r="CG58" s="78"/>
      <c r="CH58" s="78"/>
      <c r="CI58" s="78"/>
      <c r="CJ58" s="78"/>
      <c r="CK58" s="78"/>
      <c r="CL58" s="78"/>
      <c r="CM58" s="78"/>
      <c r="CN58" s="78"/>
      <c r="CO58" s="78"/>
      <c r="CP58" s="78"/>
      <c r="CQ58" s="78"/>
      <c r="CR58" s="78"/>
      <c r="CS58" s="78"/>
      <c r="CT58" s="78"/>
      <c r="CU58" s="78"/>
      <c r="CV58" s="78"/>
      <c r="CW58" s="78"/>
      <c r="CX58" s="78"/>
      <c r="CY58" s="78"/>
      <c r="CZ58" s="78"/>
      <c r="DA58" s="78"/>
      <c r="DB58" s="78"/>
      <c r="DC58" s="78"/>
      <c r="DD58" s="78"/>
      <c r="DE58" s="78"/>
      <c r="DF58" s="78"/>
      <c r="DG58" s="78"/>
      <c r="DH58" s="78"/>
      <c r="DI58" s="78"/>
      <c r="DJ58" s="78"/>
      <c r="DK58" s="78"/>
      <c r="DL58" s="78"/>
      <c r="DM58" s="78"/>
      <c r="DN58" s="78"/>
      <c r="DO58" s="78"/>
      <c r="DP58" s="78"/>
      <c r="DQ58" s="78"/>
      <c r="DR58" s="78"/>
      <c r="DS58" s="78"/>
      <c r="DT58" s="78"/>
      <c r="DU58" s="78"/>
      <c r="DV58" s="78"/>
      <c r="DW58" s="78"/>
      <c r="DX58" s="78"/>
      <c r="DY58" s="78"/>
      <c r="DZ58" s="78"/>
      <c r="EA58" s="78"/>
      <c r="EB58" s="78"/>
      <c r="EC58" s="78"/>
      <c r="ED58" s="78"/>
      <c r="EE58" s="78"/>
      <c r="EF58" s="78"/>
      <c r="EG58" s="78"/>
      <c r="EH58" s="78"/>
      <c r="EI58" s="91"/>
      <c r="EJ58" s="91"/>
      <c r="EK58" s="91"/>
      <c r="EL58" s="91"/>
      <c r="EM58" s="91"/>
      <c r="EN58" s="91"/>
      <c r="EO58" s="91"/>
      <c r="EP58" s="78"/>
      <c r="EQ58" s="78"/>
      <c r="ER58" s="78"/>
      <c r="ES58" s="78"/>
      <c r="ET58" s="78"/>
      <c r="EU58" s="78"/>
      <c r="EV58" s="78"/>
      <c r="EW58" s="78"/>
      <c r="EX58" s="78"/>
      <c r="EY58" s="78"/>
      <c r="EZ58" s="78"/>
      <c r="FA58" s="78"/>
      <c r="FB58" s="78"/>
      <c r="FC58" s="78"/>
      <c r="FD58" s="78"/>
      <c r="FE58" s="78"/>
      <c r="FF58" s="78"/>
      <c r="FG58" s="78"/>
      <c r="FH58" s="78"/>
      <c r="FI58" s="78"/>
      <c r="FJ58" s="78"/>
      <c r="FK58" s="78"/>
    </row>
    <row r="59" spans="1:167" hidden="1" outlineLevel="1">
      <c r="A59" s="29" t="str">
        <f t="shared" si="16"/>
        <v>cd_imv_out_prcorigem</v>
      </c>
      <c r="B59" s="67" t="s">
        <v>26</v>
      </c>
      <c r="C59" s="68" t="s">
        <v>54</v>
      </c>
      <c r="D59" s="64" t="s">
        <v>40</v>
      </c>
      <c r="E59" s="66" t="s">
        <v>456</v>
      </c>
      <c r="F59" s="64" t="s">
        <v>72</v>
      </c>
      <c r="G59" s="64" t="e">
        <f>INDEX(Auxiliar!$B$16:$B$24,MATCH(Plano_V1!H59,Auxiliar!$C$16:$C$24,0),1)</f>
        <v>#N/A</v>
      </c>
      <c r="H59" s="64" t="e">
        <f>VLOOKUP(A59,'Aux - pivots1'!$A:$B,2,0)</f>
        <v>#N/A</v>
      </c>
      <c r="I59" s="84">
        <f>SUMIFS(Table1[Estimação (horas)],Table1[Tabela],Plano_V1!E59,Table1[Campo],Plano_V1!F59)</f>
        <v>0</v>
      </c>
      <c r="J59" s="84">
        <f t="shared" si="17"/>
        <v>0</v>
      </c>
      <c r="K59" s="89" t="s">
        <v>56</v>
      </c>
      <c r="L59" s="90">
        <f t="shared" si="14"/>
        <v>0</v>
      </c>
      <c r="M59" s="78"/>
      <c r="N59" s="78"/>
      <c r="O59" s="78"/>
      <c r="P59" s="78"/>
      <c r="Q59" s="78"/>
      <c r="R59" s="78"/>
      <c r="S59" s="78"/>
      <c r="T59" s="78"/>
      <c r="U59" s="78"/>
      <c r="V59" s="78"/>
      <c r="W59" s="78"/>
      <c r="X59" s="78"/>
      <c r="Y59" s="78"/>
      <c r="Z59" s="78"/>
      <c r="AA59" s="78"/>
      <c r="AB59" s="78"/>
      <c r="AC59" s="78"/>
      <c r="AD59" s="78"/>
      <c r="AE59" s="78"/>
      <c r="AF59" s="78"/>
      <c r="AG59" s="78"/>
      <c r="AH59" s="78"/>
      <c r="AI59" s="78"/>
      <c r="AJ59" s="78"/>
      <c r="AK59" s="78"/>
      <c r="AL59" s="78"/>
      <c r="AM59" s="78"/>
      <c r="AN59" s="78"/>
      <c r="AO59" s="78"/>
      <c r="AP59" s="78"/>
      <c r="AQ59" s="78"/>
      <c r="AR59" s="78"/>
      <c r="AS59" s="78"/>
      <c r="AT59" s="91"/>
      <c r="AU59" s="78"/>
      <c r="AV59" s="78"/>
      <c r="AW59" s="78"/>
      <c r="AX59" s="78"/>
      <c r="AY59" s="78"/>
      <c r="AZ59" s="78"/>
      <c r="BA59" s="78"/>
      <c r="BB59" s="78"/>
      <c r="BC59" s="78"/>
      <c r="BD59" s="78"/>
      <c r="BE59" s="78"/>
      <c r="BF59" s="78"/>
      <c r="BG59" s="78"/>
      <c r="BH59" s="78"/>
      <c r="BI59" s="78"/>
      <c r="BJ59" s="78"/>
      <c r="BK59" s="78"/>
      <c r="BL59" s="78"/>
      <c r="BM59" s="78"/>
      <c r="BN59" s="78"/>
      <c r="BO59" s="78"/>
      <c r="BP59" s="78"/>
      <c r="BQ59" s="78"/>
      <c r="BR59" s="78"/>
      <c r="BS59" s="78"/>
      <c r="BT59" s="78"/>
      <c r="BU59" s="78"/>
      <c r="BV59" s="78"/>
      <c r="BW59" s="78"/>
      <c r="BX59" s="78"/>
      <c r="BY59" s="78"/>
      <c r="BZ59" s="78"/>
      <c r="CA59" s="78"/>
      <c r="CB59" s="78"/>
      <c r="CC59" s="78"/>
      <c r="CD59" s="78"/>
      <c r="CE59" s="78"/>
      <c r="CF59" s="78"/>
      <c r="CG59" s="78"/>
      <c r="CH59" s="78"/>
      <c r="CI59" s="78"/>
      <c r="CJ59" s="78"/>
      <c r="CK59" s="78"/>
      <c r="CL59" s="78"/>
      <c r="CM59" s="78"/>
      <c r="CN59" s="78"/>
      <c r="CO59" s="78"/>
      <c r="CP59" s="78"/>
      <c r="CQ59" s="78"/>
      <c r="CR59" s="78"/>
      <c r="CS59" s="78"/>
      <c r="CT59" s="78"/>
      <c r="CU59" s="78"/>
      <c r="CV59" s="78"/>
      <c r="CW59" s="78"/>
      <c r="CX59" s="78"/>
      <c r="CY59" s="78"/>
      <c r="CZ59" s="78"/>
      <c r="DA59" s="78"/>
      <c r="DB59" s="78"/>
      <c r="DC59" s="78"/>
      <c r="DD59" s="78"/>
      <c r="DE59" s="78"/>
      <c r="DF59" s="78"/>
      <c r="DG59" s="78"/>
      <c r="DH59" s="78"/>
      <c r="DI59" s="78"/>
      <c r="DJ59" s="78"/>
      <c r="DK59" s="78"/>
      <c r="DL59" s="78"/>
      <c r="DM59" s="78"/>
      <c r="DN59" s="78"/>
      <c r="DO59" s="78"/>
      <c r="DP59" s="78"/>
      <c r="DQ59" s="78"/>
      <c r="DR59" s="78"/>
      <c r="DS59" s="78"/>
      <c r="DT59" s="78"/>
      <c r="DU59" s="78"/>
      <c r="DV59" s="78"/>
      <c r="DW59" s="78"/>
      <c r="DX59" s="78"/>
      <c r="DY59" s="78"/>
      <c r="DZ59" s="78"/>
      <c r="EA59" s="78"/>
      <c r="EB59" s="78"/>
      <c r="EC59" s="78"/>
      <c r="ED59" s="78"/>
      <c r="EE59" s="78"/>
      <c r="EF59" s="78"/>
      <c r="EG59" s="78"/>
      <c r="EH59" s="78"/>
      <c r="EI59" s="91"/>
      <c r="EJ59" s="91"/>
      <c r="EK59" s="91"/>
      <c r="EL59" s="91"/>
      <c r="EM59" s="91"/>
      <c r="EN59" s="91"/>
      <c r="EO59" s="91"/>
      <c r="EP59" s="78"/>
      <c r="EQ59" s="78"/>
      <c r="ER59" s="78"/>
      <c r="ES59" s="78"/>
      <c r="ET59" s="78"/>
      <c r="EU59" s="78"/>
      <c r="EV59" s="78"/>
      <c r="EW59" s="78"/>
      <c r="EX59" s="78"/>
      <c r="EY59" s="78"/>
      <c r="EZ59" s="78"/>
      <c r="FA59" s="78"/>
      <c r="FB59" s="78"/>
      <c r="FC59" s="78"/>
      <c r="FD59" s="78"/>
      <c r="FE59" s="78"/>
      <c r="FF59" s="78"/>
      <c r="FG59" s="78"/>
      <c r="FH59" s="78"/>
      <c r="FI59" s="78"/>
      <c r="FJ59" s="78"/>
      <c r="FK59" s="78"/>
    </row>
    <row r="60" spans="1:167" hidden="1" outlineLevel="1">
      <c r="A60" s="29" t="str">
        <f t="shared" si="16"/>
        <v>cd_imv_out_prcref_date</v>
      </c>
      <c r="B60" s="67" t="s">
        <v>26</v>
      </c>
      <c r="C60" s="68" t="s">
        <v>54</v>
      </c>
      <c r="D60" s="64" t="s">
        <v>40</v>
      </c>
      <c r="E60" s="66" t="s">
        <v>456</v>
      </c>
      <c r="F60" s="64" t="s">
        <v>208</v>
      </c>
      <c r="G60" s="64" t="e">
        <f>INDEX(Auxiliar!$B$16:$B$24,MATCH(Plano_V1!H60,Auxiliar!$C$16:$C$24,0),1)</f>
        <v>#N/A</v>
      </c>
      <c r="H60" s="64" t="e">
        <f>VLOOKUP(A60,'Aux - pivots1'!$A:$B,2,0)</f>
        <v>#N/A</v>
      </c>
      <c r="I60" s="84">
        <f>SUMIFS(Table1[Estimação (horas)],Table1[Tabela],Plano_V1!E60,Table1[Campo],Plano_V1!F60)</f>
        <v>0</v>
      </c>
      <c r="J60" s="84">
        <f t="shared" si="17"/>
        <v>0</v>
      </c>
      <c r="K60" s="89" t="s">
        <v>56</v>
      </c>
      <c r="L60" s="90">
        <f t="shared" si="14"/>
        <v>0</v>
      </c>
      <c r="M60" s="78"/>
      <c r="N60" s="78"/>
      <c r="O60" s="78"/>
      <c r="P60" s="78"/>
      <c r="Q60" s="78"/>
      <c r="R60" s="78"/>
      <c r="S60" s="78"/>
      <c r="T60" s="78"/>
      <c r="U60" s="78"/>
      <c r="V60" s="78"/>
      <c r="W60" s="78"/>
      <c r="X60" s="78"/>
      <c r="Y60" s="78"/>
      <c r="Z60" s="78"/>
      <c r="AA60" s="78"/>
      <c r="AB60" s="78"/>
      <c r="AC60" s="78"/>
      <c r="AD60" s="78"/>
      <c r="AE60" s="78"/>
      <c r="AF60" s="78"/>
      <c r="AG60" s="78"/>
      <c r="AH60" s="78"/>
      <c r="AI60" s="78"/>
      <c r="AJ60" s="78"/>
      <c r="AK60" s="78"/>
      <c r="AL60" s="78"/>
      <c r="AM60" s="78"/>
      <c r="AN60" s="78"/>
      <c r="AO60" s="78"/>
      <c r="AP60" s="78"/>
      <c r="AQ60" s="78"/>
      <c r="AR60" s="78"/>
      <c r="AS60" s="78"/>
      <c r="AT60" s="91"/>
      <c r="AU60" s="78"/>
      <c r="AV60" s="78"/>
      <c r="AW60" s="78"/>
      <c r="AX60" s="78"/>
      <c r="AY60" s="78"/>
      <c r="AZ60" s="78"/>
      <c r="BA60" s="78"/>
      <c r="BB60" s="78"/>
      <c r="BC60" s="78"/>
      <c r="BD60" s="78"/>
      <c r="BE60" s="78"/>
      <c r="BF60" s="78"/>
      <c r="BG60" s="78"/>
      <c r="BH60" s="78"/>
      <c r="BI60" s="78"/>
      <c r="BJ60" s="78"/>
      <c r="BK60" s="78"/>
      <c r="BL60" s="78"/>
      <c r="BM60" s="78"/>
      <c r="BN60" s="78"/>
      <c r="BO60" s="78"/>
      <c r="BP60" s="78"/>
      <c r="BQ60" s="78"/>
      <c r="BR60" s="78"/>
      <c r="BS60" s="78"/>
      <c r="BT60" s="78"/>
      <c r="BU60" s="78"/>
      <c r="BV60" s="78"/>
      <c r="BW60" s="78"/>
      <c r="BX60" s="78"/>
      <c r="BY60" s="78"/>
      <c r="BZ60" s="78"/>
      <c r="CA60" s="78"/>
      <c r="CB60" s="78"/>
      <c r="CC60" s="78"/>
      <c r="CD60" s="78"/>
      <c r="CE60" s="78"/>
      <c r="CF60" s="78"/>
      <c r="CG60" s="78"/>
      <c r="CH60" s="78"/>
      <c r="CI60" s="78"/>
      <c r="CJ60" s="78"/>
      <c r="CK60" s="78"/>
      <c r="CL60" s="78"/>
      <c r="CM60" s="78"/>
      <c r="CN60" s="78"/>
      <c r="CO60" s="78"/>
      <c r="CP60" s="78"/>
      <c r="CQ60" s="78"/>
      <c r="CR60" s="78"/>
      <c r="CS60" s="78"/>
      <c r="CT60" s="78"/>
      <c r="CU60" s="78"/>
      <c r="CV60" s="78"/>
      <c r="CW60" s="78"/>
      <c r="CX60" s="78"/>
      <c r="CY60" s="78"/>
      <c r="CZ60" s="78"/>
      <c r="DA60" s="78"/>
      <c r="DB60" s="78"/>
      <c r="DC60" s="78"/>
      <c r="DD60" s="78"/>
      <c r="DE60" s="78"/>
      <c r="DF60" s="78"/>
      <c r="DG60" s="78"/>
      <c r="DH60" s="78"/>
      <c r="DI60" s="78"/>
      <c r="DJ60" s="78"/>
      <c r="DK60" s="78"/>
      <c r="DL60" s="78"/>
      <c r="DM60" s="78"/>
      <c r="DN60" s="78"/>
      <c r="DO60" s="78"/>
      <c r="DP60" s="78"/>
      <c r="DQ60" s="78"/>
      <c r="DR60" s="78"/>
      <c r="DS60" s="78"/>
      <c r="DT60" s="78"/>
      <c r="DU60" s="78"/>
      <c r="DV60" s="78"/>
      <c r="DW60" s="78"/>
      <c r="DX60" s="78"/>
      <c r="DY60" s="78"/>
      <c r="DZ60" s="78"/>
      <c r="EA60" s="78"/>
      <c r="EB60" s="78"/>
      <c r="EC60" s="78"/>
      <c r="ED60" s="78"/>
      <c r="EE60" s="78"/>
      <c r="EF60" s="78"/>
      <c r="EG60" s="78"/>
      <c r="EH60" s="78"/>
      <c r="EI60" s="91"/>
      <c r="EJ60" s="91"/>
      <c r="EK60" s="91"/>
      <c r="EL60" s="91"/>
      <c r="EM60" s="91"/>
      <c r="EN60" s="91"/>
      <c r="EO60" s="91"/>
      <c r="EP60" s="78"/>
      <c r="EQ60" s="78"/>
      <c r="ER60" s="78"/>
      <c r="ES60" s="78"/>
      <c r="ET60" s="78"/>
      <c r="EU60" s="78"/>
      <c r="EV60" s="78"/>
      <c r="EW60" s="78"/>
      <c r="EX60" s="78"/>
      <c r="EY60" s="78"/>
      <c r="EZ60" s="78"/>
      <c r="FA60" s="78"/>
      <c r="FB60" s="78"/>
      <c r="FC60" s="78"/>
      <c r="FD60" s="78"/>
      <c r="FE60" s="78"/>
      <c r="FF60" s="78"/>
      <c r="FG60" s="78"/>
      <c r="FH60" s="78"/>
      <c r="FI60" s="78"/>
      <c r="FJ60" s="78"/>
      <c r="FK60" s="78"/>
    </row>
    <row r="61" spans="1:167" hidden="1" outlineLevel="1">
      <c r="A61" s="29" t="str">
        <f t="shared" si="16"/>
        <v>cd_imv_out_trz_cred_prcn.a.</v>
      </c>
      <c r="B61" s="67" t="s">
        <v>26</v>
      </c>
      <c r="C61" s="68" t="s">
        <v>54</v>
      </c>
      <c r="D61" s="64" t="s">
        <v>36</v>
      </c>
      <c r="E61" s="66" t="s">
        <v>56</v>
      </c>
      <c r="F61" s="64" t="s">
        <v>38</v>
      </c>
      <c r="G61" s="64" t="e">
        <f>INDEX(Auxiliar!$B$16:$B$24,MATCH(Plano_V1!H61,Auxiliar!$C$16:$C$24,0),1)</f>
        <v>#N/A</v>
      </c>
      <c r="H61" s="64" t="e">
        <f>VLOOKUP(A61,'Aux - pivots1'!$A:$B,2,0)</f>
        <v>#N/A</v>
      </c>
      <c r="I61" s="84">
        <f>SUMIFS(Table1[Estimação (horas)],Table1[Tabela],Plano_V1!E61,Table1[Campo],Plano_V1!F61)</f>
        <v>0</v>
      </c>
      <c r="J61" s="84">
        <f t="shared" si="17"/>
        <v>0</v>
      </c>
      <c r="K61" s="89" t="s">
        <v>39</v>
      </c>
      <c r="L61" s="90">
        <f t="shared" si="14"/>
        <v>0</v>
      </c>
      <c r="M61" s="78"/>
      <c r="N61" s="78"/>
      <c r="O61" s="78"/>
      <c r="P61" s="78"/>
      <c r="Q61" s="78"/>
      <c r="R61" s="78"/>
      <c r="S61" s="78"/>
      <c r="T61" s="78"/>
      <c r="U61" s="78"/>
      <c r="V61" s="78"/>
      <c r="W61" s="78"/>
      <c r="X61" s="78"/>
      <c r="Y61" s="78"/>
      <c r="Z61" s="78"/>
      <c r="AA61" s="78"/>
      <c r="AB61" s="78"/>
      <c r="AC61" s="78"/>
      <c r="AD61" s="78"/>
      <c r="AE61" s="78"/>
      <c r="AF61" s="78"/>
      <c r="AG61" s="78"/>
      <c r="AH61" s="78"/>
      <c r="AI61" s="78"/>
      <c r="AJ61" s="78"/>
      <c r="AK61" s="78"/>
      <c r="AL61" s="78"/>
      <c r="AM61" s="78"/>
      <c r="AN61" s="78"/>
      <c r="AO61" s="78"/>
      <c r="AP61" s="78"/>
      <c r="AQ61" s="78"/>
      <c r="AR61" s="78"/>
      <c r="AS61" s="78"/>
      <c r="AT61" s="91"/>
      <c r="AU61" s="78"/>
      <c r="AV61" s="78"/>
      <c r="AW61" s="78"/>
      <c r="AX61" s="78"/>
      <c r="AY61" s="78"/>
      <c r="AZ61" s="78"/>
      <c r="BA61" s="78"/>
      <c r="BB61" s="78"/>
      <c r="BC61" s="78"/>
      <c r="BD61" s="78"/>
      <c r="BE61" s="78"/>
      <c r="BF61" s="78"/>
      <c r="BG61" s="78"/>
      <c r="BH61" s="78"/>
      <c r="BI61" s="78"/>
      <c r="BJ61" s="78"/>
      <c r="BK61" s="78"/>
      <c r="BL61" s="78"/>
      <c r="BM61" s="78"/>
      <c r="BN61" s="78"/>
      <c r="BO61" s="78"/>
      <c r="BP61" s="78"/>
      <c r="BQ61" s="78"/>
      <c r="BR61" s="78"/>
      <c r="BS61" s="78"/>
      <c r="BT61" s="78"/>
      <c r="BU61" s="78"/>
      <c r="BV61" s="78"/>
      <c r="BW61" s="78"/>
      <c r="BX61" s="78"/>
      <c r="BY61" s="78"/>
      <c r="BZ61" s="78"/>
      <c r="CA61" s="78"/>
      <c r="CB61" s="78"/>
      <c r="CC61" s="78"/>
      <c r="CD61" s="78"/>
      <c r="CE61" s="78"/>
      <c r="CF61" s="78"/>
      <c r="CG61" s="78"/>
      <c r="CH61" s="78"/>
      <c r="CI61" s="78"/>
      <c r="CJ61" s="78"/>
      <c r="CK61" s="78"/>
      <c r="CL61" s="78"/>
      <c r="CM61" s="78"/>
      <c r="CN61" s="78"/>
      <c r="CO61" s="78"/>
      <c r="CP61" s="78"/>
      <c r="CQ61" s="78"/>
      <c r="CR61" s="78"/>
      <c r="CS61" s="78"/>
      <c r="CT61" s="78"/>
      <c r="CU61" s="78"/>
      <c r="CV61" s="78"/>
      <c r="CW61" s="78"/>
      <c r="CX61" s="78"/>
      <c r="CY61" s="78"/>
      <c r="CZ61" s="78"/>
      <c r="DA61" s="78"/>
      <c r="DB61" s="78"/>
      <c r="DC61" s="78"/>
      <c r="DD61" s="78"/>
      <c r="DE61" s="78"/>
      <c r="DF61" s="78"/>
      <c r="DG61" s="78"/>
      <c r="DH61" s="78"/>
      <c r="DI61" s="78"/>
      <c r="DJ61" s="78"/>
      <c r="DK61" s="78"/>
      <c r="DL61" s="78"/>
      <c r="DM61" s="78"/>
      <c r="DN61" s="78"/>
      <c r="DO61" s="78"/>
      <c r="DP61" s="78"/>
      <c r="DQ61" s="78"/>
      <c r="DR61" s="78"/>
      <c r="DS61" s="78"/>
      <c r="DT61" s="78"/>
      <c r="DU61" s="78"/>
      <c r="DV61" s="78"/>
      <c r="DW61" s="78"/>
      <c r="DX61" s="78"/>
      <c r="DY61" s="78"/>
      <c r="DZ61" s="78"/>
      <c r="EA61" s="78"/>
      <c r="EB61" s="78"/>
      <c r="EC61" s="78"/>
      <c r="ED61" s="78"/>
      <c r="EE61" s="78"/>
      <c r="EF61" s="78"/>
      <c r="EG61" s="78"/>
      <c r="EH61" s="78"/>
      <c r="EI61" s="91"/>
      <c r="EJ61" s="91"/>
      <c r="EK61" s="91"/>
      <c r="EL61" s="91"/>
      <c r="EM61" s="91"/>
      <c r="EN61" s="91"/>
      <c r="EO61" s="91"/>
      <c r="EP61" s="78"/>
      <c r="EQ61" s="78"/>
      <c r="ER61" s="78"/>
      <c r="ES61" s="78"/>
      <c r="ET61" s="78"/>
      <c r="EU61" s="78"/>
      <c r="EV61" s="78"/>
      <c r="EW61" s="78"/>
      <c r="EX61" s="78"/>
      <c r="EY61" s="78"/>
      <c r="EZ61" s="78"/>
      <c r="FA61" s="78"/>
      <c r="FB61" s="78"/>
      <c r="FC61" s="78"/>
      <c r="FD61" s="78"/>
      <c r="FE61" s="78"/>
      <c r="FF61" s="78"/>
      <c r="FG61" s="78"/>
      <c r="FH61" s="78"/>
      <c r="FI61" s="78"/>
      <c r="FJ61" s="78"/>
      <c r="FK61" s="78"/>
    </row>
    <row r="62" spans="1:167" hidden="1" outlineLevel="1">
      <c r="A62" s="29" t="str">
        <f t="shared" si="16"/>
        <v>cd_imv_out_trz_cred_prccempresa</v>
      </c>
      <c r="B62" s="67" t="s">
        <v>26</v>
      </c>
      <c r="C62" s="68" t="s">
        <v>54</v>
      </c>
      <c r="D62" s="64" t="s">
        <v>40</v>
      </c>
      <c r="E62" s="66" t="s">
        <v>56</v>
      </c>
      <c r="F62" s="64" t="s">
        <v>184</v>
      </c>
      <c r="G62" s="64" t="e">
        <f>INDEX(Auxiliar!$B$16:$B$24,MATCH(Plano_V1!H62,Auxiliar!$C$16:$C$24,0),1)</f>
        <v>#N/A</v>
      </c>
      <c r="H62" s="64" t="e">
        <f>VLOOKUP(A62,'Aux - pivots1'!$A:$B,2,0)</f>
        <v>#N/A</v>
      </c>
      <c r="I62" s="84">
        <f>SUMIFS(Table1[Estimação (horas)],Table1[Tabela],Plano_V1!E62,Table1[Campo],Plano_V1!F62)</f>
        <v>0</v>
      </c>
      <c r="J62" s="84">
        <f t="shared" si="17"/>
        <v>0</v>
      </c>
      <c r="K62" s="89" t="s">
        <v>39</v>
      </c>
      <c r="L62" s="90">
        <f t="shared" si="14"/>
        <v>0</v>
      </c>
      <c r="M62" s="78"/>
      <c r="N62" s="78"/>
      <c r="O62" s="78"/>
      <c r="P62" s="78"/>
      <c r="Q62" s="78"/>
      <c r="R62" s="78"/>
      <c r="S62" s="78"/>
      <c r="T62" s="78"/>
      <c r="U62" s="78"/>
      <c r="V62" s="78"/>
      <c r="W62" s="78"/>
      <c r="X62" s="78"/>
      <c r="Y62" s="78"/>
      <c r="Z62" s="78"/>
      <c r="AA62" s="78"/>
      <c r="AB62" s="78"/>
      <c r="AC62" s="78"/>
      <c r="AD62" s="78"/>
      <c r="AE62" s="78"/>
      <c r="AF62" s="78"/>
      <c r="AG62" s="78"/>
      <c r="AH62" s="78"/>
      <c r="AI62" s="78"/>
      <c r="AJ62" s="78"/>
      <c r="AK62" s="78"/>
      <c r="AL62" s="78"/>
      <c r="AM62" s="78"/>
      <c r="AN62" s="78"/>
      <c r="AO62" s="78"/>
      <c r="AP62" s="78"/>
      <c r="AQ62" s="78"/>
      <c r="AR62" s="78"/>
      <c r="AS62" s="78"/>
      <c r="AT62" s="91"/>
      <c r="AU62" s="78"/>
      <c r="AV62" s="78"/>
      <c r="AW62" s="78"/>
      <c r="AX62" s="78"/>
      <c r="AY62" s="78"/>
      <c r="AZ62" s="78"/>
      <c r="BA62" s="78"/>
      <c r="BB62" s="78"/>
      <c r="BC62" s="78"/>
      <c r="BD62" s="78"/>
      <c r="BE62" s="78"/>
      <c r="BF62" s="78"/>
      <c r="BG62" s="78"/>
      <c r="BH62" s="78"/>
      <c r="BI62" s="78"/>
      <c r="BJ62" s="78"/>
      <c r="BK62" s="78"/>
      <c r="BL62" s="78"/>
      <c r="BM62" s="78"/>
      <c r="BN62" s="78"/>
      <c r="BO62" s="78"/>
      <c r="BP62" s="78"/>
      <c r="BQ62" s="78"/>
      <c r="BR62" s="78"/>
      <c r="BS62" s="78"/>
      <c r="BT62" s="78"/>
      <c r="BU62" s="78"/>
      <c r="BV62" s="78"/>
      <c r="BW62" s="78"/>
      <c r="BX62" s="78"/>
      <c r="BY62" s="78"/>
      <c r="BZ62" s="78"/>
      <c r="CA62" s="78"/>
      <c r="CB62" s="78"/>
      <c r="CC62" s="78"/>
      <c r="CD62" s="78"/>
      <c r="CE62" s="78"/>
      <c r="CF62" s="78"/>
      <c r="CG62" s="78"/>
      <c r="CH62" s="78"/>
      <c r="CI62" s="78"/>
      <c r="CJ62" s="78"/>
      <c r="CK62" s="78"/>
      <c r="CL62" s="78"/>
      <c r="CM62" s="78"/>
      <c r="CN62" s="78"/>
      <c r="CO62" s="78"/>
      <c r="CP62" s="78"/>
      <c r="CQ62" s="78"/>
      <c r="CR62" s="78"/>
      <c r="CS62" s="78"/>
      <c r="CT62" s="78"/>
      <c r="CU62" s="78"/>
      <c r="CV62" s="78"/>
      <c r="CW62" s="78"/>
      <c r="CX62" s="78"/>
      <c r="CY62" s="78"/>
      <c r="CZ62" s="78"/>
      <c r="DA62" s="78"/>
      <c r="DB62" s="78"/>
      <c r="DC62" s="78"/>
      <c r="DD62" s="78"/>
      <c r="DE62" s="78"/>
      <c r="DF62" s="78"/>
      <c r="DG62" s="78"/>
      <c r="DH62" s="78"/>
      <c r="DI62" s="78"/>
      <c r="DJ62" s="78"/>
      <c r="DK62" s="78"/>
      <c r="DL62" s="78"/>
      <c r="DM62" s="78"/>
      <c r="DN62" s="78"/>
      <c r="DO62" s="78"/>
      <c r="DP62" s="78"/>
      <c r="DQ62" s="78"/>
      <c r="DR62" s="78"/>
      <c r="DS62" s="78"/>
      <c r="DT62" s="78"/>
      <c r="DU62" s="78"/>
      <c r="DV62" s="78"/>
      <c r="DW62" s="78"/>
      <c r="DX62" s="78"/>
      <c r="DY62" s="78"/>
      <c r="DZ62" s="78"/>
      <c r="EA62" s="78"/>
      <c r="EB62" s="78"/>
      <c r="EC62" s="78"/>
      <c r="ED62" s="78"/>
      <c r="EE62" s="78"/>
      <c r="EF62" s="78"/>
      <c r="EG62" s="78"/>
      <c r="EH62" s="78"/>
      <c r="EI62" s="91"/>
      <c r="EJ62" s="91"/>
      <c r="EK62" s="91"/>
      <c r="EL62" s="91"/>
      <c r="EM62" s="91"/>
      <c r="EN62" s="91"/>
      <c r="EO62" s="91"/>
      <c r="EP62" s="78"/>
      <c r="EQ62" s="78"/>
      <c r="ER62" s="78"/>
      <c r="ES62" s="78"/>
      <c r="ET62" s="78"/>
      <c r="EU62" s="78"/>
      <c r="EV62" s="78"/>
      <c r="EW62" s="78"/>
      <c r="EX62" s="78"/>
      <c r="EY62" s="78"/>
      <c r="EZ62" s="78"/>
      <c r="FA62" s="78"/>
      <c r="FB62" s="78"/>
      <c r="FC62" s="78"/>
      <c r="FD62" s="78"/>
      <c r="FE62" s="78"/>
      <c r="FF62" s="78"/>
      <c r="FG62" s="78"/>
      <c r="FH62" s="78"/>
      <c r="FI62" s="78"/>
      <c r="FJ62" s="78"/>
      <c r="FK62" s="78"/>
    </row>
    <row r="63" spans="1:167" hidden="1" outlineLevel="1">
      <c r="A63" s="29" t="str">
        <f t="shared" si="16"/>
        <v>cd_imv_out_trz_cred_prccempresp</v>
      </c>
      <c r="B63" s="67" t="s">
        <v>26</v>
      </c>
      <c r="C63" s="68" t="s">
        <v>54</v>
      </c>
      <c r="D63" s="64" t="s">
        <v>40</v>
      </c>
      <c r="E63" s="66" t="s">
        <v>56</v>
      </c>
      <c r="F63" s="64" t="s">
        <v>468</v>
      </c>
      <c r="G63" s="64" t="e">
        <f>INDEX(Auxiliar!$B$16:$B$24,MATCH(Plano_V1!H63,Auxiliar!$C$16:$C$24,0),1)</f>
        <v>#N/A</v>
      </c>
      <c r="H63" s="64" t="e">
        <f>VLOOKUP(A63,'Aux - pivots1'!$A:$B,2,0)</f>
        <v>#N/A</v>
      </c>
      <c r="I63" s="84">
        <f>SUMIFS(Table1[Estimação (horas)],Table1[Tabela],Plano_V1!E63,Table1[Campo],Plano_V1!F63)</f>
        <v>0</v>
      </c>
      <c r="J63" s="84">
        <f t="shared" si="17"/>
        <v>0</v>
      </c>
      <c r="K63" s="89" t="s">
        <v>39</v>
      </c>
      <c r="L63" s="90">
        <f t="shared" si="14"/>
        <v>0</v>
      </c>
      <c r="M63" s="78"/>
      <c r="N63" s="78"/>
      <c r="O63" s="78"/>
      <c r="P63" s="78"/>
      <c r="Q63" s="78"/>
      <c r="R63" s="78"/>
      <c r="S63" s="78"/>
      <c r="T63" s="78"/>
      <c r="U63" s="78"/>
      <c r="V63" s="78"/>
      <c r="W63" s="78"/>
      <c r="X63" s="78"/>
      <c r="Y63" s="78"/>
      <c r="Z63" s="78"/>
      <c r="AA63" s="78"/>
      <c r="AB63" s="78"/>
      <c r="AC63" s="78"/>
      <c r="AD63" s="78"/>
      <c r="AE63" s="78"/>
      <c r="AF63" s="78"/>
      <c r="AG63" s="78"/>
      <c r="AH63" s="78"/>
      <c r="AI63" s="78"/>
      <c r="AJ63" s="78"/>
      <c r="AK63" s="78"/>
      <c r="AL63" s="78"/>
      <c r="AM63" s="78"/>
      <c r="AN63" s="78"/>
      <c r="AO63" s="78"/>
      <c r="AP63" s="78"/>
      <c r="AQ63" s="78"/>
      <c r="AR63" s="78"/>
      <c r="AS63" s="78"/>
      <c r="AT63" s="91"/>
      <c r="AU63" s="78"/>
      <c r="AV63" s="78"/>
      <c r="AW63" s="78"/>
      <c r="AX63" s="78"/>
      <c r="AY63" s="78"/>
      <c r="AZ63" s="78"/>
      <c r="BA63" s="78"/>
      <c r="BB63" s="78"/>
      <c r="BC63" s="78"/>
      <c r="BD63" s="78"/>
      <c r="BE63" s="78"/>
      <c r="BF63" s="78"/>
      <c r="BG63" s="78"/>
      <c r="BH63" s="78"/>
      <c r="BI63" s="78"/>
      <c r="BJ63" s="78"/>
      <c r="BK63" s="78"/>
      <c r="BL63" s="78"/>
      <c r="BM63" s="78"/>
      <c r="BN63" s="78"/>
      <c r="BO63" s="78"/>
      <c r="BP63" s="78"/>
      <c r="BQ63" s="78"/>
      <c r="BR63" s="78"/>
      <c r="BS63" s="78"/>
      <c r="BT63" s="78"/>
      <c r="BU63" s="78"/>
      <c r="BV63" s="78"/>
      <c r="BW63" s="78"/>
      <c r="BX63" s="78"/>
      <c r="BY63" s="78"/>
      <c r="BZ63" s="78"/>
      <c r="CA63" s="78"/>
      <c r="CB63" s="78"/>
      <c r="CC63" s="78"/>
      <c r="CD63" s="78"/>
      <c r="CE63" s="78"/>
      <c r="CF63" s="78"/>
      <c r="CG63" s="78"/>
      <c r="CH63" s="78"/>
      <c r="CI63" s="78"/>
      <c r="CJ63" s="78"/>
      <c r="CK63" s="78"/>
      <c r="CL63" s="78"/>
      <c r="CM63" s="78"/>
      <c r="CN63" s="78"/>
      <c r="CO63" s="78"/>
      <c r="CP63" s="78"/>
      <c r="CQ63" s="78"/>
      <c r="CR63" s="78"/>
      <c r="CS63" s="78"/>
      <c r="CT63" s="78"/>
      <c r="CU63" s="78"/>
      <c r="CV63" s="78"/>
      <c r="CW63" s="78"/>
      <c r="CX63" s="78"/>
      <c r="CY63" s="78"/>
      <c r="CZ63" s="78"/>
      <c r="DA63" s="78"/>
      <c r="DB63" s="78"/>
      <c r="DC63" s="78"/>
      <c r="DD63" s="78"/>
      <c r="DE63" s="78"/>
      <c r="DF63" s="78"/>
      <c r="DG63" s="78"/>
      <c r="DH63" s="78"/>
      <c r="DI63" s="78"/>
      <c r="DJ63" s="78"/>
      <c r="DK63" s="78"/>
      <c r="DL63" s="78"/>
      <c r="DM63" s="78"/>
      <c r="DN63" s="78"/>
      <c r="DO63" s="78"/>
      <c r="DP63" s="78"/>
      <c r="DQ63" s="78"/>
      <c r="DR63" s="78"/>
      <c r="DS63" s="78"/>
      <c r="DT63" s="78"/>
      <c r="DU63" s="78"/>
      <c r="DV63" s="78"/>
      <c r="DW63" s="78"/>
      <c r="DX63" s="78"/>
      <c r="DY63" s="78"/>
      <c r="DZ63" s="78"/>
      <c r="EA63" s="78"/>
      <c r="EB63" s="78"/>
      <c r="EC63" s="78"/>
      <c r="ED63" s="78"/>
      <c r="EE63" s="78"/>
      <c r="EF63" s="78"/>
      <c r="EG63" s="78"/>
      <c r="EH63" s="78"/>
      <c r="EI63" s="91"/>
      <c r="EJ63" s="91"/>
      <c r="EK63" s="91"/>
      <c r="EL63" s="91"/>
      <c r="EM63" s="91"/>
      <c r="EN63" s="91"/>
      <c r="EO63" s="91"/>
      <c r="EP63" s="78"/>
      <c r="EQ63" s="78"/>
      <c r="ER63" s="78"/>
      <c r="ES63" s="78"/>
      <c r="ET63" s="78"/>
      <c r="EU63" s="78"/>
      <c r="EV63" s="78"/>
      <c r="EW63" s="78"/>
      <c r="EX63" s="78"/>
      <c r="EY63" s="78"/>
      <c r="EZ63" s="78"/>
      <c r="FA63" s="78"/>
      <c r="FB63" s="78"/>
      <c r="FC63" s="78"/>
      <c r="FD63" s="78"/>
      <c r="FE63" s="78"/>
      <c r="FF63" s="78"/>
      <c r="FG63" s="78"/>
      <c r="FH63" s="78"/>
      <c r="FI63" s="78"/>
      <c r="FJ63" s="78"/>
      <c r="FK63" s="78"/>
    </row>
    <row r="64" spans="1:167" hidden="1" outlineLevel="1">
      <c r="A64" s="29" t="str">
        <f t="shared" si="16"/>
        <v>cd_imv_out_trz_cred_prcckbalcao</v>
      </c>
      <c r="B64" s="67" t="s">
        <v>26</v>
      </c>
      <c r="C64" s="68" t="s">
        <v>54</v>
      </c>
      <c r="D64" s="64" t="s">
        <v>40</v>
      </c>
      <c r="E64" s="66" t="s">
        <v>56</v>
      </c>
      <c r="F64" s="64" t="s">
        <v>457</v>
      </c>
      <c r="G64" s="64" t="e">
        <f>INDEX(Auxiliar!$B$16:$B$24,MATCH(Plano_V1!H64,Auxiliar!$C$16:$C$24,0),1)</f>
        <v>#N/A</v>
      </c>
      <c r="H64" s="64" t="e">
        <f>VLOOKUP(A64,'Aux - pivots1'!$A:$B,2,0)</f>
        <v>#N/A</v>
      </c>
      <c r="I64" s="84">
        <f>SUMIFS(Table1[Estimação (horas)],Table1[Tabela],Plano_V1!E64,Table1[Campo],Plano_V1!F64)</f>
        <v>0</v>
      </c>
      <c r="J64" s="84">
        <f t="shared" si="17"/>
        <v>0</v>
      </c>
      <c r="K64" s="89" t="s">
        <v>39</v>
      </c>
      <c r="L64" s="90">
        <f t="shared" si="14"/>
        <v>0</v>
      </c>
      <c r="M64" s="78"/>
      <c r="N64" s="78"/>
      <c r="O64" s="78"/>
      <c r="P64" s="78"/>
      <c r="Q64" s="78"/>
      <c r="R64" s="78"/>
      <c r="S64" s="78"/>
      <c r="T64" s="78"/>
      <c r="U64" s="78"/>
      <c r="V64" s="78"/>
      <c r="W64" s="78"/>
      <c r="X64" s="78"/>
      <c r="Y64" s="78"/>
      <c r="Z64" s="78"/>
      <c r="AA64" s="78"/>
      <c r="AB64" s="78"/>
      <c r="AC64" s="78"/>
      <c r="AD64" s="78"/>
      <c r="AE64" s="78"/>
      <c r="AF64" s="78"/>
      <c r="AG64" s="78"/>
      <c r="AH64" s="78"/>
      <c r="AI64" s="78"/>
      <c r="AJ64" s="78"/>
      <c r="AK64" s="78"/>
      <c r="AL64" s="78"/>
      <c r="AM64" s="78"/>
      <c r="AN64" s="78"/>
      <c r="AO64" s="78"/>
      <c r="AP64" s="78"/>
      <c r="AQ64" s="78"/>
      <c r="AR64" s="78"/>
      <c r="AS64" s="78"/>
      <c r="AT64" s="91"/>
      <c r="AU64" s="78"/>
      <c r="AV64" s="78"/>
      <c r="AW64" s="78"/>
      <c r="AX64" s="78"/>
      <c r="AY64" s="78"/>
      <c r="AZ64" s="78"/>
      <c r="BA64" s="78"/>
      <c r="BB64" s="78"/>
      <c r="BC64" s="78"/>
      <c r="BD64" s="78"/>
      <c r="BE64" s="78"/>
      <c r="BF64" s="78"/>
      <c r="BG64" s="78"/>
      <c r="BH64" s="78"/>
      <c r="BI64" s="78"/>
      <c r="BJ64" s="78"/>
      <c r="BK64" s="78"/>
      <c r="BL64" s="78"/>
      <c r="BM64" s="78"/>
      <c r="BN64" s="78"/>
      <c r="BO64" s="78"/>
      <c r="BP64" s="78"/>
      <c r="BQ64" s="78"/>
      <c r="BR64" s="78"/>
      <c r="BS64" s="78"/>
      <c r="BT64" s="78"/>
      <c r="BU64" s="78"/>
      <c r="BV64" s="78"/>
      <c r="BW64" s="78"/>
      <c r="BX64" s="78"/>
      <c r="BY64" s="78"/>
      <c r="BZ64" s="78"/>
      <c r="CA64" s="78"/>
      <c r="CB64" s="78"/>
      <c r="CC64" s="78"/>
      <c r="CD64" s="78"/>
      <c r="CE64" s="78"/>
      <c r="CF64" s="78"/>
      <c r="CG64" s="78"/>
      <c r="CH64" s="78"/>
      <c r="CI64" s="78"/>
      <c r="CJ64" s="78"/>
      <c r="CK64" s="78"/>
      <c r="CL64" s="78"/>
      <c r="CM64" s="78"/>
      <c r="CN64" s="78"/>
      <c r="CO64" s="78"/>
      <c r="CP64" s="78"/>
      <c r="CQ64" s="78"/>
      <c r="CR64" s="78"/>
      <c r="CS64" s="78"/>
      <c r="CT64" s="78"/>
      <c r="CU64" s="78"/>
      <c r="CV64" s="78"/>
      <c r="CW64" s="78"/>
      <c r="CX64" s="78"/>
      <c r="CY64" s="78"/>
      <c r="CZ64" s="78"/>
      <c r="DA64" s="78"/>
      <c r="DB64" s="78"/>
      <c r="DC64" s="78"/>
      <c r="DD64" s="78"/>
      <c r="DE64" s="78"/>
      <c r="DF64" s="78"/>
      <c r="DG64" s="78"/>
      <c r="DH64" s="78"/>
      <c r="DI64" s="78"/>
      <c r="DJ64" s="78"/>
      <c r="DK64" s="78"/>
      <c r="DL64" s="78"/>
      <c r="DM64" s="78"/>
      <c r="DN64" s="78"/>
      <c r="DO64" s="78"/>
      <c r="DP64" s="78"/>
      <c r="DQ64" s="78"/>
      <c r="DR64" s="78"/>
      <c r="DS64" s="78"/>
      <c r="DT64" s="78"/>
      <c r="DU64" s="78"/>
      <c r="DV64" s="78"/>
      <c r="DW64" s="78"/>
      <c r="DX64" s="78"/>
      <c r="DY64" s="78"/>
      <c r="DZ64" s="78"/>
      <c r="EA64" s="78"/>
      <c r="EB64" s="78"/>
      <c r="EC64" s="78"/>
      <c r="ED64" s="78"/>
      <c r="EE64" s="78"/>
      <c r="EF64" s="78"/>
      <c r="EG64" s="78"/>
      <c r="EH64" s="78"/>
      <c r="EI64" s="91"/>
      <c r="EJ64" s="91"/>
      <c r="EK64" s="91"/>
      <c r="EL64" s="91"/>
      <c r="EM64" s="91"/>
      <c r="EN64" s="91"/>
      <c r="EO64" s="91"/>
      <c r="EP64" s="78"/>
      <c r="EQ64" s="78"/>
      <c r="ER64" s="78"/>
      <c r="ES64" s="78"/>
      <c r="ET64" s="78"/>
      <c r="EU64" s="78"/>
      <c r="EV64" s="78"/>
      <c r="EW64" s="78"/>
      <c r="EX64" s="78"/>
      <c r="EY64" s="78"/>
      <c r="EZ64" s="78"/>
      <c r="FA64" s="78"/>
      <c r="FB64" s="78"/>
      <c r="FC64" s="78"/>
      <c r="FD64" s="78"/>
      <c r="FE64" s="78"/>
      <c r="FF64" s="78"/>
      <c r="FG64" s="78"/>
      <c r="FH64" s="78"/>
      <c r="FI64" s="78"/>
      <c r="FJ64" s="78"/>
      <c r="FK64" s="78"/>
    </row>
    <row r="65" spans="1:167" hidden="1" outlineLevel="1">
      <c r="A65" s="29" t="str">
        <f t="shared" si="16"/>
        <v>cd_imv_out_trz_cred_prcckbalres</v>
      </c>
      <c r="B65" s="67" t="s">
        <v>26</v>
      </c>
      <c r="C65" s="68" t="s">
        <v>54</v>
      </c>
      <c r="D65" s="64" t="s">
        <v>40</v>
      </c>
      <c r="E65" s="66" t="s">
        <v>56</v>
      </c>
      <c r="F65" s="64" t="s">
        <v>469</v>
      </c>
      <c r="G65" s="64" t="e">
        <f>INDEX(Auxiliar!$B$16:$B$24,MATCH(Plano_V1!H65,Auxiliar!$C$16:$C$24,0),1)</f>
        <v>#N/A</v>
      </c>
      <c r="H65" s="64" t="e">
        <f>VLOOKUP(A65,'Aux - pivots1'!$A:$B,2,0)</f>
        <v>#N/A</v>
      </c>
      <c r="I65" s="84">
        <f>SUMIFS(Table1[Estimação (horas)],Table1[Tabela],Plano_V1!E65,Table1[Campo],Plano_V1!F65)</f>
        <v>0</v>
      </c>
      <c r="J65" s="84">
        <f t="shared" si="17"/>
        <v>0</v>
      </c>
      <c r="K65" s="89" t="s">
        <v>39</v>
      </c>
      <c r="L65" s="90">
        <f t="shared" si="14"/>
        <v>0</v>
      </c>
      <c r="M65" s="78"/>
      <c r="N65" s="78"/>
      <c r="O65" s="78"/>
      <c r="P65" s="78"/>
      <c r="Q65" s="78"/>
      <c r="R65" s="78"/>
      <c r="S65" s="78"/>
      <c r="T65" s="78"/>
      <c r="U65" s="78"/>
      <c r="V65" s="78"/>
      <c r="W65" s="78"/>
      <c r="X65" s="78"/>
      <c r="Y65" s="78"/>
      <c r="Z65" s="78"/>
      <c r="AA65" s="78"/>
      <c r="AB65" s="78"/>
      <c r="AC65" s="78"/>
      <c r="AD65" s="78"/>
      <c r="AE65" s="78"/>
      <c r="AF65" s="78"/>
      <c r="AG65" s="78"/>
      <c r="AH65" s="78"/>
      <c r="AI65" s="78"/>
      <c r="AJ65" s="78"/>
      <c r="AK65" s="78"/>
      <c r="AL65" s="78"/>
      <c r="AM65" s="78"/>
      <c r="AN65" s="78"/>
      <c r="AO65" s="78"/>
      <c r="AP65" s="78"/>
      <c r="AQ65" s="78"/>
      <c r="AR65" s="78"/>
      <c r="AS65" s="78"/>
      <c r="AT65" s="91"/>
      <c r="AU65" s="78"/>
      <c r="AV65" s="78"/>
      <c r="AW65" s="78"/>
      <c r="AX65" s="78"/>
      <c r="AY65" s="78"/>
      <c r="AZ65" s="78"/>
      <c r="BA65" s="78"/>
      <c r="BB65" s="78"/>
      <c r="BC65" s="78"/>
      <c r="BD65" s="78"/>
      <c r="BE65" s="78"/>
      <c r="BF65" s="78"/>
      <c r="BG65" s="78"/>
      <c r="BH65" s="78"/>
      <c r="BI65" s="78"/>
      <c r="BJ65" s="78"/>
      <c r="BK65" s="78"/>
      <c r="BL65" s="78"/>
      <c r="BM65" s="78"/>
      <c r="BN65" s="78"/>
      <c r="BO65" s="78"/>
      <c r="BP65" s="78"/>
      <c r="BQ65" s="78"/>
      <c r="BR65" s="78"/>
      <c r="BS65" s="78"/>
      <c r="BT65" s="78"/>
      <c r="BU65" s="78"/>
      <c r="BV65" s="78"/>
      <c r="BW65" s="78"/>
      <c r="BX65" s="78"/>
      <c r="BY65" s="78"/>
      <c r="BZ65" s="78"/>
      <c r="CA65" s="78"/>
      <c r="CB65" s="78"/>
      <c r="CC65" s="78"/>
      <c r="CD65" s="78"/>
      <c r="CE65" s="78"/>
      <c r="CF65" s="78"/>
      <c r="CG65" s="78"/>
      <c r="CH65" s="78"/>
      <c r="CI65" s="78"/>
      <c r="CJ65" s="78"/>
      <c r="CK65" s="78"/>
      <c r="CL65" s="78"/>
      <c r="CM65" s="78"/>
      <c r="CN65" s="78"/>
      <c r="CO65" s="78"/>
      <c r="CP65" s="78"/>
      <c r="CQ65" s="78"/>
      <c r="CR65" s="78"/>
      <c r="CS65" s="78"/>
      <c r="CT65" s="78"/>
      <c r="CU65" s="78"/>
      <c r="CV65" s="78"/>
      <c r="CW65" s="78"/>
      <c r="CX65" s="78"/>
      <c r="CY65" s="78"/>
      <c r="CZ65" s="78"/>
      <c r="DA65" s="78"/>
      <c r="DB65" s="78"/>
      <c r="DC65" s="78"/>
      <c r="DD65" s="78"/>
      <c r="DE65" s="78"/>
      <c r="DF65" s="78"/>
      <c r="DG65" s="78"/>
      <c r="DH65" s="78"/>
      <c r="DI65" s="78"/>
      <c r="DJ65" s="78"/>
      <c r="DK65" s="78"/>
      <c r="DL65" s="78"/>
      <c r="DM65" s="78"/>
      <c r="DN65" s="78"/>
      <c r="DO65" s="78"/>
      <c r="DP65" s="78"/>
      <c r="DQ65" s="78"/>
      <c r="DR65" s="78"/>
      <c r="DS65" s="78"/>
      <c r="DT65" s="78"/>
      <c r="DU65" s="78"/>
      <c r="DV65" s="78"/>
      <c r="DW65" s="78"/>
      <c r="DX65" s="78"/>
      <c r="DY65" s="78"/>
      <c r="DZ65" s="78"/>
      <c r="EA65" s="78"/>
      <c r="EB65" s="78"/>
      <c r="EC65" s="78"/>
      <c r="ED65" s="78"/>
      <c r="EE65" s="78"/>
      <c r="EF65" s="78"/>
      <c r="EG65" s="78"/>
      <c r="EH65" s="78"/>
      <c r="EI65" s="91"/>
      <c r="EJ65" s="91"/>
      <c r="EK65" s="91"/>
      <c r="EL65" s="91"/>
      <c r="EM65" s="91"/>
      <c r="EN65" s="91"/>
      <c r="EO65" s="91"/>
      <c r="EP65" s="78"/>
      <c r="EQ65" s="78"/>
      <c r="ER65" s="78"/>
      <c r="ES65" s="78"/>
      <c r="ET65" s="78"/>
      <c r="EU65" s="78"/>
      <c r="EV65" s="78"/>
      <c r="EW65" s="78"/>
      <c r="EX65" s="78"/>
      <c r="EY65" s="78"/>
      <c r="EZ65" s="78"/>
      <c r="FA65" s="78"/>
      <c r="FB65" s="78"/>
      <c r="FC65" s="78"/>
      <c r="FD65" s="78"/>
      <c r="FE65" s="78"/>
      <c r="FF65" s="78"/>
      <c r="FG65" s="78"/>
      <c r="FH65" s="78"/>
      <c r="FI65" s="78"/>
      <c r="FJ65" s="78"/>
      <c r="FK65" s="78"/>
    </row>
    <row r="66" spans="1:167" hidden="1" outlineLevel="1">
      <c r="A66" s="29" t="str">
        <f t="shared" si="16"/>
        <v>cd_imv_out_trz_cred_prcckctares</v>
      </c>
      <c r="B66" s="67" t="s">
        <v>26</v>
      </c>
      <c r="C66" s="68" t="s">
        <v>54</v>
      </c>
      <c r="D66" s="64" t="s">
        <v>40</v>
      </c>
      <c r="E66" s="66" t="s">
        <v>56</v>
      </c>
      <c r="F66" s="64" t="s">
        <v>470</v>
      </c>
      <c r="G66" s="64" t="e">
        <f>INDEX(Auxiliar!$B$16:$B$24,MATCH(Plano_V1!H66,Auxiliar!$C$16:$C$24,0),1)</f>
        <v>#N/A</v>
      </c>
      <c r="H66" s="64" t="e">
        <f>VLOOKUP(A66,'Aux - pivots1'!$A:$B,2,0)</f>
        <v>#N/A</v>
      </c>
      <c r="I66" s="84">
        <f>SUMIFS(Table1[Estimação (horas)],Table1[Tabela],Plano_V1!E66,Table1[Campo],Plano_V1!F66)</f>
        <v>0</v>
      </c>
      <c r="J66" s="84">
        <f t="shared" si="17"/>
        <v>0</v>
      </c>
      <c r="K66" s="89" t="s">
        <v>39</v>
      </c>
      <c r="L66" s="90">
        <f t="shared" si="14"/>
        <v>0</v>
      </c>
      <c r="M66" s="78"/>
      <c r="N66" s="78"/>
      <c r="O66" s="78"/>
      <c r="P66" s="78"/>
      <c r="Q66" s="78"/>
      <c r="R66" s="78"/>
      <c r="S66" s="78"/>
      <c r="T66" s="78"/>
      <c r="U66" s="78"/>
      <c r="V66" s="78"/>
      <c r="W66" s="78"/>
      <c r="X66" s="78"/>
      <c r="Y66" s="78"/>
      <c r="Z66" s="78"/>
      <c r="AA66" s="78"/>
      <c r="AB66" s="78"/>
      <c r="AC66" s="78"/>
      <c r="AD66" s="78"/>
      <c r="AE66" s="78"/>
      <c r="AF66" s="78"/>
      <c r="AG66" s="78"/>
      <c r="AH66" s="78"/>
      <c r="AI66" s="78"/>
      <c r="AJ66" s="78"/>
      <c r="AK66" s="78"/>
      <c r="AL66" s="78"/>
      <c r="AM66" s="78"/>
      <c r="AN66" s="78"/>
      <c r="AO66" s="78"/>
      <c r="AP66" s="78"/>
      <c r="AQ66" s="78"/>
      <c r="AR66" s="78"/>
      <c r="AS66" s="78"/>
      <c r="AT66" s="91"/>
      <c r="AU66" s="78"/>
      <c r="AV66" s="78"/>
      <c r="AW66" s="78"/>
      <c r="AX66" s="78"/>
      <c r="AY66" s="78"/>
      <c r="AZ66" s="78"/>
      <c r="BA66" s="78"/>
      <c r="BB66" s="78"/>
      <c r="BC66" s="78"/>
      <c r="BD66" s="78"/>
      <c r="BE66" s="78"/>
      <c r="BF66" s="78"/>
      <c r="BG66" s="78"/>
      <c r="BH66" s="78"/>
      <c r="BI66" s="78"/>
      <c r="BJ66" s="78"/>
      <c r="BK66" s="78"/>
      <c r="BL66" s="78"/>
      <c r="BM66" s="78"/>
      <c r="BN66" s="78"/>
      <c r="BO66" s="78"/>
      <c r="BP66" s="78"/>
      <c r="BQ66" s="78"/>
      <c r="BR66" s="78"/>
      <c r="BS66" s="78"/>
      <c r="BT66" s="78"/>
      <c r="BU66" s="78"/>
      <c r="BV66" s="78"/>
      <c r="BW66" s="78"/>
      <c r="BX66" s="78"/>
      <c r="BY66" s="78"/>
      <c r="BZ66" s="78"/>
      <c r="CA66" s="78"/>
      <c r="CB66" s="78"/>
      <c r="CC66" s="78"/>
      <c r="CD66" s="78"/>
      <c r="CE66" s="78"/>
      <c r="CF66" s="78"/>
      <c r="CG66" s="78"/>
      <c r="CH66" s="78"/>
      <c r="CI66" s="78"/>
      <c r="CJ66" s="78"/>
      <c r="CK66" s="78"/>
      <c r="CL66" s="78"/>
      <c r="CM66" s="78"/>
      <c r="CN66" s="78"/>
      <c r="CO66" s="78"/>
      <c r="CP66" s="78"/>
      <c r="CQ66" s="78"/>
      <c r="CR66" s="78"/>
      <c r="CS66" s="78"/>
      <c r="CT66" s="78"/>
      <c r="CU66" s="78"/>
      <c r="CV66" s="78"/>
      <c r="CW66" s="78"/>
      <c r="CX66" s="78"/>
      <c r="CY66" s="78"/>
      <c r="CZ66" s="78"/>
      <c r="DA66" s="78"/>
      <c r="DB66" s="78"/>
      <c r="DC66" s="78"/>
      <c r="DD66" s="78"/>
      <c r="DE66" s="78"/>
      <c r="DF66" s="78"/>
      <c r="DG66" s="78"/>
      <c r="DH66" s="78"/>
      <c r="DI66" s="78"/>
      <c r="DJ66" s="78"/>
      <c r="DK66" s="78"/>
      <c r="DL66" s="78"/>
      <c r="DM66" s="78"/>
      <c r="DN66" s="78"/>
      <c r="DO66" s="78"/>
      <c r="DP66" s="78"/>
      <c r="DQ66" s="78"/>
      <c r="DR66" s="78"/>
      <c r="DS66" s="78"/>
      <c r="DT66" s="78"/>
      <c r="DU66" s="78"/>
      <c r="DV66" s="78"/>
      <c r="DW66" s="78"/>
      <c r="DX66" s="78"/>
      <c r="DY66" s="78"/>
      <c r="DZ66" s="78"/>
      <c r="EA66" s="78"/>
      <c r="EB66" s="78"/>
      <c r="EC66" s="78"/>
      <c r="ED66" s="78"/>
      <c r="EE66" s="78"/>
      <c r="EF66" s="78"/>
      <c r="EG66" s="78"/>
      <c r="EH66" s="78"/>
      <c r="EI66" s="91"/>
      <c r="EJ66" s="91"/>
      <c r="EK66" s="91"/>
      <c r="EL66" s="91"/>
      <c r="EM66" s="91"/>
      <c r="EN66" s="91"/>
      <c r="EO66" s="91"/>
      <c r="EP66" s="78"/>
      <c r="EQ66" s="78"/>
      <c r="ER66" s="78"/>
      <c r="ES66" s="78"/>
      <c r="ET66" s="78"/>
      <c r="EU66" s="78"/>
      <c r="EV66" s="78"/>
      <c r="EW66" s="78"/>
      <c r="EX66" s="78"/>
      <c r="EY66" s="78"/>
      <c r="EZ66" s="78"/>
      <c r="FA66" s="78"/>
      <c r="FB66" s="78"/>
      <c r="FC66" s="78"/>
      <c r="FD66" s="78"/>
      <c r="FE66" s="78"/>
      <c r="FF66" s="78"/>
      <c r="FG66" s="78"/>
      <c r="FH66" s="78"/>
      <c r="FI66" s="78"/>
      <c r="FJ66" s="78"/>
      <c r="FK66" s="78"/>
    </row>
    <row r="67" spans="1:167" hidden="1" outlineLevel="1">
      <c r="A67" s="29" t="str">
        <f t="shared" si="16"/>
        <v>cd_imv_out_trz_cred_prccknumcta</v>
      </c>
      <c r="B67" s="67" t="s">
        <v>26</v>
      </c>
      <c r="C67" s="68" t="s">
        <v>54</v>
      </c>
      <c r="D67" s="64" t="s">
        <v>40</v>
      </c>
      <c r="E67" s="66" t="s">
        <v>56</v>
      </c>
      <c r="F67" s="64" t="s">
        <v>458</v>
      </c>
      <c r="G67" s="64" t="e">
        <f>INDEX(Auxiliar!$B$16:$B$24,MATCH(Plano_V1!H67,Auxiliar!$C$16:$C$24,0),1)</f>
        <v>#N/A</v>
      </c>
      <c r="H67" s="64" t="e">
        <f>VLOOKUP(A67,'Aux - pivots1'!$A:$B,2,0)</f>
        <v>#N/A</v>
      </c>
      <c r="I67" s="84">
        <f>SUMIFS(Table1[Estimação (horas)],Table1[Tabela],Plano_V1!E67,Table1[Campo],Plano_V1!F67)</f>
        <v>0</v>
      </c>
      <c r="J67" s="84">
        <f t="shared" si="17"/>
        <v>0</v>
      </c>
      <c r="K67" s="89" t="s">
        <v>39</v>
      </c>
      <c r="L67" s="90">
        <f t="shared" si="14"/>
        <v>0</v>
      </c>
      <c r="M67" s="78"/>
      <c r="N67" s="78"/>
      <c r="O67" s="78"/>
      <c r="P67" s="78"/>
      <c r="Q67" s="78"/>
      <c r="R67" s="78"/>
      <c r="S67" s="78"/>
      <c r="T67" s="78"/>
      <c r="U67" s="78"/>
      <c r="V67" s="78"/>
      <c r="W67" s="78"/>
      <c r="X67" s="78"/>
      <c r="Y67" s="78"/>
      <c r="Z67" s="78"/>
      <c r="AA67" s="78"/>
      <c r="AB67" s="78"/>
      <c r="AC67" s="78"/>
      <c r="AD67" s="78"/>
      <c r="AE67" s="78"/>
      <c r="AF67" s="78"/>
      <c r="AG67" s="78"/>
      <c r="AH67" s="78"/>
      <c r="AI67" s="78"/>
      <c r="AJ67" s="78"/>
      <c r="AK67" s="78"/>
      <c r="AL67" s="78"/>
      <c r="AM67" s="78"/>
      <c r="AN67" s="78"/>
      <c r="AO67" s="78"/>
      <c r="AP67" s="78"/>
      <c r="AQ67" s="78"/>
      <c r="AR67" s="78"/>
      <c r="AS67" s="78"/>
      <c r="AT67" s="91"/>
      <c r="AU67" s="78"/>
      <c r="AV67" s="78"/>
      <c r="AW67" s="78"/>
      <c r="AX67" s="78"/>
      <c r="AY67" s="78"/>
      <c r="AZ67" s="78"/>
      <c r="BA67" s="78"/>
      <c r="BB67" s="78"/>
      <c r="BC67" s="78"/>
      <c r="BD67" s="78"/>
      <c r="BE67" s="78"/>
      <c r="BF67" s="78"/>
      <c r="BG67" s="78"/>
      <c r="BH67" s="78"/>
      <c r="BI67" s="78"/>
      <c r="BJ67" s="78"/>
      <c r="BK67" s="78"/>
      <c r="BL67" s="78"/>
      <c r="BM67" s="78"/>
      <c r="BN67" s="78"/>
      <c r="BO67" s="78"/>
      <c r="BP67" s="78"/>
      <c r="BQ67" s="78"/>
      <c r="BR67" s="78"/>
      <c r="BS67" s="78"/>
      <c r="BT67" s="78"/>
      <c r="BU67" s="78"/>
      <c r="BV67" s="78"/>
      <c r="BW67" s="78"/>
      <c r="BX67" s="78"/>
      <c r="BY67" s="78"/>
      <c r="BZ67" s="78"/>
      <c r="CA67" s="78"/>
      <c r="CB67" s="78"/>
      <c r="CC67" s="78"/>
      <c r="CD67" s="78"/>
      <c r="CE67" s="78"/>
      <c r="CF67" s="78"/>
      <c r="CG67" s="78"/>
      <c r="CH67" s="78"/>
      <c r="CI67" s="78"/>
      <c r="CJ67" s="78"/>
      <c r="CK67" s="78"/>
      <c r="CL67" s="78"/>
      <c r="CM67" s="78"/>
      <c r="CN67" s="78"/>
      <c r="CO67" s="78"/>
      <c r="CP67" s="78"/>
      <c r="CQ67" s="78"/>
      <c r="CR67" s="78"/>
      <c r="CS67" s="78"/>
      <c r="CT67" s="78"/>
      <c r="CU67" s="78"/>
      <c r="CV67" s="78"/>
      <c r="CW67" s="78"/>
      <c r="CX67" s="78"/>
      <c r="CY67" s="78"/>
      <c r="CZ67" s="78"/>
      <c r="DA67" s="78"/>
      <c r="DB67" s="78"/>
      <c r="DC67" s="78"/>
      <c r="DD67" s="78"/>
      <c r="DE67" s="78"/>
      <c r="DF67" s="78"/>
      <c r="DG67" s="78"/>
      <c r="DH67" s="78"/>
      <c r="DI67" s="78"/>
      <c r="DJ67" s="78"/>
      <c r="DK67" s="78"/>
      <c r="DL67" s="78"/>
      <c r="DM67" s="78"/>
      <c r="DN67" s="78"/>
      <c r="DO67" s="78"/>
      <c r="DP67" s="78"/>
      <c r="DQ67" s="78"/>
      <c r="DR67" s="78"/>
      <c r="DS67" s="78"/>
      <c r="DT67" s="78"/>
      <c r="DU67" s="78"/>
      <c r="DV67" s="78"/>
      <c r="DW67" s="78"/>
      <c r="DX67" s="78"/>
      <c r="DY67" s="78"/>
      <c r="DZ67" s="78"/>
      <c r="EA67" s="78"/>
      <c r="EB67" s="78"/>
      <c r="EC67" s="78"/>
      <c r="ED67" s="78"/>
      <c r="EE67" s="78"/>
      <c r="EF67" s="78"/>
      <c r="EG67" s="78"/>
      <c r="EH67" s="78"/>
      <c r="EI67" s="91"/>
      <c r="EJ67" s="91"/>
      <c r="EK67" s="91"/>
      <c r="EL67" s="91"/>
      <c r="EM67" s="91"/>
      <c r="EN67" s="91"/>
      <c r="EO67" s="91"/>
      <c r="EP67" s="78"/>
      <c r="EQ67" s="78"/>
      <c r="ER67" s="78"/>
      <c r="ES67" s="78"/>
      <c r="ET67" s="78"/>
      <c r="EU67" s="78"/>
      <c r="EV67" s="78"/>
      <c r="EW67" s="78"/>
      <c r="EX67" s="78"/>
      <c r="EY67" s="78"/>
      <c r="EZ67" s="78"/>
      <c r="FA67" s="78"/>
      <c r="FB67" s="78"/>
      <c r="FC67" s="78"/>
      <c r="FD67" s="78"/>
      <c r="FE67" s="78"/>
      <c r="FF67" s="78"/>
      <c r="FG67" s="78"/>
      <c r="FH67" s="78"/>
      <c r="FI67" s="78"/>
      <c r="FJ67" s="78"/>
      <c r="FK67" s="78"/>
    </row>
    <row r="68" spans="1:167" hidden="1" outlineLevel="1">
      <c r="A68" s="29" t="str">
        <f t="shared" si="16"/>
        <v>cd_imv_out_trz_cred_prcckrefresp</v>
      </c>
      <c r="B68" s="67" t="s">
        <v>26</v>
      </c>
      <c r="C68" s="68" t="s">
        <v>54</v>
      </c>
      <c r="D68" s="64" t="s">
        <v>40</v>
      </c>
      <c r="E68" s="66" t="s">
        <v>56</v>
      </c>
      <c r="F68" s="64" t="s">
        <v>471</v>
      </c>
      <c r="G68" s="64" t="e">
        <f>INDEX(Auxiliar!$B$16:$B$24,MATCH(Plano_V1!H68,Auxiliar!$C$16:$C$24,0),1)</f>
        <v>#N/A</v>
      </c>
      <c r="H68" s="64" t="e">
        <f>VLOOKUP(A68,'Aux - pivots1'!$A:$B,2,0)</f>
        <v>#N/A</v>
      </c>
      <c r="I68" s="84">
        <f>SUMIFS(Table1[Estimação (horas)],Table1[Tabela],Plano_V1!E68,Table1[Campo],Plano_V1!F68)</f>
        <v>0</v>
      </c>
      <c r="J68" s="84">
        <f t="shared" si="17"/>
        <v>0</v>
      </c>
      <c r="K68" s="89" t="s">
        <v>39</v>
      </c>
      <c r="L68" s="90">
        <f t="shared" si="14"/>
        <v>0</v>
      </c>
      <c r="M68" s="78"/>
      <c r="N68" s="78"/>
      <c r="O68" s="78"/>
      <c r="P68" s="78"/>
      <c r="Q68" s="78"/>
      <c r="R68" s="78"/>
      <c r="S68" s="78"/>
      <c r="T68" s="78"/>
      <c r="U68" s="78"/>
      <c r="V68" s="78"/>
      <c r="W68" s="78"/>
      <c r="X68" s="78"/>
      <c r="Y68" s="78"/>
      <c r="Z68" s="78"/>
      <c r="AA68" s="78"/>
      <c r="AB68" s="78"/>
      <c r="AC68" s="78"/>
      <c r="AD68" s="78"/>
      <c r="AE68" s="78"/>
      <c r="AF68" s="78"/>
      <c r="AG68" s="78"/>
      <c r="AH68" s="78"/>
      <c r="AI68" s="78"/>
      <c r="AJ68" s="78"/>
      <c r="AK68" s="78"/>
      <c r="AL68" s="78"/>
      <c r="AM68" s="78"/>
      <c r="AN68" s="78"/>
      <c r="AO68" s="78"/>
      <c r="AP68" s="78"/>
      <c r="AQ68" s="78"/>
      <c r="AR68" s="78"/>
      <c r="AS68" s="78"/>
      <c r="AT68" s="91"/>
      <c r="AU68" s="78"/>
      <c r="AV68" s="78"/>
      <c r="AW68" s="78"/>
      <c r="AX68" s="78"/>
      <c r="AY68" s="78"/>
      <c r="AZ68" s="78"/>
      <c r="BA68" s="78"/>
      <c r="BB68" s="78"/>
      <c r="BC68" s="78"/>
      <c r="BD68" s="78"/>
      <c r="BE68" s="78"/>
      <c r="BF68" s="78"/>
      <c r="BG68" s="78"/>
      <c r="BH68" s="78"/>
      <c r="BI68" s="78"/>
      <c r="BJ68" s="78"/>
      <c r="BK68" s="78"/>
      <c r="BL68" s="78"/>
      <c r="BM68" s="78"/>
      <c r="BN68" s="78"/>
      <c r="BO68" s="78"/>
      <c r="BP68" s="78"/>
      <c r="BQ68" s="78"/>
      <c r="BR68" s="78"/>
      <c r="BS68" s="78"/>
      <c r="BT68" s="78"/>
      <c r="BU68" s="78"/>
      <c r="BV68" s="78"/>
      <c r="BW68" s="78"/>
      <c r="BX68" s="78"/>
      <c r="BY68" s="78"/>
      <c r="BZ68" s="78"/>
      <c r="CA68" s="78"/>
      <c r="CB68" s="78"/>
      <c r="CC68" s="78"/>
      <c r="CD68" s="78"/>
      <c r="CE68" s="78"/>
      <c r="CF68" s="78"/>
      <c r="CG68" s="78"/>
      <c r="CH68" s="78"/>
      <c r="CI68" s="78"/>
      <c r="CJ68" s="78"/>
      <c r="CK68" s="78"/>
      <c r="CL68" s="78"/>
      <c r="CM68" s="78"/>
      <c r="CN68" s="78"/>
      <c r="CO68" s="78"/>
      <c r="CP68" s="78"/>
      <c r="CQ68" s="78"/>
      <c r="CR68" s="78"/>
      <c r="CS68" s="78"/>
      <c r="CT68" s="78"/>
      <c r="CU68" s="78"/>
      <c r="CV68" s="78"/>
      <c r="CW68" s="78"/>
      <c r="CX68" s="78"/>
      <c r="CY68" s="78"/>
      <c r="CZ68" s="78"/>
      <c r="DA68" s="78"/>
      <c r="DB68" s="78"/>
      <c r="DC68" s="78"/>
      <c r="DD68" s="78"/>
      <c r="DE68" s="78"/>
      <c r="DF68" s="78"/>
      <c r="DG68" s="78"/>
      <c r="DH68" s="78"/>
      <c r="DI68" s="78"/>
      <c r="DJ68" s="78"/>
      <c r="DK68" s="78"/>
      <c r="DL68" s="78"/>
      <c r="DM68" s="78"/>
      <c r="DN68" s="78"/>
      <c r="DO68" s="78"/>
      <c r="DP68" s="78"/>
      <c r="DQ68" s="78"/>
      <c r="DR68" s="78"/>
      <c r="DS68" s="78"/>
      <c r="DT68" s="78"/>
      <c r="DU68" s="78"/>
      <c r="DV68" s="78"/>
      <c r="DW68" s="78"/>
      <c r="DX68" s="78"/>
      <c r="DY68" s="78"/>
      <c r="DZ68" s="78"/>
      <c r="EA68" s="78"/>
      <c r="EB68" s="78"/>
      <c r="EC68" s="78"/>
      <c r="ED68" s="78"/>
      <c r="EE68" s="78"/>
      <c r="EF68" s="78"/>
      <c r="EG68" s="78"/>
      <c r="EH68" s="78"/>
      <c r="EI68" s="91"/>
      <c r="EJ68" s="91"/>
      <c r="EK68" s="91"/>
      <c r="EL68" s="91"/>
      <c r="EM68" s="91"/>
      <c r="EN68" s="91"/>
      <c r="EO68" s="91"/>
      <c r="EP68" s="78"/>
      <c r="EQ68" s="78"/>
      <c r="ER68" s="78"/>
      <c r="ES68" s="78"/>
      <c r="ET68" s="78"/>
      <c r="EU68" s="78"/>
      <c r="EV68" s="78"/>
      <c r="EW68" s="78"/>
      <c r="EX68" s="78"/>
      <c r="EY68" s="78"/>
      <c r="EZ68" s="78"/>
      <c r="FA68" s="78"/>
      <c r="FB68" s="78"/>
      <c r="FC68" s="78"/>
      <c r="FD68" s="78"/>
      <c r="FE68" s="78"/>
      <c r="FF68" s="78"/>
      <c r="FG68" s="78"/>
      <c r="FH68" s="78"/>
      <c r="FI68" s="78"/>
      <c r="FJ68" s="78"/>
      <c r="FK68" s="78"/>
    </row>
    <row r="69" spans="1:167" hidden="1" outlineLevel="1">
      <c r="A69" s="29" t="str">
        <f t="shared" si="16"/>
        <v>cd_imv_out_trz_cred_prccod_fnld</v>
      </c>
      <c r="B69" s="67" t="s">
        <v>26</v>
      </c>
      <c r="C69" s="68" t="s">
        <v>54</v>
      </c>
      <c r="D69" s="64" t="s">
        <v>40</v>
      </c>
      <c r="E69" s="66" t="s">
        <v>56</v>
      </c>
      <c r="F69" s="64" t="s">
        <v>472</v>
      </c>
      <c r="G69" s="64" t="e">
        <f>INDEX(Auxiliar!$B$16:$B$24,MATCH(Plano_V1!H69,Auxiliar!$C$16:$C$24,0),1)</f>
        <v>#N/A</v>
      </c>
      <c r="H69" s="64" t="e">
        <f>VLOOKUP(A69,'Aux - pivots1'!$A:$B,2,0)</f>
        <v>#N/A</v>
      </c>
      <c r="I69" s="84">
        <f>SUMIFS(Table1[Estimação (horas)],Table1[Tabela],Plano_V1!E69,Table1[Campo],Plano_V1!F69)</f>
        <v>0</v>
      </c>
      <c r="J69" s="84">
        <f t="shared" si="17"/>
        <v>0</v>
      </c>
      <c r="K69" s="89" t="s">
        <v>39</v>
      </c>
      <c r="L69" s="90">
        <f t="shared" si="14"/>
        <v>0</v>
      </c>
      <c r="M69" s="78"/>
      <c r="N69" s="78"/>
      <c r="O69" s="78"/>
      <c r="P69" s="78"/>
      <c r="Q69" s="78"/>
      <c r="R69" s="78"/>
      <c r="S69" s="78"/>
      <c r="T69" s="78"/>
      <c r="U69" s="78"/>
      <c r="V69" s="78"/>
      <c r="W69" s="78"/>
      <c r="X69" s="78"/>
      <c r="Y69" s="78"/>
      <c r="Z69" s="78"/>
      <c r="AA69" s="78"/>
      <c r="AB69" s="78"/>
      <c r="AC69" s="78"/>
      <c r="AD69" s="78"/>
      <c r="AE69" s="78"/>
      <c r="AF69" s="78"/>
      <c r="AG69" s="78"/>
      <c r="AH69" s="78"/>
      <c r="AI69" s="78"/>
      <c r="AJ69" s="78"/>
      <c r="AK69" s="78"/>
      <c r="AL69" s="78"/>
      <c r="AM69" s="78"/>
      <c r="AN69" s="78"/>
      <c r="AO69" s="78"/>
      <c r="AP69" s="78"/>
      <c r="AQ69" s="78"/>
      <c r="AR69" s="78"/>
      <c r="AS69" s="78"/>
      <c r="AT69" s="91"/>
      <c r="AU69" s="78"/>
      <c r="AV69" s="78"/>
      <c r="AW69" s="78"/>
      <c r="AX69" s="78"/>
      <c r="AY69" s="78"/>
      <c r="AZ69" s="78"/>
      <c r="BA69" s="78"/>
      <c r="BB69" s="78"/>
      <c r="BC69" s="78"/>
      <c r="BD69" s="78"/>
      <c r="BE69" s="78"/>
      <c r="BF69" s="78"/>
      <c r="BG69" s="78"/>
      <c r="BH69" s="78"/>
      <c r="BI69" s="78"/>
      <c r="BJ69" s="78"/>
      <c r="BK69" s="78"/>
      <c r="BL69" s="78"/>
      <c r="BM69" s="78"/>
      <c r="BN69" s="78"/>
      <c r="BO69" s="78"/>
      <c r="BP69" s="78"/>
      <c r="BQ69" s="78"/>
      <c r="BR69" s="78"/>
      <c r="BS69" s="78"/>
      <c r="BT69" s="78"/>
      <c r="BU69" s="78"/>
      <c r="BV69" s="78"/>
      <c r="BW69" s="78"/>
      <c r="BX69" s="78"/>
      <c r="BY69" s="78"/>
      <c r="BZ69" s="78"/>
      <c r="CA69" s="78"/>
      <c r="CB69" s="78"/>
      <c r="CC69" s="78"/>
      <c r="CD69" s="78"/>
      <c r="CE69" s="78"/>
      <c r="CF69" s="78"/>
      <c r="CG69" s="78"/>
      <c r="CH69" s="78"/>
      <c r="CI69" s="78"/>
      <c r="CJ69" s="78"/>
      <c r="CK69" s="78"/>
      <c r="CL69" s="78"/>
      <c r="CM69" s="78"/>
      <c r="CN69" s="78"/>
      <c r="CO69" s="78"/>
      <c r="CP69" s="78"/>
      <c r="CQ69" s="78"/>
      <c r="CR69" s="78"/>
      <c r="CS69" s="78"/>
      <c r="CT69" s="78"/>
      <c r="CU69" s="78"/>
      <c r="CV69" s="78"/>
      <c r="CW69" s="78"/>
      <c r="CX69" s="78"/>
      <c r="CY69" s="78"/>
      <c r="CZ69" s="78"/>
      <c r="DA69" s="78"/>
      <c r="DB69" s="78"/>
      <c r="DC69" s="78"/>
      <c r="DD69" s="78"/>
      <c r="DE69" s="78"/>
      <c r="DF69" s="78"/>
      <c r="DG69" s="78"/>
      <c r="DH69" s="78"/>
      <c r="DI69" s="78"/>
      <c r="DJ69" s="78"/>
      <c r="DK69" s="78"/>
      <c r="DL69" s="78"/>
      <c r="DM69" s="78"/>
      <c r="DN69" s="78"/>
      <c r="DO69" s="78"/>
      <c r="DP69" s="78"/>
      <c r="DQ69" s="78"/>
      <c r="DR69" s="78"/>
      <c r="DS69" s="78"/>
      <c r="DT69" s="78"/>
      <c r="DU69" s="78"/>
      <c r="DV69" s="78"/>
      <c r="DW69" s="78"/>
      <c r="DX69" s="78"/>
      <c r="DY69" s="78"/>
      <c r="DZ69" s="78"/>
      <c r="EA69" s="78"/>
      <c r="EB69" s="78"/>
      <c r="EC69" s="78"/>
      <c r="ED69" s="78"/>
      <c r="EE69" s="78"/>
      <c r="EF69" s="78"/>
      <c r="EG69" s="78"/>
      <c r="EH69" s="78"/>
      <c r="EI69" s="91"/>
      <c r="EJ69" s="91"/>
      <c r="EK69" s="91"/>
      <c r="EL69" s="91"/>
      <c r="EM69" s="91"/>
      <c r="EN69" s="91"/>
      <c r="EO69" s="91"/>
      <c r="EP69" s="78"/>
      <c r="EQ69" s="78"/>
      <c r="ER69" s="78"/>
      <c r="ES69" s="78"/>
      <c r="ET69" s="78"/>
      <c r="EU69" s="78"/>
      <c r="EV69" s="78"/>
      <c r="EW69" s="78"/>
      <c r="EX69" s="78"/>
      <c r="EY69" s="78"/>
      <c r="EZ69" s="78"/>
      <c r="FA69" s="78"/>
      <c r="FB69" s="78"/>
      <c r="FC69" s="78"/>
      <c r="FD69" s="78"/>
      <c r="FE69" s="78"/>
      <c r="FF69" s="78"/>
      <c r="FG69" s="78"/>
      <c r="FH69" s="78"/>
      <c r="FI69" s="78"/>
      <c r="FJ69" s="78"/>
      <c r="FK69" s="78"/>
    </row>
    <row r="70" spans="1:167" hidden="1" outlineLevel="1">
      <c r="A70" s="29" t="str">
        <f t="shared" si="16"/>
        <v>cd_imv_out_trz_cred_prccod_ocupacao</v>
      </c>
      <c r="B70" s="67" t="s">
        <v>26</v>
      </c>
      <c r="C70" s="68" t="s">
        <v>54</v>
      </c>
      <c r="D70" s="64" t="s">
        <v>40</v>
      </c>
      <c r="E70" s="66" t="s">
        <v>56</v>
      </c>
      <c r="F70" s="64" t="s">
        <v>473</v>
      </c>
      <c r="G70" s="64" t="e">
        <f>INDEX(Auxiliar!$B$16:$B$24,MATCH(Plano_V1!H70,Auxiliar!$C$16:$C$24,0),1)</f>
        <v>#N/A</v>
      </c>
      <c r="H70" s="64" t="e">
        <f>VLOOKUP(A70,'Aux - pivots1'!$A:$B,2,0)</f>
        <v>#N/A</v>
      </c>
      <c r="I70" s="84">
        <f>SUMIFS(Table1[Estimação (horas)],Table1[Tabela],Plano_V1!E70,Table1[Campo],Plano_V1!F70)</f>
        <v>0</v>
      </c>
      <c r="J70" s="84">
        <f t="shared" si="17"/>
        <v>0</v>
      </c>
      <c r="K70" s="89" t="s">
        <v>39</v>
      </c>
      <c r="L70" s="90">
        <f t="shared" si="14"/>
        <v>0</v>
      </c>
      <c r="M70" s="78"/>
      <c r="N70" s="78"/>
      <c r="O70" s="78"/>
      <c r="P70" s="78"/>
      <c r="Q70" s="78"/>
      <c r="R70" s="78"/>
      <c r="S70" s="78"/>
      <c r="T70" s="78"/>
      <c r="U70" s="78"/>
      <c r="V70" s="78"/>
      <c r="W70" s="78"/>
      <c r="X70" s="78"/>
      <c r="Y70" s="78"/>
      <c r="Z70" s="78"/>
      <c r="AA70" s="78"/>
      <c r="AB70" s="78"/>
      <c r="AC70" s="78"/>
      <c r="AD70" s="78"/>
      <c r="AE70" s="78"/>
      <c r="AF70" s="78"/>
      <c r="AG70" s="78"/>
      <c r="AH70" s="78"/>
      <c r="AI70" s="78"/>
      <c r="AJ70" s="78"/>
      <c r="AK70" s="78"/>
      <c r="AL70" s="78"/>
      <c r="AM70" s="78"/>
      <c r="AN70" s="78"/>
      <c r="AO70" s="78"/>
      <c r="AP70" s="78"/>
      <c r="AQ70" s="78"/>
      <c r="AR70" s="78"/>
      <c r="AS70" s="78"/>
      <c r="AT70" s="91"/>
      <c r="AU70" s="78"/>
      <c r="AV70" s="78"/>
      <c r="AW70" s="78"/>
      <c r="AX70" s="78"/>
      <c r="AY70" s="78"/>
      <c r="AZ70" s="78"/>
      <c r="BA70" s="78"/>
      <c r="BB70" s="78"/>
      <c r="BC70" s="78"/>
      <c r="BD70" s="78"/>
      <c r="BE70" s="78"/>
      <c r="BF70" s="78"/>
      <c r="BG70" s="78"/>
      <c r="BH70" s="78"/>
      <c r="BI70" s="78"/>
      <c r="BJ70" s="78"/>
      <c r="BK70" s="78"/>
      <c r="BL70" s="78"/>
      <c r="BM70" s="78"/>
      <c r="BN70" s="78"/>
      <c r="BO70" s="78"/>
      <c r="BP70" s="78"/>
      <c r="BQ70" s="78"/>
      <c r="BR70" s="78"/>
      <c r="BS70" s="78"/>
      <c r="BT70" s="78"/>
      <c r="BU70" s="78"/>
      <c r="BV70" s="78"/>
      <c r="BW70" s="78"/>
      <c r="BX70" s="78"/>
      <c r="BY70" s="78"/>
      <c r="BZ70" s="78"/>
      <c r="CA70" s="78"/>
      <c r="CB70" s="78"/>
      <c r="CC70" s="78"/>
      <c r="CD70" s="78"/>
      <c r="CE70" s="78"/>
      <c r="CF70" s="78"/>
      <c r="CG70" s="78"/>
      <c r="CH70" s="78"/>
      <c r="CI70" s="78"/>
      <c r="CJ70" s="78"/>
      <c r="CK70" s="78"/>
      <c r="CL70" s="78"/>
      <c r="CM70" s="78"/>
      <c r="CN70" s="78"/>
      <c r="CO70" s="78"/>
      <c r="CP70" s="78"/>
      <c r="CQ70" s="78"/>
      <c r="CR70" s="78"/>
      <c r="CS70" s="78"/>
      <c r="CT70" s="78"/>
      <c r="CU70" s="78"/>
      <c r="CV70" s="78"/>
      <c r="CW70" s="78"/>
      <c r="CX70" s="78"/>
      <c r="CY70" s="78"/>
      <c r="CZ70" s="78"/>
      <c r="DA70" s="78"/>
      <c r="DB70" s="78"/>
      <c r="DC70" s="78"/>
      <c r="DD70" s="78"/>
      <c r="DE70" s="78"/>
      <c r="DF70" s="78"/>
      <c r="DG70" s="78"/>
      <c r="DH70" s="78"/>
      <c r="DI70" s="78"/>
      <c r="DJ70" s="78"/>
      <c r="DK70" s="78"/>
      <c r="DL70" s="78"/>
      <c r="DM70" s="78"/>
      <c r="DN70" s="78"/>
      <c r="DO70" s="78"/>
      <c r="DP70" s="78"/>
      <c r="DQ70" s="78"/>
      <c r="DR70" s="78"/>
      <c r="DS70" s="78"/>
      <c r="DT70" s="78"/>
      <c r="DU70" s="78"/>
      <c r="DV70" s="78"/>
      <c r="DW70" s="78"/>
      <c r="DX70" s="78"/>
      <c r="DY70" s="78"/>
      <c r="DZ70" s="78"/>
      <c r="EA70" s="78"/>
      <c r="EB70" s="78"/>
      <c r="EC70" s="78"/>
      <c r="ED70" s="78"/>
      <c r="EE70" s="78"/>
      <c r="EF70" s="78"/>
      <c r="EG70" s="78"/>
      <c r="EH70" s="78"/>
      <c r="EI70" s="91"/>
      <c r="EJ70" s="91"/>
      <c r="EK70" s="91"/>
      <c r="EL70" s="91"/>
      <c r="EM70" s="91"/>
      <c r="EN70" s="91"/>
      <c r="EO70" s="91"/>
      <c r="EP70" s="78"/>
      <c r="EQ70" s="78"/>
      <c r="ER70" s="78"/>
      <c r="ES70" s="78"/>
      <c r="ET70" s="78"/>
      <c r="EU70" s="78"/>
      <c r="EV70" s="78"/>
      <c r="EW70" s="78"/>
      <c r="EX70" s="78"/>
      <c r="EY70" s="78"/>
      <c r="EZ70" s="78"/>
      <c r="FA70" s="78"/>
      <c r="FB70" s="78"/>
      <c r="FC70" s="78"/>
      <c r="FD70" s="78"/>
      <c r="FE70" s="78"/>
      <c r="FF70" s="78"/>
      <c r="FG70" s="78"/>
      <c r="FH70" s="78"/>
      <c r="FI70" s="78"/>
      <c r="FJ70" s="78"/>
      <c r="FK70" s="78"/>
    </row>
    <row r="71" spans="1:167" hidden="1" outlineLevel="1">
      <c r="A71" s="29" t="str">
        <f t="shared" si="16"/>
        <v>cd_imv_out_trz_cred_prccod_prd_resp</v>
      </c>
      <c r="B71" s="67" t="s">
        <v>26</v>
      </c>
      <c r="C71" s="68" t="s">
        <v>54</v>
      </c>
      <c r="D71" s="64" t="s">
        <v>40</v>
      </c>
      <c r="E71" s="66" t="s">
        <v>56</v>
      </c>
      <c r="F71" s="64" t="s">
        <v>474</v>
      </c>
      <c r="G71" s="64" t="e">
        <f>INDEX(Auxiliar!$B$16:$B$24,MATCH(Plano_V1!H71,Auxiliar!$C$16:$C$24,0),1)</f>
        <v>#N/A</v>
      </c>
      <c r="H71" s="64" t="e">
        <f>VLOOKUP(A71,'Aux - pivots1'!$A:$B,2,0)</f>
        <v>#N/A</v>
      </c>
      <c r="I71" s="84">
        <f>SUMIFS(Table1[Estimação (horas)],Table1[Tabela],Plano_V1!E71,Table1[Campo],Plano_V1!F71)</f>
        <v>0</v>
      </c>
      <c r="J71" s="84">
        <f t="shared" si="17"/>
        <v>0</v>
      </c>
      <c r="K71" s="89" t="s">
        <v>39</v>
      </c>
      <c r="L71" s="90">
        <f t="shared" si="14"/>
        <v>0</v>
      </c>
      <c r="M71" s="78"/>
      <c r="N71" s="78"/>
      <c r="O71" s="78"/>
      <c r="P71" s="78"/>
      <c r="Q71" s="78"/>
      <c r="R71" s="78"/>
      <c r="S71" s="78"/>
      <c r="T71" s="78"/>
      <c r="U71" s="78"/>
      <c r="V71" s="78"/>
      <c r="W71" s="78"/>
      <c r="X71" s="78"/>
      <c r="Y71" s="78"/>
      <c r="Z71" s="78"/>
      <c r="AA71" s="78"/>
      <c r="AB71" s="78"/>
      <c r="AC71" s="78"/>
      <c r="AD71" s="78"/>
      <c r="AE71" s="78"/>
      <c r="AF71" s="78"/>
      <c r="AG71" s="78"/>
      <c r="AH71" s="78"/>
      <c r="AI71" s="78"/>
      <c r="AJ71" s="78"/>
      <c r="AK71" s="78"/>
      <c r="AL71" s="78"/>
      <c r="AM71" s="78"/>
      <c r="AN71" s="78"/>
      <c r="AO71" s="78"/>
      <c r="AP71" s="78"/>
      <c r="AQ71" s="78"/>
      <c r="AR71" s="78"/>
      <c r="AS71" s="78"/>
      <c r="AT71" s="91"/>
      <c r="AU71" s="78"/>
      <c r="AV71" s="78"/>
      <c r="AW71" s="78"/>
      <c r="AX71" s="78"/>
      <c r="AY71" s="78"/>
      <c r="AZ71" s="78"/>
      <c r="BA71" s="78"/>
      <c r="BB71" s="78"/>
      <c r="BC71" s="78"/>
      <c r="BD71" s="78"/>
      <c r="BE71" s="78"/>
      <c r="BF71" s="78"/>
      <c r="BG71" s="78"/>
      <c r="BH71" s="78"/>
      <c r="BI71" s="78"/>
      <c r="BJ71" s="78"/>
      <c r="BK71" s="78"/>
      <c r="BL71" s="78"/>
      <c r="BM71" s="78"/>
      <c r="BN71" s="78"/>
      <c r="BO71" s="78"/>
      <c r="BP71" s="78"/>
      <c r="BQ71" s="78"/>
      <c r="BR71" s="78"/>
      <c r="BS71" s="78"/>
      <c r="BT71" s="78"/>
      <c r="BU71" s="78"/>
      <c r="BV71" s="78"/>
      <c r="BW71" s="78"/>
      <c r="BX71" s="78"/>
      <c r="BY71" s="78"/>
      <c r="BZ71" s="78"/>
      <c r="CA71" s="78"/>
      <c r="CB71" s="78"/>
      <c r="CC71" s="78"/>
      <c r="CD71" s="78"/>
      <c r="CE71" s="78"/>
      <c r="CF71" s="78"/>
      <c r="CG71" s="78"/>
      <c r="CH71" s="78"/>
      <c r="CI71" s="78"/>
      <c r="CJ71" s="78"/>
      <c r="CK71" s="78"/>
      <c r="CL71" s="78"/>
      <c r="CM71" s="78"/>
      <c r="CN71" s="78"/>
      <c r="CO71" s="78"/>
      <c r="CP71" s="78"/>
      <c r="CQ71" s="78"/>
      <c r="CR71" s="78"/>
      <c r="CS71" s="78"/>
      <c r="CT71" s="78"/>
      <c r="CU71" s="78"/>
      <c r="CV71" s="78"/>
      <c r="CW71" s="78"/>
      <c r="CX71" s="78"/>
      <c r="CY71" s="78"/>
      <c r="CZ71" s="78"/>
      <c r="DA71" s="78"/>
      <c r="DB71" s="78"/>
      <c r="DC71" s="78"/>
      <c r="DD71" s="78"/>
      <c r="DE71" s="78"/>
      <c r="DF71" s="78"/>
      <c r="DG71" s="78"/>
      <c r="DH71" s="78"/>
      <c r="DI71" s="78"/>
      <c r="DJ71" s="78"/>
      <c r="DK71" s="78"/>
      <c r="DL71" s="78"/>
      <c r="DM71" s="78"/>
      <c r="DN71" s="78"/>
      <c r="DO71" s="78"/>
      <c r="DP71" s="78"/>
      <c r="DQ71" s="78"/>
      <c r="DR71" s="78"/>
      <c r="DS71" s="78"/>
      <c r="DT71" s="78"/>
      <c r="DU71" s="78"/>
      <c r="DV71" s="78"/>
      <c r="DW71" s="78"/>
      <c r="DX71" s="78"/>
      <c r="DY71" s="78"/>
      <c r="DZ71" s="78"/>
      <c r="EA71" s="78"/>
      <c r="EB71" s="78"/>
      <c r="EC71" s="78"/>
      <c r="ED71" s="78"/>
      <c r="EE71" s="78"/>
      <c r="EF71" s="78"/>
      <c r="EG71" s="78"/>
      <c r="EH71" s="78"/>
      <c r="EI71" s="91"/>
      <c r="EJ71" s="91"/>
      <c r="EK71" s="91"/>
      <c r="EL71" s="91"/>
      <c r="EM71" s="91"/>
      <c r="EN71" s="91"/>
      <c r="EO71" s="91"/>
      <c r="EP71" s="78"/>
      <c r="EQ71" s="78"/>
      <c r="ER71" s="78"/>
      <c r="ES71" s="78"/>
      <c r="ET71" s="78"/>
      <c r="EU71" s="78"/>
      <c r="EV71" s="78"/>
      <c r="EW71" s="78"/>
      <c r="EX71" s="78"/>
      <c r="EY71" s="78"/>
      <c r="EZ71" s="78"/>
      <c r="FA71" s="78"/>
      <c r="FB71" s="78"/>
      <c r="FC71" s="78"/>
      <c r="FD71" s="78"/>
      <c r="FE71" s="78"/>
      <c r="FF71" s="78"/>
      <c r="FG71" s="78"/>
      <c r="FH71" s="78"/>
      <c r="FI71" s="78"/>
      <c r="FJ71" s="78"/>
      <c r="FK71" s="78"/>
    </row>
    <row r="72" spans="1:167" hidden="1" outlineLevel="1">
      <c r="A72" s="29" t="str">
        <f t="shared" si="16"/>
        <v>cd_imv_out_trz_cred_prccod_sit</v>
      </c>
      <c r="B72" s="67" t="s">
        <v>26</v>
      </c>
      <c r="C72" s="68" t="s">
        <v>54</v>
      </c>
      <c r="D72" s="64" t="s">
        <v>40</v>
      </c>
      <c r="E72" s="66" t="s">
        <v>56</v>
      </c>
      <c r="F72" s="64" t="s">
        <v>82</v>
      </c>
      <c r="G72" s="64" t="e">
        <f>INDEX(Auxiliar!$B$16:$B$24,MATCH(Plano_V1!H72,Auxiliar!$C$16:$C$24,0),1)</f>
        <v>#N/A</v>
      </c>
      <c r="H72" s="64" t="e">
        <f>VLOOKUP(A72,'Aux - pivots1'!$A:$B,2,0)</f>
        <v>#N/A</v>
      </c>
      <c r="I72" s="85">
        <v>0</v>
      </c>
      <c r="J72" s="84">
        <f t="shared" si="17"/>
        <v>0</v>
      </c>
      <c r="K72" s="89" t="s">
        <v>39</v>
      </c>
      <c r="L72" s="90">
        <f t="shared" si="14"/>
        <v>0</v>
      </c>
      <c r="M72" s="78"/>
      <c r="N72" s="78"/>
      <c r="O72" s="78"/>
      <c r="P72" s="78"/>
      <c r="Q72" s="78"/>
      <c r="R72" s="78"/>
      <c r="S72" s="78"/>
      <c r="T72" s="78"/>
      <c r="U72" s="78"/>
      <c r="V72" s="78"/>
      <c r="W72" s="78"/>
      <c r="X72" s="78"/>
      <c r="Y72" s="78"/>
      <c r="Z72" s="78"/>
      <c r="AA72" s="78"/>
      <c r="AB72" s="78"/>
      <c r="AC72" s="78"/>
      <c r="AD72" s="78"/>
      <c r="AE72" s="78"/>
      <c r="AF72" s="78"/>
      <c r="AG72" s="78"/>
      <c r="AH72" s="78"/>
      <c r="AI72" s="78"/>
      <c r="AJ72" s="78"/>
      <c r="AK72" s="78"/>
      <c r="AL72" s="78"/>
      <c r="AM72" s="78"/>
      <c r="AN72" s="78"/>
      <c r="AO72" s="78"/>
      <c r="AP72" s="78"/>
      <c r="AQ72" s="78"/>
      <c r="AR72" s="78"/>
      <c r="AS72" s="78"/>
      <c r="AT72" s="91"/>
      <c r="AU72" s="78"/>
      <c r="AV72" s="78"/>
      <c r="AW72" s="78"/>
      <c r="AX72" s="78"/>
      <c r="AY72" s="78"/>
      <c r="AZ72" s="78"/>
      <c r="BA72" s="78"/>
      <c r="BB72" s="78"/>
      <c r="BC72" s="78"/>
      <c r="BD72" s="78"/>
      <c r="BE72" s="78"/>
      <c r="BF72" s="78"/>
      <c r="BG72" s="78"/>
      <c r="BH72" s="78"/>
      <c r="BI72" s="78"/>
      <c r="BJ72" s="78"/>
      <c r="BK72" s="78"/>
      <c r="BL72" s="78"/>
      <c r="BM72" s="78"/>
      <c r="BN72" s="78"/>
      <c r="BO72" s="78"/>
      <c r="BP72" s="78"/>
      <c r="BQ72" s="78"/>
      <c r="BR72" s="78"/>
      <c r="BS72" s="78"/>
      <c r="BT72" s="78"/>
      <c r="BU72" s="78"/>
      <c r="BV72" s="78"/>
      <c r="BW72" s="78"/>
      <c r="BX72" s="78"/>
      <c r="BY72" s="78"/>
      <c r="BZ72" s="78"/>
      <c r="CA72" s="78"/>
      <c r="CB72" s="78"/>
      <c r="CC72" s="78"/>
      <c r="CD72" s="78"/>
      <c r="CE72" s="78"/>
      <c r="CF72" s="78"/>
      <c r="CG72" s="78"/>
      <c r="CH72" s="78"/>
      <c r="CI72" s="78"/>
      <c r="CJ72" s="78"/>
      <c r="CK72" s="78"/>
      <c r="CL72" s="78"/>
      <c r="CM72" s="78"/>
      <c r="CN72" s="78"/>
      <c r="CO72" s="78"/>
      <c r="CP72" s="78"/>
      <c r="CQ72" s="78"/>
      <c r="CR72" s="78"/>
      <c r="CS72" s="78"/>
      <c r="CT72" s="78"/>
      <c r="CU72" s="78"/>
      <c r="CV72" s="78"/>
      <c r="CW72" s="78"/>
      <c r="CX72" s="78"/>
      <c r="CY72" s="78"/>
      <c r="CZ72" s="78"/>
      <c r="DA72" s="78"/>
      <c r="DB72" s="78"/>
      <c r="DC72" s="78"/>
      <c r="DD72" s="78"/>
      <c r="DE72" s="78"/>
      <c r="DF72" s="78"/>
      <c r="DG72" s="78"/>
      <c r="DH72" s="78"/>
      <c r="DI72" s="78"/>
      <c r="DJ72" s="78"/>
      <c r="DK72" s="78"/>
      <c r="DL72" s="78"/>
      <c r="DM72" s="78"/>
      <c r="DN72" s="78"/>
      <c r="DO72" s="78"/>
      <c r="DP72" s="78"/>
      <c r="DQ72" s="78"/>
      <c r="DR72" s="78"/>
      <c r="DS72" s="78"/>
      <c r="DT72" s="78"/>
      <c r="DU72" s="78"/>
      <c r="DV72" s="78"/>
      <c r="DW72" s="78"/>
      <c r="DX72" s="78"/>
      <c r="DY72" s="78"/>
      <c r="DZ72" s="78"/>
      <c r="EA72" s="78"/>
      <c r="EB72" s="78"/>
      <c r="EC72" s="78"/>
      <c r="ED72" s="78"/>
      <c r="EE72" s="78"/>
      <c r="EF72" s="78"/>
      <c r="EG72" s="78"/>
      <c r="EH72" s="78"/>
      <c r="EI72" s="91"/>
      <c r="EJ72" s="91"/>
      <c r="EK72" s="91"/>
      <c r="EL72" s="91"/>
      <c r="EM72" s="91"/>
      <c r="EN72" s="91"/>
      <c r="EO72" s="91"/>
      <c r="EP72" s="78"/>
      <c r="EQ72" s="78"/>
      <c r="ER72" s="78"/>
      <c r="ES72" s="78"/>
      <c r="ET72" s="78"/>
      <c r="EU72" s="78"/>
      <c r="EV72" s="78"/>
      <c r="EW72" s="78"/>
      <c r="EX72" s="78"/>
      <c r="EY72" s="78"/>
      <c r="EZ72" s="78"/>
      <c r="FA72" s="78"/>
      <c r="FB72" s="78"/>
      <c r="FC72" s="78"/>
      <c r="FD72" s="78"/>
      <c r="FE72" s="78"/>
      <c r="FF72" s="78"/>
      <c r="FG72" s="78"/>
      <c r="FH72" s="78"/>
      <c r="FI72" s="78"/>
      <c r="FJ72" s="78"/>
      <c r="FK72" s="78"/>
    </row>
    <row r="73" spans="1:167" hidden="1" outlineLevel="1">
      <c r="A73" s="29" t="str">
        <f t="shared" si="16"/>
        <v>cd_imv_out_trz_cred_prccod_sprd_resp</v>
      </c>
      <c r="B73" s="67" t="s">
        <v>26</v>
      </c>
      <c r="C73" s="68" t="s">
        <v>54</v>
      </c>
      <c r="D73" s="64" t="s">
        <v>40</v>
      </c>
      <c r="E73" s="66" t="s">
        <v>56</v>
      </c>
      <c r="F73" s="64" t="s">
        <v>475</v>
      </c>
      <c r="G73" s="64" t="e">
        <f>INDEX(Auxiliar!$B$16:$B$24,MATCH(Plano_V1!H73,Auxiliar!$C$16:$C$24,0),1)</f>
        <v>#N/A</v>
      </c>
      <c r="H73" s="64" t="e">
        <f>VLOOKUP(A73,'Aux - pivots1'!$A:$B,2,0)</f>
        <v>#N/A</v>
      </c>
      <c r="I73" s="84">
        <f>SUMIFS(Table1[Estimação (horas)],Table1[Tabela],Plano_V1!E73,Table1[Campo],Plano_V1!F73)</f>
        <v>0</v>
      </c>
      <c r="J73" s="84">
        <f t="shared" si="17"/>
        <v>0</v>
      </c>
      <c r="K73" s="89" t="s">
        <v>39</v>
      </c>
      <c r="L73" s="90">
        <f t="shared" si="14"/>
        <v>0</v>
      </c>
      <c r="M73" s="78"/>
      <c r="N73" s="78"/>
      <c r="O73" s="78"/>
      <c r="P73" s="78"/>
      <c r="Q73" s="78"/>
      <c r="R73" s="78"/>
      <c r="S73" s="78"/>
      <c r="T73" s="78"/>
      <c r="U73" s="78"/>
      <c r="V73" s="78"/>
      <c r="W73" s="78"/>
      <c r="X73" s="78"/>
      <c r="Y73" s="78"/>
      <c r="Z73" s="78"/>
      <c r="AA73" s="78"/>
      <c r="AB73" s="78"/>
      <c r="AC73" s="78"/>
      <c r="AD73" s="78"/>
      <c r="AE73" s="78"/>
      <c r="AF73" s="78"/>
      <c r="AG73" s="78"/>
      <c r="AH73" s="78"/>
      <c r="AI73" s="78"/>
      <c r="AJ73" s="78"/>
      <c r="AK73" s="78"/>
      <c r="AL73" s="78"/>
      <c r="AM73" s="78"/>
      <c r="AN73" s="78"/>
      <c r="AO73" s="78"/>
      <c r="AP73" s="78"/>
      <c r="AQ73" s="78"/>
      <c r="AR73" s="78"/>
      <c r="AS73" s="78"/>
      <c r="AT73" s="91"/>
      <c r="AU73" s="78"/>
      <c r="AV73" s="78"/>
      <c r="AW73" s="78"/>
      <c r="AX73" s="78"/>
      <c r="AY73" s="78"/>
      <c r="AZ73" s="78"/>
      <c r="BA73" s="78"/>
      <c r="BB73" s="78"/>
      <c r="BC73" s="78"/>
      <c r="BD73" s="78"/>
      <c r="BE73" s="78"/>
      <c r="BF73" s="78"/>
      <c r="BG73" s="78"/>
      <c r="BH73" s="78"/>
      <c r="BI73" s="78"/>
      <c r="BJ73" s="78"/>
      <c r="BK73" s="78"/>
      <c r="BL73" s="78"/>
      <c r="BM73" s="78"/>
      <c r="BN73" s="78"/>
      <c r="BO73" s="78"/>
      <c r="BP73" s="78"/>
      <c r="BQ73" s="78"/>
      <c r="BR73" s="78"/>
      <c r="BS73" s="78"/>
      <c r="BT73" s="78"/>
      <c r="BU73" s="78"/>
      <c r="BV73" s="78"/>
      <c r="BW73" s="78"/>
      <c r="BX73" s="78"/>
      <c r="BY73" s="78"/>
      <c r="BZ73" s="78"/>
      <c r="CA73" s="78"/>
      <c r="CB73" s="78"/>
      <c r="CC73" s="78"/>
      <c r="CD73" s="78"/>
      <c r="CE73" s="78"/>
      <c r="CF73" s="78"/>
      <c r="CG73" s="78"/>
      <c r="CH73" s="78"/>
      <c r="CI73" s="78"/>
      <c r="CJ73" s="78"/>
      <c r="CK73" s="78"/>
      <c r="CL73" s="78"/>
      <c r="CM73" s="78"/>
      <c r="CN73" s="78"/>
      <c r="CO73" s="78"/>
      <c r="CP73" s="78"/>
      <c r="CQ73" s="78"/>
      <c r="CR73" s="78"/>
      <c r="CS73" s="78"/>
      <c r="CT73" s="78"/>
      <c r="CU73" s="78"/>
      <c r="CV73" s="78"/>
      <c r="CW73" s="78"/>
      <c r="CX73" s="78"/>
      <c r="CY73" s="78"/>
      <c r="CZ73" s="78"/>
      <c r="DA73" s="78"/>
      <c r="DB73" s="78"/>
      <c r="DC73" s="78"/>
      <c r="DD73" s="78"/>
      <c r="DE73" s="78"/>
      <c r="DF73" s="78"/>
      <c r="DG73" s="78"/>
      <c r="DH73" s="78"/>
      <c r="DI73" s="78"/>
      <c r="DJ73" s="78"/>
      <c r="DK73" s="78"/>
      <c r="DL73" s="78"/>
      <c r="DM73" s="78"/>
      <c r="DN73" s="78"/>
      <c r="DO73" s="78"/>
      <c r="DP73" s="78"/>
      <c r="DQ73" s="78"/>
      <c r="DR73" s="78"/>
      <c r="DS73" s="78"/>
      <c r="DT73" s="78"/>
      <c r="DU73" s="78"/>
      <c r="DV73" s="78"/>
      <c r="DW73" s="78"/>
      <c r="DX73" s="78"/>
      <c r="DY73" s="78"/>
      <c r="DZ73" s="78"/>
      <c r="EA73" s="78"/>
      <c r="EB73" s="78"/>
      <c r="EC73" s="78"/>
      <c r="ED73" s="78"/>
      <c r="EE73" s="78"/>
      <c r="EF73" s="78"/>
      <c r="EG73" s="78"/>
      <c r="EH73" s="78"/>
      <c r="EI73" s="91"/>
      <c r="EJ73" s="91"/>
      <c r="EK73" s="91"/>
      <c r="EL73" s="91"/>
      <c r="EM73" s="91"/>
      <c r="EN73" s="91"/>
      <c r="EO73" s="91"/>
      <c r="EP73" s="78"/>
      <c r="EQ73" s="78"/>
      <c r="ER73" s="78"/>
      <c r="ES73" s="78"/>
      <c r="ET73" s="78"/>
      <c r="EU73" s="78"/>
      <c r="EV73" s="78"/>
      <c r="EW73" s="78"/>
      <c r="EX73" s="78"/>
      <c r="EY73" s="78"/>
      <c r="EZ73" s="78"/>
      <c r="FA73" s="78"/>
      <c r="FB73" s="78"/>
      <c r="FC73" s="78"/>
      <c r="FD73" s="78"/>
      <c r="FE73" s="78"/>
      <c r="FF73" s="78"/>
      <c r="FG73" s="78"/>
      <c r="FH73" s="78"/>
      <c r="FI73" s="78"/>
      <c r="FJ73" s="78"/>
      <c r="FK73" s="78"/>
    </row>
    <row r="74" spans="1:167" hidden="1" outlineLevel="1">
      <c r="A74" s="29" t="str">
        <f t="shared" si="16"/>
        <v>cd_imv_out_trz_cred_prccomp_id_gar</v>
      </c>
      <c r="B74" s="67" t="s">
        <v>26</v>
      </c>
      <c r="C74" s="68" t="s">
        <v>54</v>
      </c>
      <c r="D74" s="64" t="s">
        <v>40</v>
      </c>
      <c r="E74" s="66" t="s">
        <v>56</v>
      </c>
      <c r="F74" s="64" t="s">
        <v>465</v>
      </c>
      <c r="G74" s="64" t="e">
        <f>INDEX(Auxiliar!$B$16:$B$24,MATCH(Plano_V1!H74,Auxiliar!$C$16:$C$24,0),1)</f>
        <v>#N/A</v>
      </c>
      <c r="H74" s="64" t="e">
        <f>VLOOKUP(A74,'Aux - pivots1'!$A:$B,2,0)</f>
        <v>#N/A</v>
      </c>
      <c r="I74" s="84">
        <f>SUMIFS(Table1[Estimação (horas)],Table1[Tabela],Plano_V1!E74,Table1[Campo],Plano_V1!F74)</f>
        <v>0</v>
      </c>
      <c r="J74" s="84">
        <f t="shared" si="17"/>
        <v>0</v>
      </c>
      <c r="K74" s="89" t="s">
        <v>39</v>
      </c>
      <c r="L74" s="90">
        <f t="shared" si="14"/>
        <v>0</v>
      </c>
      <c r="M74" s="78"/>
      <c r="N74" s="78"/>
      <c r="O74" s="78"/>
      <c r="P74" s="78"/>
      <c r="Q74" s="78"/>
      <c r="R74" s="78"/>
      <c r="S74" s="78"/>
      <c r="T74" s="78"/>
      <c r="U74" s="78"/>
      <c r="V74" s="78"/>
      <c r="W74" s="78"/>
      <c r="X74" s="78"/>
      <c r="Y74" s="78"/>
      <c r="Z74" s="78"/>
      <c r="AA74" s="78"/>
      <c r="AB74" s="78"/>
      <c r="AC74" s="78"/>
      <c r="AD74" s="78"/>
      <c r="AE74" s="78"/>
      <c r="AF74" s="78"/>
      <c r="AG74" s="78"/>
      <c r="AH74" s="78"/>
      <c r="AI74" s="78"/>
      <c r="AJ74" s="78"/>
      <c r="AK74" s="78"/>
      <c r="AL74" s="78"/>
      <c r="AM74" s="78"/>
      <c r="AN74" s="78"/>
      <c r="AO74" s="78"/>
      <c r="AP74" s="78"/>
      <c r="AQ74" s="78"/>
      <c r="AR74" s="78"/>
      <c r="AS74" s="78"/>
      <c r="AT74" s="91"/>
      <c r="AU74" s="78"/>
      <c r="AV74" s="78"/>
      <c r="AW74" s="78"/>
      <c r="AX74" s="78"/>
      <c r="AY74" s="78"/>
      <c r="AZ74" s="78"/>
      <c r="BA74" s="78"/>
      <c r="BB74" s="78"/>
      <c r="BC74" s="78"/>
      <c r="BD74" s="78"/>
      <c r="BE74" s="78"/>
      <c r="BF74" s="78"/>
      <c r="BG74" s="78"/>
      <c r="BH74" s="78"/>
      <c r="BI74" s="78"/>
      <c r="BJ74" s="78"/>
      <c r="BK74" s="78"/>
      <c r="BL74" s="78"/>
      <c r="BM74" s="78"/>
      <c r="BN74" s="78"/>
      <c r="BO74" s="78"/>
      <c r="BP74" s="78"/>
      <c r="BQ74" s="78"/>
      <c r="BR74" s="78"/>
      <c r="BS74" s="78"/>
      <c r="BT74" s="78"/>
      <c r="BU74" s="78"/>
      <c r="BV74" s="78"/>
      <c r="BW74" s="78"/>
      <c r="BX74" s="78"/>
      <c r="BY74" s="78"/>
      <c r="BZ74" s="78"/>
      <c r="CA74" s="78"/>
      <c r="CB74" s="78"/>
      <c r="CC74" s="78"/>
      <c r="CD74" s="78"/>
      <c r="CE74" s="78"/>
      <c r="CF74" s="78"/>
      <c r="CG74" s="78"/>
      <c r="CH74" s="78"/>
      <c r="CI74" s="78"/>
      <c r="CJ74" s="78"/>
      <c r="CK74" s="78"/>
      <c r="CL74" s="78"/>
      <c r="CM74" s="78"/>
      <c r="CN74" s="78"/>
      <c r="CO74" s="78"/>
      <c r="CP74" s="78"/>
      <c r="CQ74" s="78"/>
      <c r="CR74" s="78"/>
      <c r="CS74" s="78"/>
      <c r="CT74" s="78"/>
      <c r="CU74" s="78"/>
      <c r="CV74" s="78"/>
      <c r="CW74" s="78"/>
      <c r="CX74" s="78"/>
      <c r="CY74" s="78"/>
      <c r="CZ74" s="78"/>
      <c r="DA74" s="78"/>
      <c r="DB74" s="78"/>
      <c r="DC74" s="78"/>
      <c r="DD74" s="78"/>
      <c r="DE74" s="78"/>
      <c r="DF74" s="78"/>
      <c r="DG74" s="78"/>
      <c r="DH74" s="78"/>
      <c r="DI74" s="78"/>
      <c r="DJ74" s="78"/>
      <c r="DK74" s="78"/>
      <c r="DL74" s="78"/>
      <c r="DM74" s="78"/>
      <c r="DN74" s="78"/>
      <c r="DO74" s="78"/>
      <c r="DP74" s="78"/>
      <c r="DQ74" s="78"/>
      <c r="DR74" s="78"/>
      <c r="DS74" s="78"/>
      <c r="DT74" s="78"/>
      <c r="DU74" s="78"/>
      <c r="DV74" s="78"/>
      <c r="DW74" s="78"/>
      <c r="DX74" s="78"/>
      <c r="DY74" s="78"/>
      <c r="DZ74" s="78"/>
      <c r="EA74" s="78"/>
      <c r="EB74" s="78"/>
      <c r="EC74" s="78"/>
      <c r="ED74" s="78"/>
      <c r="EE74" s="78"/>
      <c r="EF74" s="78"/>
      <c r="EG74" s="78"/>
      <c r="EH74" s="78"/>
      <c r="EI74" s="91"/>
      <c r="EJ74" s="91"/>
      <c r="EK74" s="91"/>
      <c r="EL74" s="91"/>
      <c r="EM74" s="91"/>
      <c r="EN74" s="91"/>
      <c r="EO74" s="91"/>
      <c r="EP74" s="78"/>
      <c r="EQ74" s="78"/>
      <c r="ER74" s="78"/>
      <c r="ES74" s="78"/>
      <c r="ET74" s="78"/>
      <c r="EU74" s="78"/>
      <c r="EV74" s="78"/>
      <c r="EW74" s="78"/>
      <c r="EX74" s="78"/>
      <c r="EY74" s="78"/>
      <c r="EZ74" s="78"/>
      <c r="FA74" s="78"/>
      <c r="FB74" s="78"/>
      <c r="FC74" s="78"/>
      <c r="FD74" s="78"/>
      <c r="FE74" s="78"/>
      <c r="FF74" s="78"/>
      <c r="FG74" s="78"/>
      <c r="FH74" s="78"/>
      <c r="FI74" s="78"/>
      <c r="FJ74" s="78"/>
      <c r="FK74" s="78"/>
    </row>
    <row r="75" spans="1:167" hidden="1" outlineLevel="1">
      <c r="A75" s="29" t="str">
        <f t="shared" si="16"/>
        <v>cd_imv_out_trz_cred_prcdata_fim</v>
      </c>
      <c r="B75" s="67" t="s">
        <v>26</v>
      </c>
      <c r="C75" s="68" t="s">
        <v>54</v>
      </c>
      <c r="D75" s="64" t="s">
        <v>40</v>
      </c>
      <c r="E75" s="66" t="s">
        <v>56</v>
      </c>
      <c r="F75" s="64" t="s">
        <v>476</v>
      </c>
      <c r="G75" s="64" t="e">
        <f>INDEX(Auxiliar!$B$16:$B$24,MATCH(Plano_V1!H75,Auxiliar!$C$16:$C$24,0),1)</f>
        <v>#N/A</v>
      </c>
      <c r="H75" s="64" t="e">
        <f>VLOOKUP(A75,'Aux - pivots1'!$A:$B,2,0)</f>
        <v>#N/A</v>
      </c>
      <c r="I75" s="84">
        <f>SUMIFS(Table1[Estimação (horas)],Table1[Tabela],Plano_V1!E75,Table1[Campo],Plano_V1!F75)</f>
        <v>0</v>
      </c>
      <c r="J75" s="84">
        <f t="shared" si="17"/>
        <v>0</v>
      </c>
      <c r="K75" s="89" t="s">
        <v>39</v>
      </c>
      <c r="L75" s="90">
        <f t="shared" si="14"/>
        <v>0</v>
      </c>
      <c r="M75" s="78"/>
      <c r="N75" s="78"/>
      <c r="O75" s="78"/>
      <c r="P75" s="78"/>
      <c r="Q75" s="78"/>
      <c r="R75" s="78"/>
      <c r="S75" s="78"/>
      <c r="T75" s="78"/>
      <c r="U75" s="78"/>
      <c r="V75" s="78"/>
      <c r="W75" s="78"/>
      <c r="X75" s="78"/>
      <c r="Y75" s="78"/>
      <c r="Z75" s="78"/>
      <c r="AA75" s="78"/>
      <c r="AB75" s="78"/>
      <c r="AC75" s="78"/>
      <c r="AD75" s="78"/>
      <c r="AE75" s="78"/>
      <c r="AF75" s="78"/>
      <c r="AG75" s="78"/>
      <c r="AH75" s="78"/>
      <c r="AI75" s="78"/>
      <c r="AJ75" s="78"/>
      <c r="AK75" s="78"/>
      <c r="AL75" s="78"/>
      <c r="AM75" s="78"/>
      <c r="AN75" s="78"/>
      <c r="AO75" s="78"/>
      <c r="AP75" s="78"/>
      <c r="AQ75" s="78"/>
      <c r="AR75" s="78"/>
      <c r="AS75" s="78"/>
      <c r="AT75" s="91"/>
      <c r="AU75" s="78"/>
      <c r="AV75" s="78"/>
      <c r="AW75" s="78"/>
      <c r="AX75" s="78"/>
      <c r="AY75" s="78"/>
      <c r="AZ75" s="78"/>
      <c r="BA75" s="78"/>
      <c r="BB75" s="78"/>
      <c r="BC75" s="78"/>
      <c r="BD75" s="78"/>
      <c r="BE75" s="78"/>
      <c r="BF75" s="78"/>
      <c r="BG75" s="78"/>
      <c r="BH75" s="78"/>
      <c r="BI75" s="78"/>
      <c r="BJ75" s="78"/>
      <c r="BK75" s="78"/>
      <c r="BL75" s="78"/>
      <c r="BM75" s="78"/>
      <c r="BN75" s="78"/>
      <c r="BO75" s="78"/>
      <c r="BP75" s="78"/>
      <c r="BQ75" s="78"/>
      <c r="BR75" s="78"/>
      <c r="BS75" s="78"/>
      <c r="BT75" s="78"/>
      <c r="BU75" s="78"/>
      <c r="BV75" s="78"/>
      <c r="BW75" s="78"/>
      <c r="BX75" s="78"/>
      <c r="BY75" s="78"/>
      <c r="BZ75" s="78"/>
      <c r="CA75" s="78"/>
      <c r="CB75" s="78"/>
      <c r="CC75" s="78"/>
      <c r="CD75" s="78"/>
      <c r="CE75" s="78"/>
      <c r="CF75" s="78"/>
      <c r="CG75" s="78"/>
      <c r="CH75" s="78"/>
      <c r="CI75" s="78"/>
      <c r="CJ75" s="78"/>
      <c r="CK75" s="78"/>
      <c r="CL75" s="78"/>
      <c r="CM75" s="78"/>
      <c r="CN75" s="78"/>
      <c r="CO75" s="78"/>
      <c r="CP75" s="78"/>
      <c r="CQ75" s="78"/>
      <c r="CR75" s="78"/>
      <c r="CS75" s="78"/>
      <c r="CT75" s="78"/>
      <c r="CU75" s="78"/>
      <c r="CV75" s="78"/>
      <c r="CW75" s="78"/>
      <c r="CX75" s="78"/>
      <c r="CY75" s="78"/>
      <c r="CZ75" s="78"/>
      <c r="DA75" s="78"/>
      <c r="DB75" s="78"/>
      <c r="DC75" s="78"/>
      <c r="DD75" s="78"/>
      <c r="DE75" s="78"/>
      <c r="DF75" s="78"/>
      <c r="DG75" s="78"/>
      <c r="DH75" s="78"/>
      <c r="DI75" s="78"/>
      <c r="DJ75" s="78"/>
      <c r="DK75" s="78"/>
      <c r="DL75" s="78"/>
      <c r="DM75" s="78"/>
      <c r="DN75" s="78"/>
      <c r="DO75" s="78"/>
      <c r="DP75" s="78"/>
      <c r="DQ75" s="78"/>
      <c r="DR75" s="78"/>
      <c r="DS75" s="78"/>
      <c r="DT75" s="78"/>
      <c r="DU75" s="78"/>
      <c r="DV75" s="78"/>
      <c r="DW75" s="78"/>
      <c r="DX75" s="78"/>
      <c r="DY75" s="78"/>
      <c r="DZ75" s="78"/>
      <c r="EA75" s="78"/>
      <c r="EB75" s="78"/>
      <c r="EC75" s="78"/>
      <c r="ED75" s="78"/>
      <c r="EE75" s="78"/>
      <c r="EF75" s="78"/>
      <c r="EG75" s="78"/>
      <c r="EH75" s="78"/>
      <c r="EI75" s="91"/>
      <c r="EJ75" s="91"/>
      <c r="EK75" s="91"/>
      <c r="EL75" s="91"/>
      <c r="EM75" s="91"/>
      <c r="EN75" s="91"/>
      <c r="EO75" s="91"/>
      <c r="EP75" s="78"/>
      <c r="EQ75" s="78"/>
      <c r="ER75" s="78"/>
      <c r="ES75" s="78"/>
      <c r="ET75" s="78"/>
      <c r="EU75" s="78"/>
      <c r="EV75" s="78"/>
      <c r="EW75" s="78"/>
      <c r="EX75" s="78"/>
      <c r="EY75" s="78"/>
      <c r="EZ75" s="78"/>
      <c r="FA75" s="78"/>
      <c r="FB75" s="78"/>
      <c r="FC75" s="78"/>
      <c r="FD75" s="78"/>
      <c r="FE75" s="78"/>
      <c r="FF75" s="78"/>
      <c r="FG75" s="78"/>
      <c r="FH75" s="78"/>
      <c r="FI75" s="78"/>
      <c r="FJ75" s="78"/>
      <c r="FK75" s="78"/>
    </row>
    <row r="76" spans="1:167" hidden="1" outlineLevel="1">
      <c r="A76" s="29" t="str">
        <f t="shared" si="16"/>
        <v>cd_imv_out_trz_cred_prcdata_inicio</v>
      </c>
      <c r="B76" s="67" t="s">
        <v>26</v>
      </c>
      <c r="C76" s="68" t="s">
        <v>54</v>
      </c>
      <c r="D76" s="64" t="s">
        <v>40</v>
      </c>
      <c r="E76" s="66" t="s">
        <v>56</v>
      </c>
      <c r="F76" s="64" t="s">
        <v>466</v>
      </c>
      <c r="G76" s="64" t="e">
        <f>INDEX(Auxiliar!$B$16:$B$24,MATCH(Plano_V1!H76,Auxiliar!$C$16:$C$24,0),1)</f>
        <v>#N/A</v>
      </c>
      <c r="H76" s="64" t="e">
        <f>VLOOKUP(A76,'Aux - pivots1'!$A:$B,2,0)</f>
        <v>#N/A</v>
      </c>
      <c r="I76" s="84">
        <f>SUMIFS(Table1[Estimação (horas)],Table1[Tabela],Plano_V1!E76,Table1[Campo],Plano_V1!F76)</f>
        <v>0</v>
      </c>
      <c r="J76" s="84">
        <f t="shared" si="17"/>
        <v>0</v>
      </c>
      <c r="K76" s="89" t="s">
        <v>39</v>
      </c>
      <c r="L76" s="90">
        <f t="shared" si="14"/>
        <v>0</v>
      </c>
      <c r="M76" s="78"/>
      <c r="N76" s="78"/>
      <c r="O76" s="78"/>
      <c r="P76" s="78"/>
      <c r="Q76" s="78"/>
      <c r="R76" s="78"/>
      <c r="S76" s="78"/>
      <c r="T76" s="78"/>
      <c r="U76" s="78"/>
      <c r="V76" s="78"/>
      <c r="W76" s="78"/>
      <c r="X76" s="78"/>
      <c r="Y76" s="78"/>
      <c r="Z76" s="78"/>
      <c r="AA76" s="78"/>
      <c r="AB76" s="78"/>
      <c r="AC76" s="78"/>
      <c r="AD76" s="78"/>
      <c r="AE76" s="78"/>
      <c r="AF76" s="78"/>
      <c r="AG76" s="78"/>
      <c r="AH76" s="78"/>
      <c r="AI76" s="78"/>
      <c r="AJ76" s="78"/>
      <c r="AK76" s="78"/>
      <c r="AL76" s="78"/>
      <c r="AM76" s="78"/>
      <c r="AN76" s="78"/>
      <c r="AO76" s="78"/>
      <c r="AP76" s="78"/>
      <c r="AQ76" s="78"/>
      <c r="AR76" s="78"/>
      <c r="AS76" s="78"/>
      <c r="AT76" s="91"/>
      <c r="AU76" s="78"/>
      <c r="AV76" s="78"/>
      <c r="AW76" s="78"/>
      <c r="AX76" s="78"/>
      <c r="AY76" s="78"/>
      <c r="AZ76" s="78"/>
      <c r="BA76" s="78"/>
      <c r="BB76" s="78"/>
      <c r="BC76" s="78"/>
      <c r="BD76" s="78"/>
      <c r="BE76" s="78"/>
      <c r="BF76" s="78"/>
      <c r="BG76" s="78"/>
      <c r="BH76" s="78"/>
      <c r="BI76" s="78"/>
      <c r="BJ76" s="78"/>
      <c r="BK76" s="78"/>
      <c r="BL76" s="78"/>
      <c r="BM76" s="78"/>
      <c r="BN76" s="78"/>
      <c r="BO76" s="78"/>
      <c r="BP76" s="78"/>
      <c r="BQ76" s="78"/>
      <c r="BR76" s="78"/>
      <c r="BS76" s="78"/>
      <c r="BT76" s="78"/>
      <c r="BU76" s="78"/>
      <c r="BV76" s="78"/>
      <c r="BW76" s="78"/>
      <c r="BX76" s="78"/>
      <c r="BY76" s="78"/>
      <c r="BZ76" s="78"/>
      <c r="CA76" s="78"/>
      <c r="CB76" s="78"/>
      <c r="CC76" s="78"/>
      <c r="CD76" s="78"/>
      <c r="CE76" s="78"/>
      <c r="CF76" s="78"/>
      <c r="CG76" s="78"/>
      <c r="CH76" s="78"/>
      <c r="CI76" s="78"/>
      <c r="CJ76" s="78"/>
      <c r="CK76" s="78"/>
      <c r="CL76" s="78"/>
      <c r="CM76" s="78"/>
      <c r="CN76" s="78"/>
      <c r="CO76" s="78"/>
      <c r="CP76" s="78"/>
      <c r="CQ76" s="78"/>
      <c r="CR76" s="78"/>
      <c r="CS76" s="78"/>
      <c r="CT76" s="78"/>
      <c r="CU76" s="78"/>
      <c r="CV76" s="78"/>
      <c r="CW76" s="78"/>
      <c r="CX76" s="78"/>
      <c r="CY76" s="78"/>
      <c r="CZ76" s="78"/>
      <c r="DA76" s="78"/>
      <c r="DB76" s="78"/>
      <c r="DC76" s="78"/>
      <c r="DD76" s="78"/>
      <c r="DE76" s="78"/>
      <c r="DF76" s="78"/>
      <c r="DG76" s="78"/>
      <c r="DH76" s="78"/>
      <c r="DI76" s="78"/>
      <c r="DJ76" s="78"/>
      <c r="DK76" s="78"/>
      <c r="DL76" s="78"/>
      <c r="DM76" s="78"/>
      <c r="DN76" s="78"/>
      <c r="DO76" s="78"/>
      <c r="DP76" s="78"/>
      <c r="DQ76" s="78"/>
      <c r="DR76" s="78"/>
      <c r="DS76" s="78"/>
      <c r="DT76" s="78"/>
      <c r="DU76" s="78"/>
      <c r="DV76" s="78"/>
      <c r="DW76" s="78"/>
      <c r="DX76" s="78"/>
      <c r="DY76" s="78"/>
      <c r="DZ76" s="78"/>
      <c r="EA76" s="78"/>
      <c r="EB76" s="78"/>
      <c r="EC76" s="78"/>
      <c r="ED76" s="78"/>
      <c r="EE76" s="78"/>
      <c r="EF76" s="78"/>
      <c r="EG76" s="78"/>
      <c r="EH76" s="78"/>
      <c r="EI76" s="91"/>
      <c r="EJ76" s="91"/>
      <c r="EK76" s="91"/>
      <c r="EL76" s="91"/>
      <c r="EM76" s="91"/>
      <c r="EN76" s="91"/>
      <c r="EO76" s="91"/>
      <c r="EP76" s="78"/>
      <c r="EQ76" s="78"/>
      <c r="ER76" s="78"/>
      <c r="ES76" s="78"/>
      <c r="ET76" s="78"/>
      <c r="EU76" s="78"/>
      <c r="EV76" s="78"/>
      <c r="EW76" s="78"/>
      <c r="EX76" s="78"/>
      <c r="EY76" s="78"/>
      <c r="EZ76" s="78"/>
      <c r="FA76" s="78"/>
      <c r="FB76" s="78"/>
      <c r="FC76" s="78"/>
      <c r="FD76" s="78"/>
      <c r="FE76" s="78"/>
      <c r="FF76" s="78"/>
      <c r="FG76" s="78"/>
      <c r="FH76" s="78"/>
      <c r="FI76" s="78"/>
      <c r="FJ76" s="78"/>
      <c r="FK76" s="78"/>
    </row>
    <row r="77" spans="1:167" hidden="1" outlineLevel="1">
      <c r="A77" s="29" t="str">
        <f t="shared" si="16"/>
        <v>cd_imv_out_trz_cred_prcdata_vcmt</v>
      </c>
      <c r="B77" s="67" t="s">
        <v>26</v>
      </c>
      <c r="C77" s="68" t="s">
        <v>54</v>
      </c>
      <c r="D77" s="64" t="s">
        <v>40</v>
      </c>
      <c r="E77" s="66" t="s">
        <v>56</v>
      </c>
      <c r="F77" s="64" t="s">
        <v>467</v>
      </c>
      <c r="G77" s="64" t="e">
        <f>INDEX(Auxiliar!$B$16:$B$24,MATCH(Plano_V1!H77,Auxiliar!$C$16:$C$24,0),1)</f>
        <v>#N/A</v>
      </c>
      <c r="H77" s="64" t="e">
        <f>VLOOKUP(A77,'Aux - pivots1'!$A:$B,2,0)</f>
        <v>#N/A</v>
      </c>
      <c r="I77" s="84">
        <f>SUMIFS(Table1[Estimação (horas)],Table1[Tabela],Plano_V1!E77,Table1[Campo],Plano_V1!F77)</f>
        <v>0</v>
      </c>
      <c r="J77" s="84">
        <f t="shared" si="17"/>
        <v>0</v>
      </c>
      <c r="K77" s="89" t="s">
        <v>39</v>
      </c>
      <c r="L77" s="90">
        <f t="shared" si="14"/>
        <v>0</v>
      </c>
      <c r="M77" s="78"/>
      <c r="N77" s="78"/>
      <c r="O77" s="78"/>
      <c r="P77" s="78"/>
      <c r="Q77" s="78"/>
      <c r="R77" s="78"/>
      <c r="S77" s="78"/>
      <c r="T77" s="78"/>
      <c r="U77" s="78"/>
      <c r="V77" s="78"/>
      <c r="W77" s="78"/>
      <c r="X77" s="78"/>
      <c r="Y77" s="78"/>
      <c r="Z77" s="78"/>
      <c r="AA77" s="78"/>
      <c r="AB77" s="78"/>
      <c r="AC77" s="78"/>
      <c r="AD77" s="78"/>
      <c r="AE77" s="78"/>
      <c r="AF77" s="78"/>
      <c r="AG77" s="78"/>
      <c r="AH77" s="78"/>
      <c r="AI77" s="78"/>
      <c r="AJ77" s="78"/>
      <c r="AK77" s="78"/>
      <c r="AL77" s="78"/>
      <c r="AM77" s="78"/>
      <c r="AN77" s="78"/>
      <c r="AO77" s="78"/>
      <c r="AP77" s="78"/>
      <c r="AQ77" s="78"/>
      <c r="AR77" s="78"/>
      <c r="AS77" s="78"/>
      <c r="AT77" s="91"/>
      <c r="AU77" s="78"/>
      <c r="AV77" s="78"/>
      <c r="AW77" s="78"/>
      <c r="AX77" s="78"/>
      <c r="AY77" s="78"/>
      <c r="AZ77" s="78"/>
      <c r="BA77" s="78"/>
      <c r="BB77" s="78"/>
      <c r="BC77" s="78"/>
      <c r="BD77" s="78"/>
      <c r="BE77" s="78"/>
      <c r="BF77" s="78"/>
      <c r="BG77" s="78"/>
      <c r="BH77" s="78"/>
      <c r="BI77" s="78"/>
      <c r="BJ77" s="78"/>
      <c r="BK77" s="78"/>
      <c r="BL77" s="78"/>
      <c r="BM77" s="78"/>
      <c r="BN77" s="78"/>
      <c r="BO77" s="78"/>
      <c r="BP77" s="78"/>
      <c r="BQ77" s="78"/>
      <c r="BR77" s="78"/>
      <c r="BS77" s="78"/>
      <c r="BT77" s="78"/>
      <c r="BU77" s="78"/>
      <c r="BV77" s="78"/>
      <c r="BW77" s="78"/>
      <c r="BX77" s="78"/>
      <c r="BY77" s="78"/>
      <c r="BZ77" s="78"/>
      <c r="CA77" s="78"/>
      <c r="CB77" s="78"/>
      <c r="CC77" s="78"/>
      <c r="CD77" s="78"/>
      <c r="CE77" s="78"/>
      <c r="CF77" s="78"/>
      <c r="CG77" s="78"/>
      <c r="CH77" s="78"/>
      <c r="CI77" s="78"/>
      <c r="CJ77" s="78"/>
      <c r="CK77" s="78"/>
      <c r="CL77" s="78"/>
      <c r="CM77" s="78"/>
      <c r="CN77" s="78"/>
      <c r="CO77" s="78"/>
      <c r="CP77" s="78"/>
      <c r="CQ77" s="78"/>
      <c r="CR77" s="78"/>
      <c r="CS77" s="78"/>
      <c r="CT77" s="78"/>
      <c r="CU77" s="78"/>
      <c r="CV77" s="78"/>
      <c r="CW77" s="78"/>
      <c r="CX77" s="78"/>
      <c r="CY77" s="78"/>
      <c r="CZ77" s="78"/>
      <c r="DA77" s="78"/>
      <c r="DB77" s="78"/>
      <c r="DC77" s="78"/>
      <c r="DD77" s="78"/>
      <c r="DE77" s="78"/>
      <c r="DF77" s="78"/>
      <c r="DG77" s="78"/>
      <c r="DH77" s="78"/>
      <c r="DI77" s="78"/>
      <c r="DJ77" s="78"/>
      <c r="DK77" s="78"/>
      <c r="DL77" s="78"/>
      <c r="DM77" s="78"/>
      <c r="DN77" s="78"/>
      <c r="DO77" s="78"/>
      <c r="DP77" s="78"/>
      <c r="DQ77" s="78"/>
      <c r="DR77" s="78"/>
      <c r="DS77" s="78"/>
      <c r="DT77" s="78"/>
      <c r="DU77" s="78"/>
      <c r="DV77" s="78"/>
      <c r="DW77" s="78"/>
      <c r="DX77" s="78"/>
      <c r="DY77" s="78"/>
      <c r="DZ77" s="78"/>
      <c r="EA77" s="78"/>
      <c r="EB77" s="78"/>
      <c r="EC77" s="78"/>
      <c r="ED77" s="78"/>
      <c r="EE77" s="78"/>
      <c r="EF77" s="78"/>
      <c r="EG77" s="78"/>
      <c r="EH77" s="78"/>
      <c r="EI77" s="91"/>
      <c r="EJ77" s="91"/>
      <c r="EK77" s="91"/>
      <c r="EL77" s="91"/>
      <c r="EM77" s="91"/>
      <c r="EN77" s="91"/>
      <c r="EO77" s="91"/>
      <c r="EP77" s="78"/>
      <c r="EQ77" s="78"/>
      <c r="ER77" s="78"/>
      <c r="ES77" s="78"/>
      <c r="ET77" s="78"/>
      <c r="EU77" s="78"/>
      <c r="EV77" s="78"/>
      <c r="EW77" s="78"/>
      <c r="EX77" s="78"/>
      <c r="EY77" s="78"/>
      <c r="EZ77" s="78"/>
      <c r="FA77" s="78"/>
      <c r="FB77" s="78"/>
      <c r="FC77" s="78"/>
      <c r="FD77" s="78"/>
      <c r="FE77" s="78"/>
      <c r="FF77" s="78"/>
      <c r="FG77" s="78"/>
      <c r="FH77" s="78"/>
      <c r="FI77" s="78"/>
      <c r="FJ77" s="78"/>
      <c r="FK77" s="78"/>
    </row>
    <row r="78" spans="1:167" hidden="1" outlineLevel="1">
      <c r="A78" s="29" t="str">
        <f t="shared" si="16"/>
        <v>cd_imv_out_trz_cred_prcidetgar</v>
      </c>
      <c r="B78" s="67" t="s">
        <v>26</v>
      </c>
      <c r="C78" s="68" t="s">
        <v>54</v>
      </c>
      <c r="D78" s="64" t="s">
        <v>40</v>
      </c>
      <c r="E78" s="66" t="s">
        <v>56</v>
      </c>
      <c r="F78" s="64" t="s">
        <v>85</v>
      </c>
      <c r="G78" s="64" t="e">
        <f>INDEX(Auxiliar!$B$16:$B$24,MATCH(Plano_V1!H78,Auxiliar!$C$16:$C$24,0),1)</f>
        <v>#N/A</v>
      </c>
      <c r="H78" s="64" t="e">
        <f>VLOOKUP(A78,'Aux - pivots1'!$A:$B,2,0)</f>
        <v>#N/A</v>
      </c>
      <c r="I78" s="85">
        <v>0</v>
      </c>
      <c r="J78" s="84">
        <f t="shared" si="17"/>
        <v>0</v>
      </c>
      <c r="K78" s="89" t="s">
        <v>39</v>
      </c>
      <c r="L78" s="90">
        <f t="shared" si="14"/>
        <v>0</v>
      </c>
      <c r="M78" s="78"/>
      <c r="N78" s="78"/>
      <c r="O78" s="78"/>
      <c r="P78" s="78"/>
      <c r="Q78" s="78"/>
      <c r="R78" s="78"/>
      <c r="S78" s="78"/>
      <c r="T78" s="78"/>
      <c r="U78" s="78"/>
      <c r="V78" s="78"/>
      <c r="W78" s="78"/>
      <c r="X78" s="78"/>
      <c r="Y78" s="78"/>
      <c r="Z78" s="78"/>
      <c r="AA78" s="78"/>
      <c r="AB78" s="78"/>
      <c r="AC78" s="78"/>
      <c r="AD78" s="78"/>
      <c r="AE78" s="78"/>
      <c r="AF78" s="78"/>
      <c r="AG78" s="78"/>
      <c r="AH78" s="78"/>
      <c r="AI78" s="78"/>
      <c r="AJ78" s="78"/>
      <c r="AK78" s="78"/>
      <c r="AL78" s="78"/>
      <c r="AM78" s="78"/>
      <c r="AN78" s="78"/>
      <c r="AO78" s="78"/>
      <c r="AP78" s="78"/>
      <c r="AQ78" s="78"/>
      <c r="AR78" s="78"/>
      <c r="AS78" s="78"/>
      <c r="AT78" s="91"/>
      <c r="AU78" s="78"/>
      <c r="AV78" s="78"/>
      <c r="AW78" s="78"/>
      <c r="AX78" s="78"/>
      <c r="AY78" s="78"/>
      <c r="AZ78" s="78"/>
      <c r="BA78" s="78"/>
      <c r="BB78" s="78"/>
      <c r="BC78" s="78"/>
      <c r="BD78" s="78"/>
      <c r="BE78" s="78"/>
      <c r="BF78" s="78"/>
      <c r="BG78" s="78"/>
      <c r="BH78" s="78"/>
      <c r="BI78" s="78"/>
      <c r="BJ78" s="78"/>
      <c r="BK78" s="78"/>
      <c r="BL78" s="78"/>
      <c r="BM78" s="78"/>
      <c r="BN78" s="78"/>
      <c r="BO78" s="78"/>
      <c r="BP78" s="78"/>
      <c r="BQ78" s="78"/>
      <c r="BR78" s="78"/>
      <c r="BS78" s="78"/>
      <c r="BT78" s="78"/>
      <c r="BU78" s="78"/>
      <c r="BV78" s="78"/>
      <c r="BW78" s="78"/>
      <c r="BX78" s="78"/>
      <c r="BY78" s="78"/>
      <c r="BZ78" s="78"/>
      <c r="CA78" s="78"/>
      <c r="CB78" s="78"/>
      <c r="CC78" s="78"/>
      <c r="CD78" s="78"/>
      <c r="CE78" s="78"/>
      <c r="CF78" s="78"/>
      <c r="CG78" s="78"/>
      <c r="CH78" s="78"/>
      <c r="CI78" s="78"/>
      <c r="CJ78" s="78"/>
      <c r="CK78" s="78"/>
      <c r="CL78" s="78"/>
      <c r="CM78" s="78"/>
      <c r="CN78" s="78"/>
      <c r="CO78" s="78"/>
      <c r="CP78" s="78"/>
      <c r="CQ78" s="78"/>
      <c r="CR78" s="78"/>
      <c r="CS78" s="78"/>
      <c r="CT78" s="78"/>
      <c r="CU78" s="78"/>
      <c r="CV78" s="78"/>
      <c r="CW78" s="78"/>
      <c r="CX78" s="78"/>
      <c r="CY78" s="78"/>
      <c r="CZ78" s="78"/>
      <c r="DA78" s="78"/>
      <c r="DB78" s="78"/>
      <c r="DC78" s="78"/>
      <c r="DD78" s="78"/>
      <c r="DE78" s="78"/>
      <c r="DF78" s="78"/>
      <c r="DG78" s="78"/>
      <c r="DH78" s="78"/>
      <c r="DI78" s="78"/>
      <c r="DJ78" s="78"/>
      <c r="DK78" s="78"/>
      <c r="DL78" s="78"/>
      <c r="DM78" s="78"/>
      <c r="DN78" s="78"/>
      <c r="DO78" s="78"/>
      <c r="DP78" s="78"/>
      <c r="DQ78" s="78"/>
      <c r="DR78" s="78"/>
      <c r="DS78" s="78"/>
      <c r="DT78" s="78"/>
      <c r="DU78" s="78"/>
      <c r="DV78" s="78"/>
      <c r="DW78" s="78"/>
      <c r="DX78" s="78"/>
      <c r="DY78" s="78"/>
      <c r="DZ78" s="78"/>
      <c r="EA78" s="78"/>
      <c r="EB78" s="78"/>
      <c r="EC78" s="78"/>
      <c r="ED78" s="78"/>
      <c r="EE78" s="78"/>
      <c r="EF78" s="78"/>
      <c r="EG78" s="78"/>
      <c r="EH78" s="78"/>
      <c r="EI78" s="91"/>
      <c r="EJ78" s="91"/>
      <c r="EK78" s="91"/>
      <c r="EL78" s="91"/>
      <c r="EM78" s="91"/>
      <c r="EN78" s="91"/>
      <c r="EO78" s="91"/>
      <c r="EP78" s="78"/>
      <c r="EQ78" s="78"/>
      <c r="ER78" s="78"/>
      <c r="ES78" s="78"/>
      <c r="ET78" s="78"/>
      <c r="EU78" s="78"/>
      <c r="EV78" s="78"/>
      <c r="EW78" s="78"/>
      <c r="EX78" s="78"/>
      <c r="EY78" s="78"/>
      <c r="EZ78" s="78"/>
      <c r="FA78" s="78"/>
      <c r="FB78" s="78"/>
      <c r="FC78" s="78"/>
      <c r="FD78" s="78"/>
      <c r="FE78" s="78"/>
      <c r="FF78" s="78"/>
      <c r="FG78" s="78"/>
      <c r="FH78" s="78"/>
      <c r="FI78" s="78"/>
      <c r="FJ78" s="78"/>
      <c r="FK78" s="78"/>
    </row>
    <row r="79" spans="1:167" hidden="1" outlineLevel="1">
      <c r="A79" s="29" t="str">
        <f t="shared" si="16"/>
        <v>cd_imv_out_trz_cred_prcnum_prop</v>
      </c>
      <c r="B79" s="67" t="s">
        <v>26</v>
      </c>
      <c r="C79" s="68" t="s">
        <v>54</v>
      </c>
      <c r="D79" s="64" t="s">
        <v>40</v>
      </c>
      <c r="E79" s="66" t="s">
        <v>56</v>
      </c>
      <c r="F79" s="64" t="s">
        <v>86</v>
      </c>
      <c r="G79" s="64" t="e">
        <f>INDEX(Auxiliar!$B$16:$B$24,MATCH(Plano_V1!H79,Auxiliar!$C$16:$C$24,0),1)</f>
        <v>#N/A</v>
      </c>
      <c r="H79" s="64" t="e">
        <f>VLOOKUP(A79,'Aux - pivots1'!$A:$B,2,0)</f>
        <v>#N/A</v>
      </c>
      <c r="I79" s="85">
        <v>0</v>
      </c>
      <c r="J79" s="84">
        <f t="shared" si="17"/>
        <v>0</v>
      </c>
      <c r="K79" s="89" t="s">
        <v>39</v>
      </c>
      <c r="L79" s="90">
        <f t="shared" si="14"/>
        <v>0</v>
      </c>
      <c r="M79" s="78"/>
      <c r="N79" s="78"/>
      <c r="O79" s="78"/>
      <c r="P79" s="78"/>
      <c r="Q79" s="78"/>
      <c r="R79" s="78"/>
      <c r="S79" s="78"/>
      <c r="T79" s="78"/>
      <c r="U79" s="78"/>
      <c r="V79" s="78"/>
      <c r="W79" s="78"/>
      <c r="X79" s="78"/>
      <c r="Y79" s="78"/>
      <c r="Z79" s="78"/>
      <c r="AA79" s="78"/>
      <c r="AB79" s="78"/>
      <c r="AC79" s="78"/>
      <c r="AD79" s="78"/>
      <c r="AE79" s="78"/>
      <c r="AF79" s="78"/>
      <c r="AG79" s="78"/>
      <c r="AH79" s="78"/>
      <c r="AI79" s="78"/>
      <c r="AJ79" s="78"/>
      <c r="AK79" s="78"/>
      <c r="AL79" s="78"/>
      <c r="AM79" s="78"/>
      <c r="AN79" s="78"/>
      <c r="AO79" s="78"/>
      <c r="AP79" s="78"/>
      <c r="AQ79" s="78"/>
      <c r="AR79" s="78"/>
      <c r="AS79" s="78"/>
      <c r="AT79" s="91"/>
      <c r="AU79" s="78"/>
      <c r="AV79" s="78"/>
      <c r="AW79" s="78"/>
      <c r="AX79" s="78"/>
      <c r="AY79" s="78"/>
      <c r="AZ79" s="78"/>
      <c r="BA79" s="78"/>
      <c r="BB79" s="78"/>
      <c r="BC79" s="78"/>
      <c r="BD79" s="78"/>
      <c r="BE79" s="78"/>
      <c r="BF79" s="78"/>
      <c r="BG79" s="78"/>
      <c r="BH79" s="78"/>
      <c r="BI79" s="78"/>
      <c r="BJ79" s="78"/>
      <c r="BK79" s="78"/>
      <c r="BL79" s="78"/>
      <c r="BM79" s="78"/>
      <c r="BN79" s="78"/>
      <c r="BO79" s="78"/>
      <c r="BP79" s="78"/>
      <c r="BQ79" s="78"/>
      <c r="BR79" s="78"/>
      <c r="BS79" s="78"/>
      <c r="BT79" s="78"/>
      <c r="BU79" s="78"/>
      <c r="BV79" s="78"/>
      <c r="BW79" s="78"/>
      <c r="BX79" s="78"/>
      <c r="BY79" s="78"/>
      <c r="BZ79" s="78"/>
      <c r="CA79" s="78"/>
      <c r="CB79" s="78"/>
      <c r="CC79" s="78"/>
      <c r="CD79" s="78"/>
      <c r="CE79" s="78"/>
      <c r="CF79" s="78"/>
      <c r="CG79" s="78"/>
      <c r="CH79" s="78"/>
      <c r="CI79" s="78"/>
      <c r="CJ79" s="78"/>
      <c r="CK79" s="78"/>
      <c r="CL79" s="78"/>
      <c r="CM79" s="78"/>
      <c r="CN79" s="78"/>
      <c r="CO79" s="78"/>
      <c r="CP79" s="78"/>
      <c r="CQ79" s="78"/>
      <c r="CR79" s="78"/>
      <c r="CS79" s="78"/>
      <c r="CT79" s="78"/>
      <c r="CU79" s="78"/>
      <c r="CV79" s="78"/>
      <c r="CW79" s="78"/>
      <c r="CX79" s="78"/>
      <c r="CY79" s="78"/>
      <c r="CZ79" s="78"/>
      <c r="DA79" s="78"/>
      <c r="DB79" s="78"/>
      <c r="DC79" s="78"/>
      <c r="DD79" s="78"/>
      <c r="DE79" s="78"/>
      <c r="DF79" s="78"/>
      <c r="DG79" s="78"/>
      <c r="DH79" s="78"/>
      <c r="DI79" s="78"/>
      <c r="DJ79" s="78"/>
      <c r="DK79" s="78"/>
      <c r="DL79" s="78"/>
      <c r="DM79" s="78"/>
      <c r="DN79" s="78"/>
      <c r="DO79" s="78"/>
      <c r="DP79" s="78"/>
      <c r="DQ79" s="78"/>
      <c r="DR79" s="78"/>
      <c r="DS79" s="78"/>
      <c r="DT79" s="78"/>
      <c r="DU79" s="78"/>
      <c r="DV79" s="78"/>
      <c r="DW79" s="78"/>
      <c r="DX79" s="78"/>
      <c r="DY79" s="78"/>
      <c r="DZ79" s="78"/>
      <c r="EA79" s="78"/>
      <c r="EB79" s="78"/>
      <c r="EC79" s="78"/>
      <c r="ED79" s="78"/>
      <c r="EE79" s="78"/>
      <c r="EF79" s="78"/>
      <c r="EG79" s="78"/>
      <c r="EH79" s="78"/>
      <c r="EI79" s="91"/>
      <c r="EJ79" s="91"/>
      <c r="EK79" s="91"/>
      <c r="EL79" s="91"/>
      <c r="EM79" s="91"/>
      <c r="EN79" s="91"/>
      <c r="EO79" s="91"/>
      <c r="EP79" s="78"/>
      <c r="EQ79" s="78"/>
      <c r="ER79" s="78"/>
      <c r="ES79" s="78"/>
      <c r="ET79" s="78"/>
      <c r="EU79" s="78"/>
      <c r="EV79" s="78"/>
      <c r="EW79" s="78"/>
      <c r="EX79" s="78"/>
      <c r="EY79" s="78"/>
      <c r="EZ79" s="78"/>
      <c r="FA79" s="78"/>
      <c r="FB79" s="78"/>
      <c r="FC79" s="78"/>
      <c r="FD79" s="78"/>
      <c r="FE79" s="78"/>
      <c r="FF79" s="78"/>
      <c r="FG79" s="78"/>
      <c r="FH79" s="78"/>
      <c r="FI79" s="78"/>
      <c r="FJ79" s="78"/>
      <c r="FK79" s="78"/>
    </row>
    <row r="80" spans="1:167" hidden="1" outlineLevel="1">
      <c r="A80" s="29" t="str">
        <f t="shared" si="16"/>
        <v>cd_imv_out_trz_cred_prcorigem</v>
      </c>
      <c r="B80" s="67" t="s">
        <v>26</v>
      </c>
      <c r="C80" s="68" t="s">
        <v>54</v>
      </c>
      <c r="D80" s="64" t="s">
        <v>40</v>
      </c>
      <c r="E80" s="66" t="s">
        <v>56</v>
      </c>
      <c r="F80" s="64" t="s">
        <v>72</v>
      </c>
      <c r="G80" s="64" t="e">
        <f>INDEX(Auxiliar!$B$16:$B$24,MATCH(Plano_V1!H80,Auxiliar!$C$16:$C$24,0),1)</f>
        <v>#N/A</v>
      </c>
      <c r="H80" s="64" t="e">
        <f>VLOOKUP(A80,'Aux - pivots1'!$A:$B,2,0)</f>
        <v>#N/A</v>
      </c>
      <c r="I80" s="84">
        <f>SUMIFS(Table1[Estimação (horas)],Table1[Tabela],Plano_V1!E80,Table1[Campo],Plano_V1!F80)</f>
        <v>0</v>
      </c>
      <c r="J80" s="84">
        <f t="shared" si="17"/>
        <v>0</v>
      </c>
      <c r="K80" s="89" t="s">
        <v>39</v>
      </c>
      <c r="L80" s="90">
        <f t="shared" si="14"/>
        <v>0</v>
      </c>
      <c r="M80" s="78"/>
      <c r="N80" s="78"/>
      <c r="O80" s="78"/>
      <c r="P80" s="78"/>
      <c r="Q80" s="78"/>
      <c r="R80" s="78"/>
      <c r="S80" s="78"/>
      <c r="T80" s="78"/>
      <c r="U80" s="78"/>
      <c r="V80" s="78"/>
      <c r="W80" s="78"/>
      <c r="X80" s="78"/>
      <c r="Y80" s="78"/>
      <c r="Z80" s="78"/>
      <c r="AA80" s="78"/>
      <c r="AB80" s="78"/>
      <c r="AC80" s="78"/>
      <c r="AD80" s="78"/>
      <c r="AE80" s="78"/>
      <c r="AF80" s="78"/>
      <c r="AG80" s="78"/>
      <c r="AH80" s="78"/>
      <c r="AI80" s="78"/>
      <c r="AJ80" s="78"/>
      <c r="AK80" s="78"/>
      <c r="AL80" s="78"/>
      <c r="AM80" s="78"/>
      <c r="AN80" s="78"/>
      <c r="AO80" s="78"/>
      <c r="AP80" s="78"/>
      <c r="AQ80" s="78"/>
      <c r="AR80" s="78"/>
      <c r="AS80" s="78"/>
      <c r="AT80" s="91"/>
      <c r="AU80" s="78"/>
      <c r="AV80" s="78"/>
      <c r="AW80" s="78"/>
      <c r="AX80" s="78"/>
      <c r="AY80" s="78"/>
      <c r="AZ80" s="78"/>
      <c r="BA80" s="78"/>
      <c r="BB80" s="78"/>
      <c r="BC80" s="78"/>
      <c r="BD80" s="78"/>
      <c r="BE80" s="78"/>
      <c r="BF80" s="78"/>
      <c r="BG80" s="78"/>
      <c r="BH80" s="78"/>
      <c r="BI80" s="78"/>
      <c r="BJ80" s="78"/>
      <c r="BK80" s="78"/>
      <c r="BL80" s="78"/>
      <c r="BM80" s="78"/>
      <c r="BN80" s="78"/>
      <c r="BO80" s="78"/>
      <c r="BP80" s="78"/>
      <c r="BQ80" s="78"/>
      <c r="BR80" s="78"/>
      <c r="BS80" s="78"/>
      <c r="BT80" s="78"/>
      <c r="BU80" s="78"/>
      <c r="BV80" s="78"/>
      <c r="BW80" s="78"/>
      <c r="BX80" s="78"/>
      <c r="BY80" s="78"/>
      <c r="BZ80" s="78"/>
      <c r="CA80" s="78"/>
      <c r="CB80" s="78"/>
      <c r="CC80" s="78"/>
      <c r="CD80" s="78"/>
      <c r="CE80" s="78"/>
      <c r="CF80" s="78"/>
      <c r="CG80" s="78"/>
      <c r="CH80" s="78"/>
      <c r="CI80" s="78"/>
      <c r="CJ80" s="78"/>
      <c r="CK80" s="78"/>
      <c r="CL80" s="78"/>
      <c r="CM80" s="78"/>
      <c r="CN80" s="78"/>
      <c r="CO80" s="78"/>
      <c r="CP80" s="78"/>
      <c r="CQ80" s="78"/>
      <c r="CR80" s="78"/>
      <c r="CS80" s="78"/>
      <c r="CT80" s="78"/>
      <c r="CU80" s="78"/>
      <c r="CV80" s="78"/>
      <c r="CW80" s="78"/>
      <c r="CX80" s="78"/>
      <c r="CY80" s="78"/>
      <c r="CZ80" s="78"/>
      <c r="DA80" s="78"/>
      <c r="DB80" s="78"/>
      <c r="DC80" s="78"/>
      <c r="DD80" s="78"/>
      <c r="DE80" s="78"/>
      <c r="DF80" s="78"/>
      <c r="DG80" s="78"/>
      <c r="DH80" s="78"/>
      <c r="DI80" s="78"/>
      <c r="DJ80" s="78"/>
      <c r="DK80" s="78"/>
      <c r="DL80" s="78"/>
      <c r="DM80" s="78"/>
      <c r="DN80" s="78"/>
      <c r="DO80" s="78"/>
      <c r="DP80" s="78"/>
      <c r="DQ80" s="78"/>
      <c r="DR80" s="78"/>
      <c r="DS80" s="78"/>
      <c r="DT80" s="78"/>
      <c r="DU80" s="78"/>
      <c r="DV80" s="78"/>
      <c r="DW80" s="78"/>
      <c r="DX80" s="78"/>
      <c r="DY80" s="78"/>
      <c r="DZ80" s="78"/>
      <c r="EA80" s="78"/>
      <c r="EB80" s="78"/>
      <c r="EC80" s="78"/>
      <c r="ED80" s="78"/>
      <c r="EE80" s="78"/>
      <c r="EF80" s="78"/>
      <c r="EG80" s="78"/>
      <c r="EH80" s="78"/>
      <c r="EI80" s="91"/>
      <c r="EJ80" s="91"/>
      <c r="EK80" s="91"/>
      <c r="EL80" s="91"/>
      <c r="EM80" s="91"/>
      <c r="EN80" s="91"/>
      <c r="EO80" s="91"/>
      <c r="EP80" s="78"/>
      <c r="EQ80" s="78"/>
      <c r="ER80" s="78"/>
      <c r="ES80" s="78"/>
      <c r="ET80" s="78"/>
      <c r="EU80" s="78"/>
      <c r="EV80" s="78"/>
      <c r="EW80" s="78"/>
      <c r="EX80" s="78"/>
      <c r="EY80" s="78"/>
      <c r="EZ80" s="78"/>
      <c r="FA80" s="78"/>
      <c r="FB80" s="78"/>
      <c r="FC80" s="78"/>
      <c r="FD80" s="78"/>
      <c r="FE80" s="78"/>
      <c r="FF80" s="78"/>
      <c r="FG80" s="78"/>
      <c r="FH80" s="78"/>
      <c r="FI80" s="78"/>
      <c r="FJ80" s="78"/>
      <c r="FK80" s="78"/>
    </row>
    <row r="81" spans="1:167" hidden="1" outlineLevel="1">
      <c r="A81" s="29" t="str">
        <f t="shared" si="16"/>
        <v>cd_imv_out_trz_cred_prcref_date</v>
      </c>
      <c r="B81" s="67" t="s">
        <v>26</v>
      </c>
      <c r="C81" s="68" t="s">
        <v>54</v>
      </c>
      <c r="D81" s="64" t="s">
        <v>40</v>
      </c>
      <c r="E81" s="66" t="s">
        <v>56</v>
      </c>
      <c r="F81" s="64" t="s">
        <v>208</v>
      </c>
      <c r="G81" s="64" t="e">
        <f>INDEX(Auxiliar!$B$16:$B$24,MATCH(Plano_V1!H81,Auxiliar!$C$16:$C$24,0),1)</f>
        <v>#N/A</v>
      </c>
      <c r="H81" s="64" t="e">
        <f>VLOOKUP(A81,'Aux - pivots1'!$A:$B,2,0)</f>
        <v>#N/A</v>
      </c>
      <c r="I81" s="84">
        <f>SUMIFS(Table1[Estimação (horas)],Table1[Tabela],Plano_V1!E81,Table1[Campo],Plano_V1!F81)</f>
        <v>0</v>
      </c>
      <c r="J81" s="84">
        <f t="shared" si="17"/>
        <v>0</v>
      </c>
      <c r="K81" s="89" t="s">
        <v>39</v>
      </c>
      <c r="L81" s="90">
        <f t="shared" si="14"/>
        <v>0</v>
      </c>
      <c r="M81" s="78"/>
      <c r="N81" s="78"/>
      <c r="O81" s="78"/>
      <c r="P81" s="78"/>
      <c r="Q81" s="78"/>
      <c r="R81" s="78"/>
      <c r="S81" s="78"/>
      <c r="T81" s="78"/>
      <c r="U81" s="78"/>
      <c r="V81" s="78"/>
      <c r="W81" s="78"/>
      <c r="X81" s="78"/>
      <c r="Y81" s="78"/>
      <c r="Z81" s="78"/>
      <c r="AA81" s="78"/>
      <c r="AB81" s="78"/>
      <c r="AC81" s="78"/>
      <c r="AD81" s="78"/>
      <c r="AE81" s="78"/>
      <c r="AF81" s="78"/>
      <c r="AG81" s="78"/>
      <c r="AH81" s="78"/>
      <c r="AI81" s="78"/>
      <c r="AJ81" s="78"/>
      <c r="AK81" s="78"/>
      <c r="AL81" s="78"/>
      <c r="AM81" s="78"/>
      <c r="AN81" s="78"/>
      <c r="AO81" s="78"/>
      <c r="AP81" s="78"/>
      <c r="AQ81" s="78"/>
      <c r="AR81" s="78"/>
      <c r="AS81" s="78"/>
      <c r="AT81" s="91"/>
      <c r="AU81" s="78"/>
      <c r="AV81" s="78"/>
      <c r="AW81" s="78"/>
      <c r="AX81" s="78"/>
      <c r="AY81" s="78"/>
      <c r="AZ81" s="78"/>
      <c r="BA81" s="78"/>
      <c r="BB81" s="78"/>
      <c r="BC81" s="78"/>
      <c r="BD81" s="78"/>
      <c r="BE81" s="78"/>
      <c r="BF81" s="78"/>
      <c r="BG81" s="78"/>
      <c r="BH81" s="78"/>
      <c r="BI81" s="78"/>
      <c r="BJ81" s="78"/>
      <c r="BK81" s="78"/>
      <c r="BL81" s="78"/>
      <c r="BM81" s="78"/>
      <c r="BN81" s="78"/>
      <c r="BO81" s="78"/>
      <c r="BP81" s="78"/>
      <c r="BQ81" s="78"/>
      <c r="BR81" s="78"/>
      <c r="BS81" s="78"/>
      <c r="BT81" s="78"/>
      <c r="BU81" s="78"/>
      <c r="BV81" s="78"/>
      <c r="BW81" s="78"/>
      <c r="BX81" s="78"/>
      <c r="BY81" s="78"/>
      <c r="BZ81" s="78"/>
      <c r="CA81" s="78"/>
      <c r="CB81" s="78"/>
      <c r="CC81" s="78"/>
      <c r="CD81" s="78"/>
      <c r="CE81" s="78"/>
      <c r="CF81" s="78"/>
      <c r="CG81" s="78"/>
      <c r="CH81" s="78"/>
      <c r="CI81" s="78"/>
      <c r="CJ81" s="78"/>
      <c r="CK81" s="78"/>
      <c r="CL81" s="78"/>
      <c r="CM81" s="78"/>
      <c r="CN81" s="78"/>
      <c r="CO81" s="78"/>
      <c r="CP81" s="78"/>
      <c r="CQ81" s="78"/>
      <c r="CR81" s="78"/>
      <c r="CS81" s="78"/>
      <c r="CT81" s="78"/>
      <c r="CU81" s="78"/>
      <c r="CV81" s="78"/>
      <c r="CW81" s="78"/>
      <c r="CX81" s="78"/>
      <c r="CY81" s="78"/>
      <c r="CZ81" s="78"/>
      <c r="DA81" s="78"/>
      <c r="DB81" s="78"/>
      <c r="DC81" s="78"/>
      <c r="DD81" s="78"/>
      <c r="DE81" s="78"/>
      <c r="DF81" s="78"/>
      <c r="DG81" s="78"/>
      <c r="DH81" s="78"/>
      <c r="DI81" s="78"/>
      <c r="DJ81" s="78"/>
      <c r="DK81" s="78"/>
      <c r="DL81" s="78"/>
      <c r="DM81" s="78"/>
      <c r="DN81" s="78"/>
      <c r="DO81" s="78"/>
      <c r="DP81" s="78"/>
      <c r="DQ81" s="78"/>
      <c r="DR81" s="78"/>
      <c r="DS81" s="78"/>
      <c r="DT81" s="78"/>
      <c r="DU81" s="78"/>
      <c r="DV81" s="78"/>
      <c r="DW81" s="78"/>
      <c r="DX81" s="78"/>
      <c r="DY81" s="78"/>
      <c r="DZ81" s="78"/>
      <c r="EA81" s="78"/>
      <c r="EB81" s="78"/>
      <c r="EC81" s="78"/>
      <c r="ED81" s="78"/>
      <c r="EE81" s="78"/>
      <c r="EF81" s="78"/>
      <c r="EG81" s="78"/>
      <c r="EH81" s="78"/>
      <c r="EI81" s="91"/>
      <c r="EJ81" s="91"/>
      <c r="EK81" s="91"/>
      <c r="EL81" s="91"/>
      <c r="EM81" s="91"/>
      <c r="EN81" s="91"/>
      <c r="EO81" s="91"/>
      <c r="EP81" s="78"/>
      <c r="EQ81" s="78"/>
      <c r="ER81" s="78"/>
      <c r="ES81" s="78"/>
      <c r="ET81" s="78"/>
      <c r="EU81" s="78"/>
      <c r="EV81" s="78"/>
      <c r="EW81" s="78"/>
      <c r="EX81" s="78"/>
      <c r="EY81" s="78"/>
      <c r="EZ81" s="78"/>
      <c r="FA81" s="78"/>
      <c r="FB81" s="78"/>
      <c r="FC81" s="78"/>
      <c r="FD81" s="78"/>
      <c r="FE81" s="78"/>
      <c r="FF81" s="78"/>
      <c r="FG81" s="78"/>
      <c r="FH81" s="78"/>
      <c r="FI81" s="78"/>
      <c r="FJ81" s="78"/>
      <c r="FK81" s="78"/>
    </row>
    <row r="82" spans="1:167" hidden="1" outlineLevel="1">
      <c r="A82" s="29" t="str">
        <f t="shared" si="16"/>
        <v>cd_imv_out_trz_prc_bens_imvn.a.</v>
      </c>
      <c r="B82" s="67" t="s">
        <v>26</v>
      </c>
      <c r="C82" s="68" t="s">
        <v>54</v>
      </c>
      <c r="D82" s="64" t="s">
        <v>36</v>
      </c>
      <c r="E82" s="66" t="s">
        <v>477</v>
      </c>
      <c r="F82" s="64" t="s">
        <v>38</v>
      </c>
      <c r="G82" s="64" t="e">
        <f>INDEX(Auxiliar!$B$16:$B$24,MATCH(Plano_V1!H82,Auxiliar!$C$16:$C$24,0),1)</f>
        <v>#N/A</v>
      </c>
      <c r="H82" s="64" t="e">
        <f>VLOOKUP(A82,'Aux - pivots1'!$A:$B,2,0)</f>
        <v>#N/A</v>
      </c>
      <c r="I82" s="84">
        <f>SUMIFS(Table1[Estimação (horas)],Table1[Tabela],Plano_V1!E82,Table1[Campo],Plano_V1!F82)</f>
        <v>0</v>
      </c>
      <c r="J82" s="84">
        <f t="shared" si="17"/>
        <v>0</v>
      </c>
      <c r="K82" s="89" t="s">
        <v>56</v>
      </c>
      <c r="L82" s="90">
        <f t="shared" si="14"/>
        <v>0</v>
      </c>
      <c r="M82" s="78"/>
      <c r="N82" s="78"/>
      <c r="O82" s="78"/>
      <c r="P82" s="78"/>
      <c r="Q82" s="78"/>
      <c r="R82" s="78"/>
      <c r="S82" s="78"/>
      <c r="T82" s="78"/>
      <c r="U82" s="78"/>
      <c r="V82" s="78"/>
      <c r="W82" s="78"/>
      <c r="X82" s="78"/>
      <c r="Y82" s="78"/>
      <c r="Z82" s="78"/>
      <c r="AA82" s="78"/>
      <c r="AB82" s="78"/>
      <c r="AC82" s="78"/>
      <c r="AD82" s="78"/>
      <c r="AE82" s="78"/>
      <c r="AF82" s="78"/>
      <c r="AG82" s="78"/>
      <c r="AH82" s="78"/>
      <c r="AI82" s="78"/>
      <c r="AJ82" s="78"/>
      <c r="AK82" s="78"/>
      <c r="AL82" s="78"/>
      <c r="AM82" s="78"/>
      <c r="AN82" s="78"/>
      <c r="AO82" s="78"/>
      <c r="AP82" s="78"/>
      <c r="AQ82" s="78"/>
      <c r="AR82" s="78"/>
      <c r="AS82" s="78"/>
      <c r="AT82" s="91"/>
      <c r="AU82" s="78"/>
      <c r="AV82" s="78"/>
      <c r="AW82" s="78"/>
      <c r="AX82" s="78"/>
      <c r="AY82" s="78"/>
      <c r="AZ82" s="78"/>
      <c r="BA82" s="78"/>
      <c r="BB82" s="78"/>
      <c r="BC82" s="78"/>
      <c r="BD82" s="78"/>
      <c r="BE82" s="78"/>
      <c r="BF82" s="78"/>
      <c r="BG82" s="78"/>
      <c r="BH82" s="78"/>
      <c r="BI82" s="78"/>
      <c r="BJ82" s="78"/>
      <c r="BK82" s="78"/>
      <c r="BL82" s="78"/>
      <c r="BM82" s="78"/>
      <c r="BN82" s="78"/>
      <c r="BO82" s="78"/>
      <c r="BP82" s="78"/>
      <c r="BQ82" s="78"/>
      <c r="BR82" s="78"/>
      <c r="BS82" s="78"/>
      <c r="BT82" s="78"/>
      <c r="BU82" s="78"/>
      <c r="BV82" s="78"/>
      <c r="BW82" s="78"/>
      <c r="BX82" s="78"/>
      <c r="BY82" s="78"/>
      <c r="BZ82" s="78"/>
      <c r="CA82" s="78"/>
      <c r="CB82" s="78"/>
      <c r="CC82" s="78"/>
      <c r="CD82" s="78"/>
      <c r="CE82" s="78"/>
      <c r="CF82" s="78"/>
      <c r="CG82" s="78"/>
      <c r="CH82" s="78"/>
      <c r="CI82" s="78"/>
      <c r="CJ82" s="78"/>
      <c r="CK82" s="78"/>
      <c r="CL82" s="78"/>
      <c r="CM82" s="78"/>
      <c r="CN82" s="78"/>
      <c r="CO82" s="78"/>
      <c r="CP82" s="78"/>
      <c r="CQ82" s="78"/>
      <c r="CR82" s="78"/>
      <c r="CS82" s="78"/>
      <c r="CT82" s="78"/>
      <c r="CU82" s="78"/>
      <c r="CV82" s="78"/>
      <c r="CW82" s="78"/>
      <c r="CX82" s="78"/>
      <c r="CY82" s="78"/>
      <c r="CZ82" s="78"/>
      <c r="DA82" s="78"/>
      <c r="DB82" s="78"/>
      <c r="DC82" s="78"/>
      <c r="DD82" s="78"/>
      <c r="DE82" s="78"/>
      <c r="DF82" s="78"/>
      <c r="DG82" s="78"/>
      <c r="DH82" s="78"/>
      <c r="DI82" s="78"/>
      <c r="DJ82" s="78"/>
      <c r="DK82" s="78"/>
      <c r="DL82" s="78"/>
      <c r="DM82" s="78"/>
      <c r="DN82" s="78"/>
      <c r="DO82" s="78"/>
      <c r="DP82" s="78"/>
      <c r="DQ82" s="78"/>
      <c r="DR82" s="78"/>
      <c r="DS82" s="78"/>
      <c r="DT82" s="78"/>
      <c r="DU82" s="78"/>
      <c r="DV82" s="78"/>
      <c r="DW82" s="78"/>
      <c r="DX82" s="78"/>
      <c r="DY82" s="78"/>
      <c r="DZ82" s="78"/>
      <c r="EA82" s="78"/>
      <c r="EB82" s="78"/>
      <c r="EC82" s="78"/>
      <c r="ED82" s="78"/>
      <c r="EE82" s="78"/>
      <c r="EF82" s="78"/>
      <c r="EG82" s="78"/>
      <c r="EH82" s="78"/>
      <c r="EI82" s="91"/>
      <c r="EJ82" s="91"/>
      <c r="EK82" s="91"/>
      <c r="EL82" s="91"/>
      <c r="EM82" s="91"/>
      <c r="EN82" s="91"/>
      <c r="EO82" s="91"/>
      <c r="EP82" s="78"/>
      <c r="EQ82" s="78"/>
      <c r="ER82" s="78"/>
      <c r="ES82" s="78"/>
      <c r="ET82" s="78"/>
      <c r="EU82" s="78"/>
      <c r="EV82" s="78"/>
      <c r="EW82" s="78"/>
      <c r="EX82" s="78"/>
      <c r="EY82" s="78"/>
      <c r="EZ82" s="78"/>
      <c r="FA82" s="78"/>
      <c r="FB82" s="78"/>
      <c r="FC82" s="78"/>
      <c r="FD82" s="78"/>
      <c r="FE82" s="78"/>
      <c r="FF82" s="78"/>
      <c r="FG82" s="78"/>
      <c r="FH82" s="78"/>
      <c r="FI82" s="78"/>
      <c r="FJ82" s="78"/>
      <c r="FK82" s="78"/>
    </row>
    <row r="83" spans="1:167" hidden="1" outlineLevel="1">
      <c r="A83" s="29" t="str">
        <f t="shared" si="16"/>
        <v>cd_imv_out_trz_prc_bens_imvcempbem</v>
      </c>
      <c r="B83" s="67" t="s">
        <v>26</v>
      </c>
      <c r="C83" s="68" t="s">
        <v>54</v>
      </c>
      <c r="D83" s="64" t="s">
        <v>40</v>
      </c>
      <c r="E83" s="66" t="s">
        <v>477</v>
      </c>
      <c r="F83" s="64" t="s">
        <v>313</v>
      </c>
      <c r="G83" s="64" t="e">
        <f>INDEX(Auxiliar!$B$16:$B$24,MATCH(Plano_V1!H83,Auxiliar!$C$16:$C$24,0),1)</f>
        <v>#N/A</v>
      </c>
      <c r="H83" s="64" t="e">
        <f>VLOOKUP(A83,'Aux - pivots1'!$A:$B,2,0)</f>
        <v>#N/A</v>
      </c>
      <c r="I83" s="84">
        <f>SUMIFS(Table1[Estimação (horas)],Table1[Tabela],Plano_V1!E83,Table1[Campo],Plano_V1!F83)</f>
        <v>0</v>
      </c>
      <c r="J83" s="84">
        <f t="shared" si="17"/>
        <v>0</v>
      </c>
      <c r="K83" s="89" t="s">
        <v>56</v>
      </c>
      <c r="L83" s="90">
        <f t="shared" si="14"/>
        <v>0</v>
      </c>
      <c r="M83" s="78"/>
      <c r="N83" s="78"/>
      <c r="O83" s="78"/>
      <c r="P83" s="78"/>
      <c r="Q83" s="78"/>
      <c r="R83" s="78"/>
      <c r="S83" s="78"/>
      <c r="T83" s="78"/>
      <c r="U83" s="78"/>
      <c r="V83" s="78"/>
      <c r="W83" s="78"/>
      <c r="X83" s="78"/>
      <c r="Y83" s="78"/>
      <c r="Z83" s="78"/>
      <c r="AA83" s="78"/>
      <c r="AB83" s="78"/>
      <c r="AC83" s="78"/>
      <c r="AD83" s="78"/>
      <c r="AE83" s="78"/>
      <c r="AF83" s="78"/>
      <c r="AG83" s="78"/>
      <c r="AH83" s="78"/>
      <c r="AI83" s="78"/>
      <c r="AJ83" s="78"/>
      <c r="AK83" s="78"/>
      <c r="AL83" s="78"/>
      <c r="AM83" s="78"/>
      <c r="AN83" s="78"/>
      <c r="AO83" s="78"/>
      <c r="AP83" s="78"/>
      <c r="AQ83" s="78"/>
      <c r="AR83" s="78"/>
      <c r="AS83" s="78"/>
      <c r="AT83" s="91"/>
      <c r="AU83" s="78"/>
      <c r="AV83" s="78"/>
      <c r="AW83" s="78"/>
      <c r="AX83" s="78"/>
      <c r="AY83" s="78"/>
      <c r="AZ83" s="78"/>
      <c r="BA83" s="78"/>
      <c r="BB83" s="78"/>
      <c r="BC83" s="78"/>
      <c r="BD83" s="78"/>
      <c r="BE83" s="78"/>
      <c r="BF83" s="78"/>
      <c r="BG83" s="78"/>
      <c r="BH83" s="78"/>
      <c r="BI83" s="78"/>
      <c r="BJ83" s="78"/>
      <c r="BK83" s="78"/>
      <c r="BL83" s="78"/>
      <c r="BM83" s="78"/>
      <c r="BN83" s="78"/>
      <c r="BO83" s="78"/>
      <c r="BP83" s="78"/>
      <c r="BQ83" s="78"/>
      <c r="BR83" s="78"/>
      <c r="BS83" s="78"/>
      <c r="BT83" s="78"/>
      <c r="BU83" s="78"/>
      <c r="BV83" s="78"/>
      <c r="BW83" s="78"/>
      <c r="BX83" s="78"/>
      <c r="BY83" s="78"/>
      <c r="BZ83" s="78"/>
      <c r="CA83" s="78"/>
      <c r="CB83" s="78"/>
      <c r="CC83" s="78"/>
      <c r="CD83" s="78"/>
      <c r="CE83" s="78"/>
      <c r="CF83" s="78"/>
      <c r="CG83" s="78"/>
      <c r="CH83" s="78"/>
      <c r="CI83" s="78"/>
      <c r="CJ83" s="78"/>
      <c r="CK83" s="78"/>
      <c r="CL83" s="78"/>
      <c r="CM83" s="78"/>
      <c r="CN83" s="78"/>
      <c r="CO83" s="78"/>
      <c r="CP83" s="78"/>
      <c r="CQ83" s="78"/>
      <c r="CR83" s="78"/>
      <c r="CS83" s="78"/>
      <c r="CT83" s="78"/>
      <c r="CU83" s="78"/>
      <c r="CV83" s="78"/>
      <c r="CW83" s="78"/>
      <c r="CX83" s="78"/>
      <c r="CY83" s="78"/>
      <c r="CZ83" s="78"/>
      <c r="DA83" s="78"/>
      <c r="DB83" s="78"/>
      <c r="DC83" s="78"/>
      <c r="DD83" s="78"/>
      <c r="DE83" s="78"/>
      <c r="DF83" s="78"/>
      <c r="DG83" s="78"/>
      <c r="DH83" s="78"/>
      <c r="DI83" s="78"/>
      <c r="DJ83" s="78"/>
      <c r="DK83" s="78"/>
      <c r="DL83" s="78"/>
      <c r="DM83" s="78"/>
      <c r="DN83" s="78"/>
      <c r="DO83" s="78"/>
      <c r="DP83" s="78"/>
      <c r="DQ83" s="78"/>
      <c r="DR83" s="78"/>
      <c r="DS83" s="78"/>
      <c r="DT83" s="78"/>
      <c r="DU83" s="78"/>
      <c r="DV83" s="78"/>
      <c r="DW83" s="78"/>
      <c r="DX83" s="78"/>
      <c r="DY83" s="78"/>
      <c r="DZ83" s="78"/>
      <c r="EA83" s="78"/>
      <c r="EB83" s="78"/>
      <c r="EC83" s="78"/>
      <c r="ED83" s="78"/>
      <c r="EE83" s="78"/>
      <c r="EF83" s="78"/>
      <c r="EG83" s="78"/>
      <c r="EH83" s="78"/>
      <c r="EI83" s="91"/>
      <c r="EJ83" s="91"/>
      <c r="EK83" s="91"/>
      <c r="EL83" s="91"/>
      <c r="EM83" s="91"/>
      <c r="EN83" s="91"/>
      <c r="EO83" s="91"/>
      <c r="EP83" s="78"/>
      <c r="EQ83" s="78"/>
      <c r="ER83" s="78"/>
      <c r="ES83" s="78"/>
      <c r="ET83" s="78"/>
      <c r="EU83" s="78"/>
      <c r="EV83" s="78"/>
      <c r="EW83" s="78"/>
      <c r="EX83" s="78"/>
      <c r="EY83" s="78"/>
      <c r="EZ83" s="78"/>
      <c r="FA83" s="78"/>
      <c r="FB83" s="78"/>
      <c r="FC83" s="78"/>
      <c r="FD83" s="78"/>
      <c r="FE83" s="78"/>
      <c r="FF83" s="78"/>
      <c r="FG83" s="78"/>
      <c r="FH83" s="78"/>
      <c r="FI83" s="78"/>
      <c r="FJ83" s="78"/>
      <c r="FK83" s="78"/>
    </row>
    <row r="84" spans="1:167" hidden="1" outlineLevel="1">
      <c r="A84" s="29" t="str">
        <f t="shared" si="16"/>
        <v>cd_imv_out_trz_prc_bens_imvcempresa</v>
      </c>
      <c r="B84" s="67" t="s">
        <v>26</v>
      </c>
      <c r="C84" s="68" t="s">
        <v>54</v>
      </c>
      <c r="D84" s="64" t="s">
        <v>40</v>
      </c>
      <c r="E84" s="66" t="s">
        <v>477</v>
      </c>
      <c r="F84" s="64" t="s">
        <v>184</v>
      </c>
      <c r="G84" s="64" t="e">
        <f>INDEX(Auxiliar!$B$16:$B$24,MATCH(Plano_V1!H84,Auxiliar!$C$16:$C$24,0),1)</f>
        <v>#N/A</v>
      </c>
      <c r="H84" s="64" t="e">
        <f>VLOOKUP(A84,'Aux - pivots1'!$A:$B,2,0)</f>
        <v>#N/A</v>
      </c>
      <c r="I84" s="84">
        <f>SUMIFS(Table1[Estimação (horas)],Table1[Tabela],Plano_V1!E84,Table1[Campo],Plano_V1!F84)</f>
        <v>0</v>
      </c>
      <c r="J84" s="84">
        <f t="shared" si="17"/>
        <v>0</v>
      </c>
      <c r="K84" s="89" t="s">
        <v>56</v>
      </c>
      <c r="L84" s="90">
        <f t="shared" si="14"/>
        <v>0</v>
      </c>
      <c r="M84" s="78"/>
      <c r="N84" s="78"/>
      <c r="O84" s="78"/>
      <c r="P84" s="78"/>
      <c r="Q84" s="78"/>
      <c r="R84" s="78"/>
      <c r="S84" s="78"/>
      <c r="T84" s="78"/>
      <c r="U84" s="78"/>
      <c r="V84" s="78"/>
      <c r="W84" s="78"/>
      <c r="X84" s="78"/>
      <c r="Y84" s="78"/>
      <c r="Z84" s="78"/>
      <c r="AA84" s="78"/>
      <c r="AB84" s="78"/>
      <c r="AC84" s="78"/>
      <c r="AD84" s="78"/>
      <c r="AE84" s="78"/>
      <c r="AF84" s="78"/>
      <c r="AG84" s="78"/>
      <c r="AH84" s="78"/>
      <c r="AI84" s="78"/>
      <c r="AJ84" s="78"/>
      <c r="AK84" s="78"/>
      <c r="AL84" s="78"/>
      <c r="AM84" s="78"/>
      <c r="AN84" s="78"/>
      <c r="AO84" s="78"/>
      <c r="AP84" s="78"/>
      <c r="AQ84" s="78"/>
      <c r="AR84" s="78"/>
      <c r="AS84" s="78"/>
      <c r="AT84" s="91"/>
      <c r="AU84" s="78"/>
      <c r="AV84" s="78"/>
      <c r="AW84" s="78"/>
      <c r="AX84" s="78"/>
      <c r="AY84" s="78"/>
      <c r="AZ84" s="78"/>
      <c r="BA84" s="78"/>
      <c r="BB84" s="78"/>
      <c r="BC84" s="78"/>
      <c r="BD84" s="78"/>
      <c r="BE84" s="78"/>
      <c r="BF84" s="78"/>
      <c r="BG84" s="78"/>
      <c r="BH84" s="78"/>
      <c r="BI84" s="78"/>
      <c r="BJ84" s="78"/>
      <c r="BK84" s="78"/>
      <c r="BL84" s="78"/>
      <c r="BM84" s="78"/>
      <c r="BN84" s="78"/>
      <c r="BO84" s="78"/>
      <c r="BP84" s="78"/>
      <c r="BQ84" s="78"/>
      <c r="BR84" s="78"/>
      <c r="BS84" s="78"/>
      <c r="BT84" s="78"/>
      <c r="BU84" s="78"/>
      <c r="BV84" s="78"/>
      <c r="BW84" s="78"/>
      <c r="BX84" s="78"/>
      <c r="BY84" s="78"/>
      <c r="BZ84" s="78"/>
      <c r="CA84" s="78"/>
      <c r="CB84" s="78"/>
      <c r="CC84" s="78"/>
      <c r="CD84" s="78"/>
      <c r="CE84" s="78"/>
      <c r="CF84" s="78"/>
      <c r="CG84" s="78"/>
      <c r="CH84" s="78"/>
      <c r="CI84" s="78"/>
      <c r="CJ84" s="78"/>
      <c r="CK84" s="78"/>
      <c r="CL84" s="78"/>
      <c r="CM84" s="78"/>
      <c r="CN84" s="78"/>
      <c r="CO84" s="78"/>
      <c r="CP84" s="78"/>
      <c r="CQ84" s="78"/>
      <c r="CR84" s="78"/>
      <c r="CS84" s="78"/>
      <c r="CT84" s="78"/>
      <c r="CU84" s="78"/>
      <c r="CV84" s="78"/>
      <c r="CW84" s="78"/>
      <c r="CX84" s="78"/>
      <c r="CY84" s="78"/>
      <c r="CZ84" s="78"/>
      <c r="DA84" s="78"/>
      <c r="DB84" s="78"/>
      <c r="DC84" s="78"/>
      <c r="DD84" s="78"/>
      <c r="DE84" s="78"/>
      <c r="DF84" s="78"/>
      <c r="DG84" s="78"/>
      <c r="DH84" s="78"/>
      <c r="DI84" s="78"/>
      <c r="DJ84" s="78"/>
      <c r="DK84" s="78"/>
      <c r="DL84" s="78"/>
      <c r="DM84" s="78"/>
      <c r="DN84" s="78"/>
      <c r="DO84" s="78"/>
      <c r="DP84" s="78"/>
      <c r="DQ84" s="78"/>
      <c r="DR84" s="78"/>
      <c r="DS84" s="78"/>
      <c r="DT84" s="78"/>
      <c r="DU84" s="78"/>
      <c r="DV84" s="78"/>
      <c r="DW84" s="78"/>
      <c r="DX84" s="78"/>
      <c r="DY84" s="78"/>
      <c r="DZ84" s="78"/>
      <c r="EA84" s="78"/>
      <c r="EB84" s="78"/>
      <c r="EC84" s="78"/>
      <c r="ED84" s="78"/>
      <c r="EE84" s="78"/>
      <c r="EF84" s="78"/>
      <c r="EG84" s="78"/>
      <c r="EH84" s="78"/>
      <c r="EI84" s="91"/>
      <c r="EJ84" s="91"/>
      <c r="EK84" s="91"/>
      <c r="EL84" s="91"/>
      <c r="EM84" s="91"/>
      <c r="EN84" s="91"/>
      <c r="EO84" s="91"/>
      <c r="EP84" s="78"/>
      <c r="EQ84" s="78"/>
      <c r="ER84" s="78"/>
      <c r="ES84" s="78"/>
      <c r="ET84" s="78"/>
      <c r="EU84" s="78"/>
      <c r="EV84" s="78"/>
      <c r="EW84" s="78"/>
      <c r="EX84" s="78"/>
      <c r="EY84" s="78"/>
      <c r="EZ84" s="78"/>
      <c r="FA84" s="78"/>
      <c r="FB84" s="78"/>
      <c r="FC84" s="78"/>
      <c r="FD84" s="78"/>
      <c r="FE84" s="78"/>
      <c r="FF84" s="78"/>
      <c r="FG84" s="78"/>
      <c r="FH84" s="78"/>
      <c r="FI84" s="78"/>
      <c r="FJ84" s="78"/>
      <c r="FK84" s="78"/>
    </row>
    <row r="85" spans="1:167" hidden="1" outlineLevel="1">
      <c r="A85" s="29" t="str">
        <f t="shared" si="16"/>
        <v>cd_imv_out_trz_prc_bens_imvckbalbem</v>
      </c>
      <c r="B85" s="67" t="s">
        <v>26</v>
      </c>
      <c r="C85" s="68" t="s">
        <v>54</v>
      </c>
      <c r="D85" s="64" t="s">
        <v>40</v>
      </c>
      <c r="E85" s="66" t="s">
        <v>477</v>
      </c>
      <c r="F85" s="64" t="s">
        <v>314</v>
      </c>
      <c r="G85" s="64" t="e">
        <f>INDEX(Auxiliar!$B$16:$B$24,MATCH(Plano_V1!H85,Auxiliar!$C$16:$C$24,0),1)</f>
        <v>#N/A</v>
      </c>
      <c r="H85" s="64" t="e">
        <f>VLOOKUP(A85,'Aux - pivots1'!$A:$B,2,0)</f>
        <v>#N/A</v>
      </c>
      <c r="I85" s="84">
        <f>SUMIFS(Table1[Estimação (horas)],Table1[Tabela],Plano_V1!E85,Table1[Campo],Plano_V1!F85)</f>
        <v>0</v>
      </c>
      <c r="J85" s="84">
        <f t="shared" si="17"/>
        <v>0</v>
      </c>
      <c r="K85" s="89" t="s">
        <v>56</v>
      </c>
      <c r="L85" s="90">
        <f t="shared" si="14"/>
        <v>0</v>
      </c>
      <c r="M85" s="78"/>
      <c r="N85" s="78"/>
      <c r="O85" s="78"/>
      <c r="P85" s="78"/>
      <c r="Q85" s="78"/>
      <c r="R85" s="78"/>
      <c r="S85" s="78"/>
      <c r="T85" s="78"/>
      <c r="U85" s="78"/>
      <c r="V85" s="78"/>
      <c r="W85" s="78"/>
      <c r="X85" s="78"/>
      <c r="Y85" s="78"/>
      <c r="Z85" s="78"/>
      <c r="AA85" s="78"/>
      <c r="AB85" s="78"/>
      <c r="AC85" s="78"/>
      <c r="AD85" s="78"/>
      <c r="AE85" s="78"/>
      <c r="AF85" s="78"/>
      <c r="AG85" s="78"/>
      <c r="AH85" s="78"/>
      <c r="AI85" s="78"/>
      <c r="AJ85" s="78"/>
      <c r="AK85" s="78"/>
      <c r="AL85" s="78"/>
      <c r="AM85" s="78"/>
      <c r="AN85" s="78"/>
      <c r="AO85" s="78"/>
      <c r="AP85" s="78"/>
      <c r="AQ85" s="78"/>
      <c r="AR85" s="78"/>
      <c r="AS85" s="78"/>
      <c r="AT85" s="91"/>
      <c r="AU85" s="78"/>
      <c r="AV85" s="78"/>
      <c r="AW85" s="78"/>
      <c r="AX85" s="78"/>
      <c r="AY85" s="78"/>
      <c r="AZ85" s="78"/>
      <c r="BA85" s="78"/>
      <c r="BB85" s="78"/>
      <c r="BC85" s="78"/>
      <c r="BD85" s="78"/>
      <c r="BE85" s="78"/>
      <c r="BF85" s="78"/>
      <c r="BG85" s="78"/>
      <c r="BH85" s="78"/>
      <c r="BI85" s="78"/>
      <c r="BJ85" s="78"/>
      <c r="BK85" s="78"/>
      <c r="BL85" s="78"/>
      <c r="BM85" s="78"/>
      <c r="BN85" s="78"/>
      <c r="BO85" s="78"/>
      <c r="BP85" s="78"/>
      <c r="BQ85" s="78"/>
      <c r="BR85" s="78"/>
      <c r="BS85" s="78"/>
      <c r="BT85" s="78"/>
      <c r="BU85" s="78"/>
      <c r="BV85" s="78"/>
      <c r="BW85" s="78"/>
      <c r="BX85" s="78"/>
      <c r="BY85" s="78"/>
      <c r="BZ85" s="78"/>
      <c r="CA85" s="78"/>
      <c r="CB85" s="78"/>
      <c r="CC85" s="78"/>
      <c r="CD85" s="78"/>
      <c r="CE85" s="78"/>
      <c r="CF85" s="78"/>
      <c r="CG85" s="78"/>
      <c r="CH85" s="78"/>
      <c r="CI85" s="78"/>
      <c r="CJ85" s="78"/>
      <c r="CK85" s="78"/>
      <c r="CL85" s="78"/>
      <c r="CM85" s="78"/>
      <c r="CN85" s="78"/>
      <c r="CO85" s="78"/>
      <c r="CP85" s="78"/>
      <c r="CQ85" s="78"/>
      <c r="CR85" s="78"/>
      <c r="CS85" s="78"/>
      <c r="CT85" s="78"/>
      <c r="CU85" s="78"/>
      <c r="CV85" s="78"/>
      <c r="CW85" s="78"/>
      <c r="CX85" s="78"/>
      <c r="CY85" s="78"/>
      <c r="CZ85" s="78"/>
      <c r="DA85" s="78"/>
      <c r="DB85" s="78"/>
      <c r="DC85" s="78"/>
      <c r="DD85" s="78"/>
      <c r="DE85" s="78"/>
      <c r="DF85" s="78"/>
      <c r="DG85" s="78"/>
      <c r="DH85" s="78"/>
      <c r="DI85" s="78"/>
      <c r="DJ85" s="78"/>
      <c r="DK85" s="78"/>
      <c r="DL85" s="78"/>
      <c r="DM85" s="78"/>
      <c r="DN85" s="78"/>
      <c r="DO85" s="78"/>
      <c r="DP85" s="78"/>
      <c r="DQ85" s="78"/>
      <c r="DR85" s="78"/>
      <c r="DS85" s="78"/>
      <c r="DT85" s="78"/>
      <c r="DU85" s="78"/>
      <c r="DV85" s="78"/>
      <c r="DW85" s="78"/>
      <c r="DX85" s="78"/>
      <c r="DY85" s="78"/>
      <c r="DZ85" s="78"/>
      <c r="EA85" s="78"/>
      <c r="EB85" s="78"/>
      <c r="EC85" s="78"/>
      <c r="ED85" s="78"/>
      <c r="EE85" s="78"/>
      <c r="EF85" s="78"/>
      <c r="EG85" s="78"/>
      <c r="EH85" s="78"/>
      <c r="EI85" s="91"/>
      <c r="EJ85" s="91"/>
      <c r="EK85" s="91"/>
      <c r="EL85" s="91"/>
      <c r="EM85" s="91"/>
      <c r="EN85" s="91"/>
      <c r="EO85" s="91"/>
      <c r="EP85" s="78"/>
      <c r="EQ85" s="78"/>
      <c r="ER85" s="78"/>
      <c r="ES85" s="78"/>
      <c r="ET85" s="78"/>
      <c r="EU85" s="78"/>
      <c r="EV85" s="78"/>
      <c r="EW85" s="78"/>
      <c r="EX85" s="78"/>
      <c r="EY85" s="78"/>
      <c r="EZ85" s="78"/>
      <c r="FA85" s="78"/>
      <c r="FB85" s="78"/>
      <c r="FC85" s="78"/>
      <c r="FD85" s="78"/>
      <c r="FE85" s="78"/>
      <c r="FF85" s="78"/>
      <c r="FG85" s="78"/>
      <c r="FH85" s="78"/>
      <c r="FI85" s="78"/>
      <c r="FJ85" s="78"/>
      <c r="FK85" s="78"/>
    </row>
    <row r="86" spans="1:167" hidden="1" outlineLevel="1">
      <c r="A86" s="29" t="str">
        <f t="shared" si="16"/>
        <v>cd_imv_out_trz_prc_bens_imvckbalcao</v>
      </c>
      <c r="B86" s="67" t="s">
        <v>26</v>
      </c>
      <c r="C86" s="68" t="s">
        <v>54</v>
      </c>
      <c r="D86" s="64" t="s">
        <v>40</v>
      </c>
      <c r="E86" s="66" t="s">
        <v>477</v>
      </c>
      <c r="F86" s="64" t="s">
        <v>457</v>
      </c>
      <c r="G86" s="64" t="e">
        <f>INDEX(Auxiliar!$B$16:$B$24,MATCH(Plano_V1!H86,Auxiliar!$C$16:$C$24,0),1)</f>
        <v>#N/A</v>
      </c>
      <c r="H86" s="64" t="e">
        <f>VLOOKUP(A86,'Aux - pivots1'!$A:$B,2,0)</f>
        <v>#N/A</v>
      </c>
      <c r="I86" s="84">
        <f>SUMIFS(Table1[Estimação (horas)],Table1[Tabela],Plano_V1!E86,Table1[Campo],Plano_V1!F86)</f>
        <v>0</v>
      </c>
      <c r="J86" s="84">
        <f t="shared" si="17"/>
        <v>0</v>
      </c>
      <c r="K86" s="89" t="s">
        <v>56</v>
      </c>
      <c r="L86" s="90">
        <f t="shared" si="14"/>
        <v>0</v>
      </c>
      <c r="M86" s="78"/>
      <c r="N86" s="78"/>
      <c r="O86" s="78"/>
      <c r="P86" s="78"/>
      <c r="Q86" s="78"/>
      <c r="R86" s="78"/>
      <c r="S86" s="78"/>
      <c r="T86" s="78"/>
      <c r="U86" s="78"/>
      <c r="V86" s="78"/>
      <c r="W86" s="78"/>
      <c r="X86" s="78"/>
      <c r="Y86" s="78"/>
      <c r="Z86" s="78"/>
      <c r="AA86" s="78"/>
      <c r="AB86" s="78"/>
      <c r="AC86" s="78"/>
      <c r="AD86" s="78"/>
      <c r="AE86" s="78"/>
      <c r="AF86" s="78"/>
      <c r="AG86" s="78"/>
      <c r="AH86" s="78"/>
      <c r="AI86" s="78"/>
      <c r="AJ86" s="78"/>
      <c r="AK86" s="78"/>
      <c r="AL86" s="78"/>
      <c r="AM86" s="78"/>
      <c r="AN86" s="78"/>
      <c r="AO86" s="78"/>
      <c r="AP86" s="78"/>
      <c r="AQ86" s="78"/>
      <c r="AR86" s="78"/>
      <c r="AS86" s="78"/>
      <c r="AT86" s="91"/>
      <c r="AU86" s="78"/>
      <c r="AV86" s="78"/>
      <c r="AW86" s="78"/>
      <c r="AX86" s="78"/>
      <c r="AY86" s="78"/>
      <c r="AZ86" s="78"/>
      <c r="BA86" s="78"/>
      <c r="BB86" s="78"/>
      <c r="BC86" s="78"/>
      <c r="BD86" s="78"/>
      <c r="BE86" s="78"/>
      <c r="BF86" s="78"/>
      <c r="BG86" s="78"/>
      <c r="BH86" s="78"/>
      <c r="BI86" s="78"/>
      <c r="BJ86" s="78"/>
      <c r="BK86" s="78"/>
      <c r="BL86" s="78"/>
      <c r="BM86" s="78"/>
      <c r="BN86" s="78"/>
      <c r="BO86" s="78"/>
      <c r="BP86" s="78"/>
      <c r="BQ86" s="78"/>
      <c r="BR86" s="78"/>
      <c r="BS86" s="78"/>
      <c r="BT86" s="78"/>
      <c r="BU86" s="78"/>
      <c r="BV86" s="78"/>
      <c r="BW86" s="78"/>
      <c r="BX86" s="78"/>
      <c r="BY86" s="78"/>
      <c r="BZ86" s="78"/>
      <c r="CA86" s="78"/>
      <c r="CB86" s="78"/>
      <c r="CC86" s="78"/>
      <c r="CD86" s="78"/>
      <c r="CE86" s="78"/>
      <c r="CF86" s="78"/>
      <c r="CG86" s="78"/>
      <c r="CH86" s="78"/>
      <c r="CI86" s="78"/>
      <c r="CJ86" s="78"/>
      <c r="CK86" s="78"/>
      <c r="CL86" s="78"/>
      <c r="CM86" s="78"/>
      <c r="CN86" s="78"/>
      <c r="CO86" s="78"/>
      <c r="CP86" s="78"/>
      <c r="CQ86" s="78"/>
      <c r="CR86" s="78"/>
      <c r="CS86" s="78"/>
      <c r="CT86" s="78"/>
      <c r="CU86" s="78"/>
      <c r="CV86" s="78"/>
      <c r="CW86" s="78"/>
      <c r="CX86" s="78"/>
      <c r="CY86" s="78"/>
      <c r="CZ86" s="78"/>
      <c r="DA86" s="78"/>
      <c r="DB86" s="78"/>
      <c r="DC86" s="78"/>
      <c r="DD86" s="78"/>
      <c r="DE86" s="78"/>
      <c r="DF86" s="78"/>
      <c r="DG86" s="78"/>
      <c r="DH86" s="78"/>
      <c r="DI86" s="78"/>
      <c r="DJ86" s="78"/>
      <c r="DK86" s="78"/>
      <c r="DL86" s="78"/>
      <c r="DM86" s="78"/>
      <c r="DN86" s="78"/>
      <c r="DO86" s="78"/>
      <c r="DP86" s="78"/>
      <c r="DQ86" s="78"/>
      <c r="DR86" s="78"/>
      <c r="DS86" s="78"/>
      <c r="DT86" s="78"/>
      <c r="DU86" s="78"/>
      <c r="DV86" s="78"/>
      <c r="DW86" s="78"/>
      <c r="DX86" s="78"/>
      <c r="DY86" s="78"/>
      <c r="DZ86" s="78"/>
      <c r="EA86" s="78"/>
      <c r="EB86" s="78"/>
      <c r="EC86" s="78"/>
      <c r="ED86" s="78"/>
      <c r="EE86" s="78"/>
      <c r="EF86" s="78"/>
      <c r="EG86" s="78"/>
      <c r="EH86" s="78"/>
      <c r="EI86" s="91"/>
      <c r="EJ86" s="91"/>
      <c r="EK86" s="91"/>
      <c r="EL86" s="91"/>
      <c r="EM86" s="91"/>
      <c r="EN86" s="91"/>
      <c r="EO86" s="91"/>
      <c r="EP86" s="78"/>
      <c r="EQ86" s="78"/>
      <c r="ER86" s="78"/>
      <c r="ES86" s="78"/>
      <c r="ET86" s="78"/>
      <c r="EU86" s="78"/>
      <c r="EV86" s="78"/>
      <c r="EW86" s="78"/>
      <c r="EX86" s="78"/>
      <c r="EY86" s="78"/>
      <c r="EZ86" s="78"/>
      <c r="FA86" s="78"/>
      <c r="FB86" s="78"/>
      <c r="FC86" s="78"/>
      <c r="FD86" s="78"/>
      <c r="FE86" s="78"/>
      <c r="FF86" s="78"/>
      <c r="FG86" s="78"/>
      <c r="FH86" s="78"/>
      <c r="FI86" s="78"/>
      <c r="FJ86" s="78"/>
      <c r="FK86" s="78"/>
    </row>
    <row r="87" spans="1:167" hidden="1" outlineLevel="1">
      <c r="A87" s="29" t="str">
        <f t="shared" si="16"/>
        <v>cd_imv_out_trz_prc_bens_imvckctabem</v>
      </c>
      <c r="B87" s="67" t="s">
        <v>26</v>
      </c>
      <c r="C87" s="68" t="s">
        <v>54</v>
      </c>
      <c r="D87" s="64" t="s">
        <v>40</v>
      </c>
      <c r="E87" s="66" t="s">
        <v>477</v>
      </c>
      <c r="F87" s="64" t="s">
        <v>315</v>
      </c>
      <c r="G87" s="64" t="e">
        <f>INDEX(Auxiliar!$B$16:$B$24,MATCH(Plano_V1!H87,Auxiliar!$C$16:$C$24,0),1)</f>
        <v>#N/A</v>
      </c>
      <c r="H87" s="64" t="e">
        <f>VLOOKUP(A87,'Aux - pivots1'!$A:$B,2,0)</f>
        <v>#N/A</v>
      </c>
      <c r="I87" s="84">
        <f>SUMIFS(Table1[Estimação (horas)],Table1[Tabela],Plano_V1!E87,Table1[Campo],Plano_V1!F87)</f>
        <v>0</v>
      </c>
      <c r="J87" s="84">
        <f t="shared" si="17"/>
        <v>0</v>
      </c>
      <c r="K87" s="89" t="s">
        <v>56</v>
      </c>
      <c r="L87" s="90">
        <f t="shared" si="14"/>
        <v>0</v>
      </c>
      <c r="M87" s="78"/>
      <c r="N87" s="78"/>
      <c r="O87" s="78"/>
      <c r="P87" s="78"/>
      <c r="Q87" s="78"/>
      <c r="R87" s="78"/>
      <c r="S87" s="78"/>
      <c r="T87" s="78"/>
      <c r="U87" s="78"/>
      <c r="V87" s="78"/>
      <c r="W87" s="78"/>
      <c r="X87" s="78"/>
      <c r="Y87" s="78"/>
      <c r="Z87" s="78"/>
      <c r="AA87" s="78"/>
      <c r="AB87" s="78"/>
      <c r="AC87" s="78"/>
      <c r="AD87" s="78"/>
      <c r="AE87" s="78"/>
      <c r="AF87" s="78"/>
      <c r="AG87" s="78"/>
      <c r="AH87" s="78"/>
      <c r="AI87" s="78"/>
      <c r="AJ87" s="78"/>
      <c r="AK87" s="78"/>
      <c r="AL87" s="78"/>
      <c r="AM87" s="78"/>
      <c r="AN87" s="78"/>
      <c r="AO87" s="78"/>
      <c r="AP87" s="78"/>
      <c r="AQ87" s="78"/>
      <c r="AR87" s="78"/>
      <c r="AS87" s="78"/>
      <c r="AT87" s="91"/>
      <c r="AU87" s="78"/>
      <c r="AV87" s="78"/>
      <c r="AW87" s="78"/>
      <c r="AX87" s="78"/>
      <c r="AY87" s="78"/>
      <c r="AZ87" s="78"/>
      <c r="BA87" s="78"/>
      <c r="BB87" s="78"/>
      <c r="BC87" s="78"/>
      <c r="BD87" s="78"/>
      <c r="BE87" s="78"/>
      <c r="BF87" s="78"/>
      <c r="BG87" s="78"/>
      <c r="BH87" s="78"/>
      <c r="BI87" s="78"/>
      <c r="BJ87" s="78"/>
      <c r="BK87" s="78"/>
      <c r="BL87" s="78"/>
      <c r="BM87" s="78"/>
      <c r="BN87" s="78"/>
      <c r="BO87" s="78"/>
      <c r="BP87" s="78"/>
      <c r="BQ87" s="78"/>
      <c r="BR87" s="78"/>
      <c r="BS87" s="78"/>
      <c r="BT87" s="78"/>
      <c r="BU87" s="78"/>
      <c r="BV87" s="78"/>
      <c r="BW87" s="78"/>
      <c r="BX87" s="78"/>
      <c r="BY87" s="78"/>
      <c r="BZ87" s="78"/>
      <c r="CA87" s="78"/>
      <c r="CB87" s="78"/>
      <c r="CC87" s="78"/>
      <c r="CD87" s="78"/>
      <c r="CE87" s="78"/>
      <c r="CF87" s="78"/>
      <c r="CG87" s="78"/>
      <c r="CH87" s="78"/>
      <c r="CI87" s="78"/>
      <c r="CJ87" s="78"/>
      <c r="CK87" s="78"/>
      <c r="CL87" s="78"/>
      <c r="CM87" s="78"/>
      <c r="CN87" s="78"/>
      <c r="CO87" s="78"/>
      <c r="CP87" s="78"/>
      <c r="CQ87" s="78"/>
      <c r="CR87" s="78"/>
      <c r="CS87" s="78"/>
      <c r="CT87" s="78"/>
      <c r="CU87" s="78"/>
      <c r="CV87" s="78"/>
      <c r="CW87" s="78"/>
      <c r="CX87" s="78"/>
      <c r="CY87" s="78"/>
      <c r="CZ87" s="78"/>
      <c r="DA87" s="78"/>
      <c r="DB87" s="78"/>
      <c r="DC87" s="78"/>
      <c r="DD87" s="78"/>
      <c r="DE87" s="78"/>
      <c r="DF87" s="78"/>
      <c r="DG87" s="78"/>
      <c r="DH87" s="78"/>
      <c r="DI87" s="78"/>
      <c r="DJ87" s="78"/>
      <c r="DK87" s="78"/>
      <c r="DL87" s="78"/>
      <c r="DM87" s="78"/>
      <c r="DN87" s="78"/>
      <c r="DO87" s="78"/>
      <c r="DP87" s="78"/>
      <c r="DQ87" s="78"/>
      <c r="DR87" s="78"/>
      <c r="DS87" s="78"/>
      <c r="DT87" s="78"/>
      <c r="DU87" s="78"/>
      <c r="DV87" s="78"/>
      <c r="DW87" s="78"/>
      <c r="DX87" s="78"/>
      <c r="DY87" s="78"/>
      <c r="DZ87" s="78"/>
      <c r="EA87" s="78"/>
      <c r="EB87" s="78"/>
      <c r="EC87" s="78"/>
      <c r="ED87" s="78"/>
      <c r="EE87" s="78"/>
      <c r="EF87" s="78"/>
      <c r="EG87" s="78"/>
      <c r="EH87" s="78"/>
      <c r="EI87" s="91"/>
      <c r="EJ87" s="91"/>
      <c r="EK87" s="91"/>
      <c r="EL87" s="91"/>
      <c r="EM87" s="91"/>
      <c r="EN87" s="91"/>
      <c r="EO87" s="91"/>
      <c r="EP87" s="78"/>
      <c r="EQ87" s="78"/>
      <c r="ER87" s="78"/>
      <c r="ES87" s="78"/>
      <c r="ET87" s="78"/>
      <c r="EU87" s="78"/>
      <c r="EV87" s="78"/>
      <c r="EW87" s="78"/>
      <c r="EX87" s="78"/>
      <c r="EY87" s="78"/>
      <c r="EZ87" s="78"/>
      <c r="FA87" s="78"/>
      <c r="FB87" s="78"/>
      <c r="FC87" s="78"/>
      <c r="FD87" s="78"/>
      <c r="FE87" s="78"/>
      <c r="FF87" s="78"/>
      <c r="FG87" s="78"/>
      <c r="FH87" s="78"/>
      <c r="FI87" s="78"/>
      <c r="FJ87" s="78"/>
      <c r="FK87" s="78"/>
    </row>
    <row r="88" spans="1:167" hidden="1" outlineLevel="1">
      <c r="A88" s="29" t="str">
        <f t="shared" si="16"/>
        <v>cd_imv_out_trz_prc_bens_imvcknumcta</v>
      </c>
      <c r="B88" s="67" t="s">
        <v>26</v>
      </c>
      <c r="C88" s="68" t="s">
        <v>54</v>
      </c>
      <c r="D88" s="64" t="s">
        <v>40</v>
      </c>
      <c r="E88" s="66" t="s">
        <v>477</v>
      </c>
      <c r="F88" s="64" t="s">
        <v>458</v>
      </c>
      <c r="G88" s="64" t="e">
        <f>INDEX(Auxiliar!$B$16:$B$24,MATCH(Plano_V1!H88,Auxiliar!$C$16:$C$24,0),1)</f>
        <v>#N/A</v>
      </c>
      <c r="H88" s="64" t="e">
        <f>VLOOKUP(A88,'Aux - pivots1'!$A:$B,2,0)</f>
        <v>#N/A</v>
      </c>
      <c r="I88" s="84">
        <f>SUMIFS(Table1[Estimação (horas)],Table1[Tabela],Plano_V1!E88,Table1[Campo],Plano_V1!F88)</f>
        <v>0</v>
      </c>
      <c r="J88" s="84">
        <f t="shared" si="17"/>
        <v>0</v>
      </c>
      <c r="K88" s="89" t="s">
        <v>56</v>
      </c>
      <c r="L88" s="90">
        <f t="shared" si="14"/>
        <v>0</v>
      </c>
      <c r="M88" s="78"/>
      <c r="N88" s="78"/>
      <c r="O88" s="78"/>
      <c r="P88" s="78"/>
      <c r="Q88" s="78"/>
      <c r="R88" s="78"/>
      <c r="S88" s="78"/>
      <c r="T88" s="78"/>
      <c r="U88" s="78"/>
      <c r="V88" s="78"/>
      <c r="W88" s="78"/>
      <c r="X88" s="78"/>
      <c r="Y88" s="78"/>
      <c r="Z88" s="78"/>
      <c r="AA88" s="78"/>
      <c r="AB88" s="78"/>
      <c r="AC88" s="78"/>
      <c r="AD88" s="78"/>
      <c r="AE88" s="78"/>
      <c r="AF88" s="78"/>
      <c r="AG88" s="78"/>
      <c r="AH88" s="78"/>
      <c r="AI88" s="78"/>
      <c r="AJ88" s="78"/>
      <c r="AK88" s="78"/>
      <c r="AL88" s="78"/>
      <c r="AM88" s="78"/>
      <c r="AN88" s="78"/>
      <c r="AO88" s="78"/>
      <c r="AP88" s="78"/>
      <c r="AQ88" s="78"/>
      <c r="AR88" s="78"/>
      <c r="AS88" s="78"/>
      <c r="AT88" s="91"/>
      <c r="AU88" s="78"/>
      <c r="AV88" s="78"/>
      <c r="AW88" s="78"/>
      <c r="AX88" s="78"/>
      <c r="AY88" s="78"/>
      <c r="AZ88" s="78"/>
      <c r="BA88" s="78"/>
      <c r="BB88" s="78"/>
      <c r="BC88" s="78"/>
      <c r="BD88" s="78"/>
      <c r="BE88" s="78"/>
      <c r="BF88" s="78"/>
      <c r="BG88" s="78"/>
      <c r="BH88" s="78"/>
      <c r="BI88" s="78"/>
      <c r="BJ88" s="78"/>
      <c r="BK88" s="78"/>
      <c r="BL88" s="78"/>
      <c r="BM88" s="78"/>
      <c r="BN88" s="78"/>
      <c r="BO88" s="78"/>
      <c r="BP88" s="78"/>
      <c r="BQ88" s="78"/>
      <c r="BR88" s="78"/>
      <c r="BS88" s="78"/>
      <c r="BT88" s="78"/>
      <c r="BU88" s="78"/>
      <c r="BV88" s="78"/>
      <c r="BW88" s="78"/>
      <c r="BX88" s="78"/>
      <c r="BY88" s="78"/>
      <c r="BZ88" s="78"/>
      <c r="CA88" s="78"/>
      <c r="CB88" s="78"/>
      <c r="CC88" s="78"/>
      <c r="CD88" s="78"/>
      <c r="CE88" s="78"/>
      <c r="CF88" s="78"/>
      <c r="CG88" s="78"/>
      <c r="CH88" s="78"/>
      <c r="CI88" s="78"/>
      <c r="CJ88" s="78"/>
      <c r="CK88" s="78"/>
      <c r="CL88" s="78"/>
      <c r="CM88" s="78"/>
      <c r="CN88" s="78"/>
      <c r="CO88" s="78"/>
      <c r="CP88" s="78"/>
      <c r="CQ88" s="78"/>
      <c r="CR88" s="78"/>
      <c r="CS88" s="78"/>
      <c r="CT88" s="78"/>
      <c r="CU88" s="78"/>
      <c r="CV88" s="78"/>
      <c r="CW88" s="78"/>
      <c r="CX88" s="78"/>
      <c r="CY88" s="78"/>
      <c r="CZ88" s="78"/>
      <c r="DA88" s="78"/>
      <c r="DB88" s="78"/>
      <c r="DC88" s="78"/>
      <c r="DD88" s="78"/>
      <c r="DE88" s="78"/>
      <c r="DF88" s="78"/>
      <c r="DG88" s="78"/>
      <c r="DH88" s="78"/>
      <c r="DI88" s="78"/>
      <c r="DJ88" s="78"/>
      <c r="DK88" s="78"/>
      <c r="DL88" s="78"/>
      <c r="DM88" s="78"/>
      <c r="DN88" s="78"/>
      <c r="DO88" s="78"/>
      <c r="DP88" s="78"/>
      <c r="DQ88" s="78"/>
      <c r="DR88" s="78"/>
      <c r="DS88" s="78"/>
      <c r="DT88" s="78"/>
      <c r="DU88" s="78"/>
      <c r="DV88" s="78"/>
      <c r="DW88" s="78"/>
      <c r="DX88" s="78"/>
      <c r="DY88" s="78"/>
      <c r="DZ88" s="78"/>
      <c r="EA88" s="78"/>
      <c r="EB88" s="78"/>
      <c r="EC88" s="78"/>
      <c r="ED88" s="78"/>
      <c r="EE88" s="78"/>
      <c r="EF88" s="78"/>
      <c r="EG88" s="78"/>
      <c r="EH88" s="78"/>
      <c r="EI88" s="91"/>
      <c r="EJ88" s="91"/>
      <c r="EK88" s="91"/>
      <c r="EL88" s="91"/>
      <c r="EM88" s="91"/>
      <c r="EN88" s="91"/>
      <c r="EO88" s="91"/>
      <c r="EP88" s="78"/>
      <c r="EQ88" s="78"/>
      <c r="ER88" s="78"/>
      <c r="ES88" s="78"/>
      <c r="ET88" s="78"/>
      <c r="EU88" s="78"/>
      <c r="EV88" s="78"/>
      <c r="EW88" s="78"/>
      <c r="EX88" s="78"/>
      <c r="EY88" s="78"/>
      <c r="EZ88" s="78"/>
      <c r="FA88" s="78"/>
      <c r="FB88" s="78"/>
      <c r="FC88" s="78"/>
      <c r="FD88" s="78"/>
      <c r="FE88" s="78"/>
      <c r="FF88" s="78"/>
      <c r="FG88" s="78"/>
      <c r="FH88" s="78"/>
      <c r="FI88" s="78"/>
      <c r="FJ88" s="78"/>
      <c r="FK88" s="78"/>
    </row>
    <row r="89" spans="1:167" hidden="1" outlineLevel="1">
      <c r="A89" s="29" t="str">
        <f t="shared" si="16"/>
        <v>cd_imv_out_trz_prc_bens_imvckrefbem</v>
      </c>
      <c r="B89" s="67" t="s">
        <v>26</v>
      </c>
      <c r="C89" s="68" t="s">
        <v>54</v>
      </c>
      <c r="D89" s="64" t="s">
        <v>40</v>
      </c>
      <c r="E89" s="66" t="s">
        <v>477</v>
      </c>
      <c r="F89" s="64" t="s">
        <v>316</v>
      </c>
      <c r="G89" s="64" t="e">
        <f>INDEX(Auxiliar!$B$16:$B$24,MATCH(Plano_V1!H89,Auxiliar!$C$16:$C$24,0),1)</f>
        <v>#N/A</v>
      </c>
      <c r="H89" s="64" t="e">
        <f>VLOOKUP(A89,'Aux - pivots1'!$A:$B,2,0)</f>
        <v>#N/A</v>
      </c>
      <c r="I89" s="84">
        <f>SUMIFS(Table1[Estimação (horas)],Table1[Tabela],Plano_V1!E89,Table1[Campo],Plano_V1!F89)</f>
        <v>0</v>
      </c>
      <c r="J89" s="84">
        <f t="shared" si="17"/>
        <v>0</v>
      </c>
      <c r="K89" s="89" t="s">
        <v>56</v>
      </c>
      <c r="L89" s="90">
        <f t="shared" si="14"/>
        <v>0</v>
      </c>
      <c r="M89" s="78"/>
      <c r="N89" s="78"/>
      <c r="O89" s="78"/>
      <c r="P89" s="78"/>
      <c r="Q89" s="78"/>
      <c r="R89" s="78"/>
      <c r="S89" s="78"/>
      <c r="T89" s="78"/>
      <c r="U89" s="78"/>
      <c r="V89" s="78"/>
      <c r="W89" s="78"/>
      <c r="X89" s="78"/>
      <c r="Y89" s="78"/>
      <c r="Z89" s="78"/>
      <c r="AA89" s="78"/>
      <c r="AB89" s="78"/>
      <c r="AC89" s="78"/>
      <c r="AD89" s="78"/>
      <c r="AE89" s="78"/>
      <c r="AF89" s="78"/>
      <c r="AG89" s="78"/>
      <c r="AH89" s="78"/>
      <c r="AI89" s="78"/>
      <c r="AJ89" s="78"/>
      <c r="AK89" s="78"/>
      <c r="AL89" s="78"/>
      <c r="AM89" s="78"/>
      <c r="AN89" s="78"/>
      <c r="AO89" s="78"/>
      <c r="AP89" s="78"/>
      <c r="AQ89" s="78"/>
      <c r="AR89" s="78"/>
      <c r="AS89" s="78"/>
      <c r="AT89" s="91"/>
      <c r="AU89" s="78"/>
      <c r="AV89" s="78"/>
      <c r="AW89" s="78"/>
      <c r="AX89" s="78"/>
      <c r="AY89" s="78"/>
      <c r="AZ89" s="78"/>
      <c r="BA89" s="78"/>
      <c r="BB89" s="78"/>
      <c r="BC89" s="78"/>
      <c r="BD89" s="78"/>
      <c r="BE89" s="78"/>
      <c r="BF89" s="78"/>
      <c r="BG89" s="78"/>
      <c r="BH89" s="78"/>
      <c r="BI89" s="78"/>
      <c r="BJ89" s="78"/>
      <c r="BK89" s="78"/>
      <c r="BL89" s="78"/>
      <c r="BM89" s="78"/>
      <c r="BN89" s="78"/>
      <c r="BO89" s="78"/>
      <c r="BP89" s="78"/>
      <c r="BQ89" s="78"/>
      <c r="BR89" s="78"/>
      <c r="BS89" s="78"/>
      <c r="BT89" s="78"/>
      <c r="BU89" s="78"/>
      <c r="BV89" s="78"/>
      <c r="BW89" s="78"/>
      <c r="BX89" s="78"/>
      <c r="BY89" s="78"/>
      <c r="BZ89" s="78"/>
      <c r="CA89" s="78"/>
      <c r="CB89" s="78"/>
      <c r="CC89" s="78"/>
      <c r="CD89" s="78"/>
      <c r="CE89" s="78"/>
      <c r="CF89" s="78"/>
      <c r="CG89" s="78"/>
      <c r="CH89" s="78"/>
      <c r="CI89" s="78"/>
      <c r="CJ89" s="78"/>
      <c r="CK89" s="78"/>
      <c r="CL89" s="78"/>
      <c r="CM89" s="78"/>
      <c r="CN89" s="78"/>
      <c r="CO89" s="78"/>
      <c r="CP89" s="78"/>
      <c r="CQ89" s="78"/>
      <c r="CR89" s="78"/>
      <c r="CS89" s="78"/>
      <c r="CT89" s="78"/>
      <c r="CU89" s="78"/>
      <c r="CV89" s="78"/>
      <c r="CW89" s="78"/>
      <c r="CX89" s="78"/>
      <c r="CY89" s="78"/>
      <c r="CZ89" s="78"/>
      <c r="DA89" s="78"/>
      <c r="DB89" s="78"/>
      <c r="DC89" s="78"/>
      <c r="DD89" s="78"/>
      <c r="DE89" s="78"/>
      <c r="DF89" s="78"/>
      <c r="DG89" s="78"/>
      <c r="DH89" s="78"/>
      <c r="DI89" s="78"/>
      <c r="DJ89" s="78"/>
      <c r="DK89" s="78"/>
      <c r="DL89" s="78"/>
      <c r="DM89" s="78"/>
      <c r="DN89" s="78"/>
      <c r="DO89" s="78"/>
      <c r="DP89" s="78"/>
      <c r="DQ89" s="78"/>
      <c r="DR89" s="78"/>
      <c r="DS89" s="78"/>
      <c r="DT89" s="78"/>
      <c r="DU89" s="78"/>
      <c r="DV89" s="78"/>
      <c r="DW89" s="78"/>
      <c r="DX89" s="78"/>
      <c r="DY89" s="78"/>
      <c r="DZ89" s="78"/>
      <c r="EA89" s="78"/>
      <c r="EB89" s="78"/>
      <c r="EC89" s="78"/>
      <c r="ED89" s="78"/>
      <c r="EE89" s="78"/>
      <c r="EF89" s="78"/>
      <c r="EG89" s="78"/>
      <c r="EH89" s="78"/>
      <c r="EI89" s="91"/>
      <c r="EJ89" s="91"/>
      <c r="EK89" s="91"/>
      <c r="EL89" s="91"/>
      <c r="EM89" s="91"/>
      <c r="EN89" s="91"/>
      <c r="EO89" s="91"/>
      <c r="EP89" s="78"/>
      <c r="EQ89" s="78"/>
      <c r="ER89" s="78"/>
      <c r="ES89" s="78"/>
      <c r="ET89" s="78"/>
      <c r="EU89" s="78"/>
      <c r="EV89" s="78"/>
      <c r="EW89" s="78"/>
      <c r="EX89" s="78"/>
      <c r="EY89" s="78"/>
      <c r="EZ89" s="78"/>
      <c r="FA89" s="78"/>
      <c r="FB89" s="78"/>
      <c r="FC89" s="78"/>
      <c r="FD89" s="78"/>
      <c r="FE89" s="78"/>
      <c r="FF89" s="78"/>
      <c r="FG89" s="78"/>
      <c r="FH89" s="78"/>
      <c r="FI89" s="78"/>
      <c r="FJ89" s="78"/>
      <c r="FK89" s="78"/>
    </row>
    <row r="90" spans="1:167" hidden="1" outlineLevel="1">
      <c r="A90" s="29" t="str">
        <f t="shared" si="16"/>
        <v>cd_imv_out_trz_prc_bens_imvcomp_id_gar</v>
      </c>
      <c r="B90" s="67" t="s">
        <v>26</v>
      </c>
      <c r="C90" s="68" t="s">
        <v>54</v>
      </c>
      <c r="D90" s="64" t="s">
        <v>40</v>
      </c>
      <c r="E90" s="66" t="s">
        <v>477</v>
      </c>
      <c r="F90" s="64" t="s">
        <v>465</v>
      </c>
      <c r="G90" s="64" t="e">
        <f>INDEX(Auxiliar!$B$16:$B$24,MATCH(Plano_V1!H90,Auxiliar!$C$16:$C$24,0),1)</f>
        <v>#N/A</v>
      </c>
      <c r="H90" s="64" t="e">
        <f>VLOOKUP(A90,'Aux - pivots1'!$A:$B,2,0)</f>
        <v>#N/A</v>
      </c>
      <c r="I90" s="84">
        <f>SUMIFS(Table1[Estimação (horas)],Table1[Tabela],Plano_V1!E90,Table1[Campo],Plano_V1!F90)</f>
        <v>0</v>
      </c>
      <c r="J90" s="84">
        <f t="shared" si="17"/>
        <v>0</v>
      </c>
      <c r="K90" s="89" t="s">
        <v>56</v>
      </c>
      <c r="L90" s="90">
        <f t="shared" ref="L90:L153" si="18">J90-SUM(M90:FK90)</f>
        <v>0</v>
      </c>
      <c r="M90" s="78"/>
      <c r="N90" s="78"/>
      <c r="O90" s="78"/>
      <c r="P90" s="78"/>
      <c r="Q90" s="78"/>
      <c r="R90" s="78"/>
      <c r="S90" s="78"/>
      <c r="T90" s="78"/>
      <c r="U90" s="78"/>
      <c r="V90" s="78"/>
      <c r="W90" s="78"/>
      <c r="X90" s="78"/>
      <c r="Y90" s="78"/>
      <c r="Z90" s="78"/>
      <c r="AA90" s="78"/>
      <c r="AB90" s="78"/>
      <c r="AC90" s="78"/>
      <c r="AD90" s="78"/>
      <c r="AE90" s="78"/>
      <c r="AF90" s="78"/>
      <c r="AG90" s="78"/>
      <c r="AH90" s="78"/>
      <c r="AI90" s="78"/>
      <c r="AJ90" s="78"/>
      <c r="AK90" s="78"/>
      <c r="AL90" s="78"/>
      <c r="AM90" s="78"/>
      <c r="AN90" s="78"/>
      <c r="AO90" s="78"/>
      <c r="AP90" s="78"/>
      <c r="AQ90" s="78"/>
      <c r="AR90" s="78"/>
      <c r="AS90" s="78"/>
      <c r="AT90" s="91"/>
      <c r="AU90" s="78"/>
      <c r="AV90" s="78"/>
      <c r="AW90" s="78"/>
      <c r="AX90" s="78"/>
      <c r="AY90" s="78"/>
      <c r="AZ90" s="78"/>
      <c r="BA90" s="78"/>
      <c r="BB90" s="78"/>
      <c r="BC90" s="78"/>
      <c r="BD90" s="78"/>
      <c r="BE90" s="78"/>
      <c r="BF90" s="78"/>
      <c r="BG90" s="78"/>
      <c r="BH90" s="78"/>
      <c r="BI90" s="78"/>
      <c r="BJ90" s="78"/>
      <c r="BK90" s="78"/>
      <c r="BL90" s="78"/>
      <c r="BM90" s="78"/>
      <c r="BN90" s="78"/>
      <c r="BO90" s="78"/>
      <c r="BP90" s="78"/>
      <c r="BQ90" s="78"/>
      <c r="BR90" s="78"/>
      <c r="BS90" s="78"/>
      <c r="BT90" s="78"/>
      <c r="BU90" s="78"/>
      <c r="BV90" s="78"/>
      <c r="BW90" s="78"/>
      <c r="BX90" s="78"/>
      <c r="BY90" s="78"/>
      <c r="BZ90" s="78"/>
      <c r="CA90" s="78"/>
      <c r="CB90" s="78"/>
      <c r="CC90" s="78"/>
      <c r="CD90" s="78"/>
      <c r="CE90" s="78"/>
      <c r="CF90" s="78"/>
      <c r="CG90" s="78"/>
      <c r="CH90" s="78"/>
      <c r="CI90" s="78"/>
      <c r="CJ90" s="78"/>
      <c r="CK90" s="78"/>
      <c r="CL90" s="78"/>
      <c r="CM90" s="78"/>
      <c r="CN90" s="78"/>
      <c r="CO90" s="78"/>
      <c r="CP90" s="78"/>
      <c r="CQ90" s="78"/>
      <c r="CR90" s="78"/>
      <c r="CS90" s="78"/>
      <c r="CT90" s="78"/>
      <c r="CU90" s="78"/>
      <c r="CV90" s="78"/>
      <c r="CW90" s="78"/>
      <c r="CX90" s="78"/>
      <c r="CY90" s="78"/>
      <c r="CZ90" s="78"/>
      <c r="DA90" s="78"/>
      <c r="DB90" s="78"/>
      <c r="DC90" s="78"/>
      <c r="DD90" s="78"/>
      <c r="DE90" s="78"/>
      <c r="DF90" s="78"/>
      <c r="DG90" s="78"/>
      <c r="DH90" s="78"/>
      <c r="DI90" s="78"/>
      <c r="DJ90" s="78"/>
      <c r="DK90" s="78"/>
      <c r="DL90" s="78"/>
      <c r="DM90" s="78"/>
      <c r="DN90" s="78"/>
      <c r="DO90" s="78"/>
      <c r="DP90" s="78"/>
      <c r="DQ90" s="78"/>
      <c r="DR90" s="78"/>
      <c r="DS90" s="78"/>
      <c r="DT90" s="78"/>
      <c r="DU90" s="78"/>
      <c r="DV90" s="78"/>
      <c r="DW90" s="78"/>
      <c r="DX90" s="78"/>
      <c r="DY90" s="78"/>
      <c r="DZ90" s="78"/>
      <c r="EA90" s="78"/>
      <c r="EB90" s="78"/>
      <c r="EC90" s="78"/>
      <c r="ED90" s="78"/>
      <c r="EE90" s="78"/>
      <c r="EF90" s="78"/>
      <c r="EG90" s="78"/>
      <c r="EH90" s="78"/>
      <c r="EI90" s="91"/>
      <c r="EJ90" s="91"/>
      <c r="EK90" s="91"/>
      <c r="EL90" s="91"/>
      <c r="EM90" s="91"/>
      <c r="EN90" s="91"/>
      <c r="EO90" s="91"/>
      <c r="EP90" s="78"/>
      <c r="EQ90" s="78"/>
      <c r="ER90" s="78"/>
      <c r="ES90" s="78"/>
      <c r="ET90" s="78"/>
      <c r="EU90" s="78"/>
      <c r="EV90" s="78"/>
      <c r="EW90" s="78"/>
      <c r="EX90" s="78"/>
      <c r="EY90" s="78"/>
      <c r="EZ90" s="78"/>
      <c r="FA90" s="78"/>
      <c r="FB90" s="78"/>
      <c r="FC90" s="78"/>
      <c r="FD90" s="78"/>
      <c r="FE90" s="78"/>
      <c r="FF90" s="78"/>
      <c r="FG90" s="78"/>
      <c r="FH90" s="78"/>
      <c r="FI90" s="78"/>
      <c r="FJ90" s="78"/>
      <c r="FK90" s="78"/>
    </row>
    <row r="91" spans="1:167" hidden="1" outlineLevel="1">
      <c r="A91" s="29" t="str">
        <f t="shared" si="16"/>
        <v>cd_imv_out_trz_prc_bens_imvdata_assc</v>
      </c>
      <c r="B91" s="67" t="s">
        <v>26</v>
      </c>
      <c r="C91" s="68" t="s">
        <v>54</v>
      </c>
      <c r="D91" s="64" t="s">
        <v>40</v>
      </c>
      <c r="E91" s="66" t="s">
        <v>477</v>
      </c>
      <c r="F91" s="64" t="s">
        <v>89</v>
      </c>
      <c r="G91" s="64" t="e">
        <f>INDEX(Auxiliar!$B$16:$B$24,MATCH(Plano_V1!H91,Auxiliar!$C$16:$C$24,0),1)</f>
        <v>#N/A</v>
      </c>
      <c r="H91" s="64" t="e">
        <f>VLOOKUP(A91,'Aux - pivots1'!$A:$B,2,0)</f>
        <v>#N/A</v>
      </c>
      <c r="I91" s="85">
        <v>0</v>
      </c>
      <c r="J91" s="84">
        <f t="shared" si="17"/>
        <v>0</v>
      </c>
      <c r="K91" s="89" t="s">
        <v>56</v>
      </c>
      <c r="L91" s="90">
        <f t="shared" si="18"/>
        <v>0</v>
      </c>
      <c r="M91" s="78"/>
      <c r="N91" s="78"/>
      <c r="O91" s="78"/>
      <c r="P91" s="78"/>
      <c r="Q91" s="78"/>
      <c r="R91" s="78"/>
      <c r="S91" s="78"/>
      <c r="T91" s="78"/>
      <c r="U91" s="78"/>
      <c r="V91" s="78"/>
      <c r="W91" s="78"/>
      <c r="X91" s="78"/>
      <c r="Y91" s="78"/>
      <c r="Z91" s="78"/>
      <c r="AA91" s="78"/>
      <c r="AB91" s="78"/>
      <c r="AC91" s="78"/>
      <c r="AD91" s="78"/>
      <c r="AE91" s="78"/>
      <c r="AF91" s="78"/>
      <c r="AG91" s="78"/>
      <c r="AH91" s="78"/>
      <c r="AI91" s="78"/>
      <c r="AJ91" s="78"/>
      <c r="AK91" s="78"/>
      <c r="AL91" s="78"/>
      <c r="AM91" s="78"/>
      <c r="AN91" s="78"/>
      <c r="AO91" s="78"/>
      <c r="AP91" s="78"/>
      <c r="AQ91" s="78"/>
      <c r="AR91" s="78"/>
      <c r="AS91" s="78"/>
      <c r="AT91" s="91"/>
      <c r="AU91" s="78"/>
      <c r="AV91" s="78"/>
      <c r="AW91" s="78"/>
      <c r="AX91" s="78"/>
      <c r="AY91" s="78"/>
      <c r="AZ91" s="78"/>
      <c r="BA91" s="78"/>
      <c r="BB91" s="78"/>
      <c r="BC91" s="78"/>
      <c r="BD91" s="78"/>
      <c r="BE91" s="78"/>
      <c r="BF91" s="78"/>
      <c r="BG91" s="78"/>
      <c r="BH91" s="78"/>
      <c r="BI91" s="78"/>
      <c r="BJ91" s="78"/>
      <c r="BK91" s="78"/>
      <c r="BL91" s="78"/>
      <c r="BM91" s="78"/>
      <c r="BN91" s="78"/>
      <c r="BO91" s="78"/>
      <c r="BP91" s="78"/>
      <c r="BQ91" s="78"/>
      <c r="BR91" s="78"/>
      <c r="BS91" s="78"/>
      <c r="BT91" s="78"/>
      <c r="BU91" s="78"/>
      <c r="BV91" s="78"/>
      <c r="BW91" s="78"/>
      <c r="BX91" s="78"/>
      <c r="BY91" s="78"/>
      <c r="BZ91" s="78"/>
      <c r="CA91" s="78"/>
      <c r="CB91" s="78"/>
      <c r="CC91" s="78"/>
      <c r="CD91" s="78"/>
      <c r="CE91" s="78"/>
      <c r="CF91" s="78"/>
      <c r="CG91" s="78"/>
      <c r="CH91" s="78"/>
      <c r="CI91" s="78"/>
      <c r="CJ91" s="78"/>
      <c r="CK91" s="78"/>
      <c r="CL91" s="78"/>
      <c r="CM91" s="78"/>
      <c r="CN91" s="78"/>
      <c r="CO91" s="78"/>
      <c r="CP91" s="78"/>
      <c r="CQ91" s="78"/>
      <c r="CR91" s="78"/>
      <c r="CS91" s="78"/>
      <c r="CT91" s="78"/>
      <c r="CU91" s="78"/>
      <c r="CV91" s="78"/>
      <c r="CW91" s="78"/>
      <c r="CX91" s="78"/>
      <c r="CY91" s="78"/>
      <c r="CZ91" s="78"/>
      <c r="DA91" s="78"/>
      <c r="DB91" s="78"/>
      <c r="DC91" s="78"/>
      <c r="DD91" s="78"/>
      <c r="DE91" s="78"/>
      <c r="DF91" s="78"/>
      <c r="DG91" s="78"/>
      <c r="DH91" s="78"/>
      <c r="DI91" s="78"/>
      <c r="DJ91" s="78"/>
      <c r="DK91" s="78"/>
      <c r="DL91" s="78"/>
      <c r="DM91" s="78"/>
      <c r="DN91" s="78"/>
      <c r="DO91" s="78"/>
      <c r="DP91" s="78"/>
      <c r="DQ91" s="78"/>
      <c r="DR91" s="78"/>
      <c r="DS91" s="78"/>
      <c r="DT91" s="78"/>
      <c r="DU91" s="78"/>
      <c r="DV91" s="78"/>
      <c r="DW91" s="78"/>
      <c r="DX91" s="78"/>
      <c r="DY91" s="78"/>
      <c r="DZ91" s="78"/>
      <c r="EA91" s="78"/>
      <c r="EB91" s="78"/>
      <c r="EC91" s="78"/>
      <c r="ED91" s="78"/>
      <c r="EE91" s="78"/>
      <c r="EF91" s="78"/>
      <c r="EG91" s="78"/>
      <c r="EH91" s="78"/>
      <c r="EI91" s="91"/>
      <c r="EJ91" s="91"/>
      <c r="EK91" s="91"/>
      <c r="EL91" s="91"/>
      <c r="EM91" s="91"/>
      <c r="EN91" s="91"/>
      <c r="EO91" s="91"/>
      <c r="EP91" s="78"/>
      <c r="EQ91" s="78"/>
      <c r="ER91" s="78"/>
      <c r="ES91" s="78"/>
      <c r="ET91" s="78"/>
      <c r="EU91" s="78"/>
      <c r="EV91" s="78"/>
      <c r="EW91" s="78"/>
      <c r="EX91" s="78"/>
      <c r="EY91" s="78"/>
      <c r="EZ91" s="78"/>
      <c r="FA91" s="78"/>
      <c r="FB91" s="78"/>
      <c r="FC91" s="78"/>
      <c r="FD91" s="78"/>
      <c r="FE91" s="78"/>
      <c r="FF91" s="78"/>
      <c r="FG91" s="78"/>
      <c r="FH91" s="78"/>
      <c r="FI91" s="78"/>
      <c r="FJ91" s="78"/>
      <c r="FK91" s="78"/>
    </row>
    <row r="92" spans="1:167" hidden="1" outlineLevel="1">
      <c r="A92" s="29" t="str">
        <f t="shared" si="16"/>
        <v>cd_imv_out_trz_prc_bens_imvflg_adj</v>
      </c>
      <c r="B92" s="67" t="s">
        <v>26</v>
      </c>
      <c r="C92" s="68" t="s">
        <v>54</v>
      </c>
      <c r="D92" s="64" t="s">
        <v>40</v>
      </c>
      <c r="E92" s="66" t="s">
        <v>477</v>
      </c>
      <c r="F92" s="64" t="s">
        <v>478</v>
      </c>
      <c r="G92" s="64" t="e">
        <f>INDEX(Auxiliar!$B$16:$B$24,MATCH(Plano_V1!H92,Auxiliar!$C$16:$C$24,0),1)</f>
        <v>#N/A</v>
      </c>
      <c r="H92" s="64" t="e">
        <f>VLOOKUP(A92,'Aux - pivots1'!$A:$B,2,0)</f>
        <v>#N/A</v>
      </c>
      <c r="I92" s="84">
        <f>SUMIFS(Table1[Estimação (horas)],Table1[Tabela],Plano_V1!E92,Table1[Campo],Plano_V1!F92)</f>
        <v>0</v>
      </c>
      <c r="J92" s="84">
        <f t="shared" si="17"/>
        <v>0</v>
      </c>
      <c r="K92" s="89" t="s">
        <v>56</v>
      </c>
      <c r="L92" s="90">
        <f t="shared" si="18"/>
        <v>0</v>
      </c>
      <c r="M92" s="78"/>
      <c r="N92" s="78"/>
      <c r="O92" s="78"/>
      <c r="P92" s="78"/>
      <c r="Q92" s="78"/>
      <c r="R92" s="78"/>
      <c r="S92" s="78"/>
      <c r="T92" s="78"/>
      <c r="U92" s="78"/>
      <c r="V92" s="78"/>
      <c r="W92" s="78"/>
      <c r="X92" s="78"/>
      <c r="Y92" s="78"/>
      <c r="Z92" s="78"/>
      <c r="AA92" s="78"/>
      <c r="AB92" s="78"/>
      <c r="AC92" s="78"/>
      <c r="AD92" s="78"/>
      <c r="AE92" s="78"/>
      <c r="AF92" s="78"/>
      <c r="AG92" s="78"/>
      <c r="AH92" s="78"/>
      <c r="AI92" s="78"/>
      <c r="AJ92" s="78"/>
      <c r="AK92" s="78"/>
      <c r="AL92" s="78"/>
      <c r="AM92" s="78"/>
      <c r="AN92" s="78"/>
      <c r="AO92" s="78"/>
      <c r="AP92" s="78"/>
      <c r="AQ92" s="78"/>
      <c r="AR92" s="78"/>
      <c r="AS92" s="78"/>
      <c r="AT92" s="91"/>
      <c r="AU92" s="78"/>
      <c r="AV92" s="78"/>
      <c r="AW92" s="78"/>
      <c r="AX92" s="78"/>
      <c r="AY92" s="78"/>
      <c r="AZ92" s="78"/>
      <c r="BA92" s="78"/>
      <c r="BB92" s="78"/>
      <c r="BC92" s="78"/>
      <c r="BD92" s="78"/>
      <c r="BE92" s="78"/>
      <c r="BF92" s="78"/>
      <c r="BG92" s="78"/>
      <c r="BH92" s="78"/>
      <c r="BI92" s="78"/>
      <c r="BJ92" s="78"/>
      <c r="BK92" s="78"/>
      <c r="BL92" s="78"/>
      <c r="BM92" s="78"/>
      <c r="BN92" s="78"/>
      <c r="BO92" s="78"/>
      <c r="BP92" s="78"/>
      <c r="BQ92" s="78"/>
      <c r="BR92" s="78"/>
      <c r="BS92" s="78"/>
      <c r="BT92" s="78"/>
      <c r="BU92" s="78"/>
      <c r="BV92" s="78"/>
      <c r="BW92" s="78"/>
      <c r="BX92" s="78"/>
      <c r="BY92" s="78"/>
      <c r="BZ92" s="78"/>
      <c r="CA92" s="78"/>
      <c r="CB92" s="78"/>
      <c r="CC92" s="78"/>
      <c r="CD92" s="78"/>
      <c r="CE92" s="78"/>
      <c r="CF92" s="78"/>
      <c r="CG92" s="78"/>
      <c r="CH92" s="78"/>
      <c r="CI92" s="78"/>
      <c r="CJ92" s="78"/>
      <c r="CK92" s="78"/>
      <c r="CL92" s="78"/>
      <c r="CM92" s="78"/>
      <c r="CN92" s="78"/>
      <c r="CO92" s="78"/>
      <c r="CP92" s="78"/>
      <c r="CQ92" s="78"/>
      <c r="CR92" s="78"/>
      <c r="CS92" s="78"/>
      <c r="CT92" s="78"/>
      <c r="CU92" s="78"/>
      <c r="CV92" s="78"/>
      <c r="CW92" s="78"/>
      <c r="CX92" s="78"/>
      <c r="CY92" s="78"/>
      <c r="CZ92" s="78"/>
      <c r="DA92" s="78"/>
      <c r="DB92" s="78"/>
      <c r="DC92" s="78"/>
      <c r="DD92" s="78"/>
      <c r="DE92" s="78"/>
      <c r="DF92" s="78"/>
      <c r="DG92" s="78"/>
      <c r="DH92" s="78"/>
      <c r="DI92" s="78"/>
      <c r="DJ92" s="78"/>
      <c r="DK92" s="78"/>
      <c r="DL92" s="78"/>
      <c r="DM92" s="78"/>
      <c r="DN92" s="78"/>
      <c r="DO92" s="78"/>
      <c r="DP92" s="78"/>
      <c r="DQ92" s="78"/>
      <c r="DR92" s="78"/>
      <c r="DS92" s="78"/>
      <c r="DT92" s="78"/>
      <c r="DU92" s="78"/>
      <c r="DV92" s="78"/>
      <c r="DW92" s="78"/>
      <c r="DX92" s="78"/>
      <c r="DY92" s="78"/>
      <c r="DZ92" s="78"/>
      <c r="EA92" s="78"/>
      <c r="EB92" s="78"/>
      <c r="EC92" s="78"/>
      <c r="ED92" s="78"/>
      <c r="EE92" s="78"/>
      <c r="EF92" s="78"/>
      <c r="EG92" s="78"/>
      <c r="EH92" s="78"/>
      <c r="EI92" s="91"/>
      <c r="EJ92" s="91"/>
      <c r="EK92" s="91"/>
      <c r="EL92" s="91"/>
      <c r="EM92" s="91"/>
      <c r="EN92" s="91"/>
      <c r="EO92" s="91"/>
      <c r="EP92" s="78"/>
      <c r="EQ92" s="78"/>
      <c r="ER92" s="78"/>
      <c r="ES92" s="78"/>
      <c r="ET92" s="78"/>
      <c r="EU92" s="78"/>
      <c r="EV92" s="78"/>
      <c r="EW92" s="78"/>
      <c r="EX92" s="78"/>
      <c r="EY92" s="78"/>
      <c r="EZ92" s="78"/>
      <c r="FA92" s="78"/>
      <c r="FB92" s="78"/>
      <c r="FC92" s="78"/>
      <c r="FD92" s="78"/>
      <c r="FE92" s="78"/>
      <c r="FF92" s="78"/>
      <c r="FG92" s="78"/>
      <c r="FH92" s="78"/>
      <c r="FI92" s="78"/>
      <c r="FJ92" s="78"/>
      <c r="FK92" s="78"/>
    </row>
    <row r="93" spans="1:167" hidden="1" outlineLevel="1">
      <c r="A93" s="29" t="str">
        <f t="shared" ref="A93:A156" si="19">E93&amp;F93</f>
        <v>cd_imv_out_trz_prc_bens_imvflg_col</v>
      </c>
      <c r="B93" s="67" t="s">
        <v>26</v>
      </c>
      <c r="C93" s="68" t="s">
        <v>54</v>
      </c>
      <c r="D93" s="64" t="s">
        <v>40</v>
      </c>
      <c r="E93" s="66" t="s">
        <v>477</v>
      </c>
      <c r="F93" s="64" t="s">
        <v>479</v>
      </c>
      <c r="G93" s="64" t="e">
        <f>INDEX(Auxiliar!$B$16:$B$24,MATCH(Plano_V1!H93,Auxiliar!$C$16:$C$24,0),1)</f>
        <v>#N/A</v>
      </c>
      <c r="H93" s="64" t="e">
        <f>VLOOKUP(A93,'Aux - pivots1'!$A:$B,2,0)</f>
        <v>#N/A</v>
      </c>
      <c r="I93" s="84">
        <f>SUMIFS(Table1[Estimação (horas)],Table1[Tabela],Plano_V1!E93,Table1[Campo],Plano_V1!F93)</f>
        <v>0</v>
      </c>
      <c r="J93" s="84">
        <f t="shared" si="17"/>
        <v>0</v>
      </c>
      <c r="K93" s="89" t="s">
        <v>56</v>
      </c>
      <c r="L93" s="90">
        <f t="shared" si="18"/>
        <v>0</v>
      </c>
      <c r="M93" s="78"/>
      <c r="N93" s="78"/>
      <c r="O93" s="78"/>
      <c r="P93" s="78"/>
      <c r="Q93" s="78"/>
      <c r="R93" s="78"/>
      <c r="S93" s="78"/>
      <c r="T93" s="78"/>
      <c r="U93" s="78"/>
      <c r="V93" s="78"/>
      <c r="W93" s="78"/>
      <c r="X93" s="78"/>
      <c r="Y93" s="78"/>
      <c r="Z93" s="78"/>
      <c r="AA93" s="78"/>
      <c r="AB93" s="78"/>
      <c r="AC93" s="78"/>
      <c r="AD93" s="78"/>
      <c r="AE93" s="78"/>
      <c r="AF93" s="78"/>
      <c r="AG93" s="78"/>
      <c r="AH93" s="78"/>
      <c r="AI93" s="78"/>
      <c r="AJ93" s="78"/>
      <c r="AK93" s="78"/>
      <c r="AL93" s="78"/>
      <c r="AM93" s="78"/>
      <c r="AN93" s="78"/>
      <c r="AO93" s="78"/>
      <c r="AP93" s="78"/>
      <c r="AQ93" s="78"/>
      <c r="AR93" s="78"/>
      <c r="AS93" s="78"/>
      <c r="AT93" s="91"/>
      <c r="AU93" s="78"/>
      <c r="AV93" s="78"/>
      <c r="AW93" s="78"/>
      <c r="AX93" s="78"/>
      <c r="AY93" s="78"/>
      <c r="AZ93" s="78"/>
      <c r="BA93" s="78"/>
      <c r="BB93" s="78"/>
      <c r="BC93" s="78"/>
      <c r="BD93" s="78"/>
      <c r="BE93" s="78"/>
      <c r="BF93" s="78"/>
      <c r="BG93" s="78"/>
      <c r="BH93" s="78"/>
      <c r="BI93" s="78"/>
      <c r="BJ93" s="78"/>
      <c r="BK93" s="78"/>
      <c r="BL93" s="78"/>
      <c r="BM93" s="78"/>
      <c r="BN93" s="78"/>
      <c r="BO93" s="78"/>
      <c r="BP93" s="78"/>
      <c r="BQ93" s="78"/>
      <c r="BR93" s="78"/>
      <c r="BS93" s="78"/>
      <c r="BT93" s="78"/>
      <c r="BU93" s="78"/>
      <c r="BV93" s="78"/>
      <c r="BW93" s="78"/>
      <c r="BX93" s="78"/>
      <c r="BY93" s="78"/>
      <c r="BZ93" s="78"/>
      <c r="CA93" s="78"/>
      <c r="CB93" s="78"/>
      <c r="CC93" s="78"/>
      <c r="CD93" s="78"/>
      <c r="CE93" s="78"/>
      <c r="CF93" s="78"/>
      <c r="CG93" s="78"/>
      <c r="CH93" s="78"/>
      <c r="CI93" s="78"/>
      <c r="CJ93" s="78"/>
      <c r="CK93" s="78"/>
      <c r="CL93" s="78"/>
      <c r="CM93" s="78"/>
      <c r="CN93" s="78"/>
      <c r="CO93" s="78"/>
      <c r="CP93" s="78"/>
      <c r="CQ93" s="78"/>
      <c r="CR93" s="78"/>
      <c r="CS93" s="78"/>
      <c r="CT93" s="78"/>
      <c r="CU93" s="78"/>
      <c r="CV93" s="78"/>
      <c r="CW93" s="78"/>
      <c r="CX93" s="78"/>
      <c r="CY93" s="78"/>
      <c r="CZ93" s="78"/>
      <c r="DA93" s="78"/>
      <c r="DB93" s="78"/>
      <c r="DC93" s="78"/>
      <c r="DD93" s="78"/>
      <c r="DE93" s="78"/>
      <c r="DF93" s="78"/>
      <c r="DG93" s="78"/>
      <c r="DH93" s="78"/>
      <c r="DI93" s="78"/>
      <c r="DJ93" s="78"/>
      <c r="DK93" s="78"/>
      <c r="DL93" s="78"/>
      <c r="DM93" s="78"/>
      <c r="DN93" s="78"/>
      <c r="DO93" s="78"/>
      <c r="DP93" s="78"/>
      <c r="DQ93" s="78"/>
      <c r="DR93" s="78"/>
      <c r="DS93" s="78"/>
      <c r="DT93" s="78"/>
      <c r="DU93" s="78"/>
      <c r="DV93" s="78"/>
      <c r="DW93" s="78"/>
      <c r="DX93" s="78"/>
      <c r="DY93" s="78"/>
      <c r="DZ93" s="78"/>
      <c r="EA93" s="78"/>
      <c r="EB93" s="78"/>
      <c r="EC93" s="78"/>
      <c r="ED93" s="78"/>
      <c r="EE93" s="78"/>
      <c r="EF93" s="78"/>
      <c r="EG93" s="78"/>
      <c r="EH93" s="78"/>
      <c r="EI93" s="91"/>
      <c r="EJ93" s="91"/>
      <c r="EK93" s="91"/>
      <c r="EL93" s="91"/>
      <c r="EM93" s="91"/>
      <c r="EN93" s="91"/>
      <c r="EO93" s="91"/>
      <c r="EP93" s="78"/>
      <c r="EQ93" s="78"/>
      <c r="ER93" s="78"/>
      <c r="ES93" s="78"/>
      <c r="ET93" s="78"/>
      <c r="EU93" s="78"/>
      <c r="EV93" s="78"/>
      <c r="EW93" s="78"/>
      <c r="EX93" s="78"/>
      <c r="EY93" s="78"/>
      <c r="EZ93" s="78"/>
      <c r="FA93" s="78"/>
      <c r="FB93" s="78"/>
      <c r="FC93" s="78"/>
      <c r="FD93" s="78"/>
      <c r="FE93" s="78"/>
      <c r="FF93" s="78"/>
      <c r="FG93" s="78"/>
      <c r="FH93" s="78"/>
      <c r="FI93" s="78"/>
      <c r="FJ93" s="78"/>
      <c r="FK93" s="78"/>
    </row>
    <row r="94" spans="1:167" hidden="1" outlineLevel="1">
      <c r="A94" s="29" t="str">
        <f t="shared" si="19"/>
        <v>cd_imv_out_trz_prc_bens_imvflg_fin</v>
      </c>
      <c r="B94" s="67" t="s">
        <v>26</v>
      </c>
      <c r="C94" s="68" t="s">
        <v>54</v>
      </c>
      <c r="D94" s="64" t="s">
        <v>40</v>
      </c>
      <c r="E94" s="66" t="s">
        <v>477</v>
      </c>
      <c r="F94" s="64" t="s">
        <v>480</v>
      </c>
      <c r="G94" s="64" t="e">
        <f>INDEX(Auxiliar!$B$16:$B$24,MATCH(Plano_V1!H94,Auxiliar!$C$16:$C$24,0),1)</f>
        <v>#N/A</v>
      </c>
      <c r="H94" s="64" t="e">
        <f>VLOOKUP(A94,'Aux - pivots1'!$A:$B,2,0)</f>
        <v>#N/A</v>
      </c>
      <c r="I94" s="84">
        <f>SUMIFS(Table1[Estimação (horas)],Table1[Tabela],Plano_V1!E94,Table1[Campo],Plano_V1!F94)</f>
        <v>0</v>
      </c>
      <c r="J94" s="84">
        <f t="shared" si="17"/>
        <v>0</v>
      </c>
      <c r="K94" s="89" t="s">
        <v>56</v>
      </c>
      <c r="L94" s="90">
        <f t="shared" si="18"/>
        <v>0</v>
      </c>
      <c r="M94" s="78"/>
      <c r="N94" s="78"/>
      <c r="O94" s="78"/>
      <c r="P94" s="78"/>
      <c r="Q94" s="78"/>
      <c r="R94" s="78"/>
      <c r="S94" s="78"/>
      <c r="T94" s="78"/>
      <c r="U94" s="78"/>
      <c r="V94" s="78"/>
      <c r="W94" s="78"/>
      <c r="X94" s="78"/>
      <c r="Y94" s="78"/>
      <c r="Z94" s="78"/>
      <c r="AA94" s="78"/>
      <c r="AB94" s="78"/>
      <c r="AC94" s="78"/>
      <c r="AD94" s="78"/>
      <c r="AE94" s="78"/>
      <c r="AF94" s="78"/>
      <c r="AG94" s="78"/>
      <c r="AH94" s="78"/>
      <c r="AI94" s="78"/>
      <c r="AJ94" s="78"/>
      <c r="AK94" s="78"/>
      <c r="AL94" s="78"/>
      <c r="AM94" s="78"/>
      <c r="AN94" s="78"/>
      <c r="AO94" s="78"/>
      <c r="AP94" s="78"/>
      <c r="AQ94" s="78"/>
      <c r="AR94" s="78"/>
      <c r="AS94" s="78"/>
      <c r="AT94" s="91"/>
      <c r="AU94" s="78"/>
      <c r="AV94" s="78"/>
      <c r="AW94" s="78"/>
      <c r="AX94" s="78"/>
      <c r="AY94" s="78"/>
      <c r="AZ94" s="78"/>
      <c r="BA94" s="78"/>
      <c r="BB94" s="78"/>
      <c r="BC94" s="78"/>
      <c r="BD94" s="78"/>
      <c r="BE94" s="78"/>
      <c r="BF94" s="78"/>
      <c r="BG94" s="78"/>
      <c r="BH94" s="78"/>
      <c r="BI94" s="78"/>
      <c r="BJ94" s="78"/>
      <c r="BK94" s="78"/>
      <c r="BL94" s="78"/>
      <c r="BM94" s="78"/>
      <c r="BN94" s="78"/>
      <c r="BO94" s="78"/>
      <c r="BP94" s="78"/>
      <c r="BQ94" s="78"/>
      <c r="BR94" s="78"/>
      <c r="BS94" s="78"/>
      <c r="BT94" s="78"/>
      <c r="BU94" s="78"/>
      <c r="BV94" s="78"/>
      <c r="BW94" s="78"/>
      <c r="BX94" s="78"/>
      <c r="BY94" s="78"/>
      <c r="BZ94" s="78"/>
      <c r="CA94" s="78"/>
      <c r="CB94" s="78"/>
      <c r="CC94" s="78"/>
      <c r="CD94" s="78"/>
      <c r="CE94" s="78"/>
      <c r="CF94" s="78"/>
      <c r="CG94" s="78"/>
      <c r="CH94" s="78"/>
      <c r="CI94" s="78"/>
      <c r="CJ94" s="78"/>
      <c r="CK94" s="78"/>
      <c r="CL94" s="78"/>
      <c r="CM94" s="78"/>
      <c r="CN94" s="78"/>
      <c r="CO94" s="78"/>
      <c r="CP94" s="78"/>
      <c r="CQ94" s="78"/>
      <c r="CR94" s="78"/>
      <c r="CS94" s="78"/>
      <c r="CT94" s="78"/>
      <c r="CU94" s="78"/>
      <c r="CV94" s="78"/>
      <c r="CW94" s="78"/>
      <c r="CX94" s="78"/>
      <c r="CY94" s="78"/>
      <c r="CZ94" s="78"/>
      <c r="DA94" s="78"/>
      <c r="DB94" s="78"/>
      <c r="DC94" s="78"/>
      <c r="DD94" s="78"/>
      <c r="DE94" s="78"/>
      <c r="DF94" s="78"/>
      <c r="DG94" s="78"/>
      <c r="DH94" s="78"/>
      <c r="DI94" s="78"/>
      <c r="DJ94" s="78"/>
      <c r="DK94" s="78"/>
      <c r="DL94" s="78"/>
      <c r="DM94" s="78"/>
      <c r="DN94" s="78"/>
      <c r="DO94" s="78"/>
      <c r="DP94" s="78"/>
      <c r="DQ94" s="78"/>
      <c r="DR94" s="78"/>
      <c r="DS94" s="78"/>
      <c r="DT94" s="78"/>
      <c r="DU94" s="78"/>
      <c r="DV94" s="78"/>
      <c r="DW94" s="78"/>
      <c r="DX94" s="78"/>
      <c r="DY94" s="78"/>
      <c r="DZ94" s="78"/>
      <c r="EA94" s="78"/>
      <c r="EB94" s="78"/>
      <c r="EC94" s="78"/>
      <c r="ED94" s="78"/>
      <c r="EE94" s="78"/>
      <c r="EF94" s="78"/>
      <c r="EG94" s="78"/>
      <c r="EH94" s="78"/>
      <c r="EI94" s="91"/>
      <c r="EJ94" s="91"/>
      <c r="EK94" s="91"/>
      <c r="EL94" s="91"/>
      <c r="EM94" s="91"/>
      <c r="EN94" s="91"/>
      <c r="EO94" s="91"/>
      <c r="EP94" s="78"/>
      <c r="EQ94" s="78"/>
      <c r="ER94" s="78"/>
      <c r="ES94" s="78"/>
      <c r="ET94" s="78"/>
      <c r="EU94" s="78"/>
      <c r="EV94" s="78"/>
      <c r="EW94" s="78"/>
      <c r="EX94" s="78"/>
      <c r="EY94" s="78"/>
      <c r="EZ94" s="78"/>
      <c r="FA94" s="78"/>
      <c r="FB94" s="78"/>
      <c r="FC94" s="78"/>
      <c r="FD94" s="78"/>
      <c r="FE94" s="78"/>
      <c r="FF94" s="78"/>
      <c r="FG94" s="78"/>
      <c r="FH94" s="78"/>
      <c r="FI94" s="78"/>
      <c r="FJ94" s="78"/>
      <c r="FK94" s="78"/>
    </row>
    <row r="95" spans="1:167" hidden="1" outlineLevel="1">
      <c r="A95" s="29" t="str">
        <f t="shared" si="19"/>
        <v>cd_imv_out_trz_prc_bens_imvflg_pro</v>
      </c>
      <c r="B95" s="67" t="s">
        <v>26</v>
      </c>
      <c r="C95" s="68" t="s">
        <v>54</v>
      </c>
      <c r="D95" s="64" t="s">
        <v>40</v>
      </c>
      <c r="E95" s="66" t="s">
        <v>477</v>
      </c>
      <c r="F95" s="64" t="s">
        <v>481</v>
      </c>
      <c r="G95" s="64" t="e">
        <f>INDEX(Auxiliar!$B$16:$B$24,MATCH(Plano_V1!H95,Auxiliar!$C$16:$C$24,0),1)</f>
        <v>#N/A</v>
      </c>
      <c r="H95" s="64" t="e">
        <f>VLOOKUP(A95,'Aux - pivots1'!$A:$B,2,0)</f>
        <v>#N/A</v>
      </c>
      <c r="I95" s="84">
        <f>SUMIFS(Table1[Estimação (horas)],Table1[Tabela],Plano_V1!E95,Table1[Campo],Plano_V1!F95)</f>
        <v>0</v>
      </c>
      <c r="J95" s="84">
        <f t="shared" si="17"/>
        <v>0</v>
      </c>
      <c r="K95" s="89" t="s">
        <v>56</v>
      </c>
      <c r="L95" s="90">
        <f t="shared" si="18"/>
        <v>0</v>
      </c>
      <c r="M95" s="78"/>
      <c r="N95" s="78"/>
      <c r="O95" s="78"/>
      <c r="P95" s="78"/>
      <c r="Q95" s="78"/>
      <c r="R95" s="78"/>
      <c r="S95" s="78"/>
      <c r="T95" s="78"/>
      <c r="U95" s="78"/>
      <c r="V95" s="78"/>
      <c r="W95" s="78"/>
      <c r="X95" s="78"/>
      <c r="Y95" s="78"/>
      <c r="Z95" s="78"/>
      <c r="AA95" s="78"/>
      <c r="AB95" s="78"/>
      <c r="AC95" s="78"/>
      <c r="AD95" s="78"/>
      <c r="AE95" s="78"/>
      <c r="AF95" s="78"/>
      <c r="AG95" s="78"/>
      <c r="AH95" s="78"/>
      <c r="AI95" s="78"/>
      <c r="AJ95" s="78"/>
      <c r="AK95" s="78"/>
      <c r="AL95" s="78"/>
      <c r="AM95" s="78"/>
      <c r="AN95" s="78"/>
      <c r="AO95" s="78"/>
      <c r="AP95" s="78"/>
      <c r="AQ95" s="78"/>
      <c r="AR95" s="78"/>
      <c r="AS95" s="78"/>
      <c r="AT95" s="91"/>
      <c r="AU95" s="78"/>
      <c r="AV95" s="78"/>
      <c r="AW95" s="78"/>
      <c r="AX95" s="78"/>
      <c r="AY95" s="78"/>
      <c r="AZ95" s="78"/>
      <c r="BA95" s="78"/>
      <c r="BB95" s="78"/>
      <c r="BC95" s="78"/>
      <c r="BD95" s="78"/>
      <c r="BE95" s="78"/>
      <c r="BF95" s="78"/>
      <c r="BG95" s="78"/>
      <c r="BH95" s="78"/>
      <c r="BI95" s="78"/>
      <c r="BJ95" s="78"/>
      <c r="BK95" s="78"/>
      <c r="BL95" s="78"/>
      <c r="BM95" s="78"/>
      <c r="BN95" s="78"/>
      <c r="BO95" s="78"/>
      <c r="BP95" s="78"/>
      <c r="BQ95" s="78"/>
      <c r="BR95" s="78"/>
      <c r="BS95" s="78"/>
      <c r="BT95" s="78"/>
      <c r="BU95" s="78"/>
      <c r="BV95" s="78"/>
      <c r="BW95" s="78"/>
      <c r="BX95" s="78"/>
      <c r="BY95" s="78"/>
      <c r="BZ95" s="78"/>
      <c r="CA95" s="78"/>
      <c r="CB95" s="78"/>
      <c r="CC95" s="78"/>
      <c r="CD95" s="78"/>
      <c r="CE95" s="78"/>
      <c r="CF95" s="78"/>
      <c r="CG95" s="78"/>
      <c r="CH95" s="78"/>
      <c r="CI95" s="78"/>
      <c r="CJ95" s="78"/>
      <c r="CK95" s="78"/>
      <c r="CL95" s="78"/>
      <c r="CM95" s="78"/>
      <c r="CN95" s="78"/>
      <c r="CO95" s="78"/>
      <c r="CP95" s="78"/>
      <c r="CQ95" s="78"/>
      <c r="CR95" s="78"/>
      <c r="CS95" s="78"/>
      <c r="CT95" s="78"/>
      <c r="CU95" s="78"/>
      <c r="CV95" s="78"/>
      <c r="CW95" s="78"/>
      <c r="CX95" s="78"/>
      <c r="CY95" s="78"/>
      <c r="CZ95" s="78"/>
      <c r="DA95" s="78"/>
      <c r="DB95" s="78"/>
      <c r="DC95" s="78"/>
      <c r="DD95" s="78"/>
      <c r="DE95" s="78"/>
      <c r="DF95" s="78"/>
      <c r="DG95" s="78"/>
      <c r="DH95" s="78"/>
      <c r="DI95" s="78"/>
      <c r="DJ95" s="78"/>
      <c r="DK95" s="78"/>
      <c r="DL95" s="78"/>
      <c r="DM95" s="78"/>
      <c r="DN95" s="78"/>
      <c r="DO95" s="78"/>
      <c r="DP95" s="78"/>
      <c r="DQ95" s="78"/>
      <c r="DR95" s="78"/>
      <c r="DS95" s="78"/>
      <c r="DT95" s="78"/>
      <c r="DU95" s="78"/>
      <c r="DV95" s="78"/>
      <c r="DW95" s="78"/>
      <c r="DX95" s="78"/>
      <c r="DY95" s="78"/>
      <c r="DZ95" s="78"/>
      <c r="EA95" s="78"/>
      <c r="EB95" s="78"/>
      <c r="EC95" s="78"/>
      <c r="ED95" s="78"/>
      <c r="EE95" s="78"/>
      <c r="EF95" s="78"/>
      <c r="EG95" s="78"/>
      <c r="EH95" s="78"/>
      <c r="EI95" s="91"/>
      <c r="EJ95" s="91"/>
      <c r="EK95" s="91"/>
      <c r="EL95" s="91"/>
      <c r="EM95" s="91"/>
      <c r="EN95" s="91"/>
      <c r="EO95" s="91"/>
      <c r="EP95" s="78"/>
      <c r="EQ95" s="78"/>
      <c r="ER95" s="78"/>
      <c r="ES95" s="78"/>
      <c r="ET95" s="78"/>
      <c r="EU95" s="78"/>
      <c r="EV95" s="78"/>
      <c r="EW95" s="78"/>
      <c r="EX95" s="78"/>
      <c r="EY95" s="78"/>
      <c r="EZ95" s="78"/>
      <c r="FA95" s="78"/>
      <c r="FB95" s="78"/>
      <c r="FC95" s="78"/>
      <c r="FD95" s="78"/>
      <c r="FE95" s="78"/>
      <c r="FF95" s="78"/>
      <c r="FG95" s="78"/>
      <c r="FH95" s="78"/>
      <c r="FI95" s="78"/>
      <c r="FJ95" s="78"/>
      <c r="FK95" s="78"/>
    </row>
    <row r="96" spans="1:167" hidden="1" outlineLevel="1">
      <c r="A96" s="29" t="str">
        <f t="shared" si="19"/>
        <v>cd_imv_out_trz_prc_bens_imvorigem</v>
      </c>
      <c r="B96" s="67" t="s">
        <v>26</v>
      </c>
      <c r="C96" s="68" t="s">
        <v>54</v>
      </c>
      <c r="D96" s="64" t="s">
        <v>40</v>
      </c>
      <c r="E96" s="66" t="s">
        <v>477</v>
      </c>
      <c r="F96" s="64" t="s">
        <v>72</v>
      </c>
      <c r="G96" s="64" t="e">
        <f>INDEX(Auxiliar!$B$16:$B$24,MATCH(Plano_V1!H96,Auxiliar!$C$16:$C$24,0),1)</f>
        <v>#N/A</v>
      </c>
      <c r="H96" s="64" t="e">
        <f>VLOOKUP(A96,'Aux - pivots1'!$A:$B,2,0)</f>
        <v>#N/A</v>
      </c>
      <c r="I96" s="84">
        <f>SUMIFS(Table1[Estimação (horas)],Table1[Tabela],Plano_V1!E96,Table1[Campo],Plano_V1!F96)</f>
        <v>0</v>
      </c>
      <c r="J96" s="84">
        <f t="shared" si="17"/>
        <v>0</v>
      </c>
      <c r="K96" s="89" t="s">
        <v>56</v>
      </c>
      <c r="L96" s="90">
        <f t="shared" si="18"/>
        <v>0</v>
      </c>
      <c r="M96" s="78"/>
      <c r="N96" s="78"/>
      <c r="O96" s="78"/>
      <c r="P96" s="78"/>
      <c r="Q96" s="78"/>
      <c r="R96" s="78"/>
      <c r="S96" s="78"/>
      <c r="T96" s="78"/>
      <c r="U96" s="78"/>
      <c r="V96" s="78"/>
      <c r="W96" s="78"/>
      <c r="X96" s="78"/>
      <c r="Y96" s="78"/>
      <c r="Z96" s="78"/>
      <c r="AA96" s="78"/>
      <c r="AB96" s="78"/>
      <c r="AC96" s="78"/>
      <c r="AD96" s="78"/>
      <c r="AE96" s="78"/>
      <c r="AF96" s="78"/>
      <c r="AG96" s="78"/>
      <c r="AH96" s="78"/>
      <c r="AI96" s="78"/>
      <c r="AJ96" s="78"/>
      <c r="AK96" s="78"/>
      <c r="AL96" s="78"/>
      <c r="AM96" s="78"/>
      <c r="AN96" s="78"/>
      <c r="AO96" s="78"/>
      <c r="AP96" s="78"/>
      <c r="AQ96" s="78"/>
      <c r="AR96" s="78"/>
      <c r="AS96" s="78"/>
      <c r="AT96" s="91"/>
      <c r="AU96" s="78"/>
      <c r="AV96" s="78"/>
      <c r="AW96" s="78"/>
      <c r="AX96" s="78"/>
      <c r="AY96" s="78"/>
      <c r="AZ96" s="78"/>
      <c r="BA96" s="78"/>
      <c r="BB96" s="78"/>
      <c r="BC96" s="78"/>
      <c r="BD96" s="78"/>
      <c r="BE96" s="78"/>
      <c r="BF96" s="78"/>
      <c r="BG96" s="78"/>
      <c r="BH96" s="78"/>
      <c r="BI96" s="78"/>
      <c r="BJ96" s="78"/>
      <c r="BK96" s="78"/>
      <c r="BL96" s="78"/>
      <c r="BM96" s="78"/>
      <c r="BN96" s="78"/>
      <c r="BO96" s="78"/>
      <c r="BP96" s="78"/>
      <c r="BQ96" s="78"/>
      <c r="BR96" s="78"/>
      <c r="BS96" s="78"/>
      <c r="BT96" s="78"/>
      <c r="BU96" s="78"/>
      <c r="BV96" s="78"/>
      <c r="BW96" s="78"/>
      <c r="BX96" s="78"/>
      <c r="BY96" s="78"/>
      <c r="BZ96" s="78"/>
      <c r="CA96" s="78"/>
      <c r="CB96" s="78"/>
      <c r="CC96" s="78"/>
      <c r="CD96" s="78"/>
      <c r="CE96" s="78"/>
      <c r="CF96" s="78"/>
      <c r="CG96" s="78"/>
      <c r="CH96" s="78"/>
      <c r="CI96" s="78"/>
      <c r="CJ96" s="78"/>
      <c r="CK96" s="78"/>
      <c r="CL96" s="78"/>
      <c r="CM96" s="78"/>
      <c r="CN96" s="78"/>
      <c r="CO96" s="78"/>
      <c r="CP96" s="78"/>
      <c r="CQ96" s="78"/>
      <c r="CR96" s="78"/>
      <c r="CS96" s="78"/>
      <c r="CT96" s="78"/>
      <c r="CU96" s="78"/>
      <c r="CV96" s="78"/>
      <c r="CW96" s="78"/>
      <c r="CX96" s="78"/>
      <c r="CY96" s="78"/>
      <c r="CZ96" s="78"/>
      <c r="DA96" s="78"/>
      <c r="DB96" s="78"/>
      <c r="DC96" s="78"/>
      <c r="DD96" s="78"/>
      <c r="DE96" s="78"/>
      <c r="DF96" s="78"/>
      <c r="DG96" s="78"/>
      <c r="DH96" s="78"/>
      <c r="DI96" s="78"/>
      <c r="DJ96" s="78"/>
      <c r="DK96" s="78"/>
      <c r="DL96" s="78"/>
      <c r="DM96" s="78"/>
      <c r="DN96" s="78"/>
      <c r="DO96" s="78"/>
      <c r="DP96" s="78"/>
      <c r="DQ96" s="78"/>
      <c r="DR96" s="78"/>
      <c r="DS96" s="78"/>
      <c r="DT96" s="78"/>
      <c r="DU96" s="78"/>
      <c r="DV96" s="78"/>
      <c r="DW96" s="78"/>
      <c r="DX96" s="78"/>
      <c r="DY96" s="78"/>
      <c r="DZ96" s="78"/>
      <c r="EA96" s="78"/>
      <c r="EB96" s="78"/>
      <c r="EC96" s="78"/>
      <c r="ED96" s="78"/>
      <c r="EE96" s="78"/>
      <c r="EF96" s="78"/>
      <c r="EG96" s="78"/>
      <c r="EH96" s="78"/>
      <c r="EI96" s="91"/>
      <c r="EJ96" s="91"/>
      <c r="EK96" s="91"/>
      <c r="EL96" s="91"/>
      <c r="EM96" s="91"/>
      <c r="EN96" s="91"/>
      <c r="EO96" s="91"/>
      <c r="EP96" s="78"/>
      <c r="EQ96" s="78"/>
      <c r="ER96" s="78"/>
      <c r="ES96" s="78"/>
      <c r="ET96" s="78"/>
      <c r="EU96" s="78"/>
      <c r="EV96" s="78"/>
      <c r="EW96" s="78"/>
      <c r="EX96" s="78"/>
      <c r="EY96" s="78"/>
      <c r="EZ96" s="78"/>
      <c r="FA96" s="78"/>
      <c r="FB96" s="78"/>
      <c r="FC96" s="78"/>
      <c r="FD96" s="78"/>
      <c r="FE96" s="78"/>
      <c r="FF96" s="78"/>
      <c r="FG96" s="78"/>
      <c r="FH96" s="78"/>
      <c r="FI96" s="78"/>
      <c r="FJ96" s="78"/>
      <c r="FK96" s="78"/>
    </row>
    <row r="97" spans="1:167" hidden="1" outlineLevel="1">
      <c r="A97" s="29" t="str">
        <f t="shared" si="19"/>
        <v>cd_imv_out_trz_prc_bens_imvref_date</v>
      </c>
      <c r="B97" s="67" t="s">
        <v>26</v>
      </c>
      <c r="C97" s="68" t="s">
        <v>54</v>
      </c>
      <c r="D97" s="64" t="s">
        <v>40</v>
      </c>
      <c r="E97" s="66" t="s">
        <v>477</v>
      </c>
      <c r="F97" s="64" t="s">
        <v>208</v>
      </c>
      <c r="G97" s="64" t="e">
        <f>INDEX(Auxiliar!$B$16:$B$24,MATCH(Plano_V1!H97,Auxiliar!$C$16:$C$24,0),1)</f>
        <v>#N/A</v>
      </c>
      <c r="H97" s="64" t="e">
        <f>VLOOKUP(A97,'Aux - pivots1'!$A:$B,2,0)</f>
        <v>#N/A</v>
      </c>
      <c r="I97" s="84">
        <f>SUMIFS(Table1[Estimação (horas)],Table1[Tabela],Plano_V1!E97,Table1[Campo],Plano_V1!F97)</f>
        <v>0</v>
      </c>
      <c r="J97" s="84">
        <f t="shared" si="17"/>
        <v>0</v>
      </c>
      <c r="K97" s="89" t="s">
        <v>56</v>
      </c>
      <c r="L97" s="90">
        <f t="shared" si="18"/>
        <v>0</v>
      </c>
      <c r="M97" s="78"/>
      <c r="N97" s="78"/>
      <c r="O97" s="78"/>
      <c r="P97" s="78"/>
      <c r="Q97" s="78"/>
      <c r="R97" s="78"/>
      <c r="S97" s="78"/>
      <c r="T97" s="78"/>
      <c r="U97" s="78"/>
      <c r="V97" s="78"/>
      <c r="W97" s="78"/>
      <c r="X97" s="78"/>
      <c r="Y97" s="78"/>
      <c r="Z97" s="78"/>
      <c r="AA97" s="78"/>
      <c r="AB97" s="78"/>
      <c r="AC97" s="78"/>
      <c r="AD97" s="78"/>
      <c r="AE97" s="78"/>
      <c r="AF97" s="78"/>
      <c r="AG97" s="78"/>
      <c r="AH97" s="78"/>
      <c r="AI97" s="78"/>
      <c r="AJ97" s="78"/>
      <c r="AK97" s="78"/>
      <c r="AL97" s="78"/>
      <c r="AM97" s="78"/>
      <c r="AN97" s="78"/>
      <c r="AO97" s="78"/>
      <c r="AP97" s="78"/>
      <c r="AQ97" s="78"/>
      <c r="AR97" s="78"/>
      <c r="AS97" s="78"/>
      <c r="AT97" s="91"/>
      <c r="AU97" s="78"/>
      <c r="AV97" s="78"/>
      <c r="AW97" s="78"/>
      <c r="AX97" s="78"/>
      <c r="AY97" s="78"/>
      <c r="AZ97" s="78"/>
      <c r="BA97" s="78"/>
      <c r="BB97" s="78"/>
      <c r="BC97" s="78"/>
      <c r="BD97" s="78"/>
      <c r="BE97" s="78"/>
      <c r="BF97" s="78"/>
      <c r="BG97" s="78"/>
      <c r="BH97" s="78"/>
      <c r="BI97" s="78"/>
      <c r="BJ97" s="78"/>
      <c r="BK97" s="78"/>
      <c r="BL97" s="78"/>
      <c r="BM97" s="78"/>
      <c r="BN97" s="78"/>
      <c r="BO97" s="78"/>
      <c r="BP97" s="78"/>
      <c r="BQ97" s="78"/>
      <c r="BR97" s="78"/>
      <c r="BS97" s="78"/>
      <c r="BT97" s="78"/>
      <c r="BU97" s="78"/>
      <c r="BV97" s="78"/>
      <c r="BW97" s="78"/>
      <c r="BX97" s="78"/>
      <c r="BY97" s="78"/>
      <c r="BZ97" s="78"/>
      <c r="CA97" s="78"/>
      <c r="CB97" s="78"/>
      <c r="CC97" s="78"/>
      <c r="CD97" s="78"/>
      <c r="CE97" s="78"/>
      <c r="CF97" s="78"/>
      <c r="CG97" s="78"/>
      <c r="CH97" s="78"/>
      <c r="CI97" s="78"/>
      <c r="CJ97" s="78"/>
      <c r="CK97" s="78"/>
      <c r="CL97" s="78"/>
      <c r="CM97" s="78"/>
      <c r="CN97" s="78"/>
      <c r="CO97" s="78"/>
      <c r="CP97" s="78"/>
      <c r="CQ97" s="78"/>
      <c r="CR97" s="78"/>
      <c r="CS97" s="78"/>
      <c r="CT97" s="78"/>
      <c r="CU97" s="78"/>
      <c r="CV97" s="78"/>
      <c r="CW97" s="78"/>
      <c r="CX97" s="78"/>
      <c r="CY97" s="78"/>
      <c r="CZ97" s="78"/>
      <c r="DA97" s="78"/>
      <c r="DB97" s="78"/>
      <c r="DC97" s="78"/>
      <c r="DD97" s="78"/>
      <c r="DE97" s="78"/>
      <c r="DF97" s="78"/>
      <c r="DG97" s="78"/>
      <c r="DH97" s="78"/>
      <c r="DI97" s="78"/>
      <c r="DJ97" s="78"/>
      <c r="DK97" s="78"/>
      <c r="DL97" s="78"/>
      <c r="DM97" s="78"/>
      <c r="DN97" s="78"/>
      <c r="DO97" s="78"/>
      <c r="DP97" s="78"/>
      <c r="DQ97" s="78"/>
      <c r="DR97" s="78"/>
      <c r="DS97" s="78"/>
      <c r="DT97" s="78"/>
      <c r="DU97" s="78"/>
      <c r="DV97" s="78"/>
      <c r="DW97" s="78"/>
      <c r="DX97" s="78"/>
      <c r="DY97" s="78"/>
      <c r="DZ97" s="78"/>
      <c r="EA97" s="78"/>
      <c r="EB97" s="78"/>
      <c r="EC97" s="78"/>
      <c r="ED97" s="78"/>
      <c r="EE97" s="78"/>
      <c r="EF97" s="78"/>
      <c r="EG97" s="78"/>
      <c r="EH97" s="78"/>
      <c r="EI97" s="91"/>
      <c r="EJ97" s="91"/>
      <c r="EK97" s="91"/>
      <c r="EL97" s="91"/>
      <c r="EM97" s="91"/>
      <c r="EN97" s="91"/>
      <c r="EO97" s="91"/>
      <c r="EP97" s="78"/>
      <c r="EQ97" s="78"/>
      <c r="ER97" s="78"/>
      <c r="ES97" s="78"/>
      <c r="ET97" s="78"/>
      <c r="EU97" s="78"/>
      <c r="EV97" s="78"/>
      <c r="EW97" s="78"/>
      <c r="EX97" s="78"/>
      <c r="EY97" s="78"/>
      <c r="EZ97" s="78"/>
      <c r="FA97" s="78"/>
      <c r="FB97" s="78"/>
      <c r="FC97" s="78"/>
      <c r="FD97" s="78"/>
      <c r="FE97" s="78"/>
      <c r="FF97" s="78"/>
      <c r="FG97" s="78"/>
      <c r="FH97" s="78"/>
      <c r="FI97" s="78"/>
      <c r="FJ97" s="78"/>
      <c r="FK97" s="78"/>
    </row>
    <row r="98" spans="1:167" hidden="1" outlineLevel="1">
      <c r="A98" s="29" t="str">
        <f t="shared" si="19"/>
        <v>cd_imv_out_bensn.a.</v>
      </c>
      <c r="B98" s="67" t="s">
        <v>26</v>
      </c>
      <c r="C98" s="68" t="s">
        <v>54</v>
      </c>
      <c r="D98" s="64" t="s">
        <v>36</v>
      </c>
      <c r="E98" s="66" t="s">
        <v>482</v>
      </c>
      <c r="F98" s="64" t="s">
        <v>38</v>
      </c>
      <c r="G98" s="64" t="e">
        <f>INDEX(Auxiliar!$B$16:$B$24,MATCH(Plano_V1!H98,Auxiliar!$C$16:$C$24,0),1)</f>
        <v>#N/A</v>
      </c>
      <c r="H98" s="64" t="e">
        <f>VLOOKUP(A98,'Aux - pivots1'!$A:$B,2,0)</f>
        <v>#N/A</v>
      </c>
      <c r="I98" s="84">
        <f>SUMIFS(Table1[Estimação (horas)],Table1[Tabela],Plano_V1!E98,Table1[Campo],Plano_V1!F98)</f>
        <v>0</v>
      </c>
      <c r="J98" s="84">
        <f t="shared" si="17"/>
        <v>0</v>
      </c>
      <c r="K98" s="87" t="s">
        <v>95</v>
      </c>
      <c r="L98" s="90">
        <f t="shared" si="18"/>
        <v>0</v>
      </c>
      <c r="M98" s="78"/>
      <c r="N98" s="78"/>
      <c r="O98" s="78"/>
      <c r="P98" s="78"/>
      <c r="Q98" s="78"/>
      <c r="R98" s="78"/>
      <c r="S98" s="78"/>
      <c r="T98" s="78"/>
      <c r="U98" s="78"/>
      <c r="V98" s="78"/>
      <c r="W98" s="78"/>
      <c r="X98" s="78"/>
      <c r="Y98" s="78"/>
      <c r="Z98" s="78"/>
      <c r="AA98" s="78"/>
      <c r="AB98" s="78"/>
      <c r="AC98" s="78"/>
      <c r="AD98" s="78"/>
      <c r="AE98" s="78"/>
      <c r="AF98" s="78"/>
      <c r="AG98" s="78"/>
      <c r="AH98" s="78"/>
      <c r="AI98" s="78"/>
      <c r="AJ98" s="78"/>
      <c r="AK98" s="78"/>
      <c r="AL98" s="78"/>
      <c r="AM98" s="78"/>
      <c r="AN98" s="78"/>
      <c r="AO98" s="78"/>
      <c r="AP98" s="78"/>
      <c r="AQ98" s="78"/>
      <c r="AR98" s="78"/>
      <c r="AS98" s="78"/>
      <c r="AT98" s="91"/>
      <c r="AU98" s="78"/>
      <c r="AV98" s="78"/>
      <c r="AW98" s="78"/>
      <c r="AX98" s="78"/>
      <c r="AY98" s="78"/>
      <c r="AZ98" s="78"/>
      <c r="BA98" s="78"/>
      <c r="BB98" s="78"/>
      <c r="BC98" s="78"/>
      <c r="BD98" s="78"/>
      <c r="BE98" s="78"/>
      <c r="BF98" s="78"/>
      <c r="BG98" s="78"/>
      <c r="BH98" s="78"/>
      <c r="BI98" s="78"/>
      <c r="BJ98" s="78"/>
      <c r="BK98" s="78"/>
      <c r="BL98" s="78"/>
      <c r="BM98" s="78"/>
      <c r="BN98" s="78"/>
      <c r="BO98" s="78"/>
      <c r="BP98" s="78"/>
      <c r="BQ98" s="78"/>
      <c r="BR98" s="78"/>
      <c r="BS98" s="78"/>
      <c r="BT98" s="78"/>
      <c r="BU98" s="78"/>
      <c r="BV98" s="78"/>
      <c r="BW98" s="78"/>
      <c r="BX98" s="78"/>
      <c r="BY98" s="78"/>
      <c r="BZ98" s="78"/>
      <c r="CA98" s="78"/>
      <c r="CB98" s="78"/>
      <c r="CC98" s="78"/>
      <c r="CD98" s="78"/>
      <c r="CE98" s="78"/>
      <c r="CF98" s="78"/>
      <c r="CG98" s="78"/>
      <c r="CH98" s="78"/>
      <c r="CI98" s="78"/>
      <c r="CJ98" s="78"/>
      <c r="CK98" s="78"/>
      <c r="CL98" s="78"/>
      <c r="CM98" s="78"/>
      <c r="CN98" s="78"/>
      <c r="CO98" s="78"/>
      <c r="CP98" s="78"/>
      <c r="CQ98" s="78"/>
      <c r="CR98" s="78"/>
      <c r="CS98" s="78"/>
      <c r="CT98" s="78"/>
      <c r="CU98" s="78"/>
      <c r="CV98" s="78"/>
      <c r="CW98" s="78"/>
      <c r="CX98" s="78"/>
      <c r="CY98" s="78"/>
      <c r="CZ98" s="78"/>
      <c r="DA98" s="78"/>
      <c r="DB98" s="78"/>
      <c r="DC98" s="78"/>
      <c r="DD98" s="78"/>
      <c r="DE98" s="78"/>
      <c r="DF98" s="78"/>
      <c r="DG98" s="78"/>
      <c r="DH98" s="78"/>
      <c r="DI98" s="78"/>
      <c r="DJ98" s="78"/>
      <c r="DK98" s="78"/>
      <c r="DL98" s="78"/>
      <c r="DM98" s="78"/>
      <c r="DN98" s="78"/>
      <c r="DO98" s="78"/>
      <c r="DP98" s="78"/>
      <c r="DQ98" s="78"/>
      <c r="DR98" s="78"/>
      <c r="DS98" s="78"/>
      <c r="DT98" s="78"/>
      <c r="DU98" s="78"/>
      <c r="DV98" s="78"/>
      <c r="DW98" s="78"/>
      <c r="DX98" s="78"/>
      <c r="DY98" s="78"/>
      <c r="DZ98" s="78"/>
      <c r="EA98" s="78"/>
      <c r="EB98" s="78"/>
      <c r="EC98" s="78"/>
      <c r="ED98" s="78"/>
      <c r="EE98" s="78"/>
      <c r="EF98" s="78"/>
      <c r="EG98" s="78"/>
      <c r="EH98" s="78"/>
      <c r="EI98" s="91"/>
      <c r="EJ98" s="91"/>
      <c r="EK98" s="91"/>
      <c r="EL98" s="91"/>
      <c r="EM98" s="91"/>
      <c r="EN98" s="91"/>
      <c r="EO98" s="91"/>
      <c r="EP98" s="78"/>
      <c r="EQ98" s="78"/>
      <c r="ER98" s="78"/>
      <c r="ES98" s="78"/>
      <c r="ET98" s="78"/>
      <c r="EU98" s="78"/>
      <c r="EV98" s="78"/>
      <c r="EW98" s="78"/>
      <c r="EX98" s="78"/>
      <c r="EY98" s="78"/>
      <c r="EZ98" s="78"/>
      <c r="FA98" s="78"/>
      <c r="FB98" s="78"/>
      <c r="FC98" s="78"/>
      <c r="FD98" s="78"/>
      <c r="FE98" s="78"/>
      <c r="FF98" s="78"/>
      <c r="FG98" s="78"/>
      <c r="FH98" s="78"/>
      <c r="FI98" s="78"/>
      <c r="FJ98" s="78"/>
      <c r="FK98" s="78"/>
    </row>
    <row r="99" spans="1:167" hidden="1" outlineLevel="1">
      <c r="A99" s="29" t="str">
        <f t="shared" si="19"/>
        <v>cd_imv_out_bensano_construcao</v>
      </c>
      <c r="B99" s="67" t="s">
        <v>26</v>
      </c>
      <c r="C99" s="68" t="s">
        <v>54</v>
      </c>
      <c r="D99" s="64" t="s">
        <v>40</v>
      </c>
      <c r="E99" s="66" t="s">
        <v>482</v>
      </c>
      <c r="F99" s="64" t="s">
        <v>483</v>
      </c>
      <c r="G99" s="64" t="e">
        <f>INDEX(Auxiliar!$B$16:$B$24,MATCH(Plano_V1!H99,Auxiliar!$C$16:$C$24,0),1)</f>
        <v>#N/A</v>
      </c>
      <c r="H99" s="64" t="e">
        <f>VLOOKUP(A99,'Aux - pivots1'!$A:$B,2,0)</f>
        <v>#N/A</v>
      </c>
      <c r="I99" s="85">
        <v>0</v>
      </c>
      <c r="J99" s="84">
        <f t="shared" si="17"/>
        <v>0</v>
      </c>
      <c r="K99" s="87" t="s">
        <v>95</v>
      </c>
      <c r="L99" s="90">
        <f t="shared" si="18"/>
        <v>0</v>
      </c>
      <c r="M99" s="78"/>
      <c r="N99" s="78"/>
      <c r="O99" s="78"/>
      <c r="P99" s="78"/>
      <c r="Q99" s="78"/>
      <c r="R99" s="78"/>
      <c r="S99" s="78"/>
      <c r="T99" s="78"/>
      <c r="U99" s="78"/>
      <c r="V99" s="78"/>
      <c r="W99" s="78"/>
      <c r="X99" s="78"/>
      <c r="Y99" s="78"/>
      <c r="Z99" s="78"/>
      <c r="AA99" s="78"/>
      <c r="AB99" s="78"/>
      <c r="AC99" s="78"/>
      <c r="AD99" s="78"/>
      <c r="AE99" s="78"/>
      <c r="AF99" s="78"/>
      <c r="AG99" s="78"/>
      <c r="AH99" s="78"/>
      <c r="AI99" s="78"/>
      <c r="AJ99" s="78"/>
      <c r="AK99" s="78"/>
      <c r="AL99" s="78"/>
      <c r="AM99" s="78"/>
      <c r="AN99" s="78"/>
      <c r="AO99" s="78"/>
      <c r="AP99" s="78"/>
      <c r="AQ99" s="78"/>
      <c r="AR99" s="78"/>
      <c r="AS99" s="78"/>
      <c r="AT99" s="91"/>
      <c r="AU99" s="78"/>
      <c r="AV99" s="78"/>
      <c r="AW99" s="78"/>
      <c r="AX99" s="78"/>
      <c r="AY99" s="78"/>
      <c r="AZ99" s="78"/>
      <c r="BA99" s="78"/>
      <c r="BB99" s="78"/>
      <c r="BC99" s="78"/>
      <c r="BD99" s="78"/>
      <c r="BE99" s="78"/>
      <c r="BF99" s="78"/>
      <c r="BG99" s="78"/>
      <c r="BH99" s="78"/>
      <c r="BI99" s="78"/>
      <c r="BJ99" s="78"/>
      <c r="BK99" s="78"/>
      <c r="BL99" s="78"/>
      <c r="BM99" s="78"/>
      <c r="BN99" s="78"/>
      <c r="BO99" s="78"/>
      <c r="BP99" s="78"/>
      <c r="BQ99" s="78"/>
      <c r="BR99" s="78"/>
      <c r="BS99" s="78"/>
      <c r="BT99" s="78"/>
      <c r="BU99" s="78"/>
      <c r="BV99" s="78"/>
      <c r="BW99" s="78"/>
      <c r="BX99" s="78"/>
      <c r="BY99" s="78"/>
      <c r="BZ99" s="78"/>
      <c r="CA99" s="78"/>
      <c r="CB99" s="78"/>
      <c r="CC99" s="78"/>
      <c r="CD99" s="78"/>
      <c r="CE99" s="78"/>
      <c r="CF99" s="78"/>
      <c r="CG99" s="78"/>
      <c r="CH99" s="78"/>
      <c r="CI99" s="78"/>
      <c r="CJ99" s="78"/>
      <c r="CK99" s="78"/>
      <c r="CL99" s="78"/>
      <c r="CM99" s="78"/>
      <c r="CN99" s="78"/>
      <c r="CO99" s="78"/>
      <c r="CP99" s="78"/>
      <c r="CQ99" s="78"/>
      <c r="CR99" s="78"/>
      <c r="CS99" s="78"/>
      <c r="CT99" s="78"/>
      <c r="CU99" s="78"/>
      <c r="CV99" s="78"/>
      <c r="CW99" s="78"/>
      <c r="CX99" s="78"/>
      <c r="CY99" s="78"/>
      <c r="CZ99" s="78"/>
      <c r="DA99" s="78"/>
      <c r="DB99" s="78"/>
      <c r="DC99" s="78"/>
      <c r="DD99" s="78"/>
      <c r="DE99" s="78"/>
      <c r="DF99" s="78"/>
      <c r="DG99" s="78"/>
      <c r="DH99" s="78"/>
      <c r="DI99" s="78"/>
      <c r="DJ99" s="78"/>
      <c r="DK99" s="78"/>
      <c r="DL99" s="78"/>
      <c r="DM99" s="78"/>
      <c r="DN99" s="78"/>
      <c r="DO99" s="78"/>
      <c r="DP99" s="78"/>
      <c r="DQ99" s="78"/>
      <c r="DR99" s="78"/>
      <c r="DS99" s="78"/>
      <c r="DT99" s="78"/>
      <c r="DU99" s="78"/>
      <c r="DV99" s="78"/>
      <c r="DW99" s="78"/>
      <c r="DX99" s="78"/>
      <c r="DY99" s="78"/>
      <c r="DZ99" s="78"/>
      <c r="EA99" s="78"/>
      <c r="EB99" s="78"/>
      <c r="EC99" s="78"/>
      <c r="ED99" s="78"/>
      <c r="EE99" s="78"/>
      <c r="EF99" s="78"/>
      <c r="EG99" s="78"/>
      <c r="EH99" s="78"/>
      <c r="EI99" s="91"/>
      <c r="EJ99" s="91"/>
      <c r="EK99" s="91"/>
      <c r="EL99" s="91"/>
      <c r="EM99" s="91"/>
      <c r="EN99" s="91"/>
      <c r="EO99" s="91"/>
      <c r="EP99" s="78"/>
      <c r="EQ99" s="78"/>
      <c r="ER99" s="78"/>
      <c r="ES99" s="78"/>
      <c r="ET99" s="78"/>
      <c r="EU99" s="78"/>
      <c r="EV99" s="78"/>
      <c r="EW99" s="78"/>
      <c r="EX99" s="78"/>
      <c r="EY99" s="78"/>
      <c r="EZ99" s="78"/>
      <c r="FA99" s="78"/>
      <c r="FB99" s="78"/>
      <c r="FC99" s="78"/>
      <c r="FD99" s="78"/>
      <c r="FE99" s="78"/>
      <c r="FF99" s="78"/>
      <c r="FG99" s="78"/>
      <c r="FH99" s="78"/>
      <c r="FI99" s="78"/>
      <c r="FJ99" s="78"/>
      <c r="FK99" s="78"/>
    </row>
    <row r="100" spans="1:167" hidden="1" outlineLevel="1">
      <c r="A100" s="29" t="str">
        <f t="shared" si="19"/>
        <v>cd_imv_out_bensarea_util</v>
      </c>
      <c r="B100" s="67" t="s">
        <v>26</v>
      </c>
      <c r="C100" s="68" t="s">
        <v>54</v>
      </c>
      <c r="D100" s="64" t="s">
        <v>40</v>
      </c>
      <c r="E100" s="66" t="s">
        <v>482</v>
      </c>
      <c r="F100" s="64" t="s">
        <v>484</v>
      </c>
      <c r="G100" s="64" t="e">
        <f>INDEX(Auxiliar!$B$16:$B$24,MATCH(Plano_V1!H100,Auxiliar!$C$16:$C$24,0),1)</f>
        <v>#N/A</v>
      </c>
      <c r="H100" s="64" t="e">
        <f>VLOOKUP(A100,'Aux - pivots1'!$A:$B,2,0)</f>
        <v>#N/A</v>
      </c>
      <c r="I100" s="84">
        <f>SUMIFS(Table1[Estimação (horas)],Table1[Tabela],Plano_V1!E100,Table1[Campo],Plano_V1!F100)</f>
        <v>0</v>
      </c>
      <c r="J100" s="84">
        <f t="shared" si="17"/>
        <v>0</v>
      </c>
      <c r="K100" s="87" t="s">
        <v>95</v>
      </c>
      <c r="L100" s="90">
        <f t="shared" si="18"/>
        <v>0</v>
      </c>
      <c r="M100" s="78"/>
      <c r="N100" s="78"/>
      <c r="O100" s="78"/>
      <c r="P100" s="78"/>
      <c r="Q100" s="78"/>
      <c r="R100" s="78"/>
      <c r="S100" s="78"/>
      <c r="T100" s="78"/>
      <c r="U100" s="78"/>
      <c r="V100" s="78"/>
      <c r="W100" s="78"/>
      <c r="X100" s="78"/>
      <c r="Y100" s="78"/>
      <c r="Z100" s="78"/>
      <c r="AA100" s="78"/>
      <c r="AB100" s="78"/>
      <c r="AC100" s="78"/>
      <c r="AD100" s="78"/>
      <c r="AE100" s="78"/>
      <c r="AF100" s="78"/>
      <c r="AG100" s="78"/>
      <c r="AH100" s="78"/>
      <c r="AI100" s="78"/>
      <c r="AJ100" s="78"/>
      <c r="AK100" s="78"/>
      <c r="AL100" s="78"/>
      <c r="AM100" s="78"/>
      <c r="AN100" s="78"/>
      <c r="AO100" s="78"/>
      <c r="AP100" s="78"/>
      <c r="AQ100" s="78"/>
      <c r="AR100" s="78"/>
      <c r="AS100" s="78"/>
      <c r="AT100" s="91"/>
      <c r="AU100" s="78"/>
      <c r="AV100" s="78"/>
      <c r="AW100" s="78"/>
      <c r="AX100" s="78"/>
      <c r="AY100" s="78"/>
      <c r="AZ100" s="78"/>
      <c r="BA100" s="78"/>
      <c r="BB100" s="78"/>
      <c r="BC100" s="78"/>
      <c r="BD100" s="78"/>
      <c r="BE100" s="78"/>
      <c r="BF100" s="78"/>
      <c r="BG100" s="78"/>
      <c r="BH100" s="78"/>
      <c r="BI100" s="78"/>
      <c r="BJ100" s="78"/>
      <c r="BK100" s="78"/>
      <c r="BL100" s="78"/>
      <c r="BM100" s="78"/>
      <c r="BN100" s="78"/>
      <c r="BO100" s="78"/>
      <c r="BP100" s="78"/>
      <c r="BQ100" s="78"/>
      <c r="BR100" s="78"/>
      <c r="BS100" s="78"/>
      <c r="BT100" s="78"/>
      <c r="BU100" s="78"/>
      <c r="BV100" s="78"/>
      <c r="BW100" s="78"/>
      <c r="BX100" s="78"/>
      <c r="BY100" s="78"/>
      <c r="BZ100" s="78"/>
      <c r="CA100" s="78"/>
      <c r="CB100" s="78"/>
      <c r="CC100" s="78"/>
      <c r="CD100" s="78"/>
      <c r="CE100" s="78"/>
      <c r="CF100" s="78"/>
      <c r="CG100" s="78"/>
      <c r="CH100" s="78"/>
      <c r="CI100" s="78"/>
      <c r="CJ100" s="78"/>
      <c r="CK100" s="78"/>
      <c r="CL100" s="78"/>
      <c r="CM100" s="78"/>
      <c r="CN100" s="78"/>
      <c r="CO100" s="78"/>
      <c r="CP100" s="78"/>
      <c r="CQ100" s="78"/>
      <c r="CR100" s="78"/>
      <c r="CS100" s="78"/>
      <c r="CT100" s="78"/>
      <c r="CU100" s="78"/>
      <c r="CV100" s="78"/>
      <c r="CW100" s="78"/>
      <c r="CX100" s="78"/>
      <c r="CY100" s="78"/>
      <c r="CZ100" s="78"/>
      <c r="DA100" s="78"/>
      <c r="DB100" s="78"/>
      <c r="DC100" s="78"/>
      <c r="DD100" s="78"/>
      <c r="DE100" s="78"/>
      <c r="DF100" s="78"/>
      <c r="DG100" s="78"/>
      <c r="DH100" s="78"/>
      <c r="DI100" s="78"/>
      <c r="DJ100" s="78"/>
      <c r="DK100" s="78"/>
      <c r="DL100" s="78"/>
      <c r="DM100" s="78"/>
      <c r="DN100" s="78"/>
      <c r="DO100" s="78"/>
      <c r="DP100" s="78"/>
      <c r="DQ100" s="78"/>
      <c r="DR100" s="78"/>
      <c r="DS100" s="78"/>
      <c r="DT100" s="78"/>
      <c r="DU100" s="78"/>
      <c r="DV100" s="78"/>
      <c r="DW100" s="78"/>
      <c r="DX100" s="78"/>
      <c r="DY100" s="78"/>
      <c r="DZ100" s="78"/>
      <c r="EA100" s="78"/>
      <c r="EB100" s="78"/>
      <c r="EC100" s="78"/>
      <c r="ED100" s="78"/>
      <c r="EE100" s="78"/>
      <c r="EF100" s="78"/>
      <c r="EG100" s="78"/>
      <c r="EH100" s="78"/>
      <c r="EI100" s="91"/>
      <c r="EJ100" s="91"/>
      <c r="EK100" s="91"/>
      <c r="EL100" s="91"/>
      <c r="EM100" s="91"/>
      <c r="EN100" s="91"/>
      <c r="EO100" s="91"/>
      <c r="EP100" s="78"/>
      <c r="EQ100" s="78"/>
      <c r="ER100" s="78"/>
      <c r="ES100" s="78"/>
      <c r="ET100" s="78"/>
      <c r="EU100" s="78"/>
      <c r="EV100" s="78"/>
      <c r="EW100" s="78"/>
      <c r="EX100" s="78"/>
      <c r="EY100" s="78"/>
      <c r="EZ100" s="78"/>
      <c r="FA100" s="78"/>
      <c r="FB100" s="78"/>
      <c r="FC100" s="78"/>
      <c r="FD100" s="78"/>
      <c r="FE100" s="78"/>
      <c r="FF100" s="78"/>
      <c r="FG100" s="78"/>
      <c r="FH100" s="78"/>
      <c r="FI100" s="78"/>
      <c r="FJ100" s="78"/>
      <c r="FK100" s="78"/>
    </row>
    <row r="101" spans="1:167" hidden="1" outlineLevel="1">
      <c r="A101" s="29" t="str">
        <f t="shared" si="19"/>
        <v>cd_imv_out_benscempbem</v>
      </c>
      <c r="B101" s="67" t="s">
        <v>26</v>
      </c>
      <c r="C101" s="68" t="s">
        <v>54</v>
      </c>
      <c r="D101" s="64" t="s">
        <v>40</v>
      </c>
      <c r="E101" s="66" t="s">
        <v>482</v>
      </c>
      <c r="F101" s="64" t="s">
        <v>313</v>
      </c>
      <c r="G101" s="64" t="e">
        <f>INDEX(Auxiliar!$B$16:$B$24,MATCH(Plano_V1!H101,Auxiliar!$C$16:$C$24,0),1)</f>
        <v>#N/A</v>
      </c>
      <c r="H101" s="64" t="e">
        <f>VLOOKUP(A101,'Aux - pivots1'!$A:$B,2,0)</f>
        <v>#N/A</v>
      </c>
      <c r="I101" s="84">
        <f>SUMIFS(Table1[Estimação (horas)],Table1[Tabela],Plano_V1!E101,Table1[Campo],Plano_V1!F101)</f>
        <v>0</v>
      </c>
      <c r="J101" s="84">
        <f t="shared" si="17"/>
        <v>0</v>
      </c>
      <c r="K101" s="87" t="s">
        <v>95</v>
      </c>
      <c r="L101" s="90">
        <f t="shared" si="18"/>
        <v>0</v>
      </c>
      <c r="M101" s="78"/>
      <c r="N101" s="78"/>
      <c r="O101" s="78"/>
      <c r="P101" s="78"/>
      <c r="Q101" s="78"/>
      <c r="R101" s="78"/>
      <c r="S101" s="78"/>
      <c r="T101" s="78"/>
      <c r="U101" s="78"/>
      <c r="V101" s="78"/>
      <c r="W101" s="78"/>
      <c r="X101" s="78"/>
      <c r="Y101" s="78"/>
      <c r="Z101" s="78"/>
      <c r="AA101" s="78"/>
      <c r="AB101" s="78"/>
      <c r="AC101" s="78"/>
      <c r="AD101" s="78"/>
      <c r="AE101" s="78"/>
      <c r="AF101" s="78"/>
      <c r="AG101" s="78"/>
      <c r="AH101" s="78"/>
      <c r="AI101" s="78"/>
      <c r="AJ101" s="78"/>
      <c r="AK101" s="78"/>
      <c r="AL101" s="78"/>
      <c r="AM101" s="78"/>
      <c r="AN101" s="78"/>
      <c r="AO101" s="78"/>
      <c r="AP101" s="78"/>
      <c r="AQ101" s="78"/>
      <c r="AR101" s="78"/>
      <c r="AS101" s="78"/>
      <c r="AT101" s="91"/>
      <c r="AU101" s="78"/>
      <c r="AV101" s="78"/>
      <c r="AW101" s="78"/>
      <c r="AX101" s="78"/>
      <c r="AY101" s="78"/>
      <c r="AZ101" s="78"/>
      <c r="BA101" s="78"/>
      <c r="BB101" s="78"/>
      <c r="BC101" s="78"/>
      <c r="BD101" s="78"/>
      <c r="BE101" s="78"/>
      <c r="BF101" s="78"/>
      <c r="BG101" s="78"/>
      <c r="BH101" s="78"/>
      <c r="BI101" s="78"/>
      <c r="BJ101" s="78"/>
      <c r="BK101" s="78"/>
      <c r="BL101" s="78"/>
      <c r="BM101" s="78"/>
      <c r="BN101" s="78"/>
      <c r="BO101" s="78"/>
      <c r="BP101" s="78"/>
      <c r="BQ101" s="78"/>
      <c r="BR101" s="78"/>
      <c r="BS101" s="78"/>
      <c r="BT101" s="78"/>
      <c r="BU101" s="78"/>
      <c r="BV101" s="78"/>
      <c r="BW101" s="78"/>
      <c r="BX101" s="78"/>
      <c r="BY101" s="78"/>
      <c r="BZ101" s="78"/>
      <c r="CA101" s="78"/>
      <c r="CB101" s="78"/>
      <c r="CC101" s="78"/>
      <c r="CD101" s="78"/>
      <c r="CE101" s="78"/>
      <c r="CF101" s="78"/>
      <c r="CG101" s="78"/>
      <c r="CH101" s="78"/>
      <c r="CI101" s="78"/>
      <c r="CJ101" s="78"/>
      <c r="CK101" s="78"/>
      <c r="CL101" s="78"/>
      <c r="CM101" s="78"/>
      <c r="CN101" s="78"/>
      <c r="CO101" s="78"/>
      <c r="CP101" s="78"/>
      <c r="CQ101" s="78"/>
      <c r="CR101" s="78"/>
      <c r="CS101" s="78"/>
      <c r="CT101" s="78"/>
      <c r="CU101" s="78"/>
      <c r="CV101" s="78"/>
      <c r="CW101" s="78"/>
      <c r="CX101" s="78"/>
      <c r="CY101" s="78"/>
      <c r="CZ101" s="78"/>
      <c r="DA101" s="78"/>
      <c r="DB101" s="78"/>
      <c r="DC101" s="78"/>
      <c r="DD101" s="78"/>
      <c r="DE101" s="78"/>
      <c r="DF101" s="78"/>
      <c r="DG101" s="78"/>
      <c r="DH101" s="78"/>
      <c r="DI101" s="78"/>
      <c r="DJ101" s="78"/>
      <c r="DK101" s="78"/>
      <c r="DL101" s="78"/>
      <c r="DM101" s="78"/>
      <c r="DN101" s="78"/>
      <c r="DO101" s="78"/>
      <c r="DP101" s="78"/>
      <c r="DQ101" s="78"/>
      <c r="DR101" s="78"/>
      <c r="DS101" s="78"/>
      <c r="DT101" s="78"/>
      <c r="DU101" s="78"/>
      <c r="DV101" s="78"/>
      <c r="DW101" s="78"/>
      <c r="DX101" s="78"/>
      <c r="DY101" s="78"/>
      <c r="DZ101" s="78"/>
      <c r="EA101" s="78"/>
      <c r="EB101" s="78"/>
      <c r="EC101" s="78"/>
      <c r="ED101" s="78"/>
      <c r="EE101" s="78"/>
      <c r="EF101" s="78"/>
      <c r="EG101" s="78"/>
      <c r="EH101" s="78"/>
      <c r="EI101" s="91"/>
      <c r="EJ101" s="91"/>
      <c r="EK101" s="91"/>
      <c r="EL101" s="91"/>
      <c r="EM101" s="91"/>
      <c r="EN101" s="91"/>
      <c r="EO101" s="91"/>
      <c r="EP101" s="78"/>
      <c r="EQ101" s="78"/>
      <c r="ER101" s="78"/>
      <c r="ES101" s="78"/>
      <c r="ET101" s="78"/>
      <c r="EU101" s="78"/>
      <c r="EV101" s="78"/>
      <c r="EW101" s="78"/>
      <c r="EX101" s="78"/>
      <c r="EY101" s="78"/>
      <c r="EZ101" s="78"/>
      <c r="FA101" s="78"/>
      <c r="FB101" s="78"/>
      <c r="FC101" s="78"/>
      <c r="FD101" s="78"/>
      <c r="FE101" s="78"/>
      <c r="FF101" s="78"/>
      <c r="FG101" s="78"/>
      <c r="FH101" s="78"/>
      <c r="FI101" s="78"/>
      <c r="FJ101" s="78"/>
      <c r="FK101" s="78"/>
    </row>
    <row r="102" spans="1:167" hidden="1" outlineLevel="1">
      <c r="A102" s="29" t="str">
        <f t="shared" si="19"/>
        <v>cd_imv_out_bensckbalbem</v>
      </c>
      <c r="B102" s="67" t="s">
        <v>26</v>
      </c>
      <c r="C102" s="68" t="s">
        <v>54</v>
      </c>
      <c r="D102" s="64" t="s">
        <v>40</v>
      </c>
      <c r="E102" s="66" t="s">
        <v>482</v>
      </c>
      <c r="F102" s="64" t="s">
        <v>314</v>
      </c>
      <c r="G102" s="64" t="e">
        <f>INDEX(Auxiliar!$B$16:$B$24,MATCH(Plano_V1!H102,Auxiliar!$C$16:$C$24,0),1)</f>
        <v>#N/A</v>
      </c>
      <c r="H102" s="64" t="e">
        <f>VLOOKUP(A102,'Aux - pivots1'!$A:$B,2,0)</f>
        <v>#N/A</v>
      </c>
      <c r="I102" s="84">
        <f>SUMIFS(Table1[Estimação (horas)],Table1[Tabela],Plano_V1!E102,Table1[Campo],Plano_V1!F102)</f>
        <v>0</v>
      </c>
      <c r="J102" s="84">
        <f t="shared" si="17"/>
        <v>0</v>
      </c>
      <c r="K102" s="87" t="s">
        <v>95</v>
      </c>
      <c r="L102" s="90">
        <f t="shared" si="18"/>
        <v>0</v>
      </c>
      <c r="M102" s="78"/>
      <c r="N102" s="78"/>
      <c r="O102" s="78"/>
      <c r="P102" s="78"/>
      <c r="Q102" s="78"/>
      <c r="R102" s="78"/>
      <c r="S102" s="78"/>
      <c r="T102" s="78"/>
      <c r="U102" s="78"/>
      <c r="V102" s="78"/>
      <c r="W102" s="78"/>
      <c r="X102" s="78"/>
      <c r="Y102" s="78"/>
      <c r="Z102" s="78"/>
      <c r="AA102" s="78"/>
      <c r="AB102" s="78"/>
      <c r="AC102" s="78"/>
      <c r="AD102" s="78"/>
      <c r="AE102" s="78"/>
      <c r="AF102" s="78"/>
      <c r="AG102" s="78"/>
      <c r="AH102" s="78"/>
      <c r="AI102" s="78"/>
      <c r="AJ102" s="78"/>
      <c r="AK102" s="78"/>
      <c r="AL102" s="78"/>
      <c r="AM102" s="78"/>
      <c r="AN102" s="78"/>
      <c r="AO102" s="78"/>
      <c r="AP102" s="78"/>
      <c r="AQ102" s="78"/>
      <c r="AR102" s="78"/>
      <c r="AS102" s="78"/>
      <c r="AT102" s="91"/>
      <c r="AU102" s="78"/>
      <c r="AV102" s="78"/>
      <c r="AW102" s="78"/>
      <c r="AX102" s="78"/>
      <c r="AY102" s="78"/>
      <c r="AZ102" s="78"/>
      <c r="BA102" s="78"/>
      <c r="BB102" s="78"/>
      <c r="BC102" s="78"/>
      <c r="BD102" s="78"/>
      <c r="BE102" s="78"/>
      <c r="BF102" s="78"/>
      <c r="BG102" s="78"/>
      <c r="BH102" s="78"/>
      <c r="BI102" s="78"/>
      <c r="BJ102" s="78"/>
      <c r="BK102" s="78"/>
      <c r="BL102" s="78"/>
      <c r="BM102" s="78"/>
      <c r="BN102" s="78"/>
      <c r="BO102" s="78"/>
      <c r="BP102" s="78"/>
      <c r="BQ102" s="78"/>
      <c r="BR102" s="78"/>
      <c r="BS102" s="78"/>
      <c r="BT102" s="78"/>
      <c r="BU102" s="78"/>
      <c r="BV102" s="78"/>
      <c r="BW102" s="78"/>
      <c r="BX102" s="78"/>
      <c r="BY102" s="78"/>
      <c r="BZ102" s="78"/>
      <c r="CA102" s="78"/>
      <c r="CB102" s="78"/>
      <c r="CC102" s="78"/>
      <c r="CD102" s="78"/>
      <c r="CE102" s="78"/>
      <c r="CF102" s="78"/>
      <c r="CG102" s="78"/>
      <c r="CH102" s="78"/>
      <c r="CI102" s="78"/>
      <c r="CJ102" s="78"/>
      <c r="CK102" s="78"/>
      <c r="CL102" s="78"/>
      <c r="CM102" s="78"/>
      <c r="CN102" s="78"/>
      <c r="CO102" s="78"/>
      <c r="CP102" s="78"/>
      <c r="CQ102" s="78"/>
      <c r="CR102" s="78"/>
      <c r="CS102" s="78"/>
      <c r="CT102" s="78"/>
      <c r="CU102" s="78"/>
      <c r="CV102" s="78"/>
      <c r="CW102" s="78"/>
      <c r="CX102" s="78"/>
      <c r="CY102" s="78"/>
      <c r="CZ102" s="78"/>
      <c r="DA102" s="78"/>
      <c r="DB102" s="78"/>
      <c r="DC102" s="78"/>
      <c r="DD102" s="78"/>
      <c r="DE102" s="78"/>
      <c r="DF102" s="78"/>
      <c r="DG102" s="78"/>
      <c r="DH102" s="78"/>
      <c r="DI102" s="78"/>
      <c r="DJ102" s="78"/>
      <c r="DK102" s="78"/>
      <c r="DL102" s="78"/>
      <c r="DM102" s="78"/>
      <c r="DN102" s="78"/>
      <c r="DO102" s="78"/>
      <c r="DP102" s="78"/>
      <c r="DQ102" s="78"/>
      <c r="DR102" s="78"/>
      <c r="DS102" s="78"/>
      <c r="DT102" s="78"/>
      <c r="DU102" s="78"/>
      <c r="DV102" s="78"/>
      <c r="DW102" s="78"/>
      <c r="DX102" s="78"/>
      <c r="DY102" s="78"/>
      <c r="DZ102" s="78"/>
      <c r="EA102" s="78"/>
      <c r="EB102" s="78"/>
      <c r="EC102" s="78"/>
      <c r="ED102" s="78"/>
      <c r="EE102" s="78"/>
      <c r="EF102" s="78"/>
      <c r="EG102" s="78"/>
      <c r="EH102" s="78"/>
      <c r="EI102" s="91"/>
      <c r="EJ102" s="91"/>
      <c r="EK102" s="91"/>
      <c r="EL102" s="91"/>
      <c r="EM102" s="91"/>
      <c r="EN102" s="91"/>
      <c r="EO102" s="91"/>
      <c r="EP102" s="78"/>
      <c r="EQ102" s="78"/>
      <c r="ER102" s="78"/>
      <c r="ES102" s="78"/>
      <c r="ET102" s="78"/>
      <c r="EU102" s="78"/>
      <c r="EV102" s="78"/>
      <c r="EW102" s="78"/>
      <c r="EX102" s="78"/>
      <c r="EY102" s="78"/>
      <c r="EZ102" s="78"/>
      <c r="FA102" s="78"/>
      <c r="FB102" s="78"/>
      <c r="FC102" s="78"/>
      <c r="FD102" s="78"/>
      <c r="FE102" s="78"/>
      <c r="FF102" s="78"/>
      <c r="FG102" s="78"/>
      <c r="FH102" s="78"/>
      <c r="FI102" s="78"/>
      <c r="FJ102" s="78"/>
      <c r="FK102" s="78"/>
    </row>
    <row r="103" spans="1:167" hidden="1" outlineLevel="1">
      <c r="A103" s="29" t="str">
        <f t="shared" si="19"/>
        <v>cd_imv_out_bensckctabem</v>
      </c>
      <c r="B103" s="67" t="s">
        <v>26</v>
      </c>
      <c r="C103" s="68" t="s">
        <v>54</v>
      </c>
      <c r="D103" s="64" t="s">
        <v>40</v>
      </c>
      <c r="E103" s="66" t="s">
        <v>482</v>
      </c>
      <c r="F103" s="64" t="s">
        <v>315</v>
      </c>
      <c r="G103" s="64" t="e">
        <f>INDEX(Auxiliar!$B$16:$B$24,MATCH(Plano_V1!H103,Auxiliar!$C$16:$C$24,0),1)</f>
        <v>#N/A</v>
      </c>
      <c r="H103" s="64" t="e">
        <f>VLOOKUP(A103,'Aux - pivots1'!$A:$B,2,0)</f>
        <v>#N/A</v>
      </c>
      <c r="I103" s="84">
        <f>SUMIFS(Table1[Estimação (horas)],Table1[Tabela],Plano_V1!E103,Table1[Campo],Plano_V1!F103)</f>
        <v>0</v>
      </c>
      <c r="J103" s="84">
        <f t="shared" si="17"/>
        <v>0</v>
      </c>
      <c r="K103" s="87" t="s">
        <v>95</v>
      </c>
      <c r="L103" s="90">
        <f t="shared" si="18"/>
        <v>0</v>
      </c>
      <c r="M103" s="78"/>
      <c r="N103" s="78"/>
      <c r="O103" s="78"/>
      <c r="P103" s="78"/>
      <c r="Q103" s="78"/>
      <c r="R103" s="78"/>
      <c r="S103" s="78"/>
      <c r="T103" s="78"/>
      <c r="U103" s="78"/>
      <c r="V103" s="78"/>
      <c r="W103" s="78"/>
      <c r="X103" s="78"/>
      <c r="Y103" s="78"/>
      <c r="Z103" s="78"/>
      <c r="AA103" s="78"/>
      <c r="AB103" s="78"/>
      <c r="AC103" s="78"/>
      <c r="AD103" s="78"/>
      <c r="AE103" s="78"/>
      <c r="AF103" s="78"/>
      <c r="AG103" s="78"/>
      <c r="AH103" s="78"/>
      <c r="AI103" s="78"/>
      <c r="AJ103" s="78"/>
      <c r="AK103" s="78"/>
      <c r="AL103" s="78"/>
      <c r="AM103" s="78"/>
      <c r="AN103" s="78"/>
      <c r="AO103" s="78"/>
      <c r="AP103" s="78"/>
      <c r="AQ103" s="78"/>
      <c r="AR103" s="78"/>
      <c r="AS103" s="78"/>
      <c r="AT103" s="91"/>
      <c r="AU103" s="78"/>
      <c r="AV103" s="78"/>
      <c r="AW103" s="78"/>
      <c r="AX103" s="78"/>
      <c r="AY103" s="78"/>
      <c r="AZ103" s="78"/>
      <c r="BA103" s="78"/>
      <c r="BB103" s="78"/>
      <c r="BC103" s="78"/>
      <c r="BD103" s="78"/>
      <c r="BE103" s="78"/>
      <c r="BF103" s="78"/>
      <c r="BG103" s="78"/>
      <c r="BH103" s="78"/>
      <c r="BI103" s="78"/>
      <c r="BJ103" s="78"/>
      <c r="BK103" s="78"/>
      <c r="BL103" s="78"/>
      <c r="BM103" s="78"/>
      <c r="BN103" s="78"/>
      <c r="BO103" s="78"/>
      <c r="BP103" s="78"/>
      <c r="BQ103" s="78"/>
      <c r="BR103" s="78"/>
      <c r="BS103" s="78"/>
      <c r="BT103" s="78"/>
      <c r="BU103" s="78"/>
      <c r="BV103" s="78"/>
      <c r="BW103" s="78"/>
      <c r="BX103" s="78"/>
      <c r="BY103" s="78"/>
      <c r="BZ103" s="78"/>
      <c r="CA103" s="78"/>
      <c r="CB103" s="78"/>
      <c r="CC103" s="78"/>
      <c r="CD103" s="78"/>
      <c r="CE103" s="78"/>
      <c r="CF103" s="78"/>
      <c r="CG103" s="78"/>
      <c r="CH103" s="78"/>
      <c r="CI103" s="78"/>
      <c r="CJ103" s="78"/>
      <c r="CK103" s="78"/>
      <c r="CL103" s="78"/>
      <c r="CM103" s="78"/>
      <c r="CN103" s="78"/>
      <c r="CO103" s="78"/>
      <c r="CP103" s="78"/>
      <c r="CQ103" s="78"/>
      <c r="CR103" s="78"/>
      <c r="CS103" s="78"/>
      <c r="CT103" s="78"/>
      <c r="CU103" s="78"/>
      <c r="CV103" s="78"/>
      <c r="CW103" s="78"/>
      <c r="CX103" s="78"/>
      <c r="CY103" s="78"/>
      <c r="CZ103" s="78"/>
      <c r="DA103" s="78"/>
      <c r="DB103" s="78"/>
      <c r="DC103" s="78"/>
      <c r="DD103" s="78"/>
      <c r="DE103" s="78"/>
      <c r="DF103" s="78"/>
      <c r="DG103" s="78"/>
      <c r="DH103" s="78"/>
      <c r="DI103" s="78"/>
      <c r="DJ103" s="78"/>
      <c r="DK103" s="78"/>
      <c r="DL103" s="78"/>
      <c r="DM103" s="78"/>
      <c r="DN103" s="78"/>
      <c r="DO103" s="78"/>
      <c r="DP103" s="78"/>
      <c r="DQ103" s="78"/>
      <c r="DR103" s="78"/>
      <c r="DS103" s="78"/>
      <c r="DT103" s="78"/>
      <c r="DU103" s="78"/>
      <c r="DV103" s="78"/>
      <c r="DW103" s="78"/>
      <c r="DX103" s="78"/>
      <c r="DY103" s="78"/>
      <c r="DZ103" s="78"/>
      <c r="EA103" s="78"/>
      <c r="EB103" s="78"/>
      <c r="EC103" s="78"/>
      <c r="ED103" s="78"/>
      <c r="EE103" s="78"/>
      <c r="EF103" s="78"/>
      <c r="EG103" s="78"/>
      <c r="EH103" s="78"/>
      <c r="EI103" s="91"/>
      <c r="EJ103" s="91"/>
      <c r="EK103" s="91"/>
      <c r="EL103" s="91"/>
      <c r="EM103" s="91"/>
      <c r="EN103" s="91"/>
      <c r="EO103" s="91"/>
      <c r="EP103" s="78"/>
      <c r="EQ103" s="78"/>
      <c r="ER103" s="78"/>
      <c r="ES103" s="78"/>
      <c r="ET103" s="78"/>
      <c r="EU103" s="78"/>
      <c r="EV103" s="78"/>
      <c r="EW103" s="78"/>
      <c r="EX103" s="78"/>
      <c r="EY103" s="78"/>
      <c r="EZ103" s="78"/>
      <c r="FA103" s="78"/>
      <c r="FB103" s="78"/>
      <c r="FC103" s="78"/>
      <c r="FD103" s="78"/>
      <c r="FE103" s="78"/>
      <c r="FF103" s="78"/>
      <c r="FG103" s="78"/>
      <c r="FH103" s="78"/>
      <c r="FI103" s="78"/>
      <c r="FJ103" s="78"/>
      <c r="FK103" s="78"/>
    </row>
    <row r="104" spans="1:167" hidden="1" outlineLevel="1">
      <c r="A104" s="29" t="str">
        <f t="shared" si="19"/>
        <v>cd_imv_out_bensckrefbem</v>
      </c>
      <c r="B104" s="67" t="s">
        <v>26</v>
      </c>
      <c r="C104" s="68" t="s">
        <v>54</v>
      </c>
      <c r="D104" s="64" t="s">
        <v>40</v>
      </c>
      <c r="E104" s="66" t="s">
        <v>482</v>
      </c>
      <c r="F104" s="64" t="s">
        <v>316</v>
      </c>
      <c r="G104" s="64" t="e">
        <f>INDEX(Auxiliar!$B$16:$B$24,MATCH(Plano_V1!H104,Auxiliar!$C$16:$C$24,0),1)</f>
        <v>#N/A</v>
      </c>
      <c r="H104" s="64" t="e">
        <f>VLOOKUP(A104,'Aux - pivots1'!$A:$B,2,0)</f>
        <v>#N/A</v>
      </c>
      <c r="I104" s="84">
        <f>SUMIFS(Table1[Estimação (horas)],Table1[Tabela],Plano_V1!E104,Table1[Campo],Plano_V1!F104)</f>
        <v>0</v>
      </c>
      <c r="J104" s="84">
        <f t="shared" si="17"/>
        <v>0</v>
      </c>
      <c r="K104" s="87" t="s">
        <v>95</v>
      </c>
      <c r="L104" s="90">
        <f t="shared" si="18"/>
        <v>0</v>
      </c>
      <c r="M104" s="78"/>
      <c r="N104" s="78"/>
      <c r="O104" s="78"/>
      <c r="P104" s="78"/>
      <c r="Q104" s="78"/>
      <c r="R104" s="78"/>
      <c r="S104" s="78"/>
      <c r="T104" s="78"/>
      <c r="U104" s="78"/>
      <c r="V104" s="78"/>
      <c r="W104" s="78"/>
      <c r="X104" s="78"/>
      <c r="Y104" s="78"/>
      <c r="Z104" s="78"/>
      <c r="AA104" s="78"/>
      <c r="AB104" s="78"/>
      <c r="AC104" s="78"/>
      <c r="AD104" s="78"/>
      <c r="AE104" s="78"/>
      <c r="AF104" s="78"/>
      <c r="AG104" s="78"/>
      <c r="AH104" s="78"/>
      <c r="AI104" s="78"/>
      <c r="AJ104" s="78"/>
      <c r="AK104" s="78"/>
      <c r="AL104" s="78"/>
      <c r="AM104" s="78"/>
      <c r="AN104" s="78"/>
      <c r="AO104" s="78"/>
      <c r="AP104" s="78"/>
      <c r="AQ104" s="78"/>
      <c r="AR104" s="78"/>
      <c r="AS104" s="78"/>
      <c r="AT104" s="91"/>
      <c r="AU104" s="78"/>
      <c r="AV104" s="78"/>
      <c r="AW104" s="78"/>
      <c r="AX104" s="78"/>
      <c r="AY104" s="78"/>
      <c r="AZ104" s="78"/>
      <c r="BA104" s="78"/>
      <c r="BB104" s="78"/>
      <c r="BC104" s="78"/>
      <c r="BD104" s="78"/>
      <c r="BE104" s="78"/>
      <c r="BF104" s="78"/>
      <c r="BG104" s="78"/>
      <c r="BH104" s="78"/>
      <c r="BI104" s="78"/>
      <c r="BJ104" s="78"/>
      <c r="BK104" s="78"/>
      <c r="BL104" s="78"/>
      <c r="BM104" s="78"/>
      <c r="BN104" s="78"/>
      <c r="BO104" s="78"/>
      <c r="BP104" s="78"/>
      <c r="BQ104" s="78"/>
      <c r="BR104" s="78"/>
      <c r="BS104" s="78"/>
      <c r="BT104" s="78"/>
      <c r="BU104" s="78"/>
      <c r="BV104" s="78"/>
      <c r="BW104" s="78"/>
      <c r="BX104" s="78"/>
      <c r="BY104" s="78"/>
      <c r="BZ104" s="78"/>
      <c r="CA104" s="78"/>
      <c r="CB104" s="78"/>
      <c r="CC104" s="78"/>
      <c r="CD104" s="78"/>
      <c r="CE104" s="78"/>
      <c r="CF104" s="78"/>
      <c r="CG104" s="78"/>
      <c r="CH104" s="78"/>
      <c r="CI104" s="78"/>
      <c r="CJ104" s="78"/>
      <c r="CK104" s="78"/>
      <c r="CL104" s="78"/>
      <c r="CM104" s="78"/>
      <c r="CN104" s="78"/>
      <c r="CO104" s="78"/>
      <c r="CP104" s="78"/>
      <c r="CQ104" s="78"/>
      <c r="CR104" s="78"/>
      <c r="CS104" s="78"/>
      <c r="CT104" s="78"/>
      <c r="CU104" s="78"/>
      <c r="CV104" s="78"/>
      <c r="CW104" s="78"/>
      <c r="CX104" s="78"/>
      <c r="CY104" s="78"/>
      <c r="CZ104" s="78"/>
      <c r="DA104" s="78"/>
      <c r="DB104" s="78"/>
      <c r="DC104" s="78"/>
      <c r="DD104" s="78"/>
      <c r="DE104" s="78"/>
      <c r="DF104" s="78"/>
      <c r="DG104" s="78"/>
      <c r="DH104" s="78"/>
      <c r="DI104" s="78"/>
      <c r="DJ104" s="78"/>
      <c r="DK104" s="78"/>
      <c r="DL104" s="78"/>
      <c r="DM104" s="78"/>
      <c r="DN104" s="78"/>
      <c r="DO104" s="78"/>
      <c r="DP104" s="78"/>
      <c r="DQ104" s="78"/>
      <c r="DR104" s="78"/>
      <c r="DS104" s="78"/>
      <c r="DT104" s="78"/>
      <c r="DU104" s="78"/>
      <c r="DV104" s="78"/>
      <c r="DW104" s="78"/>
      <c r="DX104" s="78"/>
      <c r="DY104" s="78"/>
      <c r="DZ104" s="78"/>
      <c r="EA104" s="78"/>
      <c r="EB104" s="78"/>
      <c r="EC104" s="78"/>
      <c r="ED104" s="78"/>
      <c r="EE104" s="78"/>
      <c r="EF104" s="78"/>
      <c r="EG104" s="78"/>
      <c r="EH104" s="78"/>
      <c r="EI104" s="91"/>
      <c r="EJ104" s="91"/>
      <c r="EK104" s="91"/>
      <c r="EL104" s="91"/>
      <c r="EM104" s="91"/>
      <c r="EN104" s="91"/>
      <c r="EO104" s="91"/>
      <c r="EP104" s="78"/>
      <c r="EQ104" s="78"/>
      <c r="ER104" s="78"/>
      <c r="ES104" s="78"/>
      <c r="ET104" s="78"/>
      <c r="EU104" s="78"/>
      <c r="EV104" s="78"/>
      <c r="EW104" s="78"/>
      <c r="EX104" s="78"/>
      <c r="EY104" s="78"/>
      <c r="EZ104" s="78"/>
      <c r="FA104" s="78"/>
      <c r="FB104" s="78"/>
      <c r="FC104" s="78"/>
      <c r="FD104" s="78"/>
      <c r="FE104" s="78"/>
      <c r="FF104" s="78"/>
      <c r="FG104" s="78"/>
      <c r="FH104" s="78"/>
      <c r="FI104" s="78"/>
      <c r="FJ104" s="78"/>
      <c r="FK104" s="78"/>
    </row>
    <row r="105" spans="1:167" hidden="1" outlineLevel="1">
      <c r="A105" s="29" t="str">
        <f t="shared" si="19"/>
        <v>cd_imv_out_benscod_art_matr</v>
      </c>
      <c r="B105" s="67" t="s">
        <v>26</v>
      </c>
      <c r="C105" s="68" t="s">
        <v>54</v>
      </c>
      <c r="D105" s="64" t="s">
        <v>40</v>
      </c>
      <c r="E105" s="66" t="s">
        <v>482</v>
      </c>
      <c r="F105" s="64" t="s">
        <v>485</v>
      </c>
      <c r="G105" s="64" t="e">
        <f>INDEX(Auxiliar!$B$16:$B$24,MATCH(Plano_V1!H105,Auxiliar!$C$16:$C$24,0),1)</f>
        <v>#N/A</v>
      </c>
      <c r="H105" s="64" t="e">
        <f>VLOOKUP(A105,'Aux - pivots1'!$A:$B,2,0)</f>
        <v>#N/A</v>
      </c>
      <c r="I105" s="84">
        <f>SUMIFS(Table1[Estimação (horas)],Table1[Tabela],Plano_V1!E105,Table1[Campo],Plano_V1!F105)</f>
        <v>0</v>
      </c>
      <c r="J105" s="84">
        <f t="shared" si="17"/>
        <v>0</v>
      </c>
      <c r="K105" s="87" t="s">
        <v>95</v>
      </c>
      <c r="L105" s="90">
        <f t="shared" si="18"/>
        <v>0</v>
      </c>
      <c r="M105" s="78"/>
      <c r="N105" s="78"/>
      <c r="O105" s="78"/>
      <c r="P105" s="78"/>
      <c r="Q105" s="78"/>
      <c r="R105" s="78"/>
      <c r="S105" s="78"/>
      <c r="T105" s="78"/>
      <c r="U105" s="78"/>
      <c r="V105" s="78"/>
      <c r="W105" s="78"/>
      <c r="X105" s="78"/>
      <c r="Y105" s="78"/>
      <c r="Z105" s="78"/>
      <c r="AA105" s="78"/>
      <c r="AB105" s="78"/>
      <c r="AC105" s="78"/>
      <c r="AD105" s="78"/>
      <c r="AE105" s="78"/>
      <c r="AF105" s="78"/>
      <c r="AG105" s="78"/>
      <c r="AH105" s="78"/>
      <c r="AI105" s="78"/>
      <c r="AJ105" s="78"/>
      <c r="AK105" s="78"/>
      <c r="AL105" s="78"/>
      <c r="AM105" s="78"/>
      <c r="AN105" s="78"/>
      <c r="AO105" s="78"/>
      <c r="AP105" s="78"/>
      <c r="AQ105" s="78"/>
      <c r="AR105" s="78"/>
      <c r="AS105" s="78"/>
      <c r="AT105" s="91"/>
      <c r="AU105" s="78"/>
      <c r="AV105" s="78"/>
      <c r="AW105" s="78"/>
      <c r="AX105" s="78"/>
      <c r="AY105" s="78"/>
      <c r="AZ105" s="78"/>
      <c r="BA105" s="78"/>
      <c r="BB105" s="78"/>
      <c r="BC105" s="78"/>
      <c r="BD105" s="78"/>
      <c r="BE105" s="78"/>
      <c r="BF105" s="78"/>
      <c r="BG105" s="78"/>
      <c r="BH105" s="78"/>
      <c r="BI105" s="78"/>
      <c r="BJ105" s="78"/>
      <c r="BK105" s="78"/>
      <c r="BL105" s="78"/>
      <c r="BM105" s="78"/>
      <c r="BN105" s="78"/>
      <c r="BO105" s="78"/>
      <c r="BP105" s="78"/>
      <c r="BQ105" s="78"/>
      <c r="BR105" s="78"/>
      <c r="BS105" s="78"/>
      <c r="BT105" s="78"/>
      <c r="BU105" s="78"/>
      <c r="BV105" s="78"/>
      <c r="BW105" s="78"/>
      <c r="BX105" s="78"/>
      <c r="BY105" s="78"/>
      <c r="BZ105" s="78"/>
      <c r="CA105" s="78"/>
      <c r="CB105" s="78"/>
      <c r="CC105" s="78"/>
      <c r="CD105" s="78"/>
      <c r="CE105" s="78"/>
      <c r="CF105" s="78"/>
      <c r="CG105" s="78"/>
      <c r="CH105" s="78"/>
      <c r="CI105" s="78"/>
      <c r="CJ105" s="78"/>
      <c r="CK105" s="78"/>
      <c r="CL105" s="78"/>
      <c r="CM105" s="78"/>
      <c r="CN105" s="78"/>
      <c r="CO105" s="78"/>
      <c r="CP105" s="78"/>
      <c r="CQ105" s="78"/>
      <c r="CR105" s="78"/>
      <c r="CS105" s="78"/>
      <c r="CT105" s="78"/>
      <c r="CU105" s="78"/>
      <c r="CV105" s="78"/>
      <c r="CW105" s="78"/>
      <c r="CX105" s="78"/>
      <c r="CY105" s="78"/>
      <c r="CZ105" s="78"/>
      <c r="DA105" s="78"/>
      <c r="DB105" s="78"/>
      <c r="DC105" s="78"/>
      <c r="DD105" s="78"/>
      <c r="DE105" s="78"/>
      <c r="DF105" s="78"/>
      <c r="DG105" s="78"/>
      <c r="DH105" s="78"/>
      <c r="DI105" s="78"/>
      <c r="DJ105" s="78"/>
      <c r="DK105" s="78"/>
      <c r="DL105" s="78"/>
      <c r="DM105" s="78"/>
      <c r="DN105" s="78"/>
      <c r="DO105" s="78"/>
      <c r="DP105" s="78"/>
      <c r="DQ105" s="78"/>
      <c r="DR105" s="78"/>
      <c r="DS105" s="78"/>
      <c r="DT105" s="78"/>
      <c r="DU105" s="78"/>
      <c r="DV105" s="78"/>
      <c r="DW105" s="78"/>
      <c r="DX105" s="78"/>
      <c r="DY105" s="78"/>
      <c r="DZ105" s="78"/>
      <c r="EA105" s="78"/>
      <c r="EB105" s="78"/>
      <c r="EC105" s="78"/>
      <c r="ED105" s="78"/>
      <c r="EE105" s="78"/>
      <c r="EF105" s="78"/>
      <c r="EG105" s="78"/>
      <c r="EH105" s="78"/>
      <c r="EI105" s="91"/>
      <c r="EJ105" s="91"/>
      <c r="EK105" s="91"/>
      <c r="EL105" s="91"/>
      <c r="EM105" s="91"/>
      <c r="EN105" s="91"/>
      <c r="EO105" s="91"/>
      <c r="EP105" s="78"/>
      <c r="EQ105" s="78"/>
      <c r="ER105" s="78"/>
      <c r="ES105" s="78"/>
      <c r="ET105" s="78"/>
      <c r="EU105" s="78"/>
      <c r="EV105" s="78"/>
      <c r="EW105" s="78"/>
      <c r="EX105" s="78"/>
      <c r="EY105" s="78"/>
      <c r="EZ105" s="78"/>
      <c r="FA105" s="78"/>
      <c r="FB105" s="78"/>
      <c r="FC105" s="78"/>
      <c r="FD105" s="78"/>
      <c r="FE105" s="78"/>
      <c r="FF105" s="78"/>
      <c r="FG105" s="78"/>
      <c r="FH105" s="78"/>
      <c r="FI105" s="78"/>
      <c r="FJ105" s="78"/>
      <c r="FK105" s="78"/>
    </row>
    <row r="106" spans="1:167" hidden="1" outlineLevel="1">
      <c r="A106" s="29" t="str">
        <f t="shared" si="19"/>
        <v>cd_imv_out_benscod_avl</v>
      </c>
      <c r="B106" s="67" t="s">
        <v>26</v>
      </c>
      <c r="C106" s="68" t="s">
        <v>54</v>
      </c>
      <c r="D106" s="64" t="s">
        <v>40</v>
      </c>
      <c r="E106" s="66" t="s">
        <v>482</v>
      </c>
      <c r="F106" s="64" t="s">
        <v>486</v>
      </c>
      <c r="G106" s="64" t="e">
        <f>INDEX(Auxiliar!$B$16:$B$24,MATCH(Plano_V1!H106,Auxiliar!$C$16:$C$24,0),1)</f>
        <v>#N/A</v>
      </c>
      <c r="H106" s="64" t="e">
        <f>VLOOKUP(A106,'Aux - pivots1'!$A:$B,2,0)</f>
        <v>#N/A</v>
      </c>
      <c r="I106" s="84">
        <f>SUMIFS(Table1[Estimação (horas)],Table1[Tabela],Plano_V1!E106,Table1[Campo],Plano_V1!F106)</f>
        <v>0</v>
      </c>
      <c r="J106" s="84">
        <f t="shared" si="17"/>
        <v>0</v>
      </c>
      <c r="K106" s="87" t="s">
        <v>95</v>
      </c>
      <c r="L106" s="90">
        <f t="shared" si="18"/>
        <v>0</v>
      </c>
      <c r="M106" s="78"/>
      <c r="N106" s="78"/>
      <c r="O106" s="78"/>
      <c r="P106" s="78"/>
      <c r="Q106" s="78"/>
      <c r="R106" s="78"/>
      <c r="S106" s="78"/>
      <c r="T106" s="78"/>
      <c r="U106" s="78"/>
      <c r="V106" s="78"/>
      <c r="W106" s="78"/>
      <c r="X106" s="78"/>
      <c r="Y106" s="78"/>
      <c r="Z106" s="78"/>
      <c r="AA106" s="78"/>
      <c r="AB106" s="78"/>
      <c r="AC106" s="78"/>
      <c r="AD106" s="78"/>
      <c r="AE106" s="78"/>
      <c r="AF106" s="78"/>
      <c r="AG106" s="78"/>
      <c r="AH106" s="78"/>
      <c r="AI106" s="78"/>
      <c r="AJ106" s="78"/>
      <c r="AK106" s="78"/>
      <c r="AL106" s="78"/>
      <c r="AM106" s="78"/>
      <c r="AN106" s="78"/>
      <c r="AO106" s="78"/>
      <c r="AP106" s="78"/>
      <c r="AQ106" s="78"/>
      <c r="AR106" s="78"/>
      <c r="AS106" s="78"/>
      <c r="AT106" s="91"/>
      <c r="AU106" s="78"/>
      <c r="AV106" s="78"/>
      <c r="AW106" s="78"/>
      <c r="AX106" s="78"/>
      <c r="AY106" s="78"/>
      <c r="AZ106" s="78"/>
      <c r="BA106" s="78"/>
      <c r="BB106" s="78"/>
      <c r="BC106" s="78"/>
      <c r="BD106" s="78"/>
      <c r="BE106" s="78"/>
      <c r="BF106" s="78"/>
      <c r="BG106" s="78"/>
      <c r="BH106" s="78"/>
      <c r="BI106" s="78"/>
      <c r="BJ106" s="78"/>
      <c r="BK106" s="78"/>
      <c r="BL106" s="78"/>
      <c r="BM106" s="78"/>
      <c r="BN106" s="78"/>
      <c r="BO106" s="78"/>
      <c r="BP106" s="78"/>
      <c r="BQ106" s="78"/>
      <c r="BR106" s="78"/>
      <c r="BS106" s="78"/>
      <c r="BT106" s="78"/>
      <c r="BU106" s="78"/>
      <c r="BV106" s="78"/>
      <c r="BW106" s="78"/>
      <c r="BX106" s="78"/>
      <c r="BY106" s="78"/>
      <c r="BZ106" s="78"/>
      <c r="CA106" s="78"/>
      <c r="CB106" s="78"/>
      <c r="CC106" s="78"/>
      <c r="CD106" s="78"/>
      <c r="CE106" s="78"/>
      <c r="CF106" s="78"/>
      <c r="CG106" s="78"/>
      <c r="CH106" s="78"/>
      <c r="CI106" s="78"/>
      <c r="CJ106" s="78"/>
      <c r="CK106" s="78"/>
      <c r="CL106" s="78"/>
      <c r="CM106" s="78"/>
      <c r="CN106" s="78"/>
      <c r="CO106" s="78"/>
      <c r="CP106" s="78"/>
      <c r="CQ106" s="78"/>
      <c r="CR106" s="78"/>
      <c r="CS106" s="78"/>
      <c r="CT106" s="78"/>
      <c r="CU106" s="78"/>
      <c r="CV106" s="78"/>
      <c r="CW106" s="78"/>
      <c r="CX106" s="78"/>
      <c r="CY106" s="78"/>
      <c r="CZ106" s="78"/>
      <c r="DA106" s="78"/>
      <c r="DB106" s="78"/>
      <c r="DC106" s="78"/>
      <c r="DD106" s="78"/>
      <c r="DE106" s="78"/>
      <c r="DF106" s="78"/>
      <c r="DG106" s="78"/>
      <c r="DH106" s="78"/>
      <c r="DI106" s="78"/>
      <c r="DJ106" s="78"/>
      <c r="DK106" s="78"/>
      <c r="DL106" s="78"/>
      <c r="DM106" s="78"/>
      <c r="DN106" s="78"/>
      <c r="DO106" s="78"/>
      <c r="DP106" s="78"/>
      <c r="DQ106" s="78"/>
      <c r="DR106" s="78"/>
      <c r="DS106" s="78"/>
      <c r="DT106" s="78"/>
      <c r="DU106" s="78"/>
      <c r="DV106" s="78"/>
      <c r="DW106" s="78"/>
      <c r="DX106" s="78"/>
      <c r="DY106" s="78"/>
      <c r="DZ106" s="78"/>
      <c r="EA106" s="78"/>
      <c r="EB106" s="78"/>
      <c r="EC106" s="78"/>
      <c r="ED106" s="78"/>
      <c r="EE106" s="78"/>
      <c r="EF106" s="78"/>
      <c r="EG106" s="78"/>
      <c r="EH106" s="78"/>
      <c r="EI106" s="91"/>
      <c r="EJ106" s="91"/>
      <c r="EK106" s="91"/>
      <c r="EL106" s="91"/>
      <c r="EM106" s="91"/>
      <c r="EN106" s="91"/>
      <c r="EO106" s="91"/>
      <c r="EP106" s="78"/>
      <c r="EQ106" s="78"/>
      <c r="ER106" s="78"/>
      <c r="ES106" s="78"/>
      <c r="ET106" s="78"/>
      <c r="EU106" s="78"/>
      <c r="EV106" s="78"/>
      <c r="EW106" s="78"/>
      <c r="EX106" s="78"/>
      <c r="EY106" s="78"/>
      <c r="EZ106" s="78"/>
      <c r="FA106" s="78"/>
      <c r="FB106" s="78"/>
      <c r="FC106" s="78"/>
      <c r="FD106" s="78"/>
      <c r="FE106" s="78"/>
      <c r="FF106" s="78"/>
      <c r="FG106" s="78"/>
      <c r="FH106" s="78"/>
      <c r="FI106" s="78"/>
      <c r="FJ106" s="78"/>
      <c r="FK106" s="78"/>
    </row>
    <row r="107" spans="1:167" hidden="1" outlineLevel="1">
      <c r="A107" s="29" t="str">
        <f t="shared" si="19"/>
        <v>cd_imv_out_benscod_bem</v>
      </c>
      <c r="B107" s="67" t="s">
        <v>26</v>
      </c>
      <c r="C107" s="68" t="s">
        <v>54</v>
      </c>
      <c r="D107" s="64" t="s">
        <v>40</v>
      </c>
      <c r="E107" s="66" t="s">
        <v>482</v>
      </c>
      <c r="F107" s="64" t="s">
        <v>100</v>
      </c>
      <c r="G107" s="64" t="e">
        <f>INDEX(Auxiliar!$B$16:$B$24,MATCH(Plano_V1!H107,Auxiliar!$C$16:$C$24,0),1)</f>
        <v>#N/A</v>
      </c>
      <c r="H107" s="64" t="e">
        <f>VLOOKUP(A107,'Aux - pivots1'!$A:$B,2,0)</f>
        <v>#N/A</v>
      </c>
      <c r="I107" s="85">
        <v>0</v>
      </c>
      <c r="J107" s="84">
        <f t="shared" ref="J107:J170" si="20">I107/8</f>
        <v>0</v>
      </c>
      <c r="K107" s="87" t="s">
        <v>95</v>
      </c>
      <c r="L107" s="90">
        <f t="shared" si="18"/>
        <v>0</v>
      </c>
      <c r="M107" s="78"/>
      <c r="N107" s="78"/>
      <c r="O107" s="78"/>
      <c r="P107" s="78"/>
      <c r="Q107" s="78"/>
      <c r="R107" s="78"/>
      <c r="S107" s="78"/>
      <c r="T107" s="78"/>
      <c r="U107" s="78"/>
      <c r="V107" s="78"/>
      <c r="W107" s="78"/>
      <c r="X107" s="78"/>
      <c r="Y107" s="78"/>
      <c r="Z107" s="78"/>
      <c r="AA107" s="78"/>
      <c r="AB107" s="78"/>
      <c r="AC107" s="78"/>
      <c r="AD107" s="78"/>
      <c r="AE107" s="78"/>
      <c r="AF107" s="78"/>
      <c r="AG107" s="78"/>
      <c r="AH107" s="78"/>
      <c r="AI107" s="78"/>
      <c r="AJ107" s="78"/>
      <c r="AK107" s="78"/>
      <c r="AL107" s="78"/>
      <c r="AM107" s="78"/>
      <c r="AN107" s="78"/>
      <c r="AO107" s="78"/>
      <c r="AP107" s="78"/>
      <c r="AQ107" s="78"/>
      <c r="AR107" s="78"/>
      <c r="AS107" s="78"/>
      <c r="AT107" s="91"/>
      <c r="AU107" s="78"/>
      <c r="AV107" s="78"/>
      <c r="AW107" s="78"/>
      <c r="AX107" s="78"/>
      <c r="AY107" s="78"/>
      <c r="AZ107" s="78"/>
      <c r="BA107" s="78"/>
      <c r="BB107" s="78"/>
      <c r="BC107" s="78"/>
      <c r="BD107" s="78"/>
      <c r="BE107" s="78"/>
      <c r="BF107" s="78"/>
      <c r="BG107" s="78"/>
      <c r="BH107" s="78"/>
      <c r="BI107" s="78"/>
      <c r="BJ107" s="78"/>
      <c r="BK107" s="78"/>
      <c r="BL107" s="78"/>
      <c r="BM107" s="78"/>
      <c r="BN107" s="78"/>
      <c r="BO107" s="78"/>
      <c r="BP107" s="78"/>
      <c r="BQ107" s="78"/>
      <c r="BR107" s="78"/>
      <c r="BS107" s="78"/>
      <c r="BT107" s="78"/>
      <c r="BU107" s="78"/>
      <c r="BV107" s="78"/>
      <c r="BW107" s="78"/>
      <c r="BX107" s="78"/>
      <c r="BY107" s="78"/>
      <c r="BZ107" s="78"/>
      <c r="CA107" s="78"/>
      <c r="CB107" s="78"/>
      <c r="CC107" s="78"/>
      <c r="CD107" s="78"/>
      <c r="CE107" s="78"/>
      <c r="CF107" s="78"/>
      <c r="CG107" s="78"/>
      <c r="CH107" s="78"/>
      <c r="CI107" s="78"/>
      <c r="CJ107" s="78"/>
      <c r="CK107" s="78"/>
      <c r="CL107" s="78"/>
      <c r="CM107" s="78"/>
      <c r="CN107" s="78"/>
      <c r="CO107" s="78"/>
      <c r="CP107" s="78"/>
      <c r="CQ107" s="78"/>
      <c r="CR107" s="78"/>
      <c r="CS107" s="78"/>
      <c r="CT107" s="78"/>
      <c r="CU107" s="78"/>
      <c r="CV107" s="78"/>
      <c r="CW107" s="78"/>
      <c r="CX107" s="78"/>
      <c r="CY107" s="78"/>
      <c r="CZ107" s="78"/>
      <c r="DA107" s="78"/>
      <c r="DB107" s="78"/>
      <c r="DC107" s="78"/>
      <c r="DD107" s="78"/>
      <c r="DE107" s="78"/>
      <c r="DF107" s="78"/>
      <c r="DG107" s="78"/>
      <c r="DH107" s="78"/>
      <c r="DI107" s="78"/>
      <c r="DJ107" s="78"/>
      <c r="DK107" s="78"/>
      <c r="DL107" s="78"/>
      <c r="DM107" s="78"/>
      <c r="DN107" s="78"/>
      <c r="DO107" s="78"/>
      <c r="DP107" s="78"/>
      <c r="DQ107" s="78"/>
      <c r="DR107" s="78"/>
      <c r="DS107" s="78"/>
      <c r="DT107" s="78"/>
      <c r="DU107" s="78"/>
      <c r="DV107" s="78"/>
      <c r="DW107" s="78"/>
      <c r="DX107" s="78"/>
      <c r="DY107" s="78"/>
      <c r="DZ107" s="78"/>
      <c r="EA107" s="78"/>
      <c r="EB107" s="78"/>
      <c r="EC107" s="78"/>
      <c r="ED107" s="78"/>
      <c r="EE107" s="78"/>
      <c r="EF107" s="78"/>
      <c r="EG107" s="78"/>
      <c r="EH107" s="78"/>
      <c r="EI107" s="91"/>
      <c r="EJ107" s="91"/>
      <c r="EK107" s="91"/>
      <c r="EL107" s="91"/>
      <c r="EM107" s="91"/>
      <c r="EN107" s="91"/>
      <c r="EO107" s="91"/>
      <c r="EP107" s="78"/>
      <c r="EQ107" s="78"/>
      <c r="ER107" s="78"/>
      <c r="ES107" s="78"/>
      <c r="ET107" s="78"/>
      <c r="EU107" s="78"/>
      <c r="EV107" s="78"/>
      <c r="EW107" s="78"/>
      <c r="EX107" s="78"/>
      <c r="EY107" s="78"/>
      <c r="EZ107" s="78"/>
      <c r="FA107" s="78"/>
      <c r="FB107" s="78"/>
      <c r="FC107" s="78"/>
      <c r="FD107" s="78"/>
      <c r="FE107" s="78"/>
      <c r="FF107" s="78"/>
      <c r="FG107" s="78"/>
      <c r="FH107" s="78"/>
      <c r="FI107" s="78"/>
      <c r="FJ107" s="78"/>
      <c r="FK107" s="78"/>
    </row>
    <row r="108" spans="1:167" hidden="1" outlineLevel="1">
      <c r="A108" s="29" t="str">
        <f t="shared" si="19"/>
        <v>cd_imv_out_benscod_disconf</v>
      </c>
      <c r="B108" s="67" t="s">
        <v>26</v>
      </c>
      <c r="C108" s="68" t="s">
        <v>54</v>
      </c>
      <c r="D108" s="64" t="s">
        <v>40</v>
      </c>
      <c r="E108" s="66" t="s">
        <v>482</v>
      </c>
      <c r="F108" s="64" t="s">
        <v>487</v>
      </c>
      <c r="G108" s="64" t="e">
        <f>INDEX(Auxiliar!$B$16:$B$24,MATCH(Plano_V1!H108,Auxiliar!$C$16:$C$24,0),1)</f>
        <v>#N/A</v>
      </c>
      <c r="H108" s="64" t="e">
        <f>VLOOKUP(A108,'Aux - pivots1'!$A:$B,2,0)</f>
        <v>#N/A</v>
      </c>
      <c r="I108" s="84">
        <f>SUMIFS(Table1[Estimação (horas)],Table1[Tabela],Plano_V1!E108,Table1[Campo],Plano_V1!F108)</f>
        <v>0</v>
      </c>
      <c r="J108" s="84">
        <f t="shared" si="20"/>
        <v>0</v>
      </c>
      <c r="K108" s="87" t="s">
        <v>95</v>
      </c>
      <c r="L108" s="90">
        <f t="shared" si="18"/>
        <v>0</v>
      </c>
      <c r="M108" s="78"/>
      <c r="N108" s="78"/>
      <c r="O108" s="78"/>
      <c r="P108" s="78"/>
      <c r="Q108" s="78"/>
      <c r="R108" s="78"/>
      <c r="S108" s="78"/>
      <c r="T108" s="78"/>
      <c r="U108" s="78"/>
      <c r="V108" s="78"/>
      <c r="W108" s="78"/>
      <c r="X108" s="78"/>
      <c r="Y108" s="78"/>
      <c r="Z108" s="78"/>
      <c r="AA108" s="78"/>
      <c r="AB108" s="78"/>
      <c r="AC108" s="78"/>
      <c r="AD108" s="78"/>
      <c r="AE108" s="78"/>
      <c r="AF108" s="78"/>
      <c r="AG108" s="78"/>
      <c r="AH108" s="78"/>
      <c r="AI108" s="78"/>
      <c r="AJ108" s="78"/>
      <c r="AK108" s="78"/>
      <c r="AL108" s="78"/>
      <c r="AM108" s="78"/>
      <c r="AN108" s="78"/>
      <c r="AO108" s="78"/>
      <c r="AP108" s="78"/>
      <c r="AQ108" s="78"/>
      <c r="AR108" s="78"/>
      <c r="AS108" s="78"/>
      <c r="AT108" s="91"/>
      <c r="AU108" s="78"/>
      <c r="AV108" s="78"/>
      <c r="AW108" s="78"/>
      <c r="AX108" s="78"/>
      <c r="AY108" s="78"/>
      <c r="AZ108" s="78"/>
      <c r="BA108" s="78"/>
      <c r="BB108" s="78"/>
      <c r="BC108" s="78"/>
      <c r="BD108" s="78"/>
      <c r="BE108" s="78"/>
      <c r="BF108" s="78"/>
      <c r="BG108" s="78"/>
      <c r="BH108" s="78"/>
      <c r="BI108" s="78"/>
      <c r="BJ108" s="78"/>
      <c r="BK108" s="78"/>
      <c r="BL108" s="78"/>
      <c r="BM108" s="78"/>
      <c r="BN108" s="78"/>
      <c r="BO108" s="78"/>
      <c r="BP108" s="78"/>
      <c r="BQ108" s="78"/>
      <c r="BR108" s="78"/>
      <c r="BS108" s="78"/>
      <c r="BT108" s="78"/>
      <c r="BU108" s="78"/>
      <c r="BV108" s="78"/>
      <c r="BW108" s="78"/>
      <c r="BX108" s="78"/>
      <c r="BY108" s="78"/>
      <c r="BZ108" s="78"/>
      <c r="CA108" s="78"/>
      <c r="CB108" s="78"/>
      <c r="CC108" s="78"/>
      <c r="CD108" s="78"/>
      <c r="CE108" s="78"/>
      <c r="CF108" s="78"/>
      <c r="CG108" s="78"/>
      <c r="CH108" s="78"/>
      <c r="CI108" s="78"/>
      <c r="CJ108" s="78"/>
      <c r="CK108" s="78"/>
      <c r="CL108" s="78"/>
      <c r="CM108" s="78"/>
      <c r="CN108" s="78"/>
      <c r="CO108" s="78"/>
      <c r="CP108" s="78"/>
      <c r="CQ108" s="78"/>
      <c r="CR108" s="78"/>
      <c r="CS108" s="78"/>
      <c r="CT108" s="78"/>
      <c r="CU108" s="78"/>
      <c r="CV108" s="78"/>
      <c r="CW108" s="78"/>
      <c r="CX108" s="78"/>
      <c r="CY108" s="78"/>
      <c r="CZ108" s="78"/>
      <c r="DA108" s="78"/>
      <c r="DB108" s="78"/>
      <c r="DC108" s="78"/>
      <c r="DD108" s="78"/>
      <c r="DE108" s="78"/>
      <c r="DF108" s="78"/>
      <c r="DG108" s="78"/>
      <c r="DH108" s="78"/>
      <c r="DI108" s="78"/>
      <c r="DJ108" s="78"/>
      <c r="DK108" s="78"/>
      <c r="DL108" s="78"/>
      <c r="DM108" s="78"/>
      <c r="DN108" s="78"/>
      <c r="DO108" s="78"/>
      <c r="DP108" s="78"/>
      <c r="DQ108" s="78"/>
      <c r="DR108" s="78"/>
      <c r="DS108" s="78"/>
      <c r="DT108" s="78"/>
      <c r="DU108" s="78"/>
      <c r="DV108" s="78"/>
      <c r="DW108" s="78"/>
      <c r="DX108" s="78"/>
      <c r="DY108" s="78"/>
      <c r="DZ108" s="78"/>
      <c r="EA108" s="78"/>
      <c r="EB108" s="78"/>
      <c r="EC108" s="78"/>
      <c r="ED108" s="78"/>
      <c r="EE108" s="78"/>
      <c r="EF108" s="78"/>
      <c r="EG108" s="78"/>
      <c r="EH108" s="78"/>
      <c r="EI108" s="91"/>
      <c r="EJ108" s="91"/>
      <c r="EK108" s="91"/>
      <c r="EL108" s="91"/>
      <c r="EM108" s="91"/>
      <c r="EN108" s="91"/>
      <c r="EO108" s="91"/>
      <c r="EP108" s="78"/>
      <c r="EQ108" s="78"/>
      <c r="ER108" s="78"/>
      <c r="ES108" s="78"/>
      <c r="ET108" s="78"/>
      <c r="EU108" s="78"/>
      <c r="EV108" s="78"/>
      <c r="EW108" s="78"/>
      <c r="EX108" s="78"/>
      <c r="EY108" s="78"/>
      <c r="EZ108" s="78"/>
      <c r="FA108" s="78"/>
      <c r="FB108" s="78"/>
      <c r="FC108" s="78"/>
      <c r="FD108" s="78"/>
      <c r="FE108" s="78"/>
      <c r="FF108" s="78"/>
      <c r="FG108" s="78"/>
      <c r="FH108" s="78"/>
      <c r="FI108" s="78"/>
      <c r="FJ108" s="78"/>
      <c r="FK108" s="78"/>
    </row>
    <row r="109" spans="1:167" hidden="1" outlineLevel="1">
      <c r="A109" s="29" t="str">
        <f t="shared" si="19"/>
        <v>cd_imv_out_benscod_fin_bem</v>
      </c>
      <c r="B109" s="67" t="s">
        <v>26</v>
      </c>
      <c r="C109" s="68" t="s">
        <v>54</v>
      </c>
      <c r="D109" s="64" t="s">
        <v>40</v>
      </c>
      <c r="E109" s="66" t="s">
        <v>482</v>
      </c>
      <c r="F109" s="64" t="s">
        <v>488</v>
      </c>
      <c r="G109" s="64" t="e">
        <f>INDEX(Auxiliar!$B$16:$B$24,MATCH(Plano_V1!H109,Auxiliar!$C$16:$C$24,0),1)</f>
        <v>#N/A</v>
      </c>
      <c r="H109" s="64" t="e">
        <f>VLOOKUP(A109,'Aux - pivots1'!$A:$B,2,0)</f>
        <v>#N/A</v>
      </c>
      <c r="I109" s="84">
        <f>SUMIFS(Table1[Estimação (horas)],Table1[Tabela],Plano_V1!E109,Table1[Campo],Plano_V1!F109)</f>
        <v>0</v>
      </c>
      <c r="J109" s="84">
        <f t="shared" si="20"/>
        <v>0</v>
      </c>
      <c r="K109" s="87" t="s">
        <v>95</v>
      </c>
      <c r="L109" s="90">
        <f t="shared" si="18"/>
        <v>0</v>
      </c>
      <c r="M109" s="78"/>
      <c r="N109" s="78"/>
      <c r="O109" s="78"/>
      <c r="P109" s="78"/>
      <c r="Q109" s="78"/>
      <c r="R109" s="78"/>
      <c r="S109" s="78"/>
      <c r="T109" s="78"/>
      <c r="U109" s="78"/>
      <c r="V109" s="78"/>
      <c r="W109" s="78"/>
      <c r="X109" s="78"/>
      <c r="Y109" s="78"/>
      <c r="Z109" s="78"/>
      <c r="AA109" s="78"/>
      <c r="AB109" s="78"/>
      <c r="AC109" s="78"/>
      <c r="AD109" s="78"/>
      <c r="AE109" s="78"/>
      <c r="AF109" s="78"/>
      <c r="AG109" s="78"/>
      <c r="AH109" s="78"/>
      <c r="AI109" s="78"/>
      <c r="AJ109" s="78"/>
      <c r="AK109" s="78"/>
      <c r="AL109" s="78"/>
      <c r="AM109" s="78"/>
      <c r="AN109" s="78"/>
      <c r="AO109" s="78"/>
      <c r="AP109" s="78"/>
      <c r="AQ109" s="78"/>
      <c r="AR109" s="78"/>
      <c r="AS109" s="78"/>
      <c r="AT109" s="91"/>
      <c r="AU109" s="78"/>
      <c r="AV109" s="78"/>
      <c r="AW109" s="78"/>
      <c r="AX109" s="78"/>
      <c r="AY109" s="78"/>
      <c r="AZ109" s="78"/>
      <c r="BA109" s="78"/>
      <c r="BB109" s="78"/>
      <c r="BC109" s="78"/>
      <c r="BD109" s="78"/>
      <c r="BE109" s="78"/>
      <c r="BF109" s="78"/>
      <c r="BG109" s="78"/>
      <c r="BH109" s="78"/>
      <c r="BI109" s="78"/>
      <c r="BJ109" s="78"/>
      <c r="BK109" s="78"/>
      <c r="BL109" s="78"/>
      <c r="BM109" s="78"/>
      <c r="BN109" s="78"/>
      <c r="BO109" s="78"/>
      <c r="BP109" s="78"/>
      <c r="BQ109" s="78"/>
      <c r="BR109" s="78"/>
      <c r="BS109" s="78"/>
      <c r="BT109" s="78"/>
      <c r="BU109" s="78"/>
      <c r="BV109" s="78"/>
      <c r="BW109" s="78"/>
      <c r="BX109" s="78"/>
      <c r="BY109" s="78"/>
      <c r="BZ109" s="78"/>
      <c r="CA109" s="78"/>
      <c r="CB109" s="78"/>
      <c r="CC109" s="78"/>
      <c r="CD109" s="78"/>
      <c r="CE109" s="78"/>
      <c r="CF109" s="78"/>
      <c r="CG109" s="78"/>
      <c r="CH109" s="78"/>
      <c r="CI109" s="78"/>
      <c r="CJ109" s="78"/>
      <c r="CK109" s="78"/>
      <c r="CL109" s="78"/>
      <c r="CM109" s="78"/>
      <c r="CN109" s="78"/>
      <c r="CO109" s="78"/>
      <c r="CP109" s="78"/>
      <c r="CQ109" s="78"/>
      <c r="CR109" s="78"/>
      <c r="CS109" s="78"/>
      <c r="CT109" s="78"/>
      <c r="CU109" s="78"/>
      <c r="CV109" s="78"/>
      <c r="CW109" s="78"/>
      <c r="CX109" s="78"/>
      <c r="CY109" s="78"/>
      <c r="CZ109" s="78"/>
      <c r="DA109" s="78"/>
      <c r="DB109" s="78"/>
      <c r="DC109" s="78"/>
      <c r="DD109" s="78"/>
      <c r="DE109" s="78"/>
      <c r="DF109" s="78"/>
      <c r="DG109" s="78"/>
      <c r="DH109" s="78"/>
      <c r="DI109" s="78"/>
      <c r="DJ109" s="78"/>
      <c r="DK109" s="78"/>
      <c r="DL109" s="78"/>
      <c r="DM109" s="78"/>
      <c r="DN109" s="78"/>
      <c r="DO109" s="78"/>
      <c r="DP109" s="78"/>
      <c r="DQ109" s="78"/>
      <c r="DR109" s="78"/>
      <c r="DS109" s="78"/>
      <c r="DT109" s="78"/>
      <c r="DU109" s="78"/>
      <c r="DV109" s="78"/>
      <c r="DW109" s="78"/>
      <c r="DX109" s="78"/>
      <c r="DY109" s="78"/>
      <c r="DZ109" s="78"/>
      <c r="EA109" s="78"/>
      <c r="EB109" s="78"/>
      <c r="EC109" s="78"/>
      <c r="ED109" s="78"/>
      <c r="EE109" s="78"/>
      <c r="EF109" s="78"/>
      <c r="EG109" s="78"/>
      <c r="EH109" s="78"/>
      <c r="EI109" s="91"/>
      <c r="EJ109" s="91"/>
      <c r="EK109" s="91"/>
      <c r="EL109" s="91"/>
      <c r="EM109" s="91"/>
      <c r="EN109" s="91"/>
      <c r="EO109" s="91"/>
      <c r="EP109" s="78"/>
      <c r="EQ109" s="78"/>
      <c r="ER109" s="78"/>
      <c r="ES109" s="78"/>
      <c r="ET109" s="78"/>
      <c r="EU109" s="78"/>
      <c r="EV109" s="78"/>
      <c r="EW109" s="78"/>
      <c r="EX109" s="78"/>
      <c r="EY109" s="78"/>
      <c r="EZ109" s="78"/>
      <c r="FA109" s="78"/>
      <c r="FB109" s="78"/>
      <c r="FC109" s="78"/>
      <c r="FD109" s="78"/>
      <c r="FE109" s="78"/>
      <c r="FF109" s="78"/>
      <c r="FG109" s="78"/>
      <c r="FH109" s="78"/>
      <c r="FI109" s="78"/>
      <c r="FJ109" s="78"/>
      <c r="FK109" s="78"/>
    </row>
    <row r="110" spans="1:167" hidden="1" outlineLevel="1">
      <c r="A110" s="29" t="str">
        <f t="shared" si="19"/>
        <v>cd_imv_out_benscod_idd_pred</v>
      </c>
      <c r="B110" s="67" t="s">
        <v>26</v>
      </c>
      <c r="C110" s="68" t="s">
        <v>54</v>
      </c>
      <c r="D110" s="64" t="s">
        <v>40</v>
      </c>
      <c r="E110" s="66" t="s">
        <v>482</v>
      </c>
      <c r="F110" s="64" t="s">
        <v>489</v>
      </c>
      <c r="G110" s="64" t="e">
        <f>INDEX(Auxiliar!$B$16:$B$24,MATCH(Plano_V1!H110,Auxiliar!$C$16:$C$24,0),1)</f>
        <v>#N/A</v>
      </c>
      <c r="H110" s="64" t="e">
        <f>VLOOKUP(A110,'Aux - pivots1'!$A:$B,2,0)</f>
        <v>#N/A</v>
      </c>
      <c r="I110" s="84">
        <f>SUMIFS(Table1[Estimação (horas)],Table1[Tabela],Plano_V1!E110,Table1[Campo],Plano_V1!F110)</f>
        <v>0</v>
      </c>
      <c r="J110" s="84">
        <f t="shared" si="20"/>
        <v>0</v>
      </c>
      <c r="K110" s="87" t="s">
        <v>95</v>
      </c>
      <c r="L110" s="90">
        <f t="shared" si="18"/>
        <v>0</v>
      </c>
      <c r="M110" s="78"/>
      <c r="N110" s="78"/>
      <c r="O110" s="78"/>
      <c r="P110" s="78"/>
      <c r="Q110" s="78"/>
      <c r="R110" s="78"/>
      <c r="S110" s="78"/>
      <c r="T110" s="78"/>
      <c r="U110" s="78"/>
      <c r="V110" s="78"/>
      <c r="W110" s="78"/>
      <c r="X110" s="78"/>
      <c r="Y110" s="78"/>
      <c r="Z110" s="78"/>
      <c r="AA110" s="78"/>
      <c r="AB110" s="78"/>
      <c r="AC110" s="78"/>
      <c r="AD110" s="78"/>
      <c r="AE110" s="78"/>
      <c r="AF110" s="78"/>
      <c r="AG110" s="78"/>
      <c r="AH110" s="78"/>
      <c r="AI110" s="78"/>
      <c r="AJ110" s="78"/>
      <c r="AK110" s="78"/>
      <c r="AL110" s="78"/>
      <c r="AM110" s="78"/>
      <c r="AN110" s="78"/>
      <c r="AO110" s="78"/>
      <c r="AP110" s="78"/>
      <c r="AQ110" s="78"/>
      <c r="AR110" s="78"/>
      <c r="AS110" s="78"/>
      <c r="AT110" s="91"/>
      <c r="AU110" s="78"/>
      <c r="AV110" s="78"/>
      <c r="AW110" s="78"/>
      <c r="AX110" s="78"/>
      <c r="AY110" s="78"/>
      <c r="AZ110" s="78"/>
      <c r="BA110" s="78"/>
      <c r="BB110" s="78"/>
      <c r="BC110" s="78"/>
      <c r="BD110" s="78"/>
      <c r="BE110" s="78"/>
      <c r="BF110" s="78"/>
      <c r="BG110" s="78"/>
      <c r="BH110" s="78"/>
      <c r="BI110" s="78"/>
      <c r="BJ110" s="78"/>
      <c r="BK110" s="78"/>
      <c r="BL110" s="78"/>
      <c r="BM110" s="78"/>
      <c r="BN110" s="78"/>
      <c r="BO110" s="78"/>
      <c r="BP110" s="78"/>
      <c r="BQ110" s="78"/>
      <c r="BR110" s="78"/>
      <c r="BS110" s="78"/>
      <c r="BT110" s="78"/>
      <c r="BU110" s="78"/>
      <c r="BV110" s="78"/>
      <c r="BW110" s="78"/>
      <c r="BX110" s="78"/>
      <c r="BY110" s="78"/>
      <c r="BZ110" s="78"/>
      <c r="CA110" s="78"/>
      <c r="CB110" s="78"/>
      <c r="CC110" s="78"/>
      <c r="CD110" s="78"/>
      <c r="CE110" s="78"/>
      <c r="CF110" s="78"/>
      <c r="CG110" s="78"/>
      <c r="CH110" s="78"/>
      <c r="CI110" s="78"/>
      <c r="CJ110" s="78"/>
      <c r="CK110" s="78"/>
      <c r="CL110" s="78"/>
      <c r="CM110" s="78"/>
      <c r="CN110" s="78"/>
      <c r="CO110" s="78"/>
      <c r="CP110" s="78"/>
      <c r="CQ110" s="78"/>
      <c r="CR110" s="78"/>
      <c r="CS110" s="78"/>
      <c r="CT110" s="78"/>
      <c r="CU110" s="78"/>
      <c r="CV110" s="78"/>
      <c r="CW110" s="78"/>
      <c r="CX110" s="78"/>
      <c r="CY110" s="78"/>
      <c r="CZ110" s="78"/>
      <c r="DA110" s="78"/>
      <c r="DB110" s="78"/>
      <c r="DC110" s="78"/>
      <c r="DD110" s="78"/>
      <c r="DE110" s="78"/>
      <c r="DF110" s="78"/>
      <c r="DG110" s="78"/>
      <c r="DH110" s="78"/>
      <c r="DI110" s="78"/>
      <c r="DJ110" s="78"/>
      <c r="DK110" s="78"/>
      <c r="DL110" s="78"/>
      <c r="DM110" s="78"/>
      <c r="DN110" s="78"/>
      <c r="DO110" s="78"/>
      <c r="DP110" s="78"/>
      <c r="DQ110" s="78"/>
      <c r="DR110" s="78"/>
      <c r="DS110" s="78"/>
      <c r="DT110" s="78"/>
      <c r="DU110" s="78"/>
      <c r="DV110" s="78"/>
      <c r="DW110" s="78"/>
      <c r="DX110" s="78"/>
      <c r="DY110" s="78"/>
      <c r="DZ110" s="78"/>
      <c r="EA110" s="78"/>
      <c r="EB110" s="78"/>
      <c r="EC110" s="78"/>
      <c r="ED110" s="78"/>
      <c r="EE110" s="78"/>
      <c r="EF110" s="78"/>
      <c r="EG110" s="78"/>
      <c r="EH110" s="78"/>
      <c r="EI110" s="91"/>
      <c r="EJ110" s="91"/>
      <c r="EK110" s="91"/>
      <c r="EL110" s="91"/>
      <c r="EM110" s="91"/>
      <c r="EN110" s="91"/>
      <c r="EO110" s="91"/>
      <c r="EP110" s="78"/>
      <c r="EQ110" s="78"/>
      <c r="ER110" s="78"/>
      <c r="ES110" s="78"/>
      <c r="ET110" s="78"/>
      <c r="EU110" s="78"/>
      <c r="EV110" s="78"/>
      <c r="EW110" s="78"/>
      <c r="EX110" s="78"/>
      <c r="EY110" s="78"/>
      <c r="EZ110" s="78"/>
      <c r="FA110" s="78"/>
      <c r="FB110" s="78"/>
      <c r="FC110" s="78"/>
      <c r="FD110" s="78"/>
      <c r="FE110" s="78"/>
      <c r="FF110" s="78"/>
      <c r="FG110" s="78"/>
      <c r="FH110" s="78"/>
      <c r="FI110" s="78"/>
      <c r="FJ110" s="78"/>
      <c r="FK110" s="78"/>
    </row>
    <row r="111" spans="1:167" hidden="1" outlineLevel="1">
      <c r="A111" s="29" t="str">
        <f t="shared" si="19"/>
        <v>cd_imv_out_benscod_morada</v>
      </c>
      <c r="B111" s="67" t="s">
        <v>26</v>
      </c>
      <c r="C111" s="68" t="s">
        <v>54</v>
      </c>
      <c r="D111" s="64" t="s">
        <v>40</v>
      </c>
      <c r="E111" s="66" t="s">
        <v>482</v>
      </c>
      <c r="F111" s="64" t="s">
        <v>490</v>
      </c>
      <c r="G111" s="64" t="e">
        <f>INDEX(Auxiliar!$B$16:$B$24,MATCH(Plano_V1!H111,Auxiliar!$C$16:$C$24,0),1)</f>
        <v>#N/A</v>
      </c>
      <c r="H111" s="64" t="e">
        <f>VLOOKUP(A111,'Aux - pivots1'!$A:$B,2,0)</f>
        <v>#N/A</v>
      </c>
      <c r="I111" s="84">
        <f>SUMIFS(Table1[Estimação (horas)],Table1[Tabela],Plano_V1!E111,Table1[Campo],Plano_V1!F111)</f>
        <v>0</v>
      </c>
      <c r="J111" s="84">
        <f t="shared" si="20"/>
        <v>0</v>
      </c>
      <c r="K111" s="87" t="s">
        <v>95</v>
      </c>
      <c r="L111" s="90">
        <f t="shared" si="18"/>
        <v>0</v>
      </c>
      <c r="M111" s="78"/>
      <c r="N111" s="78"/>
      <c r="O111" s="78"/>
      <c r="P111" s="78"/>
      <c r="Q111" s="78"/>
      <c r="R111" s="78"/>
      <c r="S111" s="78"/>
      <c r="T111" s="78"/>
      <c r="U111" s="78"/>
      <c r="V111" s="78"/>
      <c r="W111" s="78"/>
      <c r="X111" s="78"/>
      <c r="Y111" s="78"/>
      <c r="Z111" s="78"/>
      <c r="AA111" s="78"/>
      <c r="AB111" s="78"/>
      <c r="AC111" s="78"/>
      <c r="AD111" s="78"/>
      <c r="AE111" s="78"/>
      <c r="AF111" s="78"/>
      <c r="AG111" s="78"/>
      <c r="AH111" s="78"/>
      <c r="AI111" s="78"/>
      <c r="AJ111" s="78"/>
      <c r="AK111" s="78"/>
      <c r="AL111" s="78"/>
      <c r="AM111" s="78"/>
      <c r="AN111" s="78"/>
      <c r="AO111" s="78"/>
      <c r="AP111" s="78"/>
      <c r="AQ111" s="78"/>
      <c r="AR111" s="78"/>
      <c r="AS111" s="78"/>
      <c r="AT111" s="91"/>
      <c r="AU111" s="78"/>
      <c r="AV111" s="78"/>
      <c r="AW111" s="78"/>
      <c r="AX111" s="78"/>
      <c r="AY111" s="78"/>
      <c r="AZ111" s="78"/>
      <c r="BA111" s="78"/>
      <c r="BB111" s="78"/>
      <c r="BC111" s="78"/>
      <c r="BD111" s="78"/>
      <c r="BE111" s="78"/>
      <c r="BF111" s="78"/>
      <c r="BG111" s="78"/>
      <c r="BH111" s="78"/>
      <c r="BI111" s="78"/>
      <c r="BJ111" s="78"/>
      <c r="BK111" s="78"/>
      <c r="BL111" s="78"/>
      <c r="BM111" s="78"/>
      <c r="BN111" s="78"/>
      <c r="BO111" s="78"/>
      <c r="BP111" s="78"/>
      <c r="BQ111" s="78"/>
      <c r="BR111" s="78"/>
      <c r="BS111" s="78"/>
      <c r="BT111" s="78"/>
      <c r="BU111" s="78"/>
      <c r="BV111" s="78"/>
      <c r="BW111" s="78"/>
      <c r="BX111" s="78"/>
      <c r="BY111" s="78"/>
      <c r="BZ111" s="78"/>
      <c r="CA111" s="78"/>
      <c r="CB111" s="78"/>
      <c r="CC111" s="78"/>
      <c r="CD111" s="78"/>
      <c r="CE111" s="78"/>
      <c r="CF111" s="78"/>
      <c r="CG111" s="78"/>
      <c r="CH111" s="78"/>
      <c r="CI111" s="78"/>
      <c r="CJ111" s="78"/>
      <c r="CK111" s="78"/>
      <c r="CL111" s="78"/>
      <c r="CM111" s="78"/>
      <c r="CN111" s="78"/>
      <c r="CO111" s="78"/>
      <c r="CP111" s="78"/>
      <c r="CQ111" s="78"/>
      <c r="CR111" s="78"/>
      <c r="CS111" s="78"/>
      <c r="CT111" s="78"/>
      <c r="CU111" s="78"/>
      <c r="CV111" s="78"/>
      <c r="CW111" s="78"/>
      <c r="CX111" s="78"/>
      <c r="CY111" s="78"/>
      <c r="CZ111" s="78"/>
      <c r="DA111" s="78"/>
      <c r="DB111" s="78"/>
      <c r="DC111" s="78"/>
      <c r="DD111" s="78"/>
      <c r="DE111" s="78"/>
      <c r="DF111" s="78"/>
      <c r="DG111" s="78"/>
      <c r="DH111" s="78"/>
      <c r="DI111" s="78"/>
      <c r="DJ111" s="78"/>
      <c r="DK111" s="78"/>
      <c r="DL111" s="78"/>
      <c r="DM111" s="78"/>
      <c r="DN111" s="78"/>
      <c r="DO111" s="78"/>
      <c r="DP111" s="78"/>
      <c r="DQ111" s="78"/>
      <c r="DR111" s="78"/>
      <c r="DS111" s="78"/>
      <c r="DT111" s="78"/>
      <c r="DU111" s="78"/>
      <c r="DV111" s="78"/>
      <c r="DW111" s="78"/>
      <c r="DX111" s="78"/>
      <c r="DY111" s="78"/>
      <c r="DZ111" s="78"/>
      <c r="EA111" s="78"/>
      <c r="EB111" s="78"/>
      <c r="EC111" s="78"/>
      <c r="ED111" s="78"/>
      <c r="EE111" s="78"/>
      <c r="EF111" s="78"/>
      <c r="EG111" s="78"/>
      <c r="EH111" s="78"/>
      <c r="EI111" s="91"/>
      <c r="EJ111" s="91"/>
      <c r="EK111" s="91"/>
      <c r="EL111" s="91"/>
      <c r="EM111" s="91"/>
      <c r="EN111" s="91"/>
      <c r="EO111" s="91"/>
      <c r="EP111" s="78"/>
      <c r="EQ111" s="78"/>
      <c r="ER111" s="78"/>
      <c r="ES111" s="78"/>
      <c r="ET111" s="78"/>
      <c r="EU111" s="78"/>
      <c r="EV111" s="78"/>
      <c r="EW111" s="78"/>
      <c r="EX111" s="78"/>
      <c r="EY111" s="78"/>
      <c r="EZ111" s="78"/>
      <c r="FA111" s="78"/>
      <c r="FB111" s="78"/>
      <c r="FC111" s="78"/>
      <c r="FD111" s="78"/>
      <c r="FE111" s="78"/>
      <c r="FF111" s="78"/>
      <c r="FG111" s="78"/>
      <c r="FH111" s="78"/>
      <c r="FI111" s="78"/>
      <c r="FJ111" s="78"/>
      <c r="FK111" s="78"/>
    </row>
    <row r="112" spans="1:167" hidden="1" outlineLevel="1">
      <c r="A112" s="29" t="str">
        <f t="shared" si="19"/>
        <v>cd_imv_out_benscod_pais</v>
      </c>
      <c r="B112" s="67" t="s">
        <v>26</v>
      </c>
      <c r="C112" s="68" t="s">
        <v>54</v>
      </c>
      <c r="D112" s="64" t="s">
        <v>40</v>
      </c>
      <c r="E112" s="66" t="s">
        <v>482</v>
      </c>
      <c r="F112" s="64" t="s">
        <v>279</v>
      </c>
      <c r="G112" s="64" t="e">
        <f>INDEX(Auxiliar!$B$16:$B$24,MATCH(Plano_V1!H112,Auxiliar!$C$16:$C$24,0),1)</f>
        <v>#N/A</v>
      </c>
      <c r="H112" s="64" t="e">
        <f>VLOOKUP(A112,'Aux - pivots1'!$A:$B,2,0)</f>
        <v>#N/A</v>
      </c>
      <c r="I112" s="84">
        <f>SUMIFS(Table1[Estimação (horas)],Table1[Tabela],Plano_V1!E112,Table1[Campo],Plano_V1!F112)</f>
        <v>0</v>
      </c>
      <c r="J112" s="84">
        <f t="shared" si="20"/>
        <v>0</v>
      </c>
      <c r="K112" s="87" t="s">
        <v>95</v>
      </c>
      <c r="L112" s="90">
        <f t="shared" si="18"/>
        <v>0</v>
      </c>
      <c r="M112" s="78"/>
      <c r="N112" s="78"/>
      <c r="O112" s="78"/>
      <c r="P112" s="78"/>
      <c r="Q112" s="78"/>
      <c r="R112" s="78"/>
      <c r="S112" s="78"/>
      <c r="T112" s="78"/>
      <c r="U112" s="78"/>
      <c r="V112" s="78"/>
      <c r="W112" s="78"/>
      <c r="X112" s="78"/>
      <c r="Y112" s="78"/>
      <c r="Z112" s="78"/>
      <c r="AA112" s="78"/>
      <c r="AB112" s="78"/>
      <c r="AC112" s="78"/>
      <c r="AD112" s="78"/>
      <c r="AE112" s="78"/>
      <c r="AF112" s="78"/>
      <c r="AG112" s="78"/>
      <c r="AH112" s="78"/>
      <c r="AI112" s="78"/>
      <c r="AJ112" s="78"/>
      <c r="AK112" s="78"/>
      <c r="AL112" s="78"/>
      <c r="AM112" s="78"/>
      <c r="AN112" s="78"/>
      <c r="AO112" s="78"/>
      <c r="AP112" s="78"/>
      <c r="AQ112" s="78"/>
      <c r="AR112" s="78"/>
      <c r="AS112" s="78"/>
      <c r="AT112" s="91"/>
      <c r="AU112" s="78"/>
      <c r="AV112" s="78"/>
      <c r="AW112" s="78"/>
      <c r="AX112" s="78"/>
      <c r="AY112" s="78"/>
      <c r="AZ112" s="78"/>
      <c r="BA112" s="78"/>
      <c r="BB112" s="78"/>
      <c r="BC112" s="78"/>
      <c r="BD112" s="78"/>
      <c r="BE112" s="78"/>
      <c r="BF112" s="78"/>
      <c r="BG112" s="78"/>
      <c r="BH112" s="78"/>
      <c r="BI112" s="78"/>
      <c r="BJ112" s="78"/>
      <c r="BK112" s="78"/>
      <c r="BL112" s="78"/>
      <c r="BM112" s="78"/>
      <c r="BN112" s="78"/>
      <c r="BO112" s="78"/>
      <c r="BP112" s="78"/>
      <c r="BQ112" s="78"/>
      <c r="BR112" s="78"/>
      <c r="BS112" s="78"/>
      <c r="BT112" s="78"/>
      <c r="BU112" s="78"/>
      <c r="BV112" s="78"/>
      <c r="BW112" s="78"/>
      <c r="BX112" s="78"/>
      <c r="BY112" s="78"/>
      <c r="BZ112" s="78"/>
      <c r="CA112" s="78"/>
      <c r="CB112" s="78"/>
      <c r="CC112" s="78"/>
      <c r="CD112" s="78"/>
      <c r="CE112" s="78"/>
      <c r="CF112" s="78"/>
      <c r="CG112" s="78"/>
      <c r="CH112" s="78"/>
      <c r="CI112" s="78"/>
      <c r="CJ112" s="78"/>
      <c r="CK112" s="78"/>
      <c r="CL112" s="78"/>
      <c r="CM112" s="78"/>
      <c r="CN112" s="78"/>
      <c r="CO112" s="78"/>
      <c r="CP112" s="78"/>
      <c r="CQ112" s="78"/>
      <c r="CR112" s="78"/>
      <c r="CS112" s="78"/>
      <c r="CT112" s="78"/>
      <c r="CU112" s="78"/>
      <c r="CV112" s="78"/>
      <c r="CW112" s="78"/>
      <c r="CX112" s="78"/>
      <c r="CY112" s="78"/>
      <c r="CZ112" s="78"/>
      <c r="DA112" s="78"/>
      <c r="DB112" s="78"/>
      <c r="DC112" s="78"/>
      <c r="DD112" s="78"/>
      <c r="DE112" s="78"/>
      <c r="DF112" s="78"/>
      <c r="DG112" s="78"/>
      <c r="DH112" s="78"/>
      <c r="DI112" s="78"/>
      <c r="DJ112" s="78"/>
      <c r="DK112" s="78"/>
      <c r="DL112" s="78"/>
      <c r="DM112" s="78"/>
      <c r="DN112" s="78"/>
      <c r="DO112" s="78"/>
      <c r="DP112" s="78"/>
      <c r="DQ112" s="78"/>
      <c r="DR112" s="78"/>
      <c r="DS112" s="78"/>
      <c r="DT112" s="78"/>
      <c r="DU112" s="78"/>
      <c r="DV112" s="78"/>
      <c r="DW112" s="78"/>
      <c r="DX112" s="78"/>
      <c r="DY112" s="78"/>
      <c r="DZ112" s="78"/>
      <c r="EA112" s="78"/>
      <c r="EB112" s="78"/>
      <c r="EC112" s="78"/>
      <c r="ED112" s="78"/>
      <c r="EE112" s="78"/>
      <c r="EF112" s="78"/>
      <c r="EG112" s="78"/>
      <c r="EH112" s="78"/>
      <c r="EI112" s="91"/>
      <c r="EJ112" s="91"/>
      <c r="EK112" s="91"/>
      <c r="EL112" s="91"/>
      <c r="EM112" s="91"/>
      <c r="EN112" s="91"/>
      <c r="EO112" s="91"/>
      <c r="EP112" s="78"/>
      <c r="EQ112" s="78"/>
      <c r="ER112" s="78"/>
      <c r="ES112" s="78"/>
      <c r="ET112" s="78"/>
      <c r="EU112" s="78"/>
      <c r="EV112" s="78"/>
      <c r="EW112" s="78"/>
      <c r="EX112" s="78"/>
      <c r="EY112" s="78"/>
      <c r="EZ112" s="78"/>
      <c r="FA112" s="78"/>
      <c r="FB112" s="78"/>
      <c r="FC112" s="78"/>
      <c r="FD112" s="78"/>
      <c r="FE112" s="78"/>
      <c r="FF112" s="78"/>
      <c r="FG112" s="78"/>
      <c r="FH112" s="78"/>
      <c r="FI112" s="78"/>
      <c r="FJ112" s="78"/>
      <c r="FK112" s="78"/>
    </row>
    <row r="113" spans="1:167" hidden="1" outlineLevel="1">
      <c r="A113" s="29" t="str">
        <f t="shared" si="19"/>
        <v>cd_imv_out_benscod_post</v>
      </c>
      <c r="B113" s="67" t="s">
        <v>26</v>
      </c>
      <c r="C113" s="68" t="s">
        <v>54</v>
      </c>
      <c r="D113" s="64" t="s">
        <v>40</v>
      </c>
      <c r="E113" s="66" t="s">
        <v>482</v>
      </c>
      <c r="F113" s="64" t="s">
        <v>491</v>
      </c>
      <c r="G113" s="64" t="e">
        <f>INDEX(Auxiliar!$B$16:$B$24,MATCH(Plano_V1!H113,Auxiliar!$C$16:$C$24,0),1)</f>
        <v>#N/A</v>
      </c>
      <c r="H113" s="64" t="e">
        <f>VLOOKUP(A113,'Aux - pivots1'!$A:$B,2,0)</f>
        <v>#N/A</v>
      </c>
      <c r="I113" s="84">
        <f>SUMIFS(Table1[Estimação (horas)],Table1[Tabela],Plano_V1!E113,Table1[Campo],Plano_V1!F113)</f>
        <v>0</v>
      </c>
      <c r="J113" s="84">
        <f t="shared" si="20"/>
        <v>0</v>
      </c>
      <c r="K113" s="87" t="s">
        <v>95</v>
      </c>
      <c r="L113" s="90">
        <f t="shared" si="18"/>
        <v>0</v>
      </c>
      <c r="M113" s="78"/>
      <c r="N113" s="78"/>
      <c r="O113" s="78"/>
      <c r="P113" s="78"/>
      <c r="Q113" s="78"/>
      <c r="R113" s="78"/>
      <c r="S113" s="78"/>
      <c r="T113" s="78"/>
      <c r="U113" s="78"/>
      <c r="V113" s="78"/>
      <c r="W113" s="78"/>
      <c r="X113" s="78"/>
      <c r="Y113" s="78"/>
      <c r="Z113" s="78"/>
      <c r="AA113" s="78"/>
      <c r="AB113" s="78"/>
      <c r="AC113" s="78"/>
      <c r="AD113" s="78"/>
      <c r="AE113" s="78"/>
      <c r="AF113" s="78"/>
      <c r="AG113" s="78"/>
      <c r="AH113" s="78"/>
      <c r="AI113" s="78"/>
      <c r="AJ113" s="78"/>
      <c r="AK113" s="78"/>
      <c r="AL113" s="78"/>
      <c r="AM113" s="78"/>
      <c r="AN113" s="78"/>
      <c r="AO113" s="78"/>
      <c r="AP113" s="78"/>
      <c r="AQ113" s="78"/>
      <c r="AR113" s="78"/>
      <c r="AS113" s="78"/>
      <c r="AT113" s="91"/>
      <c r="AU113" s="78"/>
      <c r="AV113" s="78"/>
      <c r="AW113" s="78"/>
      <c r="AX113" s="78"/>
      <c r="AY113" s="78"/>
      <c r="AZ113" s="78"/>
      <c r="BA113" s="78"/>
      <c r="BB113" s="78"/>
      <c r="BC113" s="78"/>
      <c r="BD113" s="78"/>
      <c r="BE113" s="78"/>
      <c r="BF113" s="78"/>
      <c r="BG113" s="78"/>
      <c r="BH113" s="78"/>
      <c r="BI113" s="78"/>
      <c r="BJ113" s="78"/>
      <c r="BK113" s="78"/>
      <c r="BL113" s="78"/>
      <c r="BM113" s="78"/>
      <c r="BN113" s="78"/>
      <c r="BO113" s="78"/>
      <c r="BP113" s="78"/>
      <c r="BQ113" s="78"/>
      <c r="BR113" s="78"/>
      <c r="BS113" s="78"/>
      <c r="BT113" s="78"/>
      <c r="BU113" s="78"/>
      <c r="BV113" s="78"/>
      <c r="BW113" s="78"/>
      <c r="BX113" s="78"/>
      <c r="BY113" s="78"/>
      <c r="BZ113" s="78"/>
      <c r="CA113" s="78"/>
      <c r="CB113" s="78"/>
      <c r="CC113" s="78"/>
      <c r="CD113" s="78"/>
      <c r="CE113" s="78"/>
      <c r="CF113" s="78"/>
      <c r="CG113" s="78"/>
      <c r="CH113" s="78"/>
      <c r="CI113" s="78"/>
      <c r="CJ113" s="78"/>
      <c r="CK113" s="78"/>
      <c r="CL113" s="78"/>
      <c r="CM113" s="78"/>
      <c r="CN113" s="78"/>
      <c r="CO113" s="78"/>
      <c r="CP113" s="78"/>
      <c r="CQ113" s="78"/>
      <c r="CR113" s="78"/>
      <c r="CS113" s="78"/>
      <c r="CT113" s="78"/>
      <c r="CU113" s="78"/>
      <c r="CV113" s="78"/>
      <c r="CW113" s="78"/>
      <c r="CX113" s="78"/>
      <c r="CY113" s="78"/>
      <c r="CZ113" s="78"/>
      <c r="DA113" s="78"/>
      <c r="DB113" s="78"/>
      <c r="DC113" s="78"/>
      <c r="DD113" s="78"/>
      <c r="DE113" s="78"/>
      <c r="DF113" s="78"/>
      <c r="DG113" s="78"/>
      <c r="DH113" s="78"/>
      <c r="DI113" s="78"/>
      <c r="DJ113" s="78"/>
      <c r="DK113" s="78"/>
      <c r="DL113" s="78"/>
      <c r="DM113" s="78"/>
      <c r="DN113" s="78"/>
      <c r="DO113" s="78"/>
      <c r="DP113" s="78"/>
      <c r="DQ113" s="78"/>
      <c r="DR113" s="78"/>
      <c r="DS113" s="78"/>
      <c r="DT113" s="78"/>
      <c r="DU113" s="78"/>
      <c r="DV113" s="78"/>
      <c r="DW113" s="78"/>
      <c r="DX113" s="78"/>
      <c r="DY113" s="78"/>
      <c r="DZ113" s="78"/>
      <c r="EA113" s="78"/>
      <c r="EB113" s="78"/>
      <c r="EC113" s="78"/>
      <c r="ED113" s="78"/>
      <c r="EE113" s="78"/>
      <c r="EF113" s="78"/>
      <c r="EG113" s="78"/>
      <c r="EH113" s="78"/>
      <c r="EI113" s="91"/>
      <c r="EJ113" s="91"/>
      <c r="EK113" s="91"/>
      <c r="EL113" s="91"/>
      <c r="EM113" s="91"/>
      <c r="EN113" s="91"/>
      <c r="EO113" s="91"/>
      <c r="EP113" s="78"/>
      <c r="EQ113" s="78"/>
      <c r="ER113" s="78"/>
      <c r="ES113" s="78"/>
      <c r="ET113" s="78"/>
      <c r="EU113" s="78"/>
      <c r="EV113" s="78"/>
      <c r="EW113" s="78"/>
      <c r="EX113" s="78"/>
      <c r="EY113" s="78"/>
      <c r="EZ113" s="78"/>
      <c r="FA113" s="78"/>
      <c r="FB113" s="78"/>
      <c r="FC113" s="78"/>
      <c r="FD113" s="78"/>
      <c r="FE113" s="78"/>
      <c r="FF113" s="78"/>
      <c r="FG113" s="78"/>
      <c r="FH113" s="78"/>
      <c r="FI113" s="78"/>
      <c r="FJ113" s="78"/>
      <c r="FK113" s="78"/>
    </row>
    <row r="114" spans="1:167" hidden="1" outlineLevel="1">
      <c r="A114" s="29" t="str">
        <f t="shared" si="19"/>
        <v>cd_imv_out_benscod_tp_bem</v>
      </c>
      <c r="B114" s="67" t="s">
        <v>26</v>
      </c>
      <c r="C114" s="68" t="s">
        <v>54</v>
      </c>
      <c r="D114" s="64" t="s">
        <v>40</v>
      </c>
      <c r="E114" s="66" t="s">
        <v>482</v>
      </c>
      <c r="F114" s="64" t="s">
        <v>492</v>
      </c>
      <c r="G114" s="64" t="e">
        <f>INDEX(Auxiliar!$B$16:$B$24,MATCH(Plano_V1!H114,Auxiliar!$C$16:$C$24,0),1)</f>
        <v>#N/A</v>
      </c>
      <c r="H114" s="64" t="e">
        <f>VLOOKUP(A114,'Aux - pivots1'!$A:$B,2,0)</f>
        <v>#N/A</v>
      </c>
      <c r="I114" s="84">
        <f>SUMIFS(Table1[Estimação (horas)],Table1[Tabela],Plano_V1!E114,Table1[Campo],Plano_V1!F114)</f>
        <v>0</v>
      </c>
      <c r="J114" s="84">
        <f t="shared" si="20"/>
        <v>0</v>
      </c>
      <c r="K114" s="87" t="s">
        <v>95</v>
      </c>
      <c r="L114" s="90">
        <f t="shared" si="18"/>
        <v>0</v>
      </c>
      <c r="M114" s="78"/>
      <c r="N114" s="78"/>
      <c r="O114" s="78"/>
      <c r="P114" s="78"/>
      <c r="Q114" s="78"/>
      <c r="R114" s="78"/>
      <c r="S114" s="78"/>
      <c r="T114" s="78"/>
      <c r="U114" s="78"/>
      <c r="V114" s="78"/>
      <c r="W114" s="78"/>
      <c r="X114" s="78"/>
      <c r="Y114" s="78"/>
      <c r="Z114" s="78"/>
      <c r="AA114" s="78"/>
      <c r="AB114" s="78"/>
      <c r="AC114" s="78"/>
      <c r="AD114" s="78"/>
      <c r="AE114" s="78"/>
      <c r="AF114" s="78"/>
      <c r="AG114" s="78"/>
      <c r="AH114" s="78"/>
      <c r="AI114" s="78"/>
      <c r="AJ114" s="78"/>
      <c r="AK114" s="78"/>
      <c r="AL114" s="78"/>
      <c r="AM114" s="78"/>
      <c r="AN114" s="78"/>
      <c r="AO114" s="78"/>
      <c r="AP114" s="78"/>
      <c r="AQ114" s="78"/>
      <c r="AR114" s="78"/>
      <c r="AS114" s="78"/>
      <c r="AT114" s="91"/>
      <c r="AU114" s="78"/>
      <c r="AV114" s="78"/>
      <c r="AW114" s="78"/>
      <c r="AX114" s="78"/>
      <c r="AY114" s="78"/>
      <c r="AZ114" s="78"/>
      <c r="BA114" s="78"/>
      <c r="BB114" s="78"/>
      <c r="BC114" s="78"/>
      <c r="BD114" s="78"/>
      <c r="BE114" s="78"/>
      <c r="BF114" s="78"/>
      <c r="BG114" s="78"/>
      <c r="BH114" s="78"/>
      <c r="BI114" s="78"/>
      <c r="BJ114" s="78"/>
      <c r="BK114" s="78"/>
      <c r="BL114" s="78"/>
      <c r="BM114" s="78"/>
      <c r="BN114" s="78"/>
      <c r="BO114" s="78"/>
      <c r="BP114" s="78"/>
      <c r="BQ114" s="78"/>
      <c r="BR114" s="78"/>
      <c r="BS114" s="78"/>
      <c r="BT114" s="78"/>
      <c r="BU114" s="78"/>
      <c r="BV114" s="78"/>
      <c r="BW114" s="78"/>
      <c r="BX114" s="78"/>
      <c r="BY114" s="78"/>
      <c r="BZ114" s="78"/>
      <c r="CA114" s="78"/>
      <c r="CB114" s="78"/>
      <c r="CC114" s="78"/>
      <c r="CD114" s="78"/>
      <c r="CE114" s="78"/>
      <c r="CF114" s="78"/>
      <c r="CG114" s="78"/>
      <c r="CH114" s="78"/>
      <c r="CI114" s="78"/>
      <c r="CJ114" s="78"/>
      <c r="CK114" s="78"/>
      <c r="CL114" s="78"/>
      <c r="CM114" s="78"/>
      <c r="CN114" s="78"/>
      <c r="CO114" s="78"/>
      <c r="CP114" s="78"/>
      <c r="CQ114" s="78"/>
      <c r="CR114" s="78"/>
      <c r="CS114" s="78"/>
      <c r="CT114" s="78"/>
      <c r="CU114" s="78"/>
      <c r="CV114" s="78"/>
      <c r="CW114" s="78"/>
      <c r="CX114" s="78"/>
      <c r="CY114" s="78"/>
      <c r="CZ114" s="78"/>
      <c r="DA114" s="78"/>
      <c r="DB114" s="78"/>
      <c r="DC114" s="78"/>
      <c r="DD114" s="78"/>
      <c r="DE114" s="78"/>
      <c r="DF114" s="78"/>
      <c r="DG114" s="78"/>
      <c r="DH114" s="78"/>
      <c r="DI114" s="78"/>
      <c r="DJ114" s="78"/>
      <c r="DK114" s="78"/>
      <c r="DL114" s="78"/>
      <c r="DM114" s="78"/>
      <c r="DN114" s="78"/>
      <c r="DO114" s="78"/>
      <c r="DP114" s="78"/>
      <c r="DQ114" s="78"/>
      <c r="DR114" s="78"/>
      <c r="DS114" s="78"/>
      <c r="DT114" s="78"/>
      <c r="DU114" s="78"/>
      <c r="DV114" s="78"/>
      <c r="DW114" s="78"/>
      <c r="DX114" s="78"/>
      <c r="DY114" s="78"/>
      <c r="DZ114" s="78"/>
      <c r="EA114" s="78"/>
      <c r="EB114" s="78"/>
      <c r="EC114" s="78"/>
      <c r="ED114" s="78"/>
      <c r="EE114" s="78"/>
      <c r="EF114" s="78"/>
      <c r="EG114" s="78"/>
      <c r="EH114" s="78"/>
      <c r="EI114" s="91"/>
      <c r="EJ114" s="91"/>
      <c r="EK114" s="91"/>
      <c r="EL114" s="91"/>
      <c r="EM114" s="91"/>
      <c r="EN114" s="91"/>
      <c r="EO114" s="91"/>
      <c r="EP114" s="78"/>
      <c r="EQ114" s="78"/>
      <c r="ER114" s="78"/>
      <c r="ES114" s="78"/>
      <c r="ET114" s="78"/>
      <c r="EU114" s="78"/>
      <c r="EV114" s="78"/>
      <c r="EW114" s="78"/>
      <c r="EX114" s="78"/>
      <c r="EY114" s="78"/>
      <c r="EZ114" s="78"/>
      <c r="FA114" s="78"/>
      <c r="FB114" s="78"/>
      <c r="FC114" s="78"/>
      <c r="FD114" s="78"/>
      <c r="FE114" s="78"/>
      <c r="FF114" s="78"/>
      <c r="FG114" s="78"/>
      <c r="FH114" s="78"/>
      <c r="FI114" s="78"/>
      <c r="FJ114" s="78"/>
      <c r="FK114" s="78"/>
    </row>
    <row r="115" spans="1:167" hidden="1" outlineLevel="1">
      <c r="A115" s="29" t="str">
        <f t="shared" si="19"/>
        <v>cd_imv_out_bensdata_avl</v>
      </c>
      <c r="B115" s="67" t="s">
        <v>26</v>
      </c>
      <c r="C115" s="68" t="s">
        <v>54</v>
      </c>
      <c r="D115" s="64" t="s">
        <v>40</v>
      </c>
      <c r="E115" s="66" t="s">
        <v>482</v>
      </c>
      <c r="F115" s="64" t="s">
        <v>493</v>
      </c>
      <c r="G115" s="64" t="e">
        <f>INDEX(Auxiliar!$B$16:$B$24,MATCH(Plano_V1!H115,Auxiliar!$C$16:$C$24,0),1)</f>
        <v>#N/A</v>
      </c>
      <c r="H115" s="64" t="e">
        <f>VLOOKUP(A115,'Aux - pivots1'!$A:$B,2,0)</f>
        <v>#N/A</v>
      </c>
      <c r="I115" s="84">
        <f>SUMIFS(Table1[Estimação (horas)],Table1[Tabela],Plano_V1!E115,Table1[Campo],Plano_V1!F115)</f>
        <v>0</v>
      </c>
      <c r="J115" s="84">
        <f t="shared" si="20"/>
        <v>0</v>
      </c>
      <c r="K115" s="87" t="s">
        <v>95</v>
      </c>
      <c r="L115" s="90">
        <f t="shared" si="18"/>
        <v>0</v>
      </c>
      <c r="M115" s="78"/>
      <c r="N115" s="78"/>
      <c r="O115" s="78"/>
      <c r="P115" s="78"/>
      <c r="Q115" s="78"/>
      <c r="R115" s="78"/>
      <c r="S115" s="78"/>
      <c r="T115" s="78"/>
      <c r="U115" s="78"/>
      <c r="V115" s="78"/>
      <c r="W115" s="78"/>
      <c r="X115" s="78"/>
      <c r="Y115" s="78"/>
      <c r="Z115" s="78"/>
      <c r="AA115" s="78"/>
      <c r="AB115" s="78"/>
      <c r="AC115" s="78"/>
      <c r="AD115" s="78"/>
      <c r="AE115" s="78"/>
      <c r="AF115" s="78"/>
      <c r="AG115" s="78"/>
      <c r="AH115" s="78"/>
      <c r="AI115" s="78"/>
      <c r="AJ115" s="78"/>
      <c r="AK115" s="78"/>
      <c r="AL115" s="78"/>
      <c r="AM115" s="78"/>
      <c r="AN115" s="78"/>
      <c r="AO115" s="78"/>
      <c r="AP115" s="78"/>
      <c r="AQ115" s="78"/>
      <c r="AR115" s="78"/>
      <c r="AS115" s="78"/>
      <c r="AT115" s="91"/>
      <c r="AU115" s="78"/>
      <c r="AV115" s="78"/>
      <c r="AW115" s="78"/>
      <c r="AX115" s="78"/>
      <c r="AY115" s="78"/>
      <c r="AZ115" s="78"/>
      <c r="BA115" s="78"/>
      <c r="BB115" s="78"/>
      <c r="BC115" s="78"/>
      <c r="BD115" s="78"/>
      <c r="BE115" s="78"/>
      <c r="BF115" s="78"/>
      <c r="BG115" s="78"/>
      <c r="BH115" s="78"/>
      <c r="BI115" s="78"/>
      <c r="BJ115" s="78"/>
      <c r="BK115" s="78"/>
      <c r="BL115" s="78"/>
      <c r="BM115" s="78"/>
      <c r="BN115" s="78"/>
      <c r="BO115" s="78"/>
      <c r="BP115" s="78"/>
      <c r="BQ115" s="78"/>
      <c r="BR115" s="78"/>
      <c r="BS115" s="78"/>
      <c r="BT115" s="78"/>
      <c r="BU115" s="78"/>
      <c r="BV115" s="78"/>
      <c r="BW115" s="78"/>
      <c r="BX115" s="78"/>
      <c r="BY115" s="78"/>
      <c r="BZ115" s="78"/>
      <c r="CA115" s="78"/>
      <c r="CB115" s="78"/>
      <c r="CC115" s="78"/>
      <c r="CD115" s="78"/>
      <c r="CE115" s="78"/>
      <c r="CF115" s="78"/>
      <c r="CG115" s="78"/>
      <c r="CH115" s="78"/>
      <c r="CI115" s="78"/>
      <c r="CJ115" s="78"/>
      <c r="CK115" s="78"/>
      <c r="CL115" s="78"/>
      <c r="CM115" s="78"/>
      <c r="CN115" s="78"/>
      <c r="CO115" s="78"/>
      <c r="CP115" s="78"/>
      <c r="CQ115" s="78"/>
      <c r="CR115" s="78"/>
      <c r="CS115" s="78"/>
      <c r="CT115" s="78"/>
      <c r="CU115" s="78"/>
      <c r="CV115" s="78"/>
      <c r="CW115" s="78"/>
      <c r="CX115" s="78"/>
      <c r="CY115" s="78"/>
      <c r="CZ115" s="78"/>
      <c r="DA115" s="78"/>
      <c r="DB115" s="78"/>
      <c r="DC115" s="78"/>
      <c r="DD115" s="78"/>
      <c r="DE115" s="78"/>
      <c r="DF115" s="78"/>
      <c r="DG115" s="78"/>
      <c r="DH115" s="78"/>
      <c r="DI115" s="78"/>
      <c r="DJ115" s="78"/>
      <c r="DK115" s="78"/>
      <c r="DL115" s="78"/>
      <c r="DM115" s="78"/>
      <c r="DN115" s="78"/>
      <c r="DO115" s="78"/>
      <c r="DP115" s="78"/>
      <c r="DQ115" s="78"/>
      <c r="DR115" s="78"/>
      <c r="DS115" s="78"/>
      <c r="DT115" s="78"/>
      <c r="DU115" s="78"/>
      <c r="DV115" s="78"/>
      <c r="DW115" s="78"/>
      <c r="DX115" s="78"/>
      <c r="DY115" s="78"/>
      <c r="DZ115" s="78"/>
      <c r="EA115" s="78"/>
      <c r="EB115" s="78"/>
      <c r="EC115" s="78"/>
      <c r="ED115" s="78"/>
      <c r="EE115" s="78"/>
      <c r="EF115" s="78"/>
      <c r="EG115" s="78"/>
      <c r="EH115" s="78"/>
      <c r="EI115" s="91"/>
      <c r="EJ115" s="91"/>
      <c r="EK115" s="91"/>
      <c r="EL115" s="91"/>
      <c r="EM115" s="91"/>
      <c r="EN115" s="91"/>
      <c r="EO115" s="91"/>
      <c r="EP115" s="78"/>
      <c r="EQ115" s="78"/>
      <c r="ER115" s="78"/>
      <c r="ES115" s="78"/>
      <c r="ET115" s="78"/>
      <c r="EU115" s="78"/>
      <c r="EV115" s="78"/>
      <c r="EW115" s="78"/>
      <c r="EX115" s="78"/>
      <c r="EY115" s="78"/>
      <c r="EZ115" s="78"/>
      <c r="FA115" s="78"/>
      <c r="FB115" s="78"/>
      <c r="FC115" s="78"/>
      <c r="FD115" s="78"/>
      <c r="FE115" s="78"/>
      <c r="FF115" s="78"/>
      <c r="FG115" s="78"/>
      <c r="FH115" s="78"/>
      <c r="FI115" s="78"/>
      <c r="FJ115" s="78"/>
      <c r="FK115" s="78"/>
    </row>
    <row r="116" spans="1:167" hidden="1" outlineLevel="1">
      <c r="A116" s="29" t="str">
        <f t="shared" si="19"/>
        <v>cd_imv_out_bensdata_lic_util</v>
      </c>
      <c r="B116" s="67" t="s">
        <v>26</v>
      </c>
      <c r="C116" s="68" t="s">
        <v>54</v>
      </c>
      <c r="D116" s="64" t="s">
        <v>40</v>
      </c>
      <c r="E116" s="66" t="s">
        <v>482</v>
      </c>
      <c r="F116" s="64" t="s">
        <v>494</v>
      </c>
      <c r="G116" s="64" t="e">
        <f>INDEX(Auxiliar!$B$16:$B$24,MATCH(Plano_V1!H116,Auxiliar!$C$16:$C$24,0),1)</f>
        <v>#N/A</v>
      </c>
      <c r="H116" s="64" t="e">
        <f>VLOOKUP(A116,'Aux - pivots1'!$A:$B,2,0)</f>
        <v>#N/A</v>
      </c>
      <c r="I116" s="84">
        <f>SUMIFS(Table1[Estimação (horas)],Table1[Tabela],Plano_V1!E116,Table1[Campo],Plano_V1!F116)</f>
        <v>0</v>
      </c>
      <c r="J116" s="84">
        <f t="shared" si="20"/>
        <v>0</v>
      </c>
      <c r="K116" s="87" t="s">
        <v>95</v>
      </c>
      <c r="L116" s="90">
        <f t="shared" si="18"/>
        <v>0</v>
      </c>
      <c r="M116" s="78"/>
      <c r="N116" s="78"/>
      <c r="O116" s="78"/>
      <c r="P116" s="78"/>
      <c r="Q116" s="78"/>
      <c r="R116" s="78"/>
      <c r="S116" s="78"/>
      <c r="T116" s="78"/>
      <c r="U116" s="78"/>
      <c r="V116" s="78"/>
      <c r="W116" s="78"/>
      <c r="X116" s="78"/>
      <c r="Y116" s="78"/>
      <c r="Z116" s="78"/>
      <c r="AA116" s="78"/>
      <c r="AB116" s="78"/>
      <c r="AC116" s="78"/>
      <c r="AD116" s="78"/>
      <c r="AE116" s="78"/>
      <c r="AF116" s="78"/>
      <c r="AG116" s="78"/>
      <c r="AH116" s="78"/>
      <c r="AI116" s="78"/>
      <c r="AJ116" s="78"/>
      <c r="AK116" s="78"/>
      <c r="AL116" s="78"/>
      <c r="AM116" s="78"/>
      <c r="AN116" s="78"/>
      <c r="AO116" s="78"/>
      <c r="AP116" s="78"/>
      <c r="AQ116" s="78"/>
      <c r="AR116" s="78"/>
      <c r="AS116" s="78"/>
      <c r="AT116" s="91"/>
      <c r="AU116" s="78"/>
      <c r="AV116" s="78"/>
      <c r="AW116" s="78"/>
      <c r="AX116" s="78"/>
      <c r="AY116" s="78"/>
      <c r="AZ116" s="78"/>
      <c r="BA116" s="78"/>
      <c r="BB116" s="78"/>
      <c r="BC116" s="78"/>
      <c r="BD116" s="78"/>
      <c r="BE116" s="78"/>
      <c r="BF116" s="78"/>
      <c r="BG116" s="78"/>
      <c r="BH116" s="78"/>
      <c r="BI116" s="78"/>
      <c r="BJ116" s="78"/>
      <c r="BK116" s="78"/>
      <c r="BL116" s="78"/>
      <c r="BM116" s="78"/>
      <c r="BN116" s="78"/>
      <c r="BO116" s="78"/>
      <c r="BP116" s="78"/>
      <c r="BQ116" s="78"/>
      <c r="BR116" s="78"/>
      <c r="BS116" s="78"/>
      <c r="BT116" s="78"/>
      <c r="BU116" s="78"/>
      <c r="BV116" s="78"/>
      <c r="BW116" s="78"/>
      <c r="BX116" s="78"/>
      <c r="BY116" s="78"/>
      <c r="BZ116" s="78"/>
      <c r="CA116" s="78"/>
      <c r="CB116" s="78"/>
      <c r="CC116" s="78"/>
      <c r="CD116" s="78"/>
      <c r="CE116" s="78"/>
      <c r="CF116" s="78"/>
      <c r="CG116" s="78"/>
      <c r="CH116" s="78"/>
      <c r="CI116" s="78"/>
      <c r="CJ116" s="78"/>
      <c r="CK116" s="78"/>
      <c r="CL116" s="78"/>
      <c r="CM116" s="78"/>
      <c r="CN116" s="78"/>
      <c r="CO116" s="78"/>
      <c r="CP116" s="78"/>
      <c r="CQ116" s="78"/>
      <c r="CR116" s="78"/>
      <c r="CS116" s="78"/>
      <c r="CT116" s="78"/>
      <c r="CU116" s="78"/>
      <c r="CV116" s="78"/>
      <c r="CW116" s="78"/>
      <c r="CX116" s="78"/>
      <c r="CY116" s="78"/>
      <c r="CZ116" s="78"/>
      <c r="DA116" s="78"/>
      <c r="DB116" s="78"/>
      <c r="DC116" s="78"/>
      <c r="DD116" s="78"/>
      <c r="DE116" s="78"/>
      <c r="DF116" s="78"/>
      <c r="DG116" s="78"/>
      <c r="DH116" s="78"/>
      <c r="DI116" s="78"/>
      <c r="DJ116" s="78"/>
      <c r="DK116" s="78"/>
      <c r="DL116" s="78"/>
      <c r="DM116" s="78"/>
      <c r="DN116" s="78"/>
      <c r="DO116" s="78"/>
      <c r="DP116" s="78"/>
      <c r="DQ116" s="78"/>
      <c r="DR116" s="78"/>
      <c r="DS116" s="78"/>
      <c r="DT116" s="78"/>
      <c r="DU116" s="78"/>
      <c r="DV116" s="78"/>
      <c r="DW116" s="78"/>
      <c r="DX116" s="78"/>
      <c r="DY116" s="78"/>
      <c r="DZ116" s="78"/>
      <c r="EA116" s="78"/>
      <c r="EB116" s="78"/>
      <c r="EC116" s="78"/>
      <c r="ED116" s="78"/>
      <c r="EE116" s="78"/>
      <c r="EF116" s="78"/>
      <c r="EG116" s="78"/>
      <c r="EH116" s="78"/>
      <c r="EI116" s="91"/>
      <c r="EJ116" s="91"/>
      <c r="EK116" s="91"/>
      <c r="EL116" s="91"/>
      <c r="EM116" s="91"/>
      <c r="EN116" s="91"/>
      <c r="EO116" s="91"/>
      <c r="EP116" s="78"/>
      <c r="EQ116" s="78"/>
      <c r="ER116" s="78"/>
      <c r="ES116" s="78"/>
      <c r="ET116" s="78"/>
      <c r="EU116" s="78"/>
      <c r="EV116" s="78"/>
      <c r="EW116" s="78"/>
      <c r="EX116" s="78"/>
      <c r="EY116" s="78"/>
      <c r="EZ116" s="78"/>
      <c r="FA116" s="78"/>
      <c r="FB116" s="78"/>
      <c r="FC116" s="78"/>
      <c r="FD116" s="78"/>
      <c r="FE116" s="78"/>
      <c r="FF116" s="78"/>
      <c r="FG116" s="78"/>
      <c r="FH116" s="78"/>
      <c r="FI116" s="78"/>
      <c r="FJ116" s="78"/>
      <c r="FK116" s="78"/>
    </row>
    <row r="117" spans="1:167" hidden="1" outlineLevel="1">
      <c r="A117" s="29" t="str">
        <f t="shared" si="19"/>
        <v>cd_imv_out_bensficha</v>
      </c>
      <c r="B117" s="67" t="s">
        <v>26</v>
      </c>
      <c r="C117" s="68" t="s">
        <v>54</v>
      </c>
      <c r="D117" s="64" t="s">
        <v>40</v>
      </c>
      <c r="E117" s="66" t="s">
        <v>482</v>
      </c>
      <c r="F117" s="64" t="s">
        <v>495</v>
      </c>
      <c r="G117" s="64" t="e">
        <f>INDEX(Auxiliar!$B$16:$B$24,MATCH(Plano_V1!H117,Auxiliar!$C$16:$C$24,0),1)</f>
        <v>#N/A</v>
      </c>
      <c r="H117" s="64" t="e">
        <f>VLOOKUP(A117,'Aux - pivots1'!$A:$B,2,0)</f>
        <v>#N/A</v>
      </c>
      <c r="I117" s="84">
        <f>SUMIFS(Table1[Estimação (horas)],Table1[Tabela],Plano_V1!E117,Table1[Campo],Plano_V1!F117)</f>
        <v>0</v>
      </c>
      <c r="J117" s="84">
        <f t="shared" si="20"/>
        <v>0</v>
      </c>
      <c r="K117" s="87" t="s">
        <v>95</v>
      </c>
      <c r="L117" s="90">
        <f t="shared" si="18"/>
        <v>0</v>
      </c>
      <c r="M117" s="78"/>
      <c r="N117" s="78"/>
      <c r="O117" s="78"/>
      <c r="P117" s="78"/>
      <c r="Q117" s="78"/>
      <c r="R117" s="78"/>
      <c r="S117" s="78"/>
      <c r="T117" s="78"/>
      <c r="U117" s="78"/>
      <c r="V117" s="78"/>
      <c r="W117" s="78"/>
      <c r="X117" s="78"/>
      <c r="Y117" s="78"/>
      <c r="Z117" s="78"/>
      <c r="AA117" s="78"/>
      <c r="AB117" s="78"/>
      <c r="AC117" s="78"/>
      <c r="AD117" s="78"/>
      <c r="AE117" s="78"/>
      <c r="AF117" s="78"/>
      <c r="AG117" s="78"/>
      <c r="AH117" s="78"/>
      <c r="AI117" s="78"/>
      <c r="AJ117" s="78"/>
      <c r="AK117" s="78"/>
      <c r="AL117" s="78"/>
      <c r="AM117" s="78"/>
      <c r="AN117" s="78"/>
      <c r="AO117" s="78"/>
      <c r="AP117" s="78"/>
      <c r="AQ117" s="78"/>
      <c r="AR117" s="78"/>
      <c r="AS117" s="78"/>
      <c r="AT117" s="91"/>
      <c r="AU117" s="78"/>
      <c r="AV117" s="78"/>
      <c r="AW117" s="78"/>
      <c r="AX117" s="78"/>
      <c r="AY117" s="78"/>
      <c r="AZ117" s="78"/>
      <c r="BA117" s="78"/>
      <c r="BB117" s="78"/>
      <c r="BC117" s="78"/>
      <c r="BD117" s="78"/>
      <c r="BE117" s="78"/>
      <c r="BF117" s="78"/>
      <c r="BG117" s="78"/>
      <c r="BH117" s="78"/>
      <c r="BI117" s="78"/>
      <c r="BJ117" s="78"/>
      <c r="BK117" s="78"/>
      <c r="BL117" s="78"/>
      <c r="BM117" s="78"/>
      <c r="BN117" s="78"/>
      <c r="BO117" s="78"/>
      <c r="BP117" s="78"/>
      <c r="BQ117" s="78"/>
      <c r="BR117" s="78"/>
      <c r="BS117" s="78"/>
      <c r="BT117" s="78"/>
      <c r="BU117" s="78"/>
      <c r="BV117" s="78"/>
      <c r="BW117" s="78"/>
      <c r="BX117" s="78"/>
      <c r="BY117" s="78"/>
      <c r="BZ117" s="78"/>
      <c r="CA117" s="78"/>
      <c r="CB117" s="78"/>
      <c r="CC117" s="78"/>
      <c r="CD117" s="78"/>
      <c r="CE117" s="78"/>
      <c r="CF117" s="78"/>
      <c r="CG117" s="78"/>
      <c r="CH117" s="78"/>
      <c r="CI117" s="78"/>
      <c r="CJ117" s="78"/>
      <c r="CK117" s="78"/>
      <c r="CL117" s="78"/>
      <c r="CM117" s="78"/>
      <c r="CN117" s="78"/>
      <c r="CO117" s="78"/>
      <c r="CP117" s="78"/>
      <c r="CQ117" s="78"/>
      <c r="CR117" s="78"/>
      <c r="CS117" s="78"/>
      <c r="CT117" s="78"/>
      <c r="CU117" s="78"/>
      <c r="CV117" s="78"/>
      <c r="CW117" s="78"/>
      <c r="CX117" s="78"/>
      <c r="CY117" s="78"/>
      <c r="CZ117" s="78"/>
      <c r="DA117" s="78"/>
      <c r="DB117" s="78"/>
      <c r="DC117" s="78"/>
      <c r="DD117" s="78"/>
      <c r="DE117" s="78"/>
      <c r="DF117" s="78"/>
      <c r="DG117" s="78"/>
      <c r="DH117" s="78"/>
      <c r="DI117" s="78"/>
      <c r="DJ117" s="78"/>
      <c r="DK117" s="78"/>
      <c r="DL117" s="78"/>
      <c r="DM117" s="78"/>
      <c r="DN117" s="78"/>
      <c r="DO117" s="78"/>
      <c r="DP117" s="78"/>
      <c r="DQ117" s="78"/>
      <c r="DR117" s="78"/>
      <c r="DS117" s="78"/>
      <c r="DT117" s="78"/>
      <c r="DU117" s="78"/>
      <c r="DV117" s="78"/>
      <c r="DW117" s="78"/>
      <c r="DX117" s="78"/>
      <c r="DY117" s="78"/>
      <c r="DZ117" s="78"/>
      <c r="EA117" s="78"/>
      <c r="EB117" s="78"/>
      <c r="EC117" s="78"/>
      <c r="ED117" s="78"/>
      <c r="EE117" s="78"/>
      <c r="EF117" s="78"/>
      <c r="EG117" s="78"/>
      <c r="EH117" s="78"/>
      <c r="EI117" s="91"/>
      <c r="EJ117" s="91"/>
      <c r="EK117" s="91"/>
      <c r="EL117" s="91"/>
      <c r="EM117" s="91"/>
      <c r="EN117" s="91"/>
      <c r="EO117" s="91"/>
      <c r="EP117" s="78"/>
      <c r="EQ117" s="78"/>
      <c r="ER117" s="78"/>
      <c r="ES117" s="78"/>
      <c r="ET117" s="78"/>
      <c r="EU117" s="78"/>
      <c r="EV117" s="78"/>
      <c r="EW117" s="78"/>
      <c r="EX117" s="78"/>
      <c r="EY117" s="78"/>
      <c r="EZ117" s="78"/>
      <c r="FA117" s="78"/>
      <c r="FB117" s="78"/>
      <c r="FC117" s="78"/>
      <c r="FD117" s="78"/>
      <c r="FE117" s="78"/>
      <c r="FF117" s="78"/>
      <c r="FG117" s="78"/>
      <c r="FH117" s="78"/>
      <c r="FI117" s="78"/>
      <c r="FJ117" s="78"/>
      <c r="FK117" s="78"/>
    </row>
    <row r="118" spans="1:167" hidden="1" outlineLevel="1">
      <c r="A118" s="29" t="str">
        <f t="shared" si="19"/>
        <v>cd_imv_out_bensid_frac</v>
      </c>
      <c r="B118" s="67" t="s">
        <v>26</v>
      </c>
      <c r="C118" s="68" t="s">
        <v>54</v>
      </c>
      <c r="D118" s="64" t="s">
        <v>40</v>
      </c>
      <c r="E118" s="66" t="s">
        <v>482</v>
      </c>
      <c r="F118" s="64" t="s">
        <v>496</v>
      </c>
      <c r="G118" s="64" t="e">
        <f>INDEX(Auxiliar!$B$16:$B$24,MATCH(Plano_V1!H118,Auxiliar!$C$16:$C$24,0),1)</f>
        <v>#N/A</v>
      </c>
      <c r="H118" s="64" t="e">
        <f>VLOOKUP(A118,'Aux - pivots1'!$A:$B,2,0)</f>
        <v>#N/A</v>
      </c>
      <c r="I118" s="84">
        <f>SUMIFS(Table1[Estimação (horas)],Table1[Tabela],Plano_V1!E118,Table1[Campo],Plano_V1!F118)</f>
        <v>0</v>
      </c>
      <c r="J118" s="84">
        <f t="shared" si="20"/>
        <v>0</v>
      </c>
      <c r="K118" s="87" t="s">
        <v>95</v>
      </c>
      <c r="L118" s="90">
        <f t="shared" si="18"/>
        <v>0</v>
      </c>
      <c r="M118" s="78"/>
      <c r="N118" s="78"/>
      <c r="O118" s="78"/>
      <c r="P118" s="78"/>
      <c r="Q118" s="78"/>
      <c r="R118" s="78"/>
      <c r="S118" s="78"/>
      <c r="T118" s="78"/>
      <c r="U118" s="78"/>
      <c r="V118" s="78"/>
      <c r="W118" s="78"/>
      <c r="X118" s="78"/>
      <c r="Y118" s="78"/>
      <c r="Z118" s="78"/>
      <c r="AA118" s="78"/>
      <c r="AB118" s="78"/>
      <c r="AC118" s="78"/>
      <c r="AD118" s="78"/>
      <c r="AE118" s="78"/>
      <c r="AF118" s="78"/>
      <c r="AG118" s="78"/>
      <c r="AH118" s="78"/>
      <c r="AI118" s="78"/>
      <c r="AJ118" s="78"/>
      <c r="AK118" s="78"/>
      <c r="AL118" s="78"/>
      <c r="AM118" s="78"/>
      <c r="AN118" s="78"/>
      <c r="AO118" s="78"/>
      <c r="AP118" s="78"/>
      <c r="AQ118" s="78"/>
      <c r="AR118" s="78"/>
      <c r="AS118" s="78"/>
      <c r="AT118" s="91"/>
      <c r="AU118" s="78"/>
      <c r="AV118" s="78"/>
      <c r="AW118" s="78"/>
      <c r="AX118" s="78"/>
      <c r="AY118" s="78"/>
      <c r="AZ118" s="78"/>
      <c r="BA118" s="78"/>
      <c r="BB118" s="78"/>
      <c r="BC118" s="78"/>
      <c r="BD118" s="78"/>
      <c r="BE118" s="78"/>
      <c r="BF118" s="78"/>
      <c r="BG118" s="78"/>
      <c r="BH118" s="78"/>
      <c r="BI118" s="78"/>
      <c r="BJ118" s="78"/>
      <c r="BK118" s="78"/>
      <c r="BL118" s="78"/>
      <c r="BM118" s="78"/>
      <c r="BN118" s="78"/>
      <c r="BO118" s="78"/>
      <c r="BP118" s="78"/>
      <c r="BQ118" s="78"/>
      <c r="BR118" s="78"/>
      <c r="BS118" s="78"/>
      <c r="BT118" s="78"/>
      <c r="BU118" s="78"/>
      <c r="BV118" s="78"/>
      <c r="BW118" s="78"/>
      <c r="BX118" s="78"/>
      <c r="BY118" s="78"/>
      <c r="BZ118" s="78"/>
      <c r="CA118" s="78"/>
      <c r="CB118" s="78"/>
      <c r="CC118" s="78"/>
      <c r="CD118" s="78"/>
      <c r="CE118" s="78"/>
      <c r="CF118" s="78"/>
      <c r="CG118" s="78"/>
      <c r="CH118" s="78"/>
      <c r="CI118" s="78"/>
      <c r="CJ118" s="78"/>
      <c r="CK118" s="78"/>
      <c r="CL118" s="78"/>
      <c r="CM118" s="78"/>
      <c r="CN118" s="78"/>
      <c r="CO118" s="78"/>
      <c r="CP118" s="78"/>
      <c r="CQ118" s="78"/>
      <c r="CR118" s="78"/>
      <c r="CS118" s="78"/>
      <c r="CT118" s="78"/>
      <c r="CU118" s="78"/>
      <c r="CV118" s="78"/>
      <c r="CW118" s="78"/>
      <c r="CX118" s="78"/>
      <c r="CY118" s="78"/>
      <c r="CZ118" s="78"/>
      <c r="DA118" s="78"/>
      <c r="DB118" s="78"/>
      <c r="DC118" s="78"/>
      <c r="DD118" s="78"/>
      <c r="DE118" s="78"/>
      <c r="DF118" s="78"/>
      <c r="DG118" s="78"/>
      <c r="DH118" s="78"/>
      <c r="DI118" s="78"/>
      <c r="DJ118" s="78"/>
      <c r="DK118" s="78"/>
      <c r="DL118" s="78"/>
      <c r="DM118" s="78"/>
      <c r="DN118" s="78"/>
      <c r="DO118" s="78"/>
      <c r="DP118" s="78"/>
      <c r="DQ118" s="78"/>
      <c r="DR118" s="78"/>
      <c r="DS118" s="78"/>
      <c r="DT118" s="78"/>
      <c r="DU118" s="78"/>
      <c r="DV118" s="78"/>
      <c r="DW118" s="78"/>
      <c r="DX118" s="78"/>
      <c r="DY118" s="78"/>
      <c r="DZ118" s="78"/>
      <c r="EA118" s="78"/>
      <c r="EB118" s="78"/>
      <c r="EC118" s="78"/>
      <c r="ED118" s="78"/>
      <c r="EE118" s="78"/>
      <c r="EF118" s="78"/>
      <c r="EG118" s="78"/>
      <c r="EH118" s="78"/>
      <c r="EI118" s="91"/>
      <c r="EJ118" s="91"/>
      <c r="EK118" s="91"/>
      <c r="EL118" s="91"/>
      <c r="EM118" s="91"/>
      <c r="EN118" s="91"/>
      <c r="EO118" s="91"/>
      <c r="EP118" s="78"/>
      <c r="EQ118" s="78"/>
      <c r="ER118" s="78"/>
      <c r="ES118" s="78"/>
      <c r="ET118" s="78"/>
      <c r="EU118" s="78"/>
      <c r="EV118" s="78"/>
      <c r="EW118" s="78"/>
      <c r="EX118" s="78"/>
      <c r="EY118" s="78"/>
      <c r="EZ118" s="78"/>
      <c r="FA118" s="78"/>
      <c r="FB118" s="78"/>
      <c r="FC118" s="78"/>
      <c r="FD118" s="78"/>
      <c r="FE118" s="78"/>
      <c r="FF118" s="78"/>
      <c r="FG118" s="78"/>
      <c r="FH118" s="78"/>
      <c r="FI118" s="78"/>
      <c r="FJ118" s="78"/>
      <c r="FK118" s="78"/>
    </row>
    <row r="119" spans="1:167" hidden="1" outlineLevel="1">
      <c r="A119" s="29" t="str">
        <f t="shared" si="19"/>
        <v>cd_imv_out_benslocalid</v>
      </c>
      <c r="B119" s="67" t="s">
        <v>26</v>
      </c>
      <c r="C119" s="68" t="s">
        <v>54</v>
      </c>
      <c r="D119" s="64" t="s">
        <v>40</v>
      </c>
      <c r="E119" s="66" t="s">
        <v>482</v>
      </c>
      <c r="F119" s="64" t="s">
        <v>497</v>
      </c>
      <c r="G119" s="64" t="e">
        <f>INDEX(Auxiliar!$B$16:$B$24,MATCH(Plano_V1!H119,Auxiliar!$C$16:$C$24,0),1)</f>
        <v>#N/A</v>
      </c>
      <c r="H119" s="64" t="e">
        <f>VLOOKUP(A119,'Aux - pivots1'!$A:$B,2,0)</f>
        <v>#N/A</v>
      </c>
      <c r="I119" s="84">
        <f>SUMIFS(Table1[Estimação (horas)],Table1[Tabela],Plano_V1!E119,Table1[Campo],Plano_V1!F119)</f>
        <v>0</v>
      </c>
      <c r="J119" s="84">
        <f t="shared" si="20"/>
        <v>0</v>
      </c>
      <c r="K119" s="87" t="s">
        <v>95</v>
      </c>
      <c r="L119" s="90">
        <f t="shared" si="18"/>
        <v>0</v>
      </c>
      <c r="M119" s="78"/>
      <c r="N119" s="78"/>
      <c r="O119" s="78"/>
      <c r="P119" s="78"/>
      <c r="Q119" s="78"/>
      <c r="R119" s="78"/>
      <c r="S119" s="78"/>
      <c r="T119" s="78"/>
      <c r="U119" s="78"/>
      <c r="V119" s="78"/>
      <c r="W119" s="78"/>
      <c r="X119" s="78"/>
      <c r="Y119" s="78"/>
      <c r="Z119" s="78"/>
      <c r="AA119" s="78"/>
      <c r="AB119" s="78"/>
      <c r="AC119" s="78"/>
      <c r="AD119" s="78"/>
      <c r="AE119" s="78"/>
      <c r="AF119" s="78"/>
      <c r="AG119" s="78"/>
      <c r="AH119" s="78"/>
      <c r="AI119" s="78"/>
      <c r="AJ119" s="78"/>
      <c r="AK119" s="78"/>
      <c r="AL119" s="78"/>
      <c r="AM119" s="78"/>
      <c r="AN119" s="78"/>
      <c r="AO119" s="78"/>
      <c r="AP119" s="78"/>
      <c r="AQ119" s="78"/>
      <c r="AR119" s="78"/>
      <c r="AS119" s="78"/>
      <c r="AT119" s="91"/>
      <c r="AU119" s="78"/>
      <c r="AV119" s="78"/>
      <c r="AW119" s="78"/>
      <c r="AX119" s="78"/>
      <c r="AY119" s="78"/>
      <c r="AZ119" s="78"/>
      <c r="BA119" s="78"/>
      <c r="BB119" s="78"/>
      <c r="BC119" s="78"/>
      <c r="BD119" s="78"/>
      <c r="BE119" s="78"/>
      <c r="BF119" s="78"/>
      <c r="BG119" s="78"/>
      <c r="BH119" s="78"/>
      <c r="BI119" s="78"/>
      <c r="BJ119" s="78"/>
      <c r="BK119" s="78"/>
      <c r="BL119" s="78"/>
      <c r="BM119" s="78"/>
      <c r="BN119" s="78"/>
      <c r="BO119" s="78"/>
      <c r="BP119" s="78"/>
      <c r="BQ119" s="78"/>
      <c r="BR119" s="78"/>
      <c r="BS119" s="78"/>
      <c r="BT119" s="78"/>
      <c r="BU119" s="78"/>
      <c r="BV119" s="78"/>
      <c r="BW119" s="78"/>
      <c r="BX119" s="78"/>
      <c r="BY119" s="78"/>
      <c r="BZ119" s="78"/>
      <c r="CA119" s="78"/>
      <c r="CB119" s="78"/>
      <c r="CC119" s="78"/>
      <c r="CD119" s="78"/>
      <c r="CE119" s="78"/>
      <c r="CF119" s="78"/>
      <c r="CG119" s="78"/>
      <c r="CH119" s="78"/>
      <c r="CI119" s="78"/>
      <c r="CJ119" s="78"/>
      <c r="CK119" s="78"/>
      <c r="CL119" s="78"/>
      <c r="CM119" s="78"/>
      <c r="CN119" s="78"/>
      <c r="CO119" s="78"/>
      <c r="CP119" s="78"/>
      <c r="CQ119" s="78"/>
      <c r="CR119" s="78"/>
      <c r="CS119" s="78"/>
      <c r="CT119" s="78"/>
      <c r="CU119" s="78"/>
      <c r="CV119" s="78"/>
      <c r="CW119" s="78"/>
      <c r="CX119" s="78"/>
      <c r="CY119" s="78"/>
      <c r="CZ119" s="78"/>
      <c r="DA119" s="78"/>
      <c r="DB119" s="78"/>
      <c r="DC119" s="78"/>
      <c r="DD119" s="78"/>
      <c r="DE119" s="78"/>
      <c r="DF119" s="78"/>
      <c r="DG119" s="78"/>
      <c r="DH119" s="78"/>
      <c r="DI119" s="78"/>
      <c r="DJ119" s="78"/>
      <c r="DK119" s="78"/>
      <c r="DL119" s="78"/>
      <c r="DM119" s="78"/>
      <c r="DN119" s="78"/>
      <c r="DO119" s="78"/>
      <c r="DP119" s="78"/>
      <c r="DQ119" s="78"/>
      <c r="DR119" s="78"/>
      <c r="DS119" s="78"/>
      <c r="DT119" s="78"/>
      <c r="DU119" s="78"/>
      <c r="DV119" s="78"/>
      <c r="DW119" s="78"/>
      <c r="DX119" s="78"/>
      <c r="DY119" s="78"/>
      <c r="DZ119" s="78"/>
      <c r="EA119" s="78"/>
      <c r="EB119" s="78"/>
      <c r="EC119" s="78"/>
      <c r="ED119" s="78"/>
      <c r="EE119" s="78"/>
      <c r="EF119" s="78"/>
      <c r="EG119" s="78"/>
      <c r="EH119" s="78"/>
      <c r="EI119" s="91"/>
      <c r="EJ119" s="91"/>
      <c r="EK119" s="91"/>
      <c r="EL119" s="91"/>
      <c r="EM119" s="91"/>
      <c r="EN119" s="91"/>
      <c r="EO119" s="91"/>
      <c r="EP119" s="78"/>
      <c r="EQ119" s="78"/>
      <c r="ER119" s="78"/>
      <c r="ES119" s="78"/>
      <c r="ET119" s="78"/>
      <c r="EU119" s="78"/>
      <c r="EV119" s="78"/>
      <c r="EW119" s="78"/>
      <c r="EX119" s="78"/>
      <c r="EY119" s="78"/>
      <c r="EZ119" s="78"/>
      <c r="FA119" s="78"/>
      <c r="FB119" s="78"/>
      <c r="FC119" s="78"/>
      <c r="FD119" s="78"/>
      <c r="FE119" s="78"/>
      <c r="FF119" s="78"/>
      <c r="FG119" s="78"/>
      <c r="FH119" s="78"/>
      <c r="FI119" s="78"/>
      <c r="FJ119" s="78"/>
      <c r="FK119" s="78"/>
    </row>
    <row r="120" spans="1:167" hidden="1" outlineLevel="1">
      <c r="A120" s="29" t="str">
        <f t="shared" si="19"/>
        <v>cd_imv_out_benslote</v>
      </c>
      <c r="B120" s="67" t="s">
        <v>26</v>
      </c>
      <c r="C120" s="68" t="s">
        <v>54</v>
      </c>
      <c r="D120" s="64" t="s">
        <v>40</v>
      </c>
      <c r="E120" s="66" t="s">
        <v>482</v>
      </c>
      <c r="F120" s="64" t="s">
        <v>498</v>
      </c>
      <c r="G120" s="64" t="e">
        <f>INDEX(Auxiliar!$B$16:$B$24,MATCH(Plano_V1!H120,Auxiliar!$C$16:$C$24,0),1)</f>
        <v>#N/A</v>
      </c>
      <c r="H120" s="64" t="e">
        <f>VLOOKUP(A120,'Aux - pivots1'!$A:$B,2,0)</f>
        <v>#N/A</v>
      </c>
      <c r="I120" s="84">
        <f>SUMIFS(Table1[Estimação (horas)],Table1[Tabela],Plano_V1!E120,Table1[Campo],Plano_V1!F120)</f>
        <v>0</v>
      </c>
      <c r="J120" s="84">
        <f t="shared" si="20"/>
        <v>0</v>
      </c>
      <c r="K120" s="87" t="s">
        <v>95</v>
      </c>
      <c r="L120" s="90">
        <f t="shared" si="18"/>
        <v>0</v>
      </c>
      <c r="M120" s="78"/>
      <c r="N120" s="78"/>
      <c r="O120" s="78"/>
      <c r="P120" s="78"/>
      <c r="Q120" s="78"/>
      <c r="R120" s="78"/>
      <c r="S120" s="78"/>
      <c r="T120" s="78"/>
      <c r="U120" s="78"/>
      <c r="V120" s="78"/>
      <c r="W120" s="78"/>
      <c r="X120" s="78"/>
      <c r="Y120" s="78"/>
      <c r="Z120" s="78"/>
      <c r="AA120" s="78"/>
      <c r="AB120" s="78"/>
      <c r="AC120" s="78"/>
      <c r="AD120" s="78"/>
      <c r="AE120" s="78"/>
      <c r="AF120" s="78"/>
      <c r="AG120" s="78"/>
      <c r="AH120" s="78"/>
      <c r="AI120" s="78"/>
      <c r="AJ120" s="78"/>
      <c r="AK120" s="78"/>
      <c r="AL120" s="78"/>
      <c r="AM120" s="78"/>
      <c r="AN120" s="78"/>
      <c r="AO120" s="78"/>
      <c r="AP120" s="78"/>
      <c r="AQ120" s="78"/>
      <c r="AR120" s="78"/>
      <c r="AS120" s="78"/>
      <c r="AT120" s="91"/>
      <c r="AU120" s="78"/>
      <c r="AV120" s="78"/>
      <c r="AW120" s="78"/>
      <c r="AX120" s="78"/>
      <c r="AY120" s="78"/>
      <c r="AZ120" s="78"/>
      <c r="BA120" s="78"/>
      <c r="BB120" s="78"/>
      <c r="BC120" s="78"/>
      <c r="BD120" s="78"/>
      <c r="BE120" s="78"/>
      <c r="BF120" s="78"/>
      <c r="BG120" s="78"/>
      <c r="BH120" s="78"/>
      <c r="BI120" s="78"/>
      <c r="BJ120" s="78"/>
      <c r="BK120" s="78"/>
      <c r="BL120" s="78"/>
      <c r="BM120" s="78"/>
      <c r="BN120" s="78"/>
      <c r="BO120" s="78"/>
      <c r="BP120" s="78"/>
      <c r="BQ120" s="78"/>
      <c r="BR120" s="78"/>
      <c r="BS120" s="78"/>
      <c r="BT120" s="78"/>
      <c r="BU120" s="78"/>
      <c r="BV120" s="78"/>
      <c r="BW120" s="78"/>
      <c r="BX120" s="78"/>
      <c r="BY120" s="78"/>
      <c r="BZ120" s="78"/>
      <c r="CA120" s="78"/>
      <c r="CB120" s="78"/>
      <c r="CC120" s="78"/>
      <c r="CD120" s="78"/>
      <c r="CE120" s="78"/>
      <c r="CF120" s="78"/>
      <c r="CG120" s="78"/>
      <c r="CH120" s="78"/>
      <c r="CI120" s="78"/>
      <c r="CJ120" s="78"/>
      <c r="CK120" s="78"/>
      <c r="CL120" s="78"/>
      <c r="CM120" s="78"/>
      <c r="CN120" s="78"/>
      <c r="CO120" s="78"/>
      <c r="CP120" s="78"/>
      <c r="CQ120" s="78"/>
      <c r="CR120" s="78"/>
      <c r="CS120" s="78"/>
      <c r="CT120" s="78"/>
      <c r="CU120" s="78"/>
      <c r="CV120" s="78"/>
      <c r="CW120" s="78"/>
      <c r="CX120" s="78"/>
      <c r="CY120" s="78"/>
      <c r="CZ120" s="78"/>
      <c r="DA120" s="78"/>
      <c r="DB120" s="78"/>
      <c r="DC120" s="78"/>
      <c r="DD120" s="78"/>
      <c r="DE120" s="78"/>
      <c r="DF120" s="78"/>
      <c r="DG120" s="78"/>
      <c r="DH120" s="78"/>
      <c r="DI120" s="78"/>
      <c r="DJ120" s="78"/>
      <c r="DK120" s="78"/>
      <c r="DL120" s="78"/>
      <c r="DM120" s="78"/>
      <c r="DN120" s="78"/>
      <c r="DO120" s="78"/>
      <c r="DP120" s="78"/>
      <c r="DQ120" s="78"/>
      <c r="DR120" s="78"/>
      <c r="DS120" s="78"/>
      <c r="DT120" s="78"/>
      <c r="DU120" s="78"/>
      <c r="DV120" s="78"/>
      <c r="DW120" s="78"/>
      <c r="DX120" s="78"/>
      <c r="DY120" s="78"/>
      <c r="DZ120" s="78"/>
      <c r="EA120" s="78"/>
      <c r="EB120" s="78"/>
      <c r="EC120" s="78"/>
      <c r="ED120" s="78"/>
      <c r="EE120" s="78"/>
      <c r="EF120" s="78"/>
      <c r="EG120" s="78"/>
      <c r="EH120" s="78"/>
      <c r="EI120" s="91"/>
      <c r="EJ120" s="91"/>
      <c r="EK120" s="91"/>
      <c r="EL120" s="91"/>
      <c r="EM120" s="91"/>
      <c r="EN120" s="91"/>
      <c r="EO120" s="91"/>
      <c r="EP120" s="78"/>
      <c r="EQ120" s="78"/>
      <c r="ER120" s="78"/>
      <c r="ES120" s="78"/>
      <c r="ET120" s="78"/>
      <c r="EU120" s="78"/>
      <c r="EV120" s="78"/>
      <c r="EW120" s="78"/>
      <c r="EX120" s="78"/>
      <c r="EY120" s="78"/>
      <c r="EZ120" s="78"/>
      <c r="FA120" s="78"/>
      <c r="FB120" s="78"/>
      <c r="FC120" s="78"/>
      <c r="FD120" s="78"/>
      <c r="FE120" s="78"/>
      <c r="FF120" s="78"/>
      <c r="FG120" s="78"/>
      <c r="FH120" s="78"/>
      <c r="FI120" s="78"/>
      <c r="FJ120" s="78"/>
      <c r="FK120" s="78"/>
    </row>
    <row r="121" spans="1:167" hidden="1" outlineLevel="1">
      <c r="A121" s="29" t="str">
        <f t="shared" si="19"/>
        <v>cd_imv_out_bensmontante_avl</v>
      </c>
      <c r="B121" s="67" t="s">
        <v>26</v>
      </c>
      <c r="C121" s="68" t="s">
        <v>54</v>
      </c>
      <c r="D121" s="64" t="s">
        <v>40</v>
      </c>
      <c r="E121" s="66" t="s">
        <v>482</v>
      </c>
      <c r="F121" s="64" t="s">
        <v>499</v>
      </c>
      <c r="G121" s="64" t="e">
        <f>INDEX(Auxiliar!$B$16:$B$24,MATCH(Plano_V1!H121,Auxiliar!$C$16:$C$24,0),1)</f>
        <v>#N/A</v>
      </c>
      <c r="H121" s="64" t="e">
        <f>VLOOKUP(A121,'Aux - pivots1'!$A:$B,2,0)</f>
        <v>#N/A</v>
      </c>
      <c r="I121" s="84">
        <f>SUMIFS(Table1[Estimação (horas)],Table1[Tabela],Plano_V1!E121,Table1[Campo],Plano_V1!F121)</f>
        <v>0</v>
      </c>
      <c r="J121" s="84">
        <f t="shared" si="20"/>
        <v>0</v>
      </c>
      <c r="K121" s="87" t="s">
        <v>95</v>
      </c>
      <c r="L121" s="90">
        <f t="shared" si="18"/>
        <v>0</v>
      </c>
      <c r="M121" s="78"/>
      <c r="N121" s="78"/>
      <c r="O121" s="78"/>
      <c r="P121" s="78"/>
      <c r="Q121" s="78"/>
      <c r="R121" s="78"/>
      <c r="S121" s="78"/>
      <c r="T121" s="78"/>
      <c r="U121" s="78"/>
      <c r="V121" s="78"/>
      <c r="W121" s="78"/>
      <c r="X121" s="78"/>
      <c r="Y121" s="78"/>
      <c r="Z121" s="78"/>
      <c r="AA121" s="78"/>
      <c r="AB121" s="78"/>
      <c r="AC121" s="78"/>
      <c r="AD121" s="78"/>
      <c r="AE121" s="78"/>
      <c r="AF121" s="78"/>
      <c r="AG121" s="78"/>
      <c r="AH121" s="78"/>
      <c r="AI121" s="78"/>
      <c r="AJ121" s="78"/>
      <c r="AK121" s="78"/>
      <c r="AL121" s="78"/>
      <c r="AM121" s="78"/>
      <c r="AN121" s="78"/>
      <c r="AO121" s="78"/>
      <c r="AP121" s="78"/>
      <c r="AQ121" s="78"/>
      <c r="AR121" s="78"/>
      <c r="AS121" s="78"/>
      <c r="AT121" s="91"/>
      <c r="AU121" s="78"/>
      <c r="AV121" s="78"/>
      <c r="AW121" s="78"/>
      <c r="AX121" s="78"/>
      <c r="AY121" s="78"/>
      <c r="AZ121" s="78"/>
      <c r="BA121" s="78"/>
      <c r="BB121" s="78"/>
      <c r="BC121" s="78"/>
      <c r="BD121" s="78"/>
      <c r="BE121" s="78"/>
      <c r="BF121" s="78"/>
      <c r="BG121" s="78"/>
      <c r="BH121" s="78"/>
      <c r="BI121" s="78"/>
      <c r="BJ121" s="78"/>
      <c r="BK121" s="78"/>
      <c r="BL121" s="78"/>
      <c r="BM121" s="78"/>
      <c r="BN121" s="78"/>
      <c r="BO121" s="78"/>
      <c r="BP121" s="78"/>
      <c r="BQ121" s="78"/>
      <c r="BR121" s="78"/>
      <c r="BS121" s="78"/>
      <c r="BT121" s="78"/>
      <c r="BU121" s="78"/>
      <c r="BV121" s="78"/>
      <c r="BW121" s="78"/>
      <c r="BX121" s="78"/>
      <c r="BY121" s="78"/>
      <c r="BZ121" s="78"/>
      <c r="CA121" s="78"/>
      <c r="CB121" s="78"/>
      <c r="CC121" s="78"/>
      <c r="CD121" s="78"/>
      <c r="CE121" s="78"/>
      <c r="CF121" s="78"/>
      <c r="CG121" s="78"/>
      <c r="CH121" s="78"/>
      <c r="CI121" s="78"/>
      <c r="CJ121" s="78"/>
      <c r="CK121" s="78"/>
      <c r="CL121" s="78"/>
      <c r="CM121" s="78"/>
      <c r="CN121" s="78"/>
      <c r="CO121" s="78"/>
      <c r="CP121" s="78"/>
      <c r="CQ121" s="78"/>
      <c r="CR121" s="78"/>
      <c r="CS121" s="78"/>
      <c r="CT121" s="78"/>
      <c r="CU121" s="78"/>
      <c r="CV121" s="78"/>
      <c r="CW121" s="78"/>
      <c r="CX121" s="78"/>
      <c r="CY121" s="78"/>
      <c r="CZ121" s="78"/>
      <c r="DA121" s="78"/>
      <c r="DB121" s="78"/>
      <c r="DC121" s="78"/>
      <c r="DD121" s="78"/>
      <c r="DE121" s="78"/>
      <c r="DF121" s="78"/>
      <c r="DG121" s="78"/>
      <c r="DH121" s="78"/>
      <c r="DI121" s="78"/>
      <c r="DJ121" s="78"/>
      <c r="DK121" s="78"/>
      <c r="DL121" s="78"/>
      <c r="DM121" s="78"/>
      <c r="DN121" s="78"/>
      <c r="DO121" s="78"/>
      <c r="DP121" s="78"/>
      <c r="DQ121" s="78"/>
      <c r="DR121" s="78"/>
      <c r="DS121" s="78"/>
      <c r="DT121" s="78"/>
      <c r="DU121" s="78"/>
      <c r="DV121" s="78"/>
      <c r="DW121" s="78"/>
      <c r="DX121" s="78"/>
      <c r="DY121" s="78"/>
      <c r="DZ121" s="78"/>
      <c r="EA121" s="78"/>
      <c r="EB121" s="78"/>
      <c r="EC121" s="78"/>
      <c r="ED121" s="78"/>
      <c r="EE121" s="78"/>
      <c r="EF121" s="78"/>
      <c r="EG121" s="78"/>
      <c r="EH121" s="78"/>
      <c r="EI121" s="91"/>
      <c r="EJ121" s="91"/>
      <c r="EK121" s="91"/>
      <c r="EL121" s="91"/>
      <c r="EM121" s="91"/>
      <c r="EN121" s="91"/>
      <c r="EO121" s="91"/>
      <c r="EP121" s="78"/>
      <c r="EQ121" s="78"/>
      <c r="ER121" s="78"/>
      <c r="ES121" s="78"/>
      <c r="ET121" s="78"/>
      <c r="EU121" s="78"/>
      <c r="EV121" s="78"/>
      <c r="EW121" s="78"/>
      <c r="EX121" s="78"/>
      <c r="EY121" s="78"/>
      <c r="EZ121" s="78"/>
      <c r="FA121" s="78"/>
      <c r="FB121" s="78"/>
      <c r="FC121" s="78"/>
      <c r="FD121" s="78"/>
      <c r="FE121" s="78"/>
      <c r="FF121" s="78"/>
      <c r="FG121" s="78"/>
      <c r="FH121" s="78"/>
      <c r="FI121" s="78"/>
      <c r="FJ121" s="78"/>
      <c r="FK121" s="78"/>
    </row>
    <row r="122" spans="1:167" hidden="1" outlineLevel="1">
      <c r="A122" s="29" t="str">
        <f t="shared" si="19"/>
        <v>cd_imv_out_bensmontante_avl_dist</v>
      </c>
      <c r="B122" s="67" t="s">
        <v>26</v>
      </c>
      <c r="C122" s="68" t="s">
        <v>54</v>
      </c>
      <c r="D122" s="64" t="s">
        <v>40</v>
      </c>
      <c r="E122" s="66" t="s">
        <v>482</v>
      </c>
      <c r="F122" s="64" t="s">
        <v>500</v>
      </c>
      <c r="G122" s="64" t="e">
        <f>INDEX(Auxiliar!$B$16:$B$24,MATCH(Plano_V1!H122,Auxiliar!$C$16:$C$24,0),1)</f>
        <v>#N/A</v>
      </c>
      <c r="H122" s="64" t="e">
        <f>VLOOKUP(A122,'Aux - pivots1'!$A:$B,2,0)</f>
        <v>#N/A</v>
      </c>
      <c r="I122" s="84">
        <f>SUMIFS(Table1[Estimação (horas)],Table1[Tabela],Plano_V1!E122,Table1[Campo],Plano_V1!F122)</f>
        <v>0</v>
      </c>
      <c r="J122" s="84">
        <f t="shared" si="20"/>
        <v>0</v>
      </c>
      <c r="K122" s="87" t="s">
        <v>95</v>
      </c>
      <c r="L122" s="90">
        <f t="shared" si="18"/>
        <v>0</v>
      </c>
      <c r="M122" s="78"/>
      <c r="N122" s="78"/>
      <c r="O122" s="78"/>
      <c r="P122" s="78"/>
      <c r="Q122" s="78"/>
      <c r="R122" s="78"/>
      <c r="S122" s="78"/>
      <c r="T122" s="78"/>
      <c r="U122" s="78"/>
      <c r="V122" s="78"/>
      <c r="W122" s="78"/>
      <c r="X122" s="78"/>
      <c r="Y122" s="78"/>
      <c r="Z122" s="78"/>
      <c r="AA122" s="78"/>
      <c r="AB122" s="78"/>
      <c r="AC122" s="78"/>
      <c r="AD122" s="78"/>
      <c r="AE122" s="78"/>
      <c r="AF122" s="78"/>
      <c r="AG122" s="78"/>
      <c r="AH122" s="78"/>
      <c r="AI122" s="78"/>
      <c r="AJ122" s="78"/>
      <c r="AK122" s="78"/>
      <c r="AL122" s="78"/>
      <c r="AM122" s="78"/>
      <c r="AN122" s="78"/>
      <c r="AO122" s="78"/>
      <c r="AP122" s="78"/>
      <c r="AQ122" s="78"/>
      <c r="AR122" s="78"/>
      <c r="AS122" s="78"/>
      <c r="AT122" s="91"/>
      <c r="AU122" s="78"/>
      <c r="AV122" s="78"/>
      <c r="AW122" s="78"/>
      <c r="AX122" s="78"/>
      <c r="AY122" s="78"/>
      <c r="AZ122" s="78"/>
      <c r="BA122" s="78"/>
      <c r="BB122" s="78"/>
      <c r="BC122" s="78"/>
      <c r="BD122" s="78"/>
      <c r="BE122" s="78"/>
      <c r="BF122" s="78"/>
      <c r="BG122" s="78"/>
      <c r="BH122" s="78"/>
      <c r="BI122" s="78"/>
      <c r="BJ122" s="78"/>
      <c r="BK122" s="78"/>
      <c r="BL122" s="78"/>
      <c r="BM122" s="78"/>
      <c r="BN122" s="78"/>
      <c r="BO122" s="78"/>
      <c r="BP122" s="78"/>
      <c r="BQ122" s="78"/>
      <c r="BR122" s="78"/>
      <c r="BS122" s="78"/>
      <c r="BT122" s="78"/>
      <c r="BU122" s="78"/>
      <c r="BV122" s="78"/>
      <c r="BW122" s="78"/>
      <c r="BX122" s="78"/>
      <c r="BY122" s="78"/>
      <c r="BZ122" s="78"/>
      <c r="CA122" s="78"/>
      <c r="CB122" s="78"/>
      <c r="CC122" s="78"/>
      <c r="CD122" s="78"/>
      <c r="CE122" s="78"/>
      <c r="CF122" s="78"/>
      <c r="CG122" s="78"/>
      <c r="CH122" s="78"/>
      <c r="CI122" s="78"/>
      <c r="CJ122" s="78"/>
      <c r="CK122" s="78"/>
      <c r="CL122" s="78"/>
      <c r="CM122" s="78"/>
      <c r="CN122" s="78"/>
      <c r="CO122" s="78"/>
      <c r="CP122" s="78"/>
      <c r="CQ122" s="78"/>
      <c r="CR122" s="78"/>
      <c r="CS122" s="78"/>
      <c r="CT122" s="78"/>
      <c r="CU122" s="78"/>
      <c r="CV122" s="78"/>
      <c r="CW122" s="78"/>
      <c r="CX122" s="78"/>
      <c r="CY122" s="78"/>
      <c r="CZ122" s="78"/>
      <c r="DA122" s="78"/>
      <c r="DB122" s="78"/>
      <c r="DC122" s="78"/>
      <c r="DD122" s="78"/>
      <c r="DE122" s="78"/>
      <c r="DF122" s="78"/>
      <c r="DG122" s="78"/>
      <c r="DH122" s="78"/>
      <c r="DI122" s="78"/>
      <c r="DJ122" s="78"/>
      <c r="DK122" s="78"/>
      <c r="DL122" s="78"/>
      <c r="DM122" s="78"/>
      <c r="DN122" s="78"/>
      <c r="DO122" s="78"/>
      <c r="DP122" s="78"/>
      <c r="DQ122" s="78"/>
      <c r="DR122" s="78"/>
      <c r="DS122" s="78"/>
      <c r="DT122" s="78"/>
      <c r="DU122" s="78"/>
      <c r="DV122" s="78"/>
      <c r="DW122" s="78"/>
      <c r="DX122" s="78"/>
      <c r="DY122" s="78"/>
      <c r="DZ122" s="78"/>
      <c r="EA122" s="78"/>
      <c r="EB122" s="78"/>
      <c r="EC122" s="78"/>
      <c r="ED122" s="78"/>
      <c r="EE122" s="78"/>
      <c r="EF122" s="78"/>
      <c r="EG122" s="78"/>
      <c r="EH122" s="78"/>
      <c r="EI122" s="91"/>
      <c r="EJ122" s="91"/>
      <c r="EK122" s="91"/>
      <c r="EL122" s="91"/>
      <c r="EM122" s="91"/>
      <c r="EN122" s="91"/>
      <c r="EO122" s="91"/>
      <c r="EP122" s="78"/>
      <c r="EQ122" s="78"/>
      <c r="ER122" s="78"/>
      <c r="ES122" s="78"/>
      <c r="ET122" s="78"/>
      <c r="EU122" s="78"/>
      <c r="EV122" s="78"/>
      <c r="EW122" s="78"/>
      <c r="EX122" s="78"/>
      <c r="EY122" s="78"/>
      <c r="EZ122" s="78"/>
      <c r="FA122" s="78"/>
      <c r="FB122" s="78"/>
      <c r="FC122" s="78"/>
      <c r="FD122" s="78"/>
      <c r="FE122" s="78"/>
      <c r="FF122" s="78"/>
      <c r="FG122" s="78"/>
      <c r="FH122" s="78"/>
      <c r="FI122" s="78"/>
      <c r="FJ122" s="78"/>
      <c r="FK122" s="78"/>
    </row>
    <row r="123" spans="1:167" hidden="1" outlineLevel="1">
      <c r="A123" s="29" t="str">
        <f t="shared" si="19"/>
        <v>cd_imv_out_bensmontante_vnd_rap</v>
      </c>
      <c r="B123" s="67" t="s">
        <v>26</v>
      </c>
      <c r="C123" s="68" t="s">
        <v>54</v>
      </c>
      <c r="D123" s="64" t="s">
        <v>40</v>
      </c>
      <c r="E123" s="66" t="s">
        <v>482</v>
      </c>
      <c r="F123" s="64" t="s">
        <v>501</v>
      </c>
      <c r="G123" s="64" t="e">
        <f>INDEX(Auxiliar!$B$16:$B$24,MATCH(Plano_V1!H123,Auxiliar!$C$16:$C$24,0),1)</f>
        <v>#N/A</v>
      </c>
      <c r="H123" s="64" t="e">
        <f>VLOOKUP(A123,'Aux - pivots1'!$A:$B,2,0)</f>
        <v>#N/A</v>
      </c>
      <c r="I123" s="84">
        <f>SUMIFS(Table1[Estimação (horas)],Table1[Tabela],Plano_V1!E123,Table1[Campo],Plano_V1!F123)</f>
        <v>0</v>
      </c>
      <c r="J123" s="84">
        <f t="shared" si="20"/>
        <v>0</v>
      </c>
      <c r="K123" s="87" t="s">
        <v>95</v>
      </c>
      <c r="L123" s="90">
        <f t="shared" si="18"/>
        <v>0</v>
      </c>
      <c r="M123" s="78"/>
      <c r="N123" s="78"/>
      <c r="O123" s="78"/>
      <c r="P123" s="78"/>
      <c r="Q123" s="78"/>
      <c r="R123" s="78"/>
      <c r="S123" s="78"/>
      <c r="T123" s="78"/>
      <c r="U123" s="78"/>
      <c r="V123" s="78"/>
      <c r="W123" s="78"/>
      <c r="X123" s="78"/>
      <c r="Y123" s="78"/>
      <c r="Z123" s="78"/>
      <c r="AA123" s="78"/>
      <c r="AB123" s="78"/>
      <c r="AC123" s="78"/>
      <c r="AD123" s="78"/>
      <c r="AE123" s="78"/>
      <c r="AF123" s="78"/>
      <c r="AG123" s="78"/>
      <c r="AH123" s="78"/>
      <c r="AI123" s="78"/>
      <c r="AJ123" s="78"/>
      <c r="AK123" s="78"/>
      <c r="AL123" s="78"/>
      <c r="AM123" s="78"/>
      <c r="AN123" s="78"/>
      <c r="AO123" s="78"/>
      <c r="AP123" s="78"/>
      <c r="AQ123" s="78"/>
      <c r="AR123" s="78"/>
      <c r="AS123" s="78"/>
      <c r="AT123" s="91"/>
      <c r="AU123" s="78"/>
      <c r="AV123" s="78"/>
      <c r="AW123" s="78"/>
      <c r="AX123" s="78"/>
      <c r="AY123" s="78"/>
      <c r="AZ123" s="78"/>
      <c r="BA123" s="78"/>
      <c r="BB123" s="78"/>
      <c r="BC123" s="78"/>
      <c r="BD123" s="78"/>
      <c r="BE123" s="78"/>
      <c r="BF123" s="78"/>
      <c r="BG123" s="78"/>
      <c r="BH123" s="78"/>
      <c r="BI123" s="78"/>
      <c r="BJ123" s="78"/>
      <c r="BK123" s="78"/>
      <c r="BL123" s="78"/>
      <c r="BM123" s="78"/>
      <c r="BN123" s="78"/>
      <c r="BO123" s="78"/>
      <c r="BP123" s="78"/>
      <c r="BQ123" s="78"/>
      <c r="BR123" s="78"/>
      <c r="BS123" s="78"/>
      <c r="BT123" s="78"/>
      <c r="BU123" s="78"/>
      <c r="BV123" s="78"/>
      <c r="BW123" s="78"/>
      <c r="BX123" s="78"/>
      <c r="BY123" s="78"/>
      <c r="BZ123" s="78"/>
      <c r="CA123" s="78"/>
      <c r="CB123" s="78"/>
      <c r="CC123" s="78"/>
      <c r="CD123" s="78"/>
      <c r="CE123" s="78"/>
      <c r="CF123" s="78"/>
      <c r="CG123" s="78"/>
      <c r="CH123" s="78"/>
      <c r="CI123" s="78"/>
      <c r="CJ123" s="78"/>
      <c r="CK123" s="78"/>
      <c r="CL123" s="78"/>
      <c r="CM123" s="78"/>
      <c r="CN123" s="78"/>
      <c r="CO123" s="78"/>
      <c r="CP123" s="78"/>
      <c r="CQ123" s="78"/>
      <c r="CR123" s="78"/>
      <c r="CS123" s="78"/>
      <c r="CT123" s="78"/>
      <c r="CU123" s="78"/>
      <c r="CV123" s="78"/>
      <c r="CW123" s="78"/>
      <c r="CX123" s="78"/>
      <c r="CY123" s="78"/>
      <c r="CZ123" s="78"/>
      <c r="DA123" s="78"/>
      <c r="DB123" s="78"/>
      <c r="DC123" s="78"/>
      <c r="DD123" s="78"/>
      <c r="DE123" s="78"/>
      <c r="DF123" s="78"/>
      <c r="DG123" s="78"/>
      <c r="DH123" s="78"/>
      <c r="DI123" s="78"/>
      <c r="DJ123" s="78"/>
      <c r="DK123" s="78"/>
      <c r="DL123" s="78"/>
      <c r="DM123" s="78"/>
      <c r="DN123" s="78"/>
      <c r="DO123" s="78"/>
      <c r="DP123" s="78"/>
      <c r="DQ123" s="78"/>
      <c r="DR123" s="78"/>
      <c r="DS123" s="78"/>
      <c r="DT123" s="78"/>
      <c r="DU123" s="78"/>
      <c r="DV123" s="78"/>
      <c r="DW123" s="78"/>
      <c r="DX123" s="78"/>
      <c r="DY123" s="78"/>
      <c r="DZ123" s="78"/>
      <c r="EA123" s="78"/>
      <c r="EB123" s="78"/>
      <c r="EC123" s="78"/>
      <c r="ED123" s="78"/>
      <c r="EE123" s="78"/>
      <c r="EF123" s="78"/>
      <c r="EG123" s="78"/>
      <c r="EH123" s="78"/>
      <c r="EI123" s="91"/>
      <c r="EJ123" s="91"/>
      <c r="EK123" s="91"/>
      <c r="EL123" s="91"/>
      <c r="EM123" s="91"/>
      <c r="EN123" s="91"/>
      <c r="EO123" s="91"/>
      <c r="EP123" s="78"/>
      <c r="EQ123" s="78"/>
      <c r="ER123" s="78"/>
      <c r="ES123" s="78"/>
      <c r="ET123" s="78"/>
      <c r="EU123" s="78"/>
      <c r="EV123" s="78"/>
      <c r="EW123" s="78"/>
      <c r="EX123" s="78"/>
      <c r="EY123" s="78"/>
      <c r="EZ123" s="78"/>
      <c r="FA123" s="78"/>
      <c r="FB123" s="78"/>
      <c r="FC123" s="78"/>
      <c r="FD123" s="78"/>
      <c r="FE123" s="78"/>
      <c r="FF123" s="78"/>
      <c r="FG123" s="78"/>
      <c r="FH123" s="78"/>
      <c r="FI123" s="78"/>
      <c r="FJ123" s="78"/>
      <c r="FK123" s="78"/>
    </row>
    <row r="124" spans="1:167" hidden="1" outlineLevel="1">
      <c r="A124" s="29" t="str">
        <f t="shared" si="19"/>
        <v>cd_imv_out_bensmorada</v>
      </c>
      <c r="B124" s="67" t="s">
        <v>26</v>
      </c>
      <c r="C124" s="68" t="s">
        <v>54</v>
      </c>
      <c r="D124" s="64" t="s">
        <v>40</v>
      </c>
      <c r="E124" s="66" t="s">
        <v>482</v>
      </c>
      <c r="F124" s="64" t="s">
        <v>502</v>
      </c>
      <c r="G124" s="64" t="e">
        <f>INDEX(Auxiliar!$B$16:$B$24,MATCH(Plano_V1!H124,Auxiliar!$C$16:$C$24,0),1)</f>
        <v>#N/A</v>
      </c>
      <c r="H124" s="64" t="e">
        <f>VLOOKUP(A124,'Aux - pivots1'!$A:$B,2,0)</f>
        <v>#N/A</v>
      </c>
      <c r="I124" s="84">
        <f>SUMIFS(Table1[Estimação (horas)],Table1[Tabela],Plano_V1!E124,Table1[Campo],Plano_V1!F124)</f>
        <v>0</v>
      </c>
      <c r="J124" s="84">
        <f t="shared" si="20"/>
        <v>0</v>
      </c>
      <c r="K124" s="87" t="s">
        <v>95</v>
      </c>
      <c r="L124" s="90">
        <f t="shared" si="18"/>
        <v>0</v>
      </c>
      <c r="M124" s="78"/>
      <c r="N124" s="78"/>
      <c r="O124" s="78"/>
      <c r="P124" s="78"/>
      <c r="Q124" s="78"/>
      <c r="R124" s="78"/>
      <c r="S124" s="78"/>
      <c r="T124" s="78"/>
      <c r="U124" s="78"/>
      <c r="V124" s="78"/>
      <c r="W124" s="78"/>
      <c r="X124" s="78"/>
      <c r="Y124" s="78"/>
      <c r="Z124" s="78"/>
      <c r="AA124" s="78"/>
      <c r="AB124" s="78"/>
      <c r="AC124" s="78"/>
      <c r="AD124" s="78"/>
      <c r="AE124" s="78"/>
      <c r="AF124" s="78"/>
      <c r="AG124" s="78"/>
      <c r="AH124" s="78"/>
      <c r="AI124" s="78"/>
      <c r="AJ124" s="78"/>
      <c r="AK124" s="78"/>
      <c r="AL124" s="78"/>
      <c r="AM124" s="78"/>
      <c r="AN124" s="78"/>
      <c r="AO124" s="78"/>
      <c r="AP124" s="78"/>
      <c r="AQ124" s="78"/>
      <c r="AR124" s="78"/>
      <c r="AS124" s="78"/>
      <c r="AT124" s="91"/>
      <c r="AU124" s="78"/>
      <c r="AV124" s="78"/>
      <c r="AW124" s="78"/>
      <c r="AX124" s="78"/>
      <c r="AY124" s="78"/>
      <c r="AZ124" s="78"/>
      <c r="BA124" s="78"/>
      <c r="BB124" s="78"/>
      <c r="BC124" s="78"/>
      <c r="BD124" s="78"/>
      <c r="BE124" s="78"/>
      <c r="BF124" s="78"/>
      <c r="BG124" s="78"/>
      <c r="BH124" s="78"/>
      <c r="BI124" s="78"/>
      <c r="BJ124" s="78"/>
      <c r="BK124" s="78"/>
      <c r="BL124" s="78"/>
      <c r="BM124" s="78"/>
      <c r="BN124" s="78"/>
      <c r="BO124" s="78"/>
      <c r="BP124" s="78"/>
      <c r="BQ124" s="78"/>
      <c r="BR124" s="78"/>
      <c r="BS124" s="78"/>
      <c r="BT124" s="78"/>
      <c r="BU124" s="78"/>
      <c r="BV124" s="78"/>
      <c r="BW124" s="78"/>
      <c r="BX124" s="78"/>
      <c r="BY124" s="78"/>
      <c r="BZ124" s="78"/>
      <c r="CA124" s="78"/>
      <c r="CB124" s="78"/>
      <c r="CC124" s="78"/>
      <c r="CD124" s="78"/>
      <c r="CE124" s="78"/>
      <c r="CF124" s="78"/>
      <c r="CG124" s="78"/>
      <c r="CH124" s="78"/>
      <c r="CI124" s="78"/>
      <c r="CJ124" s="78"/>
      <c r="CK124" s="78"/>
      <c r="CL124" s="78"/>
      <c r="CM124" s="78"/>
      <c r="CN124" s="78"/>
      <c r="CO124" s="78"/>
      <c r="CP124" s="78"/>
      <c r="CQ124" s="78"/>
      <c r="CR124" s="78"/>
      <c r="CS124" s="78"/>
      <c r="CT124" s="78"/>
      <c r="CU124" s="78"/>
      <c r="CV124" s="78"/>
      <c r="CW124" s="78"/>
      <c r="CX124" s="78"/>
      <c r="CY124" s="78"/>
      <c r="CZ124" s="78"/>
      <c r="DA124" s="78"/>
      <c r="DB124" s="78"/>
      <c r="DC124" s="78"/>
      <c r="DD124" s="78"/>
      <c r="DE124" s="78"/>
      <c r="DF124" s="78"/>
      <c r="DG124" s="78"/>
      <c r="DH124" s="78"/>
      <c r="DI124" s="78"/>
      <c r="DJ124" s="78"/>
      <c r="DK124" s="78"/>
      <c r="DL124" s="78"/>
      <c r="DM124" s="78"/>
      <c r="DN124" s="78"/>
      <c r="DO124" s="78"/>
      <c r="DP124" s="78"/>
      <c r="DQ124" s="78"/>
      <c r="DR124" s="78"/>
      <c r="DS124" s="78"/>
      <c r="DT124" s="78"/>
      <c r="DU124" s="78"/>
      <c r="DV124" s="78"/>
      <c r="DW124" s="78"/>
      <c r="DX124" s="78"/>
      <c r="DY124" s="78"/>
      <c r="DZ124" s="78"/>
      <c r="EA124" s="78"/>
      <c r="EB124" s="78"/>
      <c r="EC124" s="78"/>
      <c r="ED124" s="78"/>
      <c r="EE124" s="78"/>
      <c r="EF124" s="78"/>
      <c r="EG124" s="78"/>
      <c r="EH124" s="78"/>
      <c r="EI124" s="91"/>
      <c r="EJ124" s="91"/>
      <c r="EK124" s="91"/>
      <c r="EL124" s="91"/>
      <c r="EM124" s="91"/>
      <c r="EN124" s="91"/>
      <c r="EO124" s="91"/>
      <c r="EP124" s="78"/>
      <c r="EQ124" s="78"/>
      <c r="ER124" s="78"/>
      <c r="ES124" s="78"/>
      <c r="ET124" s="78"/>
      <c r="EU124" s="78"/>
      <c r="EV124" s="78"/>
      <c r="EW124" s="78"/>
      <c r="EX124" s="78"/>
      <c r="EY124" s="78"/>
      <c r="EZ124" s="78"/>
      <c r="FA124" s="78"/>
      <c r="FB124" s="78"/>
      <c r="FC124" s="78"/>
      <c r="FD124" s="78"/>
      <c r="FE124" s="78"/>
      <c r="FF124" s="78"/>
      <c r="FG124" s="78"/>
      <c r="FH124" s="78"/>
      <c r="FI124" s="78"/>
      <c r="FJ124" s="78"/>
      <c r="FK124" s="78"/>
    </row>
    <row r="125" spans="1:167" hidden="1" outlineLevel="1">
      <c r="A125" s="29" t="str">
        <f t="shared" si="19"/>
        <v>cd_imv_out_bensnum</v>
      </c>
      <c r="B125" s="67" t="s">
        <v>26</v>
      </c>
      <c r="C125" s="68" t="s">
        <v>54</v>
      </c>
      <c r="D125" s="64" t="s">
        <v>40</v>
      </c>
      <c r="E125" s="66" t="s">
        <v>482</v>
      </c>
      <c r="F125" s="64" t="s">
        <v>503</v>
      </c>
      <c r="G125" s="64" t="e">
        <f>INDEX(Auxiliar!$B$16:$B$24,MATCH(Plano_V1!H125,Auxiliar!$C$16:$C$24,0),1)</f>
        <v>#N/A</v>
      </c>
      <c r="H125" s="64" t="e">
        <f>VLOOKUP(A125,'Aux - pivots1'!$A:$B,2,0)</f>
        <v>#N/A</v>
      </c>
      <c r="I125" s="84">
        <f>SUMIFS(Table1[Estimação (horas)],Table1[Tabela],Plano_V1!E125,Table1[Campo],Plano_V1!F125)</f>
        <v>0</v>
      </c>
      <c r="J125" s="84">
        <f t="shared" si="20"/>
        <v>0</v>
      </c>
      <c r="K125" s="87" t="s">
        <v>95</v>
      </c>
      <c r="L125" s="90">
        <f t="shared" si="18"/>
        <v>0</v>
      </c>
      <c r="M125" s="78"/>
      <c r="N125" s="78"/>
      <c r="O125" s="78"/>
      <c r="P125" s="78"/>
      <c r="Q125" s="78"/>
      <c r="R125" s="78"/>
      <c r="S125" s="78"/>
      <c r="T125" s="78"/>
      <c r="U125" s="78"/>
      <c r="V125" s="78"/>
      <c r="W125" s="78"/>
      <c r="X125" s="78"/>
      <c r="Y125" s="78"/>
      <c r="Z125" s="78"/>
      <c r="AA125" s="78"/>
      <c r="AB125" s="78"/>
      <c r="AC125" s="78"/>
      <c r="AD125" s="78"/>
      <c r="AE125" s="78"/>
      <c r="AF125" s="78"/>
      <c r="AG125" s="78"/>
      <c r="AH125" s="78"/>
      <c r="AI125" s="78"/>
      <c r="AJ125" s="78"/>
      <c r="AK125" s="78"/>
      <c r="AL125" s="78"/>
      <c r="AM125" s="78"/>
      <c r="AN125" s="78"/>
      <c r="AO125" s="78"/>
      <c r="AP125" s="78"/>
      <c r="AQ125" s="78"/>
      <c r="AR125" s="78"/>
      <c r="AS125" s="78"/>
      <c r="AT125" s="91"/>
      <c r="AU125" s="78"/>
      <c r="AV125" s="78"/>
      <c r="AW125" s="78"/>
      <c r="AX125" s="78"/>
      <c r="AY125" s="78"/>
      <c r="AZ125" s="78"/>
      <c r="BA125" s="78"/>
      <c r="BB125" s="78"/>
      <c r="BC125" s="78"/>
      <c r="BD125" s="78"/>
      <c r="BE125" s="78"/>
      <c r="BF125" s="78"/>
      <c r="BG125" s="78"/>
      <c r="BH125" s="78"/>
      <c r="BI125" s="78"/>
      <c r="BJ125" s="78"/>
      <c r="BK125" s="78"/>
      <c r="BL125" s="78"/>
      <c r="BM125" s="78"/>
      <c r="BN125" s="78"/>
      <c r="BO125" s="78"/>
      <c r="BP125" s="78"/>
      <c r="BQ125" s="78"/>
      <c r="BR125" s="78"/>
      <c r="BS125" s="78"/>
      <c r="BT125" s="78"/>
      <c r="BU125" s="78"/>
      <c r="BV125" s="78"/>
      <c r="BW125" s="78"/>
      <c r="BX125" s="78"/>
      <c r="BY125" s="78"/>
      <c r="BZ125" s="78"/>
      <c r="CA125" s="78"/>
      <c r="CB125" s="78"/>
      <c r="CC125" s="78"/>
      <c r="CD125" s="78"/>
      <c r="CE125" s="78"/>
      <c r="CF125" s="78"/>
      <c r="CG125" s="78"/>
      <c r="CH125" s="78"/>
      <c r="CI125" s="78"/>
      <c r="CJ125" s="78"/>
      <c r="CK125" s="78"/>
      <c r="CL125" s="78"/>
      <c r="CM125" s="78"/>
      <c r="CN125" s="78"/>
      <c r="CO125" s="78"/>
      <c r="CP125" s="78"/>
      <c r="CQ125" s="78"/>
      <c r="CR125" s="78"/>
      <c r="CS125" s="78"/>
      <c r="CT125" s="78"/>
      <c r="CU125" s="78"/>
      <c r="CV125" s="78"/>
      <c r="CW125" s="78"/>
      <c r="CX125" s="78"/>
      <c r="CY125" s="78"/>
      <c r="CZ125" s="78"/>
      <c r="DA125" s="78"/>
      <c r="DB125" s="78"/>
      <c r="DC125" s="78"/>
      <c r="DD125" s="78"/>
      <c r="DE125" s="78"/>
      <c r="DF125" s="78"/>
      <c r="DG125" s="78"/>
      <c r="DH125" s="78"/>
      <c r="DI125" s="78"/>
      <c r="DJ125" s="78"/>
      <c r="DK125" s="78"/>
      <c r="DL125" s="78"/>
      <c r="DM125" s="78"/>
      <c r="DN125" s="78"/>
      <c r="DO125" s="78"/>
      <c r="DP125" s="78"/>
      <c r="DQ125" s="78"/>
      <c r="DR125" s="78"/>
      <c r="DS125" s="78"/>
      <c r="DT125" s="78"/>
      <c r="DU125" s="78"/>
      <c r="DV125" s="78"/>
      <c r="DW125" s="78"/>
      <c r="DX125" s="78"/>
      <c r="DY125" s="78"/>
      <c r="DZ125" s="78"/>
      <c r="EA125" s="78"/>
      <c r="EB125" s="78"/>
      <c r="EC125" s="78"/>
      <c r="ED125" s="78"/>
      <c r="EE125" s="78"/>
      <c r="EF125" s="78"/>
      <c r="EG125" s="78"/>
      <c r="EH125" s="78"/>
      <c r="EI125" s="91"/>
      <c r="EJ125" s="91"/>
      <c r="EK125" s="91"/>
      <c r="EL125" s="91"/>
      <c r="EM125" s="91"/>
      <c r="EN125" s="91"/>
      <c r="EO125" s="91"/>
      <c r="EP125" s="78"/>
      <c r="EQ125" s="78"/>
      <c r="ER125" s="78"/>
      <c r="ES125" s="78"/>
      <c r="ET125" s="78"/>
      <c r="EU125" s="78"/>
      <c r="EV125" s="78"/>
      <c r="EW125" s="78"/>
      <c r="EX125" s="78"/>
      <c r="EY125" s="78"/>
      <c r="EZ125" s="78"/>
      <c r="FA125" s="78"/>
      <c r="FB125" s="78"/>
      <c r="FC125" s="78"/>
      <c r="FD125" s="78"/>
      <c r="FE125" s="78"/>
      <c r="FF125" s="78"/>
      <c r="FG125" s="78"/>
      <c r="FH125" s="78"/>
      <c r="FI125" s="78"/>
      <c r="FJ125" s="78"/>
      <c r="FK125" s="78"/>
    </row>
    <row r="126" spans="1:167" hidden="1" outlineLevel="1">
      <c r="A126" s="29" t="str">
        <f t="shared" si="19"/>
        <v>cd_imv_out_bensorigem</v>
      </c>
      <c r="B126" s="67" t="s">
        <v>26</v>
      </c>
      <c r="C126" s="68" t="s">
        <v>54</v>
      </c>
      <c r="D126" s="64" t="s">
        <v>40</v>
      </c>
      <c r="E126" s="66" t="s">
        <v>482</v>
      </c>
      <c r="F126" s="64" t="s">
        <v>72</v>
      </c>
      <c r="G126" s="64" t="e">
        <f>INDEX(Auxiliar!$B$16:$B$24,MATCH(Plano_V1!H126,Auxiliar!$C$16:$C$24,0),1)</f>
        <v>#N/A</v>
      </c>
      <c r="H126" s="64" t="e">
        <f>VLOOKUP(A126,'Aux - pivots1'!$A:$B,2,0)</f>
        <v>#N/A</v>
      </c>
      <c r="I126" s="84">
        <f>SUMIFS(Table1[Estimação (horas)],Table1[Tabela],Plano_V1!E126,Table1[Campo],Plano_V1!F126)</f>
        <v>0</v>
      </c>
      <c r="J126" s="84">
        <f t="shared" si="20"/>
        <v>0</v>
      </c>
      <c r="K126" s="87" t="s">
        <v>95</v>
      </c>
      <c r="L126" s="90">
        <f t="shared" si="18"/>
        <v>0</v>
      </c>
      <c r="M126" s="78"/>
      <c r="N126" s="78"/>
      <c r="O126" s="78"/>
      <c r="P126" s="78"/>
      <c r="Q126" s="78"/>
      <c r="R126" s="78"/>
      <c r="S126" s="78"/>
      <c r="T126" s="78"/>
      <c r="U126" s="78"/>
      <c r="V126" s="78"/>
      <c r="W126" s="78"/>
      <c r="X126" s="78"/>
      <c r="Y126" s="78"/>
      <c r="Z126" s="78"/>
      <c r="AA126" s="78"/>
      <c r="AB126" s="78"/>
      <c r="AC126" s="78"/>
      <c r="AD126" s="78"/>
      <c r="AE126" s="78"/>
      <c r="AF126" s="78"/>
      <c r="AG126" s="78"/>
      <c r="AH126" s="78"/>
      <c r="AI126" s="78"/>
      <c r="AJ126" s="78"/>
      <c r="AK126" s="78"/>
      <c r="AL126" s="78"/>
      <c r="AM126" s="78"/>
      <c r="AN126" s="78"/>
      <c r="AO126" s="78"/>
      <c r="AP126" s="78"/>
      <c r="AQ126" s="78"/>
      <c r="AR126" s="78"/>
      <c r="AS126" s="78"/>
      <c r="AT126" s="91"/>
      <c r="AU126" s="78"/>
      <c r="AV126" s="78"/>
      <c r="AW126" s="78"/>
      <c r="AX126" s="78"/>
      <c r="AY126" s="78"/>
      <c r="AZ126" s="78"/>
      <c r="BA126" s="78"/>
      <c r="BB126" s="78"/>
      <c r="BC126" s="78"/>
      <c r="BD126" s="78"/>
      <c r="BE126" s="78"/>
      <c r="BF126" s="78"/>
      <c r="BG126" s="78"/>
      <c r="BH126" s="78"/>
      <c r="BI126" s="78"/>
      <c r="BJ126" s="78"/>
      <c r="BK126" s="78"/>
      <c r="BL126" s="78"/>
      <c r="BM126" s="78"/>
      <c r="BN126" s="78"/>
      <c r="BO126" s="78"/>
      <c r="BP126" s="78"/>
      <c r="BQ126" s="78"/>
      <c r="BR126" s="78"/>
      <c r="BS126" s="78"/>
      <c r="BT126" s="78"/>
      <c r="BU126" s="78"/>
      <c r="BV126" s="78"/>
      <c r="BW126" s="78"/>
      <c r="BX126" s="78"/>
      <c r="BY126" s="78"/>
      <c r="BZ126" s="78"/>
      <c r="CA126" s="78"/>
      <c r="CB126" s="78"/>
      <c r="CC126" s="78"/>
      <c r="CD126" s="78"/>
      <c r="CE126" s="78"/>
      <c r="CF126" s="78"/>
      <c r="CG126" s="78"/>
      <c r="CH126" s="78"/>
      <c r="CI126" s="78"/>
      <c r="CJ126" s="78"/>
      <c r="CK126" s="78"/>
      <c r="CL126" s="78"/>
      <c r="CM126" s="78"/>
      <c r="CN126" s="78"/>
      <c r="CO126" s="78"/>
      <c r="CP126" s="78"/>
      <c r="CQ126" s="78"/>
      <c r="CR126" s="78"/>
      <c r="CS126" s="78"/>
      <c r="CT126" s="78"/>
      <c r="CU126" s="78"/>
      <c r="CV126" s="78"/>
      <c r="CW126" s="78"/>
      <c r="CX126" s="78"/>
      <c r="CY126" s="78"/>
      <c r="CZ126" s="78"/>
      <c r="DA126" s="78"/>
      <c r="DB126" s="78"/>
      <c r="DC126" s="78"/>
      <c r="DD126" s="78"/>
      <c r="DE126" s="78"/>
      <c r="DF126" s="78"/>
      <c r="DG126" s="78"/>
      <c r="DH126" s="78"/>
      <c r="DI126" s="78"/>
      <c r="DJ126" s="78"/>
      <c r="DK126" s="78"/>
      <c r="DL126" s="78"/>
      <c r="DM126" s="78"/>
      <c r="DN126" s="78"/>
      <c r="DO126" s="78"/>
      <c r="DP126" s="78"/>
      <c r="DQ126" s="78"/>
      <c r="DR126" s="78"/>
      <c r="DS126" s="78"/>
      <c r="DT126" s="78"/>
      <c r="DU126" s="78"/>
      <c r="DV126" s="78"/>
      <c r="DW126" s="78"/>
      <c r="DX126" s="78"/>
      <c r="DY126" s="78"/>
      <c r="DZ126" s="78"/>
      <c r="EA126" s="78"/>
      <c r="EB126" s="78"/>
      <c r="EC126" s="78"/>
      <c r="ED126" s="78"/>
      <c r="EE126" s="78"/>
      <c r="EF126" s="78"/>
      <c r="EG126" s="78"/>
      <c r="EH126" s="78"/>
      <c r="EI126" s="91"/>
      <c r="EJ126" s="91"/>
      <c r="EK126" s="91"/>
      <c r="EL126" s="91"/>
      <c r="EM126" s="91"/>
      <c r="EN126" s="91"/>
      <c r="EO126" s="91"/>
      <c r="EP126" s="78"/>
      <c r="EQ126" s="78"/>
      <c r="ER126" s="78"/>
      <c r="ES126" s="78"/>
      <c r="ET126" s="78"/>
      <c r="EU126" s="78"/>
      <c r="EV126" s="78"/>
      <c r="EW126" s="78"/>
      <c r="EX126" s="78"/>
      <c r="EY126" s="78"/>
      <c r="EZ126" s="78"/>
      <c r="FA126" s="78"/>
      <c r="FB126" s="78"/>
      <c r="FC126" s="78"/>
      <c r="FD126" s="78"/>
      <c r="FE126" s="78"/>
      <c r="FF126" s="78"/>
      <c r="FG126" s="78"/>
      <c r="FH126" s="78"/>
      <c r="FI126" s="78"/>
      <c r="FJ126" s="78"/>
      <c r="FK126" s="78"/>
    </row>
    <row r="127" spans="1:167" hidden="1" outlineLevel="1">
      <c r="A127" s="29" t="str">
        <f t="shared" si="19"/>
        <v>cd_imv_out_bensperc_obra</v>
      </c>
      <c r="B127" s="67" t="s">
        <v>26</v>
      </c>
      <c r="C127" s="68" t="s">
        <v>54</v>
      </c>
      <c r="D127" s="64" t="s">
        <v>40</v>
      </c>
      <c r="E127" s="66" t="s">
        <v>482</v>
      </c>
      <c r="F127" s="64" t="s">
        <v>504</v>
      </c>
      <c r="G127" s="64" t="e">
        <f>INDEX(Auxiliar!$B$16:$B$24,MATCH(Plano_V1!H127,Auxiliar!$C$16:$C$24,0),1)</f>
        <v>#N/A</v>
      </c>
      <c r="H127" s="64" t="e">
        <f>VLOOKUP(A127,'Aux - pivots1'!$A:$B,2,0)</f>
        <v>#N/A</v>
      </c>
      <c r="I127" s="84">
        <f>SUMIFS(Table1[Estimação (horas)],Table1[Tabela],Plano_V1!E127,Table1[Campo],Plano_V1!F127)</f>
        <v>0</v>
      </c>
      <c r="J127" s="84">
        <f t="shared" si="20"/>
        <v>0</v>
      </c>
      <c r="K127" s="87" t="s">
        <v>95</v>
      </c>
      <c r="L127" s="90">
        <f t="shared" si="18"/>
        <v>0</v>
      </c>
      <c r="M127" s="78"/>
      <c r="N127" s="78"/>
      <c r="O127" s="78"/>
      <c r="P127" s="78"/>
      <c r="Q127" s="78"/>
      <c r="R127" s="78"/>
      <c r="S127" s="78"/>
      <c r="T127" s="78"/>
      <c r="U127" s="78"/>
      <c r="V127" s="78"/>
      <c r="W127" s="78"/>
      <c r="X127" s="78"/>
      <c r="Y127" s="78"/>
      <c r="Z127" s="78"/>
      <c r="AA127" s="78"/>
      <c r="AB127" s="78"/>
      <c r="AC127" s="78"/>
      <c r="AD127" s="78"/>
      <c r="AE127" s="78"/>
      <c r="AF127" s="78"/>
      <c r="AG127" s="78"/>
      <c r="AH127" s="78"/>
      <c r="AI127" s="78"/>
      <c r="AJ127" s="78"/>
      <c r="AK127" s="78"/>
      <c r="AL127" s="78"/>
      <c r="AM127" s="78"/>
      <c r="AN127" s="78"/>
      <c r="AO127" s="78"/>
      <c r="AP127" s="78"/>
      <c r="AQ127" s="78"/>
      <c r="AR127" s="78"/>
      <c r="AS127" s="78"/>
      <c r="AT127" s="91"/>
      <c r="AU127" s="78"/>
      <c r="AV127" s="78"/>
      <c r="AW127" s="78"/>
      <c r="AX127" s="78"/>
      <c r="AY127" s="78"/>
      <c r="AZ127" s="78"/>
      <c r="BA127" s="78"/>
      <c r="BB127" s="78"/>
      <c r="BC127" s="78"/>
      <c r="BD127" s="78"/>
      <c r="BE127" s="78"/>
      <c r="BF127" s="78"/>
      <c r="BG127" s="78"/>
      <c r="BH127" s="78"/>
      <c r="BI127" s="78"/>
      <c r="BJ127" s="78"/>
      <c r="BK127" s="78"/>
      <c r="BL127" s="78"/>
      <c r="BM127" s="78"/>
      <c r="BN127" s="78"/>
      <c r="BO127" s="78"/>
      <c r="BP127" s="78"/>
      <c r="BQ127" s="78"/>
      <c r="BR127" s="78"/>
      <c r="BS127" s="78"/>
      <c r="BT127" s="78"/>
      <c r="BU127" s="78"/>
      <c r="BV127" s="78"/>
      <c r="BW127" s="78"/>
      <c r="BX127" s="78"/>
      <c r="BY127" s="78"/>
      <c r="BZ127" s="78"/>
      <c r="CA127" s="78"/>
      <c r="CB127" s="78"/>
      <c r="CC127" s="78"/>
      <c r="CD127" s="78"/>
      <c r="CE127" s="78"/>
      <c r="CF127" s="78"/>
      <c r="CG127" s="78"/>
      <c r="CH127" s="78"/>
      <c r="CI127" s="78"/>
      <c r="CJ127" s="78"/>
      <c r="CK127" s="78"/>
      <c r="CL127" s="78"/>
      <c r="CM127" s="78"/>
      <c r="CN127" s="78"/>
      <c r="CO127" s="78"/>
      <c r="CP127" s="78"/>
      <c r="CQ127" s="78"/>
      <c r="CR127" s="78"/>
      <c r="CS127" s="78"/>
      <c r="CT127" s="78"/>
      <c r="CU127" s="78"/>
      <c r="CV127" s="78"/>
      <c r="CW127" s="78"/>
      <c r="CX127" s="78"/>
      <c r="CY127" s="78"/>
      <c r="CZ127" s="78"/>
      <c r="DA127" s="78"/>
      <c r="DB127" s="78"/>
      <c r="DC127" s="78"/>
      <c r="DD127" s="78"/>
      <c r="DE127" s="78"/>
      <c r="DF127" s="78"/>
      <c r="DG127" s="78"/>
      <c r="DH127" s="78"/>
      <c r="DI127" s="78"/>
      <c r="DJ127" s="78"/>
      <c r="DK127" s="78"/>
      <c r="DL127" s="78"/>
      <c r="DM127" s="78"/>
      <c r="DN127" s="78"/>
      <c r="DO127" s="78"/>
      <c r="DP127" s="78"/>
      <c r="DQ127" s="78"/>
      <c r="DR127" s="78"/>
      <c r="DS127" s="78"/>
      <c r="DT127" s="78"/>
      <c r="DU127" s="78"/>
      <c r="DV127" s="78"/>
      <c r="DW127" s="78"/>
      <c r="DX127" s="78"/>
      <c r="DY127" s="78"/>
      <c r="DZ127" s="78"/>
      <c r="EA127" s="78"/>
      <c r="EB127" s="78"/>
      <c r="EC127" s="78"/>
      <c r="ED127" s="78"/>
      <c r="EE127" s="78"/>
      <c r="EF127" s="78"/>
      <c r="EG127" s="78"/>
      <c r="EH127" s="78"/>
      <c r="EI127" s="91"/>
      <c r="EJ127" s="91"/>
      <c r="EK127" s="91"/>
      <c r="EL127" s="91"/>
      <c r="EM127" s="91"/>
      <c r="EN127" s="91"/>
      <c r="EO127" s="91"/>
      <c r="EP127" s="78"/>
      <c r="EQ127" s="78"/>
      <c r="ER127" s="78"/>
      <c r="ES127" s="78"/>
      <c r="ET127" s="78"/>
      <c r="EU127" s="78"/>
      <c r="EV127" s="78"/>
      <c r="EW127" s="78"/>
      <c r="EX127" s="78"/>
      <c r="EY127" s="78"/>
      <c r="EZ127" s="78"/>
      <c r="FA127" s="78"/>
      <c r="FB127" s="78"/>
      <c r="FC127" s="78"/>
      <c r="FD127" s="78"/>
      <c r="FE127" s="78"/>
      <c r="FF127" s="78"/>
      <c r="FG127" s="78"/>
      <c r="FH127" s="78"/>
      <c r="FI127" s="78"/>
      <c r="FJ127" s="78"/>
      <c r="FK127" s="78"/>
    </row>
    <row r="128" spans="1:167" hidden="1" outlineLevel="1">
      <c r="A128" s="29" t="str">
        <f t="shared" si="19"/>
        <v>cd_imv_out_bensprealcons</v>
      </c>
      <c r="B128" s="67" t="s">
        <v>26</v>
      </c>
      <c r="C128" s="68" t="s">
        <v>54</v>
      </c>
      <c r="D128" s="64" t="s">
        <v>40</v>
      </c>
      <c r="E128" s="66" t="s">
        <v>482</v>
      </c>
      <c r="F128" s="64" t="s">
        <v>505</v>
      </c>
      <c r="G128" s="64" t="e">
        <f>INDEX(Auxiliar!$B$16:$B$24,MATCH(Plano_V1!H128,Auxiliar!$C$16:$C$24,0),1)</f>
        <v>#N/A</v>
      </c>
      <c r="H128" s="64" t="e">
        <f>VLOOKUP(A128,'Aux - pivots1'!$A:$B,2,0)</f>
        <v>#N/A</v>
      </c>
      <c r="I128" s="84">
        <f>SUMIFS(Table1[Estimação (horas)],Table1[Tabela],Plano_V1!E128,Table1[Campo],Plano_V1!F128)</f>
        <v>0</v>
      </c>
      <c r="J128" s="84">
        <f t="shared" si="20"/>
        <v>0</v>
      </c>
      <c r="K128" s="87" t="s">
        <v>95</v>
      </c>
      <c r="L128" s="90">
        <f t="shared" si="18"/>
        <v>0</v>
      </c>
      <c r="M128" s="78"/>
      <c r="N128" s="78"/>
      <c r="O128" s="78"/>
      <c r="P128" s="78"/>
      <c r="Q128" s="78"/>
      <c r="R128" s="78"/>
      <c r="S128" s="78"/>
      <c r="T128" s="78"/>
      <c r="U128" s="78"/>
      <c r="V128" s="78"/>
      <c r="W128" s="78"/>
      <c r="X128" s="78"/>
      <c r="Y128" s="78"/>
      <c r="Z128" s="78"/>
      <c r="AA128" s="78"/>
      <c r="AB128" s="78"/>
      <c r="AC128" s="78"/>
      <c r="AD128" s="78"/>
      <c r="AE128" s="78"/>
      <c r="AF128" s="78"/>
      <c r="AG128" s="78"/>
      <c r="AH128" s="78"/>
      <c r="AI128" s="78"/>
      <c r="AJ128" s="78"/>
      <c r="AK128" s="78"/>
      <c r="AL128" s="78"/>
      <c r="AM128" s="78"/>
      <c r="AN128" s="78"/>
      <c r="AO128" s="78"/>
      <c r="AP128" s="78"/>
      <c r="AQ128" s="78"/>
      <c r="AR128" s="78"/>
      <c r="AS128" s="78"/>
      <c r="AT128" s="91"/>
      <c r="AU128" s="78"/>
      <c r="AV128" s="78"/>
      <c r="AW128" s="78"/>
      <c r="AX128" s="78"/>
      <c r="AY128" s="78"/>
      <c r="AZ128" s="78"/>
      <c r="BA128" s="78"/>
      <c r="BB128" s="78"/>
      <c r="BC128" s="78"/>
      <c r="BD128" s="78"/>
      <c r="BE128" s="78"/>
      <c r="BF128" s="78"/>
      <c r="BG128" s="78"/>
      <c r="BH128" s="78"/>
      <c r="BI128" s="78"/>
      <c r="BJ128" s="78"/>
      <c r="BK128" s="78"/>
      <c r="BL128" s="78"/>
      <c r="BM128" s="78"/>
      <c r="BN128" s="78"/>
      <c r="BO128" s="78"/>
      <c r="BP128" s="78"/>
      <c r="BQ128" s="78"/>
      <c r="BR128" s="78"/>
      <c r="BS128" s="78"/>
      <c r="BT128" s="78"/>
      <c r="BU128" s="78"/>
      <c r="BV128" s="78"/>
      <c r="BW128" s="78"/>
      <c r="BX128" s="78"/>
      <c r="BY128" s="78"/>
      <c r="BZ128" s="78"/>
      <c r="CA128" s="78"/>
      <c r="CB128" s="78"/>
      <c r="CC128" s="78"/>
      <c r="CD128" s="78"/>
      <c r="CE128" s="78"/>
      <c r="CF128" s="78"/>
      <c r="CG128" s="78"/>
      <c r="CH128" s="78"/>
      <c r="CI128" s="78"/>
      <c r="CJ128" s="78"/>
      <c r="CK128" s="78"/>
      <c r="CL128" s="78"/>
      <c r="CM128" s="78"/>
      <c r="CN128" s="78"/>
      <c r="CO128" s="78"/>
      <c r="CP128" s="78"/>
      <c r="CQ128" s="78"/>
      <c r="CR128" s="78"/>
      <c r="CS128" s="78"/>
      <c r="CT128" s="78"/>
      <c r="CU128" s="78"/>
      <c r="CV128" s="78"/>
      <c r="CW128" s="78"/>
      <c r="CX128" s="78"/>
      <c r="CY128" s="78"/>
      <c r="CZ128" s="78"/>
      <c r="DA128" s="78"/>
      <c r="DB128" s="78"/>
      <c r="DC128" s="78"/>
      <c r="DD128" s="78"/>
      <c r="DE128" s="78"/>
      <c r="DF128" s="78"/>
      <c r="DG128" s="78"/>
      <c r="DH128" s="78"/>
      <c r="DI128" s="78"/>
      <c r="DJ128" s="78"/>
      <c r="DK128" s="78"/>
      <c r="DL128" s="78"/>
      <c r="DM128" s="78"/>
      <c r="DN128" s="78"/>
      <c r="DO128" s="78"/>
      <c r="DP128" s="78"/>
      <c r="DQ128" s="78"/>
      <c r="DR128" s="78"/>
      <c r="DS128" s="78"/>
      <c r="DT128" s="78"/>
      <c r="DU128" s="78"/>
      <c r="DV128" s="78"/>
      <c r="DW128" s="78"/>
      <c r="DX128" s="78"/>
      <c r="DY128" s="78"/>
      <c r="DZ128" s="78"/>
      <c r="EA128" s="78"/>
      <c r="EB128" s="78"/>
      <c r="EC128" s="78"/>
      <c r="ED128" s="78"/>
      <c r="EE128" s="78"/>
      <c r="EF128" s="78"/>
      <c r="EG128" s="78"/>
      <c r="EH128" s="78"/>
      <c r="EI128" s="91"/>
      <c r="EJ128" s="91"/>
      <c r="EK128" s="91"/>
      <c r="EL128" s="91"/>
      <c r="EM128" s="91"/>
      <c r="EN128" s="91"/>
      <c r="EO128" s="91"/>
      <c r="EP128" s="78"/>
      <c r="EQ128" s="78"/>
      <c r="ER128" s="78"/>
      <c r="ES128" s="78"/>
      <c r="ET128" s="78"/>
      <c r="EU128" s="78"/>
      <c r="EV128" s="78"/>
      <c r="EW128" s="78"/>
      <c r="EX128" s="78"/>
      <c r="EY128" s="78"/>
      <c r="EZ128" s="78"/>
      <c r="FA128" s="78"/>
      <c r="FB128" s="78"/>
      <c r="FC128" s="78"/>
      <c r="FD128" s="78"/>
      <c r="FE128" s="78"/>
      <c r="FF128" s="78"/>
      <c r="FG128" s="78"/>
      <c r="FH128" s="78"/>
      <c r="FI128" s="78"/>
      <c r="FJ128" s="78"/>
      <c r="FK128" s="78"/>
    </row>
    <row r="129" spans="1:167" hidden="1" outlineLevel="1">
      <c r="A129" s="29" t="str">
        <f t="shared" si="19"/>
        <v>cd_imv_out_bensref_date</v>
      </c>
      <c r="B129" s="67" t="s">
        <v>26</v>
      </c>
      <c r="C129" s="68" t="s">
        <v>54</v>
      </c>
      <c r="D129" s="64" t="s">
        <v>40</v>
      </c>
      <c r="E129" s="66" t="s">
        <v>482</v>
      </c>
      <c r="F129" s="64" t="s">
        <v>208</v>
      </c>
      <c r="G129" s="64" t="e">
        <f>INDEX(Auxiliar!$B$16:$B$24,MATCH(Plano_V1!H129,Auxiliar!$C$16:$C$24,0),1)</f>
        <v>#N/A</v>
      </c>
      <c r="H129" s="64" t="e">
        <f>VLOOKUP(A129,'Aux - pivots1'!$A:$B,2,0)</f>
        <v>#N/A</v>
      </c>
      <c r="I129" s="84">
        <f>SUMIFS(Table1[Estimação (horas)],Table1[Tabela],Plano_V1!E129,Table1[Campo],Plano_V1!F129)</f>
        <v>0</v>
      </c>
      <c r="J129" s="84">
        <f t="shared" si="20"/>
        <v>0</v>
      </c>
      <c r="K129" s="87" t="s">
        <v>95</v>
      </c>
      <c r="L129" s="90">
        <f t="shared" si="18"/>
        <v>0</v>
      </c>
      <c r="M129" s="78"/>
      <c r="N129" s="78"/>
      <c r="O129" s="78"/>
      <c r="P129" s="78"/>
      <c r="Q129" s="78"/>
      <c r="R129" s="78"/>
      <c r="S129" s="78"/>
      <c r="T129" s="78"/>
      <c r="U129" s="78"/>
      <c r="V129" s="78"/>
      <c r="W129" s="78"/>
      <c r="X129" s="78"/>
      <c r="Y129" s="78"/>
      <c r="Z129" s="78"/>
      <c r="AA129" s="78"/>
      <c r="AB129" s="78"/>
      <c r="AC129" s="78"/>
      <c r="AD129" s="78"/>
      <c r="AE129" s="78"/>
      <c r="AF129" s="78"/>
      <c r="AG129" s="78"/>
      <c r="AH129" s="78"/>
      <c r="AI129" s="78"/>
      <c r="AJ129" s="78"/>
      <c r="AK129" s="78"/>
      <c r="AL129" s="78"/>
      <c r="AM129" s="78"/>
      <c r="AN129" s="78"/>
      <c r="AO129" s="78"/>
      <c r="AP129" s="78"/>
      <c r="AQ129" s="78"/>
      <c r="AR129" s="78"/>
      <c r="AS129" s="78"/>
      <c r="AT129" s="91"/>
      <c r="AU129" s="78"/>
      <c r="AV129" s="78"/>
      <c r="AW129" s="78"/>
      <c r="AX129" s="78"/>
      <c r="AY129" s="78"/>
      <c r="AZ129" s="78"/>
      <c r="BA129" s="78"/>
      <c r="BB129" s="78"/>
      <c r="BC129" s="78"/>
      <c r="BD129" s="78"/>
      <c r="BE129" s="78"/>
      <c r="BF129" s="78"/>
      <c r="BG129" s="78"/>
      <c r="BH129" s="78"/>
      <c r="BI129" s="78"/>
      <c r="BJ129" s="78"/>
      <c r="BK129" s="78"/>
      <c r="BL129" s="78"/>
      <c r="BM129" s="78"/>
      <c r="BN129" s="78"/>
      <c r="BO129" s="78"/>
      <c r="BP129" s="78"/>
      <c r="BQ129" s="78"/>
      <c r="BR129" s="78"/>
      <c r="BS129" s="78"/>
      <c r="BT129" s="78"/>
      <c r="BU129" s="78"/>
      <c r="BV129" s="78"/>
      <c r="BW129" s="78"/>
      <c r="BX129" s="78"/>
      <c r="BY129" s="78"/>
      <c r="BZ129" s="78"/>
      <c r="CA129" s="78"/>
      <c r="CB129" s="78"/>
      <c r="CC129" s="78"/>
      <c r="CD129" s="78"/>
      <c r="CE129" s="78"/>
      <c r="CF129" s="78"/>
      <c r="CG129" s="78"/>
      <c r="CH129" s="78"/>
      <c r="CI129" s="78"/>
      <c r="CJ129" s="78"/>
      <c r="CK129" s="78"/>
      <c r="CL129" s="78"/>
      <c r="CM129" s="78"/>
      <c r="CN129" s="78"/>
      <c r="CO129" s="78"/>
      <c r="CP129" s="78"/>
      <c r="CQ129" s="78"/>
      <c r="CR129" s="78"/>
      <c r="CS129" s="78"/>
      <c r="CT129" s="78"/>
      <c r="CU129" s="78"/>
      <c r="CV129" s="78"/>
      <c r="CW129" s="78"/>
      <c r="CX129" s="78"/>
      <c r="CY129" s="78"/>
      <c r="CZ129" s="78"/>
      <c r="DA129" s="78"/>
      <c r="DB129" s="78"/>
      <c r="DC129" s="78"/>
      <c r="DD129" s="78"/>
      <c r="DE129" s="78"/>
      <c r="DF129" s="78"/>
      <c r="DG129" s="78"/>
      <c r="DH129" s="78"/>
      <c r="DI129" s="78"/>
      <c r="DJ129" s="78"/>
      <c r="DK129" s="78"/>
      <c r="DL129" s="78"/>
      <c r="DM129" s="78"/>
      <c r="DN129" s="78"/>
      <c r="DO129" s="78"/>
      <c r="DP129" s="78"/>
      <c r="DQ129" s="78"/>
      <c r="DR129" s="78"/>
      <c r="DS129" s="78"/>
      <c r="DT129" s="78"/>
      <c r="DU129" s="78"/>
      <c r="DV129" s="78"/>
      <c r="DW129" s="78"/>
      <c r="DX129" s="78"/>
      <c r="DY129" s="78"/>
      <c r="DZ129" s="78"/>
      <c r="EA129" s="78"/>
      <c r="EB129" s="78"/>
      <c r="EC129" s="78"/>
      <c r="ED129" s="78"/>
      <c r="EE129" s="78"/>
      <c r="EF129" s="78"/>
      <c r="EG129" s="78"/>
      <c r="EH129" s="78"/>
      <c r="EI129" s="91"/>
      <c r="EJ129" s="91"/>
      <c r="EK129" s="91"/>
      <c r="EL129" s="91"/>
      <c r="EM129" s="91"/>
      <c r="EN129" s="91"/>
      <c r="EO129" s="91"/>
      <c r="EP129" s="78"/>
      <c r="EQ129" s="78"/>
      <c r="ER129" s="78"/>
      <c r="ES129" s="78"/>
      <c r="ET129" s="78"/>
      <c r="EU129" s="78"/>
      <c r="EV129" s="78"/>
      <c r="EW129" s="78"/>
      <c r="EX129" s="78"/>
      <c r="EY129" s="78"/>
      <c r="EZ129" s="78"/>
      <c r="FA129" s="78"/>
      <c r="FB129" s="78"/>
      <c r="FC129" s="78"/>
      <c r="FD129" s="78"/>
      <c r="FE129" s="78"/>
      <c r="FF129" s="78"/>
      <c r="FG129" s="78"/>
      <c r="FH129" s="78"/>
      <c r="FI129" s="78"/>
      <c r="FJ129" s="78"/>
      <c r="FK129" s="78"/>
    </row>
    <row r="130" spans="1:167" hidden="1" outlineLevel="1">
      <c r="A130" s="29" t="str">
        <f t="shared" si="19"/>
        <v>cd_imv_out_bensurbaniz</v>
      </c>
      <c r="B130" s="67" t="s">
        <v>26</v>
      </c>
      <c r="C130" s="68" t="s">
        <v>54</v>
      </c>
      <c r="D130" s="64" t="s">
        <v>40</v>
      </c>
      <c r="E130" s="66" t="s">
        <v>482</v>
      </c>
      <c r="F130" s="64" t="s">
        <v>506</v>
      </c>
      <c r="G130" s="64" t="e">
        <f>INDEX(Auxiliar!$B$16:$B$24,MATCH(Plano_V1!H130,Auxiliar!$C$16:$C$24,0),1)</f>
        <v>#N/A</v>
      </c>
      <c r="H130" s="64" t="e">
        <f>VLOOKUP(A130,'Aux - pivots1'!$A:$B,2,0)</f>
        <v>#N/A</v>
      </c>
      <c r="I130" s="84">
        <f>SUMIFS(Table1[Estimação (horas)],Table1[Tabela],Plano_V1!E130,Table1[Campo],Plano_V1!F130)</f>
        <v>0</v>
      </c>
      <c r="J130" s="84">
        <f t="shared" si="20"/>
        <v>0</v>
      </c>
      <c r="K130" s="87" t="s">
        <v>95</v>
      </c>
      <c r="L130" s="90">
        <f t="shared" si="18"/>
        <v>0</v>
      </c>
      <c r="M130" s="78"/>
      <c r="N130" s="78"/>
      <c r="O130" s="78"/>
      <c r="P130" s="78"/>
      <c r="Q130" s="78"/>
      <c r="R130" s="78"/>
      <c r="S130" s="78"/>
      <c r="T130" s="78"/>
      <c r="U130" s="78"/>
      <c r="V130" s="78"/>
      <c r="W130" s="78"/>
      <c r="X130" s="78"/>
      <c r="Y130" s="78"/>
      <c r="Z130" s="78"/>
      <c r="AA130" s="78"/>
      <c r="AB130" s="78"/>
      <c r="AC130" s="78"/>
      <c r="AD130" s="78"/>
      <c r="AE130" s="78"/>
      <c r="AF130" s="78"/>
      <c r="AG130" s="78"/>
      <c r="AH130" s="78"/>
      <c r="AI130" s="78"/>
      <c r="AJ130" s="78"/>
      <c r="AK130" s="78"/>
      <c r="AL130" s="78"/>
      <c r="AM130" s="78"/>
      <c r="AN130" s="78"/>
      <c r="AO130" s="78"/>
      <c r="AP130" s="78"/>
      <c r="AQ130" s="78"/>
      <c r="AR130" s="78"/>
      <c r="AS130" s="78"/>
      <c r="AT130" s="91"/>
      <c r="AU130" s="78"/>
      <c r="AV130" s="78"/>
      <c r="AW130" s="78"/>
      <c r="AX130" s="78"/>
      <c r="AY130" s="78"/>
      <c r="AZ130" s="78"/>
      <c r="BA130" s="78"/>
      <c r="BB130" s="78"/>
      <c r="BC130" s="78"/>
      <c r="BD130" s="78"/>
      <c r="BE130" s="78"/>
      <c r="BF130" s="78"/>
      <c r="BG130" s="78"/>
      <c r="BH130" s="78"/>
      <c r="BI130" s="78"/>
      <c r="BJ130" s="78"/>
      <c r="BK130" s="78"/>
      <c r="BL130" s="78"/>
      <c r="BM130" s="78"/>
      <c r="BN130" s="78"/>
      <c r="BO130" s="78"/>
      <c r="BP130" s="78"/>
      <c r="BQ130" s="78"/>
      <c r="BR130" s="78"/>
      <c r="BS130" s="78"/>
      <c r="BT130" s="78"/>
      <c r="BU130" s="78"/>
      <c r="BV130" s="78"/>
      <c r="BW130" s="78"/>
      <c r="BX130" s="78"/>
      <c r="BY130" s="78"/>
      <c r="BZ130" s="78"/>
      <c r="CA130" s="78"/>
      <c r="CB130" s="78"/>
      <c r="CC130" s="78"/>
      <c r="CD130" s="78"/>
      <c r="CE130" s="78"/>
      <c r="CF130" s="78"/>
      <c r="CG130" s="78"/>
      <c r="CH130" s="78"/>
      <c r="CI130" s="78"/>
      <c r="CJ130" s="78"/>
      <c r="CK130" s="78"/>
      <c r="CL130" s="78"/>
      <c r="CM130" s="78"/>
      <c r="CN130" s="78"/>
      <c r="CO130" s="78"/>
      <c r="CP130" s="78"/>
      <c r="CQ130" s="78"/>
      <c r="CR130" s="78"/>
      <c r="CS130" s="78"/>
      <c r="CT130" s="78"/>
      <c r="CU130" s="78"/>
      <c r="CV130" s="78"/>
      <c r="CW130" s="78"/>
      <c r="CX130" s="78"/>
      <c r="CY130" s="78"/>
      <c r="CZ130" s="78"/>
      <c r="DA130" s="78"/>
      <c r="DB130" s="78"/>
      <c r="DC130" s="78"/>
      <c r="DD130" s="78"/>
      <c r="DE130" s="78"/>
      <c r="DF130" s="78"/>
      <c r="DG130" s="78"/>
      <c r="DH130" s="78"/>
      <c r="DI130" s="78"/>
      <c r="DJ130" s="78"/>
      <c r="DK130" s="78"/>
      <c r="DL130" s="78"/>
      <c r="DM130" s="78"/>
      <c r="DN130" s="78"/>
      <c r="DO130" s="78"/>
      <c r="DP130" s="78"/>
      <c r="DQ130" s="78"/>
      <c r="DR130" s="78"/>
      <c r="DS130" s="78"/>
      <c r="DT130" s="78"/>
      <c r="DU130" s="78"/>
      <c r="DV130" s="78"/>
      <c r="DW130" s="78"/>
      <c r="DX130" s="78"/>
      <c r="DY130" s="78"/>
      <c r="DZ130" s="78"/>
      <c r="EA130" s="78"/>
      <c r="EB130" s="78"/>
      <c r="EC130" s="78"/>
      <c r="ED130" s="78"/>
      <c r="EE130" s="78"/>
      <c r="EF130" s="78"/>
      <c r="EG130" s="78"/>
      <c r="EH130" s="78"/>
      <c r="EI130" s="91"/>
      <c r="EJ130" s="91"/>
      <c r="EK130" s="91"/>
      <c r="EL130" s="91"/>
      <c r="EM130" s="91"/>
      <c r="EN130" s="91"/>
      <c r="EO130" s="91"/>
      <c r="EP130" s="78"/>
      <c r="EQ130" s="78"/>
      <c r="ER130" s="78"/>
      <c r="ES130" s="78"/>
      <c r="ET130" s="78"/>
      <c r="EU130" s="78"/>
      <c r="EV130" s="78"/>
      <c r="EW130" s="78"/>
      <c r="EX130" s="78"/>
      <c r="EY130" s="78"/>
      <c r="EZ130" s="78"/>
      <c r="FA130" s="78"/>
      <c r="FB130" s="78"/>
      <c r="FC130" s="78"/>
      <c r="FD130" s="78"/>
      <c r="FE130" s="78"/>
      <c r="FF130" s="78"/>
      <c r="FG130" s="78"/>
      <c r="FH130" s="78"/>
      <c r="FI130" s="78"/>
      <c r="FJ130" s="78"/>
      <c r="FK130" s="78"/>
    </row>
    <row r="131" spans="1:167" hidden="1" outlineLevel="1">
      <c r="A131" s="29" t="str">
        <f t="shared" si="19"/>
        <v>cd_imv_out_certifn.a.</v>
      </c>
      <c r="B131" s="67" t="s">
        <v>26</v>
      </c>
      <c r="C131" s="68" t="s">
        <v>54</v>
      </c>
      <c r="D131" s="64" t="s">
        <v>36</v>
      </c>
      <c r="E131" s="66" t="s">
        <v>507</v>
      </c>
      <c r="F131" s="64" t="s">
        <v>38</v>
      </c>
      <c r="G131" s="64" t="e">
        <f>INDEX(Auxiliar!$B$16:$B$24,MATCH(Plano_V1!H131,Auxiliar!$C$16:$C$24,0),1)</f>
        <v>#N/A</v>
      </c>
      <c r="H131" s="64" t="e">
        <f>VLOOKUP(A131,'Aux - pivots1'!$A:$B,2,0)</f>
        <v>#N/A</v>
      </c>
      <c r="I131" s="84">
        <f>SUMIFS(Table1[Estimação (horas)],Table1[Tabela],Plano_V1!E131,Table1[Campo],Plano_V1!F131)</f>
        <v>0</v>
      </c>
      <c r="J131" s="84">
        <f t="shared" si="20"/>
        <v>0</v>
      </c>
      <c r="K131" s="87" t="s">
        <v>124</v>
      </c>
      <c r="L131" s="90">
        <f t="shared" si="18"/>
        <v>0</v>
      </c>
      <c r="M131" s="78"/>
      <c r="N131" s="78"/>
      <c r="O131" s="78"/>
      <c r="P131" s="78"/>
      <c r="Q131" s="78"/>
      <c r="R131" s="78"/>
      <c r="S131" s="78"/>
      <c r="T131" s="78"/>
      <c r="U131" s="78"/>
      <c r="V131" s="78"/>
      <c r="W131" s="78"/>
      <c r="X131" s="78"/>
      <c r="Y131" s="78"/>
      <c r="Z131" s="78"/>
      <c r="AA131" s="78"/>
      <c r="AB131" s="78"/>
      <c r="AC131" s="78"/>
      <c r="AD131" s="78"/>
      <c r="AE131" s="78"/>
      <c r="AF131" s="78"/>
      <c r="AG131" s="78"/>
      <c r="AH131" s="78"/>
      <c r="AI131" s="78"/>
      <c r="AJ131" s="78"/>
      <c r="AK131" s="78"/>
      <c r="AL131" s="78"/>
      <c r="AM131" s="78"/>
      <c r="AN131" s="78"/>
      <c r="AO131" s="78"/>
      <c r="AP131" s="78"/>
      <c r="AQ131" s="78"/>
      <c r="AR131" s="78"/>
      <c r="AS131" s="78"/>
      <c r="AT131" s="91"/>
      <c r="AU131" s="78"/>
      <c r="AV131" s="78"/>
      <c r="AW131" s="78"/>
      <c r="AX131" s="78"/>
      <c r="AY131" s="78"/>
      <c r="AZ131" s="78"/>
      <c r="BA131" s="78"/>
      <c r="BB131" s="78"/>
      <c r="BC131" s="78"/>
      <c r="BD131" s="78"/>
      <c r="BE131" s="78"/>
      <c r="BF131" s="78"/>
      <c r="BG131" s="78"/>
      <c r="BH131" s="78"/>
      <c r="BI131" s="78"/>
      <c r="BJ131" s="78"/>
      <c r="BK131" s="78"/>
      <c r="BL131" s="78"/>
      <c r="BM131" s="78"/>
      <c r="BN131" s="78"/>
      <c r="BO131" s="78"/>
      <c r="BP131" s="78"/>
      <c r="BQ131" s="78"/>
      <c r="BR131" s="78"/>
      <c r="BS131" s="78"/>
      <c r="BT131" s="78"/>
      <c r="BU131" s="78"/>
      <c r="BV131" s="78"/>
      <c r="BW131" s="78"/>
      <c r="BX131" s="78"/>
      <c r="BY131" s="78"/>
      <c r="BZ131" s="78"/>
      <c r="CA131" s="78"/>
      <c r="CB131" s="78"/>
      <c r="CC131" s="78"/>
      <c r="CD131" s="78"/>
      <c r="CE131" s="78"/>
      <c r="CF131" s="78"/>
      <c r="CG131" s="78"/>
      <c r="CH131" s="78"/>
      <c r="CI131" s="78"/>
      <c r="CJ131" s="78"/>
      <c r="CK131" s="78"/>
      <c r="CL131" s="78"/>
      <c r="CM131" s="78"/>
      <c r="CN131" s="78"/>
      <c r="CO131" s="78"/>
      <c r="CP131" s="78"/>
      <c r="CQ131" s="78"/>
      <c r="CR131" s="78"/>
      <c r="CS131" s="78"/>
      <c r="CT131" s="78"/>
      <c r="CU131" s="78"/>
      <c r="CV131" s="78"/>
      <c r="CW131" s="78"/>
      <c r="CX131" s="78"/>
      <c r="CY131" s="78"/>
      <c r="CZ131" s="78"/>
      <c r="DA131" s="78"/>
      <c r="DB131" s="78"/>
      <c r="DC131" s="78"/>
      <c r="DD131" s="78"/>
      <c r="DE131" s="78"/>
      <c r="DF131" s="78"/>
      <c r="DG131" s="78"/>
      <c r="DH131" s="78"/>
      <c r="DI131" s="78"/>
      <c r="DJ131" s="78"/>
      <c r="DK131" s="78"/>
      <c r="DL131" s="78"/>
      <c r="DM131" s="78"/>
      <c r="DN131" s="78"/>
      <c r="DO131" s="78"/>
      <c r="DP131" s="78"/>
      <c r="DQ131" s="78"/>
      <c r="DR131" s="78"/>
      <c r="DS131" s="78"/>
      <c r="DT131" s="78"/>
      <c r="DU131" s="78"/>
      <c r="DV131" s="78"/>
      <c r="DW131" s="78"/>
      <c r="DX131" s="78"/>
      <c r="DY131" s="78"/>
      <c r="DZ131" s="78"/>
      <c r="EA131" s="78"/>
      <c r="EB131" s="78"/>
      <c r="EC131" s="78"/>
      <c r="ED131" s="78"/>
      <c r="EE131" s="78"/>
      <c r="EF131" s="78"/>
      <c r="EG131" s="78"/>
      <c r="EH131" s="78"/>
      <c r="EI131" s="91"/>
      <c r="EJ131" s="91"/>
      <c r="EK131" s="91"/>
      <c r="EL131" s="91"/>
      <c r="EM131" s="91"/>
      <c r="EN131" s="91"/>
      <c r="EO131" s="91"/>
      <c r="EP131" s="78"/>
      <c r="EQ131" s="78"/>
      <c r="ER131" s="78"/>
      <c r="ES131" s="78"/>
      <c r="ET131" s="78"/>
      <c r="EU131" s="78"/>
      <c r="EV131" s="78"/>
      <c r="EW131" s="78"/>
      <c r="EX131" s="78"/>
      <c r="EY131" s="78"/>
      <c r="EZ131" s="78"/>
      <c r="FA131" s="78"/>
      <c r="FB131" s="78"/>
      <c r="FC131" s="78"/>
      <c r="FD131" s="78"/>
      <c r="FE131" s="78"/>
      <c r="FF131" s="78"/>
      <c r="FG131" s="78"/>
      <c r="FH131" s="78"/>
      <c r="FI131" s="78"/>
      <c r="FJ131" s="78"/>
      <c r="FK131" s="78"/>
    </row>
    <row r="132" spans="1:167" hidden="1" outlineLevel="1">
      <c r="A132" s="29" t="str">
        <f t="shared" si="19"/>
        <v>cd_imv_out_certifcempbem</v>
      </c>
      <c r="B132" s="67" t="s">
        <v>26</v>
      </c>
      <c r="C132" s="68" t="s">
        <v>54</v>
      </c>
      <c r="D132" s="64" t="s">
        <v>40</v>
      </c>
      <c r="E132" s="66" t="s">
        <v>507</v>
      </c>
      <c r="F132" s="64" t="s">
        <v>313</v>
      </c>
      <c r="G132" s="64" t="e">
        <f>INDEX(Auxiliar!$B$16:$B$24,MATCH(Plano_V1!H132,Auxiliar!$C$16:$C$24,0),1)</f>
        <v>#N/A</v>
      </c>
      <c r="H132" s="64" t="e">
        <f>VLOOKUP(A132,'Aux - pivots1'!$A:$B,2,0)</f>
        <v>#N/A</v>
      </c>
      <c r="I132" s="84">
        <f>SUMIFS(Table1[Estimação (horas)],Table1[Tabela],Plano_V1!E132,Table1[Campo],Plano_V1!F132)</f>
        <v>0</v>
      </c>
      <c r="J132" s="84">
        <f t="shared" si="20"/>
        <v>0</v>
      </c>
      <c r="K132" s="87" t="s">
        <v>124</v>
      </c>
      <c r="L132" s="90">
        <f t="shared" si="18"/>
        <v>0</v>
      </c>
      <c r="M132" s="78"/>
      <c r="N132" s="78"/>
      <c r="O132" s="78"/>
      <c r="P132" s="78"/>
      <c r="Q132" s="78"/>
      <c r="R132" s="78"/>
      <c r="S132" s="78"/>
      <c r="T132" s="78"/>
      <c r="U132" s="78"/>
      <c r="V132" s="78"/>
      <c r="W132" s="78"/>
      <c r="X132" s="78"/>
      <c r="Y132" s="78"/>
      <c r="Z132" s="78"/>
      <c r="AA132" s="78"/>
      <c r="AB132" s="78"/>
      <c r="AC132" s="78"/>
      <c r="AD132" s="78"/>
      <c r="AE132" s="78"/>
      <c r="AF132" s="78"/>
      <c r="AG132" s="78"/>
      <c r="AH132" s="78"/>
      <c r="AI132" s="78"/>
      <c r="AJ132" s="78"/>
      <c r="AK132" s="78"/>
      <c r="AL132" s="78"/>
      <c r="AM132" s="78"/>
      <c r="AN132" s="78"/>
      <c r="AO132" s="78"/>
      <c r="AP132" s="78"/>
      <c r="AQ132" s="78"/>
      <c r="AR132" s="78"/>
      <c r="AS132" s="78"/>
      <c r="AT132" s="91"/>
      <c r="AU132" s="78"/>
      <c r="AV132" s="78"/>
      <c r="AW132" s="78"/>
      <c r="AX132" s="78"/>
      <c r="AY132" s="78"/>
      <c r="AZ132" s="78"/>
      <c r="BA132" s="78"/>
      <c r="BB132" s="78"/>
      <c r="BC132" s="78"/>
      <c r="BD132" s="78"/>
      <c r="BE132" s="78"/>
      <c r="BF132" s="78"/>
      <c r="BG132" s="78"/>
      <c r="BH132" s="78"/>
      <c r="BI132" s="78"/>
      <c r="BJ132" s="78"/>
      <c r="BK132" s="78"/>
      <c r="BL132" s="78"/>
      <c r="BM132" s="78"/>
      <c r="BN132" s="78"/>
      <c r="BO132" s="78"/>
      <c r="BP132" s="78"/>
      <c r="BQ132" s="78"/>
      <c r="BR132" s="78"/>
      <c r="BS132" s="78"/>
      <c r="BT132" s="78"/>
      <c r="BU132" s="78"/>
      <c r="BV132" s="78"/>
      <c r="BW132" s="78"/>
      <c r="BX132" s="78"/>
      <c r="BY132" s="78"/>
      <c r="BZ132" s="78"/>
      <c r="CA132" s="78"/>
      <c r="CB132" s="78"/>
      <c r="CC132" s="78"/>
      <c r="CD132" s="78"/>
      <c r="CE132" s="78"/>
      <c r="CF132" s="78"/>
      <c r="CG132" s="78"/>
      <c r="CH132" s="78"/>
      <c r="CI132" s="78"/>
      <c r="CJ132" s="78"/>
      <c r="CK132" s="78"/>
      <c r="CL132" s="78"/>
      <c r="CM132" s="78"/>
      <c r="CN132" s="78"/>
      <c r="CO132" s="78"/>
      <c r="CP132" s="78"/>
      <c r="CQ132" s="78"/>
      <c r="CR132" s="78"/>
      <c r="CS132" s="78"/>
      <c r="CT132" s="78"/>
      <c r="CU132" s="78"/>
      <c r="CV132" s="78"/>
      <c r="CW132" s="78"/>
      <c r="CX132" s="78"/>
      <c r="CY132" s="78"/>
      <c r="CZ132" s="78"/>
      <c r="DA132" s="78"/>
      <c r="DB132" s="78"/>
      <c r="DC132" s="78"/>
      <c r="DD132" s="78"/>
      <c r="DE132" s="78"/>
      <c r="DF132" s="78"/>
      <c r="DG132" s="78"/>
      <c r="DH132" s="78"/>
      <c r="DI132" s="78"/>
      <c r="DJ132" s="78"/>
      <c r="DK132" s="78"/>
      <c r="DL132" s="78"/>
      <c r="DM132" s="78"/>
      <c r="DN132" s="78"/>
      <c r="DO132" s="78"/>
      <c r="DP132" s="78"/>
      <c r="DQ132" s="78"/>
      <c r="DR132" s="78"/>
      <c r="DS132" s="78"/>
      <c r="DT132" s="78"/>
      <c r="DU132" s="78"/>
      <c r="DV132" s="78"/>
      <c r="DW132" s="78"/>
      <c r="DX132" s="78"/>
      <c r="DY132" s="78"/>
      <c r="DZ132" s="78"/>
      <c r="EA132" s="78"/>
      <c r="EB132" s="78"/>
      <c r="EC132" s="78"/>
      <c r="ED132" s="78"/>
      <c r="EE132" s="78"/>
      <c r="EF132" s="78"/>
      <c r="EG132" s="78"/>
      <c r="EH132" s="78"/>
      <c r="EI132" s="91"/>
      <c r="EJ132" s="91"/>
      <c r="EK132" s="91"/>
      <c r="EL132" s="91"/>
      <c r="EM132" s="91"/>
      <c r="EN132" s="91"/>
      <c r="EO132" s="91"/>
      <c r="EP132" s="78"/>
      <c r="EQ132" s="78"/>
      <c r="ER132" s="78"/>
      <c r="ES132" s="78"/>
      <c r="ET132" s="78"/>
      <c r="EU132" s="78"/>
      <c r="EV132" s="78"/>
      <c r="EW132" s="78"/>
      <c r="EX132" s="78"/>
      <c r="EY132" s="78"/>
      <c r="EZ132" s="78"/>
      <c r="FA132" s="78"/>
      <c r="FB132" s="78"/>
      <c r="FC132" s="78"/>
      <c r="FD132" s="78"/>
      <c r="FE132" s="78"/>
      <c r="FF132" s="78"/>
      <c r="FG132" s="78"/>
      <c r="FH132" s="78"/>
      <c r="FI132" s="78"/>
      <c r="FJ132" s="78"/>
      <c r="FK132" s="78"/>
    </row>
    <row r="133" spans="1:167" hidden="1" outlineLevel="1">
      <c r="A133" s="29" t="str">
        <f t="shared" si="19"/>
        <v>cd_imv_out_certifckbalbem</v>
      </c>
      <c r="B133" s="67" t="s">
        <v>26</v>
      </c>
      <c r="C133" s="68" t="s">
        <v>54</v>
      </c>
      <c r="D133" s="64" t="s">
        <v>40</v>
      </c>
      <c r="E133" s="66" t="s">
        <v>507</v>
      </c>
      <c r="F133" s="64" t="s">
        <v>314</v>
      </c>
      <c r="G133" s="64" t="e">
        <f>INDEX(Auxiliar!$B$16:$B$24,MATCH(Plano_V1!H133,Auxiliar!$C$16:$C$24,0),1)</f>
        <v>#N/A</v>
      </c>
      <c r="H133" s="64" t="e">
        <f>VLOOKUP(A133,'Aux - pivots1'!$A:$B,2,0)</f>
        <v>#N/A</v>
      </c>
      <c r="I133" s="84">
        <f>SUMIFS(Table1[Estimação (horas)],Table1[Tabela],Plano_V1!E133,Table1[Campo],Plano_V1!F133)</f>
        <v>0</v>
      </c>
      <c r="J133" s="84">
        <f t="shared" si="20"/>
        <v>0</v>
      </c>
      <c r="K133" s="87" t="s">
        <v>124</v>
      </c>
      <c r="L133" s="90">
        <f t="shared" si="18"/>
        <v>0</v>
      </c>
      <c r="M133" s="78"/>
      <c r="N133" s="78"/>
      <c r="O133" s="78"/>
      <c r="P133" s="78"/>
      <c r="Q133" s="78"/>
      <c r="R133" s="78"/>
      <c r="S133" s="78"/>
      <c r="T133" s="78"/>
      <c r="U133" s="78"/>
      <c r="V133" s="78"/>
      <c r="W133" s="78"/>
      <c r="X133" s="78"/>
      <c r="Y133" s="78"/>
      <c r="Z133" s="78"/>
      <c r="AA133" s="78"/>
      <c r="AB133" s="78"/>
      <c r="AC133" s="78"/>
      <c r="AD133" s="78"/>
      <c r="AE133" s="78"/>
      <c r="AF133" s="78"/>
      <c r="AG133" s="78"/>
      <c r="AH133" s="78"/>
      <c r="AI133" s="78"/>
      <c r="AJ133" s="78"/>
      <c r="AK133" s="78"/>
      <c r="AL133" s="78"/>
      <c r="AM133" s="78"/>
      <c r="AN133" s="78"/>
      <c r="AO133" s="78"/>
      <c r="AP133" s="78"/>
      <c r="AQ133" s="78"/>
      <c r="AR133" s="78"/>
      <c r="AS133" s="78"/>
      <c r="AT133" s="91"/>
      <c r="AU133" s="78"/>
      <c r="AV133" s="78"/>
      <c r="AW133" s="78"/>
      <c r="AX133" s="78"/>
      <c r="AY133" s="78"/>
      <c r="AZ133" s="78"/>
      <c r="BA133" s="78"/>
      <c r="BB133" s="78"/>
      <c r="BC133" s="78"/>
      <c r="BD133" s="78"/>
      <c r="BE133" s="78"/>
      <c r="BF133" s="78"/>
      <c r="BG133" s="78"/>
      <c r="BH133" s="78"/>
      <c r="BI133" s="78"/>
      <c r="BJ133" s="78"/>
      <c r="BK133" s="78"/>
      <c r="BL133" s="78"/>
      <c r="BM133" s="78"/>
      <c r="BN133" s="78"/>
      <c r="BO133" s="78"/>
      <c r="BP133" s="78"/>
      <c r="BQ133" s="78"/>
      <c r="BR133" s="78"/>
      <c r="BS133" s="78"/>
      <c r="BT133" s="78"/>
      <c r="BU133" s="78"/>
      <c r="BV133" s="78"/>
      <c r="BW133" s="78"/>
      <c r="BX133" s="78"/>
      <c r="BY133" s="78"/>
      <c r="BZ133" s="78"/>
      <c r="CA133" s="78"/>
      <c r="CB133" s="78"/>
      <c r="CC133" s="78"/>
      <c r="CD133" s="78"/>
      <c r="CE133" s="78"/>
      <c r="CF133" s="78"/>
      <c r="CG133" s="78"/>
      <c r="CH133" s="78"/>
      <c r="CI133" s="78"/>
      <c r="CJ133" s="78"/>
      <c r="CK133" s="78"/>
      <c r="CL133" s="78"/>
      <c r="CM133" s="78"/>
      <c r="CN133" s="78"/>
      <c r="CO133" s="78"/>
      <c r="CP133" s="78"/>
      <c r="CQ133" s="78"/>
      <c r="CR133" s="78"/>
      <c r="CS133" s="78"/>
      <c r="CT133" s="78"/>
      <c r="CU133" s="78"/>
      <c r="CV133" s="78"/>
      <c r="CW133" s="78"/>
      <c r="CX133" s="78"/>
      <c r="CY133" s="78"/>
      <c r="CZ133" s="78"/>
      <c r="DA133" s="78"/>
      <c r="DB133" s="78"/>
      <c r="DC133" s="78"/>
      <c r="DD133" s="78"/>
      <c r="DE133" s="78"/>
      <c r="DF133" s="78"/>
      <c r="DG133" s="78"/>
      <c r="DH133" s="78"/>
      <c r="DI133" s="78"/>
      <c r="DJ133" s="78"/>
      <c r="DK133" s="78"/>
      <c r="DL133" s="78"/>
      <c r="DM133" s="78"/>
      <c r="DN133" s="78"/>
      <c r="DO133" s="78"/>
      <c r="DP133" s="78"/>
      <c r="DQ133" s="78"/>
      <c r="DR133" s="78"/>
      <c r="DS133" s="78"/>
      <c r="DT133" s="78"/>
      <c r="DU133" s="78"/>
      <c r="DV133" s="78"/>
      <c r="DW133" s="78"/>
      <c r="DX133" s="78"/>
      <c r="DY133" s="78"/>
      <c r="DZ133" s="78"/>
      <c r="EA133" s="78"/>
      <c r="EB133" s="78"/>
      <c r="EC133" s="78"/>
      <c r="ED133" s="78"/>
      <c r="EE133" s="78"/>
      <c r="EF133" s="78"/>
      <c r="EG133" s="78"/>
      <c r="EH133" s="78"/>
      <c r="EI133" s="91"/>
      <c r="EJ133" s="91"/>
      <c r="EK133" s="91"/>
      <c r="EL133" s="91"/>
      <c r="EM133" s="91"/>
      <c r="EN133" s="91"/>
      <c r="EO133" s="91"/>
      <c r="EP133" s="78"/>
      <c r="EQ133" s="78"/>
      <c r="ER133" s="78"/>
      <c r="ES133" s="78"/>
      <c r="ET133" s="78"/>
      <c r="EU133" s="78"/>
      <c r="EV133" s="78"/>
      <c r="EW133" s="78"/>
      <c r="EX133" s="78"/>
      <c r="EY133" s="78"/>
      <c r="EZ133" s="78"/>
      <c r="FA133" s="78"/>
      <c r="FB133" s="78"/>
      <c r="FC133" s="78"/>
      <c r="FD133" s="78"/>
      <c r="FE133" s="78"/>
      <c r="FF133" s="78"/>
      <c r="FG133" s="78"/>
      <c r="FH133" s="78"/>
      <c r="FI133" s="78"/>
      <c r="FJ133" s="78"/>
      <c r="FK133" s="78"/>
    </row>
    <row r="134" spans="1:167" hidden="1" outlineLevel="1">
      <c r="A134" s="29" t="str">
        <f t="shared" si="19"/>
        <v>cd_imv_out_certifckctabem</v>
      </c>
      <c r="B134" s="67" t="s">
        <v>26</v>
      </c>
      <c r="C134" s="68" t="s">
        <v>54</v>
      </c>
      <c r="D134" s="64" t="s">
        <v>40</v>
      </c>
      <c r="E134" s="66" t="s">
        <v>507</v>
      </c>
      <c r="F134" s="64" t="s">
        <v>315</v>
      </c>
      <c r="G134" s="64" t="e">
        <f>INDEX(Auxiliar!$B$16:$B$24,MATCH(Plano_V1!H134,Auxiliar!$C$16:$C$24,0),1)</f>
        <v>#N/A</v>
      </c>
      <c r="H134" s="64" t="e">
        <f>VLOOKUP(A134,'Aux - pivots1'!$A:$B,2,0)</f>
        <v>#N/A</v>
      </c>
      <c r="I134" s="84">
        <f>SUMIFS(Table1[Estimação (horas)],Table1[Tabela],Plano_V1!E134,Table1[Campo],Plano_V1!F134)</f>
        <v>0</v>
      </c>
      <c r="J134" s="84">
        <f t="shared" si="20"/>
        <v>0</v>
      </c>
      <c r="K134" s="87" t="s">
        <v>124</v>
      </c>
      <c r="L134" s="90">
        <f t="shared" si="18"/>
        <v>0</v>
      </c>
      <c r="M134" s="78"/>
      <c r="N134" s="78"/>
      <c r="O134" s="78"/>
      <c r="P134" s="78"/>
      <c r="Q134" s="78"/>
      <c r="R134" s="78"/>
      <c r="S134" s="78"/>
      <c r="T134" s="78"/>
      <c r="U134" s="78"/>
      <c r="V134" s="78"/>
      <c r="W134" s="78"/>
      <c r="X134" s="78"/>
      <c r="Y134" s="78"/>
      <c r="Z134" s="78"/>
      <c r="AA134" s="78"/>
      <c r="AB134" s="78"/>
      <c r="AC134" s="78"/>
      <c r="AD134" s="78"/>
      <c r="AE134" s="78"/>
      <c r="AF134" s="78"/>
      <c r="AG134" s="78"/>
      <c r="AH134" s="78"/>
      <c r="AI134" s="78"/>
      <c r="AJ134" s="78"/>
      <c r="AK134" s="78"/>
      <c r="AL134" s="78"/>
      <c r="AM134" s="78"/>
      <c r="AN134" s="78"/>
      <c r="AO134" s="78"/>
      <c r="AP134" s="78"/>
      <c r="AQ134" s="78"/>
      <c r="AR134" s="78"/>
      <c r="AS134" s="78"/>
      <c r="AT134" s="91"/>
      <c r="AU134" s="78"/>
      <c r="AV134" s="78"/>
      <c r="AW134" s="78"/>
      <c r="AX134" s="78"/>
      <c r="AY134" s="78"/>
      <c r="AZ134" s="78"/>
      <c r="BA134" s="78"/>
      <c r="BB134" s="78"/>
      <c r="BC134" s="78"/>
      <c r="BD134" s="78"/>
      <c r="BE134" s="78"/>
      <c r="BF134" s="78"/>
      <c r="BG134" s="78"/>
      <c r="BH134" s="78"/>
      <c r="BI134" s="78"/>
      <c r="BJ134" s="78"/>
      <c r="BK134" s="78"/>
      <c r="BL134" s="78"/>
      <c r="BM134" s="78"/>
      <c r="BN134" s="78"/>
      <c r="BO134" s="78"/>
      <c r="BP134" s="78"/>
      <c r="BQ134" s="78"/>
      <c r="BR134" s="78"/>
      <c r="BS134" s="78"/>
      <c r="BT134" s="78"/>
      <c r="BU134" s="78"/>
      <c r="BV134" s="78"/>
      <c r="BW134" s="78"/>
      <c r="BX134" s="78"/>
      <c r="BY134" s="78"/>
      <c r="BZ134" s="78"/>
      <c r="CA134" s="78"/>
      <c r="CB134" s="78"/>
      <c r="CC134" s="78"/>
      <c r="CD134" s="78"/>
      <c r="CE134" s="78"/>
      <c r="CF134" s="78"/>
      <c r="CG134" s="78"/>
      <c r="CH134" s="78"/>
      <c r="CI134" s="78"/>
      <c r="CJ134" s="78"/>
      <c r="CK134" s="78"/>
      <c r="CL134" s="78"/>
      <c r="CM134" s="78"/>
      <c r="CN134" s="78"/>
      <c r="CO134" s="78"/>
      <c r="CP134" s="78"/>
      <c r="CQ134" s="78"/>
      <c r="CR134" s="78"/>
      <c r="CS134" s="78"/>
      <c r="CT134" s="78"/>
      <c r="CU134" s="78"/>
      <c r="CV134" s="78"/>
      <c r="CW134" s="78"/>
      <c r="CX134" s="78"/>
      <c r="CY134" s="78"/>
      <c r="CZ134" s="78"/>
      <c r="DA134" s="78"/>
      <c r="DB134" s="78"/>
      <c r="DC134" s="78"/>
      <c r="DD134" s="78"/>
      <c r="DE134" s="78"/>
      <c r="DF134" s="78"/>
      <c r="DG134" s="78"/>
      <c r="DH134" s="78"/>
      <c r="DI134" s="78"/>
      <c r="DJ134" s="78"/>
      <c r="DK134" s="78"/>
      <c r="DL134" s="78"/>
      <c r="DM134" s="78"/>
      <c r="DN134" s="78"/>
      <c r="DO134" s="78"/>
      <c r="DP134" s="78"/>
      <c r="DQ134" s="78"/>
      <c r="DR134" s="78"/>
      <c r="DS134" s="78"/>
      <c r="DT134" s="78"/>
      <c r="DU134" s="78"/>
      <c r="DV134" s="78"/>
      <c r="DW134" s="78"/>
      <c r="DX134" s="78"/>
      <c r="DY134" s="78"/>
      <c r="DZ134" s="78"/>
      <c r="EA134" s="78"/>
      <c r="EB134" s="78"/>
      <c r="EC134" s="78"/>
      <c r="ED134" s="78"/>
      <c r="EE134" s="78"/>
      <c r="EF134" s="78"/>
      <c r="EG134" s="78"/>
      <c r="EH134" s="78"/>
      <c r="EI134" s="91"/>
      <c r="EJ134" s="91"/>
      <c r="EK134" s="91"/>
      <c r="EL134" s="91"/>
      <c r="EM134" s="91"/>
      <c r="EN134" s="91"/>
      <c r="EO134" s="91"/>
      <c r="EP134" s="78"/>
      <c r="EQ134" s="78"/>
      <c r="ER134" s="78"/>
      <c r="ES134" s="78"/>
      <c r="ET134" s="78"/>
      <c r="EU134" s="78"/>
      <c r="EV134" s="78"/>
      <c r="EW134" s="78"/>
      <c r="EX134" s="78"/>
      <c r="EY134" s="78"/>
      <c r="EZ134" s="78"/>
      <c r="FA134" s="78"/>
      <c r="FB134" s="78"/>
      <c r="FC134" s="78"/>
      <c r="FD134" s="78"/>
      <c r="FE134" s="78"/>
      <c r="FF134" s="78"/>
      <c r="FG134" s="78"/>
      <c r="FH134" s="78"/>
      <c r="FI134" s="78"/>
      <c r="FJ134" s="78"/>
      <c r="FK134" s="78"/>
    </row>
    <row r="135" spans="1:167" hidden="1" outlineLevel="1">
      <c r="A135" s="29" t="str">
        <f t="shared" si="19"/>
        <v>cd_imv_out_certifckrefbem</v>
      </c>
      <c r="B135" s="67" t="s">
        <v>26</v>
      </c>
      <c r="C135" s="68" t="s">
        <v>54</v>
      </c>
      <c r="D135" s="64" t="s">
        <v>40</v>
      </c>
      <c r="E135" s="66" t="s">
        <v>507</v>
      </c>
      <c r="F135" s="64" t="s">
        <v>316</v>
      </c>
      <c r="G135" s="64" t="e">
        <f>INDEX(Auxiliar!$B$16:$B$24,MATCH(Plano_V1!H135,Auxiliar!$C$16:$C$24,0),1)</f>
        <v>#N/A</v>
      </c>
      <c r="H135" s="64" t="e">
        <f>VLOOKUP(A135,'Aux - pivots1'!$A:$B,2,0)</f>
        <v>#N/A</v>
      </c>
      <c r="I135" s="84">
        <f>SUMIFS(Table1[Estimação (horas)],Table1[Tabela],Plano_V1!E135,Table1[Campo],Plano_V1!F135)</f>
        <v>0</v>
      </c>
      <c r="J135" s="84">
        <f t="shared" si="20"/>
        <v>0</v>
      </c>
      <c r="K135" s="87" t="s">
        <v>124</v>
      </c>
      <c r="L135" s="90">
        <f t="shared" si="18"/>
        <v>0</v>
      </c>
      <c r="M135" s="78"/>
      <c r="N135" s="78"/>
      <c r="O135" s="78"/>
      <c r="P135" s="78"/>
      <c r="Q135" s="78"/>
      <c r="R135" s="78"/>
      <c r="S135" s="78"/>
      <c r="T135" s="78"/>
      <c r="U135" s="78"/>
      <c r="V135" s="78"/>
      <c r="W135" s="78"/>
      <c r="X135" s="78"/>
      <c r="Y135" s="78"/>
      <c r="Z135" s="78"/>
      <c r="AA135" s="78"/>
      <c r="AB135" s="78"/>
      <c r="AC135" s="78"/>
      <c r="AD135" s="78"/>
      <c r="AE135" s="78"/>
      <c r="AF135" s="78"/>
      <c r="AG135" s="78"/>
      <c r="AH135" s="78"/>
      <c r="AI135" s="78"/>
      <c r="AJ135" s="78"/>
      <c r="AK135" s="78"/>
      <c r="AL135" s="78"/>
      <c r="AM135" s="78"/>
      <c r="AN135" s="78"/>
      <c r="AO135" s="78"/>
      <c r="AP135" s="78"/>
      <c r="AQ135" s="78"/>
      <c r="AR135" s="78"/>
      <c r="AS135" s="78"/>
      <c r="AT135" s="91"/>
      <c r="AU135" s="78"/>
      <c r="AV135" s="78"/>
      <c r="AW135" s="78"/>
      <c r="AX135" s="78"/>
      <c r="AY135" s="78"/>
      <c r="AZ135" s="78"/>
      <c r="BA135" s="78"/>
      <c r="BB135" s="78"/>
      <c r="BC135" s="78"/>
      <c r="BD135" s="78"/>
      <c r="BE135" s="78"/>
      <c r="BF135" s="78"/>
      <c r="BG135" s="78"/>
      <c r="BH135" s="78"/>
      <c r="BI135" s="78"/>
      <c r="BJ135" s="78"/>
      <c r="BK135" s="78"/>
      <c r="BL135" s="78"/>
      <c r="BM135" s="78"/>
      <c r="BN135" s="78"/>
      <c r="BO135" s="78"/>
      <c r="BP135" s="78"/>
      <c r="BQ135" s="78"/>
      <c r="BR135" s="78"/>
      <c r="BS135" s="78"/>
      <c r="BT135" s="78"/>
      <c r="BU135" s="78"/>
      <c r="BV135" s="78"/>
      <c r="BW135" s="78"/>
      <c r="BX135" s="78"/>
      <c r="BY135" s="78"/>
      <c r="BZ135" s="78"/>
      <c r="CA135" s="78"/>
      <c r="CB135" s="78"/>
      <c r="CC135" s="78"/>
      <c r="CD135" s="78"/>
      <c r="CE135" s="78"/>
      <c r="CF135" s="78"/>
      <c r="CG135" s="78"/>
      <c r="CH135" s="78"/>
      <c r="CI135" s="78"/>
      <c r="CJ135" s="78"/>
      <c r="CK135" s="78"/>
      <c r="CL135" s="78"/>
      <c r="CM135" s="78"/>
      <c r="CN135" s="78"/>
      <c r="CO135" s="78"/>
      <c r="CP135" s="78"/>
      <c r="CQ135" s="78"/>
      <c r="CR135" s="78"/>
      <c r="CS135" s="78"/>
      <c r="CT135" s="78"/>
      <c r="CU135" s="78"/>
      <c r="CV135" s="78"/>
      <c r="CW135" s="78"/>
      <c r="CX135" s="78"/>
      <c r="CY135" s="78"/>
      <c r="CZ135" s="78"/>
      <c r="DA135" s="78"/>
      <c r="DB135" s="78"/>
      <c r="DC135" s="78"/>
      <c r="DD135" s="78"/>
      <c r="DE135" s="78"/>
      <c r="DF135" s="78"/>
      <c r="DG135" s="78"/>
      <c r="DH135" s="78"/>
      <c r="DI135" s="78"/>
      <c r="DJ135" s="78"/>
      <c r="DK135" s="78"/>
      <c r="DL135" s="78"/>
      <c r="DM135" s="78"/>
      <c r="DN135" s="78"/>
      <c r="DO135" s="78"/>
      <c r="DP135" s="78"/>
      <c r="DQ135" s="78"/>
      <c r="DR135" s="78"/>
      <c r="DS135" s="78"/>
      <c r="DT135" s="78"/>
      <c r="DU135" s="78"/>
      <c r="DV135" s="78"/>
      <c r="DW135" s="78"/>
      <c r="DX135" s="78"/>
      <c r="DY135" s="78"/>
      <c r="DZ135" s="78"/>
      <c r="EA135" s="78"/>
      <c r="EB135" s="78"/>
      <c r="EC135" s="78"/>
      <c r="ED135" s="78"/>
      <c r="EE135" s="78"/>
      <c r="EF135" s="78"/>
      <c r="EG135" s="78"/>
      <c r="EH135" s="78"/>
      <c r="EI135" s="91"/>
      <c r="EJ135" s="91"/>
      <c r="EK135" s="91"/>
      <c r="EL135" s="91"/>
      <c r="EM135" s="91"/>
      <c r="EN135" s="91"/>
      <c r="EO135" s="91"/>
      <c r="EP135" s="78"/>
      <c r="EQ135" s="78"/>
      <c r="ER135" s="78"/>
      <c r="ES135" s="78"/>
      <c r="ET135" s="78"/>
      <c r="EU135" s="78"/>
      <c r="EV135" s="78"/>
      <c r="EW135" s="78"/>
      <c r="EX135" s="78"/>
      <c r="EY135" s="78"/>
      <c r="EZ135" s="78"/>
      <c r="FA135" s="78"/>
      <c r="FB135" s="78"/>
      <c r="FC135" s="78"/>
      <c r="FD135" s="78"/>
      <c r="FE135" s="78"/>
      <c r="FF135" s="78"/>
      <c r="FG135" s="78"/>
      <c r="FH135" s="78"/>
      <c r="FI135" s="78"/>
      <c r="FJ135" s="78"/>
      <c r="FK135" s="78"/>
    </row>
    <row r="136" spans="1:167" hidden="1" outlineLevel="1">
      <c r="A136" s="29" t="str">
        <f t="shared" si="19"/>
        <v>cd_imv_out_certifcod_cnsrvtr_rgst_prdl</v>
      </c>
      <c r="B136" s="67" t="s">
        <v>26</v>
      </c>
      <c r="C136" s="68" t="s">
        <v>54</v>
      </c>
      <c r="D136" s="64" t="s">
        <v>40</v>
      </c>
      <c r="E136" s="66" t="s">
        <v>507</v>
      </c>
      <c r="F136" s="64" t="s">
        <v>508</v>
      </c>
      <c r="G136" s="64" t="e">
        <f>INDEX(Auxiliar!$B$16:$B$24,MATCH(Plano_V1!H136,Auxiliar!$C$16:$C$24,0),1)</f>
        <v>#N/A</v>
      </c>
      <c r="H136" s="64" t="e">
        <f>VLOOKUP(A136,'Aux - pivots1'!$A:$B,2,0)</f>
        <v>#N/A</v>
      </c>
      <c r="I136" s="84">
        <f>SUMIFS(Table1[Estimação (horas)],Table1[Tabela],Plano_V1!E136,Table1[Campo],Plano_V1!F136)</f>
        <v>0</v>
      </c>
      <c r="J136" s="84">
        <f t="shared" si="20"/>
        <v>0</v>
      </c>
      <c r="K136" s="87" t="s">
        <v>124</v>
      </c>
      <c r="L136" s="90">
        <f t="shared" si="18"/>
        <v>0</v>
      </c>
      <c r="M136" s="78"/>
      <c r="N136" s="78"/>
      <c r="O136" s="78"/>
      <c r="P136" s="78"/>
      <c r="Q136" s="78"/>
      <c r="R136" s="78"/>
      <c r="S136" s="78"/>
      <c r="T136" s="78"/>
      <c r="U136" s="78"/>
      <c r="V136" s="78"/>
      <c r="W136" s="78"/>
      <c r="X136" s="78"/>
      <c r="Y136" s="78"/>
      <c r="Z136" s="78"/>
      <c r="AA136" s="78"/>
      <c r="AB136" s="78"/>
      <c r="AC136" s="78"/>
      <c r="AD136" s="78"/>
      <c r="AE136" s="78"/>
      <c r="AF136" s="78"/>
      <c r="AG136" s="78"/>
      <c r="AH136" s="78"/>
      <c r="AI136" s="78"/>
      <c r="AJ136" s="78"/>
      <c r="AK136" s="78"/>
      <c r="AL136" s="78"/>
      <c r="AM136" s="78"/>
      <c r="AN136" s="78"/>
      <c r="AO136" s="78"/>
      <c r="AP136" s="78"/>
      <c r="AQ136" s="78"/>
      <c r="AR136" s="78"/>
      <c r="AS136" s="78"/>
      <c r="AT136" s="91"/>
      <c r="AU136" s="78"/>
      <c r="AV136" s="78"/>
      <c r="AW136" s="78"/>
      <c r="AX136" s="78"/>
      <c r="AY136" s="78"/>
      <c r="AZ136" s="78"/>
      <c r="BA136" s="78"/>
      <c r="BB136" s="78"/>
      <c r="BC136" s="78"/>
      <c r="BD136" s="78"/>
      <c r="BE136" s="78"/>
      <c r="BF136" s="78"/>
      <c r="BG136" s="78"/>
      <c r="BH136" s="78"/>
      <c r="BI136" s="78"/>
      <c r="BJ136" s="78"/>
      <c r="BK136" s="78"/>
      <c r="BL136" s="78"/>
      <c r="BM136" s="78"/>
      <c r="BN136" s="78"/>
      <c r="BO136" s="78"/>
      <c r="BP136" s="78"/>
      <c r="BQ136" s="78"/>
      <c r="BR136" s="78"/>
      <c r="BS136" s="78"/>
      <c r="BT136" s="78"/>
      <c r="BU136" s="78"/>
      <c r="BV136" s="78"/>
      <c r="BW136" s="78"/>
      <c r="BX136" s="78"/>
      <c r="BY136" s="78"/>
      <c r="BZ136" s="78"/>
      <c r="CA136" s="78"/>
      <c r="CB136" s="78"/>
      <c r="CC136" s="78"/>
      <c r="CD136" s="78"/>
      <c r="CE136" s="78"/>
      <c r="CF136" s="78"/>
      <c r="CG136" s="78"/>
      <c r="CH136" s="78"/>
      <c r="CI136" s="78"/>
      <c r="CJ136" s="78"/>
      <c r="CK136" s="78"/>
      <c r="CL136" s="78"/>
      <c r="CM136" s="78"/>
      <c r="CN136" s="78"/>
      <c r="CO136" s="78"/>
      <c r="CP136" s="78"/>
      <c r="CQ136" s="78"/>
      <c r="CR136" s="78"/>
      <c r="CS136" s="78"/>
      <c r="CT136" s="78"/>
      <c r="CU136" s="78"/>
      <c r="CV136" s="78"/>
      <c r="CW136" s="78"/>
      <c r="CX136" s="78"/>
      <c r="CY136" s="78"/>
      <c r="CZ136" s="78"/>
      <c r="DA136" s="78"/>
      <c r="DB136" s="78"/>
      <c r="DC136" s="78"/>
      <c r="DD136" s="78"/>
      <c r="DE136" s="78"/>
      <c r="DF136" s="78"/>
      <c r="DG136" s="78"/>
      <c r="DH136" s="78"/>
      <c r="DI136" s="78"/>
      <c r="DJ136" s="78"/>
      <c r="DK136" s="78"/>
      <c r="DL136" s="78"/>
      <c r="DM136" s="78"/>
      <c r="DN136" s="78"/>
      <c r="DO136" s="78"/>
      <c r="DP136" s="78"/>
      <c r="DQ136" s="78"/>
      <c r="DR136" s="78"/>
      <c r="DS136" s="78"/>
      <c r="DT136" s="78"/>
      <c r="DU136" s="78"/>
      <c r="DV136" s="78"/>
      <c r="DW136" s="78"/>
      <c r="DX136" s="78"/>
      <c r="DY136" s="78"/>
      <c r="DZ136" s="78"/>
      <c r="EA136" s="78"/>
      <c r="EB136" s="78"/>
      <c r="EC136" s="78"/>
      <c r="ED136" s="78"/>
      <c r="EE136" s="78"/>
      <c r="EF136" s="78"/>
      <c r="EG136" s="78"/>
      <c r="EH136" s="78"/>
      <c r="EI136" s="91"/>
      <c r="EJ136" s="91"/>
      <c r="EK136" s="91"/>
      <c r="EL136" s="91"/>
      <c r="EM136" s="91"/>
      <c r="EN136" s="91"/>
      <c r="EO136" s="91"/>
      <c r="EP136" s="78"/>
      <c r="EQ136" s="78"/>
      <c r="ER136" s="78"/>
      <c r="ES136" s="78"/>
      <c r="ET136" s="78"/>
      <c r="EU136" s="78"/>
      <c r="EV136" s="78"/>
      <c r="EW136" s="78"/>
      <c r="EX136" s="78"/>
      <c r="EY136" s="78"/>
      <c r="EZ136" s="78"/>
      <c r="FA136" s="78"/>
      <c r="FB136" s="78"/>
      <c r="FC136" s="78"/>
      <c r="FD136" s="78"/>
      <c r="FE136" s="78"/>
      <c r="FF136" s="78"/>
      <c r="FG136" s="78"/>
      <c r="FH136" s="78"/>
      <c r="FI136" s="78"/>
      <c r="FJ136" s="78"/>
      <c r="FK136" s="78"/>
    </row>
    <row r="137" spans="1:167" hidden="1" outlineLevel="1">
      <c r="A137" s="29" t="str">
        <f t="shared" si="19"/>
        <v>cd_imv_out_certifcod_inscrc</v>
      </c>
      <c r="B137" s="67" t="s">
        <v>26</v>
      </c>
      <c r="C137" s="68" t="s">
        <v>54</v>
      </c>
      <c r="D137" s="64" t="s">
        <v>40</v>
      </c>
      <c r="E137" s="66" t="s">
        <v>507</v>
      </c>
      <c r="F137" s="64" t="s">
        <v>509</v>
      </c>
      <c r="G137" s="64" t="e">
        <f>INDEX(Auxiliar!$B$16:$B$24,MATCH(Plano_V1!H137,Auxiliar!$C$16:$C$24,0),1)</f>
        <v>#N/A</v>
      </c>
      <c r="H137" s="64" t="e">
        <f>VLOOKUP(A137,'Aux - pivots1'!$A:$B,2,0)</f>
        <v>#N/A</v>
      </c>
      <c r="I137" s="84">
        <f>SUMIFS(Table1[Estimação (horas)],Table1[Tabela],Plano_V1!E137,Table1[Campo],Plano_V1!F137)</f>
        <v>0</v>
      </c>
      <c r="J137" s="84">
        <f t="shared" si="20"/>
        <v>0</v>
      </c>
      <c r="K137" s="87" t="s">
        <v>124</v>
      </c>
      <c r="L137" s="90">
        <f t="shared" si="18"/>
        <v>0</v>
      </c>
      <c r="M137" s="78"/>
      <c r="N137" s="78"/>
      <c r="O137" s="78"/>
      <c r="P137" s="78"/>
      <c r="Q137" s="78"/>
      <c r="R137" s="78"/>
      <c r="S137" s="78"/>
      <c r="T137" s="78"/>
      <c r="U137" s="78"/>
      <c r="V137" s="78"/>
      <c r="W137" s="78"/>
      <c r="X137" s="78"/>
      <c r="Y137" s="78"/>
      <c r="Z137" s="78"/>
      <c r="AA137" s="78"/>
      <c r="AB137" s="78"/>
      <c r="AC137" s="78"/>
      <c r="AD137" s="78"/>
      <c r="AE137" s="78"/>
      <c r="AF137" s="78"/>
      <c r="AG137" s="78"/>
      <c r="AH137" s="78"/>
      <c r="AI137" s="78"/>
      <c r="AJ137" s="78"/>
      <c r="AK137" s="78"/>
      <c r="AL137" s="78"/>
      <c r="AM137" s="78"/>
      <c r="AN137" s="78"/>
      <c r="AO137" s="78"/>
      <c r="AP137" s="78"/>
      <c r="AQ137" s="78"/>
      <c r="AR137" s="78"/>
      <c r="AS137" s="78"/>
      <c r="AT137" s="91"/>
      <c r="AU137" s="78"/>
      <c r="AV137" s="78"/>
      <c r="AW137" s="78"/>
      <c r="AX137" s="78"/>
      <c r="AY137" s="78"/>
      <c r="AZ137" s="78"/>
      <c r="BA137" s="78"/>
      <c r="BB137" s="78"/>
      <c r="BC137" s="78"/>
      <c r="BD137" s="78"/>
      <c r="BE137" s="78"/>
      <c r="BF137" s="78"/>
      <c r="BG137" s="78"/>
      <c r="BH137" s="78"/>
      <c r="BI137" s="78"/>
      <c r="BJ137" s="78"/>
      <c r="BK137" s="78"/>
      <c r="BL137" s="78"/>
      <c r="BM137" s="78"/>
      <c r="BN137" s="78"/>
      <c r="BO137" s="78"/>
      <c r="BP137" s="78"/>
      <c r="BQ137" s="78"/>
      <c r="BR137" s="78"/>
      <c r="BS137" s="78"/>
      <c r="BT137" s="78"/>
      <c r="BU137" s="78"/>
      <c r="BV137" s="78"/>
      <c r="BW137" s="78"/>
      <c r="BX137" s="78"/>
      <c r="BY137" s="78"/>
      <c r="BZ137" s="78"/>
      <c r="CA137" s="78"/>
      <c r="CB137" s="78"/>
      <c r="CC137" s="78"/>
      <c r="CD137" s="78"/>
      <c r="CE137" s="78"/>
      <c r="CF137" s="78"/>
      <c r="CG137" s="78"/>
      <c r="CH137" s="78"/>
      <c r="CI137" s="78"/>
      <c r="CJ137" s="78"/>
      <c r="CK137" s="78"/>
      <c r="CL137" s="78"/>
      <c r="CM137" s="78"/>
      <c r="CN137" s="78"/>
      <c r="CO137" s="78"/>
      <c r="CP137" s="78"/>
      <c r="CQ137" s="78"/>
      <c r="CR137" s="78"/>
      <c r="CS137" s="78"/>
      <c r="CT137" s="78"/>
      <c r="CU137" s="78"/>
      <c r="CV137" s="78"/>
      <c r="CW137" s="78"/>
      <c r="CX137" s="78"/>
      <c r="CY137" s="78"/>
      <c r="CZ137" s="78"/>
      <c r="DA137" s="78"/>
      <c r="DB137" s="78"/>
      <c r="DC137" s="78"/>
      <c r="DD137" s="78"/>
      <c r="DE137" s="78"/>
      <c r="DF137" s="78"/>
      <c r="DG137" s="78"/>
      <c r="DH137" s="78"/>
      <c r="DI137" s="78"/>
      <c r="DJ137" s="78"/>
      <c r="DK137" s="78"/>
      <c r="DL137" s="78"/>
      <c r="DM137" s="78"/>
      <c r="DN137" s="78"/>
      <c r="DO137" s="78"/>
      <c r="DP137" s="78"/>
      <c r="DQ137" s="78"/>
      <c r="DR137" s="78"/>
      <c r="DS137" s="78"/>
      <c r="DT137" s="78"/>
      <c r="DU137" s="78"/>
      <c r="DV137" s="78"/>
      <c r="DW137" s="78"/>
      <c r="DX137" s="78"/>
      <c r="DY137" s="78"/>
      <c r="DZ137" s="78"/>
      <c r="EA137" s="78"/>
      <c r="EB137" s="78"/>
      <c r="EC137" s="78"/>
      <c r="ED137" s="78"/>
      <c r="EE137" s="78"/>
      <c r="EF137" s="78"/>
      <c r="EG137" s="78"/>
      <c r="EH137" s="78"/>
      <c r="EI137" s="91"/>
      <c r="EJ137" s="91"/>
      <c r="EK137" s="91"/>
      <c r="EL137" s="91"/>
      <c r="EM137" s="91"/>
      <c r="EN137" s="91"/>
      <c r="EO137" s="91"/>
      <c r="EP137" s="78"/>
      <c r="EQ137" s="78"/>
      <c r="ER137" s="78"/>
      <c r="ES137" s="78"/>
      <c r="ET137" s="78"/>
      <c r="EU137" s="78"/>
      <c r="EV137" s="78"/>
      <c r="EW137" s="78"/>
      <c r="EX137" s="78"/>
      <c r="EY137" s="78"/>
      <c r="EZ137" s="78"/>
      <c r="FA137" s="78"/>
      <c r="FB137" s="78"/>
      <c r="FC137" s="78"/>
      <c r="FD137" s="78"/>
      <c r="FE137" s="78"/>
      <c r="FF137" s="78"/>
      <c r="FG137" s="78"/>
      <c r="FH137" s="78"/>
      <c r="FI137" s="78"/>
      <c r="FJ137" s="78"/>
      <c r="FK137" s="78"/>
    </row>
    <row r="138" spans="1:167" hidden="1" outlineLevel="1">
      <c r="A138" s="29" t="str">
        <f t="shared" si="19"/>
        <v>cd_imv_out_certifcod_sce</v>
      </c>
      <c r="B138" s="67" t="s">
        <v>26</v>
      </c>
      <c r="C138" s="68" t="s">
        <v>54</v>
      </c>
      <c r="D138" s="64" t="s">
        <v>40</v>
      </c>
      <c r="E138" s="66" t="s">
        <v>507</v>
      </c>
      <c r="F138" s="64" t="s">
        <v>510</v>
      </c>
      <c r="G138" s="64" t="e">
        <f>INDEX(Auxiliar!$B$16:$B$24,MATCH(Plano_V1!H138,Auxiliar!$C$16:$C$24,0),1)</f>
        <v>#N/A</v>
      </c>
      <c r="H138" s="64" t="e">
        <f>VLOOKUP(A138,'Aux - pivots1'!$A:$B,2,0)</f>
        <v>#N/A</v>
      </c>
      <c r="I138" s="84">
        <f>SUMIFS(Table1[Estimação (horas)],Table1[Tabela],Plano_V1!E138,Table1[Campo],Plano_V1!F138)</f>
        <v>0</v>
      </c>
      <c r="J138" s="84">
        <f t="shared" si="20"/>
        <v>0</v>
      </c>
      <c r="K138" s="87" t="s">
        <v>124</v>
      </c>
      <c r="L138" s="90">
        <f t="shared" si="18"/>
        <v>0</v>
      </c>
      <c r="M138" s="78"/>
      <c r="N138" s="78"/>
      <c r="O138" s="78"/>
      <c r="P138" s="78"/>
      <c r="Q138" s="78"/>
      <c r="R138" s="78"/>
      <c r="S138" s="78"/>
      <c r="T138" s="78"/>
      <c r="U138" s="78"/>
      <c r="V138" s="78"/>
      <c r="W138" s="78"/>
      <c r="X138" s="78"/>
      <c r="Y138" s="78"/>
      <c r="Z138" s="78"/>
      <c r="AA138" s="78"/>
      <c r="AB138" s="78"/>
      <c r="AC138" s="78"/>
      <c r="AD138" s="78"/>
      <c r="AE138" s="78"/>
      <c r="AF138" s="78"/>
      <c r="AG138" s="78"/>
      <c r="AH138" s="78"/>
      <c r="AI138" s="78"/>
      <c r="AJ138" s="78"/>
      <c r="AK138" s="78"/>
      <c r="AL138" s="78"/>
      <c r="AM138" s="78"/>
      <c r="AN138" s="78"/>
      <c r="AO138" s="78"/>
      <c r="AP138" s="78"/>
      <c r="AQ138" s="78"/>
      <c r="AR138" s="78"/>
      <c r="AS138" s="78"/>
      <c r="AT138" s="91"/>
      <c r="AU138" s="78"/>
      <c r="AV138" s="78"/>
      <c r="AW138" s="78"/>
      <c r="AX138" s="78"/>
      <c r="AY138" s="78"/>
      <c r="AZ138" s="78"/>
      <c r="BA138" s="78"/>
      <c r="BB138" s="78"/>
      <c r="BC138" s="78"/>
      <c r="BD138" s="78"/>
      <c r="BE138" s="78"/>
      <c r="BF138" s="78"/>
      <c r="BG138" s="78"/>
      <c r="BH138" s="78"/>
      <c r="BI138" s="78"/>
      <c r="BJ138" s="78"/>
      <c r="BK138" s="78"/>
      <c r="BL138" s="78"/>
      <c r="BM138" s="78"/>
      <c r="BN138" s="78"/>
      <c r="BO138" s="78"/>
      <c r="BP138" s="78"/>
      <c r="BQ138" s="78"/>
      <c r="BR138" s="78"/>
      <c r="BS138" s="78"/>
      <c r="BT138" s="78"/>
      <c r="BU138" s="78"/>
      <c r="BV138" s="78"/>
      <c r="BW138" s="78"/>
      <c r="BX138" s="78"/>
      <c r="BY138" s="78"/>
      <c r="BZ138" s="78"/>
      <c r="CA138" s="78"/>
      <c r="CB138" s="78"/>
      <c r="CC138" s="78"/>
      <c r="CD138" s="78"/>
      <c r="CE138" s="78"/>
      <c r="CF138" s="78"/>
      <c r="CG138" s="78"/>
      <c r="CH138" s="78"/>
      <c r="CI138" s="78"/>
      <c r="CJ138" s="78"/>
      <c r="CK138" s="78"/>
      <c r="CL138" s="78"/>
      <c r="CM138" s="78"/>
      <c r="CN138" s="78"/>
      <c r="CO138" s="78"/>
      <c r="CP138" s="78"/>
      <c r="CQ138" s="78"/>
      <c r="CR138" s="78"/>
      <c r="CS138" s="78"/>
      <c r="CT138" s="78"/>
      <c r="CU138" s="78"/>
      <c r="CV138" s="78"/>
      <c r="CW138" s="78"/>
      <c r="CX138" s="78"/>
      <c r="CY138" s="78"/>
      <c r="CZ138" s="78"/>
      <c r="DA138" s="78"/>
      <c r="DB138" s="78"/>
      <c r="DC138" s="78"/>
      <c r="DD138" s="78"/>
      <c r="DE138" s="78"/>
      <c r="DF138" s="78"/>
      <c r="DG138" s="78"/>
      <c r="DH138" s="78"/>
      <c r="DI138" s="78"/>
      <c r="DJ138" s="78"/>
      <c r="DK138" s="78"/>
      <c r="DL138" s="78"/>
      <c r="DM138" s="78"/>
      <c r="DN138" s="78"/>
      <c r="DO138" s="78"/>
      <c r="DP138" s="78"/>
      <c r="DQ138" s="78"/>
      <c r="DR138" s="78"/>
      <c r="DS138" s="78"/>
      <c r="DT138" s="78"/>
      <c r="DU138" s="78"/>
      <c r="DV138" s="78"/>
      <c r="DW138" s="78"/>
      <c r="DX138" s="78"/>
      <c r="DY138" s="78"/>
      <c r="DZ138" s="78"/>
      <c r="EA138" s="78"/>
      <c r="EB138" s="78"/>
      <c r="EC138" s="78"/>
      <c r="ED138" s="78"/>
      <c r="EE138" s="78"/>
      <c r="EF138" s="78"/>
      <c r="EG138" s="78"/>
      <c r="EH138" s="78"/>
      <c r="EI138" s="91"/>
      <c r="EJ138" s="91"/>
      <c r="EK138" s="91"/>
      <c r="EL138" s="91"/>
      <c r="EM138" s="91"/>
      <c r="EN138" s="91"/>
      <c r="EO138" s="91"/>
      <c r="EP138" s="78"/>
      <c r="EQ138" s="78"/>
      <c r="ER138" s="78"/>
      <c r="ES138" s="78"/>
      <c r="ET138" s="78"/>
      <c r="EU138" s="78"/>
      <c r="EV138" s="78"/>
      <c r="EW138" s="78"/>
      <c r="EX138" s="78"/>
      <c r="EY138" s="78"/>
      <c r="EZ138" s="78"/>
      <c r="FA138" s="78"/>
      <c r="FB138" s="78"/>
      <c r="FC138" s="78"/>
      <c r="FD138" s="78"/>
      <c r="FE138" s="78"/>
      <c r="FF138" s="78"/>
      <c r="FG138" s="78"/>
      <c r="FH138" s="78"/>
      <c r="FI138" s="78"/>
      <c r="FJ138" s="78"/>
      <c r="FK138" s="78"/>
    </row>
    <row r="139" spans="1:167" hidden="1" outlineLevel="1">
      <c r="A139" s="29" t="str">
        <f t="shared" si="19"/>
        <v>cd_imv_out_certifdata_epc</v>
      </c>
      <c r="B139" s="67" t="s">
        <v>26</v>
      </c>
      <c r="C139" s="68" t="s">
        <v>54</v>
      </c>
      <c r="D139" s="64" t="s">
        <v>40</v>
      </c>
      <c r="E139" s="66" t="s">
        <v>507</v>
      </c>
      <c r="F139" s="64" t="s">
        <v>511</v>
      </c>
      <c r="G139" s="64" t="e">
        <f>INDEX(Auxiliar!$B$16:$B$24,MATCH(Plano_V1!H139,Auxiliar!$C$16:$C$24,0),1)</f>
        <v>#N/A</v>
      </c>
      <c r="H139" s="64" t="e">
        <f>VLOOKUP(A139,'Aux - pivots1'!$A:$B,2,0)</f>
        <v>#N/A</v>
      </c>
      <c r="I139" s="84">
        <f>SUMIFS(Table1[Estimação (horas)],Table1[Tabela],Plano_V1!E139,Table1[Campo],Plano_V1!F139)</f>
        <v>0</v>
      </c>
      <c r="J139" s="84">
        <f t="shared" si="20"/>
        <v>0</v>
      </c>
      <c r="K139" s="87" t="s">
        <v>124</v>
      </c>
      <c r="L139" s="90">
        <f t="shared" si="18"/>
        <v>0</v>
      </c>
      <c r="M139" s="78"/>
      <c r="N139" s="78"/>
      <c r="O139" s="78"/>
      <c r="P139" s="78"/>
      <c r="Q139" s="78"/>
      <c r="R139" s="78"/>
      <c r="S139" s="78"/>
      <c r="T139" s="78"/>
      <c r="U139" s="78"/>
      <c r="V139" s="78"/>
      <c r="W139" s="78"/>
      <c r="X139" s="78"/>
      <c r="Y139" s="78"/>
      <c r="Z139" s="78"/>
      <c r="AA139" s="78"/>
      <c r="AB139" s="78"/>
      <c r="AC139" s="78"/>
      <c r="AD139" s="78"/>
      <c r="AE139" s="78"/>
      <c r="AF139" s="78"/>
      <c r="AG139" s="78"/>
      <c r="AH139" s="78"/>
      <c r="AI139" s="78"/>
      <c r="AJ139" s="78"/>
      <c r="AK139" s="78"/>
      <c r="AL139" s="78"/>
      <c r="AM139" s="78"/>
      <c r="AN139" s="78"/>
      <c r="AO139" s="78"/>
      <c r="AP139" s="78"/>
      <c r="AQ139" s="78"/>
      <c r="AR139" s="78"/>
      <c r="AS139" s="78"/>
      <c r="AT139" s="91"/>
      <c r="AU139" s="78"/>
      <c r="AV139" s="78"/>
      <c r="AW139" s="78"/>
      <c r="AX139" s="78"/>
      <c r="AY139" s="78"/>
      <c r="AZ139" s="78"/>
      <c r="BA139" s="78"/>
      <c r="BB139" s="78"/>
      <c r="BC139" s="78"/>
      <c r="BD139" s="78"/>
      <c r="BE139" s="78"/>
      <c r="BF139" s="78"/>
      <c r="BG139" s="78"/>
      <c r="BH139" s="78"/>
      <c r="BI139" s="78"/>
      <c r="BJ139" s="78"/>
      <c r="BK139" s="78"/>
      <c r="BL139" s="78"/>
      <c r="BM139" s="78"/>
      <c r="BN139" s="78"/>
      <c r="BO139" s="78"/>
      <c r="BP139" s="78"/>
      <c r="BQ139" s="78"/>
      <c r="BR139" s="78"/>
      <c r="BS139" s="78"/>
      <c r="BT139" s="78"/>
      <c r="BU139" s="78"/>
      <c r="BV139" s="78"/>
      <c r="BW139" s="78"/>
      <c r="BX139" s="78"/>
      <c r="BY139" s="78"/>
      <c r="BZ139" s="78"/>
      <c r="CA139" s="78"/>
      <c r="CB139" s="78"/>
      <c r="CC139" s="78"/>
      <c r="CD139" s="78"/>
      <c r="CE139" s="78"/>
      <c r="CF139" s="78"/>
      <c r="CG139" s="78"/>
      <c r="CH139" s="78"/>
      <c r="CI139" s="78"/>
      <c r="CJ139" s="78"/>
      <c r="CK139" s="78"/>
      <c r="CL139" s="78"/>
      <c r="CM139" s="78"/>
      <c r="CN139" s="78"/>
      <c r="CO139" s="78"/>
      <c r="CP139" s="78"/>
      <c r="CQ139" s="78"/>
      <c r="CR139" s="78"/>
      <c r="CS139" s="78"/>
      <c r="CT139" s="78"/>
      <c r="CU139" s="78"/>
      <c r="CV139" s="78"/>
      <c r="CW139" s="78"/>
      <c r="CX139" s="78"/>
      <c r="CY139" s="78"/>
      <c r="CZ139" s="78"/>
      <c r="DA139" s="78"/>
      <c r="DB139" s="78"/>
      <c r="DC139" s="78"/>
      <c r="DD139" s="78"/>
      <c r="DE139" s="78"/>
      <c r="DF139" s="78"/>
      <c r="DG139" s="78"/>
      <c r="DH139" s="78"/>
      <c r="DI139" s="78"/>
      <c r="DJ139" s="78"/>
      <c r="DK139" s="78"/>
      <c r="DL139" s="78"/>
      <c r="DM139" s="78"/>
      <c r="DN139" s="78"/>
      <c r="DO139" s="78"/>
      <c r="DP139" s="78"/>
      <c r="DQ139" s="78"/>
      <c r="DR139" s="78"/>
      <c r="DS139" s="78"/>
      <c r="DT139" s="78"/>
      <c r="DU139" s="78"/>
      <c r="DV139" s="78"/>
      <c r="DW139" s="78"/>
      <c r="DX139" s="78"/>
      <c r="DY139" s="78"/>
      <c r="DZ139" s="78"/>
      <c r="EA139" s="78"/>
      <c r="EB139" s="78"/>
      <c r="EC139" s="78"/>
      <c r="ED139" s="78"/>
      <c r="EE139" s="78"/>
      <c r="EF139" s="78"/>
      <c r="EG139" s="78"/>
      <c r="EH139" s="78"/>
      <c r="EI139" s="91"/>
      <c r="EJ139" s="91"/>
      <c r="EK139" s="91"/>
      <c r="EL139" s="91"/>
      <c r="EM139" s="91"/>
      <c r="EN139" s="91"/>
      <c r="EO139" s="91"/>
      <c r="EP139" s="78"/>
      <c r="EQ139" s="78"/>
      <c r="ER139" s="78"/>
      <c r="ES139" s="78"/>
      <c r="ET139" s="78"/>
      <c r="EU139" s="78"/>
      <c r="EV139" s="78"/>
      <c r="EW139" s="78"/>
      <c r="EX139" s="78"/>
      <c r="EY139" s="78"/>
      <c r="EZ139" s="78"/>
      <c r="FA139" s="78"/>
      <c r="FB139" s="78"/>
      <c r="FC139" s="78"/>
      <c r="FD139" s="78"/>
      <c r="FE139" s="78"/>
      <c r="FF139" s="78"/>
      <c r="FG139" s="78"/>
      <c r="FH139" s="78"/>
      <c r="FI139" s="78"/>
      <c r="FJ139" s="78"/>
      <c r="FK139" s="78"/>
    </row>
    <row r="140" spans="1:167" hidden="1" outlineLevel="1">
      <c r="A140" s="29" t="str">
        <f t="shared" si="19"/>
        <v>cd_imv_out_certifdata_exprc_epc</v>
      </c>
      <c r="B140" s="67" t="s">
        <v>26</v>
      </c>
      <c r="C140" s="68" t="s">
        <v>54</v>
      </c>
      <c r="D140" s="64" t="s">
        <v>40</v>
      </c>
      <c r="E140" s="66" t="s">
        <v>507</v>
      </c>
      <c r="F140" s="64" t="s">
        <v>512</v>
      </c>
      <c r="G140" s="64" t="e">
        <f>INDEX(Auxiliar!$B$16:$B$24,MATCH(Plano_V1!H140,Auxiliar!$C$16:$C$24,0),1)</f>
        <v>#N/A</v>
      </c>
      <c r="H140" s="64" t="e">
        <f>VLOOKUP(A140,'Aux - pivots1'!$A:$B,2,0)</f>
        <v>#N/A</v>
      </c>
      <c r="I140" s="84">
        <f>SUMIFS(Table1[Estimação (horas)],Table1[Tabela],Plano_V1!E140,Table1[Campo],Plano_V1!F140)</f>
        <v>0</v>
      </c>
      <c r="J140" s="84">
        <f t="shared" si="20"/>
        <v>0</v>
      </c>
      <c r="K140" s="87" t="s">
        <v>124</v>
      </c>
      <c r="L140" s="90">
        <f t="shared" si="18"/>
        <v>0</v>
      </c>
      <c r="M140" s="78"/>
      <c r="N140" s="78"/>
      <c r="O140" s="78"/>
      <c r="P140" s="78"/>
      <c r="Q140" s="78"/>
      <c r="R140" s="78"/>
      <c r="S140" s="78"/>
      <c r="T140" s="78"/>
      <c r="U140" s="78"/>
      <c r="V140" s="78"/>
      <c r="W140" s="78"/>
      <c r="X140" s="78"/>
      <c r="Y140" s="78"/>
      <c r="Z140" s="78"/>
      <c r="AA140" s="78"/>
      <c r="AB140" s="78"/>
      <c r="AC140" s="78"/>
      <c r="AD140" s="78"/>
      <c r="AE140" s="78"/>
      <c r="AF140" s="78"/>
      <c r="AG140" s="78"/>
      <c r="AH140" s="78"/>
      <c r="AI140" s="78"/>
      <c r="AJ140" s="78"/>
      <c r="AK140" s="78"/>
      <c r="AL140" s="78"/>
      <c r="AM140" s="78"/>
      <c r="AN140" s="78"/>
      <c r="AO140" s="78"/>
      <c r="AP140" s="78"/>
      <c r="AQ140" s="78"/>
      <c r="AR140" s="78"/>
      <c r="AS140" s="78"/>
      <c r="AT140" s="91"/>
      <c r="AU140" s="78"/>
      <c r="AV140" s="78"/>
      <c r="AW140" s="78"/>
      <c r="AX140" s="78"/>
      <c r="AY140" s="78"/>
      <c r="AZ140" s="78"/>
      <c r="BA140" s="78"/>
      <c r="BB140" s="78"/>
      <c r="BC140" s="78"/>
      <c r="BD140" s="78"/>
      <c r="BE140" s="78"/>
      <c r="BF140" s="78"/>
      <c r="BG140" s="78"/>
      <c r="BH140" s="78"/>
      <c r="BI140" s="78"/>
      <c r="BJ140" s="78"/>
      <c r="BK140" s="78"/>
      <c r="BL140" s="78"/>
      <c r="BM140" s="78"/>
      <c r="BN140" s="78"/>
      <c r="BO140" s="78"/>
      <c r="BP140" s="78"/>
      <c r="BQ140" s="78"/>
      <c r="BR140" s="78"/>
      <c r="BS140" s="78"/>
      <c r="BT140" s="78"/>
      <c r="BU140" s="78"/>
      <c r="BV140" s="78"/>
      <c r="BW140" s="78"/>
      <c r="BX140" s="78"/>
      <c r="BY140" s="78"/>
      <c r="BZ140" s="78"/>
      <c r="CA140" s="78"/>
      <c r="CB140" s="78"/>
      <c r="CC140" s="78"/>
      <c r="CD140" s="78"/>
      <c r="CE140" s="78"/>
      <c r="CF140" s="78"/>
      <c r="CG140" s="78"/>
      <c r="CH140" s="78"/>
      <c r="CI140" s="78"/>
      <c r="CJ140" s="78"/>
      <c r="CK140" s="78"/>
      <c r="CL140" s="78"/>
      <c r="CM140" s="78"/>
      <c r="CN140" s="78"/>
      <c r="CO140" s="78"/>
      <c r="CP140" s="78"/>
      <c r="CQ140" s="78"/>
      <c r="CR140" s="78"/>
      <c r="CS140" s="78"/>
      <c r="CT140" s="78"/>
      <c r="CU140" s="78"/>
      <c r="CV140" s="78"/>
      <c r="CW140" s="78"/>
      <c r="CX140" s="78"/>
      <c r="CY140" s="78"/>
      <c r="CZ140" s="78"/>
      <c r="DA140" s="78"/>
      <c r="DB140" s="78"/>
      <c r="DC140" s="78"/>
      <c r="DD140" s="78"/>
      <c r="DE140" s="78"/>
      <c r="DF140" s="78"/>
      <c r="DG140" s="78"/>
      <c r="DH140" s="78"/>
      <c r="DI140" s="78"/>
      <c r="DJ140" s="78"/>
      <c r="DK140" s="78"/>
      <c r="DL140" s="78"/>
      <c r="DM140" s="78"/>
      <c r="DN140" s="78"/>
      <c r="DO140" s="78"/>
      <c r="DP140" s="78"/>
      <c r="DQ140" s="78"/>
      <c r="DR140" s="78"/>
      <c r="DS140" s="78"/>
      <c r="DT140" s="78"/>
      <c r="DU140" s="78"/>
      <c r="DV140" s="78"/>
      <c r="DW140" s="78"/>
      <c r="DX140" s="78"/>
      <c r="DY140" s="78"/>
      <c r="DZ140" s="78"/>
      <c r="EA140" s="78"/>
      <c r="EB140" s="78"/>
      <c r="EC140" s="78"/>
      <c r="ED140" s="78"/>
      <c r="EE140" s="78"/>
      <c r="EF140" s="78"/>
      <c r="EG140" s="78"/>
      <c r="EH140" s="78"/>
      <c r="EI140" s="91"/>
      <c r="EJ140" s="91"/>
      <c r="EK140" s="91"/>
      <c r="EL140" s="91"/>
      <c r="EM140" s="91"/>
      <c r="EN140" s="91"/>
      <c r="EO140" s="91"/>
      <c r="EP140" s="78"/>
      <c r="EQ140" s="78"/>
      <c r="ER140" s="78"/>
      <c r="ES140" s="78"/>
      <c r="ET140" s="78"/>
      <c r="EU140" s="78"/>
      <c r="EV140" s="78"/>
      <c r="EW140" s="78"/>
      <c r="EX140" s="78"/>
      <c r="EY140" s="78"/>
      <c r="EZ140" s="78"/>
      <c r="FA140" s="78"/>
      <c r="FB140" s="78"/>
      <c r="FC140" s="78"/>
      <c r="FD140" s="78"/>
      <c r="FE140" s="78"/>
      <c r="FF140" s="78"/>
      <c r="FG140" s="78"/>
      <c r="FH140" s="78"/>
      <c r="FI140" s="78"/>
      <c r="FJ140" s="78"/>
      <c r="FK140" s="78"/>
    </row>
    <row r="141" spans="1:167" hidden="1" outlineLevel="1">
      <c r="A141" s="29" t="str">
        <f t="shared" si="19"/>
        <v>cd_imv_out_certifepc</v>
      </c>
      <c r="B141" s="67" t="s">
        <v>26</v>
      </c>
      <c r="C141" s="68" t="s">
        <v>54</v>
      </c>
      <c r="D141" s="64" t="s">
        <v>40</v>
      </c>
      <c r="E141" s="66" t="s">
        <v>507</v>
      </c>
      <c r="F141" s="64" t="s">
        <v>198</v>
      </c>
      <c r="G141" s="64" t="e">
        <f>INDEX(Auxiliar!$B$16:$B$24,MATCH(Plano_V1!H141,Auxiliar!$C$16:$C$24,0),1)</f>
        <v>#N/A</v>
      </c>
      <c r="H141" s="64" t="e">
        <f>VLOOKUP(A141,'Aux - pivots1'!$A:$B,2,0)</f>
        <v>#N/A</v>
      </c>
      <c r="I141" s="84">
        <f>SUMIFS(Table1[Estimação (horas)],Table1[Tabela],Plano_V1!E141,Table1[Campo],Plano_V1!F141)</f>
        <v>0</v>
      </c>
      <c r="J141" s="84">
        <f t="shared" si="20"/>
        <v>0</v>
      </c>
      <c r="K141" s="87" t="s">
        <v>124</v>
      </c>
      <c r="L141" s="90">
        <f t="shared" si="18"/>
        <v>0</v>
      </c>
      <c r="M141" s="78"/>
      <c r="N141" s="78"/>
      <c r="O141" s="78"/>
      <c r="P141" s="78"/>
      <c r="Q141" s="78"/>
      <c r="R141" s="78"/>
      <c r="S141" s="78"/>
      <c r="T141" s="78"/>
      <c r="U141" s="78"/>
      <c r="V141" s="78"/>
      <c r="W141" s="78"/>
      <c r="X141" s="78"/>
      <c r="Y141" s="78"/>
      <c r="Z141" s="78"/>
      <c r="AA141" s="78"/>
      <c r="AB141" s="78"/>
      <c r="AC141" s="78"/>
      <c r="AD141" s="78"/>
      <c r="AE141" s="78"/>
      <c r="AF141" s="78"/>
      <c r="AG141" s="78"/>
      <c r="AH141" s="78"/>
      <c r="AI141" s="78"/>
      <c r="AJ141" s="78"/>
      <c r="AK141" s="78"/>
      <c r="AL141" s="78"/>
      <c r="AM141" s="78"/>
      <c r="AN141" s="78"/>
      <c r="AO141" s="78"/>
      <c r="AP141" s="78"/>
      <c r="AQ141" s="78"/>
      <c r="AR141" s="78"/>
      <c r="AS141" s="78"/>
      <c r="AT141" s="91"/>
      <c r="AU141" s="78"/>
      <c r="AV141" s="78"/>
      <c r="AW141" s="78"/>
      <c r="AX141" s="78"/>
      <c r="AY141" s="78"/>
      <c r="AZ141" s="78"/>
      <c r="BA141" s="78"/>
      <c r="BB141" s="78"/>
      <c r="BC141" s="78"/>
      <c r="BD141" s="78"/>
      <c r="BE141" s="78"/>
      <c r="BF141" s="78"/>
      <c r="BG141" s="78"/>
      <c r="BH141" s="78"/>
      <c r="BI141" s="78"/>
      <c r="BJ141" s="78"/>
      <c r="BK141" s="78"/>
      <c r="BL141" s="78"/>
      <c r="BM141" s="78"/>
      <c r="BN141" s="78"/>
      <c r="BO141" s="78"/>
      <c r="BP141" s="78"/>
      <c r="BQ141" s="78"/>
      <c r="BR141" s="78"/>
      <c r="BS141" s="78"/>
      <c r="BT141" s="78"/>
      <c r="BU141" s="78"/>
      <c r="BV141" s="78"/>
      <c r="BW141" s="78"/>
      <c r="BX141" s="78"/>
      <c r="BY141" s="78"/>
      <c r="BZ141" s="78"/>
      <c r="CA141" s="78"/>
      <c r="CB141" s="78"/>
      <c r="CC141" s="78"/>
      <c r="CD141" s="78"/>
      <c r="CE141" s="78"/>
      <c r="CF141" s="78"/>
      <c r="CG141" s="78"/>
      <c r="CH141" s="78"/>
      <c r="CI141" s="78"/>
      <c r="CJ141" s="78"/>
      <c r="CK141" s="78"/>
      <c r="CL141" s="78"/>
      <c r="CM141" s="78"/>
      <c r="CN141" s="78"/>
      <c r="CO141" s="78"/>
      <c r="CP141" s="78"/>
      <c r="CQ141" s="78"/>
      <c r="CR141" s="78"/>
      <c r="CS141" s="78"/>
      <c r="CT141" s="78"/>
      <c r="CU141" s="78"/>
      <c r="CV141" s="78"/>
      <c r="CW141" s="78"/>
      <c r="CX141" s="78"/>
      <c r="CY141" s="78"/>
      <c r="CZ141" s="78"/>
      <c r="DA141" s="78"/>
      <c r="DB141" s="78"/>
      <c r="DC141" s="78"/>
      <c r="DD141" s="78"/>
      <c r="DE141" s="78"/>
      <c r="DF141" s="78"/>
      <c r="DG141" s="78"/>
      <c r="DH141" s="78"/>
      <c r="DI141" s="78"/>
      <c r="DJ141" s="78"/>
      <c r="DK141" s="78"/>
      <c r="DL141" s="78"/>
      <c r="DM141" s="78"/>
      <c r="DN141" s="78"/>
      <c r="DO141" s="78"/>
      <c r="DP141" s="78"/>
      <c r="DQ141" s="78"/>
      <c r="DR141" s="78"/>
      <c r="DS141" s="78"/>
      <c r="DT141" s="78"/>
      <c r="DU141" s="78"/>
      <c r="DV141" s="78"/>
      <c r="DW141" s="78"/>
      <c r="DX141" s="78"/>
      <c r="DY141" s="78"/>
      <c r="DZ141" s="78"/>
      <c r="EA141" s="78"/>
      <c r="EB141" s="78"/>
      <c r="EC141" s="78"/>
      <c r="ED141" s="78"/>
      <c r="EE141" s="78"/>
      <c r="EF141" s="78"/>
      <c r="EG141" s="78"/>
      <c r="EH141" s="78"/>
      <c r="EI141" s="91"/>
      <c r="EJ141" s="91"/>
      <c r="EK141" s="91"/>
      <c r="EL141" s="91"/>
      <c r="EM141" s="91"/>
      <c r="EN141" s="91"/>
      <c r="EO141" s="91"/>
      <c r="EP141" s="78"/>
      <c r="EQ141" s="78"/>
      <c r="ER141" s="78"/>
      <c r="ES141" s="78"/>
      <c r="ET141" s="78"/>
      <c r="EU141" s="78"/>
      <c r="EV141" s="78"/>
      <c r="EW141" s="78"/>
      <c r="EX141" s="78"/>
      <c r="EY141" s="78"/>
      <c r="EZ141" s="78"/>
      <c r="FA141" s="78"/>
      <c r="FB141" s="78"/>
      <c r="FC141" s="78"/>
      <c r="FD141" s="78"/>
      <c r="FE141" s="78"/>
      <c r="FF141" s="78"/>
      <c r="FG141" s="78"/>
      <c r="FH141" s="78"/>
      <c r="FI141" s="78"/>
      <c r="FJ141" s="78"/>
      <c r="FK141" s="78"/>
    </row>
    <row r="142" spans="1:167" hidden="1" outlineLevel="1">
      <c r="A142" s="29" t="str">
        <f t="shared" si="19"/>
        <v>cd_imv_out_certifflg_efcc_enrg_cnsm_tp_s</v>
      </c>
      <c r="B142" s="67" t="s">
        <v>26</v>
      </c>
      <c r="C142" s="68" t="s">
        <v>54</v>
      </c>
      <c r="D142" s="64" t="s">
        <v>40</v>
      </c>
      <c r="E142" s="66" t="s">
        <v>507</v>
      </c>
      <c r="F142" s="64" t="s">
        <v>513</v>
      </c>
      <c r="G142" s="64" t="e">
        <f>INDEX(Auxiliar!$B$16:$B$24,MATCH(Plano_V1!H142,Auxiliar!$C$16:$C$24,0),1)</f>
        <v>#N/A</v>
      </c>
      <c r="H142" s="64" t="e">
        <f>VLOOKUP(A142,'Aux - pivots1'!$A:$B,2,0)</f>
        <v>#N/A</v>
      </c>
      <c r="I142" s="84">
        <f>SUMIFS(Table1[Estimação (horas)],Table1[Tabela],Plano_V1!E142,Table1[Campo],Plano_V1!F142)</f>
        <v>0</v>
      </c>
      <c r="J142" s="84">
        <f t="shared" si="20"/>
        <v>0</v>
      </c>
      <c r="K142" s="87" t="s">
        <v>124</v>
      </c>
      <c r="L142" s="90">
        <f t="shared" si="18"/>
        <v>0</v>
      </c>
      <c r="M142" s="78"/>
      <c r="N142" s="78"/>
      <c r="O142" s="78"/>
      <c r="P142" s="78"/>
      <c r="Q142" s="78"/>
      <c r="R142" s="78"/>
      <c r="S142" s="78"/>
      <c r="T142" s="78"/>
      <c r="U142" s="78"/>
      <c r="V142" s="78"/>
      <c r="W142" s="78"/>
      <c r="X142" s="78"/>
      <c r="Y142" s="78"/>
      <c r="Z142" s="78"/>
      <c r="AA142" s="78"/>
      <c r="AB142" s="78"/>
      <c r="AC142" s="78"/>
      <c r="AD142" s="78"/>
      <c r="AE142" s="78"/>
      <c r="AF142" s="78"/>
      <c r="AG142" s="78"/>
      <c r="AH142" s="78"/>
      <c r="AI142" s="78"/>
      <c r="AJ142" s="78"/>
      <c r="AK142" s="78"/>
      <c r="AL142" s="78"/>
      <c r="AM142" s="78"/>
      <c r="AN142" s="78"/>
      <c r="AO142" s="78"/>
      <c r="AP142" s="78"/>
      <c r="AQ142" s="78"/>
      <c r="AR142" s="78"/>
      <c r="AS142" s="78"/>
      <c r="AT142" s="91"/>
      <c r="AU142" s="78"/>
      <c r="AV142" s="78"/>
      <c r="AW142" s="78"/>
      <c r="AX142" s="78"/>
      <c r="AY142" s="78"/>
      <c r="AZ142" s="78"/>
      <c r="BA142" s="78"/>
      <c r="BB142" s="78"/>
      <c r="BC142" s="78"/>
      <c r="BD142" s="78"/>
      <c r="BE142" s="78"/>
      <c r="BF142" s="78"/>
      <c r="BG142" s="78"/>
      <c r="BH142" s="78"/>
      <c r="BI142" s="78"/>
      <c r="BJ142" s="78"/>
      <c r="BK142" s="78"/>
      <c r="BL142" s="78"/>
      <c r="BM142" s="78"/>
      <c r="BN142" s="78"/>
      <c r="BO142" s="78"/>
      <c r="BP142" s="78"/>
      <c r="BQ142" s="78"/>
      <c r="BR142" s="78"/>
      <c r="BS142" s="78"/>
      <c r="BT142" s="78"/>
      <c r="BU142" s="78"/>
      <c r="BV142" s="78"/>
      <c r="BW142" s="78"/>
      <c r="BX142" s="78"/>
      <c r="BY142" s="78"/>
      <c r="BZ142" s="78"/>
      <c r="CA142" s="78"/>
      <c r="CB142" s="78"/>
      <c r="CC142" s="78"/>
      <c r="CD142" s="78"/>
      <c r="CE142" s="78"/>
      <c r="CF142" s="78"/>
      <c r="CG142" s="78"/>
      <c r="CH142" s="78"/>
      <c r="CI142" s="78"/>
      <c r="CJ142" s="78"/>
      <c r="CK142" s="78"/>
      <c r="CL142" s="78"/>
      <c r="CM142" s="78"/>
      <c r="CN142" s="78"/>
      <c r="CO142" s="78"/>
      <c r="CP142" s="78"/>
      <c r="CQ142" s="78"/>
      <c r="CR142" s="78"/>
      <c r="CS142" s="78"/>
      <c r="CT142" s="78"/>
      <c r="CU142" s="78"/>
      <c r="CV142" s="78"/>
      <c r="CW142" s="78"/>
      <c r="CX142" s="78"/>
      <c r="CY142" s="78"/>
      <c r="CZ142" s="78"/>
      <c r="DA142" s="78"/>
      <c r="DB142" s="78"/>
      <c r="DC142" s="78"/>
      <c r="DD142" s="78"/>
      <c r="DE142" s="78"/>
      <c r="DF142" s="78"/>
      <c r="DG142" s="78"/>
      <c r="DH142" s="78"/>
      <c r="DI142" s="78"/>
      <c r="DJ142" s="78"/>
      <c r="DK142" s="78"/>
      <c r="DL142" s="78"/>
      <c r="DM142" s="78"/>
      <c r="DN142" s="78"/>
      <c r="DO142" s="78"/>
      <c r="DP142" s="78"/>
      <c r="DQ142" s="78"/>
      <c r="DR142" s="78"/>
      <c r="DS142" s="78"/>
      <c r="DT142" s="78"/>
      <c r="DU142" s="78"/>
      <c r="DV142" s="78"/>
      <c r="DW142" s="78"/>
      <c r="DX142" s="78"/>
      <c r="DY142" s="78"/>
      <c r="DZ142" s="78"/>
      <c r="EA142" s="78"/>
      <c r="EB142" s="78"/>
      <c r="EC142" s="78"/>
      <c r="ED142" s="78"/>
      <c r="EE142" s="78"/>
      <c r="EF142" s="78"/>
      <c r="EG142" s="78"/>
      <c r="EH142" s="78"/>
      <c r="EI142" s="91"/>
      <c r="EJ142" s="91"/>
      <c r="EK142" s="91"/>
      <c r="EL142" s="91"/>
      <c r="EM142" s="91"/>
      <c r="EN142" s="91"/>
      <c r="EO142" s="91"/>
      <c r="EP142" s="78"/>
      <c r="EQ142" s="78"/>
      <c r="ER142" s="78"/>
      <c r="ES142" s="78"/>
      <c r="ET142" s="78"/>
      <c r="EU142" s="78"/>
      <c r="EV142" s="78"/>
      <c r="EW142" s="78"/>
      <c r="EX142" s="78"/>
      <c r="EY142" s="78"/>
      <c r="EZ142" s="78"/>
      <c r="FA142" s="78"/>
      <c r="FB142" s="78"/>
      <c r="FC142" s="78"/>
      <c r="FD142" s="78"/>
      <c r="FE142" s="78"/>
      <c r="FF142" s="78"/>
      <c r="FG142" s="78"/>
      <c r="FH142" s="78"/>
      <c r="FI142" s="78"/>
      <c r="FJ142" s="78"/>
      <c r="FK142" s="78"/>
    </row>
    <row r="143" spans="1:167" hidden="1" outlineLevel="1">
      <c r="A143" s="29" t="str">
        <f t="shared" si="19"/>
        <v>cd_imv_out_certifflg_efcnc_enrg_cnsm_tp_t</v>
      </c>
      <c r="B143" s="67" t="s">
        <v>26</v>
      </c>
      <c r="C143" s="68" t="s">
        <v>54</v>
      </c>
      <c r="D143" s="64" t="s">
        <v>40</v>
      </c>
      <c r="E143" s="66" t="s">
        <v>507</v>
      </c>
      <c r="F143" s="64" t="s">
        <v>514</v>
      </c>
      <c r="G143" s="64" t="e">
        <f>INDEX(Auxiliar!$B$16:$B$24,MATCH(Plano_V1!H143,Auxiliar!$C$16:$C$24,0),1)</f>
        <v>#N/A</v>
      </c>
      <c r="H143" s="64" t="e">
        <f>VLOOKUP(A143,'Aux - pivots1'!$A:$B,2,0)</f>
        <v>#N/A</v>
      </c>
      <c r="I143" s="84">
        <f>SUMIFS(Table1[Estimação (horas)],Table1[Tabela],Plano_V1!E143,Table1[Campo],Plano_V1!F143)</f>
        <v>0</v>
      </c>
      <c r="J143" s="84">
        <f t="shared" si="20"/>
        <v>0</v>
      </c>
      <c r="K143" s="87" t="s">
        <v>124</v>
      </c>
      <c r="L143" s="90">
        <f t="shared" si="18"/>
        <v>0</v>
      </c>
      <c r="M143" s="78"/>
      <c r="N143" s="78"/>
      <c r="O143" s="78"/>
      <c r="P143" s="78"/>
      <c r="Q143" s="78"/>
      <c r="R143" s="78"/>
      <c r="S143" s="78"/>
      <c r="T143" s="78"/>
      <c r="U143" s="78"/>
      <c r="V143" s="78"/>
      <c r="W143" s="78"/>
      <c r="X143" s="78"/>
      <c r="Y143" s="78"/>
      <c r="Z143" s="78"/>
      <c r="AA143" s="78"/>
      <c r="AB143" s="78"/>
      <c r="AC143" s="78"/>
      <c r="AD143" s="78"/>
      <c r="AE143" s="78"/>
      <c r="AF143" s="78"/>
      <c r="AG143" s="78"/>
      <c r="AH143" s="78"/>
      <c r="AI143" s="78"/>
      <c r="AJ143" s="78"/>
      <c r="AK143" s="78"/>
      <c r="AL143" s="78"/>
      <c r="AM143" s="78"/>
      <c r="AN143" s="78"/>
      <c r="AO143" s="78"/>
      <c r="AP143" s="78"/>
      <c r="AQ143" s="78"/>
      <c r="AR143" s="78"/>
      <c r="AS143" s="78"/>
      <c r="AT143" s="91"/>
      <c r="AU143" s="78"/>
      <c r="AV143" s="78"/>
      <c r="AW143" s="78"/>
      <c r="AX143" s="78"/>
      <c r="AY143" s="78"/>
      <c r="AZ143" s="78"/>
      <c r="BA143" s="78"/>
      <c r="BB143" s="78"/>
      <c r="BC143" s="78"/>
      <c r="BD143" s="78"/>
      <c r="BE143" s="78"/>
      <c r="BF143" s="78"/>
      <c r="BG143" s="78"/>
      <c r="BH143" s="78"/>
      <c r="BI143" s="78"/>
      <c r="BJ143" s="78"/>
      <c r="BK143" s="78"/>
      <c r="BL143" s="78"/>
      <c r="BM143" s="78"/>
      <c r="BN143" s="78"/>
      <c r="BO143" s="78"/>
      <c r="BP143" s="78"/>
      <c r="BQ143" s="78"/>
      <c r="BR143" s="78"/>
      <c r="BS143" s="78"/>
      <c r="BT143" s="78"/>
      <c r="BU143" s="78"/>
      <c r="BV143" s="78"/>
      <c r="BW143" s="78"/>
      <c r="BX143" s="78"/>
      <c r="BY143" s="78"/>
      <c r="BZ143" s="78"/>
      <c r="CA143" s="78"/>
      <c r="CB143" s="78"/>
      <c r="CC143" s="78"/>
      <c r="CD143" s="78"/>
      <c r="CE143" s="78"/>
      <c r="CF143" s="78"/>
      <c r="CG143" s="78"/>
      <c r="CH143" s="78"/>
      <c r="CI143" s="78"/>
      <c r="CJ143" s="78"/>
      <c r="CK143" s="78"/>
      <c r="CL143" s="78"/>
      <c r="CM143" s="78"/>
      <c r="CN143" s="78"/>
      <c r="CO143" s="78"/>
      <c r="CP143" s="78"/>
      <c r="CQ143" s="78"/>
      <c r="CR143" s="78"/>
      <c r="CS143" s="78"/>
      <c r="CT143" s="78"/>
      <c r="CU143" s="78"/>
      <c r="CV143" s="78"/>
      <c r="CW143" s="78"/>
      <c r="CX143" s="78"/>
      <c r="CY143" s="78"/>
      <c r="CZ143" s="78"/>
      <c r="DA143" s="78"/>
      <c r="DB143" s="78"/>
      <c r="DC143" s="78"/>
      <c r="DD143" s="78"/>
      <c r="DE143" s="78"/>
      <c r="DF143" s="78"/>
      <c r="DG143" s="78"/>
      <c r="DH143" s="78"/>
      <c r="DI143" s="78"/>
      <c r="DJ143" s="78"/>
      <c r="DK143" s="78"/>
      <c r="DL143" s="78"/>
      <c r="DM143" s="78"/>
      <c r="DN143" s="78"/>
      <c r="DO143" s="78"/>
      <c r="DP143" s="78"/>
      <c r="DQ143" s="78"/>
      <c r="DR143" s="78"/>
      <c r="DS143" s="78"/>
      <c r="DT143" s="78"/>
      <c r="DU143" s="78"/>
      <c r="DV143" s="78"/>
      <c r="DW143" s="78"/>
      <c r="DX143" s="78"/>
      <c r="DY143" s="78"/>
      <c r="DZ143" s="78"/>
      <c r="EA143" s="78"/>
      <c r="EB143" s="78"/>
      <c r="EC143" s="78"/>
      <c r="ED143" s="78"/>
      <c r="EE143" s="78"/>
      <c r="EF143" s="78"/>
      <c r="EG143" s="78"/>
      <c r="EH143" s="78"/>
      <c r="EI143" s="91"/>
      <c r="EJ143" s="91"/>
      <c r="EK143" s="91"/>
      <c r="EL143" s="91"/>
      <c r="EM143" s="91"/>
      <c r="EN143" s="91"/>
      <c r="EO143" s="91"/>
      <c r="EP143" s="78"/>
      <c r="EQ143" s="78"/>
      <c r="ER143" s="78"/>
      <c r="ES143" s="78"/>
      <c r="ET143" s="78"/>
      <c r="EU143" s="78"/>
      <c r="EV143" s="78"/>
      <c r="EW143" s="78"/>
      <c r="EX143" s="78"/>
      <c r="EY143" s="78"/>
      <c r="EZ143" s="78"/>
      <c r="FA143" s="78"/>
      <c r="FB143" s="78"/>
      <c r="FC143" s="78"/>
      <c r="FD143" s="78"/>
      <c r="FE143" s="78"/>
      <c r="FF143" s="78"/>
      <c r="FG143" s="78"/>
      <c r="FH143" s="78"/>
      <c r="FI143" s="78"/>
      <c r="FJ143" s="78"/>
      <c r="FK143" s="78"/>
    </row>
    <row r="144" spans="1:167" hidden="1" outlineLevel="1">
      <c r="A144" s="29" t="str">
        <f t="shared" si="19"/>
        <v>cd_imv_out_certifflg_efcnc_enrgtc</v>
      </c>
      <c r="B144" s="67" t="s">
        <v>26</v>
      </c>
      <c r="C144" s="68" t="s">
        <v>54</v>
      </c>
      <c r="D144" s="64" t="s">
        <v>40</v>
      </c>
      <c r="E144" s="66" t="s">
        <v>507</v>
      </c>
      <c r="F144" s="64" t="s">
        <v>515</v>
      </c>
      <c r="G144" s="64" t="e">
        <f>INDEX(Auxiliar!$B$16:$B$24,MATCH(Plano_V1!H144,Auxiliar!$C$16:$C$24,0),1)</f>
        <v>#N/A</v>
      </c>
      <c r="H144" s="64" t="e">
        <f>VLOOKUP(A144,'Aux - pivots1'!$A:$B,2,0)</f>
        <v>#N/A</v>
      </c>
      <c r="I144" s="84">
        <f>SUMIFS(Table1[Estimação (horas)],Table1[Tabela],Plano_V1!E144,Table1[Campo],Plano_V1!F144)</f>
        <v>0</v>
      </c>
      <c r="J144" s="84">
        <f t="shared" si="20"/>
        <v>0</v>
      </c>
      <c r="K144" s="87" t="s">
        <v>124</v>
      </c>
      <c r="L144" s="90">
        <f t="shared" si="18"/>
        <v>0</v>
      </c>
      <c r="M144" s="78"/>
      <c r="N144" s="78"/>
      <c r="O144" s="78"/>
      <c r="P144" s="78"/>
      <c r="Q144" s="78"/>
      <c r="R144" s="78"/>
      <c r="S144" s="78"/>
      <c r="T144" s="78"/>
      <c r="U144" s="78"/>
      <c r="V144" s="78"/>
      <c r="W144" s="78"/>
      <c r="X144" s="78"/>
      <c r="Y144" s="78"/>
      <c r="Z144" s="78"/>
      <c r="AA144" s="78"/>
      <c r="AB144" s="78"/>
      <c r="AC144" s="78"/>
      <c r="AD144" s="78"/>
      <c r="AE144" s="78"/>
      <c r="AF144" s="78"/>
      <c r="AG144" s="78"/>
      <c r="AH144" s="78"/>
      <c r="AI144" s="78"/>
      <c r="AJ144" s="78"/>
      <c r="AK144" s="78"/>
      <c r="AL144" s="78"/>
      <c r="AM144" s="78"/>
      <c r="AN144" s="78"/>
      <c r="AO144" s="78"/>
      <c r="AP144" s="78"/>
      <c r="AQ144" s="78"/>
      <c r="AR144" s="78"/>
      <c r="AS144" s="78"/>
      <c r="AT144" s="91"/>
      <c r="AU144" s="78"/>
      <c r="AV144" s="78"/>
      <c r="AW144" s="78"/>
      <c r="AX144" s="78"/>
      <c r="AY144" s="78"/>
      <c r="AZ144" s="78"/>
      <c r="BA144" s="78"/>
      <c r="BB144" s="78"/>
      <c r="BC144" s="78"/>
      <c r="BD144" s="78"/>
      <c r="BE144" s="78"/>
      <c r="BF144" s="78"/>
      <c r="BG144" s="78"/>
      <c r="BH144" s="78"/>
      <c r="BI144" s="78"/>
      <c r="BJ144" s="78"/>
      <c r="BK144" s="78"/>
      <c r="BL144" s="78"/>
      <c r="BM144" s="78"/>
      <c r="BN144" s="78"/>
      <c r="BO144" s="78"/>
      <c r="BP144" s="78"/>
      <c r="BQ144" s="78"/>
      <c r="BR144" s="78"/>
      <c r="BS144" s="78"/>
      <c r="BT144" s="78"/>
      <c r="BU144" s="78"/>
      <c r="BV144" s="78"/>
      <c r="BW144" s="78"/>
      <c r="BX144" s="78"/>
      <c r="BY144" s="78"/>
      <c r="BZ144" s="78"/>
      <c r="CA144" s="78"/>
      <c r="CB144" s="78"/>
      <c r="CC144" s="78"/>
      <c r="CD144" s="78"/>
      <c r="CE144" s="78"/>
      <c r="CF144" s="78"/>
      <c r="CG144" s="78"/>
      <c r="CH144" s="78"/>
      <c r="CI144" s="78"/>
      <c r="CJ144" s="78"/>
      <c r="CK144" s="78"/>
      <c r="CL144" s="78"/>
      <c r="CM144" s="78"/>
      <c r="CN144" s="78"/>
      <c r="CO144" s="78"/>
      <c r="CP144" s="78"/>
      <c r="CQ144" s="78"/>
      <c r="CR144" s="78"/>
      <c r="CS144" s="78"/>
      <c r="CT144" s="78"/>
      <c r="CU144" s="78"/>
      <c r="CV144" s="78"/>
      <c r="CW144" s="78"/>
      <c r="CX144" s="78"/>
      <c r="CY144" s="78"/>
      <c r="CZ144" s="78"/>
      <c r="DA144" s="78"/>
      <c r="DB144" s="78"/>
      <c r="DC144" s="78"/>
      <c r="DD144" s="78"/>
      <c r="DE144" s="78"/>
      <c r="DF144" s="78"/>
      <c r="DG144" s="78"/>
      <c r="DH144" s="78"/>
      <c r="DI144" s="78"/>
      <c r="DJ144" s="78"/>
      <c r="DK144" s="78"/>
      <c r="DL144" s="78"/>
      <c r="DM144" s="78"/>
      <c r="DN144" s="78"/>
      <c r="DO144" s="78"/>
      <c r="DP144" s="78"/>
      <c r="DQ144" s="78"/>
      <c r="DR144" s="78"/>
      <c r="DS144" s="78"/>
      <c r="DT144" s="78"/>
      <c r="DU144" s="78"/>
      <c r="DV144" s="78"/>
      <c r="DW144" s="78"/>
      <c r="DX144" s="78"/>
      <c r="DY144" s="78"/>
      <c r="DZ144" s="78"/>
      <c r="EA144" s="78"/>
      <c r="EB144" s="78"/>
      <c r="EC144" s="78"/>
      <c r="ED144" s="78"/>
      <c r="EE144" s="78"/>
      <c r="EF144" s="78"/>
      <c r="EG144" s="78"/>
      <c r="EH144" s="78"/>
      <c r="EI144" s="91"/>
      <c r="EJ144" s="91"/>
      <c r="EK144" s="91"/>
      <c r="EL144" s="91"/>
      <c r="EM144" s="91"/>
      <c r="EN144" s="91"/>
      <c r="EO144" s="91"/>
      <c r="EP144" s="78"/>
      <c r="EQ144" s="78"/>
      <c r="ER144" s="78"/>
      <c r="ES144" s="78"/>
      <c r="ET144" s="78"/>
      <c r="EU144" s="78"/>
      <c r="EV144" s="78"/>
      <c r="EW144" s="78"/>
      <c r="EX144" s="78"/>
      <c r="EY144" s="78"/>
      <c r="EZ144" s="78"/>
      <c r="FA144" s="78"/>
      <c r="FB144" s="78"/>
      <c r="FC144" s="78"/>
      <c r="FD144" s="78"/>
      <c r="FE144" s="78"/>
      <c r="FF144" s="78"/>
      <c r="FG144" s="78"/>
      <c r="FH144" s="78"/>
      <c r="FI144" s="78"/>
      <c r="FJ144" s="78"/>
      <c r="FK144" s="78"/>
    </row>
    <row r="145" spans="1:167" hidden="1" outlineLevel="1">
      <c r="A145" s="29" t="str">
        <f t="shared" si="19"/>
        <v>cd_imv_out_certifflg_efcnc_enrgtc_rnvv</v>
      </c>
      <c r="B145" s="67" t="s">
        <v>26</v>
      </c>
      <c r="C145" s="68" t="s">
        <v>54</v>
      </c>
      <c r="D145" s="64" t="s">
        <v>40</v>
      </c>
      <c r="E145" s="66" t="s">
        <v>507</v>
      </c>
      <c r="F145" s="64" t="s">
        <v>516</v>
      </c>
      <c r="G145" s="64" t="e">
        <f>INDEX(Auxiliar!$B$16:$B$24,MATCH(Plano_V1!H145,Auxiliar!$C$16:$C$24,0),1)</f>
        <v>#N/A</v>
      </c>
      <c r="H145" s="64" t="e">
        <f>VLOOKUP(A145,'Aux - pivots1'!$A:$B,2,0)</f>
        <v>#N/A</v>
      </c>
      <c r="I145" s="84">
        <f>SUMIFS(Table1[Estimação (horas)],Table1[Tabela],Plano_V1!E145,Table1[Campo],Plano_V1!F145)</f>
        <v>0</v>
      </c>
      <c r="J145" s="84">
        <f t="shared" si="20"/>
        <v>0</v>
      </c>
      <c r="K145" s="87" t="s">
        <v>124</v>
      </c>
      <c r="L145" s="90">
        <f t="shared" si="18"/>
        <v>0</v>
      </c>
      <c r="M145" s="78"/>
      <c r="N145" s="78"/>
      <c r="O145" s="78"/>
      <c r="P145" s="78"/>
      <c r="Q145" s="78"/>
      <c r="R145" s="78"/>
      <c r="S145" s="78"/>
      <c r="T145" s="78"/>
      <c r="U145" s="78"/>
      <c r="V145" s="78"/>
      <c r="W145" s="78"/>
      <c r="X145" s="78"/>
      <c r="Y145" s="78"/>
      <c r="Z145" s="78"/>
      <c r="AA145" s="78"/>
      <c r="AB145" s="78"/>
      <c r="AC145" s="78"/>
      <c r="AD145" s="78"/>
      <c r="AE145" s="78"/>
      <c r="AF145" s="78"/>
      <c r="AG145" s="78"/>
      <c r="AH145" s="78"/>
      <c r="AI145" s="78"/>
      <c r="AJ145" s="78"/>
      <c r="AK145" s="78"/>
      <c r="AL145" s="78"/>
      <c r="AM145" s="78"/>
      <c r="AN145" s="78"/>
      <c r="AO145" s="78"/>
      <c r="AP145" s="78"/>
      <c r="AQ145" s="78"/>
      <c r="AR145" s="78"/>
      <c r="AS145" s="78"/>
      <c r="AT145" s="91"/>
      <c r="AU145" s="78"/>
      <c r="AV145" s="78"/>
      <c r="AW145" s="78"/>
      <c r="AX145" s="78"/>
      <c r="AY145" s="78"/>
      <c r="AZ145" s="78"/>
      <c r="BA145" s="78"/>
      <c r="BB145" s="78"/>
      <c r="BC145" s="78"/>
      <c r="BD145" s="78"/>
      <c r="BE145" s="78"/>
      <c r="BF145" s="78"/>
      <c r="BG145" s="78"/>
      <c r="BH145" s="78"/>
      <c r="BI145" s="78"/>
      <c r="BJ145" s="78"/>
      <c r="BK145" s="78"/>
      <c r="BL145" s="78"/>
      <c r="BM145" s="78"/>
      <c r="BN145" s="78"/>
      <c r="BO145" s="78"/>
      <c r="BP145" s="78"/>
      <c r="BQ145" s="78"/>
      <c r="BR145" s="78"/>
      <c r="BS145" s="78"/>
      <c r="BT145" s="78"/>
      <c r="BU145" s="78"/>
      <c r="BV145" s="78"/>
      <c r="BW145" s="78"/>
      <c r="BX145" s="78"/>
      <c r="BY145" s="78"/>
      <c r="BZ145" s="78"/>
      <c r="CA145" s="78"/>
      <c r="CB145" s="78"/>
      <c r="CC145" s="78"/>
      <c r="CD145" s="78"/>
      <c r="CE145" s="78"/>
      <c r="CF145" s="78"/>
      <c r="CG145" s="78"/>
      <c r="CH145" s="78"/>
      <c r="CI145" s="78"/>
      <c r="CJ145" s="78"/>
      <c r="CK145" s="78"/>
      <c r="CL145" s="78"/>
      <c r="CM145" s="78"/>
      <c r="CN145" s="78"/>
      <c r="CO145" s="78"/>
      <c r="CP145" s="78"/>
      <c r="CQ145" s="78"/>
      <c r="CR145" s="78"/>
      <c r="CS145" s="78"/>
      <c r="CT145" s="78"/>
      <c r="CU145" s="78"/>
      <c r="CV145" s="78"/>
      <c r="CW145" s="78"/>
      <c r="CX145" s="78"/>
      <c r="CY145" s="78"/>
      <c r="CZ145" s="78"/>
      <c r="DA145" s="78"/>
      <c r="DB145" s="78"/>
      <c r="DC145" s="78"/>
      <c r="DD145" s="78"/>
      <c r="DE145" s="78"/>
      <c r="DF145" s="78"/>
      <c r="DG145" s="78"/>
      <c r="DH145" s="78"/>
      <c r="DI145" s="78"/>
      <c r="DJ145" s="78"/>
      <c r="DK145" s="78"/>
      <c r="DL145" s="78"/>
      <c r="DM145" s="78"/>
      <c r="DN145" s="78"/>
      <c r="DO145" s="78"/>
      <c r="DP145" s="78"/>
      <c r="DQ145" s="78"/>
      <c r="DR145" s="78"/>
      <c r="DS145" s="78"/>
      <c r="DT145" s="78"/>
      <c r="DU145" s="78"/>
      <c r="DV145" s="78"/>
      <c r="DW145" s="78"/>
      <c r="DX145" s="78"/>
      <c r="DY145" s="78"/>
      <c r="DZ145" s="78"/>
      <c r="EA145" s="78"/>
      <c r="EB145" s="78"/>
      <c r="EC145" s="78"/>
      <c r="ED145" s="78"/>
      <c r="EE145" s="78"/>
      <c r="EF145" s="78"/>
      <c r="EG145" s="78"/>
      <c r="EH145" s="78"/>
      <c r="EI145" s="91"/>
      <c r="EJ145" s="91"/>
      <c r="EK145" s="91"/>
      <c r="EL145" s="91"/>
      <c r="EM145" s="91"/>
      <c r="EN145" s="91"/>
      <c r="EO145" s="91"/>
      <c r="EP145" s="78"/>
      <c r="EQ145" s="78"/>
      <c r="ER145" s="78"/>
      <c r="ES145" s="78"/>
      <c r="ET145" s="78"/>
      <c r="EU145" s="78"/>
      <c r="EV145" s="78"/>
      <c r="EW145" s="78"/>
      <c r="EX145" s="78"/>
      <c r="EY145" s="78"/>
      <c r="EZ145" s="78"/>
      <c r="FA145" s="78"/>
      <c r="FB145" s="78"/>
      <c r="FC145" s="78"/>
      <c r="FD145" s="78"/>
      <c r="FE145" s="78"/>
      <c r="FF145" s="78"/>
      <c r="FG145" s="78"/>
      <c r="FH145" s="78"/>
      <c r="FI145" s="78"/>
      <c r="FJ145" s="78"/>
      <c r="FK145" s="78"/>
    </row>
    <row r="146" spans="1:167" hidden="1" outlineLevel="1">
      <c r="A146" s="29" t="str">
        <f t="shared" si="19"/>
        <v>cd_imv_out_certifflg_nzeb</v>
      </c>
      <c r="B146" s="67" t="s">
        <v>26</v>
      </c>
      <c r="C146" s="68" t="s">
        <v>54</v>
      </c>
      <c r="D146" s="64" t="s">
        <v>40</v>
      </c>
      <c r="E146" s="66" t="s">
        <v>507</v>
      </c>
      <c r="F146" s="64" t="s">
        <v>517</v>
      </c>
      <c r="G146" s="64" t="e">
        <f>INDEX(Auxiliar!$B$16:$B$24,MATCH(Plano_V1!H146,Auxiliar!$C$16:$C$24,0),1)</f>
        <v>#N/A</v>
      </c>
      <c r="H146" s="64" t="e">
        <f>VLOOKUP(A146,'Aux - pivots1'!$A:$B,2,0)</f>
        <v>#N/A</v>
      </c>
      <c r="I146" s="84">
        <f>SUMIFS(Table1[Estimação (horas)],Table1[Tabela],Plano_V1!E146,Table1[Campo],Plano_V1!F146)</f>
        <v>0</v>
      </c>
      <c r="J146" s="84">
        <f t="shared" si="20"/>
        <v>0</v>
      </c>
      <c r="K146" s="87" t="s">
        <v>124</v>
      </c>
      <c r="L146" s="90">
        <f t="shared" si="18"/>
        <v>0</v>
      </c>
      <c r="M146" s="78"/>
      <c r="N146" s="78"/>
      <c r="O146" s="78"/>
      <c r="P146" s="78"/>
      <c r="Q146" s="78"/>
      <c r="R146" s="78"/>
      <c r="S146" s="78"/>
      <c r="T146" s="78"/>
      <c r="U146" s="78"/>
      <c r="V146" s="78"/>
      <c r="W146" s="78"/>
      <c r="X146" s="78"/>
      <c r="Y146" s="78"/>
      <c r="Z146" s="78"/>
      <c r="AA146" s="78"/>
      <c r="AB146" s="78"/>
      <c r="AC146" s="78"/>
      <c r="AD146" s="78"/>
      <c r="AE146" s="78"/>
      <c r="AF146" s="78"/>
      <c r="AG146" s="78"/>
      <c r="AH146" s="78"/>
      <c r="AI146" s="78"/>
      <c r="AJ146" s="78"/>
      <c r="AK146" s="78"/>
      <c r="AL146" s="78"/>
      <c r="AM146" s="78"/>
      <c r="AN146" s="78"/>
      <c r="AO146" s="78"/>
      <c r="AP146" s="78"/>
      <c r="AQ146" s="78"/>
      <c r="AR146" s="78"/>
      <c r="AS146" s="78"/>
      <c r="AT146" s="91"/>
      <c r="AU146" s="78"/>
      <c r="AV146" s="78"/>
      <c r="AW146" s="78"/>
      <c r="AX146" s="78"/>
      <c r="AY146" s="78"/>
      <c r="AZ146" s="78"/>
      <c r="BA146" s="78"/>
      <c r="BB146" s="78"/>
      <c r="BC146" s="78"/>
      <c r="BD146" s="78"/>
      <c r="BE146" s="78"/>
      <c r="BF146" s="78"/>
      <c r="BG146" s="78"/>
      <c r="BH146" s="78"/>
      <c r="BI146" s="78"/>
      <c r="BJ146" s="78"/>
      <c r="BK146" s="78"/>
      <c r="BL146" s="78"/>
      <c r="BM146" s="78"/>
      <c r="BN146" s="78"/>
      <c r="BO146" s="78"/>
      <c r="BP146" s="78"/>
      <c r="BQ146" s="78"/>
      <c r="BR146" s="78"/>
      <c r="BS146" s="78"/>
      <c r="BT146" s="78"/>
      <c r="BU146" s="78"/>
      <c r="BV146" s="78"/>
      <c r="BW146" s="78"/>
      <c r="BX146" s="78"/>
      <c r="BY146" s="78"/>
      <c r="BZ146" s="78"/>
      <c r="CA146" s="78"/>
      <c r="CB146" s="78"/>
      <c r="CC146" s="78"/>
      <c r="CD146" s="78"/>
      <c r="CE146" s="78"/>
      <c r="CF146" s="78"/>
      <c r="CG146" s="78"/>
      <c r="CH146" s="78"/>
      <c r="CI146" s="78"/>
      <c r="CJ146" s="78"/>
      <c r="CK146" s="78"/>
      <c r="CL146" s="78"/>
      <c r="CM146" s="78"/>
      <c r="CN146" s="78"/>
      <c r="CO146" s="78"/>
      <c r="CP146" s="78"/>
      <c r="CQ146" s="78"/>
      <c r="CR146" s="78"/>
      <c r="CS146" s="78"/>
      <c r="CT146" s="78"/>
      <c r="CU146" s="78"/>
      <c r="CV146" s="78"/>
      <c r="CW146" s="78"/>
      <c r="CX146" s="78"/>
      <c r="CY146" s="78"/>
      <c r="CZ146" s="78"/>
      <c r="DA146" s="78"/>
      <c r="DB146" s="78"/>
      <c r="DC146" s="78"/>
      <c r="DD146" s="78"/>
      <c r="DE146" s="78"/>
      <c r="DF146" s="78"/>
      <c r="DG146" s="78"/>
      <c r="DH146" s="78"/>
      <c r="DI146" s="78"/>
      <c r="DJ146" s="78"/>
      <c r="DK146" s="78"/>
      <c r="DL146" s="78"/>
      <c r="DM146" s="78"/>
      <c r="DN146" s="78"/>
      <c r="DO146" s="78"/>
      <c r="DP146" s="78"/>
      <c r="DQ146" s="78"/>
      <c r="DR146" s="78"/>
      <c r="DS146" s="78"/>
      <c r="DT146" s="78"/>
      <c r="DU146" s="78"/>
      <c r="DV146" s="78"/>
      <c r="DW146" s="78"/>
      <c r="DX146" s="78"/>
      <c r="DY146" s="78"/>
      <c r="DZ146" s="78"/>
      <c r="EA146" s="78"/>
      <c r="EB146" s="78"/>
      <c r="EC146" s="78"/>
      <c r="ED146" s="78"/>
      <c r="EE146" s="78"/>
      <c r="EF146" s="78"/>
      <c r="EG146" s="78"/>
      <c r="EH146" s="78"/>
      <c r="EI146" s="91"/>
      <c r="EJ146" s="91"/>
      <c r="EK146" s="91"/>
      <c r="EL146" s="91"/>
      <c r="EM146" s="91"/>
      <c r="EN146" s="91"/>
      <c r="EO146" s="91"/>
      <c r="EP146" s="78"/>
      <c r="EQ146" s="78"/>
      <c r="ER146" s="78"/>
      <c r="ES146" s="78"/>
      <c r="ET146" s="78"/>
      <c r="EU146" s="78"/>
      <c r="EV146" s="78"/>
      <c r="EW146" s="78"/>
      <c r="EX146" s="78"/>
      <c r="EY146" s="78"/>
      <c r="EZ146" s="78"/>
      <c r="FA146" s="78"/>
      <c r="FB146" s="78"/>
      <c r="FC146" s="78"/>
      <c r="FD146" s="78"/>
      <c r="FE146" s="78"/>
      <c r="FF146" s="78"/>
      <c r="FG146" s="78"/>
      <c r="FH146" s="78"/>
      <c r="FI146" s="78"/>
      <c r="FJ146" s="78"/>
      <c r="FK146" s="78"/>
    </row>
    <row r="147" spans="1:167" hidden="1" outlineLevel="1">
      <c r="A147" s="29" t="str">
        <f t="shared" si="19"/>
        <v>cd_imv_out_certifmetodo_info</v>
      </c>
      <c r="B147" s="67" t="s">
        <v>26</v>
      </c>
      <c r="C147" s="68" t="s">
        <v>54</v>
      </c>
      <c r="D147" s="64" t="s">
        <v>40</v>
      </c>
      <c r="E147" s="66" t="s">
        <v>507</v>
      </c>
      <c r="F147" s="64" t="s">
        <v>453</v>
      </c>
      <c r="G147" s="64" t="e">
        <f>INDEX(Auxiliar!$B$16:$B$24,MATCH(Plano_V1!H147,Auxiliar!$C$16:$C$24,0),1)</f>
        <v>#N/A</v>
      </c>
      <c r="H147" s="64" t="e">
        <f>VLOOKUP(A147,'Aux - pivots1'!$A:$B,2,0)</f>
        <v>#N/A</v>
      </c>
      <c r="I147" s="84">
        <f>SUMIFS(Table1[Estimação (horas)],Table1[Tabela],Plano_V1!E147,Table1[Campo],Plano_V1!F147)</f>
        <v>0</v>
      </c>
      <c r="J147" s="84">
        <f t="shared" si="20"/>
        <v>0</v>
      </c>
      <c r="K147" s="87" t="s">
        <v>124</v>
      </c>
      <c r="L147" s="90">
        <f t="shared" si="18"/>
        <v>0</v>
      </c>
      <c r="M147" s="78"/>
      <c r="N147" s="78"/>
      <c r="O147" s="78"/>
      <c r="P147" s="78"/>
      <c r="Q147" s="78"/>
      <c r="R147" s="78"/>
      <c r="S147" s="78"/>
      <c r="T147" s="78"/>
      <c r="U147" s="78"/>
      <c r="V147" s="78"/>
      <c r="W147" s="78"/>
      <c r="X147" s="78"/>
      <c r="Y147" s="78"/>
      <c r="Z147" s="78"/>
      <c r="AA147" s="78"/>
      <c r="AB147" s="78"/>
      <c r="AC147" s="78"/>
      <c r="AD147" s="78"/>
      <c r="AE147" s="78"/>
      <c r="AF147" s="78"/>
      <c r="AG147" s="78"/>
      <c r="AH147" s="78"/>
      <c r="AI147" s="78"/>
      <c r="AJ147" s="78"/>
      <c r="AK147" s="78"/>
      <c r="AL147" s="78"/>
      <c r="AM147" s="78"/>
      <c r="AN147" s="78"/>
      <c r="AO147" s="78"/>
      <c r="AP147" s="78"/>
      <c r="AQ147" s="78"/>
      <c r="AR147" s="78"/>
      <c r="AS147" s="78"/>
      <c r="AT147" s="91"/>
      <c r="AU147" s="78"/>
      <c r="AV147" s="78"/>
      <c r="AW147" s="78"/>
      <c r="AX147" s="78"/>
      <c r="AY147" s="78"/>
      <c r="AZ147" s="78"/>
      <c r="BA147" s="78"/>
      <c r="BB147" s="78"/>
      <c r="BC147" s="78"/>
      <c r="BD147" s="78"/>
      <c r="BE147" s="78"/>
      <c r="BF147" s="78"/>
      <c r="BG147" s="78"/>
      <c r="BH147" s="78"/>
      <c r="BI147" s="78"/>
      <c r="BJ147" s="78"/>
      <c r="BK147" s="78"/>
      <c r="BL147" s="78"/>
      <c r="BM147" s="78"/>
      <c r="BN147" s="78"/>
      <c r="BO147" s="78"/>
      <c r="BP147" s="78"/>
      <c r="BQ147" s="78"/>
      <c r="BR147" s="78"/>
      <c r="BS147" s="78"/>
      <c r="BT147" s="78"/>
      <c r="BU147" s="78"/>
      <c r="BV147" s="78"/>
      <c r="BW147" s="78"/>
      <c r="BX147" s="78"/>
      <c r="BY147" s="78"/>
      <c r="BZ147" s="78"/>
      <c r="CA147" s="78"/>
      <c r="CB147" s="78"/>
      <c r="CC147" s="78"/>
      <c r="CD147" s="78"/>
      <c r="CE147" s="78"/>
      <c r="CF147" s="78"/>
      <c r="CG147" s="78"/>
      <c r="CH147" s="78"/>
      <c r="CI147" s="78"/>
      <c r="CJ147" s="78"/>
      <c r="CK147" s="78"/>
      <c r="CL147" s="78"/>
      <c r="CM147" s="78"/>
      <c r="CN147" s="78"/>
      <c r="CO147" s="78"/>
      <c r="CP147" s="78"/>
      <c r="CQ147" s="78"/>
      <c r="CR147" s="78"/>
      <c r="CS147" s="78"/>
      <c r="CT147" s="78"/>
      <c r="CU147" s="78"/>
      <c r="CV147" s="78"/>
      <c r="CW147" s="78"/>
      <c r="CX147" s="78"/>
      <c r="CY147" s="78"/>
      <c r="CZ147" s="78"/>
      <c r="DA147" s="78"/>
      <c r="DB147" s="78"/>
      <c r="DC147" s="78"/>
      <c r="DD147" s="78"/>
      <c r="DE147" s="78"/>
      <c r="DF147" s="78"/>
      <c r="DG147" s="78"/>
      <c r="DH147" s="78"/>
      <c r="DI147" s="78"/>
      <c r="DJ147" s="78"/>
      <c r="DK147" s="78"/>
      <c r="DL147" s="78"/>
      <c r="DM147" s="78"/>
      <c r="DN147" s="78"/>
      <c r="DO147" s="78"/>
      <c r="DP147" s="78"/>
      <c r="DQ147" s="78"/>
      <c r="DR147" s="78"/>
      <c r="DS147" s="78"/>
      <c r="DT147" s="78"/>
      <c r="DU147" s="78"/>
      <c r="DV147" s="78"/>
      <c r="DW147" s="78"/>
      <c r="DX147" s="78"/>
      <c r="DY147" s="78"/>
      <c r="DZ147" s="78"/>
      <c r="EA147" s="78"/>
      <c r="EB147" s="78"/>
      <c r="EC147" s="78"/>
      <c r="ED147" s="78"/>
      <c r="EE147" s="78"/>
      <c r="EF147" s="78"/>
      <c r="EG147" s="78"/>
      <c r="EH147" s="78"/>
      <c r="EI147" s="91"/>
      <c r="EJ147" s="91"/>
      <c r="EK147" s="91"/>
      <c r="EL147" s="91"/>
      <c r="EM147" s="91"/>
      <c r="EN147" s="91"/>
      <c r="EO147" s="91"/>
      <c r="EP147" s="78"/>
      <c r="EQ147" s="78"/>
      <c r="ER147" s="78"/>
      <c r="ES147" s="78"/>
      <c r="ET147" s="78"/>
      <c r="EU147" s="78"/>
      <c r="EV147" s="78"/>
      <c r="EW147" s="78"/>
      <c r="EX147" s="78"/>
      <c r="EY147" s="78"/>
      <c r="EZ147" s="78"/>
      <c r="FA147" s="78"/>
      <c r="FB147" s="78"/>
      <c r="FC147" s="78"/>
      <c r="FD147" s="78"/>
      <c r="FE147" s="78"/>
      <c r="FF147" s="78"/>
      <c r="FG147" s="78"/>
      <c r="FH147" s="78"/>
      <c r="FI147" s="78"/>
      <c r="FJ147" s="78"/>
      <c r="FK147" s="78"/>
    </row>
    <row r="148" spans="1:167" hidden="1" outlineLevel="1">
      <c r="A148" s="29" t="str">
        <f t="shared" si="19"/>
        <v>cd_imv_out_certifnvl_efcc_enrg</v>
      </c>
      <c r="B148" s="67" t="s">
        <v>26</v>
      </c>
      <c r="C148" s="68" t="s">
        <v>54</v>
      </c>
      <c r="D148" s="64" t="s">
        <v>40</v>
      </c>
      <c r="E148" s="66" t="s">
        <v>507</v>
      </c>
      <c r="F148" s="64" t="s">
        <v>518</v>
      </c>
      <c r="G148" s="64" t="e">
        <f>INDEX(Auxiliar!$B$16:$B$24,MATCH(Plano_V1!H148,Auxiliar!$C$16:$C$24,0),1)</f>
        <v>#N/A</v>
      </c>
      <c r="H148" s="64" t="e">
        <f>VLOOKUP(A148,'Aux - pivots1'!$A:$B,2,0)</f>
        <v>#N/A</v>
      </c>
      <c r="I148" s="84">
        <f>SUMIFS(Table1[Estimação (horas)],Table1[Tabela],Plano_V1!E148,Table1[Campo],Plano_V1!F148)</f>
        <v>0</v>
      </c>
      <c r="J148" s="84">
        <f t="shared" si="20"/>
        <v>0</v>
      </c>
      <c r="K148" s="87" t="s">
        <v>124</v>
      </c>
      <c r="L148" s="90">
        <f t="shared" si="18"/>
        <v>0</v>
      </c>
      <c r="M148" s="78"/>
      <c r="N148" s="78"/>
      <c r="O148" s="78"/>
      <c r="P148" s="78"/>
      <c r="Q148" s="78"/>
      <c r="R148" s="78"/>
      <c r="S148" s="78"/>
      <c r="T148" s="78"/>
      <c r="U148" s="78"/>
      <c r="V148" s="78"/>
      <c r="W148" s="78"/>
      <c r="X148" s="78"/>
      <c r="Y148" s="78"/>
      <c r="Z148" s="78"/>
      <c r="AA148" s="78"/>
      <c r="AB148" s="78"/>
      <c r="AC148" s="78"/>
      <c r="AD148" s="78"/>
      <c r="AE148" s="78"/>
      <c r="AF148" s="78"/>
      <c r="AG148" s="78"/>
      <c r="AH148" s="78"/>
      <c r="AI148" s="78"/>
      <c r="AJ148" s="78"/>
      <c r="AK148" s="78"/>
      <c r="AL148" s="78"/>
      <c r="AM148" s="78"/>
      <c r="AN148" s="78"/>
      <c r="AO148" s="78"/>
      <c r="AP148" s="78"/>
      <c r="AQ148" s="78"/>
      <c r="AR148" s="78"/>
      <c r="AS148" s="78"/>
      <c r="AT148" s="91"/>
      <c r="AU148" s="78"/>
      <c r="AV148" s="78"/>
      <c r="AW148" s="78"/>
      <c r="AX148" s="78"/>
      <c r="AY148" s="78"/>
      <c r="AZ148" s="78"/>
      <c r="BA148" s="78"/>
      <c r="BB148" s="78"/>
      <c r="BC148" s="78"/>
      <c r="BD148" s="78"/>
      <c r="BE148" s="78"/>
      <c r="BF148" s="78"/>
      <c r="BG148" s="78"/>
      <c r="BH148" s="78"/>
      <c r="BI148" s="78"/>
      <c r="BJ148" s="78"/>
      <c r="BK148" s="78"/>
      <c r="BL148" s="78"/>
      <c r="BM148" s="78"/>
      <c r="BN148" s="78"/>
      <c r="BO148" s="78"/>
      <c r="BP148" s="78"/>
      <c r="BQ148" s="78"/>
      <c r="BR148" s="78"/>
      <c r="BS148" s="78"/>
      <c r="BT148" s="78"/>
      <c r="BU148" s="78"/>
      <c r="BV148" s="78"/>
      <c r="BW148" s="78"/>
      <c r="BX148" s="78"/>
      <c r="BY148" s="78"/>
      <c r="BZ148" s="78"/>
      <c r="CA148" s="78"/>
      <c r="CB148" s="78"/>
      <c r="CC148" s="78"/>
      <c r="CD148" s="78"/>
      <c r="CE148" s="78"/>
      <c r="CF148" s="78"/>
      <c r="CG148" s="78"/>
      <c r="CH148" s="78"/>
      <c r="CI148" s="78"/>
      <c r="CJ148" s="78"/>
      <c r="CK148" s="78"/>
      <c r="CL148" s="78"/>
      <c r="CM148" s="78"/>
      <c r="CN148" s="78"/>
      <c r="CO148" s="78"/>
      <c r="CP148" s="78"/>
      <c r="CQ148" s="78"/>
      <c r="CR148" s="78"/>
      <c r="CS148" s="78"/>
      <c r="CT148" s="78"/>
      <c r="CU148" s="78"/>
      <c r="CV148" s="78"/>
      <c r="CW148" s="78"/>
      <c r="CX148" s="78"/>
      <c r="CY148" s="78"/>
      <c r="CZ148" s="78"/>
      <c r="DA148" s="78"/>
      <c r="DB148" s="78"/>
      <c r="DC148" s="78"/>
      <c r="DD148" s="78"/>
      <c r="DE148" s="78"/>
      <c r="DF148" s="78"/>
      <c r="DG148" s="78"/>
      <c r="DH148" s="78"/>
      <c r="DI148" s="78"/>
      <c r="DJ148" s="78"/>
      <c r="DK148" s="78"/>
      <c r="DL148" s="78"/>
      <c r="DM148" s="78"/>
      <c r="DN148" s="78"/>
      <c r="DO148" s="78"/>
      <c r="DP148" s="78"/>
      <c r="DQ148" s="78"/>
      <c r="DR148" s="78"/>
      <c r="DS148" s="78"/>
      <c r="DT148" s="78"/>
      <c r="DU148" s="78"/>
      <c r="DV148" s="78"/>
      <c r="DW148" s="78"/>
      <c r="DX148" s="78"/>
      <c r="DY148" s="78"/>
      <c r="DZ148" s="78"/>
      <c r="EA148" s="78"/>
      <c r="EB148" s="78"/>
      <c r="EC148" s="78"/>
      <c r="ED148" s="78"/>
      <c r="EE148" s="78"/>
      <c r="EF148" s="78"/>
      <c r="EG148" s="78"/>
      <c r="EH148" s="78"/>
      <c r="EI148" s="91"/>
      <c r="EJ148" s="91"/>
      <c r="EK148" s="91"/>
      <c r="EL148" s="91"/>
      <c r="EM148" s="91"/>
      <c r="EN148" s="91"/>
      <c r="EO148" s="91"/>
      <c r="EP148" s="78"/>
      <c r="EQ148" s="78"/>
      <c r="ER148" s="78"/>
      <c r="ES148" s="78"/>
      <c r="ET148" s="78"/>
      <c r="EU148" s="78"/>
      <c r="EV148" s="78"/>
      <c r="EW148" s="78"/>
      <c r="EX148" s="78"/>
      <c r="EY148" s="78"/>
      <c r="EZ148" s="78"/>
      <c r="FA148" s="78"/>
      <c r="FB148" s="78"/>
      <c r="FC148" s="78"/>
      <c r="FD148" s="78"/>
      <c r="FE148" s="78"/>
      <c r="FF148" s="78"/>
      <c r="FG148" s="78"/>
      <c r="FH148" s="78"/>
      <c r="FI148" s="78"/>
      <c r="FJ148" s="78"/>
      <c r="FK148" s="78"/>
    </row>
    <row r="149" spans="1:167" hidden="1" outlineLevel="1">
      <c r="A149" s="29" t="str">
        <f t="shared" si="19"/>
        <v>cd_imv_out_certiforigem</v>
      </c>
      <c r="B149" s="67" t="s">
        <v>26</v>
      </c>
      <c r="C149" s="68" t="s">
        <v>54</v>
      </c>
      <c r="D149" s="64" t="s">
        <v>40</v>
      </c>
      <c r="E149" s="66" t="s">
        <v>507</v>
      </c>
      <c r="F149" s="64" t="s">
        <v>72</v>
      </c>
      <c r="G149" s="64" t="e">
        <f>INDEX(Auxiliar!$B$16:$B$24,MATCH(Plano_V1!H149,Auxiliar!$C$16:$C$24,0),1)</f>
        <v>#N/A</v>
      </c>
      <c r="H149" s="64" t="e">
        <f>VLOOKUP(A149,'Aux - pivots1'!$A:$B,2,0)</f>
        <v>#N/A</v>
      </c>
      <c r="I149" s="84">
        <f>SUMIFS(Table1[Estimação (horas)],Table1[Tabela],Plano_V1!E149,Table1[Campo],Plano_V1!F149)</f>
        <v>0</v>
      </c>
      <c r="J149" s="84">
        <f t="shared" si="20"/>
        <v>0</v>
      </c>
      <c r="K149" s="87" t="s">
        <v>124</v>
      </c>
      <c r="L149" s="90">
        <f t="shared" si="18"/>
        <v>0</v>
      </c>
      <c r="M149" s="78"/>
      <c r="N149" s="78"/>
      <c r="O149" s="78"/>
      <c r="P149" s="78"/>
      <c r="Q149" s="78"/>
      <c r="R149" s="78"/>
      <c r="S149" s="78"/>
      <c r="T149" s="78"/>
      <c r="U149" s="78"/>
      <c r="V149" s="78"/>
      <c r="W149" s="78"/>
      <c r="X149" s="78"/>
      <c r="Y149" s="78"/>
      <c r="Z149" s="78"/>
      <c r="AA149" s="78"/>
      <c r="AB149" s="78"/>
      <c r="AC149" s="78"/>
      <c r="AD149" s="78"/>
      <c r="AE149" s="78"/>
      <c r="AF149" s="78"/>
      <c r="AG149" s="78"/>
      <c r="AH149" s="78"/>
      <c r="AI149" s="78"/>
      <c r="AJ149" s="78"/>
      <c r="AK149" s="78"/>
      <c r="AL149" s="78"/>
      <c r="AM149" s="78"/>
      <c r="AN149" s="78"/>
      <c r="AO149" s="78"/>
      <c r="AP149" s="78"/>
      <c r="AQ149" s="78"/>
      <c r="AR149" s="78"/>
      <c r="AS149" s="78"/>
      <c r="AT149" s="91"/>
      <c r="AU149" s="78"/>
      <c r="AV149" s="78"/>
      <c r="AW149" s="78"/>
      <c r="AX149" s="78"/>
      <c r="AY149" s="78"/>
      <c r="AZ149" s="78"/>
      <c r="BA149" s="78"/>
      <c r="BB149" s="78"/>
      <c r="BC149" s="78"/>
      <c r="BD149" s="78"/>
      <c r="BE149" s="78"/>
      <c r="BF149" s="78"/>
      <c r="BG149" s="78"/>
      <c r="BH149" s="78"/>
      <c r="BI149" s="78"/>
      <c r="BJ149" s="78"/>
      <c r="BK149" s="78"/>
      <c r="BL149" s="78"/>
      <c r="BM149" s="78"/>
      <c r="BN149" s="78"/>
      <c r="BO149" s="78"/>
      <c r="BP149" s="78"/>
      <c r="BQ149" s="78"/>
      <c r="BR149" s="78"/>
      <c r="BS149" s="78"/>
      <c r="BT149" s="78"/>
      <c r="BU149" s="78"/>
      <c r="BV149" s="78"/>
      <c r="BW149" s="78"/>
      <c r="BX149" s="78"/>
      <c r="BY149" s="78"/>
      <c r="BZ149" s="78"/>
      <c r="CA149" s="78"/>
      <c r="CB149" s="78"/>
      <c r="CC149" s="78"/>
      <c r="CD149" s="78"/>
      <c r="CE149" s="78"/>
      <c r="CF149" s="78"/>
      <c r="CG149" s="78"/>
      <c r="CH149" s="78"/>
      <c r="CI149" s="78"/>
      <c r="CJ149" s="78"/>
      <c r="CK149" s="78"/>
      <c r="CL149" s="78"/>
      <c r="CM149" s="78"/>
      <c r="CN149" s="78"/>
      <c r="CO149" s="78"/>
      <c r="CP149" s="78"/>
      <c r="CQ149" s="78"/>
      <c r="CR149" s="78"/>
      <c r="CS149" s="78"/>
      <c r="CT149" s="78"/>
      <c r="CU149" s="78"/>
      <c r="CV149" s="78"/>
      <c r="CW149" s="78"/>
      <c r="CX149" s="78"/>
      <c r="CY149" s="78"/>
      <c r="CZ149" s="78"/>
      <c r="DA149" s="78"/>
      <c r="DB149" s="78"/>
      <c r="DC149" s="78"/>
      <c r="DD149" s="78"/>
      <c r="DE149" s="78"/>
      <c r="DF149" s="78"/>
      <c r="DG149" s="78"/>
      <c r="DH149" s="78"/>
      <c r="DI149" s="78"/>
      <c r="DJ149" s="78"/>
      <c r="DK149" s="78"/>
      <c r="DL149" s="78"/>
      <c r="DM149" s="78"/>
      <c r="DN149" s="78"/>
      <c r="DO149" s="78"/>
      <c r="DP149" s="78"/>
      <c r="DQ149" s="78"/>
      <c r="DR149" s="78"/>
      <c r="DS149" s="78"/>
      <c r="DT149" s="78"/>
      <c r="DU149" s="78"/>
      <c r="DV149" s="78"/>
      <c r="DW149" s="78"/>
      <c r="DX149" s="78"/>
      <c r="DY149" s="78"/>
      <c r="DZ149" s="78"/>
      <c r="EA149" s="78"/>
      <c r="EB149" s="78"/>
      <c r="EC149" s="78"/>
      <c r="ED149" s="78"/>
      <c r="EE149" s="78"/>
      <c r="EF149" s="78"/>
      <c r="EG149" s="78"/>
      <c r="EH149" s="78"/>
      <c r="EI149" s="91"/>
      <c r="EJ149" s="91"/>
      <c r="EK149" s="91"/>
      <c r="EL149" s="91"/>
      <c r="EM149" s="91"/>
      <c r="EN149" s="91"/>
      <c r="EO149" s="91"/>
      <c r="EP149" s="78"/>
      <c r="EQ149" s="78"/>
      <c r="ER149" s="78"/>
      <c r="ES149" s="78"/>
      <c r="ET149" s="78"/>
      <c r="EU149" s="78"/>
      <c r="EV149" s="78"/>
      <c r="EW149" s="78"/>
      <c r="EX149" s="78"/>
      <c r="EY149" s="78"/>
      <c r="EZ149" s="78"/>
      <c r="FA149" s="78"/>
      <c r="FB149" s="78"/>
      <c r="FC149" s="78"/>
      <c r="FD149" s="78"/>
      <c r="FE149" s="78"/>
      <c r="FF149" s="78"/>
      <c r="FG149" s="78"/>
      <c r="FH149" s="78"/>
      <c r="FI149" s="78"/>
      <c r="FJ149" s="78"/>
      <c r="FK149" s="78"/>
    </row>
    <row r="150" spans="1:167" hidden="1" outlineLevel="1">
      <c r="A150" s="29" t="str">
        <f t="shared" si="19"/>
        <v>cd_imv_out_certifref_date</v>
      </c>
      <c r="B150" s="67" t="s">
        <v>26</v>
      </c>
      <c r="C150" s="68" t="s">
        <v>54</v>
      </c>
      <c r="D150" s="64" t="s">
        <v>40</v>
      </c>
      <c r="E150" s="66" t="s">
        <v>507</v>
      </c>
      <c r="F150" s="64" t="s">
        <v>208</v>
      </c>
      <c r="G150" s="64" t="e">
        <f>INDEX(Auxiliar!$B$16:$B$24,MATCH(Plano_V1!H150,Auxiliar!$C$16:$C$24,0),1)</f>
        <v>#N/A</v>
      </c>
      <c r="H150" s="64" t="e">
        <f>VLOOKUP(A150,'Aux - pivots1'!$A:$B,2,0)</f>
        <v>#N/A</v>
      </c>
      <c r="I150" s="84">
        <f>SUMIFS(Table1[Estimação (horas)],Table1[Tabela],Plano_V1!E150,Table1[Campo],Plano_V1!F150)</f>
        <v>0</v>
      </c>
      <c r="J150" s="84">
        <f t="shared" si="20"/>
        <v>0</v>
      </c>
      <c r="K150" s="87" t="s">
        <v>124</v>
      </c>
      <c r="L150" s="90">
        <f t="shared" si="18"/>
        <v>0</v>
      </c>
      <c r="M150" s="78"/>
      <c r="N150" s="78"/>
      <c r="O150" s="78"/>
      <c r="P150" s="78"/>
      <c r="Q150" s="78"/>
      <c r="R150" s="78"/>
      <c r="S150" s="78"/>
      <c r="T150" s="78"/>
      <c r="U150" s="78"/>
      <c r="V150" s="78"/>
      <c r="W150" s="78"/>
      <c r="X150" s="78"/>
      <c r="Y150" s="78"/>
      <c r="Z150" s="78"/>
      <c r="AA150" s="78"/>
      <c r="AB150" s="78"/>
      <c r="AC150" s="78"/>
      <c r="AD150" s="78"/>
      <c r="AE150" s="78"/>
      <c r="AF150" s="78"/>
      <c r="AG150" s="78"/>
      <c r="AH150" s="78"/>
      <c r="AI150" s="78"/>
      <c r="AJ150" s="78"/>
      <c r="AK150" s="78"/>
      <c r="AL150" s="78"/>
      <c r="AM150" s="78"/>
      <c r="AN150" s="78"/>
      <c r="AO150" s="78"/>
      <c r="AP150" s="78"/>
      <c r="AQ150" s="78"/>
      <c r="AR150" s="78"/>
      <c r="AS150" s="78"/>
      <c r="AT150" s="91"/>
      <c r="AU150" s="78"/>
      <c r="AV150" s="78"/>
      <c r="AW150" s="78"/>
      <c r="AX150" s="78"/>
      <c r="AY150" s="78"/>
      <c r="AZ150" s="78"/>
      <c r="BA150" s="78"/>
      <c r="BB150" s="78"/>
      <c r="BC150" s="78"/>
      <c r="BD150" s="78"/>
      <c r="BE150" s="78"/>
      <c r="BF150" s="78"/>
      <c r="BG150" s="78"/>
      <c r="BH150" s="78"/>
      <c r="BI150" s="78"/>
      <c r="BJ150" s="78"/>
      <c r="BK150" s="78"/>
      <c r="BL150" s="78"/>
      <c r="BM150" s="78"/>
      <c r="BN150" s="78"/>
      <c r="BO150" s="78"/>
      <c r="BP150" s="78"/>
      <c r="BQ150" s="78"/>
      <c r="BR150" s="78"/>
      <c r="BS150" s="78"/>
      <c r="BT150" s="78"/>
      <c r="BU150" s="78"/>
      <c r="BV150" s="78"/>
      <c r="BW150" s="78"/>
      <c r="BX150" s="78"/>
      <c r="BY150" s="78"/>
      <c r="BZ150" s="78"/>
      <c r="CA150" s="78"/>
      <c r="CB150" s="78"/>
      <c r="CC150" s="78"/>
      <c r="CD150" s="78"/>
      <c r="CE150" s="78"/>
      <c r="CF150" s="78"/>
      <c r="CG150" s="78"/>
      <c r="CH150" s="78"/>
      <c r="CI150" s="78"/>
      <c r="CJ150" s="78"/>
      <c r="CK150" s="78"/>
      <c r="CL150" s="78"/>
      <c r="CM150" s="78"/>
      <c r="CN150" s="78"/>
      <c r="CO150" s="78"/>
      <c r="CP150" s="78"/>
      <c r="CQ150" s="78"/>
      <c r="CR150" s="78"/>
      <c r="CS150" s="78"/>
      <c r="CT150" s="78"/>
      <c r="CU150" s="78"/>
      <c r="CV150" s="78"/>
      <c r="CW150" s="78"/>
      <c r="CX150" s="78"/>
      <c r="CY150" s="78"/>
      <c r="CZ150" s="78"/>
      <c r="DA150" s="78"/>
      <c r="DB150" s="78"/>
      <c r="DC150" s="78"/>
      <c r="DD150" s="78"/>
      <c r="DE150" s="78"/>
      <c r="DF150" s="78"/>
      <c r="DG150" s="78"/>
      <c r="DH150" s="78"/>
      <c r="DI150" s="78"/>
      <c r="DJ150" s="78"/>
      <c r="DK150" s="78"/>
      <c r="DL150" s="78"/>
      <c r="DM150" s="78"/>
      <c r="DN150" s="78"/>
      <c r="DO150" s="78"/>
      <c r="DP150" s="78"/>
      <c r="DQ150" s="78"/>
      <c r="DR150" s="78"/>
      <c r="DS150" s="78"/>
      <c r="DT150" s="78"/>
      <c r="DU150" s="78"/>
      <c r="DV150" s="78"/>
      <c r="DW150" s="78"/>
      <c r="DX150" s="78"/>
      <c r="DY150" s="78"/>
      <c r="DZ150" s="78"/>
      <c r="EA150" s="78"/>
      <c r="EB150" s="78"/>
      <c r="EC150" s="78"/>
      <c r="ED150" s="78"/>
      <c r="EE150" s="78"/>
      <c r="EF150" s="78"/>
      <c r="EG150" s="78"/>
      <c r="EH150" s="78"/>
      <c r="EI150" s="91"/>
      <c r="EJ150" s="91"/>
      <c r="EK150" s="91"/>
      <c r="EL150" s="91"/>
      <c r="EM150" s="91"/>
      <c r="EN150" s="91"/>
      <c r="EO150" s="91"/>
      <c r="EP150" s="78"/>
      <c r="EQ150" s="78"/>
      <c r="ER150" s="78"/>
      <c r="ES150" s="78"/>
      <c r="ET150" s="78"/>
      <c r="EU150" s="78"/>
      <c r="EV150" s="78"/>
      <c r="EW150" s="78"/>
      <c r="EX150" s="78"/>
      <c r="EY150" s="78"/>
      <c r="EZ150" s="78"/>
      <c r="FA150" s="78"/>
      <c r="FB150" s="78"/>
      <c r="FC150" s="78"/>
      <c r="FD150" s="78"/>
      <c r="FE150" s="78"/>
      <c r="FF150" s="78"/>
      <c r="FG150" s="78"/>
      <c r="FH150" s="78"/>
      <c r="FI150" s="78"/>
      <c r="FJ150" s="78"/>
      <c r="FK150" s="78"/>
    </row>
    <row r="151" spans="1:167" hidden="1" outlineLevel="1">
      <c r="A151" s="29" t="str">
        <f t="shared" si="19"/>
        <v>cd_imv_out_certiftp_crtfcd</v>
      </c>
      <c r="B151" s="67" t="s">
        <v>26</v>
      </c>
      <c r="C151" s="68" t="s">
        <v>54</v>
      </c>
      <c r="D151" s="64" t="s">
        <v>40</v>
      </c>
      <c r="E151" s="66" t="s">
        <v>507</v>
      </c>
      <c r="F151" s="64" t="s">
        <v>519</v>
      </c>
      <c r="G151" s="64" t="e">
        <f>INDEX(Auxiliar!$B$16:$B$24,MATCH(Plano_V1!H151,Auxiliar!$C$16:$C$24,0),1)</f>
        <v>#N/A</v>
      </c>
      <c r="H151" s="64" t="e">
        <f>VLOOKUP(A151,'Aux - pivots1'!$A:$B,2,0)</f>
        <v>#N/A</v>
      </c>
      <c r="I151" s="84">
        <f>SUMIFS(Table1[Estimação (horas)],Table1[Tabela],Plano_V1!E151,Table1[Campo],Plano_V1!F151)</f>
        <v>0</v>
      </c>
      <c r="J151" s="84">
        <f t="shared" si="20"/>
        <v>0</v>
      </c>
      <c r="K151" s="87" t="s">
        <v>124</v>
      </c>
      <c r="L151" s="90">
        <f t="shared" si="18"/>
        <v>0</v>
      </c>
      <c r="M151" s="78"/>
      <c r="N151" s="78"/>
      <c r="O151" s="78"/>
      <c r="P151" s="78"/>
      <c r="Q151" s="78"/>
      <c r="R151" s="78"/>
      <c r="S151" s="78"/>
      <c r="T151" s="78"/>
      <c r="U151" s="78"/>
      <c r="V151" s="78"/>
      <c r="W151" s="78"/>
      <c r="X151" s="78"/>
      <c r="Y151" s="78"/>
      <c r="Z151" s="78"/>
      <c r="AA151" s="78"/>
      <c r="AB151" s="78"/>
      <c r="AC151" s="78"/>
      <c r="AD151" s="78"/>
      <c r="AE151" s="78"/>
      <c r="AF151" s="78"/>
      <c r="AG151" s="78"/>
      <c r="AH151" s="78"/>
      <c r="AI151" s="78"/>
      <c r="AJ151" s="78"/>
      <c r="AK151" s="78"/>
      <c r="AL151" s="78"/>
      <c r="AM151" s="78"/>
      <c r="AN151" s="78"/>
      <c r="AO151" s="78"/>
      <c r="AP151" s="78"/>
      <c r="AQ151" s="78"/>
      <c r="AR151" s="78"/>
      <c r="AS151" s="78"/>
      <c r="AT151" s="91"/>
      <c r="AU151" s="78"/>
      <c r="AV151" s="78"/>
      <c r="AW151" s="78"/>
      <c r="AX151" s="78"/>
      <c r="AY151" s="78"/>
      <c r="AZ151" s="78"/>
      <c r="BA151" s="78"/>
      <c r="BB151" s="78"/>
      <c r="BC151" s="78"/>
      <c r="BD151" s="78"/>
      <c r="BE151" s="78"/>
      <c r="BF151" s="78"/>
      <c r="BG151" s="78"/>
      <c r="BH151" s="78"/>
      <c r="BI151" s="78"/>
      <c r="BJ151" s="78"/>
      <c r="BK151" s="78"/>
      <c r="BL151" s="78"/>
      <c r="BM151" s="78"/>
      <c r="BN151" s="78"/>
      <c r="BO151" s="78"/>
      <c r="BP151" s="78"/>
      <c r="BQ151" s="78"/>
      <c r="BR151" s="78"/>
      <c r="BS151" s="78"/>
      <c r="BT151" s="78"/>
      <c r="BU151" s="78"/>
      <c r="BV151" s="78"/>
      <c r="BW151" s="78"/>
      <c r="BX151" s="78"/>
      <c r="BY151" s="78"/>
      <c r="BZ151" s="78"/>
      <c r="CA151" s="78"/>
      <c r="CB151" s="78"/>
      <c r="CC151" s="78"/>
      <c r="CD151" s="78"/>
      <c r="CE151" s="78"/>
      <c r="CF151" s="78"/>
      <c r="CG151" s="78"/>
      <c r="CH151" s="78"/>
      <c r="CI151" s="78"/>
      <c r="CJ151" s="78"/>
      <c r="CK151" s="78"/>
      <c r="CL151" s="78"/>
      <c r="CM151" s="78"/>
      <c r="CN151" s="78"/>
      <c r="CO151" s="78"/>
      <c r="CP151" s="78"/>
      <c r="CQ151" s="78"/>
      <c r="CR151" s="78"/>
      <c r="CS151" s="78"/>
      <c r="CT151" s="78"/>
      <c r="CU151" s="78"/>
      <c r="CV151" s="78"/>
      <c r="CW151" s="78"/>
      <c r="CX151" s="78"/>
      <c r="CY151" s="78"/>
      <c r="CZ151" s="78"/>
      <c r="DA151" s="78"/>
      <c r="DB151" s="78"/>
      <c r="DC151" s="78"/>
      <c r="DD151" s="78"/>
      <c r="DE151" s="78"/>
      <c r="DF151" s="78"/>
      <c r="DG151" s="78"/>
      <c r="DH151" s="78"/>
      <c r="DI151" s="78"/>
      <c r="DJ151" s="78"/>
      <c r="DK151" s="78"/>
      <c r="DL151" s="78"/>
      <c r="DM151" s="78"/>
      <c r="DN151" s="78"/>
      <c r="DO151" s="78"/>
      <c r="DP151" s="78"/>
      <c r="DQ151" s="78"/>
      <c r="DR151" s="78"/>
      <c r="DS151" s="78"/>
      <c r="DT151" s="78"/>
      <c r="DU151" s="78"/>
      <c r="DV151" s="78"/>
      <c r="DW151" s="78"/>
      <c r="DX151" s="78"/>
      <c r="DY151" s="78"/>
      <c r="DZ151" s="78"/>
      <c r="EA151" s="78"/>
      <c r="EB151" s="78"/>
      <c r="EC151" s="78"/>
      <c r="ED151" s="78"/>
      <c r="EE151" s="78"/>
      <c r="EF151" s="78"/>
      <c r="EG151" s="78"/>
      <c r="EH151" s="78"/>
      <c r="EI151" s="91"/>
      <c r="EJ151" s="91"/>
      <c r="EK151" s="91"/>
      <c r="EL151" s="91"/>
      <c r="EM151" s="91"/>
      <c r="EN151" s="91"/>
      <c r="EO151" s="91"/>
      <c r="EP151" s="78"/>
      <c r="EQ151" s="78"/>
      <c r="ER151" s="78"/>
      <c r="ES151" s="78"/>
      <c r="ET151" s="78"/>
      <c r="EU151" s="78"/>
      <c r="EV151" s="78"/>
      <c r="EW151" s="78"/>
      <c r="EX151" s="78"/>
      <c r="EY151" s="78"/>
      <c r="EZ151" s="78"/>
      <c r="FA151" s="78"/>
      <c r="FB151" s="78"/>
      <c r="FC151" s="78"/>
      <c r="FD151" s="78"/>
      <c r="FE151" s="78"/>
      <c r="FF151" s="78"/>
      <c r="FG151" s="78"/>
      <c r="FH151" s="78"/>
      <c r="FI151" s="78"/>
      <c r="FJ151" s="78"/>
      <c r="FK151" s="78"/>
    </row>
    <row r="152" spans="1:167" hidden="1" outlineLevel="1">
      <c r="A152" s="29" t="str">
        <f t="shared" si="19"/>
        <v>cd_imv_out_certifvlr_agua_qnt_sant_edfc</v>
      </c>
      <c r="B152" s="67" t="s">
        <v>26</v>
      </c>
      <c r="C152" s="68" t="s">
        <v>54</v>
      </c>
      <c r="D152" s="64" t="s">
        <v>40</v>
      </c>
      <c r="E152" s="66" t="s">
        <v>507</v>
      </c>
      <c r="F152" s="64" t="s">
        <v>520</v>
      </c>
      <c r="G152" s="64" t="e">
        <f>INDEX(Auxiliar!$B$16:$B$24,MATCH(Plano_V1!H152,Auxiliar!$C$16:$C$24,0),1)</f>
        <v>#N/A</v>
      </c>
      <c r="H152" s="64" t="e">
        <f>VLOOKUP(A152,'Aux - pivots1'!$A:$B,2,0)</f>
        <v>#N/A</v>
      </c>
      <c r="I152" s="84">
        <f>SUMIFS(Table1[Estimação (horas)],Table1[Tabela],Plano_V1!E152,Table1[Campo],Plano_V1!F152)</f>
        <v>0</v>
      </c>
      <c r="J152" s="84">
        <f t="shared" si="20"/>
        <v>0</v>
      </c>
      <c r="K152" s="87" t="s">
        <v>124</v>
      </c>
      <c r="L152" s="90">
        <f t="shared" si="18"/>
        <v>0</v>
      </c>
      <c r="M152" s="78"/>
      <c r="N152" s="78"/>
      <c r="O152" s="78"/>
      <c r="P152" s="78"/>
      <c r="Q152" s="78"/>
      <c r="R152" s="78"/>
      <c r="S152" s="78"/>
      <c r="T152" s="78"/>
      <c r="U152" s="78"/>
      <c r="V152" s="78"/>
      <c r="W152" s="78"/>
      <c r="X152" s="78"/>
      <c r="Y152" s="78"/>
      <c r="Z152" s="78"/>
      <c r="AA152" s="78"/>
      <c r="AB152" s="78"/>
      <c r="AC152" s="78"/>
      <c r="AD152" s="78"/>
      <c r="AE152" s="78"/>
      <c r="AF152" s="78"/>
      <c r="AG152" s="78"/>
      <c r="AH152" s="78"/>
      <c r="AI152" s="78"/>
      <c r="AJ152" s="78"/>
      <c r="AK152" s="78"/>
      <c r="AL152" s="78"/>
      <c r="AM152" s="78"/>
      <c r="AN152" s="78"/>
      <c r="AO152" s="78"/>
      <c r="AP152" s="78"/>
      <c r="AQ152" s="78"/>
      <c r="AR152" s="78"/>
      <c r="AS152" s="78"/>
      <c r="AT152" s="91"/>
      <c r="AU152" s="78"/>
      <c r="AV152" s="78"/>
      <c r="AW152" s="78"/>
      <c r="AX152" s="78"/>
      <c r="AY152" s="78"/>
      <c r="AZ152" s="78"/>
      <c r="BA152" s="78"/>
      <c r="BB152" s="78"/>
      <c r="BC152" s="78"/>
      <c r="BD152" s="78"/>
      <c r="BE152" s="78"/>
      <c r="BF152" s="78"/>
      <c r="BG152" s="78"/>
      <c r="BH152" s="78"/>
      <c r="BI152" s="78"/>
      <c r="BJ152" s="78"/>
      <c r="BK152" s="78"/>
      <c r="BL152" s="78"/>
      <c r="BM152" s="78"/>
      <c r="BN152" s="78"/>
      <c r="BO152" s="78"/>
      <c r="BP152" s="78"/>
      <c r="BQ152" s="78"/>
      <c r="BR152" s="78"/>
      <c r="BS152" s="78"/>
      <c r="BT152" s="78"/>
      <c r="BU152" s="78"/>
      <c r="BV152" s="78"/>
      <c r="BW152" s="78"/>
      <c r="BX152" s="78"/>
      <c r="BY152" s="78"/>
      <c r="BZ152" s="78"/>
      <c r="CA152" s="78"/>
      <c r="CB152" s="78"/>
      <c r="CC152" s="78"/>
      <c r="CD152" s="78"/>
      <c r="CE152" s="78"/>
      <c r="CF152" s="78"/>
      <c r="CG152" s="78"/>
      <c r="CH152" s="78"/>
      <c r="CI152" s="78"/>
      <c r="CJ152" s="78"/>
      <c r="CK152" s="78"/>
      <c r="CL152" s="78"/>
      <c r="CM152" s="78"/>
      <c r="CN152" s="78"/>
      <c r="CO152" s="78"/>
      <c r="CP152" s="78"/>
      <c r="CQ152" s="78"/>
      <c r="CR152" s="78"/>
      <c r="CS152" s="78"/>
      <c r="CT152" s="78"/>
      <c r="CU152" s="78"/>
      <c r="CV152" s="78"/>
      <c r="CW152" s="78"/>
      <c r="CX152" s="78"/>
      <c r="CY152" s="78"/>
      <c r="CZ152" s="78"/>
      <c r="DA152" s="78"/>
      <c r="DB152" s="78"/>
      <c r="DC152" s="78"/>
      <c r="DD152" s="78"/>
      <c r="DE152" s="78"/>
      <c r="DF152" s="78"/>
      <c r="DG152" s="78"/>
      <c r="DH152" s="78"/>
      <c r="DI152" s="78"/>
      <c r="DJ152" s="78"/>
      <c r="DK152" s="78"/>
      <c r="DL152" s="78"/>
      <c r="DM152" s="78"/>
      <c r="DN152" s="78"/>
      <c r="DO152" s="78"/>
      <c r="DP152" s="78"/>
      <c r="DQ152" s="78"/>
      <c r="DR152" s="78"/>
      <c r="DS152" s="78"/>
      <c r="DT152" s="78"/>
      <c r="DU152" s="78"/>
      <c r="DV152" s="78"/>
      <c r="DW152" s="78"/>
      <c r="DX152" s="78"/>
      <c r="DY152" s="78"/>
      <c r="DZ152" s="78"/>
      <c r="EA152" s="78"/>
      <c r="EB152" s="78"/>
      <c r="EC152" s="78"/>
      <c r="ED152" s="78"/>
      <c r="EE152" s="78"/>
      <c r="EF152" s="78"/>
      <c r="EG152" s="78"/>
      <c r="EH152" s="78"/>
      <c r="EI152" s="91"/>
      <c r="EJ152" s="91"/>
      <c r="EK152" s="91"/>
      <c r="EL152" s="91"/>
      <c r="EM152" s="91"/>
      <c r="EN152" s="91"/>
      <c r="EO152" s="91"/>
      <c r="EP152" s="78"/>
      <c r="EQ152" s="78"/>
      <c r="ER152" s="78"/>
      <c r="ES152" s="78"/>
      <c r="ET152" s="78"/>
      <c r="EU152" s="78"/>
      <c r="EV152" s="78"/>
      <c r="EW152" s="78"/>
      <c r="EX152" s="78"/>
      <c r="EY152" s="78"/>
      <c r="EZ152" s="78"/>
      <c r="FA152" s="78"/>
      <c r="FB152" s="78"/>
      <c r="FC152" s="78"/>
      <c r="FD152" s="78"/>
      <c r="FE152" s="78"/>
      <c r="FF152" s="78"/>
      <c r="FG152" s="78"/>
      <c r="FH152" s="78"/>
      <c r="FI152" s="78"/>
      <c r="FJ152" s="78"/>
      <c r="FK152" s="78"/>
    </row>
    <row r="153" spans="1:167" hidden="1" outlineLevel="1">
      <c r="A153" s="29" t="str">
        <f t="shared" si="19"/>
        <v>cd_imv_out_certifvlr_agua_qnt_snt_rnvv</v>
      </c>
      <c r="B153" s="67" t="s">
        <v>26</v>
      </c>
      <c r="C153" s="68" t="s">
        <v>54</v>
      </c>
      <c r="D153" s="64" t="s">
        <v>40</v>
      </c>
      <c r="E153" s="66" t="s">
        <v>507</v>
      </c>
      <c r="F153" s="64" t="s">
        <v>521</v>
      </c>
      <c r="G153" s="64" t="e">
        <f>INDEX(Auxiliar!$B$16:$B$24,MATCH(Plano_V1!H153,Auxiliar!$C$16:$C$24,0),1)</f>
        <v>#N/A</v>
      </c>
      <c r="H153" s="64" t="e">
        <f>VLOOKUP(A153,'Aux - pivots1'!$A:$B,2,0)</f>
        <v>#N/A</v>
      </c>
      <c r="I153" s="84">
        <f>SUMIFS(Table1[Estimação (horas)],Table1[Tabela],Plano_V1!E153,Table1[Campo],Plano_V1!F153)</f>
        <v>0</v>
      </c>
      <c r="J153" s="84">
        <f t="shared" si="20"/>
        <v>0</v>
      </c>
      <c r="K153" s="87" t="s">
        <v>124</v>
      </c>
      <c r="L153" s="90">
        <f t="shared" si="18"/>
        <v>0</v>
      </c>
      <c r="M153" s="78"/>
      <c r="N153" s="78"/>
      <c r="O153" s="78"/>
      <c r="P153" s="78"/>
      <c r="Q153" s="78"/>
      <c r="R153" s="78"/>
      <c r="S153" s="78"/>
      <c r="T153" s="78"/>
      <c r="U153" s="78"/>
      <c r="V153" s="78"/>
      <c r="W153" s="78"/>
      <c r="X153" s="78"/>
      <c r="Y153" s="78"/>
      <c r="Z153" s="78"/>
      <c r="AA153" s="78"/>
      <c r="AB153" s="78"/>
      <c r="AC153" s="78"/>
      <c r="AD153" s="78"/>
      <c r="AE153" s="78"/>
      <c r="AF153" s="78"/>
      <c r="AG153" s="78"/>
      <c r="AH153" s="78"/>
      <c r="AI153" s="78"/>
      <c r="AJ153" s="78"/>
      <c r="AK153" s="78"/>
      <c r="AL153" s="78"/>
      <c r="AM153" s="78"/>
      <c r="AN153" s="78"/>
      <c r="AO153" s="78"/>
      <c r="AP153" s="78"/>
      <c r="AQ153" s="78"/>
      <c r="AR153" s="78"/>
      <c r="AS153" s="78"/>
      <c r="AT153" s="91"/>
      <c r="AU153" s="78"/>
      <c r="AV153" s="78"/>
      <c r="AW153" s="78"/>
      <c r="AX153" s="78"/>
      <c r="AY153" s="78"/>
      <c r="AZ153" s="78"/>
      <c r="BA153" s="78"/>
      <c r="BB153" s="78"/>
      <c r="BC153" s="78"/>
      <c r="BD153" s="78"/>
      <c r="BE153" s="78"/>
      <c r="BF153" s="78"/>
      <c r="BG153" s="78"/>
      <c r="BH153" s="78"/>
      <c r="BI153" s="78"/>
      <c r="BJ153" s="78"/>
      <c r="BK153" s="78"/>
      <c r="BL153" s="78"/>
      <c r="BM153" s="78"/>
      <c r="BN153" s="78"/>
      <c r="BO153" s="78"/>
      <c r="BP153" s="78"/>
      <c r="BQ153" s="78"/>
      <c r="BR153" s="78"/>
      <c r="BS153" s="78"/>
      <c r="BT153" s="78"/>
      <c r="BU153" s="78"/>
      <c r="BV153" s="78"/>
      <c r="BW153" s="78"/>
      <c r="BX153" s="78"/>
      <c r="BY153" s="78"/>
      <c r="BZ153" s="78"/>
      <c r="CA153" s="78"/>
      <c r="CB153" s="78"/>
      <c r="CC153" s="78"/>
      <c r="CD153" s="78"/>
      <c r="CE153" s="78"/>
      <c r="CF153" s="78"/>
      <c r="CG153" s="78"/>
      <c r="CH153" s="78"/>
      <c r="CI153" s="78"/>
      <c r="CJ153" s="78"/>
      <c r="CK153" s="78"/>
      <c r="CL153" s="78"/>
      <c r="CM153" s="78"/>
      <c r="CN153" s="78"/>
      <c r="CO153" s="78"/>
      <c r="CP153" s="78"/>
      <c r="CQ153" s="78"/>
      <c r="CR153" s="78"/>
      <c r="CS153" s="78"/>
      <c r="CT153" s="78"/>
      <c r="CU153" s="78"/>
      <c r="CV153" s="78"/>
      <c r="CW153" s="78"/>
      <c r="CX153" s="78"/>
      <c r="CY153" s="78"/>
      <c r="CZ153" s="78"/>
      <c r="DA153" s="78"/>
      <c r="DB153" s="78"/>
      <c r="DC153" s="78"/>
      <c r="DD153" s="78"/>
      <c r="DE153" s="78"/>
      <c r="DF153" s="78"/>
      <c r="DG153" s="78"/>
      <c r="DH153" s="78"/>
      <c r="DI153" s="78"/>
      <c r="DJ153" s="78"/>
      <c r="DK153" s="78"/>
      <c r="DL153" s="78"/>
      <c r="DM153" s="78"/>
      <c r="DN153" s="78"/>
      <c r="DO153" s="78"/>
      <c r="DP153" s="78"/>
      <c r="DQ153" s="78"/>
      <c r="DR153" s="78"/>
      <c r="DS153" s="78"/>
      <c r="DT153" s="78"/>
      <c r="DU153" s="78"/>
      <c r="DV153" s="78"/>
      <c r="DW153" s="78"/>
      <c r="DX153" s="78"/>
      <c r="DY153" s="78"/>
      <c r="DZ153" s="78"/>
      <c r="EA153" s="78"/>
      <c r="EB153" s="78"/>
      <c r="EC153" s="78"/>
      <c r="ED153" s="78"/>
      <c r="EE153" s="78"/>
      <c r="EF153" s="78"/>
      <c r="EG153" s="78"/>
      <c r="EH153" s="78"/>
      <c r="EI153" s="91"/>
      <c r="EJ153" s="91"/>
      <c r="EK153" s="91"/>
      <c r="EL153" s="91"/>
      <c r="EM153" s="91"/>
      <c r="EN153" s="91"/>
      <c r="EO153" s="91"/>
      <c r="EP153" s="78"/>
      <c r="EQ153" s="78"/>
      <c r="ER153" s="78"/>
      <c r="ES153" s="78"/>
      <c r="ET153" s="78"/>
      <c r="EU153" s="78"/>
      <c r="EV153" s="78"/>
      <c r="EW153" s="78"/>
      <c r="EX153" s="78"/>
      <c r="EY153" s="78"/>
      <c r="EZ153" s="78"/>
      <c r="FA153" s="78"/>
      <c r="FB153" s="78"/>
      <c r="FC153" s="78"/>
      <c r="FD153" s="78"/>
      <c r="FE153" s="78"/>
      <c r="FF153" s="78"/>
      <c r="FG153" s="78"/>
      <c r="FH153" s="78"/>
      <c r="FI153" s="78"/>
      <c r="FJ153" s="78"/>
      <c r="FK153" s="78"/>
    </row>
    <row r="154" spans="1:167" hidden="1" outlineLevel="1">
      <c r="A154" s="29" t="str">
        <f t="shared" si="19"/>
        <v>cd_imv_out_certifvlr_agua_qnt_sntr_rfrc</v>
      </c>
      <c r="B154" s="67" t="s">
        <v>26</v>
      </c>
      <c r="C154" s="68" t="s">
        <v>54</v>
      </c>
      <c r="D154" s="64" t="s">
        <v>40</v>
      </c>
      <c r="E154" s="66" t="s">
        <v>507</v>
      </c>
      <c r="F154" s="64" t="s">
        <v>522</v>
      </c>
      <c r="G154" s="64" t="e">
        <f>INDEX(Auxiliar!$B$16:$B$24,MATCH(Plano_V1!H154,Auxiliar!$C$16:$C$24,0),1)</f>
        <v>#N/A</v>
      </c>
      <c r="H154" s="64" t="e">
        <f>VLOOKUP(A154,'Aux - pivots1'!$A:$B,2,0)</f>
        <v>#N/A</v>
      </c>
      <c r="I154" s="84">
        <f>SUMIFS(Table1[Estimação (horas)],Table1[Tabela],Plano_V1!E154,Table1[Campo],Plano_V1!F154)</f>
        <v>0</v>
      </c>
      <c r="J154" s="84">
        <f t="shared" si="20"/>
        <v>0</v>
      </c>
      <c r="K154" s="87" t="s">
        <v>124</v>
      </c>
      <c r="L154" s="90">
        <f t="shared" ref="L154:L217" si="21">J154-SUM(M154:FK154)</f>
        <v>0</v>
      </c>
      <c r="M154" s="78"/>
      <c r="N154" s="78"/>
      <c r="O154" s="78"/>
      <c r="P154" s="78"/>
      <c r="Q154" s="78"/>
      <c r="R154" s="78"/>
      <c r="S154" s="78"/>
      <c r="T154" s="78"/>
      <c r="U154" s="78"/>
      <c r="V154" s="78"/>
      <c r="W154" s="78"/>
      <c r="X154" s="78"/>
      <c r="Y154" s="78"/>
      <c r="Z154" s="78"/>
      <c r="AA154" s="78"/>
      <c r="AB154" s="78"/>
      <c r="AC154" s="78"/>
      <c r="AD154" s="78"/>
      <c r="AE154" s="78"/>
      <c r="AF154" s="78"/>
      <c r="AG154" s="78"/>
      <c r="AH154" s="78"/>
      <c r="AI154" s="78"/>
      <c r="AJ154" s="78"/>
      <c r="AK154" s="78"/>
      <c r="AL154" s="78"/>
      <c r="AM154" s="78"/>
      <c r="AN154" s="78"/>
      <c r="AO154" s="78"/>
      <c r="AP154" s="78"/>
      <c r="AQ154" s="78"/>
      <c r="AR154" s="78"/>
      <c r="AS154" s="78"/>
      <c r="AT154" s="91"/>
      <c r="AU154" s="78"/>
      <c r="AV154" s="78"/>
      <c r="AW154" s="78"/>
      <c r="AX154" s="78"/>
      <c r="AY154" s="78"/>
      <c r="AZ154" s="78"/>
      <c r="BA154" s="78"/>
      <c r="BB154" s="78"/>
      <c r="BC154" s="78"/>
      <c r="BD154" s="78"/>
      <c r="BE154" s="78"/>
      <c r="BF154" s="78"/>
      <c r="BG154" s="78"/>
      <c r="BH154" s="78"/>
      <c r="BI154" s="78"/>
      <c r="BJ154" s="78"/>
      <c r="BK154" s="78"/>
      <c r="BL154" s="78"/>
      <c r="BM154" s="78"/>
      <c r="BN154" s="78"/>
      <c r="BO154" s="78"/>
      <c r="BP154" s="78"/>
      <c r="BQ154" s="78"/>
      <c r="BR154" s="78"/>
      <c r="BS154" s="78"/>
      <c r="BT154" s="78"/>
      <c r="BU154" s="78"/>
      <c r="BV154" s="78"/>
      <c r="BW154" s="78"/>
      <c r="BX154" s="78"/>
      <c r="BY154" s="78"/>
      <c r="BZ154" s="78"/>
      <c r="CA154" s="78"/>
      <c r="CB154" s="78"/>
      <c r="CC154" s="78"/>
      <c r="CD154" s="78"/>
      <c r="CE154" s="78"/>
      <c r="CF154" s="78"/>
      <c r="CG154" s="78"/>
      <c r="CH154" s="78"/>
      <c r="CI154" s="78"/>
      <c r="CJ154" s="78"/>
      <c r="CK154" s="78"/>
      <c r="CL154" s="78"/>
      <c r="CM154" s="78"/>
      <c r="CN154" s="78"/>
      <c r="CO154" s="78"/>
      <c r="CP154" s="78"/>
      <c r="CQ154" s="78"/>
      <c r="CR154" s="78"/>
      <c r="CS154" s="78"/>
      <c r="CT154" s="78"/>
      <c r="CU154" s="78"/>
      <c r="CV154" s="78"/>
      <c r="CW154" s="78"/>
      <c r="CX154" s="78"/>
      <c r="CY154" s="78"/>
      <c r="CZ154" s="78"/>
      <c r="DA154" s="78"/>
      <c r="DB154" s="78"/>
      <c r="DC154" s="78"/>
      <c r="DD154" s="78"/>
      <c r="DE154" s="78"/>
      <c r="DF154" s="78"/>
      <c r="DG154" s="78"/>
      <c r="DH154" s="78"/>
      <c r="DI154" s="78"/>
      <c r="DJ154" s="78"/>
      <c r="DK154" s="78"/>
      <c r="DL154" s="78"/>
      <c r="DM154" s="78"/>
      <c r="DN154" s="78"/>
      <c r="DO154" s="78"/>
      <c r="DP154" s="78"/>
      <c r="DQ154" s="78"/>
      <c r="DR154" s="78"/>
      <c r="DS154" s="78"/>
      <c r="DT154" s="78"/>
      <c r="DU154" s="78"/>
      <c r="DV154" s="78"/>
      <c r="DW154" s="78"/>
      <c r="DX154" s="78"/>
      <c r="DY154" s="78"/>
      <c r="DZ154" s="78"/>
      <c r="EA154" s="78"/>
      <c r="EB154" s="78"/>
      <c r="EC154" s="78"/>
      <c r="ED154" s="78"/>
      <c r="EE154" s="78"/>
      <c r="EF154" s="78"/>
      <c r="EG154" s="78"/>
      <c r="EH154" s="78"/>
      <c r="EI154" s="91"/>
      <c r="EJ154" s="91"/>
      <c r="EK154" s="91"/>
      <c r="EL154" s="91"/>
      <c r="EM154" s="91"/>
      <c r="EN154" s="91"/>
      <c r="EO154" s="91"/>
      <c r="EP154" s="78"/>
      <c r="EQ154" s="78"/>
      <c r="ER154" s="78"/>
      <c r="ES154" s="78"/>
      <c r="ET154" s="78"/>
      <c r="EU154" s="78"/>
      <c r="EV154" s="78"/>
      <c r="EW154" s="78"/>
      <c r="EX154" s="78"/>
      <c r="EY154" s="78"/>
      <c r="EZ154" s="78"/>
      <c r="FA154" s="78"/>
      <c r="FB154" s="78"/>
      <c r="FC154" s="78"/>
      <c r="FD154" s="78"/>
      <c r="FE154" s="78"/>
      <c r="FF154" s="78"/>
      <c r="FG154" s="78"/>
      <c r="FH154" s="78"/>
      <c r="FI154" s="78"/>
      <c r="FJ154" s="78"/>
      <c r="FK154" s="78"/>
    </row>
    <row r="155" spans="1:167" hidden="1" outlineLevel="1">
      <c r="A155" s="29" t="str">
        <f t="shared" si="19"/>
        <v>cd_imv_out_certifvlr_alttt</v>
      </c>
      <c r="B155" s="67" t="s">
        <v>26</v>
      </c>
      <c r="C155" s="68" t="s">
        <v>54</v>
      </c>
      <c r="D155" s="64" t="s">
        <v>40</v>
      </c>
      <c r="E155" s="66" t="s">
        <v>507</v>
      </c>
      <c r="F155" s="64" t="s">
        <v>523</v>
      </c>
      <c r="G155" s="64" t="e">
        <f>INDEX(Auxiliar!$B$16:$B$24,MATCH(Plano_V1!H155,Auxiliar!$C$16:$C$24,0),1)</f>
        <v>#N/A</v>
      </c>
      <c r="H155" s="64" t="e">
        <f>VLOOKUP(A155,'Aux - pivots1'!$A:$B,2,0)</f>
        <v>#N/A</v>
      </c>
      <c r="I155" s="84">
        <f>SUMIFS(Table1[Estimação (horas)],Table1[Tabela],Plano_V1!E155,Table1[Campo],Plano_V1!F155)</f>
        <v>0</v>
      </c>
      <c r="J155" s="84">
        <f t="shared" si="20"/>
        <v>0</v>
      </c>
      <c r="K155" s="87" t="s">
        <v>124</v>
      </c>
      <c r="L155" s="90">
        <f t="shared" si="21"/>
        <v>0</v>
      </c>
      <c r="M155" s="78"/>
      <c r="N155" s="78"/>
      <c r="O155" s="78"/>
      <c r="P155" s="78"/>
      <c r="Q155" s="78"/>
      <c r="R155" s="78"/>
      <c r="S155" s="78"/>
      <c r="T155" s="78"/>
      <c r="U155" s="78"/>
      <c r="V155" s="78"/>
      <c r="W155" s="78"/>
      <c r="X155" s="78"/>
      <c r="Y155" s="78"/>
      <c r="Z155" s="78"/>
      <c r="AA155" s="78"/>
      <c r="AB155" s="78"/>
      <c r="AC155" s="78"/>
      <c r="AD155" s="78"/>
      <c r="AE155" s="78"/>
      <c r="AF155" s="78"/>
      <c r="AG155" s="78"/>
      <c r="AH155" s="78"/>
      <c r="AI155" s="78"/>
      <c r="AJ155" s="78"/>
      <c r="AK155" s="78"/>
      <c r="AL155" s="78"/>
      <c r="AM155" s="78"/>
      <c r="AN155" s="78"/>
      <c r="AO155" s="78"/>
      <c r="AP155" s="78"/>
      <c r="AQ155" s="78"/>
      <c r="AR155" s="78"/>
      <c r="AS155" s="78"/>
      <c r="AT155" s="91"/>
      <c r="AU155" s="78"/>
      <c r="AV155" s="78"/>
      <c r="AW155" s="78"/>
      <c r="AX155" s="78"/>
      <c r="AY155" s="78"/>
      <c r="AZ155" s="78"/>
      <c r="BA155" s="78"/>
      <c r="BB155" s="78"/>
      <c r="BC155" s="78"/>
      <c r="BD155" s="78"/>
      <c r="BE155" s="78"/>
      <c r="BF155" s="78"/>
      <c r="BG155" s="78"/>
      <c r="BH155" s="78"/>
      <c r="BI155" s="78"/>
      <c r="BJ155" s="78"/>
      <c r="BK155" s="78"/>
      <c r="BL155" s="78"/>
      <c r="BM155" s="78"/>
      <c r="BN155" s="78"/>
      <c r="BO155" s="78"/>
      <c r="BP155" s="78"/>
      <c r="BQ155" s="78"/>
      <c r="BR155" s="78"/>
      <c r="BS155" s="78"/>
      <c r="BT155" s="78"/>
      <c r="BU155" s="78"/>
      <c r="BV155" s="78"/>
      <c r="BW155" s="78"/>
      <c r="BX155" s="78"/>
      <c r="BY155" s="78"/>
      <c r="BZ155" s="78"/>
      <c r="CA155" s="78"/>
      <c r="CB155" s="78"/>
      <c r="CC155" s="78"/>
      <c r="CD155" s="78"/>
      <c r="CE155" s="78"/>
      <c r="CF155" s="78"/>
      <c r="CG155" s="78"/>
      <c r="CH155" s="78"/>
      <c r="CI155" s="78"/>
      <c r="CJ155" s="78"/>
      <c r="CK155" s="78"/>
      <c r="CL155" s="78"/>
      <c r="CM155" s="78"/>
      <c r="CN155" s="78"/>
      <c r="CO155" s="78"/>
      <c r="CP155" s="78"/>
      <c r="CQ155" s="78"/>
      <c r="CR155" s="78"/>
      <c r="CS155" s="78"/>
      <c r="CT155" s="78"/>
      <c r="CU155" s="78"/>
      <c r="CV155" s="78"/>
      <c r="CW155" s="78"/>
      <c r="CX155" s="78"/>
      <c r="CY155" s="78"/>
      <c r="CZ155" s="78"/>
      <c r="DA155" s="78"/>
      <c r="DB155" s="78"/>
      <c r="DC155" s="78"/>
      <c r="DD155" s="78"/>
      <c r="DE155" s="78"/>
      <c r="DF155" s="78"/>
      <c r="DG155" s="78"/>
      <c r="DH155" s="78"/>
      <c r="DI155" s="78"/>
      <c r="DJ155" s="78"/>
      <c r="DK155" s="78"/>
      <c r="DL155" s="78"/>
      <c r="DM155" s="78"/>
      <c r="DN155" s="78"/>
      <c r="DO155" s="78"/>
      <c r="DP155" s="78"/>
      <c r="DQ155" s="78"/>
      <c r="DR155" s="78"/>
      <c r="DS155" s="78"/>
      <c r="DT155" s="78"/>
      <c r="DU155" s="78"/>
      <c r="DV155" s="78"/>
      <c r="DW155" s="78"/>
      <c r="DX155" s="78"/>
      <c r="DY155" s="78"/>
      <c r="DZ155" s="78"/>
      <c r="EA155" s="78"/>
      <c r="EB155" s="78"/>
      <c r="EC155" s="78"/>
      <c r="ED155" s="78"/>
      <c r="EE155" s="78"/>
      <c r="EF155" s="78"/>
      <c r="EG155" s="78"/>
      <c r="EH155" s="78"/>
      <c r="EI155" s="91"/>
      <c r="EJ155" s="91"/>
      <c r="EK155" s="91"/>
      <c r="EL155" s="91"/>
      <c r="EM155" s="91"/>
      <c r="EN155" s="91"/>
      <c r="EO155" s="91"/>
      <c r="EP155" s="78"/>
      <c r="EQ155" s="78"/>
      <c r="ER155" s="78"/>
      <c r="ES155" s="78"/>
      <c r="ET155" s="78"/>
      <c r="EU155" s="78"/>
      <c r="EV155" s="78"/>
      <c r="EW155" s="78"/>
      <c r="EX155" s="78"/>
      <c r="EY155" s="78"/>
      <c r="EZ155" s="78"/>
      <c r="FA155" s="78"/>
      <c r="FB155" s="78"/>
      <c r="FC155" s="78"/>
      <c r="FD155" s="78"/>
      <c r="FE155" s="78"/>
      <c r="FF155" s="78"/>
      <c r="FG155" s="78"/>
      <c r="FH155" s="78"/>
      <c r="FI155" s="78"/>
      <c r="FJ155" s="78"/>
      <c r="FK155" s="78"/>
    </row>
    <row r="156" spans="1:167" hidden="1" outlineLevel="1">
      <c r="A156" s="29" t="str">
        <f t="shared" si="19"/>
        <v>cd_imv_out_certifvlr_aqcmnt_ambnt_edfc</v>
      </c>
      <c r="B156" s="67" t="s">
        <v>26</v>
      </c>
      <c r="C156" s="68" t="s">
        <v>54</v>
      </c>
      <c r="D156" s="64" t="s">
        <v>40</v>
      </c>
      <c r="E156" s="66" t="s">
        <v>507</v>
      </c>
      <c r="F156" s="64" t="s">
        <v>524</v>
      </c>
      <c r="G156" s="64" t="e">
        <f>INDEX(Auxiliar!$B$16:$B$24,MATCH(Plano_V1!H156,Auxiliar!$C$16:$C$24,0),1)</f>
        <v>#N/A</v>
      </c>
      <c r="H156" s="64" t="e">
        <f>VLOOKUP(A156,'Aux - pivots1'!$A:$B,2,0)</f>
        <v>#N/A</v>
      </c>
      <c r="I156" s="84">
        <f>SUMIFS(Table1[Estimação (horas)],Table1[Tabela],Plano_V1!E156,Table1[Campo],Plano_V1!F156)</f>
        <v>0</v>
      </c>
      <c r="J156" s="84">
        <f t="shared" si="20"/>
        <v>0</v>
      </c>
      <c r="K156" s="87" t="s">
        <v>124</v>
      </c>
      <c r="L156" s="90">
        <f t="shared" si="21"/>
        <v>0</v>
      </c>
      <c r="M156" s="78"/>
      <c r="N156" s="78"/>
      <c r="O156" s="78"/>
      <c r="P156" s="78"/>
      <c r="Q156" s="78"/>
      <c r="R156" s="78"/>
      <c r="S156" s="78"/>
      <c r="T156" s="78"/>
      <c r="U156" s="78"/>
      <c r="V156" s="78"/>
      <c r="W156" s="78"/>
      <c r="X156" s="78"/>
      <c r="Y156" s="78"/>
      <c r="Z156" s="78"/>
      <c r="AA156" s="78"/>
      <c r="AB156" s="78"/>
      <c r="AC156" s="78"/>
      <c r="AD156" s="78"/>
      <c r="AE156" s="78"/>
      <c r="AF156" s="78"/>
      <c r="AG156" s="78"/>
      <c r="AH156" s="78"/>
      <c r="AI156" s="78"/>
      <c r="AJ156" s="78"/>
      <c r="AK156" s="78"/>
      <c r="AL156" s="78"/>
      <c r="AM156" s="78"/>
      <c r="AN156" s="78"/>
      <c r="AO156" s="78"/>
      <c r="AP156" s="78"/>
      <c r="AQ156" s="78"/>
      <c r="AR156" s="78"/>
      <c r="AS156" s="78"/>
      <c r="AT156" s="91"/>
      <c r="AU156" s="78"/>
      <c r="AV156" s="78"/>
      <c r="AW156" s="78"/>
      <c r="AX156" s="78"/>
      <c r="AY156" s="78"/>
      <c r="AZ156" s="78"/>
      <c r="BA156" s="78"/>
      <c r="BB156" s="78"/>
      <c r="BC156" s="78"/>
      <c r="BD156" s="78"/>
      <c r="BE156" s="78"/>
      <c r="BF156" s="78"/>
      <c r="BG156" s="78"/>
      <c r="BH156" s="78"/>
      <c r="BI156" s="78"/>
      <c r="BJ156" s="78"/>
      <c r="BK156" s="78"/>
      <c r="BL156" s="78"/>
      <c r="BM156" s="78"/>
      <c r="BN156" s="78"/>
      <c r="BO156" s="78"/>
      <c r="BP156" s="78"/>
      <c r="BQ156" s="78"/>
      <c r="BR156" s="78"/>
      <c r="BS156" s="78"/>
      <c r="BT156" s="78"/>
      <c r="BU156" s="78"/>
      <c r="BV156" s="78"/>
      <c r="BW156" s="78"/>
      <c r="BX156" s="78"/>
      <c r="BY156" s="78"/>
      <c r="BZ156" s="78"/>
      <c r="CA156" s="78"/>
      <c r="CB156" s="78"/>
      <c r="CC156" s="78"/>
      <c r="CD156" s="78"/>
      <c r="CE156" s="78"/>
      <c r="CF156" s="78"/>
      <c r="CG156" s="78"/>
      <c r="CH156" s="78"/>
      <c r="CI156" s="78"/>
      <c r="CJ156" s="78"/>
      <c r="CK156" s="78"/>
      <c r="CL156" s="78"/>
      <c r="CM156" s="78"/>
      <c r="CN156" s="78"/>
      <c r="CO156" s="78"/>
      <c r="CP156" s="78"/>
      <c r="CQ156" s="78"/>
      <c r="CR156" s="78"/>
      <c r="CS156" s="78"/>
      <c r="CT156" s="78"/>
      <c r="CU156" s="78"/>
      <c r="CV156" s="78"/>
      <c r="CW156" s="78"/>
      <c r="CX156" s="78"/>
      <c r="CY156" s="78"/>
      <c r="CZ156" s="78"/>
      <c r="DA156" s="78"/>
      <c r="DB156" s="78"/>
      <c r="DC156" s="78"/>
      <c r="DD156" s="78"/>
      <c r="DE156" s="78"/>
      <c r="DF156" s="78"/>
      <c r="DG156" s="78"/>
      <c r="DH156" s="78"/>
      <c r="DI156" s="78"/>
      <c r="DJ156" s="78"/>
      <c r="DK156" s="78"/>
      <c r="DL156" s="78"/>
      <c r="DM156" s="78"/>
      <c r="DN156" s="78"/>
      <c r="DO156" s="78"/>
      <c r="DP156" s="78"/>
      <c r="DQ156" s="78"/>
      <c r="DR156" s="78"/>
      <c r="DS156" s="78"/>
      <c r="DT156" s="78"/>
      <c r="DU156" s="78"/>
      <c r="DV156" s="78"/>
      <c r="DW156" s="78"/>
      <c r="DX156" s="78"/>
      <c r="DY156" s="78"/>
      <c r="DZ156" s="78"/>
      <c r="EA156" s="78"/>
      <c r="EB156" s="78"/>
      <c r="EC156" s="78"/>
      <c r="ED156" s="78"/>
      <c r="EE156" s="78"/>
      <c r="EF156" s="78"/>
      <c r="EG156" s="78"/>
      <c r="EH156" s="78"/>
      <c r="EI156" s="91"/>
      <c r="EJ156" s="91"/>
      <c r="EK156" s="91"/>
      <c r="EL156" s="91"/>
      <c r="EM156" s="91"/>
      <c r="EN156" s="91"/>
      <c r="EO156" s="91"/>
      <c r="EP156" s="78"/>
      <c r="EQ156" s="78"/>
      <c r="ER156" s="78"/>
      <c r="ES156" s="78"/>
      <c r="ET156" s="78"/>
      <c r="EU156" s="78"/>
      <c r="EV156" s="78"/>
      <c r="EW156" s="78"/>
      <c r="EX156" s="78"/>
      <c r="EY156" s="78"/>
      <c r="EZ156" s="78"/>
      <c r="FA156" s="78"/>
      <c r="FB156" s="78"/>
      <c r="FC156" s="78"/>
      <c r="FD156" s="78"/>
      <c r="FE156" s="78"/>
      <c r="FF156" s="78"/>
      <c r="FG156" s="78"/>
      <c r="FH156" s="78"/>
      <c r="FI156" s="78"/>
      <c r="FJ156" s="78"/>
      <c r="FK156" s="78"/>
    </row>
    <row r="157" spans="1:167" hidden="1" outlineLevel="1">
      <c r="A157" s="29" t="str">
        <f t="shared" ref="A157:A220" si="22">E157&amp;F157</f>
        <v>cd_imv_out_certifvlr_aqcmnt_ambnt_rfrc</v>
      </c>
      <c r="B157" s="67" t="s">
        <v>26</v>
      </c>
      <c r="C157" s="68" t="s">
        <v>54</v>
      </c>
      <c r="D157" s="64" t="s">
        <v>40</v>
      </c>
      <c r="E157" s="66" t="s">
        <v>507</v>
      </c>
      <c r="F157" s="64" t="s">
        <v>525</v>
      </c>
      <c r="G157" s="64" t="e">
        <f>INDEX(Auxiliar!$B$16:$B$24,MATCH(Plano_V1!H157,Auxiliar!$C$16:$C$24,0),1)</f>
        <v>#N/A</v>
      </c>
      <c r="H157" s="64" t="e">
        <f>VLOOKUP(A157,'Aux - pivots1'!$A:$B,2,0)</f>
        <v>#N/A</v>
      </c>
      <c r="I157" s="84">
        <f>SUMIFS(Table1[Estimação (horas)],Table1[Tabela],Plano_V1!E157,Table1[Campo],Plano_V1!F157)</f>
        <v>0</v>
      </c>
      <c r="J157" s="84">
        <f t="shared" si="20"/>
        <v>0</v>
      </c>
      <c r="K157" s="87" t="s">
        <v>124</v>
      </c>
      <c r="L157" s="90">
        <f t="shared" si="21"/>
        <v>0</v>
      </c>
      <c r="M157" s="78"/>
      <c r="N157" s="78"/>
      <c r="O157" s="78"/>
      <c r="P157" s="78"/>
      <c r="Q157" s="78"/>
      <c r="R157" s="78"/>
      <c r="S157" s="78"/>
      <c r="T157" s="78"/>
      <c r="U157" s="78"/>
      <c r="V157" s="78"/>
      <c r="W157" s="78"/>
      <c r="X157" s="78"/>
      <c r="Y157" s="78"/>
      <c r="Z157" s="78"/>
      <c r="AA157" s="78"/>
      <c r="AB157" s="78"/>
      <c r="AC157" s="78"/>
      <c r="AD157" s="78"/>
      <c r="AE157" s="78"/>
      <c r="AF157" s="78"/>
      <c r="AG157" s="78"/>
      <c r="AH157" s="78"/>
      <c r="AI157" s="78"/>
      <c r="AJ157" s="78"/>
      <c r="AK157" s="78"/>
      <c r="AL157" s="78"/>
      <c r="AM157" s="78"/>
      <c r="AN157" s="78"/>
      <c r="AO157" s="78"/>
      <c r="AP157" s="78"/>
      <c r="AQ157" s="78"/>
      <c r="AR157" s="78"/>
      <c r="AS157" s="78"/>
      <c r="AT157" s="91"/>
      <c r="AU157" s="78"/>
      <c r="AV157" s="78"/>
      <c r="AW157" s="78"/>
      <c r="AX157" s="78"/>
      <c r="AY157" s="78"/>
      <c r="AZ157" s="78"/>
      <c r="BA157" s="78"/>
      <c r="BB157" s="78"/>
      <c r="BC157" s="78"/>
      <c r="BD157" s="78"/>
      <c r="BE157" s="78"/>
      <c r="BF157" s="78"/>
      <c r="BG157" s="78"/>
      <c r="BH157" s="78"/>
      <c r="BI157" s="78"/>
      <c r="BJ157" s="78"/>
      <c r="BK157" s="78"/>
      <c r="BL157" s="78"/>
      <c r="BM157" s="78"/>
      <c r="BN157" s="78"/>
      <c r="BO157" s="78"/>
      <c r="BP157" s="78"/>
      <c r="BQ157" s="78"/>
      <c r="BR157" s="78"/>
      <c r="BS157" s="78"/>
      <c r="BT157" s="78"/>
      <c r="BU157" s="78"/>
      <c r="BV157" s="78"/>
      <c r="BW157" s="78"/>
      <c r="BX157" s="78"/>
      <c r="BY157" s="78"/>
      <c r="BZ157" s="78"/>
      <c r="CA157" s="78"/>
      <c r="CB157" s="78"/>
      <c r="CC157" s="78"/>
      <c r="CD157" s="78"/>
      <c r="CE157" s="78"/>
      <c r="CF157" s="78"/>
      <c r="CG157" s="78"/>
      <c r="CH157" s="78"/>
      <c r="CI157" s="78"/>
      <c r="CJ157" s="78"/>
      <c r="CK157" s="78"/>
      <c r="CL157" s="78"/>
      <c r="CM157" s="78"/>
      <c r="CN157" s="78"/>
      <c r="CO157" s="78"/>
      <c r="CP157" s="78"/>
      <c r="CQ157" s="78"/>
      <c r="CR157" s="78"/>
      <c r="CS157" s="78"/>
      <c r="CT157" s="78"/>
      <c r="CU157" s="78"/>
      <c r="CV157" s="78"/>
      <c r="CW157" s="78"/>
      <c r="CX157" s="78"/>
      <c r="CY157" s="78"/>
      <c r="CZ157" s="78"/>
      <c r="DA157" s="78"/>
      <c r="DB157" s="78"/>
      <c r="DC157" s="78"/>
      <c r="DD157" s="78"/>
      <c r="DE157" s="78"/>
      <c r="DF157" s="78"/>
      <c r="DG157" s="78"/>
      <c r="DH157" s="78"/>
      <c r="DI157" s="78"/>
      <c r="DJ157" s="78"/>
      <c r="DK157" s="78"/>
      <c r="DL157" s="78"/>
      <c r="DM157" s="78"/>
      <c r="DN157" s="78"/>
      <c r="DO157" s="78"/>
      <c r="DP157" s="78"/>
      <c r="DQ157" s="78"/>
      <c r="DR157" s="78"/>
      <c r="DS157" s="78"/>
      <c r="DT157" s="78"/>
      <c r="DU157" s="78"/>
      <c r="DV157" s="78"/>
      <c r="DW157" s="78"/>
      <c r="DX157" s="78"/>
      <c r="DY157" s="78"/>
      <c r="DZ157" s="78"/>
      <c r="EA157" s="78"/>
      <c r="EB157" s="78"/>
      <c r="EC157" s="78"/>
      <c r="ED157" s="78"/>
      <c r="EE157" s="78"/>
      <c r="EF157" s="78"/>
      <c r="EG157" s="78"/>
      <c r="EH157" s="78"/>
      <c r="EI157" s="91"/>
      <c r="EJ157" s="91"/>
      <c r="EK157" s="91"/>
      <c r="EL157" s="91"/>
      <c r="EM157" s="91"/>
      <c r="EN157" s="91"/>
      <c r="EO157" s="91"/>
      <c r="EP157" s="78"/>
      <c r="EQ157" s="78"/>
      <c r="ER157" s="78"/>
      <c r="ES157" s="78"/>
      <c r="ET157" s="78"/>
      <c r="EU157" s="78"/>
      <c r="EV157" s="78"/>
      <c r="EW157" s="78"/>
      <c r="EX157" s="78"/>
      <c r="EY157" s="78"/>
      <c r="EZ157" s="78"/>
      <c r="FA157" s="78"/>
      <c r="FB157" s="78"/>
      <c r="FC157" s="78"/>
      <c r="FD157" s="78"/>
      <c r="FE157" s="78"/>
      <c r="FF157" s="78"/>
      <c r="FG157" s="78"/>
      <c r="FH157" s="78"/>
      <c r="FI157" s="78"/>
      <c r="FJ157" s="78"/>
      <c r="FK157" s="78"/>
    </row>
    <row r="158" spans="1:167" hidden="1" outlineLevel="1">
      <c r="A158" s="29" t="str">
        <f t="shared" si="22"/>
        <v>cd_imv_out_certifvlr_aqcmnt_ambnt_rnvv</v>
      </c>
      <c r="B158" s="67" t="s">
        <v>26</v>
      </c>
      <c r="C158" s="68" t="s">
        <v>54</v>
      </c>
      <c r="D158" s="64" t="s">
        <v>40</v>
      </c>
      <c r="E158" s="66" t="s">
        <v>507</v>
      </c>
      <c r="F158" s="64" t="s">
        <v>526</v>
      </c>
      <c r="G158" s="64" t="e">
        <f>INDEX(Auxiliar!$B$16:$B$24,MATCH(Plano_V1!H158,Auxiliar!$C$16:$C$24,0),1)</f>
        <v>#N/A</v>
      </c>
      <c r="H158" s="64" t="e">
        <f>VLOOKUP(A158,'Aux - pivots1'!$A:$B,2,0)</f>
        <v>#N/A</v>
      </c>
      <c r="I158" s="84">
        <f>SUMIFS(Table1[Estimação (horas)],Table1[Tabela],Plano_V1!E158,Table1[Campo],Plano_V1!F158)</f>
        <v>0</v>
      </c>
      <c r="J158" s="84">
        <f t="shared" si="20"/>
        <v>0</v>
      </c>
      <c r="K158" s="87" t="s">
        <v>124</v>
      </c>
      <c r="L158" s="90">
        <f t="shared" si="21"/>
        <v>0</v>
      </c>
      <c r="M158" s="78"/>
      <c r="N158" s="78"/>
      <c r="O158" s="78"/>
      <c r="P158" s="78"/>
      <c r="Q158" s="78"/>
      <c r="R158" s="78"/>
      <c r="S158" s="78"/>
      <c r="T158" s="78"/>
      <c r="U158" s="78"/>
      <c r="V158" s="78"/>
      <c r="W158" s="78"/>
      <c r="X158" s="78"/>
      <c r="Y158" s="78"/>
      <c r="Z158" s="78"/>
      <c r="AA158" s="78"/>
      <c r="AB158" s="78"/>
      <c r="AC158" s="78"/>
      <c r="AD158" s="78"/>
      <c r="AE158" s="78"/>
      <c r="AF158" s="78"/>
      <c r="AG158" s="78"/>
      <c r="AH158" s="78"/>
      <c r="AI158" s="78"/>
      <c r="AJ158" s="78"/>
      <c r="AK158" s="78"/>
      <c r="AL158" s="78"/>
      <c r="AM158" s="78"/>
      <c r="AN158" s="78"/>
      <c r="AO158" s="78"/>
      <c r="AP158" s="78"/>
      <c r="AQ158" s="78"/>
      <c r="AR158" s="78"/>
      <c r="AS158" s="78"/>
      <c r="AT158" s="91"/>
      <c r="AU158" s="78"/>
      <c r="AV158" s="78"/>
      <c r="AW158" s="78"/>
      <c r="AX158" s="78"/>
      <c r="AY158" s="78"/>
      <c r="AZ158" s="78"/>
      <c r="BA158" s="78"/>
      <c r="BB158" s="78"/>
      <c r="BC158" s="78"/>
      <c r="BD158" s="78"/>
      <c r="BE158" s="78"/>
      <c r="BF158" s="78"/>
      <c r="BG158" s="78"/>
      <c r="BH158" s="78"/>
      <c r="BI158" s="78"/>
      <c r="BJ158" s="78"/>
      <c r="BK158" s="78"/>
      <c r="BL158" s="78"/>
      <c r="BM158" s="78"/>
      <c r="BN158" s="78"/>
      <c r="BO158" s="78"/>
      <c r="BP158" s="78"/>
      <c r="BQ158" s="78"/>
      <c r="BR158" s="78"/>
      <c r="BS158" s="78"/>
      <c r="BT158" s="78"/>
      <c r="BU158" s="78"/>
      <c r="BV158" s="78"/>
      <c r="BW158" s="78"/>
      <c r="BX158" s="78"/>
      <c r="BY158" s="78"/>
      <c r="BZ158" s="78"/>
      <c r="CA158" s="78"/>
      <c r="CB158" s="78"/>
      <c r="CC158" s="78"/>
      <c r="CD158" s="78"/>
      <c r="CE158" s="78"/>
      <c r="CF158" s="78"/>
      <c r="CG158" s="78"/>
      <c r="CH158" s="78"/>
      <c r="CI158" s="78"/>
      <c r="CJ158" s="78"/>
      <c r="CK158" s="78"/>
      <c r="CL158" s="78"/>
      <c r="CM158" s="78"/>
      <c r="CN158" s="78"/>
      <c r="CO158" s="78"/>
      <c r="CP158" s="78"/>
      <c r="CQ158" s="78"/>
      <c r="CR158" s="78"/>
      <c r="CS158" s="78"/>
      <c r="CT158" s="78"/>
      <c r="CU158" s="78"/>
      <c r="CV158" s="78"/>
      <c r="CW158" s="78"/>
      <c r="CX158" s="78"/>
      <c r="CY158" s="78"/>
      <c r="CZ158" s="78"/>
      <c r="DA158" s="78"/>
      <c r="DB158" s="78"/>
      <c r="DC158" s="78"/>
      <c r="DD158" s="78"/>
      <c r="DE158" s="78"/>
      <c r="DF158" s="78"/>
      <c r="DG158" s="78"/>
      <c r="DH158" s="78"/>
      <c r="DI158" s="78"/>
      <c r="DJ158" s="78"/>
      <c r="DK158" s="78"/>
      <c r="DL158" s="78"/>
      <c r="DM158" s="78"/>
      <c r="DN158" s="78"/>
      <c r="DO158" s="78"/>
      <c r="DP158" s="78"/>
      <c r="DQ158" s="78"/>
      <c r="DR158" s="78"/>
      <c r="DS158" s="78"/>
      <c r="DT158" s="78"/>
      <c r="DU158" s="78"/>
      <c r="DV158" s="78"/>
      <c r="DW158" s="78"/>
      <c r="DX158" s="78"/>
      <c r="DY158" s="78"/>
      <c r="DZ158" s="78"/>
      <c r="EA158" s="78"/>
      <c r="EB158" s="78"/>
      <c r="EC158" s="78"/>
      <c r="ED158" s="78"/>
      <c r="EE158" s="78"/>
      <c r="EF158" s="78"/>
      <c r="EG158" s="78"/>
      <c r="EH158" s="78"/>
      <c r="EI158" s="91"/>
      <c r="EJ158" s="91"/>
      <c r="EK158" s="91"/>
      <c r="EL158" s="91"/>
      <c r="EM158" s="91"/>
      <c r="EN158" s="91"/>
      <c r="EO158" s="91"/>
      <c r="EP158" s="78"/>
      <c r="EQ158" s="78"/>
      <c r="ER158" s="78"/>
      <c r="ES158" s="78"/>
      <c r="ET158" s="78"/>
      <c r="EU158" s="78"/>
      <c r="EV158" s="78"/>
      <c r="EW158" s="78"/>
      <c r="EX158" s="78"/>
      <c r="EY158" s="78"/>
      <c r="EZ158" s="78"/>
      <c r="FA158" s="78"/>
      <c r="FB158" s="78"/>
      <c r="FC158" s="78"/>
      <c r="FD158" s="78"/>
      <c r="FE158" s="78"/>
      <c r="FF158" s="78"/>
      <c r="FG158" s="78"/>
      <c r="FH158" s="78"/>
      <c r="FI158" s="78"/>
      <c r="FJ158" s="78"/>
      <c r="FK158" s="78"/>
    </row>
    <row r="159" spans="1:167" hidden="1" outlineLevel="1">
      <c r="A159" s="29" t="str">
        <f t="shared" si="22"/>
        <v>cd_imv_out_certifvlr_arrfcmnt_ambnt_edfc</v>
      </c>
      <c r="B159" s="67" t="s">
        <v>26</v>
      </c>
      <c r="C159" s="68" t="s">
        <v>54</v>
      </c>
      <c r="D159" s="64" t="s">
        <v>40</v>
      </c>
      <c r="E159" s="66" t="s">
        <v>507</v>
      </c>
      <c r="F159" s="64" t="s">
        <v>527</v>
      </c>
      <c r="G159" s="64" t="e">
        <f>INDEX(Auxiliar!$B$16:$B$24,MATCH(Plano_V1!H159,Auxiliar!$C$16:$C$24,0),1)</f>
        <v>#N/A</v>
      </c>
      <c r="H159" s="64" t="e">
        <f>VLOOKUP(A159,'Aux - pivots1'!$A:$B,2,0)</f>
        <v>#N/A</v>
      </c>
      <c r="I159" s="84">
        <f>SUMIFS(Table1[Estimação (horas)],Table1[Tabela],Plano_V1!E159,Table1[Campo],Plano_V1!F159)</f>
        <v>0</v>
      </c>
      <c r="J159" s="84">
        <f t="shared" si="20"/>
        <v>0</v>
      </c>
      <c r="K159" s="87" t="s">
        <v>124</v>
      </c>
      <c r="L159" s="90">
        <f t="shared" si="21"/>
        <v>0</v>
      </c>
      <c r="M159" s="78"/>
      <c r="N159" s="78"/>
      <c r="O159" s="78"/>
      <c r="P159" s="78"/>
      <c r="Q159" s="78"/>
      <c r="R159" s="78"/>
      <c r="S159" s="78"/>
      <c r="T159" s="78"/>
      <c r="U159" s="78"/>
      <c r="V159" s="78"/>
      <c r="W159" s="78"/>
      <c r="X159" s="78"/>
      <c r="Y159" s="78"/>
      <c r="Z159" s="78"/>
      <c r="AA159" s="78"/>
      <c r="AB159" s="78"/>
      <c r="AC159" s="78"/>
      <c r="AD159" s="78"/>
      <c r="AE159" s="78"/>
      <c r="AF159" s="78"/>
      <c r="AG159" s="78"/>
      <c r="AH159" s="78"/>
      <c r="AI159" s="78"/>
      <c r="AJ159" s="78"/>
      <c r="AK159" s="78"/>
      <c r="AL159" s="78"/>
      <c r="AM159" s="78"/>
      <c r="AN159" s="78"/>
      <c r="AO159" s="78"/>
      <c r="AP159" s="78"/>
      <c r="AQ159" s="78"/>
      <c r="AR159" s="78"/>
      <c r="AS159" s="78"/>
      <c r="AT159" s="91"/>
      <c r="AU159" s="78"/>
      <c r="AV159" s="78"/>
      <c r="AW159" s="78"/>
      <c r="AX159" s="78"/>
      <c r="AY159" s="78"/>
      <c r="AZ159" s="78"/>
      <c r="BA159" s="78"/>
      <c r="BB159" s="78"/>
      <c r="BC159" s="78"/>
      <c r="BD159" s="78"/>
      <c r="BE159" s="78"/>
      <c r="BF159" s="78"/>
      <c r="BG159" s="78"/>
      <c r="BH159" s="78"/>
      <c r="BI159" s="78"/>
      <c r="BJ159" s="78"/>
      <c r="BK159" s="78"/>
      <c r="BL159" s="78"/>
      <c r="BM159" s="78"/>
      <c r="BN159" s="78"/>
      <c r="BO159" s="78"/>
      <c r="BP159" s="78"/>
      <c r="BQ159" s="78"/>
      <c r="BR159" s="78"/>
      <c r="BS159" s="78"/>
      <c r="BT159" s="78"/>
      <c r="BU159" s="78"/>
      <c r="BV159" s="78"/>
      <c r="BW159" s="78"/>
      <c r="BX159" s="78"/>
      <c r="BY159" s="78"/>
      <c r="BZ159" s="78"/>
      <c r="CA159" s="78"/>
      <c r="CB159" s="78"/>
      <c r="CC159" s="78"/>
      <c r="CD159" s="78"/>
      <c r="CE159" s="78"/>
      <c r="CF159" s="78"/>
      <c r="CG159" s="78"/>
      <c r="CH159" s="78"/>
      <c r="CI159" s="78"/>
      <c r="CJ159" s="78"/>
      <c r="CK159" s="78"/>
      <c r="CL159" s="78"/>
      <c r="CM159" s="78"/>
      <c r="CN159" s="78"/>
      <c r="CO159" s="78"/>
      <c r="CP159" s="78"/>
      <c r="CQ159" s="78"/>
      <c r="CR159" s="78"/>
      <c r="CS159" s="78"/>
      <c r="CT159" s="78"/>
      <c r="CU159" s="78"/>
      <c r="CV159" s="78"/>
      <c r="CW159" s="78"/>
      <c r="CX159" s="78"/>
      <c r="CY159" s="78"/>
      <c r="CZ159" s="78"/>
      <c r="DA159" s="78"/>
      <c r="DB159" s="78"/>
      <c r="DC159" s="78"/>
      <c r="DD159" s="78"/>
      <c r="DE159" s="78"/>
      <c r="DF159" s="78"/>
      <c r="DG159" s="78"/>
      <c r="DH159" s="78"/>
      <c r="DI159" s="78"/>
      <c r="DJ159" s="78"/>
      <c r="DK159" s="78"/>
      <c r="DL159" s="78"/>
      <c r="DM159" s="78"/>
      <c r="DN159" s="78"/>
      <c r="DO159" s="78"/>
      <c r="DP159" s="78"/>
      <c r="DQ159" s="78"/>
      <c r="DR159" s="78"/>
      <c r="DS159" s="78"/>
      <c r="DT159" s="78"/>
      <c r="DU159" s="78"/>
      <c r="DV159" s="78"/>
      <c r="DW159" s="78"/>
      <c r="DX159" s="78"/>
      <c r="DY159" s="78"/>
      <c r="DZ159" s="78"/>
      <c r="EA159" s="78"/>
      <c r="EB159" s="78"/>
      <c r="EC159" s="78"/>
      <c r="ED159" s="78"/>
      <c r="EE159" s="78"/>
      <c r="EF159" s="78"/>
      <c r="EG159" s="78"/>
      <c r="EH159" s="78"/>
      <c r="EI159" s="91"/>
      <c r="EJ159" s="91"/>
      <c r="EK159" s="91"/>
      <c r="EL159" s="91"/>
      <c r="EM159" s="91"/>
      <c r="EN159" s="91"/>
      <c r="EO159" s="91"/>
      <c r="EP159" s="78"/>
      <c r="EQ159" s="78"/>
      <c r="ER159" s="78"/>
      <c r="ES159" s="78"/>
      <c r="ET159" s="78"/>
      <c r="EU159" s="78"/>
      <c r="EV159" s="78"/>
      <c r="EW159" s="78"/>
      <c r="EX159" s="78"/>
      <c r="EY159" s="78"/>
      <c r="EZ159" s="78"/>
      <c r="FA159" s="78"/>
      <c r="FB159" s="78"/>
      <c r="FC159" s="78"/>
      <c r="FD159" s="78"/>
      <c r="FE159" s="78"/>
      <c r="FF159" s="78"/>
      <c r="FG159" s="78"/>
      <c r="FH159" s="78"/>
      <c r="FI159" s="78"/>
      <c r="FJ159" s="78"/>
      <c r="FK159" s="78"/>
    </row>
    <row r="160" spans="1:167" hidden="1" outlineLevel="1">
      <c r="A160" s="29" t="str">
        <f t="shared" si="22"/>
        <v>cd_imv_out_certifvlr_arrfcmnt_ambnt_renvv</v>
      </c>
      <c r="B160" s="67" t="s">
        <v>26</v>
      </c>
      <c r="C160" s="68" t="s">
        <v>54</v>
      </c>
      <c r="D160" s="64" t="s">
        <v>40</v>
      </c>
      <c r="E160" s="66" t="s">
        <v>507</v>
      </c>
      <c r="F160" s="64" t="s">
        <v>528</v>
      </c>
      <c r="G160" s="64" t="e">
        <f>INDEX(Auxiliar!$B$16:$B$24,MATCH(Plano_V1!H160,Auxiliar!$C$16:$C$24,0),1)</f>
        <v>#N/A</v>
      </c>
      <c r="H160" s="64" t="e">
        <f>VLOOKUP(A160,'Aux - pivots1'!$A:$B,2,0)</f>
        <v>#N/A</v>
      </c>
      <c r="I160" s="84">
        <f>SUMIFS(Table1[Estimação (horas)],Table1[Tabela],Plano_V1!E160,Table1[Campo],Plano_V1!F160)</f>
        <v>0</v>
      </c>
      <c r="J160" s="84">
        <f t="shared" si="20"/>
        <v>0</v>
      </c>
      <c r="K160" s="87" t="s">
        <v>124</v>
      </c>
      <c r="L160" s="90">
        <f t="shared" si="21"/>
        <v>0</v>
      </c>
      <c r="M160" s="78"/>
      <c r="N160" s="78"/>
      <c r="O160" s="78"/>
      <c r="P160" s="78"/>
      <c r="Q160" s="78"/>
      <c r="R160" s="78"/>
      <c r="S160" s="78"/>
      <c r="T160" s="78"/>
      <c r="U160" s="78"/>
      <c r="V160" s="78"/>
      <c r="W160" s="78"/>
      <c r="X160" s="78"/>
      <c r="Y160" s="78"/>
      <c r="Z160" s="78"/>
      <c r="AA160" s="78"/>
      <c r="AB160" s="78"/>
      <c r="AC160" s="78"/>
      <c r="AD160" s="78"/>
      <c r="AE160" s="78"/>
      <c r="AF160" s="78"/>
      <c r="AG160" s="78"/>
      <c r="AH160" s="78"/>
      <c r="AI160" s="78"/>
      <c r="AJ160" s="78"/>
      <c r="AK160" s="78"/>
      <c r="AL160" s="78"/>
      <c r="AM160" s="78"/>
      <c r="AN160" s="78"/>
      <c r="AO160" s="78"/>
      <c r="AP160" s="78"/>
      <c r="AQ160" s="78"/>
      <c r="AR160" s="78"/>
      <c r="AS160" s="78"/>
      <c r="AT160" s="91"/>
      <c r="AU160" s="78"/>
      <c r="AV160" s="78"/>
      <c r="AW160" s="78"/>
      <c r="AX160" s="78"/>
      <c r="AY160" s="78"/>
      <c r="AZ160" s="78"/>
      <c r="BA160" s="78"/>
      <c r="BB160" s="78"/>
      <c r="BC160" s="78"/>
      <c r="BD160" s="78"/>
      <c r="BE160" s="78"/>
      <c r="BF160" s="78"/>
      <c r="BG160" s="78"/>
      <c r="BH160" s="78"/>
      <c r="BI160" s="78"/>
      <c r="BJ160" s="78"/>
      <c r="BK160" s="78"/>
      <c r="BL160" s="78"/>
      <c r="BM160" s="78"/>
      <c r="BN160" s="78"/>
      <c r="BO160" s="78"/>
      <c r="BP160" s="78"/>
      <c r="BQ160" s="78"/>
      <c r="BR160" s="78"/>
      <c r="BS160" s="78"/>
      <c r="BT160" s="78"/>
      <c r="BU160" s="78"/>
      <c r="BV160" s="78"/>
      <c r="BW160" s="78"/>
      <c r="BX160" s="78"/>
      <c r="BY160" s="78"/>
      <c r="BZ160" s="78"/>
      <c r="CA160" s="78"/>
      <c r="CB160" s="78"/>
      <c r="CC160" s="78"/>
      <c r="CD160" s="78"/>
      <c r="CE160" s="78"/>
      <c r="CF160" s="78"/>
      <c r="CG160" s="78"/>
      <c r="CH160" s="78"/>
      <c r="CI160" s="78"/>
      <c r="CJ160" s="78"/>
      <c r="CK160" s="78"/>
      <c r="CL160" s="78"/>
      <c r="CM160" s="78"/>
      <c r="CN160" s="78"/>
      <c r="CO160" s="78"/>
      <c r="CP160" s="78"/>
      <c r="CQ160" s="78"/>
      <c r="CR160" s="78"/>
      <c r="CS160" s="78"/>
      <c r="CT160" s="78"/>
      <c r="CU160" s="78"/>
      <c r="CV160" s="78"/>
      <c r="CW160" s="78"/>
      <c r="CX160" s="78"/>
      <c r="CY160" s="78"/>
      <c r="CZ160" s="78"/>
      <c r="DA160" s="78"/>
      <c r="DB160" s="78"/>
      <c r="DC160" s="78"/>
      <c r="DD160" s="78"/>
      <c r="DE160" s="78"/>
      <c r="DF160" s="78"/>
      <c r="DG160" s="78"/>
      <c r="DH160" s="78"/>
      <c r="DI160" s="78"/>
      <c r="DJ160" s="78"/>
      <c r="DK160" s="78"/>
      <c r="DL160" s="78"/>
      <c r="DM160" s="78"/>
      <c r="DN160" s="78"/>
      <c r="DO160" s="78"/>
      <c r="DP160" s="78"/>
      <c r="DQ160" s="78"/>
      <c r="DR160" s="78"/>
      <c r="DS160" s="78"/>
      <c r="DT160" s="78"/>
      <c r="DU160" s="78"/>
      <c r="DV160" s="78"/>
      <c r="DW160" s="78"/>
      <c r="DX160" s="78"/>
      <c r="DY160" s="78"/>
      <c r="DZ160" s="78"/>
      <c r="EA160" s="78"/>
      <c r="EB160" s="78"/>
      <c r="EC160" s="78"/>
      <c r="ED160" s="78"/>
      <c r="EE160" s="78"/>
      <c r="EF160" s="78"/>
      <c r="EG160" s="78"/>
      <c r="EH160" s="78"/>
      <c r="EI160" s="91"/>
      <c r="EJ160" s="91"/>
      <c r="EK160" s="91"/>
      <c r="EL160" s="91"/>
      <c r="EM160" s="91"/>
      <c r="EN160" s="91"/>
      <c r="EO160" s="91"/>
      <c r="EP160" s="78"/>
      <c r="EQ160" s="78"/>
      <c r="ER160" s="78"/>
      <c r="ES160" s="78"/>
      <c r="ET160" s="78"/>
      <c r="EU160" s="78"/>
      <c r="EV160" s="78"/>
      <c r="EW160" s="78"/>
      <c r="EX160" s="78"/>
      <c r="EY160" s="78"/>
      <c r="EZ160" s="78"/>
      <c r="FA160" s="78"/>
      <c r="FB160" s="78"/>
      <c r="FC160" s="78"/>
      <c r="FD160" s="78"/>
      <c r="FE160" s="78"/>
      <c r="FF160" s="78"/>
      <c r="FG160" s="78"/>
      <c r="FH160" s="78"/>
      <c r="FI160" s="78"/>
      <c r="FJ160" s="78"/>
      <c r="FK160" s="78"/>
    </row>
    <row r="161" spans="1:167" hidden="1" outlineLevel="1">
      <c r="A161" s="29" t="str">
        <f t="shared" si="22"/>
        <v>cd_imv_out_certifvlr_arrfcmnt_ambnt_rfrc</v>
      </c>
      <c r="B161" s="67" t="s">
        <v>26</v>
      </c>
      <c r="C161" s="68" t="s">
        <v>54</v>
      </c>
      <c r="D161" s="64" t="s">
        <v>40</v>
      </c>
      <c r="E161" s="66" t="s">
        <v>507</v>
      </c>
      <c r="F161" s="64" t="s">
        <v>529</v>
      </c>
      <c r="G161" s="64" t="e">
        <f>INDEX(Auxiliar!$B$16:$B$24,MATCH(Plano_V1!H161,Auxiliar!$C$16:$C$24,0),1)</f>
        <v>#N/A</v>
      </c>
      <c r="H161" s="64" t="e">
        <f>VLOOKUP(A161,'Aux - pivots1'!$A:$B,2,0)</f>
        <v>#N/A</v>
      </c>
      <c r="I161" s="84">
        <f>SUMIFS(Table1[Estimação (horas)],Table1[Tabela],Plano_V1!E161,Table1[Campo],Plano_V1!F161)</f>
        <v>0</v>
      </c>
      <c r="J161" s="84">
        <f t="shared" si="20"/>
        <v>0</v>
      </c>
      <c r="K161" s="87" t="s">
        <v>124</v>
      </c>
      <c r="L161" s="90">
        <f t="shared" si="21"/>
        <v>0</v>
      </c>
      <c r="M161" s="78"/>
      <c r="N161" s="78"/>
      <c r="O161" s="78"/>
      <c r="P161" s="78"/>
      <c r="Q161" s="78"/>
      <c r="R161" s="78"/>
      <c r="S161" s="78"/>
      <c r="T161" s="78"/>
      <c r="U161" s="78"/>
      <c r="V161" s="78"/>
      <c r="W161" s="78"/>
      <c r="X161" s="78"/>
      <c r="Y161" s="78"/>
      <c r="Z161" s="78"/>
      <c r="AA161" s="78"/>
      <c r="AB161" s="78"/>
      <c r="AC161" s="78"/>
      <c r="AD161" s="78"/>
      <c r="AE161" s="78"/>
      <c r="AF161" s="78"/>
      <c r="AG161" s="78"/>
      <c r="AH161" s="78"/>
      <c r="AI161" s="78"/>
      <c r="AJ161" s="78"/>
      <c r="AK161" s="78"/>
      <c r="AL161" s="78"/>
      <c r="AM161" s="78"/>
      <c r="AN161" s="78"/>
      <c r="AO161" s="78"/>
      <c r="AP161" s="78"/>
      <c r="AQ161" s="78"/>
      <c r="AR161" s="78"/>
      <c r="AS161" s="78"/>
      <c r="AT161" s="91"/>
      <c r="AU161" s="78"/>
      <c r="AV161" s="78"/>
      <c r="AW161" s="78"/>
      <c r="AX161" s="78"/>
      <c r="AY161" s="78"/>
      <c r="AZ161" s="78"/>
      <c r="BA161" s="78"/>
      <c r="BB161" s="78"/>
      <c r="BC161" s="78"/>
      <c r="BD161" s="78"/>
      <c r="BE161" s="78"/>
      <c r="BF161" s="78"/>
      <c r="BG161" s="78"/>
      <c r="BH161" s="78"/>
      <c r="BI161" s="78"/>
      <c r="BJ161" s="78"/>
      <c r="BK161" s="78"/>
      <c r="BL161" s="78"/>
      <c r="BM161" s="78"/>
      <c r="BN161" s="78"/>
      <c r="BO161" s="78"/>
      <c r="BP161" s="78"/>
      <c r="BQ161" s="78"/>
      <c r="BR161" s="78"/>
      <c r="BS161" s="78"/>
      <c r="BT161" s="78"/>
      <c r="BU161" s="78"/>
      <c r="BV161" s="78"/>
      <c r="BW161" s="78"/>
      <c r="BX161" s="78"/>
      <c r="BY161" s="78"/>
      <c r="BZ161" s="78"/>
      <c r="CA161" s="78"/>
      <c r="CB161" s="78"/>
      <c r="CC161" s="78"/>
      <c r="CD161" s="78"/>
      <c r="CE161" s="78"/>
      <c r="CF161" s="78"/>
      <c r="CG161" s="78"/>
      <c r="CH161" s="78"/>
      <c r="CI161" s="78"/>
      <c r="CJ161" s="78"/>
      <c r="CK161" s="78"/>
      <c r="CL161" s="78"/>
      <c r="CM161" s="78"/>
      <c r="CN161" s="78"/>
      <c r="CO161" s="78"/>
      <c r="CP161" s="78"/>
      <c r="CQ161" s="78"/>
      <c r="CR161" s="78"/>
      <c r="CS161" s="78"/>
      <c r="CT161" s="78"/>
      <c r="CU161" s="78"/>
      <c r="CV161" s="78"/>
      <c r="CW161" s="78"/>
      <c r="CX161" s="78"/>
      <c r="CY161" s="78"/>
      <c r="CZ161" s="78"/>
      <c r="DA161" s="78"/>
      <c r="DB161" s="78"/>
      <c r="DC161" s="78"/>
      <c r="DD161" s="78"/>
      <c r="DE161" s="78"/>
      <c r="DF161" s="78"/>
      <c r="DG161" s="78"/>
      <c r="DH161" s="78"/>
      <c r="DI161" s="78"/>
      <c r="DJ161" s="78"/>
      <c r="DK161" s="78"/>
      <c r="DL161" s="78"/>
      <c r="DM161" s="78"/>
      <c r="DN161" s="78"/>
      <c r="DO161" s="78"/>
      <c r="DP161" s="78"/>
      <c r="DQ161" s="78"/>
      <c r="DR161" s="78"/>
      <c r="DS161" s="78"/>
      <c r="DT161" s="78"/>
      <c r="DU161" s="78"/>
      <c r="DV161" s="78"/>
      <c r="DW161" s="78"/>
      <c r="DX161" s="78"/>
      <c r="DY161" s="78"/>
      <c r="DZ161" s="78"/>
      <c r="EA161" s="78"/>
      <c r="EB161" s="78"/>
      <c r="EC161" s="78"/>
      <c r="ED161" s="78"/>
      <c r="EE161" s="78"/>
      <c r="EF161" s="78"/>
      <c r="EG161" s="78"/>
      <c r="EH161" s="78"/>
      <c r="EI161" s="91"/>
      <c r="EJ161" s="91"/>
      <c r="EK161" s="91"/>
      <c r="EL161" s="91"/>
      <c r="EM161" s="91"/>
      <c r="EN161" s="91"/>
      <c r="EO161" s="91"/>
      <c r="EP161" s="78"/>
      <c r="EQ161" s="78"/>
      <c r="ER161" s="78"/>
      <c r="ES161" s="78"/>
      <c r="ET161" s="78"/>
      <c r="EU161" s="78"/>
      <c r="EV161" s="78"/>
      <c r="EW161" s="78"/>
      <c r="EX161" s="78"/>
      <c r="EY161" s="78"/>
      <c r="EZ161" s="78"/>
      <c r="FA161" s="78"/>
      <c r="FB161" s="78"/>
      <c r="FC161" s="78"/>
      <c r="FD161" s="78"/>
      <c r="FE161" s="78"/>
      <c r="FF161" s="78"/>
      <c r="FG161" s="78"/>
      <c r="FH161" s="78"/>
      <c r="FI161" s="78"/>
      <c r="FJ161" s="78"/>
      <c r="FK161" s="78"/>
    </row>
    <row r="162" spans="1:167" hidden="1" outlineLevel="1">
      <c r="A162" s="29" t="str">
        <f t="shared" si="22"/>
        <v>cd_imv_out_certifvlr_class_enrg_aps_mdd</v>
      </c>
      <c r="B162" s="67" t="s">
        <v>26</v>
      </c>
      <c r="C162" s="68" t="s">
        <v>54</v>
      </c>
      <c r="D162" s="64" t="s">
        <v>40</v>
      </c>
      <c r="E162" s="66" t="s">
        <v>507</v>
      </c>
      <c r="F162" s="64" t="s">
        <v>530</v>
      </c>
      <c r="G162" s="64" t="e">
        <f>INDEX(Auxiliar!$B$16:$B$24,MATCH(Plano_V1!H162,Auxiliar!$C$16:$C$24,0),1)</f>
        <v>#N/A</v>
      </c>
      <c r="H162" s="64" t="e">
        <f>VLOOKUP(A162,'Aux - pivots1'!$A:$B,2,0)</f>
        <v>#N/A</v>
      </c>
      <c r="I162" s="84">
        <f>SUMIFS(Table1[Estimação (horas)],Table1[Tabela],Plano_V1!E162,Table1[Campo],Plano_V1!F162)</f>
        <v>0</v>
      </c>
      <c r="J162" s="84">
        <f t="shared" si="20"/>
        <v>0</v>
      </c>
      <c r="K162" s="87" t="s">
        <v>124</v>
      </c>
      <c r="L162" s="90">
        <f t="shared" si="21"/>
        <v>0</v>
      </c>
      <c r="M162" s="78"/>
      <c r="N162" s="78"/>
      <c r="O162" s="78"/>
      <c r="P162" s="78"/>
      <c r="Q162" s="78"/>
      <c r="R162" s="78"/>
      <c r="S162" s="78"/>
      <c r="T162" s="78"/>
      <c r="U162" s="78"/>
      <c r="V162" s="78"/>
      <c r="W162" s="78"/>
      <c r="X162" s="78"/>
      <c r="Y162" s="78"/>
      <c r="Z162" s="78"/>
      <c r="AA162" s="78"/>
      <c r="AB162" s="78"/>
      <c r="AC162" s="78"/>
      <c r="AD162" s="78"/>
      <c r="AE162" s="78"/>
      <c r="AF162" s="78"/>
      <c r="AG162" s="78"/>
      <c r="AH162" s="78"/>
      <c r="AI162" s="78"/>
      <c r="AJ162" s="78"/>
      <c r="AK162" s="78"/>
      <c r="AL162" s="78"/>
      <c r="AM162" s="78"/>
      <c r="AN162" s="78"/>
      <c r="AO162" s="78"/>
      <c r="AP162" s="78"/>
      <c r="AQ162" s="78"/>
      <c r="AR162" s="78"/>
      <c r="AS162" s="78"/>
      <c r="AT162" s="91"/>
      <c r="AU162" s="78"/>
      <c r="AV162" s="78"/>
      <c r="AW162" s="78"/>
      <c r="AX162" s="78"/>
      <c r="AY162" s="78"/>
      <c r="AZ162" s="78"/>
      <c r="BA162" s="78"/>
      <c r="BB162" s="78"/>
      <c r="BC162" s="78"/>
      <c r="BD162" s="78"/>
      <c r="BE162" s="78"/>
      <c r="BF162" s="78"/>
      <c r="BG162" s="78"/>
      <c r="BH162" s="78"/>
      <c r="BI162" s="78"/>
      <c r="BJ162" s="78"/>
      <c r="BK162" s="78"/>
      <c r="BL162" s="78"/>
      <c r="BM162" s="78"/>
      <c r="BN162" s="78"/>
      <c r="BO162" s="78"/>
      <c r="BP162" s="78"/>
      <c r="BQ162" s="78"/>
      <c r="BR162" s="78"/>
      <c r="BS162" s="78"/>
      <c r="BT162" s="78"/>
      <c r="BU162" s="78"/>
      <c r="BV162" s="78"/>
      <c r="BW162" s="78"/>
      <c r="BX162" s="78"/>
      <c r="BY162" s="78"/>
      <c r="BZ162" s="78"/>
      <c r="CA162" s="78"/>
      <c r="CB162" s="78"/>
      <c r="CC162" s="78"/>
      <c r="CD162" s="78"/>
      <c r="CE162" s="78"/>
      <c r="CF162" s="78"/>
      <c r="CG162" s="78"/>
      <c r="CH162" s="78"/>
      <c r="CI162" s="78"/>
      <c r="CJ162" s="78"/>
      <c r="CK162" s="78"/>
      <c r="CL162" s="78"/>
      <c r="CM162" s="78"/>
      <c r="CN162" s="78"/>
      <c r="CO162" s="78"/>
      <c r="CP162" s="78"/>
      <c r="CQ162" s="78"/>
      <c r="CR162" s="78"/>
      <c r="CS162" s="78"/>
      <c r="CT162" s="78"/>
      <c r="CU162" s="78"/>
      <c r="CV162" s="78"/>
      <c r="CW162" s="78"/>
      <c r="CX162" s="78"/>
      <c r="CY162" s="78"/>
      <c r="CZ162" s="78"/>
      <c r="DA162" s="78"/>
      <c r="DB162" s="78"/>
      <c r="DC162" s="78"/>
      <c r="DD162" s="78"/>
      <c r="DE162" s="78"/>
      <c r="DF162" s="78"/>
      <c r="DG162" s="78"/>
      <c r="DH162" s="78"/>
      <c r="DI162" s="78"/>
      <c r="DJ162" s="78"/>
      <c r="DK162" s="78"/>
      <c r="DL162" s="78"/>
      <c r="DM162" s="78"/>
      <c r="DN162" s="78"/>
      <c r="DO162" s="78"/>
      <c r="DP162" s="78"/>
      <c r="DQ162" s="78"/>
      <c r="DR162" s="78"/>
      <c r="DS162" s="78"/>
      <c r="DT162" s="78"/>
      <c r="DU162" s="78"/>
      <c r="DV162" s="78"/>
      <c r="DW162" s="78"/>
      <c r="DX162" s="78"/>
      <c r="DY162" s="78"/>
      <c r="DZ162" s="78"/>
      <c r="EA162" s="78"/>
      <c r="EB162" s="78"/>
      <c r="EC162" s="78"/>
      <c r="ED162" s="78"/>
      <c r="EE162" s="78"/>
      <c r="EF162" s="78"/>
      <c r="EG162" s="78"/>
      <c r="EH162" s="78"/>
      <c r="EI162" s="91"/>
      <c r="EJ162" s="91"/>
      <c r="EK162" s="91"/>
      <c r="EL162" s="91"/>
      <c r="EM162" s="91"/>
      <c r="EN162" s="91"/>
      <c r="EO162" s="91"/>
      <c r="EP162" s="78"/>
      <c r="EQ162" s="78"/>
      <c r="ER162" s="78"/>
      <c r="ES162" s="78"/>
      <c r="ET162" s="78"/>
      <c r="EU162" s="78"/>
      <c r="EV162" s="78"/>
      <c r="EW162" s="78"/>
      <c r="EX162" s="78"/>
      <c r="EY162" s="78"/>
      <c r="EZ162" s="78"/>
      <c r="FA162" s="78"/>
      <c r="FB162" s="78"/>
      <c r="FC162" s="78"/>
      <c r="FD162" s="78"/>
      <c r="FE162" s="78"/>
      <c r="FF162" s="78"/>
      <c r="FG162" s="78"/>
      <c r="FH162" s="78"/>
      <c r="FI162" s="78"/>
      <c r="FJ162" s="78"/>
      <c r="FK162" s="78"/>
    </row>
    <row r="163" spans="1:167" hidden="1" outlineLevel="1">
      <c r="A163" s="29" t="str">
        <f t="shared" si="22"/>
        <v>cd_imv_out_certifvlr_cnsm_ano</v>
      </c>
      <c r="B163" s="67" t="s">
        <v>26</v>
      </c>
      <c r="C163" s="68" t="s">
        <v>54</v>
      </c>
      <c r="D163" s="64" t="s">
        <v>40</v>
      </c>
      <c r="E163" s="66" t="s">
        <v>507</v>
      </c>
      <c r="F163" s="64" t="s">
        <v>454</v>
      </c>
      <c r="G163" s="64" t="e">
        <f>INDEX(Auxiliar!$B$16:$B$24,MATCH(Plano_V1!H163,Auxiliar!$C$16:$C$24,0),1)</f>
        <v>#N/A</v>
      </c>
      <c r="H163" s="64" t="e">
        <f>VLOOKUP(A163,'Aux - pivots1'!$A:$B,2,0)</f>
        <v>#N/A</v>
      </c>
      <c r="I163" s="84">
        <f>SUMIFS(Table1[Estimação (horas)],Table1[Tabela],Plano_V1!E163,Table1[Campo],Plano_V1!F163)</f>
        <v>0</v>
      </c>
      <c r="J163" s="84">
        <f t="shared" si="20"/>
        <v>0</v>
      </c>
      <c r="K163" s="87" t="s">
        <v>124</v>
      </c>
      <c r="L163" s="90">
        <f t="shared" si="21"/>
        <v>0</v>
      </c>
      <c r="M163" s="78"/>
      <c r="N163" s="78"/>
      <c r="O163" s="78"/>
      <c r="P163" s="78"/>
      <c r="Q163" s="78"/>
      <c r="R163" s="78"/>
      <c r="S163" s="78"/>
      <c r="T163" s="78"/>
      <c r="U163" s="78"/>
      <c r="V163" s="78"/>
      <c r="W163" s="78"/>
      <c r="X163" s="78"/>
      <c r="Y163" s="78"/>
      <c r="Z163" s="78"/>
      <c r="AA163" s="78"/>
      <c r="AB163" s="78"/>
      <c r="AC163" s="78"/>
      <c r="AD163" s="78"/>
      <c r="AE163" s="78"/>
      <c r="AF163" s="78"/>
      <c r="AG163" s="78"/>
      <c r="AH163" s="78"/>
      <c r="AI163" s="78"/>
      <c r="AJ163" s="78"/>
      <c r="AK163" s="78"/>
      <c r="AL163" s="78"/>
      <c r="AM163" s="78"/>
      <c r="AN163" s="78"/>
      <c r="AO163" s="78"/>
      <c r="AP163" s="78"/>
      <c r="AQ163" s="78"/>
      <c r="AR163" s="78"/>
      <c r="AS163" s="78"/>
      <c r="AT163" s="91"/>
      <c r="AU163" s="78"/>
      <c r="AV163" s="78"/>
      <c r="AW163" s="78"/>
      <c r="AX163" s="78"/>
      <c r="AY163" s="78"/>
      <c r="AZ163" s="78"/>
      <c r="BA163" s="78"/>
      <c r="BB163" s="78"/>
      <c r="BC163" s="78"/>
      <c r="BD163" s="78"/>
      <c r="BE163" s="78"/>
      <c r="BF163" s="78"/>
      <c r="BG163" s="78"/>
      <c r="BH163" s="78"/>
      <c r="BI163" s="78"/>
      <c r="BJ163" s="78"/>
      <c r="BK163" s="78"/>
      <c r="BL163" s="78"/>
      <c r="BM163" s="78"/>
      <c r="BN163" s="78"/>
      <c r="BO163" s="78"/>
      <c r="BP163" s="78"/>
      <c r="BQ163" s="78"/>
      <c r="BR163" s="78"/>
      <c r="BS163" s="78"/>
      <c r="BT163" s="78"/>
      <c r="BU163" s="78"/>
      <c r="BV163" s="78"/>
      <c r="BW163" s="78"/>
      <c r="BX163" s="78"/>
      <c r="BY163" s="78"/>
      <c r="BZ163" s="78"/>
      <c r="CA163" s="78"/>
      <c r="CB163" s="78"/>
      <c r="CC163" s="78"/>
      <c r="CD163" s="78"/>
      <c r="CE163" s="78"/>
      <c r="CF163" s="78"/>
      <c r="CG163" s="78"/>
      <c r="CH163" s="78"/>
      <c r="CI163" s="78"/>
      <c r="CJ163" s="78"/>
      <c r="CK163" s="78"/>
      <c r="CL163" s="78"/>
      <c r="CM163" s="78"/>
      <c r="CN163" s="78"/>
      <c r="CO163" s="78"/>
      <c r="CP163" s="78"/>
      <c r="CQ163" s="78"/>
      <c r="CR163" s="78"/>
      <c r="CS163" s="78"/>
      <c r="CT163" s="78"/>
      <c r="CU163" s="78"/>
      <c r="CV163" s="78"/>
      <c r="CW163" s="78"/>
      <c r="CX163" s="78"/>
      <c r="CY163" s="78"/>
      <c r="CZ163" s="78"/>
      <c r="DA163" s="78"/>
      <c r="DB163" s="78"/>
      <c r="DC163" s="78"/>
      <c r="DD163" s="78"/>
      <c r="DE163" s="78"/>
      <c r="DF163" s="78"/>
      <c r="DG163" s="78"/>
      <c r="DH163" s="78"/>
      <c r="DI163" s="78"/>
      <c r="DJ163" s="78"/>
      <c r="DK163" s="78"/>
      <c r="DL163" s="78"/>
      <c r="DM163" s="78"/>
      <c r="DN163" s="78"/>
      <c r="DO163" s="78"/>
      <c r="DP163" s="78"/>
      <c r="DQ163" s="78"/>
      <c r="DR163" s="78"/>
      <c r="DS163" s="78"/>
      <c r="DT163" s="78"/>
      <c r="DU163" s="78"/>
      <c r="DV163" s="78"/>
      <c r="DW163" s="78"/>
      <c r="DX163" s="78"/>
      <c r="DY163" s="78"/>
      <c r="DZ163" s="78"/>
      <c r="EA163" s="78"/>
      <c r="EB163" s="78"/>
      <c r="EC163" s="78"/>
      <c r="ED163" s="78"/>
      <c r="EE163" s="78"/>
      <c r="EF163" s="78"/>
      <c r="EG163" s="78"/>
      <c r="EH163" s="78"/>
      <c r="EI163" s="91"/>
      <c r="EJ163" s="91"/>
      <c r="EK163" s="91"/>
      <c r="EL163" s="91"/>
      <c r="EM163" s="91"/>
      <c r="EN163" s="91"/>
      <c r="EO163" s="91"/>
      <c r="EP163" s="78"/>
      <c r="EQ163" s="78"/>
      <c r="ER163" s="78"/>
      <c r="ES163" s="78"/>
      <c r="ET163" s="78"/>
      <c r="EU163" s="78"/>
      <c r="EV163" s="78"/>
      <c r="EW163" s="78"/>
      <c r="EX163" s="78"/>
      <c r="EY163" s="78"/>
      <c r="EZ163" s="78"/>
      <c r="FA163" s="78"/>
      <c r="FB163" s="78"/>
      <c r="FC163" s="78"/>
      <c r="FD163" s="78"/>
      <c r="FE163" s="78"/>
      <c r="FF163" s="78"/>
      <c r="FG163" s="78"/>
      <c r="FH163" s="78"/>
      <c r="FI163" s="78"/>
      <c r="FJ163" s="78"/>
      <c r="FK163" s="78"/>
    </row>
    <row r="164" spans="1:167" hidden="1" outlineLevel="1">
      <c r="A164" s="29" t="str">
        <f t="shared" si="22"/>
        <v>cd_imv_out_certifvlr_comp_trmc_cbrtrs</v>
      </c>
      <c r="B164" s="67" t="s">
        <v>26</v>
      </c>
      <c r="C164" s="68" t="s">
        <v>54</v>
      </c>
      <c r="D164" s="64" t="s">
        <v>40</v>
      </c>
      <c r="E164" s="66" t="s">
        <v>507</v>
      </c>
      <c r="F164" s="64" t="s">
        <v>531</v>
      </c>
      <c r="G164" s="64" t="e">
        <f>INDEX(Auxiliar!$B$16:$B$24,MATCH(Plano_V1!H164,Auxiliar!$C$16:$C$24,0),1)</f>
        <v>#N/A</v>
      </c>
      <c r="H164" s="64" t="e">
        <f>VLOOKUP(A164,'Aux - pivots1'!$A:$B,2,0)</f>
        <v>#N/A</v>
      </c>
      <c r="I164" s="84">
        <f>SUMIFS(Table1[Estimação (horas)],Table1[Tabela],Plano_V1!E164,Table1[Campo],Plano_V1!F164)</f>
        <v>0</v>
      </c>
      <c r="J164" s="84">
        <f t="shared" si="20"/>
        <v>0</v>
      </c>
      <c r="K164" s="87" t="s">
        <v>124</v>
      </c>
      <c r="L164" s="90">
        <f t="shared" si="21"/>
        <v>0</v>
      </c>
      <c r="M164" s="78"/>
      <c r="N164" s="78"/>
      <c r="O164" s="78"/>
      <c r="P164" s="78"/>
      <c r="Q164" s="78"/>
      <c r="R164" s="78"/>
      <c r="S164" s="78"/>
      <c r="T164" s="78"/>
      <c r="U164" s="78"/>
      <c r="V164" s="78"/>
      <c r="W164" s="78"/>
      <c r="X164" s="78"/>
      <c r="Y164" s="78"/>
      <c r="Z164" s="78"/>
      <c r="AA164" s="78"/>
      <c r="AB164" s="78"/>
      <c r="AC164" s="78"/>
      <c r="AD164" s="78"/>
      <c r="AE164" s="78"/>
      <c r="AF164" s="78"/>
      <c r="AG164" s="78"/>
      <c r="AH164" s="78"/>
      <c r="AI164" s="78"/>
      <c r="AJ164" s="78"/>
      <c r="AK164" s="78"/>
      <c r="AL164" s="78"/>
      <c r="AM164" s="78"/>
      <c r="AN164" s="78"/>
      <c r="AO164" s="78"/>
      <c r="AP164" s="78"/>
      <c r="AQ164" s="78"/>
      <c r="AR164" s="78"/>
      <c r="AS164" s="78"/>
      <c r="AT164" s="91"/>
      <c r="AU164" s="78"/>
      <c r="AV164" s="78"/>
      <c r="AW164" s="78"/>
      <c r="AX164" s="78"/>
      <c r="AY164" s="78"/>
      <c r="AZ164" s="78"/>
      <c r="BA164" s="78"/>
      <c r="BB164" s="78"/>
      <c r="BC164" s="78"/>
      <c r="BD164" s="78"/>
      <c r="BE164" s="78"/>
      <c r="BF164" s="78"/>
      <c r="BG164" s="78"/>
      <c r="BH164" s="78"/>
      <c r="BI164" s="78"/>
      <c r="BJ164" s="78"/>
      <c r="BK164" s="78"/>
      <c r="BL164" s="78"/>
      <c r="BM164" s="78"/>
      <c r="BN164" s="78"/>
      <c r="BO164" s="78"/>
      <c r="BP164" s="78"/>
      <c r="BQ164" s="78"/>
      <c r="BR164" s="78"/>
      <c r="BS164" s="78"/>
      <c r="BT164" s="78"/>
      <c r="BU164" s="78"/>
      <c r="BV164" s="78"/>
      <c r="BW164" s="78"/>
      <c r="BX164" s="78"/>
      <c r="BY164" s="78"/>
      <c r="BZ164" s="78"/>
      <c r="CA164" s="78"/>
      <c r="CB164" s="78"/>
      <c r="CC164" s="78"/>
      <c r="CD164" s="78"/>
      <c r="CE164" s="78"/>
      <c r="CF164" s="78"/>
      <c r="CG164" s="78"/>
      <c r="CH164" s="78"/>
      <c r="CI164" s="78"/>
      <c r="CJ164" s="78"/>
      <c r="CK164" s="78"/>
      <c r="CL164" s="78"/>
      <c r="CM164" s="78"/>
      <c r="CN164" s="78"/>
      <c r="CO164" s="78"/>
      <c r="CP164" s="78"/>
      <c r="CQ164" s="78"/>
      <c r="CR164" s="78"/>
      <c r="CS164" s="78"/>
      <c r="CT164" s="78"/>
      <c r="CU164" s="78"/>
      <c r="CV164" s="78"/>
      <c r="CW164" s="78"/>
      <c r="CX164" s="78"/>
      <c r="CY164" s="78"/>
      <c r="CZ164" s="78"/>
      <c r="DA164" s="78"/>
      <c r="DB164" s="78"/>
      <c r="DC164" s="78"/>
      <c r="DD164" s="78"/>
      <c r="DE164" s="78"/>
      <c r="DF164" s="78"/>
      <c r="DG164" s="78"/>
      <c r="DH164" s="78"/>
      <c r="DI164" s="78"/>
      <c r="DJ164" s="78"/>
      <c r="DK164" s="78"/>
      <c r="DL164" s="78"/>
      <c r="DM164" s="78"/>
      <c r="DN164" s="78"/>
      <c r="DO164" s="78"/>
      <c r="DP164" s="78"/>
      <c r="DQ164" s="78"/>
      <c r="DR164" s="78"/>
      <c r="DS164" s="78"/>
      <c r="DT164" s="78"/>
      <c r="DU164" s="78"/>
      <c r="DV164" s="78"/>
      <c r="DW164" s="78"/>
      <c r="DX164" s="78"/>
      <c r="DY164" s="78"/>
      <c r="DZ164" s="78"/>
      <c r="EA164" s="78"/>
      <c r="EB164" s="78"/>
      <c r="EC164" s="78"/>
      <c r="ED164" s="78"/>
      <c r="EE164" s="78"/>
      <c r="EF164" s="78"/>
      <c r="EG164" s="78"/>
      <c r="EH164" s="78"/>
      <c r="EI164" s="91"/>
      <c r="EJ164" s="91"/>
      <c r="EK164" s="91"/>
      <c r="EL164" s="91"/>
      <c r="EM164" s="91"/>
      <c r="EN164" s="91"/>
      <c r="EO164" s="91"/>
      <c r="EP164" s="78"/>
      <c r="EQ164" s="78"/>
      <c r="ER164" s="78"/>
      <c r="ES164" s="78"/>
      <c r="ET164" s="78"/>
      <c r="EU164" s="78"/>
      <c r="EV164" s="78"/>
      <c r="EW164" s="78"/>
      <c r="EX164" s="78"/>
      <c r="EY164" s="78"/>
      <c r="EZ164" s="78"/>
      <c r="FA164" s="78"/>
      <c r="FB164" s="78"/>
      <c r="FC164" s="78"/>
      <c r="FD164" s="78"/>
      <c r="FE164" s="78"/>
      <c r="FF164" s="78"/>
      <c r="FG164" s="78"/>
      <c r="FH164" s="78"/>
      <c r="FI164" s="78"/>
      <c r="FJ164" s="78"/>
      <c r="FK164" s="78"/>
    </row>
    <row r="165" spans="1:167" hidden="1" outlineLevel="1">
      <c r="A165" s="29" t="str">
        <f t="shared" si="22"/>
        <v>cd_imv_out_certifvlr_comp_trmc_jnls</v>
      </c>
      <c r="B165" s="67" t="s">
        <v>26</v>
      </c>
      <c r="C165" s="68" t="s">
        <v>54</v>
      </c>
      <c r="D165" s="64" t="s">
        <v>40</v>
      </c>
      <c r="E165" s="66" t="s">
        <v>507</v>
      </c>
      <c r="F165" s="64" t="s">
        <v>532</v>
      </c>
      <c r="G165" s="64" t="e">
        <f>INDEX(Auxiliar!$B$16:$B$24,MATCH(Plano_V1!H165,Auxiliar!$C$16:$C$24,0),1)</f>
        <v>#N/A</v>
      </c>
      <c r="H165" s="64" t="e">
        <f>VLOOKUP(A165,'Aux - pivots1'!$A:$B,2,0)</f>
        <v>#N/A</v>
      </c>
      <c r="I165" s="84">
        <f>SUMIFS(Table1[Estimação (horas)],Table1[Tabela],Plano_V1!E165,Table1[Campo],Plano_V1!F165)</f>
        <v>0</v>
      </c>
      <c r="J165" s="84">
        <f t="shared" si="20"/>
        <v>0</v>
      </c>
      <c r="K165" s="87" t="s">
        <v>124</v>
      </c>
      <c r="L165" s="90">
        <f t="shared" si="21"/>
        <v>0</v>
      </c>
      <c r="M165" s="78"/>
      <c r="N165" s="78"/>
      <c r="O165" s="78"/>
      <c r="P165" s="78"/>
      <c r="Q165" s="78"/>
      <c r="R165" s="78"/>
      <c r="S165" s="78"/>
      <c r="T165" s="78"/>
      <c r="U165" s="78"/>
      <c r="V165" s="78"/>
      <c r="W165" s="78"/>
      <c r="X165" s="78"/>
      <c r="Y165" s="78"/>
      <c r="Z165" s="78"/>
      <c r="AA165" s="78"/>
      <c r="AB165" s="78"/>
      <c r="AC165" s="78"/>
      <c r="AD165" s="78"/>
      <c r="AE165" s="78"/>
      <c r="AF165" s="78"/>
      <c r="AG165" s="78"/>
      <c r="AH165" s="78"/>
      <c r="AI165" s="78"/>
      <c r="AJ165" s="78"/>
      <c r="AK165" s="78"/>
      <c r="AL165" s="78"/>
      <c r="AM165" s="78"/>
      <c r="AN165" s="78"/>
      <c r="AO165" s="78"/>
      <c r="AP165" s="78"/>
      <c r="AQ165" s="78"/>
      <c r="AR165" s="78"/>
      <c r="AS165" s="78"/>
      <c r="AT165" s="91"/>
      <c r="AU165" s="78"/>
      <c r="AV165" s="78"/>
      <c r="AW165" s="78"/>
      <c r="AX165" s="78"/>
      <c r="AY165" s="78"/>
      <c r="AZ165" s="78"/>
      <c r="BA165" s="78"/>
      <c r="BB165" s="78"/>
      <c r="BC165" s="78"/>
      <c r="BD165" s="78"/>
      <c r="BE165" s="78"/>
      <c r="BF165" s="78"/>
      <c r="BG165" s="78"/>
      <c r="BH165" s="78"/>
      <c r="BI165" s="78"/>
      <c r="BJ165" s="78"/>
      <c r="BK165" s="78"/>
      <c r="BL165" s="78"/>
      <c r="BM165" s="78"/>
      <c r="BN165" s="78"/>
      <c r="BO165" s="78"/>
      <c r="BP165" s="78"/>
      <c r="BQ165" s="78"/>
      <c r="BR165" s="78"/>
      <c r="BS165" s="78"/>
      <c r="BT165" s="78"/>
      <c r="BU165" s="78"/>
      <c r="BV165" s="78"/>
      <c r="BW165" s="78"/>
      <c r="BX165" s="78"/>
      <c r="BY165" s="78"/>
      <c r="BZ165" s="78"/>
      <c r="CA165" s="78"/>
      <c r="CB165" s="78"/>
      <c r="CC165" s="78"/>
      <c r="CD165" s="78"/>
      <c r="CE165" s="78"/>
      <c r="CF165" s="78"/>
      <c r="CG165" s="78"/>
      <c r="CH165" s="78"/>
      <c r="CI165" s="78"/>
      <c r="CJ165" s="78"/>
      <c r="CK165" s="78"/>
      <c r="CL165" s="78"/>
      <c r="CM165" s="78"/>
      <c r="CN165" s="78"/>
      <c r="CO165" s="78"/>
      <c r="CP165" s="78"/>
      <c r="CQ165" s="78"/>
      <c r="CR165" s="78"/>
      <c r="CS165" s="78"/>
      <c r="CT165" s="78"/>
      <c r="CU165" s="78"/>
      <c r="CV165" s="78"/>
      <c r="CW165" s="78"/>
      <c r="CX165" s="78"/>
      <c r="CY165" s="78"/>
      <c r="CZ165" s="78"/>
      <c r="DA165" s="78"/>
      <c r="DB165" s="78"/>
      <c r="DC165" s="78"/>
      <c r="DD165" s="78"/>
      <c r="DE165" s="78"/>
      <c r="DF165" s="78"/>
      <c r="DG165" s="78"/>
      <c r="DH165" s="78"/>
      <c r="DI165" s="78"/>
      <c r="DJ165" s="78"/>
      <c r="DK165" s="78"/>
      <c r="DL165" s="78"/>
      <c r="DM165" s="78"/>
      <c r="DN165" s="78"/>
      <c r="DO165" s="78"/>
      <c r="DP165" s="78"/>
      <c r="DQ165" s="78"/>
      <c r="DR165" s="78"/>
      <c r="DS165" s="78"/>
      <c r="DT165" s="78"/>
      <c r="DU165" s="78"/>
      <c r="DV165" s="78"/>
      <c r="DW165" s="78"/>
      <c r="DX165" s="78"/>
      <c r="DY165" s="78"/>
      <c r="DZ165" s="78"/>
      <c r="EA165" s="78"/>
      <c r="EB165" s="78"/>
      <c r="EC165" s="78"/>
      <c r="ED165" s="78"/>
      <c r="EE165" s="78"/>
      <c r="EF165" s="78"/>
      <c r="EG165" s="78"/>
      <c r="EH165" s="78"/>
      <c r="EI165" s="91"/>
      <c r="EJ165" s="91"/>
      <c r="EK165" s="91"/>
      <c r="EL165" s="91"/>
      <c r="EM165" s="91"/>
      <c r="EN165" s="91"/>
      <c r="EO165" s="91"/>
      <c r="EP165" s="78"/>
      <c r="EQ165" s="78"/>
      <c r="ER165" s="78"/>
      <c r="ES165" s="78"/>
      <c r="ET165" s="78"/>
      <c r="EU165" s="78"/>
      <c r="EV165" s="78"/>
      <c r="EW165" s="78"/>
      <c r="EX165" s="78"/>
      <c r="EY165" s="78"/>
      <c r="EZ165" s="78"/>
      <c r="FA165" s="78"/>
      <c r="FB165" s="78"/>
      <c r="FC165" s="78"/>
      <c r="FD165" s="78"/>
      <c r="FE165" s="78"/>
      <c r="FF165" s="78"/>
      <c r="FG165" s="78"/>
      <c r="FH165" s="78"/>
      <c r="FI165" s="78"/>
      <c r="FJ165" s="78"/>
      <c r="FK165" s="78"/>
    </row>
    <row r="166" spans="1:167" hidden="1" outlineLevel="1">
      <c r="A166" s="29" t="str">
        <f t="shared" si="22"/>
        <v>cd_imv_out_certifvlr_comp_trmc_prds</v>
      </c>
      <c r="B166" s="67" t="s">
        <v>26</v>
      </c>
      <c r="C166" s="68" t="s">
        <v>54</v>
      </c>
      <c r="D166" s="64" t="s">
        <v>40</v>
      </c>
      <c r="E166" s="66" t="s">
        <v>507</v>
      </c>
      <c r="F166" s="64" t="s">
        <v>533</v>
      </c>
      <c r="G166" s="64" t="e">
        <f>INDEX(Auxiliar!$B$16:$B$24,MATCH(Plano_V1!H166,Auxiliar!$C$16:$C$24,0),1)</f>
        <v>#N/A</v>
      </c>
      <c r="H166" s="64" t="e">
        <f>VLOOKUP(A166,'Aux - pivots1'!$A:$B,2,0)</f>
        <v>#N/A</v>
      </c>
      <c r="I166" s="84">
        <f>SUMIFS(Table1[Estimação (horas)],Table1[Tabela],Plano_V1!E166,Table1[Campo],Plano_V1!F166)</f>
        <v>0</v>
      </c>
      <c r="J166" s="84">
        <f t="shared" si="20"/>
        <v>0</v>
      </c>
      <c r="K166" s="87" t="s">
        <v>124</v>
      </c>
      <c r="L166" s="90">
        <f t="shared" si="21"/>
        <v>0</v>
      </c>
      <c r="M166" s="78"/>
      <c r="N166" s="78"/>
      <c r="O166" s="78"/>
      <c r="P166" s="78"/>
      <c r="Q166" s="78"/>
      <c r="R166" s="78"/>
      <c r="S166" s="78"/>
      <c r="T166" s="78"/>
      <c r="U166" s="78"/>
      <c r="V166" s="78"/>
      <c r="W166" s="78"/>
      <c r="X166" s="78"/>
      <c r="Y166" s="78"/>
      <c r="Z166" s="78"/>
      <c r="AA166" s="78"/>
      <c r="AB166" s="78"/>
      <c r="AC166" s="78"/>
      <c r="AD166" s="78"/>
      <c r="AE166" s="78"/>
      <c r="AF166" s="78"/>
      <c r="AG166" s="78"/>
      <c r="AH166" s="78"/>
      <c r="AI166" s="78"/>
      <c r="AJ166" s="78"/>
      <c r="AK166" s="78"/>
      <c r="AL166" s="78"/>
      <c r="AM166" s="78"/>
      <c r="AN166" s="78"/>
      <c r="AO166" s="78"/>
      <c r="AP166" s="78"/>
      <c r="AQ166" s="78"/>
      <c r="AR166" s="78"/>
      <c r="AS166" s="78"/>
      <c r="AT166" s="91"/>
      <c r="AU166" s="78"/>
      <c r="AV166" s="78"/>
      <c r="AW166" s="78"/>
      <c r="AX166" s="78"/>
      <c r="AY166" s="78"/>
      <c r="AZ166" s="78"/>
      <c r="BA166" s="78"/>
      <c r="BB166" s="78"/>
      <c r="BC166" s="78"/>
      <c r="BD166" s="78"/>
      <c r="BE166" s="78"/>
      <c r="BF166" s="78"/>
      <c r="BG166" s="78"/>
      <c r="BH166" s="78"/>
      <c r="BI166" s="78"/>
      <c r="BJ166" s="78"/>
      <c r="BK166" s="78"/>
      <c r="BL166" s="78"/>
      <c r="BM166" s="78"/>
      <c r="BN166" s="78"/>
      <c r="BO166" s="78"/>
      <c r="BP166" s="78"/>
      <c r="BQ166" s="78"/>
      <c r="BR166" s="78"/>
      <c r="BS166" s="78"/>
      <c r="BT166" s="78"/>
      <c r="BU166" s="78"/>
      <c r="BV166" s="78"/>
      <c r="BW166" s="78"/>
      <c r="BX166" s="78"/>
      <c r="BY166" s="78"/>
      <c r="BZ166" s="78"/>
      <c r="CA166" s="78"/>
      <c r="CB166" s="78"/>
      <c r="CC166" s="78"/>
      <c r="CD166" s="78"/>
      <c r="CE166" s="78"/>
      <c r="CF166" s="78"/>
      <c r="CG166" s="78"/>
      <c r="CH166" s="78"/>
      <c r="CI166" s="78"/>
      <c r="CJ166" s="78"/>
      <c r="CK166" s="78"/>
      <c r="CL166" s="78"/>
      <c r="CM166" s="78"/>
      <c r="CN166" s="78"/>
      <c r="CO166" s="78"/>
      <c r="CP166" s="78"/>
      <c r="CQ166" s="78"/>
      <c r="CR166" s="78"/>
      <c r="CS166" s="78"/>
      <c r="CT166" s="78"/>
      <c r="CU166" s="78"/>
      <c r="CV166" s="78"/>
      <c r="CW166" s="78"/>
      <c r="CX166" s="78"/>
      <c r="CY166" s="78"/>
      <c r="CZ166" s="78"/>
      <c r="DA166" s="78"/>
      <c r="DB166" s="78"/>
      <c r="DC166" s="78"/>
      <c r="DD166" s="78"/>
      <c r="DE166" s="78"/>
      <c r="DF166" s="78"/>
      <c r="DG166" s="78"/>
      <c r="DH166" s="78"/>
      <c r="DI166" s="78"/>
      <c r="DJ166" s="78"/>
      <c r="DK166" s="78"/>
      <c r="DL166" s="78"/>
      <c r="DM166" s="78"/>
      <c r="DN166" s="78"/>
      <c r="DO166" s="78"/>
      <c r="DP166" s="78"/>
      <c r="DQ166" s="78"/>
      <c r="DR166" s="78"/>
      <c r="DS166" s="78"/>
      <c r="DT166" s="78"/>
      <c r="DU166" s="78"/>
      <c r="DV166" s="78"/>
      <c r="DW166" s="78"/>
      <c r="DX166" s="78"/>
      <c r="DY166" s="78"/>
      <c r="DZ166" s="78"/>
      <c r="EA166" s="78"/>
      <c r="EB166" s="78"/>
      <c r="EC166" s="78"/>
      <c r="ED166" s="78"/>
      <c r="EE166" s="78"/>
      <c r="EF166" s="78"/>
      <c r="EG166" s="78"/>
      <c r="EH166" s="78"/>
      <c r="EI166" s="91"/>
      <c r="EJ166" s="91"/>
      <c r="EK166" s="91"/>
      <c r="EL166" s="91"/>
      <c r="EM166" s="91"/>
      <c r="EN166" s="91"/>
      <c r="EO166" s="91"/>
      <c r="EP166" s="78"/>
      <c r="EQ166" s="78"/>
      <c r="ER166" s="78"/>
      <c r="ES166" s="78"/>
      <c r="ET166" s="78"/>
      <c r="EU166" s="78"/>
      <c r="EV166" s="78"/>
      <c r="EW166" s="78"/>
      <c r="EX166" s="78"/>
      <c r="EY166" s="78"/>
      <c r="EZ166" s="78"/>
      <c r="FA166" s="78"/>
      <c r="FB166" s="78"/>
      <c r="FC166" s="78"/>
      <c r="FD166" s="78"/>
      <c r="FE166" s="78"/>
      <c r="FF166" s="78"/>
      <c r="FG166" s="78"/>
      <c r="FH166" s="78"/>
      <c r="FI166" s="78"/>
      <c r="FJ166" s="78"/>
      <c r="FK166" s="78"/>
    </row>
    <row r="167" spans="1:167" hidden="1" outlineLevel="1">
      <c r="A167" s="29" t="str">
        <f t="shared" si="22"/>
        <v>cd_imv_out_certifvlr_comp_trmc_pvmnts</v>
      </c>
      <c r="B167" s="67" t="s">
        <v>26</v>
      </c>
      <c r="C167" s="68" t="s">
        <v>54</v>
      </c>
      <c r="D167" s="64" t="s">
        <v>40</v>
      </c>
      <c r="E167" s="66" t="s">
        <v>507</v>
      </c>
      <c r="F167" s="64" t="s">
        <v>534</v>
      </c>
      <c r="G167" s="64" t="e">
        <f>INDEX(Auxiliar!$B$16:$B$24,MATCH(Plano_V1!H167,Auxiliar!$C$16:$C$24,0),1)</f>
        <v>#N/A</v>
      </c>
      <c r="H167" s="64" t="e">
        <f>VLOOKUP(A167,'Aux - pivots1'!$A:$B,2,0)</f>
        <v>#N/A</v>
      </c>
      <c r="I167" s="84">
        <f>SUMIFS(Table1[Estimação (horas)],Table1[Tabela],Plano_V1!E167,Table1[Campo],Plano_V1!F167)</f>
        <v>0</v>
      </c>
      <c r="J167" s="84">
        <f t="shared" si="20"/>
        <v>0</v>
      </c>
      <c r="K167" s="87" t="s">
        <v>124</v>
      </c>
      <c r="L167" s="90">
        <f t="shared" si="21"/>
        <v>0</v>
      </c>
      <c r="M167" s="78"/>
      <c r="N167" s="78"/>
      <c r="O167" s="78"/>
      <c r="P167" s="78"/>
      <c r="Q167" s="78"/>
      <c r="R167" s="78"/>
      <c r="S167" s="78"/>
      <c r="T167" s="78"/>
      <c r="U167" s="78"/>
      <c r="V167" s="78"/>
      <c r="W167" s="78"/>
      <c r="X167" s="78"/>
      <c r="Y167" s="78"/>
      <c r="Z167" s="78"/>
      <c r="AA167" s="78"/>
      <c r="AB167" s="78"/>
      <c r="AC167" s="78"/>
      <c r="AD167" s="78"/>
      <c r="AE167" s="78"/>
      <c r="AF167" s="78"/>
      <c r="AG167" s="78"/>
      <c r="AH167" s="78"/>
      <c r="AI167" s="78"/>
      <c r="AJ167" s="78"/>
      <c r="AK167" s="78"/>
      <c r="AL167" s="78"/>
      <c r="AM167" s="78"/>
      <c r="AN167" s="78"/>
      <c r="AO167" s="78"/>
      <c r="AP167" s="78"/>
      <c r="AQ167" s="78"/>
      <c r="AR167" s="78"/>
      <c r="AS167" s="78"/>
      <c r="AT167" s="91"/>
      <c r="AU167" s="78"/>
      <c r="AV167" s="78"/>
      <c r="AW167" s="78"/>
      <c r="AX167" s="78"/>
      <c r="AY167" s="78"/>
      <c r="AZ167" s="78"/>
      <c r="BA167" s="78"/>
      <c r="BB167" s="78"/>
      <c r="BC167" s="78"/>
      <c r="BD167" s="78"/>
      <c r="BE167" s="78"/>
      <c r="BF167" s="78"/>
      <c r="BG167" s="78"/>
      <c r="BH167" s="78"/>
      <c r="BI167" s="78"/>
      <c r="BJ167" s="78"/>
      <c r="BK167" s="78"/>
      <c r="BL167" s="78"/>
      <c r="BM167" s="78"/>
      <c r="BN167" s="78"/>
      <c r="BO167" s="78"/>
      <c r="BP167" s="78"/>
      <c r="BQ167" s="78"/>
      <c r="BR167" s="78"/>
      <c r="BS167" s="78"/>
      <c r="BT167" s="78"/>
      <c r="BU167" s="78"/>
      <c r="BV167" s="78"/>
      <c r="BW167" s="78"/>
      <c r="BX167" s="78"/>
      <c r="BY167" s="78"/>
      <c r="BZ167" s="78"/>
      <c r="CA167" s="78"/>
      <c r="CB167" s="78"/>
      <c r="CC167" s="78"/>
      <c r="CD167" s="78"/>
      <c r="CE167" s="78"/>
      <c r="CF167" s="78"/>
      <c r="CG167" s="78"/>
      <c r="CH167" s="78"/>
      <c r="CI167" s="78"/>
      <c r="CJ167" s="78"/>
      <c r="CK167" s="78"/>
      <c r="CL167" s="78"/>
      <c r="CM167" s="78"/>
      <c r="CN167" s="78"/>
      <c r="CO167" s="78"/>
      <c r="CP167" s="78"/>
      <c r="CQ167" s="78"/>
      <c r="CR167" s="78"/>
      <c r="CS167" s="78"/>
      <c r="CT167" s="78"/>
      <c r="CU167" s="78"/>
      <c r="CV167" s="78"/>
      <c r="CW167" s="78"/>
      <c r="CX167" s="78"/>
      <c r="CY167" s="78"/>
      <c r="CZ167" s="78"/>
      <c r="DA167" s="78"/>
      <c r="DB167" s="78"/>
      <c r="DC167" s="78"/>
      <c r="DD167" s="78"/>
      <c r="DE167" s="78"/>
      <c r="DF167" s="78"/>
      <c r="DG167" s="78"/>
      <c r="DH167" s="78"/>
      <c r="DI167" s="78"/>
      <c r="DJ167" s="78"/>
      <c r="DK167" s="78"/>
      <c r="DL167" s="78"/>
      <c r="DM167" s="78"/>
      <c r="DN167" s="78"/>
      <c r="DO167" s="78"/>
      <c r="DP167" s="78"/>
      <c r="DQ167" s="78"/>
      <c r="DR167" s="78"/>
      <c r="DS167" s="78"/>
      <c r="DT167" s="78"/>
      <c r="DU167" s="78"/>
      <c r="DV167" s="78"/>
      <c r="DW167" s="78"/>
      <c r="DX167" s="78"/>
      <c r="DY167" s="78"/>
      <c r="DZ167" s="78"/>
      <c r="EA167" s="78"/>
      <c r="EB167" s="78"/>
      <c r="EC167" s="78"/>
      <c r="ED167" s="78"/>
      <c r="EE167" s="78"/>
      <c r="EF167" s="78"/>
      <c r="EG167" s="78"/>
      <c r="EH167" s="78"/>
      <c r="EI167" s="91"/>
      <c r="EJ167" s="91"/>
      <c r="EK167" s="91"/>
      <c r="EL167" s="91"/>
      <c r="EM167" s="91"/>
      <c r="EN167" s="91"/>
      <c r="EO167" s="91"/>
      <c r="EP167" s="78"/>
      <c r="EQ167" s="78"/>
      <c r="ER167" s="78"/>
      <c r="ES167" s="78"/>
      <c r="ET167" s="78"/>
      <c r="EU167" s="78"/>
      <c r="EV167" s="78"/>
      <c r="EW167" s="78"/>
      <c r="EX167" s="78"/>
      <c r="EY167" s="78"/>
      <c r="EZ167" s="78"/>
      <c r="FA167" s="78"/>
      <c r="FB167" s="78"/>
      <c r="FC167" s="78"/>
      <c r="FD167" s="78"/>
      <c r="FE167" s="78"/>
      <c r="FF167" s="78"/>
      <c r="FG167" s="78"/>
      <c r="FH167" s="78"/>
      <c r="FI167" s="78"/>
      <c r="FJ167" s="78"/>
      <c r="FK167" s="78"/>
    </row>
    <row r="168" spans="1:167" hidden="1" outlineLevel="1">
      <c r="A168" s="29" t="str">
        <f t="shared" si="22"/>
        <v>cd_imv_out_certifvlr_comp_trmc_sstmtcn_vntld</v>
      </c>
      <c r="B168" s="67" t="s">
        <v>26</v>
      </c>
      <c r="C168" s="68" t="s">
        <v>54</v>
      </c>
      <c r="D168" s="64" t="s">
        <v>40</v>
      </c>
      <c r="E168" s="66" t="s">
        <v>507</v>
      </c>
      <c r="F168" s="64" t="s">
        <v>535</v>
      </c>
      <c r="G168" s="64" t="e">
        <f>INDEX(Auxiliar!$B$16:$B$24,MATCH(Plano_V1!H168,Auxiliar!$C$16:$C$24,0),1)</f>
        <v>#N/A</v>
      </c>
      <c r="H168" s="64" t="e">
        <f>VLOOKUP(A168,'Aux - pivots1'!$A:$B,2,0)</f>
        <v>#N/A</v>
      </c>
      <c r="I168" s="84">
        <f>SUMIFS(Table1[Estimação (horas)],Table1[Tabela],Plano_V1!E168,Table1[Campo],Plano_V1!F168)</f>
        <v>0</v>
      </c>
      <c r="J168" s="84">
        <f t="shared" si="20"/>
        <v>0</v>
      </c>
      <c r="K168" s="87" t="s">
        <v>124</v>
      </c>
      <c r="L168" s="90">
        <f t="shared" si="21"/>
        <v>0</v>
      </c>
      <c r="M168" s="78"/>
      <c r="N168" s="78"/>
      <c r="O168" s="78"/>
      <c r="P168" s="78"/>
      <c r="Q168" s="78"/>
      <c r="R168" s="78"/>
      <c r="S168" s="78"/>
      <c r="T168" s="78"/>
      <c r="U168" s="78"/>
      <c r="V168" s="78"/>
      <c r="W168" s="78"/>
      <c r="X168" s="78"/>
      <c r="Y168" s="78"/>
      <c r="Z168" s="78"/>
      <c r="AA168" s="78"/>
      <c r="AB168" s="78"/>
      <c r="AC168" s="78"/>
      <c r="AD168" s="78"/>
      <c r="AE168" s="78"/>
      <c r="AF168" s="78"/>
      <c r="AG168" s="78"/>
      <c r="AH168" s="78"/>
      <c r="AI168" s="78"/>
      <c r="AJ168" s="78"/>
      <c r="AK168" s="78"/>
      <c r="AL168" s="78"/>
      <c r="AM168" s="78"/>
      <c r="AN168" s="78"/>
      <c r="AO168" s="78"/>
      <c r="AP168" s="78"/>
      <c r="AQ168" s="78"/>
      <c r="AR168" s="78"/>
      <c r="AS168" s="78"/>
      <c r="AT168" s="91"/>
      <c r="AU168" s="78"/>
      <c r="AV168" s="78"/>
      <c r="AW168" s="78"/>
      <c r="AX168" s="78"/>
      <c r="AY168" s="78"/>
      <c r="AZ168" s="78"/>
      <c r="BA168" s="78"/>
      <c r="BB168" s="78"/>
      <c r="BC168" s="78"/>
      <c r="BD168" s="78"/>
      <c r="BE168" s="78"/>
      <c r="BF168" s="78"/>
      <c r="BG168" s="78"/>
      <c r="BH168" s="78"/>
      <c r="BI168" s="78"/>
      <c r="BJ168" s="78"/>
      <c r="BK168" s="78"/>
      <c r="BL168" s="78"/>
      <c r="BM168" s="78"/>
      <c r="BN168" s="78"/>
      <c r="BO168" s="78"/>
      <c r="BP168" s="78"/>
      <c r="BQ168" s="78"/>
      <c r="BR168" s="78"/>
      <c r="BS168" s="78"/>
      <c r="BT168" s="78"/>
      <c r="BU168" s="78"/>
      <c r="BV168" s="78"/>
      <c r="BW168" s="78"/>
      <c r="BX168" s="78"/>
      <c r="BY168" s="78"/>
      <c r="BZ168" s="78"/>
      <c r="CA168" s="78"/>
      <c r="CB168" s="78"/>
      <c r="CC168" s="78"/>
      <c r="CD168" s="78"/>
      <c r="CE168" s="78"/>
      <c r="CF168" s="78"/>
      <c r="CG168" s="78"/>
      <c r="CH168" s="78"/>
      <c r="CI168" s="78"/>
      <c r="CJ168" s="78"/>
      <c r="CK168" s="78"/>
      <c r="CL168" s="78"/>
      <c r="CM168" s="78"/>
      <c r="CN168" s="78"/>
      <c r="CO168" s="78"/>
      <c r="CP168" s="78"/>
      <c r="CQ168" s="78"/>
      <c r="CR168" s="78"/>
      <c r="CS168" s="78"/>
      <c r="CT168" s="78"/>
      <c r="CU168" s="78"/>
      <c r="CV168" s="78"/>
      <c r="CW168" s="78"/>
      <c r="CX168" s="78"/>
      <c r="CY168" s="78"/>
      <c r="CZ168" s="78"/>
      <c r="DA168" s="78"/>
      <c r="DB168" s="78"/>
      <c r="DC168" s="78"/>
      <c r="DD168" s="78"/>
      <c r="DE168" s="78"/>
      <c r="DF168" s="78"/>
      <c r="DG168" s="78"/>
      <c r="DH168" s="78"/>
      <c r="DI168" s="78"/>
      <c r="DJ168" s="78"/>
      <c r="DK168" s="78"/>
      <c r="DL168" s="78"/>
      <c r="DM168" s="78"/>
      <c r="DN168" s="78"/>
      <c r="DO168" s="78"/>
      <c r="DP168" s="78"/>
      <c r="DQ168" s="78"/>
      <c r="DR168" s="78"/>
      <c r="DS168" s="78"/>
      <c r="DT168" s="78"/>
      <c r="DU168" s="78"/>
      <c r="DV168" s="78"/>
      <c r="DW168" s="78"/>
      <c r="DX168" s="78"/>
      <c r="DY168" s="78"/>
      <c r="DZ168" s="78"/>
      <c r="EA168" s="78"/>
      <c r="EB168" s="78"/>
      <c r="EC168" s="78"/>
      <c r="ED168" s="78"/>
      <c r="EE168" s="78"/>
      <c r="EF168" s="78"/>
      <c r="EG168" s="78"/>
      <c r="EH168" s="78"/>
      <c r="EI168" s="91"/>
      <c r="EJ168" s="91"/>
      <c r="EK168" s="91"/>
      <c r="EL168" s="91"/>
      <c r="EM168" s="91"/>
      <c r="EN168" s="91"/>
      <c r="EO168" s="91"/>
      <c r="EP168" s="78"/>
      <c r="EQ168" s="78"/>
      <c r="ER168" s="78"/>
      <c r="ES168" s="78"/>
      <c r="ET168" s="78"/>
      <c r="EU168" s="78"/>
      <c r="EV168" s="78"/>
      <c r="EW168" s="78"/>
      <c r="EX168" s="78"/>
      <c r="EY168" s="78"/>
      <c r="EZ168" s="78"/>
      <c r="FA168" s="78"/>
      <c r="FB168" s="78"/>
      <c r="FC168" s="78"/>
      <c r="FD168" s="78"/>
      <c r="FE168" s="78"/>
      <c r="FF168" s="78"/>
      <c r="FG168" s="78"/>
      <c r="FH168" s="78"/>
      <c r="FI168" s="78"/>
      <c r="FJ168" s="78"/>
      <c r="FK168" s="78"/>
    </row>
    <row r="169" spans="1:167" hidden="1" outlineLevel="1">
      <c r="A169" s="29" t="str">
        <f t="shared" si="22"/>
        <v>cd_imv_out_certifvlr_cst_ttl_invstmnt_estmd</v>
      </c>
      <c r="B169" s="67" t="s">
        <v>26</v>
      </c>
      <c r="C169" s="68" t="s">
        <v>54</v>
      </c>
      <c r="D169" s="64" t="s">
        <v>40</v>
      </c>
      <c r="E169" s="66" t="s">
        <v>507</v>
      </c>
      <c r="F169" s="64" t="s">
        <v>536</v>
      </c>
      <c r="G169" s="64" t="e">
        <f>INDEX(Auxiliar!$B$16:$B$24,MATCH(Plano_V1!H169,Auxiliar!$C$16:$C$24,0),1)</f>
        <v>#N/A</v>
      </c>
      <c r="H169" s="64" t="e">
        <f>VLOOKUP(A169,'Aux - pivots1'!$A:$B,2,0)</f>
        <v>#N/A</v>
      </c>
      <c r="I169" s="84">
        <f>SUMIFS(Table1[Estimação (horas)],Table1[Tabela],Plano_V1!E169,Table1[Campo],Plano_V1!F169)</f>
        <v>0</v>
      </c>
      <c r="J169" s="84">
        <f t="shared" si="20"/>
        <v>0</v>
      </c>
      <c r="K169" s="87" t="s">
        <v>124</v>
      </c>
      <c r="L169" s="90">
        <f t="shared" si="21"/>
        <v>0</v>
      </c>
      <c r="M169" s="78"/>
      <c r="N169" s="78"/>
      <c r="O169" s="78"/>
      <c r="P169" s="78"/>
      <c r="Q169" s="78"/>
      <c r="R169" s="78"/>
      <c r="S169" s="78"/>
      <c r="T169" s="78"/>
      <c r="U169" s="78"/>
      <c r="V169" s="78"/>
      <c r="W169" s="78"/>
      <c r="X169" s="78"/>
      <c r="Y169" s="78"/>
      <c r="Z169" s="78"/>
      <c r="AA169" s="78"/>
      <c r="AB169" s="78"/>
      <c r="AC169" s="78"/>
      <c r="AD169" s="78"/>
      <c r="AE169" s="78"/>
      <c r="AF169" s="78"/>
      <c r="AG169" s="78"/>
      <c r="AH169" s="78"/>
      <c r="AI169" s="78"/>
      <c r="AJ169" s="78"/>
      <c r="AK169" s="78"/>
      <c r="AL169" s="78"/>
      <c r="AM169" s="78"/>
      <c r="AN169" s="78"/>
      <c r="AO169" s="78"/>
      <c r="AP169" s="78"/>
      <c r="AQ169" s="78"/>
      <c r="AR169" s="78"/>
      <c r="AS169" s="78"/>
      <c r="AT169" s="91"/>
      <c r="AU169" s="78"/>
      <c r="AV169" s="78"/>
      <c r="AW169" s="78"/>
      <c r="AX169" s="78"/>
      <c r="AY169" s="78"/>
      <c r="AZ169" s="78"/>
      <c r="BA169" s="78"/>
      <c r="BB169" s="78"/>
      <c r="BC169" s="78"/>
      <c r="BD169" s="78"/>
      <c r="BE169" s="78"/>
      <c r="BF169" s="78"/>
      <c r="BG169" s="78"/>
      <c r="BH169" s="78"/>
      <c r="BI169" s="78"/>
      <c r="BJ169" s="78"/>
      <c r="BK169" s="78"/>
      <c r="BL169" s="78"/>
      <c r="BM169" s="78"/>
      <c r="BN169" s="78"/>
      <c r="BO169" s="78"/>
      <c r="BP169" s="78"/>
      <c r="BQ169" s="78"/>
      <c r="BR169" s="78"/>
      <c r="BS169" s="78"/>
      <c r="BT169" s="78"/>
      <c r="BU169" s="78"/>
      <c r="BV169" s="78"/>
      <c r="BW169" s="78"/>
      <c r="BX169" s="78"/>
      <c r="BY169" s="78"/>
      <c r="BZ169" s="78"/>
      <c r="CA169" s="78"/>
      <c r="CB169" s="78"/>
      <c r="CC169" s="78"/>
      <c r="CD169" s="78"/>
      <c r="CE169" s="78"/>
      <c r="CF169" s="78"/>
      <c r="CG169" s="78"/>
      <c r="CH169" s="78"/>
      <c r="CI169" s="78"/>
      <c r="CJ169" s="78"/>
      <c r="CK169" s="78"/>
      <c r="CL169" s="78"/>
      <c r="CM169" s="78"/>
      <c r="CN169" s="78"/>
      <c r="CO169" s="78"/>
      <c r="CP169" s="78"/>
      <c r="CQ169" s="78"/>
      <c r="CR169" s="78"/>
      <c r="CS169" s="78"/>
      <c r="CT169" s="78"/>
      <c r="CU169" s="78"/>
      <c r="CV169" s="78"/>
      <c r="CW169" s="78"/>
      <c r="CX169" s="78"/>
      <c r="CY169" s="78"/>
      <c r="CZ169" s="78"/>
      <c r="DA169" s="78"/>
      <c r="DB169" s="78"/>
      <c r="DC169" s="78"/>
      <c r="DD169" s="78"/>
      <c r="DE169" s="78"/>
      <c r="DF169" s="78"/>
      <c r="DG169" s="78"/>
      <c r="DH169" s="78"/>
      <c r="DI169" s="78"/>
      <c r="DJ169" s="78"/>
      <c r="DK169" s="78"/>
      <c r="DL169" s="78"/>
      <c r="DM169" s="78"/>
      <c r="DN169" s="78"/>
      <c r="DO169" s="78"/>
      <c r="DP169" s="78"/>
      <c r="DQ169" s="78"/>
      <c r="DR169" s="78"/>
      <c r="DS169" s="78"/>
      <c r="DT169" s="78"/>
      <c r="DU169" s="78"/>
      <c r="DV169" s="78"/>
      <c r="DW169" s="78"/>
      <c r="DX169" s="78"/>
      <c r="DY169" s="78"/>
      <c r="DZ169" s="78"/>
      <c r="EA169" s="78"/>
      <c r="EB169" s="78"/>
      <c r="EC169" s="78"/>
      <c r="ED169" s="78"/>
      <c r="EE169" s="78"/>
      <c r="EF169" s="78"/>
      <c r="EG169" s="78"/>
      <c r="EH169" s="78"/>
      <c r="EI169" s="91"/>
      <c r="EJ169" s="91"/>
      <c r="EK169" s="91"/>
      <c r="EL169" s="91"/>
      <c r="EM169" s="91"/>
      <c r="EN169" s="91"/>
      <c r="EO169" s="91"/>
      <c r="EP169" s="78"/>
      <c r="EQ169" s="78"/>
      <c r="ER169" s="78"/>
      <c r="ES169" s="78"/>
      <c r="ET169" s="78"/>
      <c r="EU169" s="78"/>
      <c r="EV169" s="78"/>
      <c r="EW169" s="78"/>
      <c r="EX169" s="78"/>
      <c r="EY169" s="78"/>
      <c r="EZ169" s="78"/>
      <c r="FA169" s="78"/>
      <c r="FB169" s="78"/>
      <c r="FC169" s="78"/>
      <c r="FD169" s="78"/>
      <c r="FE169" s="78"/>
      <c r="FF169" s="78"/>
      <c r="FG169" s="78"/>
      <c r="FH169" s="78"/>
      <c r="FI169" s="78"/>
      <c r="FJ169" s="78"/>
      <c r="FK169" s="78"/>
    </row>
    <row r="170" spans="1:167" hidden="1" outlineLevel="1">
      <c r="A170" s="29" t="str">
        <f t="shared" si="22"/>
        <v>cd_imv_out_certifvlr_drc_estc_aqcmnt</v>
      </c>
      <c r="B170" s="67" t="s">
        <v>26</v>
      </c>
      <c r="C170" s="68" t="s">
        <v>54</v>
      </c>
      <c r="D170" s="64" t="s">
        <v>40</v>
      </c>
      <c r="E170" s="66" t="s">
        <v>507</v>
      </c>
      <c r="F170" s="64" t="s">
        <v>537</v>
      </c>
      <c r="G170" s="64" t="e">
        <f>INDEX(Auxiliar!$B$16:$B$24,MATCH(Plano_V1!H170,Auxiliar!$C$16:$C$24,0),1)</f>
        <v>#N/A</v>
      </c>
      <c r="H170" s="64" t="e">
        <f>VLOOKUP(A170,'Aux - pivots1'!$A:$B,2,0)</f>
        <v>#N/A</v>
      </c>
      <c r="I170" s="84">
        <f>SUMIFS(Table1[Estimação (horas)],Table1[Tabela],Plano_V1!E170,Table1[Campo],Plano_V1!F170)</f>
        <v>0</v>
      </c>
      <c r="J170" s="84">
        <f t="shared" si="20"/>
        <v>0</v>
      </c>
      <c r="K170" s="87" t="s">
        <v>124</v>
      </c>
      <c r="L170" s="90">
        <f t="shared" si="21"/>
        <v>0</v>
      </c>
      <c r="M170" s="78"/>
      <c r="N170" s="78"/>
      <c r="O170" s="78"/>
      <c r="P170" s="78"/>
      <c r="Q170" s="78"/>
      <c r="R170" s="78"/>
      <c r="S170" s="78"/>
      <c r="T170" s="78"/>
      <c r="U170" s="78"/>
      <c r="V170" s="78"/>
      <c r="W170" s="78"/>
      <c r="X170" s="78"/>
      <c r="Y170" s="78"/>
      <c r="Z170" s="78"/>
      <c r="AA170" s="78"/>
      <c r="AB170" s="78"/>
      <c r="AC170" s="78"/>
      <c r="AD170" s="78"/>
      <c r="AE170" s="78"/>
      <c r="AF170" s="78"/>
      <c r="AG170" s="78"/>
      <c r="AH170" s="78"/>
      <c r="AI170" s="78"/>
      <c r="AJ170" s="78"/>
      <c r="AK170" s="78"/>
      <c r="AL170" s="78"/>
      <c r="AM170" s="78"/>
      <c r="AN170" s="78"/>
      <c r="AO170" s="78"/>
      <c r="AP170" s="78"/>
      <c r="AQ170" s="78"/>
      <c r="AR170" s="78"/>
      <c r="AS170" s="78"/>
      <c r="AT170" s="91"/>
      <c r="AU170" s="78"/>
      <c r="AV170" s="78"/>
      <c r="AW170" s="78"/>
      <c r="AX170" s="78"/>
      <c r="AY170" s="78"/>
      <c r="AZ170" s="78"/>
      <c r="BA170" s="78"/>
      <c r="BB170" s="78"/>
      <c r="BC170" s="78"/>
      <c r="BD170" s="78"/>
      <c r="BE170" s="78"/>
      <c r="BF170" s="78"/>
      <c r="BG170" s="78"/>
      <c r="BH170" s="78"/>
      <c r="BI170" s="78"/>
      <c r="BJ170" s="78"/>
      <c r="BK170" s="78"/>
      <c r="BL170" s="78"/>
      <c r="BM170" s="78"/>
      <c r="BN170" s="78"/>
      <c r="BO170" s="78"/>
      <c r="BP170" s="78"/>
      <c r="BQ170" s="78"/>
      <c r="BR170" s="78"/>
      <c r="BS170" s="78"/>
      <c r="BT170" s="78"/>
      <c r="BU170" s="78"/>
      <c r="BV170" s="78"/>
      <c r="BW170" s="78"/>
      <c r="BX170" s="78"/>
      <c r="BY170" s="78"/>
      <c r="BZ170" s="78"/>
      <c r="CA170" s="78"/>
      <c r="CB170" s="78"/>
      <c r="CC170" s="78"/>
      <c r="CD170" s="78"/>
      <c r="CE170" s="78"/>
      <c r="CF170" s="78"/>
      <c r="CG170" s="78"/>
      <c r="CH170" s="78"/>
      <c r="CI170" s="78"/>
      <c r="CJ170" s="78"/>
      <c r="CK170" s="78"/>
      <c r="CL170" s="78"/>
      <c r="CM170" s="78"/>
      <c r="CN170" s="78"/>
      <c r="CO170" s="78"/>
      <c r="CP170" s="78"/>
      <c r="CQ170" s="78"/>
      <c r="CR170" s="78"/>
      <c r="CS170" s="78"/>
      <c r="CT170" s="78"/>
      <c r="CU170" s="78"/>
      <c r="CV170" s="78"/>
      <c r="CW170" s="78"/>
      <c r="CX170" s="78"/>
      <c r="CY170" s="78"/>
      <c r="CZ170" s="78"/>
      <c r="DA170" s="78"/>
      <c r="DB170" s="78"/>
      <c r="DC170" s="78"/>
      <c r="DD170" s="78"/>
      <c r="DE170" s="78"/>
      <c r="DF170" s="78"/>
      <c r="DG170" s="78"/>
      <c r="DH170" s="78"/>
      <c r="DI170" s="78"/>
      <c r="DJ170" s="78"/>
      <c r="DK170" s="78"/>
      <c r="DL170" s="78"/>
      <c r="DM170" s="78"/>
      <c r="DN170" s="78"/>
      <c r="DO170" s="78"/>
      <c r="DP170" s="78"/>
      <c r="DQ170" s="78"/>
      <c r="DR170" s="78"/>
      <c r="DS170" s="78"/>
      <c r="DT170" s="78"/>
      <c r="DU170" s="78"/>
      <c r="DV170" s="78"/>
      <c r="DW170" s="78"/>
      <c r="DX170" s="78"/>
      <c r="DY170" s="78"/>
      <c r="DZ170" s="78"/>
      <c r="EA170" s="78"/>
      <c r="EB170" s="78"/>
      <c r="EC170" s="78"/>
      <c r="ED170" s="78"/>
      <c r="EE170" s="78"/>
      <c r="EF170" s="78"/>
      <c r="EG170" s="78"/>
      <c r="EH170" s="78"/>
      <c r="EI170" s="91"/>
      <c r="EJ170" s="91"/>
      <c r="EK170" s="91"/>
      <c r="EL170" s="91"/>
      <c r="EM170" s="91"/>
      <c r="EN170" s="91"/>
      <c r="EO170" s="91"/>
      <c r="EP170" s="78"/>
      <c r="EQ170" s="78"/>
      <c r="ER170" s="78"/>
      <c r="ES170" s="78"/>
      <c r="ET170" s="78"/>
      <c r="EU170" s="78"/>
      <c r="EV170" s="78"/>
      <c r="EW170" s="78"/>
      <c r="EX170" s="78"/>
      <c r="EY170" s="78"/>
      <c r="EZ170" s="78"/>
      <c r="FA170" s="78"/>
      <c r="FB170" s="78"/>
      <c r="FC170" s="78"/>
      <c r="FD170" s="78"/>
      <c r="FE170" s="78"/>
      <c r="FF170" s="78"/>
      <c r="FG170" s="78"/>
      <c r="FH170" s="78"/>
      <c r="FI170" s="78"/>
      <c r="FJ170" s="78"/>
      <c r="FK170" s="78"/>
    </row>
    <row r="171" spans="1:167" hidden="1" outlineLevel="1">
      <c r="A171" s="29" t="str">
        <f t="shared" si="22"/>
        <v>cd_imv_out_certifvlr_drc_estc_arrfcmnt</v>
      </c>
      <c r="B171" s="67" t="s">
        <v>26</v>
      </c>
      <c r="C171" s="68" t="s">
        <v>54</v>
      </c>
      <c r="D171" s="64" t="s">
        <v>40</v>
      </c>
      <c r="E171" s="66" t="s">
        <v>507</v>
      </c>
      <c r="F171" s="64" t="s">
        <v>538</v>
      </c>
      <c r="G171" s="64" t="e">
        <f>INDEX(Auxiliar!$B$16:$B$24,MATCH(Plano_V1!H171,Auxiliar!$C$16:$C$24,0),1)</f>
        <v>#N/A</v>
      </c>
      <c r="H171" s="64" t="e">
        <f>VLOOKUP(A171,'Aux - pivots1'!$A:$B,2,0)</f>
        <v>#N/A</v>
      </c>
      <c r="I171" s="84">
        <f>SUMIFS(Table1[Estimação (horas)],Table1[Tabela],Plano_V1!E171,Table1[Campo],Plano_V1!F171)</f>
        <v>0</v>
      </c>
      <c r="J171" s="84">
        <f t="shared" ref="J171:J196" si="23">I171/8</f>
        <v>0</v>
      </c>
      <c r="K171" s="87" t="s">
        <v>124</v>
      </c>
      <c r="L171" s="90">
        <f t="shared" si="21"/>
        <v>0</v>
      </c>
      <c r="M171" s="78"/>
      <c r="N171" s="78"/>
      <c r="O171" s="78"/>
      <c r="P171" s="78"/>
      <c r="Q171" s="78"/>
      <c r="R171" s="78"/>
      <c r="S171" s="78"/>
      <c r="T171" s="78"/>
      <c r="U171" s="78"/>
      <c r="V171" s="78"/>
      <c r="W171" s="78"/>
      <c r="X171" s="78"/>
      <c r="Y171" s="78"/>
      <c r="Z171" s="78"/>
      <c r="AA171" s="78"/>
      <c r="AB171" s="78"/>
      <c r="AC171" s="78"/>
      <c r="AD171" s="78"/>
      <c r="AE171" s="78"/>
      <c r="AF171" s="78"/>
      <c r="AG171" s="78"/>
      <c r="AH171" s="78"/>
      <c r="AI171" s="78"/>
      <c r="AJ171" s="78"/>
      <c r="AK171" s="78"/>
      <c r="AL171" s="78"/>
      <c r="AM171" s="78"/>
      <c r="AN171" s="78"/>
      <c r="AO171" s="78"/>
      <c r="AP171" s="78"/>
      <c r="AQ171" s="78"/>
      <c r="AR171" s="78"/>
      <c r="AS171" s="78"/>
      <c r="AT171" s="91"/>
      <c r="AU171" s="78"/>
      <c r="AV171" s="78"/>
      <c r="AW171" s="78"/>
      <c r="AX171" s="78"/>
      <c r="AY171" s="78"/>
      <c r="AZ171" s="78"/>
      <c r="BA171" s="78"/>
      <c r="BB171" s="78"/>
      <c r="BC171" s="78"/>
      <c r="BD171" s="78"/>
      <c r="BE171" s="78"/>
      <c r="BF171" s="78"/>
      <c r="BG171" s="78"/>
      <c r="BH171" s="78"/>
      <c r="BI171" s="78"/>
      <c r="BJ171" s="78"/>
      <c r="BK171" s="78"/>
      <c r="BL171" s="78"/>
      <c r="BM171" s="78"/>
      <c r="BN171" s="78"/>
      <c r="BO171" s="78"/>
      <c r="BP171" s="78"/>
      <c r="BQ171" s="78"/>
      <c r="BR171" s="78"/>
      <c r="BS171" s="78"/>
      <c r="BT171" s="78"/>
      <c r="BU171" s="78"/>
      <c r="BV171" s="78"/>
      <c r="BW171" s="78"/>
      <c r="BX171" s="78"/>
      <c r="BY171" s="78"/>
      <c r="BZ171" s="78"/>
      <c r="CA171" s="78"/>
      <c r="CB171" s="78"/>
      <c r="CC171" s="78"/>
      <c r="CD171" s="78"/>
      <c r="CE171" s="78"/>
      <c r="CF171" s="78"/>
      <c r="CG171" s="78"/>
      <c r="CH171" s="78"/>
      <c r="CI171" s="78"/>
      <c r="CJ171" s="78"/>
      <c r="CK171" s="78"/>
      <c r="CL171" s="78"/>
      <c r="CM171" s="78"/>
      <c r="CN171" s="78"/>
      <c r="CO171" s="78"/>
      <c r="CP171" s="78"/>
      <c r="CQ171" s="78"/>
      <c r="CR171" s="78"/>
      <c r="CS171" s="78"/>
      <c r="CT171" s="78"/>
      <c r="CU171" s="78"/>
      <c r="CV171" s="78"/>
      <c r="CW171" s="78"/>
      <c r="CX171" s="78"/>
      <c r="CY171" s="78"/>
      <c r="CZ171" s="78"/>
      <c r="DA171" s="78"/>
      <c r="DB171" s="78"/>
      <c r="DC171" s="78"/>
      <c r="DD171" s="78"/>
      <c r="DE171" s="78"/>
      <c r="DF171" s="78"/>
      <c r="DG171" s="78"/>
      <c r="DH171" s="78"/>
      <c r="DI171" s="78"/>
      <c r="DJ171" s="78"/>
      <c r="DK171" s="78"/>
      <c r="DL171" s="78"/>
      <c r="DM171" s="78"/>
      <c r="DN171" s="78"/>
      <c r="DO171" s="78"/>
      <c r="DP171" s="78"/>
      <c r="DQ171" s="78"/>
      <c r="DR171" s="78"/>
      <c r="DS171" s="78"/>
      <c r="DT171" s="78"/>
      <c r="DU171" s="78"/>
      <c r="DV171" s="78"/>
      <c r="DW171" s="78"/>
      <c r="DX171" s="78"/>
      <c r="DY171" s="78"/>
      <c r="DZ171" s="78"/>
      <c r="EA171" s="78"/>
      <c r="EB171" s="78"/>
      <c r="EC171" s="78"/>
      <c r="ED171" s="78"/>
      <c r="EE171" s="78"/>
      <c r="EF171" s="78"/>
      <c r="EG171" s="78"/>
      <c r="EH171" s="78"/>
      <c r="EI171" s="91"/>
      <c r="EJ171" s="91"/>
      <c r="EK171" s="91"/>
      <c r="EL171" s="91"/>
      <c r="EM171" s="91"/>
      <c r="EN171" s="91"/>
      <c r="EO171" s="91"/>
      <c r="EP171" s="78"/>
      <c r="EQ171" s="78"/>
      <c r="ER171" s="78"/>
      <c r="ES171" s="78"/>
      <c r="ET171" s="78"/>
      <c r="EU171" s="78"/>
      <c r="EV171" s="78"/>
      <c r="EW171" s="78"/>
      <c r="EX171" s="78"/>
      <c r="EY171" s="78"/>
      <c r="EZ171" s="78"/>
      <c r="FA171" s="78"/>
      <c r="FB171" s="78"/>
      <c r="FC171" s="78"/>
      <c r="FD171" s="78"/>
      <c r="FE171" s="78"/>
      <c r="FF171" s="78"/>
      <c r="FG171" s="78"/>
      <c r="FH171" s="78"/>
      <c r="FI171" s="78"/>
      <c r="FJ171" s="78"/>
      <c r="FK171" s="78"/>
    </row>
    <row r="172" spans="1:167" hidden="1" outlineLevel="1">
      <c r="A172" s="29" t="str">
        <f t="shared" si="22"/>
        <v>cd_imv_out_certifvlr_emss_ano</v>
      </c>
      <c r="B172" s="67" t="s">
        <v>26</v>
      </c>
      <c r="C172" s="68" t="s">
        <v>54</v>
      </c>
      <c r="D172" s="64" t="s">
        <v>40</v>
      </c>
      <c r="E172" s="66" t="s">
        <v>507</v>
      </c>
      <c r="F172" s="64" t="s">
        <v>455</v>
      </c>
      <c r="G172" s="64" t="e">
        <f>INDEX(Auxiliar!$B$16:$B$24,MATCH(Plano_V1!H172,Auxiliar!$C$16:$C$24,0),1)</f>
        <v>#N/A</v>
      </c>
      <c r="H172" s="64" t="e">
        <f>VLOOKUP(A172,'Aux - pivots1'!$A:$B,2,0)</f>
        <v>#N/A</v>
      </c>
      <c r="I172" s="84">
        <f>SUMIFS(Table1[Estimação (horas)],Table1[Tabela],Plano_V1!E172,Table1[Campo],Plano_V1!F172)</f>
        <v>0</v>
      </c>
      <c r="J172" s="84">
        <f t="shared" si="23"/>
        <v>0</v>
      </c>
      <c r="K172" s="87" t="s">
        <v>124</v>
      </c>
      <c r="L172" s="90">
        <f t="shared" si="21"/>
        <v>0</v>
      </c>
      <c r="M172" s="78"/>
      <c r="N172" s="78"/>
      <c r="O172" s="78"/>
      <c r="P172" s="78"/>
      <c r="Q172" s="78"/>
      <c r="R172" s="78"/>
      <c r="S172" s="78"/>
      <c r="T172" s="78"/>
      <c r="U172" s="78"/>
      <c r="V172" s="78"/>
      <c r="W172" s="78"/>
      <c r="X172" s="78"/>
      <c r="Y172" s="78"/>
      <c r="Z172" s="78"/>
      <c r="AA172" s="78"/>
      <c r="AB172" s="78"/>
      <c r="AC172" s="78"/>
      <c r="AD172" s="78"/>
      <c r="AE172" s="78"/>
      <c r="AF172" s="78"/>
      <c r="AG172" s="78"/>
      <c r="AH172" s="78"/>
      <c r="AI172" s="78"/>
      <c r="AJ172" s="78"/>
      <c r="AK172" s="78"/>
      <c r="AL172" s="78"/>
      <c r="AM172" s="78"/>
      <c r="AN172" s="78"/>
      <c r="AO172" s="78"/>
      <c r="AP172" s="78"/>
      <c r="AQ172" s="78"/>
      <c r="AR172" s="78"/>
      <c r="AS172" s="78"/>
      <c r="AT172" s="91"/>
      <c r="AU172" s="78"/>
      <c r="AV172" s="78"/>
      <c r="AW172" s="78"/>
      <c r="AX172" s="78"/>
      <c r="AY172" s="78"/>
      <c r="AZ172" s="78"/>
      <c r="BA172" s="78"/>
      <c r="BB172" s="78"/>
      <c r="BC172" s="78"/>
      <c r="BD172" s="78"/>
      <c r="BE172" s="78"/>
      <c r="BF172" s="78"/>
      <c r="BG172" s="78"/>
      <c r="BH172" s="78"/>
      <c r="BI172" s="78"/>
      <c r="BJ172" s="78"/>
      <c r="BK172" s="78"/>
      <c r="BL172" s="78"/>
      <c r="BM172" s="78"/>
      <c r="BN172" s="78"/>
      <c r="BO172" s="78"/>
      <c r="BP172" s="78"/>
      <c r="BQ172" s="78"/>
      <c r="BR172" s="78"/>
      <c r="BS172" s="78"/>
      <c r="BT172" s="78"/>
      <c r="BU172" s="78"/>
      <c r="BV172" s="78"/>
      <c r="BW172" s="78"/>
      <c r="BX172" s="78"/>
      <c r="BY172" s="78"/>
      <c r="BZ172" s="78"/>
      <c r="CA172" s="78"/>
      <c r="CB172" s="78"/>
      <c r="CC172" s="78"/>
      <c r="CD172" s="78"/>
      <c r="CE172" s="78"/>
      <c r="CF172" s="78"/>
      <c r="CG172" s="78"/>
      <c r="CH172" s="78"/>
      <c r="CI172" s="78"/>
      <c r="CJ172" s="78"/>
      <c r="CK172" s="78"/>
      <c r="CL172" s="78"/>
      <c r="CM172" s="78"/>
      <c r="CN172" s="78"/>
      <c r="CO172" s="78"/>
      <c r="CP172" s="78"/>
      <c r="CQ172" s="78"/>
      <c r="CR172" s="78"/>
      <c r="CS172" s="78"/>
      <c r="CT172" s="78"/>
      <c r="CU172" s="78"/>
      <c r="CV172" s="78"/>
      <c r="CW172" s="78"/>
      <c r="CX172" s="78"/>
      <c r="CY172" s="78"/>
      <c r="CZ172" s="78"/>
      <c r="DA172" s="78"/>
      <c r="DB172" s="78"/>
      <c r="DC172" s="78"/>
      <c r="DD172" s="78"/>
      <c r="DE172" s="78"/>
      <c r="DF172" s="78"/>
      <c r="DG172" s="78"/>
      <c r="DH172" s="78"/>
      <c r="DI172" s="78"/>
      <c r="DJ172" s="78"/>
      <c r="DK172" s="78"/>
      <c r="DL172" s="78"/>
      <c r="DM172" s="78"/>
      <c r="DN172" s="78"/>
      <c r="DO172" s="78"/>
      <c r="DP172" s="78"/>
      <c r="DQ172" s="78"/>
      <c r="DR172" s="78"/>
      <c r="DS172" s="78"/>
      <c r="DT172" s="78"/>
      <c r="DU172" s="78"/>
      <c r="DV172" s="78"/>
      <c r="DW172" s="78"/>
      <c r="DX172" s="78"/>
      <c r="DY172" s="78"/>
      <c r="DZ172" s="78"/>
      <c r="EA172" s="78"/>
      <c r="EB172" s="78"/>
      <c r="EC172" s="78"/>
      <c r="ED172" s="78"/>
      <c r="EE172" s="78"/>
      <c r="EF172" s="78"/>
      <c r="EG172" s="78"/>
      <c r="EH172" s="78"/>
      <c r="EI172" s="91"/>
      <c r="EJ172" s="91"/>
      <c r="EK172" s="91"/>
      <c r="EL172" s="91"/>
      <c r="EM172" s="91"/>
      <c r="EN172" s="91"/>
      <c r="EO172" s="91"/>
      <c r="EP172" s="78"/>
      <c r="EQ172" s="78"/>
      <c r="ER172" s="78"/>
      <c r="ES172" s="78"/>
      <c r="ET172" s="78"/>
      <c r="EU172" s="78"/>
      <c r="EV172" s="78"/>
      <c r="EW172" s="78"/>
      <c r="EX172" s="78"/>
      <c r="EY172" s="78"/>
      <c r="EZ172" s="78"/>
      <c r="FA172" s="78"/>
      <c r="FB172" s="78"/>
      <c r="FC172" s="78"/>
      <c r="FD172" s="78"/>
      <c r="FE172" s="78"/>
      <c r="FF172" s="78"/>
      <c r="FG172" s="78"/>
      <c r="FH172" s="78"/>
      <c r="FI172" s="78"/>
      <c r="FJ172" s="78"/>
      <c r="FK172" s="78"/>
    </row>
    <row r="173" spans="1:167" hidden="1" outlineLevel="1">
      <c r="A173" s="29" t="str">
        <f t="shared" si="22"/>
        <v>cd_imv_out_certifvlr_emss_co2</v>
      </c>
      <c r="B173" s="67" t="s">
        <v>26</v>
      </c>
      <c r="C173" s="68" t="s">
        <v>54</v>
      </c>
      <c r="D173" s="64" t="s">
        <v>40</v>
      </c>
      <c r="E173" s="66" t="s">
        <v>507</v>
      </c>
      <c r="F173" s="64" t="s">
        <v>539</v>
      </c>
      <c r="G173" s="64" t="e">
        <f>INDEX(Auxiliar!$B$16:$B$24,MATCH(Plano_V1!H173,Auxiliar!$C$16:$C$24,0),1)</f>
        <v>#N/A</v>
      </c>
      <c r="H173" s="64" t="e">
        <f>VLOOKUP(A173,'Aux - pivots1'!$A:$B,2,0)</f>
        <v>#N/A</v>
      </c>
      <c r="I173" s="84">
        <f>SUMIFS(Table1[Estimação (horas)],Table1[Tabela],Plano_V1!E173,Table1[Campo],Plano_V1!F173)</f>
        <v>0</v>
      </c>
      <c r="J173" s="84">
        <f t="shared" si="23"/>
        <v>0</v>
      </c>
      <c r="K173" s="87" t="s">
        <v>124</v>
      </c>
      <c r="L173" s="90">
        <f t="shared" si="21"/>
        <v>0</v>
      </c>
      <c r="M173" s="78"/>
      <c r="N173" s="78"/>
      <c r="O173" s="78"/>
      <c r="P173" s="78"/>
      <c r="Q173" s="78"/>
      <c r="R173" s="78"/>
      <c r="S173" s="78"/>
      <c r="T173" s="78"/>
      <c r="U173" s="78"/>
      <c r="V173" s="78"/>
      <c r="W173" s="78"/>
      <c r="X173" s="78"/>
      <c r="Y173" s="78"/>
      <c r="Z173" s="78"/>
      <c r="AA173" s="78"/>
      <c r="AB173" s="78"/>
      <c r="AC173" s="78"/>
      <c r="AD173" s="78"/>
      <c r="AE173" s="78"/>
      <c r="AF173" s="78"/>
      <c r="AG173" s="78"/>
      <c r="AH173" s="78"/>
      <c r="AI173" s="78"/>
      <c r="AJ173" s="78"/>
      <c r="AK173" s="78"/>
      <c r="AL173" s="78"/>
      <c r="AM173" s="78"/>
      <c r="AN173" s="78"/>
      <c r="AO173" s="78"/>
      <c r="AP173" s="78"/>
      <c r="AQ173" s="78"/>
      <c r="AR173" s="78"/>
      <c r="AS173" s="78"/>
      <c r="AT173" s="91"/>
      <c r="AU173" s="78"/>
      <c r="AV173" s="78"/>
      <c r="AW173" s="78"/>
      <c r="AX173" s="78"/>
      <c r="AY173" s="78"/>
      <c r="AZ173" s="78"/>
      <c r="BA173" s="78"/>
      <c r="BB173" s="78"/>
      <c r="BC173" s="78"/>
      <c r="BD173" s="78"/>
      <c r="BE173" s="78"/>
      <c r="BF173" s="78"/>
      <c r="BG173" s="78"/>
      <c r="BH173" s="78"/>
      <c r="BI173" s="78"/>
      <c r="BJ173" s="78"/>
      <c r="BK173" s="78"/>
      <c r="BL173" s="78"/>
      <c r="BM173" s="78"/>
      <c r="BN173" s="78"/>
      <c r="BO173" s="78"/>
      <c r="BP173" s="78"/>
      <c r="BQ173" s="78"/>
      <c r="BR173" s="78"/>
      <c r="BS173" s="78"/>
      <c r="BT173" s="78"/>
      <c r="BU173" s="78"/>
      <c r="BV173" s="78"/>
      <c r="BW173" s="78"/>
      <c r="BX173" s="78"/>
      <c r="BY173" s="78"/>
      <c r="BZ173" s="78"/>
      <c r="CA173" s="78"/>
      <c r="CB173" s="78"/>
      <c r="CC173" s="78"/>
      <c r="CD173" s="78"/>
      <c r="CE173" s="78"/>
      <c r="CF173" s="78"/>
      <c r="CG173" s="78"/>
      <c r="CH173" s="78"/>
      <c r="CI173" s="78"/>
      <c r="CJ173" s="78"/>
      <c r="CK173" s="78"/>
      <c r="CL173" s="78"/>
      <c r="CM173" s="78"/>
      <c r="CN173" s="78"/>
      <c r="CO173" s="78"/>
      <c r="CP173" s="78"/>
      <c r="CQ173" s="78"/>
      <c r="CR173" s="78"/>
      <c r="CS173" s="78"/>
      <c r="CT173" s="78"/>
      <c r="CU173" s="78"/>
      <c r="CV173" s="78"/>
      <c r="CW173" s="78"/>
      <c r="CX173" s="78"/>
      <c r="CY173" s="78"/>
      <c r="CZ173" s="78"/>
      <c r="DA173" s="78"/>
      <c r="DB173" s="78"/>
      <c r="DC173" s="78"/>
      <c r="DD173" s="78"/>
      <c r="DE173" s="78"/>
      <c r="DF173" s="78"/>
      <c r="DG173" s="78"/>
      <c r="DH173" s="78"/>
      <c r="DI173" s="78"/>
      <c r="DJ173" s="78"/>
      <c r="DK173" s="78"/>
      <c r="DL173" s="78"/>
      <c r="DM173" s="78"/>
      <c r="DN173" s="78"/>
      <c r="DO173" s="78"/>
      <c r="DP173" s="78"/>
      <c r="DQ173" s="78"/>
      <c r="DR173" s="78"/>
      <c r="DS173" s="78"/>
      <c r="DT173" s="78"/>
      <c r="DU173" s="78"/>
      <c r="DV173" s="78"/>
      <c r="DW173" s="78"/>
      <c r="DX173" s="78"/>
      <c r="DY173" s="78"/>
      <c r="DZ173" s="78"/>
      <c r="EA173" s="78"/>
      <c r="EB173" s="78"/>
      <c r="EC173" s="78"/>
      <c r="ED173" s="78"/>
      <c r="EE173" s="78"/>
      <c r="EF173" s="78"/>
      <c r="EG173" s="78"/>
      <c r="EH173" s="78"/>
      <c r="EI173" s="91"/>
      <c r="EJ173" s="91"/>
      <c r="EK173" s="91"/>
      <c r="EL173" s="91"/>
      <c r="EM173" s="91"/>
      <c r="EN173" s="91"/>
      <c r="EO173" s="91"/>
      <c r="EP173" s="78"/>
      <c r="EQ173" s="78"/>
      <c r="ER173" s="78"/>
      <c r="ES173" s="78"/>
      <c r="ET173" s="78"/>
      <c r="EU173" s="78"/>
      <c r="EV173" s="78"/>
      <c r="EW173" s="78"/>
      <c r="EX173" s="78"/>
      <c r="EY173" s="78"/>
      <c r="EZ173" s="78"/>
      <c r="FA173" s="78"/>
      <c r="FB173" s="78"/>
      <c r="FC173" s="78"/>
      <c r="FD173" s="78"/>
      <c r="FE173" s="78"/>
      <c r="FF173" s="78"/>
      <c r="FG173" s="78"/>
      <c r="FH173" s="78"/>
      <c r="FI173" s="78"/>
      <c r="FJ173" s="78"/>
      <c r="FK173" s="78"/>
    </row>
    <row r="174" spans="1:167" hidden="1" outlineLevel="1">
      <c r="A174" s="29" t="str">
        <f t="shared" si="22"/>
        <v>cd_imv_out_certifvlr_enrg_eltc_vntldr</v>
      </c>
      <c r="B174" s="67" t="s">
        <v>26</v>
      </c>
      <c r="C174" s="68" t="s">
        <v>54</v>
      </c>
      <c r="D174" s="64" t="s">
        <v>40</v>
      </c>
      <c r="E174" s="66" t="s">
        <v>507</v>
      </c>
      <c r="F174" s="64" t="s">
        <v>540</v>
      </c>
      <c r="G174" s="64" t="e">
        <f>INDEX(Auxiliar!$B$16:$B$24,MATCH(Plano_V1!H174,Auxiliar!$C$16:$C$24,0),1)</f>
        <v>#N/A</v>
      </c>
      <c r="H174" s="64" t="e">
        <f>VLOOKUP(A174,'Aux - pivots1'!$A:$B,2,0)</f>
        <v>#N/A</v>
      </c>
      <c r="I174" s="84">
        <f>SUMIFS(Table1[Estimação (horas)],Table1[Tabela],Plano_V1!E174,Table1[Campo],Plano_V1!F174)</f>
        <v>0</v>
      </c>
      <c r="J174" s="84">
        <f t="shared" si="23"/>
        <v>0</v>
      </c>
      <c r="K174" s="87" t="s">
        <v>124</v>
      </c>
      <c r="L174" s="90">
        <f t="shared" si="21"/>
        <v>0</v>
      </c>
      <c r="M174" s="78"/>
      <c r="N174" s="78"/>
      <c r="O174" s="78"/>
      <c r="P174" s="78"/>
      <c r="Q174" s="78"/>
      <c r="R174" s="78"/>
      <c r="S174" s="78"/>
      <c r="T174" s="78"/>
      <c r="U174" s="78"/>
      <c r="V174" s="78"/>
      <c r="W174" s="78"/>
      <c r="X174" s="78"/>
      <c r="Y174" s="78"/>
      <c r="Z174" s="78"/>
      <c r="AA174" s="78"/>
      <c r="AB174" s="78"/>
      <c r="AC174" s="78"/>
      <c r="AD174" s="78"/>
      <c r="AE174" s="78"/>
      <c r="AF174" s="78"/>
      <c r="AG174" s="78"/>
      <c r="AH174" s="78"/>
      <c r="AI174" s="78"/>
      <c r="AJ174" s="78"/>
      <c r="AK174" s="78"/>
      <c r="AL174" s="78"/>
      <c r="AM174" s="78"/>
      <c r="AN174" s="78"/>
      <c r="AO174" s="78"/>
      <c r="AP174" s="78"/>
      <c r="AQ174" s="78"/>
      <c r="AR174" s="78"/>
      <c r="AS174" s="78"/>
      <c r="AT174" s="91"/>
      <c r="AU174" s="78"/>
      <c r="AV174" s="78"/>
      <c r="AW174" s="78"/>
      <c r="AX174" s="78"/>
      <c r="AY174" s="78"/>
      <c r="AZ174" s="78"/>
      <c r="BA174" s="78"/>
      <c r="BB174" s="78"/>
      <c r="BC174" s="78"/>
      <c r="BD174" s="78"/>
      <c r="BE174" s="78"/>
      <c r="BF174" s="78"/>
      <c r="BG174" s="78"/>
      <c r="BH174" s="78"/>
      <c r="BI174" s="78"/>
      <c r="BJ174" s="78"/>
      <c r="BK174" s="78"/>
      <c r="BL174" s="78"/>
      <c r="BM174" s="78"/>
      <c r="BN174" s="78"/>
      <c r="BO174" s="78"/>
      <c r="BP174" s="78"/>
      <c r="BQ174" s="78"/>
      <c r="BR174" s="78"/>
      <c r="BS174" s="78"/>
      <c r="BT174" s="78"/>
      <c r="BU174" s="78"/>
      <c r="BV174" s="78"/>
      <c r="BW174" s="78"/>
      <c r="BX174" s="78"/>
      <c r="BY174" s="78"/>
      <c r="BZ174" s="78"/>
      <c r="CA174" s="78"/>
      <c r="CB174" s="78"/>
      <c r="CC174" s="78"/>
      <c r="CD174" s="78"/>
      <c r="CE174" s="78"/>
      <c r="CF174" s="78"/>
      <c r="CG174" s="78"/>
      <c r="CH174" s="78"/>
      <c r="CI174" s="78"/>
      <c r="CJ174" s="78"/>
      <c r="CK174" s="78"/>
      <c r="CL174" s="78"/>
      <c r="CM174" s="78"/>
      <c r="CN174" s="78"/>
      <c r="CO174" s="78"/>
      <c r="CP174" s="78"/>
      <c r="CQ174" s="78"/>
      <c r="CR174" s="78"/>
      <c r="CS174" s="78"/>
      <c r="CT174" s="78"/>
      <c r="CU174" s="78"/>
      <c r="CV174" s="78"/>
      <c r="CW174" s="78"/>
      <c r="CX174" s="78"/>
      <c r="CY174" s="78"/>
      <c r="CZ174" s="78"/>
      <c r="DA174" s="78"/>
      <c r="DB174" s="78"/>
      <c r="DC174" s="78"/>
      <c r="DD174" s="78"/>
      <c r="DE174" s="78"/>
      <c r="DF174" s="78"/>
      <c r="DG174" s="78"/>
      <c r="DH174" s="78"/>
      <c r="DI174" s="78"/>
      <c r="DJ174" s="78"/>
      <c r="DK174" s="78"/>
      <c r="DL174" s="78"/>
      <c r="DM174" s="78"/>
      <c r="DN174" s="78"/>
      <c r="DO174" s="78"/>
      <c r="DP174" s="78"/>
      <c r="DQ174" s="78"/>
      <c r="DR174" s="78"/>
      <c r="DS174" s="78"/>
      <c r="DT174" s="78"/>
      <c r="DU174" s="78"/>
      <c r="DV174" s="78"/>
      <c r="DW174" s="78"/>
      <c r="DX174" s="78"/>
      <c r="DY174" s="78"/>
      <c r="DZ174" s="78"/>
      <c r="EA174" s="78"/>
      <c r="EB174" s="78"/>
      <c r="EC174" s="78"/>
      <c r="ED174" s="78"/>
      <c r="EE174" s="78"/>
      <c r="EF174" s="78"/>
      <c r="EG174" s="78"/>
      <c r="EH174" s="78"/>
      <c r="EI174" s="91"/>
      <c r="EJ174" s="91"/>
      <c r="EK174" s="91"/>
      <c r="EL174" s="91"/>
      <c r="EM174" s="91"/>
      <c r="EN174" s="91"/>
      <c r="EO174" s="91"/>
      <c r="EP174" s="78"/>
      <c r="EQ174" s="78"/>
      <c r="ER174" s="78"/>
      <c r="ES174" s="78"/>
      <c r="ET174" s="78"/>
      <c r="EU174" s="78"/>
      <c r="EV174" s="78"/>
      <c r="EW174" s="78"/>
      <c r="EX174" s="78"/>
      <c r="EY174" s="78"/>
      <c r="EZ174" s="78"/>
      <c r="FA174" s="78"/>
      <c r="FB174" s="78"/>
      <c r="FC174" s="78"/>
      <c r="FD174" s="78"/>
      <c r="FE174" s="78"/>
      <c r="FF174" s="78"/>
      <c r="FG174" s="78"/>
      <c r="FH174" s="78"/>
      <c r="FI174" s="78"/>
      <c r="FJ174" s="78"/>
      <c r="FK174" s="78"/>
    </row>
    <row r="175" spans="1:167" hidden="1" outlineLevel="1">
      <c r="A175" s="29" t="str">
        <f t="shared" si="22"/>
        <v>cd_imv_out_certifvlr_enrg_fnts_rnvv_otr_uso</v>
      </c>
      <c r="B175" s="67" t="s">
        <v>26</v>
      </c>
      <c r="C175" s="68" t="s">
        <v>54</v>
      </c>
      <c r="D175" s="64" t="s">
        <v>40</v>
      </c>
      <c r="E175" s="66" t="s">
        <v>507</v>
      </c>
      <c r="F175" s="64" t="s">
        <v>541</v>
      </c>
      <c r="G175" s="64" t="e">
        <f>INDEX(Auxiliar!$B$16:$B$24,MATCH(Plano_V1!H175,Auxiliar!$C$16:$C$24,0),1)</f>
        <v>#N/A</v>
      </c>
      <c r="H175" s="64" t="e">
        <f>VLOOKUP(A175,'Aux - pivots1'!$A:$B,2,0)</f>
        <v>#N/A</v>
      </c>
      <c r="I175" s="84">
        <f>SUMIFS(Table1[Estimação (horas)],Table1[Tabela],Plano_V1!E175,Table1[Campo],Plano_V1!F175)</f>
        <v>0</v>
      </c>
      <c r="J175" s="84">
        <f t="shared" si="23"/>
        <v>0</v>
      </c>
      <c r="K175" s="87" t="s">
        <v>124</v>
      </c>
      <c r="L175" s="90">
        <f t="shared" si="21"/>
        <v>0</v>
      </c>
      <c r="M175" s="78"/>
      <c r="N175" s="78"/>
      <c r="O175" s="78"/>
      <c r="P175" s="78"/>
      <c r="Q175" s="78"/>
      <c r="R175" s="78"/>
      <c r="S175" s="78"/>
      <c r="T175" s="78"/>
      <c r="U175" s="78"/>
      <c r="V175" s="78"/>
      <c r="W175" s="78"/>
      <c r="X175" s="78"/>
      <c r="Y175" s="78"/>
      <c r="Z175" s="78"/>
      <c r="AA175" s="78"/>
      <c r="AB175" s="78"/>
      <c r="AC175" s="78"/>
      <c r="AD175" s="78"/>
      <c r="AE175" s="78"/>
      <c r="AF175" s="78"/>
      <c r="AG175" s="78"/>
      <c r="AH175" s="78"/>
      <c r="AI175" s="78"/>
      <c r="AJ175" s="78"/>
      <c r="AK175" s="78"/>
      <c r="AL175" s="78"/>
      <c r="AM175" s="78"/>
      <c r="AN175" s="78"/>
      <c r="AO175" s="78"/>
      <c r="AP175" s="78"/>
      <c r="AQ175" s="78"/>
      <c r="AR175" s="78"/>
      <c r="AS175" s="78"/>
      <c r="AT175" s="91"/>
      <c r="AU175" s="78"/>
      <c r="AV175" s="78"/>
      <c r="AW175" s="78"/>
      <c r="AX175" s="78"/>
      <c r="AY175" s="78"/>
      <c r="AZ175" s="78"/>
      <c r="BA175" s="78"/>
      <c r="BB175" s="78"/>
      <c r="BC175" s="78"/>
      <c r="BD175" s="78"/>
      <c r="BE175" s="78"/>
      <c r="BF175" s="78"/>
      <c r="BG175" s="78"/>
      <c r="BH175" s="78"/>
      <c r="BI175" s="78"/>
      <c r="BJ175" s="78"/>
      <c r="BK175" s="78"/>
      <c r="BL175" s="78"/>
      <c r="BM175" s="78"/>
      <c r="BN175" s="78"/>
      <c r="BO175" s="78"/>
      <c r="BP175" s="78"/>
      <c r="BQ175" s="78"/>
      <c r="BR175" s="78"/>
      <c r="BS175" s="78"/>
      <c r="BT175" s="78"/>
      <c r="BU175" s="78"/>
      <c r="BV175" s="78"/>
      <c r="BW175" s="78"/>
      <c r="BX175" s="78"/>
      <c r="BY175" s="78"/>
      <c r="BZ175" s="78"/>
      <c r="CA175" s="78"/>
      <c r="CB175" s="78"/>
      <c r="CC175" s="78"/>
      <c r="CD175" s="78"/>
      <c r="CE175" s="78"/>
      <c r="CF175" s="78"/>
      <c r="CG175" s="78"/>
      <c r="CH175" s="78"/>
      <c r="CI175" s="78"/>
      <c r="CJ175" s="78"/>
      <c r="CK175" s="78"/>
      <c r="CL175" s="78"/>
      <c r="CM175" s="78"/>
      <c r="CN175" s="78"/>
      <c r="CO175" s="78"/>
      <c r="CP175" s="78"/>
      <c r="CQ175" s="78"/>
      <c r="CR175" s="78"/>
      <c r="CS175" s="78"/>
      <c r="CT175" s="78"/>
      <c r="CU175" s="78"/>
      <c r="CV175" s="78"/>
      <c r="CW175" s="78"/>
      <c r="CX175" s="78"/>
      <c r="CY175" s="78"/>
      <c r="CZ175" s="78"/>
      <c r="DA175" s="78"/>
      <c r="DB175" s="78"/>
      <c r="DC175" s="78"/>
      <c r="DD175" s="78"/>
      <c r="DE175" s="78"/>
      <c r="DF175" s="78"/>
      <c r="DG175" s="78"/>
      <c r="DH175" s="78"/>
      <c r="DI175" s="78"/>
      <c r="DJ175" s="78"/>
      <c r="DK175" s="78"/>
      <c r="DL175" s="78"/>
      <c r="DM175" s="78"/>
      <c r="DN175" s="78"/>
      <c r="DO175" s="78"/>
      <c r="DP175" s="78"/>
      <c r="DQ175" s="78"/>
      <c r="DR175" s="78"/>
      <c r="DS175" s="78"/>
      <c r="DT175" s="78"/>
      <c r="DU175" s="78"/>
      <c r="DV175" s="78"/>
      <c r="DW175" s="78"/>
      <c r="DX175" s="78"/>
      <c r="DY175" s="78"/>
      <c r="DZ175" s="78"/>
      <c r="EA175" s="78"/>
      <c r="EB175" s="78"/>
      <c r="EC175" s="78"/>
      <c r="ED175" s="78"/>
      <c r="EE175" s="78"/>
      <c r="EF175" s="78"/>
      <c r="EG175" s="78"/>
      <c r="EH175" s="78"/>
      <c r="EI175" s="91"/>
      <c r="EJ175" s="91"/>
      <c r="EK175" s="91"/>
      <c r="EL175" s="91"/>
      <c r="EM175" s="91"/>
      <c r="EN175" s="91"/>
      <c r="EO175" s="91"/>
      <c r="EP175" s="78"/>
      <c r="EQ175" s="78"/>
      <c r="ER175" s="78"/>
      <c r="ES175" s="78"/>
      <c r="ET175" s="78"/>
      <c r="EU175" s="78"/>
      <c r="EV175" s="78"/>
      <c r="EW175" s="78"/>
      <c r="EX175" s="78"/>
      <c r="EY175" s="78"/>
      <c r="EZ175" s="78"/>
      <c r="FA175" s="78"/>
      <c r="FB175" s="78"/>
      <c r="FC175" s="78"/>
      <c r="FD175" s="78"/>
      <c r="FE175" s="78"/>
      <c r="FF175" s="78"/>
      <c r="FG175" s="78"/>
      <c r="FH175" s="78"/>
      <c r="FI175" s="78"/>
      <c r="FJ175" s="78"/>
      <c r="FK175" s="78"/>
    </row>
    <row r="176" spans="1:167" hidden="1" outlineLevel="1">
      <c r="A176" s="29" t="str">
        <f t="shared" si="22"/>
        <v>cd_imv_out_certifvlr_enrg_fnts_rnvv_regl</v>
      </c>
      <c r="B176" s="67" t="s">
        <v>26</v>
      </c>
      <c r="C176" s="68" t="s">
        <v>54</v>
      </c>
      <c r="D176" s="64" t="s">
        <v>40</v>
      </c>
      <c r="E176" s="66" t="s">
        <v>507</v>
      </c>
      <c r="F176" s="64" t="s">
        <v>542</v>
      </c>
      <c r="G176" s="64" t="e">
        <f>INDEX(Auxiliar!$B$16:$B$24,MATCH(Plano_V1!H176,Auxiliar!$C$16:$C$24,0),1)</f>
        <v>#N/A</v>
      </c>
      <c r="H176" s="64" t="e">
        <f>VLOOKUP(A176,'Aux - pivots1'!$A:$B,2,0)</f>
        <v>#N/A</v>
      </c>
      <c r="I176" s="84">
        <f>SUMIFS(Table1[Estimação (horas)],Table1[Tabela],Plano_V1!E176,Table1[Campo],Plano_V1!F176)</f>
        <v>0</v>
      </c>
      <c r="J176" s="84">
        <f t="shared" si="23"/>
        <v>0</v>
      </c>
      <c r="K176" s="87" t="s">
        <v>124</v>
      </c>
      <c r="L176" s="90">
        <f t="shared" si="21"/>
        <v>0</v>
      </c>
      <c r="M176" s="78"/>
      <c r="N176" s="78"/>
      <c r="O176" s="78"/>
      <c r="P176" s="78"/>
      <c r="Q176" s="78"/>
      <c r="R176" s="78"/>
      <c r="S176" s="78"/>
      <c r="T176" s="78"/>
      <c r="U176" s="78"/>
      <c r="V176" s="78"/>
      <c r="W176" s="78"/>
      <c r="X176" s="78"/>
      <c r="Y176" s="78"/>
      <c r="Z176" s="78"/>
      <c r="AA176" s="78"/>
      <c r="AB176" s="78"/>
      <c r="AC176" s="78"/>
      <c r="AD176" s="78"/>
      <c r="AE176" s="78"/>
      <c r="AF176" s="78"/>
      <c r="AG176" s="78"/>
      <c r="AH176" s="78"/>
      <c r="AI176" s="78"/>
      <c r="AJ176" s="78"/>
      <c r="AK176" s="78"/>
      <c r="AL176" s="78"/>
      <c r="AM176" s="78"/>
      <c r="AN176" s="78"/>
      <c r="AO176" s="78"/>
      <c r="AP176" s="78"/>
      <c r="AQ176" s="78"/>
      <c r="AR176" s="78"/>
      <c r="AS176" s="78"/>
      <c r="AT176" s="91"/>
      <c r="AU176" s="78"/>
      <c r="AV176" s="78"/>
      <c r="AW176" s="78"/>
      <c r="AX176" s="78"/>
      <c r="AY176" s="78"/>
      <c r="AZ176" s="78"/>
      <c r="BA176" s="78"/>
      <c r="BB176" s="78"/>
      <c r="BC176" s="78"/>
      <c r="BD176" s="78"/>
      <c r="BE176" s="78"/>
      <c r="BF176" s="78"/>
      <c r="BG176" s="78"/>
      <c r="BH176" s="78"/>
      <c r="BI176" s="78"/>
      <c r="BJ176" s="78"/>
      <c r="BK176" s="78"/>
      <c r="BL176" s="78"/>
      <c r="BM176" s="78"/>
      <c r="BN176" s="78"/>
      <c r="BO176" s="78"/>
      <c r="BP176" s="78"/>
      <c r="BQ176" s="78"/>
      <c r="BR176" s="78"/>
      <c r="BS176" s="78"/>
      <c r="BT176" s="78"/>
      <c r="BU176" s="78"/>
      <c r="BV176" s="78"/>
      <c r="BW176" s="78"/>
      <c r="BX176" s="78"/>
      <c r="BY176" s="78"/>
      <c r="BZ176" s="78"/>
      <c r="CA176" s="78"/>
      <c r="CB176" s="78"/>
      <c r="CC176" s="78"/>
      <c r="CD176" s="78"/>
      <c r="CE176" s="78"/>
      <c r="CF176" s="78"/>
      <c r="CG176" s="78"/>
      <c r="CH176" s="78"/>
      <c r="CI176" s="78"/>
      <c r="CJ176" s="78"/>
      <c r="CK176" s="78"/>
      <c r="CL176" s="78"/>
      <c r="CM176" s="78"/>
      <c r="CN176" s="78"/>
      <c r="CO176" s="78"/>
      <c r="CP176" s="78"/>
      <c r="CQ176" s="78"/>
      <c r="CR176" s="78"/>
      <c r="CS176" s="78"/>
      <c r="CT176" s="78"/>
      <c r="CU176" s="78"/>
      <c r="CV176" s="78"/>
      <c r="CW176" s="78"/>
      <c r="CX176" s="78"/>
      <c r="CY176" s="78"/>
      <c r="CZ176" s="78"/>
      <c r="DA176" s="78"/>
      <c r="DB176" s="78"/>
      <c r="DC176" s="78"/>
      <c r="DD176" s="78"/>
      <c r="DE176" s="78"/>
      <c r="DF176" s="78"/>
      <c r="DG176" s="78"/>
      <c r="DH176" s="78"/>
      <c r="DI176" s="78"/>
      <c r="DJ176" s="78"/>
      <c r="DK176" s="78"/>
      <c r="DL176" s="78"/>
      <c r="DM176" s="78"/>
      <c r="DN176" s="78"/>
      <c r="DO176" s="78"/>
      <c r="DP176" s="78"/>
      <c r="DQ176" s="78"/>
      <c r="DR176" s="78"/>
      <c r="DS176" s="78"/>
      <c r="DT176" s="78"/>
      <c r="DU176" s="78"/>
      <c r="DV176" s="78"/>
      <c r="DW176" s="78"/>
      <c r="DX176" s="78"/>
      <c r="DY176" s="78"/>
      <c r="DZ176" s="78"/>
      <c r="EA176" s="78"/>
      <c r="EB176" s="78"/>
      <c r="EC176" s="78"/>
      <c r="ED176" s="78"/>
      <c r="EE176" s="78"/>
      <c r="EF176" s="78"/>
      <c r="EG176" s="78"/>
      <c r="EH176" s="78"/>
      <c r="EI176" s="91"/>
      <c r="EJ176" s="91"/>
      <c r="EK176" s="91"/>
      <c r="EL176" s="91"/>
      <c r="EM176" s="91"/>
      <c r="EN176" s="91"/>
      <c r="EO176" s="91"/>
      <c r="EP176" s="78"/>
      <c r="EQ176" s="78"/>
      <c r="ER176" s="78"/>
      <c r="ES176" s="78"/>
      <c r="ET176" s="78"/>
      <c r="EU176" s="78"/>
      <c r="EV176" s="78"/>
      <c r="EW176" s="78"/>
      <c r="EX176" s="78"/>
      <c r="EY176" s="78"/>
      <c r="EZ176" s="78"/>
      <c r="FA176" s="78"/>
      <c r="FB176" s="78"/>
      <c r="FC176" s="78"/>
      <c r="FD176" s="78"/>
      <c r="FE176" s="78"/>
      <c r="FF176" s="78"/>
      <c r="FG176" s="78"/>
      <c r="FH176" s="78"/>
      <c r="FI176" s="78"/>
      <c r="FJ176" s="78"/>
      <c r="FK176" s="78"/>
    </row>
    <row r="177" spans="1:167" hidden="1" outlineLevel="1">
      <c r="A177" s="29" t="str">
        <f t="shared" si="22"/>
        <v>cd_imv_out_certifvlr_enrg_renew</v>
      </c>
      <c r="B177" s="67" t="s">
        <v>26</v>
      </c>
      <c r="C177" s="68" t="s">
        <v>54</v>
      </c>
      <c r="D177" s="64" t="s">
        <v>40</v>
      </c>
      <c r="E177" s="66" t="s">
        <v>507</v>
      </c>
      <c r="F177" s="64" t="s">
        <v>543</v>
      </c>
      <c r="G177" s="64" t="e">
        <f>INDEX(Auxiliar!$B$16:$B$24,MATCH(Plano_V1!H177,Auxiliar!$C$16:$C$24,0),1)</f>
        <v>#N/A</v>
      </c>
      <c r="H177" s="64" t="e">
        <f>VLOOKUP(A177,'Aux - pivots1'!$A:$B,2,0)</f>
        <v>#N/A</v>
      </c>
      <c r="I177" s="84">
        <f>SUMIFS(Table1[Estimação (horas)],Table1[Tabela],Plano_V1!E177,Table1[Campo],Plano_V1!F177)</f>
        <v>0</v>
      </c>
      <c r="J177" s="84">
        <f t="shared" si="23"/>
        <v>0</v>
      </c>
      <c r="K177" s="87" t="s">
        <v>124</v>
      </c>
      <c r="L177" s="90">
        <f t="shared" si="21"/>
        <v>0</v>
      </c>
      <c r="M177" s="78"/>
      <c r="N177" s="78"/>
      <c r="O177" s="78"/>
      <c r="P177" s="78"/>
      <c r="Q177" s="78"/>
      <c r="R177" s="78"/>
      <c r="S177" s="78"/>
      <c r="T177" s="78"/>
      <c r="U177" s="78"/>
      <c r="V177" s="78"/>
      <c r="W177" s="78"/>
      <c r="X177" s="78"/>
      <c r="Y177" s="78"/>
      <c r="Z177" s="78"/>
      <c r="AA177" s="78"/>
      <c r="AB177" s="78"/>
      <c r="AC177" s="78"/>
      <c r="AD177" s="78"/>
      <c r="AE177" s="78"/>
      <c r="AF177" s="78"/>
      <c r="AG177" s="78"/>
      <c r="AH177" s="78"/>
      <c r="AI177" s="78"/>
      <c r="AJ177" s="78"/>
      <c r="AK177" s="78"/>
      <c r="AL177" s="78"/>
      <c r="AM177" s="78"/>
      <c r="AN177" s="78"/>
      <c r="AO177" s="78"/>
      <c r="AP177" s="78"/>
      <c r="AQ177" s="78"/>
      <c r="AR177" s="78"/>
      <c r="AS177" s="78"/>
      <c r="AT177" s="91"/>
      <c r="AU177" s="78"/>
      <c r="AV177" s="78"/>
      <c r="AW177" s="78"/>
      <c r="AX177" s="78"/>
      <c r="AY177" s="78"/>
      <c r="AZ177" s="78"/>
      <c r="BA177" s="78"/>
      <c r="BB177" s="78"/>
      <c r="BC177" s="78"/>
      <c r="BD177" s="78"/>
      <c r="BE177" s="78"/>
      <c r="BF177" s="78"/>
      <c r="BG177" s="78"/>
      <c r="BH177" s="78"/>
      <c r="BI177" s="78"/>
      <c r="BJ177" s="78"/>
      <c r="BK177" s="78"/>
      <c r="BL177" s="78"/>
      <c r="BM177" s="78"/>
      <c r="BN177" s="78"/>
      <c r="BO177" s="78"/>
      <c r="BP177" s="78"/>
      <c r="BQ177" s="78"/>
      <c r="BR177" s="78"/>
      <c r="BS177" s="78"/>
      <c r="BT177" s="78"/>
      <c r="BU177" s="78"/>
      <c r="BV177" s="78"/>
      <c r="BW177" s="78"/>
      <c r="BX177" s="78"/>
      <c r="BY177" s="78"/>
      <c r="BZ177" s="78"/>
      <c r="CA177" s="78"/>
      <c r="CB177" s="78"/>
      <c r="CC177" s="78"/>
      <c r="CD177" s="78"/>
      <c r="CE177" s="78"/>
      <c r="CF177" s="78"/>
      <c r="CG177" s="78"/>
      <c r="CH177" s="78"/>
      <c r="CI177" s="78"/>
      <c r="CJ177" s="78"/>
      <c r="CK177" s="78"/>
      <c r="CL177" s="78"/>
      <c r="CM177" s="78"/>
      <c r="CN177" s="78"/>
      <c r="CO177" s="78"/>
      <c r="CP177" s="78"/>
      <c r="CQ177" s="78"/>
      <c r="CR177" s="78"/>
      <c r="CS177" s="78"/>
      <c r="CT177" s="78"/>
      <c r="CU177" s="78"/>
      <c r="CV177" s="78"/>
      <c r="CW177" s="78"/>
      <c r="CX177" s="78"/>
      <c r="CY177" s="78"/>
      <c r="CZ177" s="78"/>
      <c r="DA177" s="78"/>
      <c r="DB177" s="78"/>
      <c r="DC177" s="78"/>
      <c r="DD177" s="78"/>
      <c r="DE177" s="78"/>
      <c r="DF177" s="78"/>
      <c r="DG177" s="78"/>
      <c r="DH177" s="78"/>
      <c r="DI177" s="78"/>
      <c r="DJ177" s="78"/>
      <c r="DK177" s="78"/>
      <c r="DL177" s="78"/>
      <c r="DM177" s="78"/>
      <c r="DN177" s="78"/>
      <c r="DO177" s="78"/>
      <c r="DP177" s="78"/>
      <c r="DQ177" s="78"/>
      <c r="DR177" s="78"/>
      <c r="DS177" s="78"/>
      <c r="DT177" s="78"/>
      <c r="DU177" s="78"/>
      <c r="DV177" s="78"/>
      <c r="DW177" s="78"/>
      <c r="DX177" s="78"/>
      <c r="DY177" s="78"/>
      <c r="DZ177" s="78"/>
      <c r="EA177" s="78"/>
      <c r="EB177" s="78"/>
      <c r="EC177" s="78"/>
      <c r="ED177" s="78"/>
      <c r="EE177" s="78"/>
      <c r="EF177" s="78"/>
      <c r="EG177" s="78"/>
      <c r="EH177" s="78"/>
      <c r="EI177" s="91"/>
      <c r="EJ177" s="91"/>
      <c r="EK177" s="91"/>
      <c r="EL177" s="91"/>
      <c r="EM177" s="91"/>
      <c r="EN177" s="91"/>
      <c r="EO177" s="91"/>
      <c r="EP177" s="78"/>
      <c r="EQ177" s="78"/>
      <c r="ER177" s="78"/>
      <c r="ES177" s="78"/>
      <c r="ET177" s="78"/>
      <c r="EU177" s="78"/>
      <c r="EV177" s="78"/>
      <c r="EW177" s="78"/>
      <c r="EX177" s="78"/>
      <c r="EY177" s="78"/>
      <c r="EZ177" s="78"/>
      <c r="FA177" s="78"/>
      <c r="FB177" s="78"/>
      <c r="FC177" s="78"/>
      <c r="FD177" s="78"/>
      <c r="FE177" s="78"/>
      <c r="FF177" s="78"/>
      <c r="FG177" s="78"/>
      <c r="FH177" s="78"/>
      <c r="FI177" s="78"/>
      <c r="FJ177" s="78"/>
      <c r="FK177" s="78"/>
    </row>
    <row r="178" spans="1:167" hidden="1" outlineLevel="1">
      <c r="A178" s="29" t="str">
        <f t="shared" si="22"/>
        <v>cd_imv_out_certifvlr_enrg_utl_agua_qt_snt</v>
      </c>
      <c r="B178" s="67" t="s">
        <v>26</v>
      </c>
      <c r="C178" s="68" t="s">
        <v>54</v>
      </c>
      <c r="D178" s="64" t="s">
        <v>40</v>
      </c>
      <c r="E178" s="66" t="s">
        <v>507</v>
      </c>
      <c r="F178" s="64" t="s">
        <v>544</v>
      </c>
      <c r="G178" s="64" t="e">
        <f>INDEX(Auxiliar!$B$16:$B$24,MATCH(Plano_V1!H178,Auxiliar!$C$16:$C$24,0),1)</f>
        <v>#N/A</v>
      </c>
      <c r="H178" s="64" t="e">
        <f>VLOOKUP(A178,'Aux - pivots1'!$A:$B,2,0)</f>
        <v>#N/A</v>
      </c>
      <c r="I178" s="84">
        <f>SUMIFS(Table1[Estimação (horas)],Table1[Tabela],Plano_V1!E178,Table1[Campo],Plano_V1!F178)</f>
        <v>0</v>
      </c>
      <c r="J178" s="84">
        <f t="shared" si="23"/>
        <v>0</v>
      </c>
      <c r="K178" s="87" t="s">
        <v>124</v>
      </c>
      <c r="L178" s="90">
        <f t="shared" si="21"/>
        <v>0</v>
      </c>
      <c r="M178" s="78"/>
      <c r="N178" s="78"/>
      <c r="O178" s="78"/>
      <c r="P178" s="78"/>
      <c r="Q178" s="78"/>
      <c r="R178" s="78"/>
      <c r="S178" s="78"/>
      <c r="T178" s="78"/>
      <c r="U178" s="78"/>
      <c r="V178" s="78"/>
      <c r="W178" s="78"/>
      <c r="X178" s="78"/>
      <c r="Y178" s="78"/>
      <c r="Z178" s="78"/>
      <c r="AA178" s="78"/>
      <c r="AB178" s="78"/>
      <c r="AC178" s="78"/>
      <c r="AD178" s="78"/>
      <c r="AE178" s="78"/>
      <c r="AF178" s="78"/>
      <c r="AG178" s="78"/>
      <c r="AH178" s="78"/>
      <c r="AI178" s="78"/>
      <c r="AJ178" s="78"/>
      <c r="AK178" s="78"/>
      <c r="AL178" s="78"/>
      <c r="AM178" s="78"/>
      <c r="AN178" s="78"/>
      <c r="AO178" s="78"/>
      <c r="AP178" s="78"/>
      <c r="AQ178" s="78"/>
      <c r="AR178" s="78"/>
      <c r="AS178" s="78"/>
      <c r="AT178" s="91"/>
      <c r="AU178" s="78"/>
      <c r="AV178" s="78"/>
      <c r="AW178" s="78"/>
      <c r="AX178" s="78"/>
      <c r="AY178" s="78"/>
      <c r="AZ178" s="78"/>
      <c r="BA178" s="78"/>
      <c r="BB178" s="78"/>
      <c r="BC178" s="78"/>
      <c r="BD178" s="78"/>
      <c r="BE178" s="78"/>
      <c r="BF178" s="78"/>
      <c r="BG178" s="78"/>
      <c r="BH178" s="78"/>
      <c r="BI178" s="78"/>
      <c r="BJ178" s="78"/>
      <c r="BK178" s="78"/>
      <c r="BL178" s="78"/>
      <c r="BM178" s="78"/>
      <c r="BN178" s="78"/>
      <c r="BO178" s="78"/>
      <c r="BP178" s="78"/>
      <c r="BQ178" s="78"/>
      <c r="BR178" s="78"/>
      <c r="BS178" s="78"/>
      <c r="BT178" s="78"/>
      <c r="BU178" s="78"/>
      <c r="BV178" s="78"/>
      <c r="BW178" s="78"/>
      <c r="BX178" s="78"/>
      <c r="BY178" s="78"/>
      <c r="BZ178" s="78"/>
      <c r="CA178" s="78"/>
      <c r="CB178" s="78"/>
      <c r="CC178" s="78"/>
      <c r="CD178" s="78"/>
      <c r="CE178" s="78"/>
      <c r="CF178" s="78"/>
      <c r="CG178" s="78"/>
      <c r="CH178" s="78"/>
      <c r="CI178" s="78"/>
      <c r="CJ178" s="78"/>
      <c r="CK178" s="78"/>
      <c r="CL178" s="78"/>
      <c r="CM178" s="78"/>
      <c r="CN178" s="78"/>
      <c r="CO178" s="78"/>
      <c r="CP178" s="78"/>
      <c r="CQ178" s="78"/>
      <c r="CR178" s="78"/>
      <c r="CS178" s="78"/>
      <c r="CT178" s="78"/>
      <c r="CU178" s="78"/>
      <c r="CV178" s="78"/>
      <c r="CW178" s="78"/>
      <c r="CX178" s="78"/>
      <c r="CY178" s="78"/>
      <c r="CZ178" s="78"/>
      <c r="DA178" s="78"/>
      <c r="DB178" s="78"/>
      <c r="DC178" s="78"/>
      <c r="DD178" s="78"/>
      <c r="DE178" s="78"/>
      <c r="DF178" s="78"/>
      <c r="DG178" s="78"/>
      <c r="DH178" s="78"/>
      <c r="DI178" s="78"/>
      <c r="DJ178" s="78"/>
      <c r="DK178" s="78"/>
      <c r="DL178" s="78"/>
      <c r="DM178" s="78"/>
      <c r="DN178" s="78"/>
      <c r="DO178" s="78"/>
      <c r="DP178" s="78"/>
      <c r="DQ178" s="78"/>
      <c r="DR178" s="78"/>
      <c r="DS178" s="78"/>
      <c r="DT178" s="78"/>
      <c r="DU178" s="78"/>
      <c r="DV178" s="78"/>
      <c r="DW178" s="78"/>
      <c r="DX178" s="78"/>
      <c r="DY178" s="78"/>
      <c r="DZ178" s="78"/>
      <c r="EA178" s="78"/>
      <c r="EB178" s="78"/>
      <c r="EC178" s="78"/>
      <c r="ED178" s="78"/>
      <c r="EE178" s="78"/>
      <c r="EF178" s="78"/>
      <c r="EG178" s="78"/>
      <c r="EH178" s="78"/>
      <c r="EI178" s="91"/>
      <c r="EJ178" s="91"/>
      <c r="EK178" s="91"/>
      <c r="EL178" s="91"/>
      <c r="EM178" s="91"/>
      <c r="EN178" s="91"/>
      <c r="EO178" s="91"/>
      <c r="EP178" s="78"/>
      <c r="EQ178" s="78"/>
      <c r="ER178" s="78"/>
      <c r="ES178" s="78"/>
      <c r="ET178" s="78"/>
      <c r="EU178" s="78"/>
      <c r="EV178" s="78"/>
      <c r="EW178" s="78"/>
      <c r="EX178" s="78"/>
      <c r="EY178" s="78"/>
      <c r="EZ178" s="78"/>
      <c r="FA178" s="78"/>
      <c r="FB178" s="78"/>
      <c r="FC178" s="78"/>
      <c r="FD178" s="78"/>
      <c r="FE178" s="78"/>
      <c r="FF178" s="78"/>
      <c r="FG178" s="78"/>
      <c r="FH178" s="78"/>
      <c r="FI178" s="78"/>
      <c r="FJ178" s="78"/>
      <c r="FK178" s="78"/>
    </row>
    <row r="179" spans="1:167" hidden="1" outlineLevel="1">
      <c r="A179" s="29" t="str">
        <f t="shared" si="22"/>
        <v>cd_imv_out_certifvlr_enrg_utl_arrfcmnt</v>
      </c>
      <c r="B179" s="67" t="s">
        <v>26</v>
      </c>
      <c r="C179" s="68" t="s">
        <v>54</v>
      </c>
      <c r="D179" s="64" t="s">
        <v>40</v>
      </c>
      <c r="E179" s="66" t="s">
        <v>507</v>
      </c>
      <c r="F179" s="64" t="s">
        <v>545</v>
      </c>
      <c r="G179" s="64" t="e">
        <f>INDEX(Auxiliar!$B$16:$B$24,MATCH(Plano_V1!H179,Auxiliar!$C$16:$C$24,0),1)</f>
        <v>#N/A</v>
      </c>
      <c r="H179" s="64" t="e">
        <f>VLOOKUP(A179,'Aux - pivots1'!$A:$B,2,0)</f>
        <v>#N/A</v>
      </c>
      <c r="I179" s="84">
        <f>SUMIFS(Table1[Estimação (horas)],Table1[Tabela],Plano_V1!E179,Table1[Campo],Plano_V1!F179)</f>
        <v>0</v>
      </c>
      <c r="J179" s="84">
        <f t="shared" si="23"/>
        <v>0</v>
      </c>
      <c r="K179" s="87" t="s">
        <v>124</v>
      </c>
      <c r="L179" s="90">
        <f t="shared" si="21"/>
        <v>0</v>
      </c>
      <c r="M179" s="78"/>
      <c r="N179" s="78"/>
      <c r="O179" s="78"/>
      <c r="P179" s="78"/>
      <c r="Q179" s="78"/>
      <c r="R179" s="78"/>
      <c r="S179" s="78"/>
      <c r="T179" s="78"/>
      <c r="U179" s="78"/>
      <c r="V179" s="78"/>
      <c r="W179" s="78"/>
      <c r="X179" s="78"/>
      <c r="Y179" s="78"/>
      <c r="Z179" s="78"/>
      <c r="AA179" s="78"/>
      <c r="AB179" s="78"/>
      <c r="AC179" s="78"/>
      <c r="AD179" s="78"/>
      <c r="AE179" s="78"/>
      <c r="AF179" s="78"/>
      <c r="AG179" s="78"/>
      <c r="AH179" s="78"/>
      <c r="AI179" s="78"/>
      <c r="AJ179" s="78"/>
      <c r="AK179" s="78"/>
      <c r="AL179" s="78"/>
      <c r="AM179" s="78"/>
      <c r="AN179" s="78"/>
      <c r="AO179" s="78"/>
      <c r="AP179" s="78"/>
      <c r="AQ179" s="78"/>
      <c r="AR179" s="78"/>
      <c r="AS179" s="78"/>
      <c r="AT179" s="91"/>
      <c r="AU179" s="78"/>
      <c r="AV179" s="78"/>
      <c r="AW179" s="78"/>
      <c r="AX179" s="78"/>
      <c r="AY179" s="78"/>
      <c r="AZ179" s="78"/>
      <c r="BA179" s="78"/>
      <c r="BB179" s="78"/>
      <c r="BC179" s="78"/>
      <c r="BD179" s="78"/>
      <c r="BE179" s="78"/>
      <c r="BF179" s="78"/>
      <c r="BG179" s="78"/>
      <c r="BH179" s="78"/>
      <c r="BI179" s="78"/>
      <c r="BJ179" s="78"/>
      <c r="BK179" s="78"/>
      <c r="BL179" s="78"/>
      <c r="BM179" s="78"/>
      <c r="BN179" s="78"/>
      <c r="BO179" s="78"/>
      <c r="BP179" s="78"/>
      <c r="BQ179" s="78"/>
      <c r="BR179" s="78"/>
      <c r="BS179" s="78"/>
      <c r="BT179" s="78"/>
      <c r="BU179" s="78"/>
      <c r="BV179" s="78"/>
      <c r="BW179" s="78"/>
      <c r="BX179" s="78"/>
      <c r="BY179" s="78"/>
      <c r="BZ179" s="78"/>
      <c r="CA179" s="78"/>
      <c r="CB179" s="78"/>
      <c r="CC179" s="78"/>
      <c r="CD179" s="78"/>
      <c r="CE179" s="78"/>
      <c r="CF179" s="78"/>
      <c r="CG179" s="78"/>
      <c r="CH179" s="78"/>
      <c r="CI179" s="78"/>
      <c r="CJ179" s="78"/>
      <c r="CK179" s="78"/>
      <c r="CL179" s="78"/>
      <c r="CM179" s="78"/>
      <c r="CN179" s="78"/>
      <c r="CO179" s="78"/>
      <c r="CP179" s="78"/>
      <c r="CQ179" s="78"/>
      <c r="CR179" s="78"/>
      <c r="CS179" s="78"/>
      <c r="CT179" s="78"/>
      <c r="CU179" s="78"/>
      <c r="CV179" s="78"/>
      <c r="CW179" s="78"/>
      <c r="CX179" s="78"/>
      <c r="CY179" s="78"/>
      <c r="CZ179" s="78"/>
      <c r="DA179" s="78"/>
      <c r="DB179" s="78"/>
      <c r="DC179" s="78"/>
      <c r="DD179" s="78"/>
      <c r="DE179" s="78"/>
      <c r="DF179" s="78"/>
      <c r="DG179" s="78"/>
      <c r="DH179" s="78"/>
      <c r="DI179" s="78"/>
      <c r="DJ179" s="78"/>
      <c r="DK179" s="78"/>
      <c r="DL179" s="78"/>
      <c r="DM179" s="78"/>
      <c r="DN179" s="78"/>
      <c r="DO179" s="78"/>
      <c r="DP179" s="78"/>
      <c r="DQ179" s="78"/>
      <c r="DR179" s="78"/>
      <c r="DS179" s="78"/>
      <c r="DT179" s="78"/>
      <c r="DU179" s="78"/>
      <c r="DV179" s="78"/>
      <c r="DW179" s="78"/>
      <c r="DX179" s="78"/>
      <c r="DY179" s="78"/>
      <c r="DZ179" s="78"/>
      <c r="EA179" s="78"/>
      <c r="EB179" s="78"/>
      <c r="EC179" s="78"/>
      <c r="ED179" s="78"/>
      <c r="EE179" s="78"/>
      <c r="EF179" s="78"/>
      <c r="EG179" s="78"/>
      <c r="EH179" s="78"/>
      <c r="EI179" s="91"/>
      <c r="EJ179" s="91"/>
      <c r="EK179" s="91"/>
      <c r="EL179" s="91"/>
      <c r="EM179" s="91"/>
      <c r="EN179" s="91"/>
      <c r="EO179" s="91"/>
      <c r="EP179" s="78"/>
      <c r="EQ179" s="78"/>
      <c r="ER179" s="78"/>
      <c r="ES179" s="78"/>
      <c r="ET179" s="78"/>
      <c r="EU179" s="78"/>
      <c r="EV179" s="78"/>
      <c r="EW179" s="78"/>
      <c r="EX179" s="78"/>
      <c r="EY179" s="78"/>
      <c r="EZ179" s="78"/>
      <c r="FA179" s="78"/>
      <c r="FB179" s="78"/>
      <c r="FC179" s="78"/>
      <c r="FD179" s="78"/>
      <c r="FE179" s="78"/>
      <c r="FF179" s="78"/>
      <c r="FG179" s="78"/>
      <c r="FH179" s="78"/>
      <c r="FI179" s="78"/>
      <c r="FJ179" s="78"/>
      <c r="FK179" s="78"/>
    </row>
    <row r="180" spans="1:167" hidden="1" outlineLevel="1">
      <c r="A180" s="29" t="str">
        <f t="shared" si="22"/>
        <v>cd_imv_out_certifvlr_grs_dia</v>
      </c>
      <c r="B180" s="67" t="s">
        <v>26</v>
      </c>
      <c r="C180" s="68" t="s">
        <v>54</v>
      </c>
      <c r="D180" s="64" t="s">
        <v>40</v>
      </c>
      <c r="E180" s="66" t="s">
        <v>507</v>
      </c>
      <c r="F180" s="64" t="s">
        <v>546</v>
      </c>
      <c r="G180" s="64" t="e">
        <f>INDEX(Auxiliar!$B$16:$B$24,MATCH(Plano_V1!H180,Auxiliar!$C$16:$C$24,0),1)</f>
        <v>#N/A</v>
      </c>
      <c r="H180" s="64" t="e">
        <f>VLOOKUP(A180,'Aux - pivots1'!$A:$B,2,0)</f>
        <v>#N/A</v>
      </c>
      <c r="I180" s="84">
        <f>SUMIFS(Table1[Estimação (horas)],Table1[Tabela],Plano_V1!E180,Table1[Campo],Plano_V1!F180)</f>
        <v>0</v>
      </c>
      <c r="J180" s="84">
        <f t="shared" si="23"/>
        <v>0</v>
      </c>
      <c r="K180" s="87" t="s">
        <v>124</v>
      </c>
      <c r="L180" s="90">
        <f t="shared" si="21"/>
        <v>0</v>
      </c>
      <c r="M180" s="78"/>
      <c r="N180" s="78"/>
      <c r="O180" s="78"/>
      <c r="P180" s="78"/>
      <c r="Q180" s="78"/>
      <c r="R180" s="78"/>
      <c r="S180" s="78"/>
      <c r="T180" s="78"/>
      <c r="U180" s="78"/>
      <c r="V180" s="78"/>
      <c r="W180" s="78"/>
      <c r="X180" s="78"/>
      <c r="Y180" s="78"/>
      <c r="Z180" s="78"/>
      <c r="AA180" s="78"/>
      <c r="AB180" s="78"/>
      <c r="AC180" s="78"/>
      <c r="AD180" s="78"/>
      <c r="AE180" s="78"/>
      <c r="AF180" s="78"/>
      <c r="AG180" s="78"/>
      <c r="AH180" s="78"/>
      <c r="AI180" s="78"/>
      <c r="AJ180" s="78"/>
      <c r="AK180" s="78"/>
      <c r="AL180" s="78"/>
      <c r="AM180" s="78"/>
      <c r="AN180" s="78"/>
      <c r="AO180" s="78"/>
      <c r="AP180" s="78"/>
      <c r="AQ180" s="78"/>
      <c r="AR180" s="78"/>
      <c r="AS180" s="78"/>
      <c r="AT180" s="91"/>
      <c r="AU180" s="78"/>
      <c r="AV180" s="78"/>
      <c r="AW180" s="78"/>
      <c r="AX180" s="78"/>
      <c r="AY180" s="78"/>
      <c r="AZ180" s="78"/>
      <c r="BA180" s="78"/>
      <c r="BB180" s="78"/>
      <c r="BC180" s="78"/>
      <c r="BD180" s="78"/>
      <c r="BE180" s="78"/>
      <c r="BF180" s="78"/>
      <c r="BG180" s="78"/>
      <c r="BH180" s="78"/>
      <c r="BI180" s="78"/>
      <c r="BJ180" s="78"/>
      <c r="BK180" s="78"/>
      <c r="BL180" s="78"/>
      <c r="BM180" s="78"/>
      <c r="BN180" s="78"/>
      <c r="BO180" s="78"/>
      <c r="BP180" s="78"/>
      <c r="BQ180" s="78"/>
      <c r="BR180" s="78"/>
      <c r="BS180" s="78"/>
      <c r="BT180" s="78"/>
      <c r="BU180" s="78"/>
      <c r="BV180" s="78"/>
      <c r="BW180" s="78"/>
      <c r="BX180" s="78"/>
      <c r="BY180" s="78"/>
      <c r="BZ180" s="78"/>
      <c r="CA180" s="78"/>
      <c r="CB180" s="78"/>
      <c r="CC180" s="78"/>
      <c r="CD180" s="78"/>
      <c r="CE180" s="78"/>
      <c r="CF180" s="78"/>
      <c r="CG180" s="78"/>
      <c r="CH180" s="78"/>
      <c r="CI180" s="78"/>
      <c r="CJ180" s="78"/>
      <c r="CK180" s="78"/>
      <c r="CL180" s="78"/>
      <c r="CM180" s="78"/>
      <c r="CN180" s="78"/>
      <c r="CO180" s="78"/>
      <c r="CP180" s="78"/>
      <c r="CQ180" s="78"/>
      <c r="CR180" s="78"/>
      <c r="CS180" s="78"/>
      <c r="CT180" s="78"/>
      <c r="CU180" s="78"/>
      <c r="CV180" s="78"/>
      <c r="CW180" s="78"/>
      <c r="CX180" s="78"/>
      <c r="CY180" s="78"/>
      <c r="CZ180" s="78"/>
      <c r="DA180" s="78"/>
      <c r="DB180" s="78"/>
      <c r="DC180" s="78"/>
      <c r="DD180" s="78"/>
      <c r="DE180" s="78"/>
      <c r="DF180" s="78"/>
      <c r="DG180" s="78"/>
      <c r="DH180" s="78"/>
      <c r="DI180" s="78"/>
      <c r="DJ180" s="78"/>
      <c r="DK180" s="78"/>
      <c r="DL180" s="78"/>
      <c r="DM180" s="78"/>
      <c r="DN180" s="78"/>
      <c r="DO180" s="78"/>
      <c r="DP180" s="78"/>
      <c r="DQ180" s="78"/>
      <c r="DR180" s="78"/>
      <c r="DS180" s="78"/>
      <c r="DT180" s="78"/>
      <c r="DU180" s="78"/>
      <c r="DV180" s="78"/>
      <c r="DW180" s="78"/>
      <c r="DX180" s="78"/>
      <c r="DY180" s="78"/>
      <c r="DZ180" s="78"/>
      <c r="EA180" s="78"/>
      <c r="EB180" s="78"/>
      <c r="EC180" s="78"/>
      <c r="ED180" s="78"/>
      <c r="EE180" s="78"/>
      <c r="EF180" s="78"/>
      <c r="EG180" s="78"/>
      <c r="EH180" s="78"/>
      <c r="EI180" s="91"/>
      <c r="EJ180" s="91"/>
      <c r="EK180" s="91"/>
      <c r="EL180" s="91"/>
      <c r="EM180" s="91"/>
      <c r="EN180" s="91"/>
      <c r="EO180" s="91"/>
      <c r="EP180" s="78"/>
      <c r="EQ180" s="78"/>
      <c r="ER180" s="78"/>
      <c r="ES180" s="78"/>
      <c r="ET180" s="78"/>
      <c r="EU180" s="78"/>
      <c r="EV180" s="78"/>
      <c r="EW180" s="78"/>
      <c r="EX180" s="78"/>
      <c r="EY180" s="78"/>
      <c r="EZ180" s="78"/>
      <c r="FA180" s="78"/>
      <c r="FB180" s="78"/>
      <c r="FC180" s="78"/>
      <c r="FD180" s="78"/>
      <c r="FE180" s="78"/>
      <c r="FF180" s="78"/>
      <c r="FG180" s="78"/>
      <c r="FH180" s="78"/>
      <c r="FI180" s="78"/>
      <c r="FJ180" s="78"/>
      <c r="FK180" s="78"/>
    </row>
    <row r="181" spans="1:167" hidden="1" outlineLevel="1">
      <c r="A181" s="29" t="str">
        <f t="shared" si="22"/>
        <v>cd_imv_out_certifvlr_ncssdd_enrg_prmr</v>
      </c>
      <c r="B181" s="67" t="s">
        <v>26</v>
      </c>
      <c r="C181" s="68" t="s">
        <v>54</v>
      </c>
      <c r="D181" s="64" t="s">
        <v>40</v>
      </c>
      <c r="E181" s="66" t="s">
        <v>507</v>
      </c>
      <c r="F181" s="64" t="s">
        <v>547</v>
      </c>
      <c r="G181" s="64" t="e">
        <f>INDEX(Auxiliar!$B$16:$B$24,MATCH(Plano_V1!H181,Auxiliar!$C$16:$C$24,0),1)</f>
        <v>#N/A</v>
      </c>
      <c r="H181" s="64" t="e">
        <f>VLOOKUP(A181,'Aux - pivots1'!$A:$B,2,0)</f>
        <v>#N/A</v>
      </c>
      <c r="I181" s="84">
        <f>SUMIFS(Table1[Estimação (horas)],Table1[Tabela],Plano_V1!E181,Table1[Campo],Plano_V1!F181)</f>
        <v>0</v>
      </c>
      <c r="J181" s="84">
        <f t="shared" si="23"/>
        <v>0</v>
      </c>
      <c r="K181" s="87" t="s">
        <v>124</v>
      </c>
      <c r="L181" s="90">
        <f t="shared" si="21"/>
        <v>0</v>
      </c>
      <c r="M181" s="78"/>
      <c r="N181" s="78"/>
      <c r="O181" s="78"/>
      <c r="P181" s="78"/>
      <c r="Q181" s="78"/>
      <c r="R181" s="78"/>
      <c r="S181" s="78"/>
      <c r="T181" s="78"/>
      <c r="U181" s="78"/>
      <c r="V181" s="78"/>
      <c r="W181" s="78"/>
      <c r="X181" s="78"/>
      <c r="Y181" s="78"/>
      <c r="Z181" s="78"/>
      <c r="AA181" s="78"/>
      <c r="AB181" s="78"/>
      <c r="AC181" s="78"/>
      <c r="AD181" s="78"/>
      <c r="AE181" s="78"/>
      <c r="AF181" s="78"/>
      <c r="AG181" s="78"/>
      <c r="AH181" s="78"/>
      <c r="AI181" s="78"/>
      <c r="AJ181" s="78"/>
      <c r="AK181" s="78"/>
      <c r="AL181" s="78"/>
      <c r="AM181" s="78"/>
      <c r="AN181" s="78"/>
      <c r="AO181" s="78"/>
      <c r="AP181" s="78"/>
      <c r="AQ181" s="78"/>
      <c r="AR181" s="78"/>
      <c r="AS181" s="78"/>
      <c r="AT181" s="91"/>
      <c r="AU181" s="78"/>
      <c r="AV181" s="78"/>
      <c r="AW181" s="78"/>
      <c r="AX181" s="78"/>
      <c r="AY181" s="78"/>
      <c r="AZ181" s="78"/>
      <c r="BA181" s="78"/>
      <c r="BB181" s="78"/>
      <c r="BC181" s="78"/>
      <c r="BD181" s="78"/>
      <c r="BE181" s="78"/>
      <c r="BF181" s="78"/>
      <c r="BG181" s="78"/>
      <c r="BH181" s="78"/>
      <c r="BI181" s="78"/>
      <c r="BJ181" s="78"/>
      <c r="BK181" s="78"/>
      <c r="BL181" s="78"/>
      <c r="BM181" s="78"/>
      <c r="BN181" s="78"/>
      <c r="BO181" s="78"/>
      <c r="BP181" s="78"/>
      <c r="BQ181" s="78"/>
      <c r="BR181" s="78"/>
      <c r="BS181" s="78"/>
      <c r="BT181" s="78"/>
      <c r="BU181" s="78"/>
      <c r="BV181" s="78"/>
      <c r="BW181" s="78"/>
      <c r="BX181" s="78"/>
      <c r="BY181" s="78"/>
      <c r="BZ181" s="78"/>
      <c r="CA181" s="78"/>
      <c r="CB181" s="78"/>
      <c r="CC181" s="78"/>
      <c r="CD181" s="78"/>
      <c r="CE181" s="78"/>
      <c r="CF181" s="78"/>
      <c r="CG181" s="78"/>
      <c r="CH181" s="78"/>
      <c r="CI181" s="78"/>
      <c r="CJ181" s="78"/>
      <c r="CK181" s="78"/>
      <c r="CL181" s="78"/>
      <c r="CM181" s="78"/>
      <c r="CN181" s="78"/>
      <c r="CO181" s="78"/>
      <c r="CP181" s="78"/>
      <c r="CQ181" s="78"/>
      <c r="CR181" s="78"/>
      <c r="CS181" s="78"/>
      <c r="CT181" s="78"/>
      <c r="CU181" s="78"/>
      <c r="CV181" s="78"/>
      <c r="CW181" s="78"/>
      <c r="CX181" s="78"/>
      <c r="CY181" s="78"/>
      <c r="CZ181" s="78"/>
      <c r="DA181" s="78"/>
      <c r="DB181" s="78"/>
      <c r="DC181" s="78"/>
      <c r="DD181" s="78"/>
      <c r="DE181" s="78"/>
      <c r="DF181" s="78"/>
      <c r="DG181" s="78"/>
      <c r="DH181" s="78"/>
      <c r="DI181" s="78"/>
      <c r="DJ181" s="78"/>
      <c r="DK181" s="78"/>
      <c r="DL181" s="78"/>
      <c r="DM181" s="78"/>
      <c r="DN181" s="78"/>
      <c r="DO181" s="78"/>
      <c r="DP181" s="78"/>
      <c r="DQ181" s="78"/>
      <c r="DR181" s="78"/>
      <c r="DS181" s="78"/>
      <c r="DT181" s="78"/>
      <c r="DU181" s="78"/>
      <c r="DV181" s="78"/>
      <c r="DW181" s="78"/>
      <c r="DX181" s="78"/>
      <c r="DY181" s="78"/>
      <c r="DZ181" s="78"/>
      <c r="EA181" s="78"/>
      <c r="EB181" s="78"/>
      <c r="EC181" s="78"/>
      <c r="ED181" s="78"/>
      <c r="EE181" s="78"/>
      <c r="EF181" s="78"/>
      <c r="EG181" s="78"/>
      <c r="EH181" s="78"/>
      <c r="EI181" s="91"/>
      <c r="EJ181" s="91"/>
      <c r="EK181" s="91"/>
      <c r="EL181" s="91"/>
      <c r="EM181" s="91"/>
      <c r="EN181" s="91"/>
      <c r="EO181" s="91"/>
      <c r="EP181" s="78"/>
      <c r="EQ181" s="78"/>
      <c r="ER181" s="78"/>
      <c r="ES181" s="78"/>
      <c r="ET181" s="78"/>
      <c r="EU181" s="78"/>
      <c r="EV181" s="78"/>
      <c r="EW181" s="78"/>
      <c r="EX181" s="78"/>
      <c r="EY181" s="78"/>
      <c r="EZ181" s="78"/>
      <c r="FA181" s="78"/>
      <c r="FB181" s="78"/>
      <c r="FC181" s="78"/>
      <c r="FD181" s="78"/>
      <c r="FE181" s="78"/>
      <c r="FF181" s="78"/>
      <c r="FG181" s="78"/>
      <c r="FH181" s="78"/>
      <c r="FI181" s="78"/>
      <c r="FJ181" s="78"/>
      <c r="FK181" s="78"/>
    </row>
    <row r="182" spans="1:167" hidden="1" outlineLevel="1">
      <c r="A182" s="29" t="str">
        <f t="shared" si="22"/>
        <v>cd_imv_out_certifvlr_ncssdd_enrg_utl_aqcd</v>
      </c>
      <c r="B182" s="67" t="s">
        <v>26</v>
      </c>
      <c r="C182" s="68" t="s">
        <v>54</v>
      </c>
      <c r="D182" s="64" t="s">
        <v>40</v>
      </c>
      <c r="E182" s="66" t="s">
        <v>507</v>
      </c>
      <c r="F182" s="64" t="s">
        <v>548</v>
      </c>
      <c r="G182" s="64" t="e">
        <f>INDEX(Auxiliar!$B$16:$B$24,MATCH(Plano_V1!H182,Auxiliar!$C$16:$C$24,0),1)</f>
        <v>#N/A</v>
      </c>
      <c r="H182" s="64" t="e">
        <f>VLOOKUP(A182,'Aux - pivots1'!$A:$B,2,0)</f>
        <v>#N/A</v>
      </c>
      <c r="I182" s="84">
        <f>SUMIFS(Table1[Estimação (horas)],Table1[Tabela],Plano_V1!E182,Table1[Campo],Plano_V1!F182)</f>
        <v>0</v>
      </c>
      <c r="J182" s="84">
        <f t="shared" si="23"/>
        <v>0</v>
      </c>
      <c r="K182" s="87" t="s">
        <v>124</v>
      </c>
      <c r="L182" s="90">
        <f t="shared" si="21"/>
        <v>0</v>
      </c>
      <c r="M182" s="78"/>
      <c r="N182" s="78"/>
      <c r="O182" s="78"/>
      <c r="P182" s="78"/>
      <c r="Q182" s="78"/>
      <c r="R182" s="78"/>
      <c r="S182" s="78"/>
      <c r="T182" s="78"/>
      <c r="U182" s="78"/>
      <c r="V182" s="78"/>
      <c r="W182" s="78"/>
      <c r="X182" s="78"/>
      <c r="Y182" s="78"/>
      <c r="Z182" s="78"/>
      <c r="AA182" s="78"/>
      <c r="AB182" s="78"/>
      <c r="AC182" s="78"/>
      <c r="AD182" s="78"/>
      <c r="AE182" s="78"/>
      <c r="AF182" s="78"/>
      <c r="AG182" s="78"/>
      <c r="AH182" s="78"/>
      <c r="AI182" s="78"/>
      <c r="AJ182" s="78"/>
      <c r="AK182" s="78"/>
      <c r="AL182" s="78"/>
      <c r="AM182" s="78"/>
      <c r="AN182" s="78"/>
      <c r="AO182" s="78"/>
      <c r="AP182" s="78"/>
      <c r="AQ182" s="78"/>
      <c r="AR182" s="78"/>
      <c r="AS182" s="78"/>
      <c r="AT182" s="91"/>
      <c r="AU182" s="78"/>
      <c r="AV182" s="78"/>
      <c r="AW182" s="78"/>
      <c r="AX182" s="78"/>
      <c r="AY182" s="78"/>
      <c r="AZ182" s="78"/>
      <c r="BA182" s="78"/>
      <c r="BB182" s="78"/>
      <c r="BC182" s="78"/>
      <c r="BD182" s="78"/>
      <c r="BE182" s="78"/>
      <c r="BF182" s="78"/>
      <c r="BG182" s="78"/>
      <c r="BH182" s="78"/>
      <c r="BI182" s="78"/>
      <c r="BJ182" s="78"/>
      <c r="BK182" s="78"/>
      <c r="BL182" s="78"/>
      <c r="BM182" s="78"/>
      <c r="BN182" s="78"/>
      <c r="BO182" s="78"/>
      <c r="BP182" s="78"/>
      <c r="BQ182" s="78"/>
      <c r="BR182" s="78"/>
      <c r="BS182" s="78"/>
      <c r="BT182" s="78"/>
      <c r="BU182" s="78"/>
      <c r="BV182" s="78"/>
      <c r="BW182" s="78"/>
      <c r="BX182" s="78"/>
      <c r="BY182" s="78"/>
      <c r="BZ182" s="78"/>
      <c r="CA182" s="78"/>
      <c r="CB182" s="78"/>
      <c r="CC182" s="78"/>
      <c r="CD182" s="78"/>
      <c r="CE182" s="78"/>
      <c r="CF182" s="78"/>
      <c r="CG182" s="78"/>
      <c r="CH182" s="78"/>
      <c r="CI182" s="78"/>
      <c r="CJ182" s="78"/>
      <c r="CK182" s="78"/>
      <c r="CL182" s="78"/>
      <c r="CM182" s="78"/>
      <c r="CN182" s="78"/>
      <c r="CO182" s="78"/>
      <c r="CP182" s="78"/>
      <c r="CQ182" s="78"/>
      <c r="CR182" s="78"/>
      <c r="CS182" s="78"/>
      <c r="CT182" s="78"/>
      <c r="CU182" s="78"/>
      <c r="CV182" s="78"/>
      <c r="CW182" s="78"/>
      <c r="CX182" s="78"/>
      <c r="CY182" s="78"/>
      <c r="CZ182" s="78"/>
      <c r="DA182" s="78"/>
      <c r="DB182" s="78"/>
      <c r="DC182" s="78"/>
      <c r="DD182" s="78"/>
      <c r="DE182" s="78"/>
      <c r="DF182" s="78"/>
      <c r="DG182" s="78"/>
      <c r="DH182" s="78"/>
      <c r="DI182" s="78"/>
      <c r="DJ182" s="78"/>
      <c r="DK182" s="78"/>
      <c r="DL182" s="78"/>
      <c r="DM182" s="78"/>
      <c r="DN182" s="78"/>
      <c r="DO182" s="78"/>
      <c r="DP182" s="78"/>
      <c r="DQ182" s="78"/>
      <c r="DR182" s="78"/>
      <c r="DS182" s="78"/>
      <c r="DT182" s="78"/>
      <c r="DU182" s="78"/>
      <c r="DV182" s="78"/>
      <c r="DW182" s="78"/>
      <c r="DX182" s="78"/>
      <c r="DY182" s="78"/>
      <c r="DZ182" s="78"/>
      <c r="EA182" s="78"/>
      <c r="EB182" s="78"/>
      <c r="EC182" s="78"/>
      <c r="ED182" s="78"/>
      <c r="EE182" s="78"/>
      <c r="EF182" s="78"/>
      <c r="EG182" s="78"/>
      <c r="EH182" s="78"/>
      <c r="EI182" s="91"/>
      <c r="EJ182" s="91"/>
      <c r="EK182" s="91"/>
      <c r="EL182" s="91"/>
      <c r="EM182" s="91"/>
      <c r="EN182" s="91"/>
      <c r="EO182" s="91"/>
      <c r="EP182" s="78"/>
      <c r="EQ182" s="78"/>
      <c r="ER182" s="78"/>
      <c r="ES182" s="78"/>
      <c r="ET182" s="78"/>
      <c r="EU182" s="78"/>
      <c r="EV182" s="78"/>
      <c r="EW182" s="78"/>
      <c r="EX182" s="78"/>
      <c r="EY182" s="78"/>
      <c r="EZ182" s="78"/>
      <c r="FA182" s="78"/>
      <c r="FB182" s="78"/>
      <c r="FC182" s="78"/>
      <c r="FD182" s="78"/>
      <c r="FE182" s="78"/>
      <c r="FF182" s="78"/>
      <c r="FG182" s="78"/>
      <c r="FH182" s="78"/>
      <c r="FI182" s="78"/>
      <c r="FJ182" s="78"/>
      <c r="FK182" s="78"/>
    </row>
    <row r="183" spans="1:167" hidden="1" outlineLevel="1">
      <c r="A183" s="29" t="str">
        <f t="shared" si="22"/>
        <v>cd_imv_out_certifvlr_prd_gnh_invrn_prd_prt</v>
      </c>
      <c r="B183" s="67" t="s">
        <v>26</v>
      </c>
      <c r="C183" s="68" t="s">
        <v>54</v>
      </c>
      <c r="D183" s="64" t="s">
        <v>40</v>
      </c>
      <c r="E183" s="66" t="s">
        <v>507</v>
      </c>
      <c r="F183" s="64" t="s">
        <v>549</v>
      </c>
      <c r="G183" s="64" t="e">
        <f>INDEX(Auxiliar!$B$16:$B$24,MATCH(Plano_V1!H183,Auxiliar!$C$16:$C$24,0),1)</f>
        <v>#N/A</v>
      </c>
      <c r="H183" s="64" t="e">
        <f>VLOOKUP(A183,'Aux - pivots1'!$A:$B,2,0)</f>
        <v>#N/A</v>
      </c>
      <c r="I183" s="84">
        <f>SUMIFS(Table1[Estimação (horas)],Table1[Tabela],Plano_V1!E183,Table1[Campo],Plano_V1!F183)</f>
        <v>0</v>
      </c>
      <c r="J183" s="84">
        <f t="shared" si="23"/>
        <v>0</v>
      </c>
      <c r="K183" s="87" t="s">
        <v>124</v>
      </c>
      <c r="L183" s="90">
        <f t="shared" si="21"/>
        <v>0</v>
      </c>
      <c r="M183" s="78"/>
      <c r="N183" s="78"/>
      <c r="O183" s="78"/>
      <c r="P183" s="78"/>
      <c r="Q183" s="78"/>
      <c r="R183" s="78"/>
      <c r="S183" s="78"/>
      <c r="T183" s="78"/>
      <c r="U183" s="78"/>
      <c r="V183" s="78"/>
      <c r="W183" s="78"/>
      <c r="X183" s="78"/>
      <c r="Y183" s="78"/>
      <c r="Z183" s="78"/>
      <c r="AA183" s="78"/>
      <c r="AB183" s="78"/>
      <c r="AC183" s="78"/>
      <c r="AD183" s="78"/>
      <c r="AE183" s="78"/>
      <c r="AF183" s="78"/>
      <c r="AG183" s="78"/>
      <c r="AH183" s="78"/>
      <c r="AI183" s="78"/>
      <c r="AJ183" s="78"/>
      <c r="AK183" s="78"/>
      <c r="AL183" s="78"/>
      <c r="AM183" s="78"/>
      <c r="AN183" s="78"/>
      <c r="AO183" s="78"/>
      <c r="AP183" s="78"/>
      <c r="AQ183" s="78"/>
      <c r="AR183" s="78"/>
      <c r="AS183" s="78"/>
      <c r="AT183" s="91"/>
      <c r="AU183" s="78"/>
      <c r="AV183" s="78"/>
      <c r="AW183" s="78"/>
      <c r="AX183" s="78"/>
      <c r="AY183" s="78"/>
      <c r="AZ183" s="78"/>
      <c r="BA183" s="78"/>
      <c r="BB183" s="78"/>
      <c r="BC183" s="78"/>
      <c r="BD183" s="78"/>
      <c r="BE183" s="78"/>
      <c r="BF183" s="78"/>
      <c r="BG183" s="78"/>
      <c r="BH183" s="78"/>
      <c r="BI183" s="78"/>
      <c r="BJ183" s="78"/>
      <c r="BK183" s="78"/>
      <c r="BL183" s="78"/>
      <c r="BM183" s="78"/>
      <c r="BN183" s="78"/>
      <c r="BO183" s="78"/>
      <c r="BP183" s="78"/>
      <c r="BQ183" s="78"/>
      <c r="BR183" s="78"/>
      <c r="BS183" s="78"/>
      <c r="BT183" s="78"/>
      <c r="BU183" s="78"/>
      <c r="BV183" s="78"/>
      <c r="BW183" s="78"/>
      <c r="BX183" s="78"/>
      <c r="BY183" s="78"/>
      <c r="BZ183" s="78"/>
      <c r="CA183" s="78"/>
      <c r="CB183" s="78"/>
      <c r="CC183" s="78"/>
      <c r="CD183" s="78"/>
      <c r="CE183" s="78"/>
      <c r="CF183" s="78"/>
      <c r="CG183" s="78"/>
      <c r="CH183" s="78"/>
      <c r="CI183" s="78"/>
      <c r="CJ183" s="78"/>
      <c r="CK183" s="78"/>
      <c r="CL183" s="78"/>
      <c r="CM183" s="78"/>
      <c r="CN183" s="78"/>
      <c r="CO183" s="78"/>
      <c r="CP183" s="78"/>
      <c r="CQ183" s="78"/>
      <c r="CR183" s="78"/>
      <c r="CS183" s="78"/>
      <c r="CT183" s="78"/>
      <c r="CU183" s="78"/>
      <c r="CV183" s="78"/>
      <c r="CW183" s="78"/>
      <c r="CX183" s="78"/>
      <c r="CY183" s="78"/>
      <c r="CZ183" s="78"/>
      <c r="DA183" s="78"/>
      <c r="DB183" s="78"/>
      <c r="DC183" s="78"/>
      <c r="DD183" s="78"/>
      <c r="DE183" s="78"/>
      <c r="DF183" s="78"/>
      <c r="DG183" s="78"/>
      <c r="DH183" s="78"/>
      <c r="DI183" s="78"/>
      <c r="DJ183" s="78"/>
      <c r="DK183" s="78"/>
      <c r="DL183" s="78"/>
      <c r="DM183" s="78"/>
      <c r="DN183" s="78"/>
      <c r="DO183" s="78"/>
      <c r="DP183" s="78"/>
      <c r="DQ183" s="78"/>
      <c r="DR183" s="78"/>
      <c r="DS183" s="78"/>
      <c r="DT183" s="78"/>
      <c r="DU183" s="78"/>
      <c r="DV183" s="78"/>
      <c r="DW183" s="78"/>
      <c r="DX183" s="78"/>
      <c r="DY183" s="78"/>
      <c r="DZ183" s="78"/>
      <c r="EA183" s="78"/>
      <c r="EB183" s="78"/>
      <c r="EC183" s="78"/>
      <c r="ED183" s="78"/>
      <c r="EE183" s="78"/>
      <c r="EF183" s="78"/>
      <c r="EG183" s="78"/>
      <c r="EH183" s="78"/>
      <c r="EI183" s="91"/>
      <c r="EJ183" s="91"/>
      <c r="EK183" s="91"/>
      <c r="EL183" s="91"/>
      <c r="EM183" s="91"/>
      <c r="EN183" s="91"/>
      <c r="EO183" s="91"/>
      <c r="EP183" s="78"/>
      <c r="EQ183" s="78"/>
      <c r="ER183" s="78"/>
      <c r="ES183" s="78"/>
      <c r="ET183" s="78"/>
      <c r="EU183" s="78"/>
      <c r="EV183" s="78"/>
      <c r="EW183" s="78"/>
      <c r="EX183" s="78"/>
      <c r="EY183" s="78"/>
      <c r="EZ183" s="78"/>
      <c r="FA183" s="78"/>
      <c r="FB183" s="78"/>
      <c r="FC183" s="78"/>
      <c r="FD183" s="78"/>
      <c r="FE183" s="78"/>
      <c r="FF183" s="78"/>
      <c r="FG183" s="78"/>
      <c r="FH183" s="78"/>
      <c r="FI183" s="78"/>
      <c r="FJ183" s="78"/>
      <c r="FK183" s="78"/>
    </row>
    <row r="184" spans="1:167" hidden="1" outlineLevel="1">
      <c r="A184" s="29" t="str">
        <f t="shared" si="22"/>
        <v>cd_imv_out_certifvlr_prd_gnh_invrn_pvmnt</v>
      </c>
      <c r="B184" s="67" t="s">
        <v>26</v>
      </c>
      <c r="C184" s="68" t="s">
        <v>54</v>
      </c>
      <c r="D184" s="64" t="s">
        <v>40</v>
      </c>
      <c r="E184" s="66" t="s">
        <v>507</v>
      </c>
      <c r="F184" s="64" t="s">
        <v>550</v>
      </c>
      <c r="G184" s="64" t="e">
        <f>INDEX(Auxiliar!$B$16:$B$24,MATCH(Plano_V1!H184,Auxiliar!$C$16:$C$24,0),1)</f>
        <v>#N/A</v>
      </c>
      <c r="H184" s="64" t="e">
        <f>VLOOKUP(A184,'Aux - pivots1'!$A:$B,2,0)</f>
        <v>#N/A</v>
      </c>
      <c r="I184" s="84">
        <f>SUMIFS(Table1[Estimação (horas)],Table1[Tabela],Plano_V1!E184,Table1[Campo],Plano_V1!F184)</f>
        <v>0</v>
      </c>
      <c r="J184" s="84">
        <f t="shared" si="23"/>
        <v>0</v>
      </c>
      <c r="K184" s="87" t="s">
        <v>124</v>
      </c>
      <c r="L184" s="90">
        <f t="shared" si="21"/>
        <v>0</v>
      </c>
      <c r="M184" s="78"/>
      <c r="N184" s="78"/>
      <c r="O184" s="78"/>
      <c r="P184" s="78"/>
      <c r="Q184" s="78"/>
      <c r="R184" s="78"/>
      <c r="S184" s="78"/>
      <c r="T184" s="78"/>
      <c r="U184" s="78"/>
      <c r="V184" s="78"/>
      <c r="W184" s="78"/>
      <c r="X184" s="78"/>
      <c r="Y184" s="78"/>
      <c r="Z184" s="78"/>
      <c r="AA184" s="78"/>
      <c r="AB184" s="78"/>
      <c r="AC184" s="78"/>
      <c r="AD184" s="78"/>
      <c r="AE184" s="78"/>
      <c r="AF184" s="78"/>
      <c r="AG184" s="78"/>
      <c r="AH184" s="78"/>
      <c r="AI184" s="78"/>
      <c r="AJ184" s="78"/>
      <c r="AK184" s="78"/>
      <c r="AL184" s="78"/>
      <c r="AM184" s="78"/>
      <c r="AN184" s="78"/>
      <c r="AO184" s="78"/>
      <c r="AP184" s="78"/>
      <c r="AQ184" s="78"/>
      <c r="AR184" s="78"/>
      <c r="AS184" s="78"/>
      <c r="AT184" s="91"/>
      <c r="AU184" s="78"/>
      <c r="AV184" s="78"/>
      <c r="AW184" s="78"/>
      <c r="AX184" s="78"/>
      <c r="AY184" s="78"/>
      <c r="AZ184" s="78"/>
      <c r="BA184" s="78"/>
      <c r="BB184" s="78"/>
      <c r="BC184" s="78"/>
      <c r="BD184" s="78"/>
      <c r="BE184" s="78"/>
      <c r="BF184" s="78"/>
      <c r="BG184" s="78"/>
      <c r="BH184" s="78"/>
      <c r="BI184" s="78"/>
      <c r="BJ184" s="78"/>
      <c r="BK184" s="78"/>
      <c r="BL184" s="78"/>
      <c r="BM184" s="78"/>
      <c r="BN184" s="78"/>
      <c r="BO184" s="78"/>
      <c r="BP184" s="78"/>
      <c r="BQ184" s="78"/>
      <c r="BR184" s="78"/>
      <c r="BS184" s="78"/>
      <c r="BT184" s="78"/>
      <c r="BU184" s="78"/>
      <c r="BV184" s="78"/>
      <c r="BW184" s="78"/>
      <c r="BX184" s="78"/>
      <c r="BY184" s="78"/>
      <c r="BZ184" s="78"/>
      <c r="CA184" s="78"/>
      <c r="CB184" s="78"/>
      <c r="CC184" s="78"/>
      <c r="CD184" s="78"/>
      <c r="CE184" s="78"/>
      <c r="CF184" s="78"/>
      <c r="CG184" s="78"/>
      <c r="CH184" s="78"/>
      <c r="CI184" s="78"/>
      <c r="CJ184" s="78"/>
      <c r="CK184" s="78"/>
      <c r="CL184" s="78"/>
      <c r="CM184" s="78"/>
      <c r="CN184" s="78"/>
      <c r="CO184" s="78"/>
      <c r="CP184" s="78"/>
      <c r="CQ184" s="78"/>
      <c r="CR184" s="78"/>
      <c r="CS184" s="78"/>
      <c r="CT184" s="78"/>
      <c r="CU184" s="78"/>
      <c r="CV184" s="78"/>
      <c r="CW184" s="78"/>
      <c r="CX184" s="78"/>
      <c r="CY184" s="78"/>
      <c r="CZ184" s="78"/>
      <c r="DA184" s="78"/>
      <c r="DB184" s="78"/>
      <c r="DC184" s="78"/>
      <c r="DD184" s="78"/>
      <c r="DE184" s="78"/>
      <c r="DF184" s="78"/>
      <c r="DG184" s="78"/>
      <c r="DH184" s="78"/>
      <c r="DI184" s="78"/>
      <c r="DJ184" s="78"/>
      <c r="DK184" s="78"/>
      <c r="DL184" s="78"/>
      <c r="DM184" s="78"/>
      <c r="DN184" s="78"/>
      <c r="DO184" s="78"/>
      <c r="DP184" s="78"/>
      <c r="DQ184" s="78"/>
      <c r="DR184" s="78"/>
      <c r="DS184" s="78"/>
      <c r="DT184" s="78"/>
      <c r="DU184" s="78"/>
      <c r="DV184" s="78"/>
      <c r="DW184" s="78"/>
      <c r="DX184" s="78"/>
      <c r="DY184" s="78"/>
      <c r="DZ184" s="78"/>
      <c r="EA184" s="78"/>
      <c r="EB184" s="78"/>
      <c r="EC184" s="78"/>
      <c r="ED184" s="78"/>
      <c r="EE184" s="78"/>
      <c r="EF184" s="78"/>
      <c r="EG184" s="78"/>
      <c r="EH184" s="78"/>
      <c r="EI184" s="91"/>
      <c r="EJ184" s="91"/>
      <c r="EK184" s="91"/>
      <c r="EL184" s="91"/>
      <c r="EM184" s="91"/>
      <c r="EN184" s="91"/>
      <c r="EO184" s="91"/>
      <c r="EP184" s="78"/>
      <c r="EQ184" s="78"/>
      <c r="ER184" s="78"/>
      <c r="ES184" s="78"/>
      <c r="ET184" s="78"/>
      <c r="EU184" s="78"/>
      <c r="EV184" s="78"/>
      <c r="EW184" s="78"/>
      <c r="EX184" s="78"/>
      <c r="EY184" s="78"/>
      <c r="EZ184" s="78"/>
      <c r="FA184" s="78"/>
      <c r="FB184" s="78"/>
      <c r="FC184" s="78"/>
      <c r="FD184" s="78"/>
      <c r="FE184" s="78"/>
      <c r="FF184" s="78"/>
      <c r="FG184" s="78"/>
      <c r="FH184" s="78"/>
      <c r="FI184" s="78"/>
      <c r="FJ184" s="78"/>
      <c r="FK184" s="78"/>
    </row>
    <row r="185" spans="1:167" hidden="1" outlineLevel="1">
      <c r="A185" s="29" t="str">
        <f t="shared" si="22"/>
        <v>cd_imv_out_certifvlr_prds_gnhs_invrn_cbrtr</v>
      </c>
      <c r="B185" s="67" t="s">
        <v>26</v>
      </c>
      <c r="C185" s="68" t="s">
        <v>54</v>
      </c>
      <c r="D185" s="64" t="s">
        <v>40</v>
      </c>
      <c r="E185" s="66" t="s">
        <v>507</v>
      </c>
      <c r="F185" s="64" t="s">
        <v>551</v>
      </c>
      <c r="G185" s="64" t="e">
        <f>INDEX(Auxiliar!$B$16:$B$24,MATCH(Plano_V1!H185,Auxiliar!$C$16:$C$24,0),1)</f>
        <v>#N/A</v>
      </c>
      <c r="H185" s="64" t="e">
        <f>VLOOKUP(A185,'Aux - pivots1'!$A:$B,2,0)</f>
        <v>#N/A</v>
      </c>
      <c r="I185" s="84">
        <f>SUMIFS(Table1[Estimação (horas)],Table1[Tabela],Plano_V1!E185,Table1[Campo],Plano_V1!F185)</f>
        <v>0</v>
      </c>
      <c r="J185" s="84">
        <f t="shared" si="23"/>
        <v>0</v>
      </c>
      <c r="K185" s="87" t="s">
        <v>124</v>
      </c>
      <c r="L185" s="90">
        <f t="shared" si="21"/>
        <v>0</v>
      </c>
      <c r="M185" s="78"/>
      <c r="N185" s="78"/>
      <c r="O185" s="78"/>
      <c r="P185" s="78"/>
      <c r="Q185" s="78"/>
      <c r="R185" s="78"/>
      <c r="S185" s="78"/>
      <c r="T185" s="78"/>
      <c r="U185" s="78"/>
      <c r="V185" s="78"/>
      <c r="W185" s="78"/>
      <c r="X185" s="78"/>
      <c r="Y185" s="78"/>
      <c r="Z185" s="78"/>
      <c r="AA185" s="78"/>
      <c r="AB185" s="78"/>
      <c r="AC185" s="78"/>
      <c r="AD185" s="78"/>
      <c r="AE185" s="78"/>
      <c r="AF185" s="78"/>
      <c r="AG185" s="78"/>
      <c r="AH185" s="78"/>
      <c r="AI185" s="78"/>
      <c r="AJ185" s="78"/>
      <c r="AK185" s="78"/>
      <c r="AL185" s="78"/>
      <c r="AM185" s="78"/>
      <c r="AN185" s="78"/>
      <c r="AO185" s="78"/>
      <c r="AP185" s="78"/>
      <c r="AQ185" s="78"/>
      <c r="AR185" s="78"/>
      <c r="AS185" s="78"/>
      <c r="AT185" s="91"/>
      <c r="AU185" s="78"/>
      <c r="AV185" s="78"/>
      <c r="AW185" s="78"/>
      <c r="AX185" s="78"/>
      <c r="AY185" s="78"/>
      <c r="AZ185" s="78"/>
      <c r="BA185" s="78"/>
      <c r="BB185" s="78"/>
      <c r="BC185" s="78"/>
      <c r="BD185" s="78"/>
      <c r="BE185" s="78"/>
      <c r="BF185" s="78"/>
      <c r="BG185" s="78"/>
      <c r="BH185" s="78"/>
      <c r="BI185" s="78"/>
      <c r="BJ185" s="78"/>
      <c r="BK185" s="78"/>
      <c r="BL185" s="78"/>
      <c r="BM185" s="78"/>
      <c r="BN185" s="78"/>
      <c r="BO185" s="78"/>
      <c r="BP185" s="78"/>
      <c r="BQ185" s="78"/>
      <c r="BR185" s="78"/>
      <c r="BS185" s="78"/>
      <c r="BT185" s="78"/>
      <c r="BU185" s="78"/>
      <c r="BV185" s="78"/>
      <c r="BW185" s="78"/>
      <c r="BX185" s="78"/>
      <c r="BY185" s="78"/>
      <c r="BZ185" s="78"/>
      <c r="CA185" s="78"/>
      <c r="CB185" s="78"/>
      <c r="CC185" s="78"/>
      <c r="CD185" s="78"/>
      <c r="CE185" s="78"/>
      <c r="CF185" s="78"/>
      <c r="CG185" s="78"/>
      <c r="CH185" s="78"/>
      <c r="CI185" s="78"/>
      <c r="CJ185" s="78"/>
      <c r="CK185" s="78"/>
      <c r="CL185" s="78"/>
      <c r="CM185" s="78"/>
      <c r="CN185" s="78"/>
      <c r="CO185" s="78"/>
      <c r="CP185" s="78"/>
      <c r="CQ185" s="78"/>
      <c r="CR185" s="78"/>
      <c r="CS185" s="78"/>
      <c r="CT185" s="78"/>
      <c r="CU185" s="78"/>
      <c r="CV185" s="78"/>
      <c r="CW185" s="78"/>
      <c r="CX185" s="78"/>
      <c r="CY185" s="78"/>
      <c r="CZ185" s="78"/>
      <c r="DA185" s="78"/>
      <c r="DB185" s="78"/>
      <c r="DC185" s="78"/>
      <c r="DD185" s="78"/>
      <c r="DE185" s="78"/>
      <c r="DF185" s="78"/>
      <c r="DG185" s="78"/>
      <c r="DH185" s="78"/>
      <c r="DI185" s="78"/>
      <c r="DJ185" s="78"/>
      <c r="DK185" s="78"/>
      <c r="DL185" s="78"/>
      <c r="DM185" s="78"/>
      <c r="DN185" s="78"/>
      <c r="DO185" s="78"/>
      <c r="DP185" s="78"/>
      <c r="DQ185" s="78"/>
      <c r="DR185" s="78"/>
      <c r="DS185" s="78"/>
      <c r="DT185" s="78"/>
      <c r="DU185" s="78"/>
      <c r="DV185" s="78"/>
      <c r="DW185" s="78"/>
      <c r="DX185" s="78"/>
      <c r="DY185" s="78"/>
      <c r="DZ185" s="78"/>
      <c r="EA185" s="78"/>
      <c r="EB185" s="78"/>
      <c r="EC185" s="78"/>
      <c r="ED185" s="78"/>
      <c r="EE185" s="78"/>
      <c r="EF185" s="78"/>
      <c r="EG185" s="78"/>
      <c r="EH185" s="78"/>
      <c r="EI185" s="91"/>
      <c r="EJ185" s="91"/>
      <c r="EK185" s="91"/>
      <c r="EL185" s="91"/>
      <c r="EM185" s="91"/>
      <c r="EN185" s="91"/>
      <c r="EO185" s="91"/>
      <c r="EP185" s="78"/>
      <c r="EQ185" s="78"/>
      <c r="ER185" s="78"/>
      <c r="ES185" s="78"/>
      <c r="ET185" s="78"/>
      <c r="EU185" s="78"/>
      <c r="EV185" s="78"/>
      <c r="EW185" s="78"/>
      <c r="EX185" s="78"/>
      <c r="EY185" s="78"/>
      <c r="EZ185" s="78"/>
      <c r="FA185" s="78"/>
      <c r="FB185" s="78"/>
      <c r="FC185" s="78"/>
      <c r="FD185" s="78"/>
      <c r="FE185" s="78"/>
      <c r="FF185" s="78"/>
      <c r="FG185" s="78"/>
      <c r="FH185" s="78"/>
      <c r="FI185" s="78"/>
      <c r="FJ185" s="78"/>
      <c r="FK185" s="78"/>
    </row>
    <row r="186" spans="1:167" hidden="1" outlineLevel="1">
      <c r="A186" s="29" t="str">
        <f t="shared" si="22"/>
        <v>cd_imv_out_certifvlr_prds_gnhs_invrn_jnl</v>
      </c>
      <c r="B186" s="67" t="s">
        <v>26</v>
      </c>
      <c r="C186" s="68" t="s">
        <v>54</v>
      </c>
      <c r="D186" s="64" t="s">
        <v>40</v>
      </c>
      <c r="E186" s="66" t="s">
        <v>507</v>
      </c>
      <c r="F186" s="64" t="s">
        <v>552</v>
      </c>
      <c r="G186" s="64" t="e">
        <f>INDEX(Auxiliar!$B$16:$B$24,MATCH(Plano_V1!H186,Auxiliar!$C$16:$C$24,0),1)</f>
        <v>#N/A</v>
      </c>
      <c r="H186" s="64" t="e">
        <f>VLOOKUP(A186,'Aux - pivots1'!$A:$B,2,0)</f>
        <v>#N/A</v>
      </c>
      <c r="I186" s="84">
        <f>SUMIFS(Table1[Estimação (horas)],Table1[Tabela],Plano_V1!E186,Table1[Campo],Plano_V1!F186)</f>
        <v>0</v>
      </c>
      <c r="J186" s="84">
        <f t="shared" si="23"/>
        <v>0</v>
      </c>
      <c r="K186" s="87" t="s">
        <v>124</v>
      </c>
      <c r="L186" s="90">
        <f t="shared" si="21"/>
        <v>0</v>
      </c>
      <c r="M186" s="78"/>
      <c r="N186" s="78"/>
      <c r="O186" s="78"/>
      <c r="P186" s="78"/>
      <c r="Q186" s="78"/>
      <c r="R186" s="78"/>
      <c r="S186" s="78"/>
      <c r="T186" s="78"/>
      <c r="U186" s="78"/>
      <c r="V186" s="78"/>
      <c r="W186" s="78"/>
      <c r="X186" s="78"/>
      <c r="Y186" s="78"/>
      <c r="Z186" s="78"/>
      <c r="AA186" s="78"/>
      <c r="AB186" s="78"/>
      <c r="AC186" s="78"/>
      <c r="AD186" s="78"/>
      <c r="AE186" s="78"/>
      <c r="AF186" s="78"/>
      <c r="AG186" s="78"/>
      <c r="AH186" s="78"/>
      <c r="AI186" s="78"/>
      <c r="AJ186" s="78"/>
      <c r="AK186" s="78"/>
      <c r="AL186" s="78"/>
      <c r="AM186" s="78"/>
      <c r="AN186" s="78"/>
      <c r="AO186" s="78"/>
      <c r="AP186" s="78"/>
      <c r="AQ186" s="78"/>
      <c r="AR186" s="78"/>
      <c r="AS186" s="78"/>
      <c r="AT186" s="91"/>
      <c r="AU186" s="78"/>
      <c r="AV186" s="78"/>
      <c r="AW186" s="78"/>
      <c r="AX186" s="78"/>
      <c r="AY186" s="78"/>
      <c r="AZ186" s="78"/>
      <c r="BA186" s="78"/>
      <c r="BB186" s="78"/>
      <c r="BC186" s="78"/>
      <c r="BD186" s="78"/>
      <c r="BE186" s="78"/>
      <c r="BF186" s="78"/>
      <c r="BG186" s="78"/>
      <c r="BH186" s="78"/>
      <c r="BI186" s="78"/>
      <c r="BJ186" s="78"/>
      <c r="BK186" s="78"/>
      <c r="BL186" s="78"/>
      <c r="BM186" s="78"/>
      <c r="BN186" s="78"/>
      <c r="BO186" s="78"/>
      <c r="BP186" s="78"/>
      <c r="BQ186" s="78"/>
      <c r="BR186" s="78"/>
      <c r="BS186" s="78"/>
      <c r="BT186" s="78"/>
      <c r="BU186" s="78"/>
      <c r="BV186" s="78"/>
      <c r="BW186" s="78"/>
      <c r="BX186" s="78"/>
      <c r="BY186" s="78"/>
      <c r="BZ186" s="78"/>
      <c r="CA186" s="78"/>
      <c r="CB186" s="78"/>
      <c r="CC186" s="78"/>
      <c r="CD186" s="78"/>
      <c r="CE186" s="78"/>
      <c r="CF186" s="78"/>
      <c r="CG186" s="78"/>
      <c r="CH186" s="78"/>
      <c r="CI186" s="78"/>
      <c r="CJ186" s="78"/>
      <c r="CK186" s="78"/>
      <c r="CL186" s="78"/>
      <c r="CM186" s="78"/>
      <c r="CN186" s="78"/>
      <c r="CO186" s="78"/>
      <c r="CP186" s="78"/>
      <c r="CQ186" s="78"/>
      <c r="CR186" s="78"/>
      <c r="CS186" s="78"/>
      <c r="CT186" s="78"/>
      <c r="CU186" s="78"/>
      <c r="CV186" s="78"/>
      <c r="CW186" s="78"/>
      <c r="CX186" s="78"/>
      <c r="CY186" s="78"/>
      <c r="CZ186" s="78"/>
      <c r="DA186" s="78"/>
      <c r="DB186" s="78"/>
      <c r="DC186" s="78"/>
      <c r="DD186" s="78"/>
      <c r="DE186" s="78"/>
      <c r="DF186" s="78"/>
      <c r="DG186" s="78"/>
      <c r="DH186" s="78"/>
      <c r="DI186" s="78"/>
      <c r="DJ186" s="78"/>
      <c r="DK186" s="78"/>
      <c r="DL186" s="78"/>
      <c r="DM186" s="78"/>
      <c r="DN186" s="78"/>
      <c r="DO186" s="78"/>
      <c r="DP186" s="78"/>
      <c r="DQ186" s="78"/>
      <c r="DR186" s="78"/>
      <c r="DS186" s="78"/>
      <c r="DT186" s="78"/>
      <c r="DU186" s="78"/>
      <c r="DV186" s="78"/>
      <c r="DW186" s="78"/>
      <c r="DX186" s="78"/>
      <c r="DY186" s="78"/>
      <c r="DZ186" s="78"/>
      <c r="EA186" s="78"/>
      <c r="EB186" s="78"/>
      <c r="EC186" s="78"/>
      <c r="ED186" s="78"/>
      <c r="EE186" s="78"/>
      <c r="EF186" s="78"/>
      <c r="EG186" s="78"/>
      <c r="EH186" s="78"/>
      <c r="EI186" s="91"/>
      <c r="EJ186" s="91"/>
      <c r="EK186" s="91"/>
      <c r="EL186" s="91"/>
      <c r="EM186" s="91"/>
      <c r="EN186" s="91"/>
      <c r="EO186" s="91"/>
      <c r="EP186" s="78"/>
      <c r="EQ186" s="78"/>
      <c r="ER186" s="78"/>
      <c r="ES186" s="78"/>
      <c r="ET186" s="78"/>
      <c r="EU186" s="78"/>
      <c r="EV186" s="78"/>
      <c r="EW186" s="78"/>
      <c r="EX186" s="78"/>
      <c r="EY186" s="78"/>
      <c r="EZ186" s="78"/>
      <c r="FA186" s="78"/>
      <c r="FB186" s="78"/>
      <c r="FC186" s="78"/>
      <c r="FD186" s="78"/>
      <c r="FE186" s="78"/>
      <c r="FF186" s="78"/>
      <c r="FG186" s="78"/>
      <c r="FH186" s="78"/>
      <c r="FI186" s="78"/>
      <c r="FJ186" s="78"/>
      <c r="FK186" s="78"/>
    </row>
    <row r="187" spans="1:167" hidden="1" outlineLevel="1">
      <c r="A187" s="29" t="str">
        <f t="shared" si="22"/>
        <v>cd_imv_out_certifvlr_prds_gnhs_invrn_rfc</v>
      </c>
      <c r="B187" s="67" t="s">
        <v>26</v>
      </c>
      <c r="C187" s="68" t="s">
        <v>54</v>
      </c>
      <c r="D187" s="64" t="s">
        <v>40</v>
      </c>
      <c r="E187" s="66" t="s">
        <v>507</v>
      </c>
      <c r="F187" s="64" t="s">
        <v>553</v>
      </c>
      <c r="G187" s="64" t="e">
        <f>INDEX(Auxiliar!$B$16:$B$24,MATCH(Plano_V1!H187,Auxiliar!$C$16:$C$24,0),1)</f>
        <v>#N/A</v>
      </c>
      <c r="H187" s="64" t="e">
        <f>VLOOKUP(A187,'Aux - pivots1'!$A:$B,2,0)</f>
        <v>#N/A</v>
      </c>
      <c r="I187" s="84">
        <f>SUMIFS(Table1[Estimação (horas)],Table1[Tabela],Plano_V1!E187,Table1[Campo],Plano_V1!F187)</f>
        <v>0</v>
      </c>
      <c r="J187" s="84">
        <f t="shared" si="23"/>
        <v>0</v>
      </c>
      <c r="K187" s="87" t="s">
        <v>124</v>
      </c>
      <c r="L187" s="90">
        <f t="shared" si="21"/>
        <v>0</v>
      </c>
      <c r="M187" s="78"/>
      <c r="N187" s="78"/>
      <c r="O187" s="78"/>
      <c r="P187" s="78"/>
      <c r="Q187" s="78"/>
      <c r="R187" s="78"/>
      <c r="S187" s="78"/>
      <c r="T187" s="78"/>
      <c r="U187" s="78"/>
      <c r="V187" s="78"/>
      <c r="W187" s="78"/>
      <c r="X187" s="78"/>
      <c r="Y187" s="78"/>
      <c r="Z187" s="78"/>
      <c r="AA187" s="78"/>
      <c r="AB187" s="78"/>
      <c r="AC187" s="78"/>
      <c r="AD187" s="78"/>
      <c r="AE187" s="78"/>
      <c r="AF187" s="78"/>
      <c r="AG187" s="78"/>
      <c r="AH187" s="78"/>
      <c r="AI187" s="78"/>
      <c r="AJ187" s="78"/>
      <c r="AK187" s="78"/>
      <c r="AL187" s="78"/>
      <c r="AM187" s="78"/>
      <c r="AN187" s="78"/>
      <c r="AO187" s="78"/>
      <c r="AP187" s="78"/>
      <c r="AQ187" s="78"/>
      <c r="AR187" s="78"/>
      <c r="AS187" s="78"/>
      <c r="AT187" s="91"/>
      <c r="AU187" s="78"/>
      <c r="AV187" s="78"/>
      <c r="AW187" s="78"/>
      <c r="AX187" s="78"/>
      <c r="AY187" s="78"/>
      <c r="AZ187" s="78"/>
      <c r="BA187" s="78"/>
      <c r="BB187" s="78"/>
      <c r="BC187" s="78"/>
      <c r="BD187" s="78"/>
      <c r="BE187" s="78"/>
      <c r="BF187" s="78"/>
      <c r="BG187" s="78"/>
      <c r="BH187" s="78"/>
      <c r="BI187" s="78"/>
      <c r="BJ187" s="78"/>
      <c r="BK187" s="78"/>
      <c r="BL187" s="78"/>
      <c r="BM187" s="78"/>
      <c r="BN187" s="78"/>
      <c r="BO187" s="78"/>
      <c r="BP187" s="78"/>
      <c r="BQ187" s="78"/>
      <c r="BR187" s="78"/>
      <c r="BS187" s="78"/>
      <c r="BT187" s="78"/>
      <c r="BU187" s="78"/>
      <c r="BV187" s="78"/>
      <c r="BW187" s="78"/>
      <c r="BX187" s="78"/>
      <c r="BY187" s="78"/>
      <c r="BZ187" s="78"/>
      <c r="CA187" s="78"/>
      <c r="CB187" s="78"/>
      <c r="CC187" s="78"/>
      <c r="CD187" s="78"/>
      <c r="CE187" s="78"/>
      <c r="CF187" s="78"/>
      <c r="CG187" s="78"/>
      <c r="CH187" s="78"/>
      <c r="CI187" s="78"/>
      <c r="CJ187" s="78"/>
      <c r="CK187" s="78"/>
      <c r="CL187" s="78"/>
      <c r="CM187" s="78"/>
      <c r="CN187" s="78"/>
      <c r="CO187" s="78"/>
      <c r="CP187" s="78"/>
      <c r="CQ187" s="78"/>
      <c r="CR187" s="78"/>
      <c r="CS187" s="78"/>
      <c r="CT187" s="78"/>
      <c r="CU187" s="78"/>
      <c r="CV187" s="78"/>
      <c r="CW187" s="78"/>
      <c r="CX187" s="78"/>
      <c r="CY187" s="78"/>
      <c r="CZ187" s="78"/>
      <c r="DA187" s="78"/>
      <c r="DB187" s="78"/>
      <c r="DC187" s="78"/>
      <c r="DD187" s="78"/>
      <c r="DE187" s="78"/>
      <c r="DF187" s="78"/>
      <c r="DG187" s="78"/>
      <c r="DH187" s="78"/>
      <c r="DI187" s="78"/>
      <c r="DJ187" s="78"/>
      <c r="DK187" s="78"/>
      <c r="DL187" s="78"/>
      <c r="DM187" s="78"/>
      <c r="DN187" s="78"/>
      <c r="DO187" s="78"/>
      <c r="DP187" s="78"/>
      <c r="DQ187" s="78"/>
      <c r="DR187" s="78"/>
      <c r="DS187" s="78"/>
      <c r="DT187" s="78"/>
      <c r="DU187" s="78"/>
      <c r="DV187" s="78"/>
      <c r="DW187" s="78"/>
      <c r="DX187" s="78"/>
      <c r="DY187" s="78"/>
      <c r="DZ187" s="78"/>
      <c r="EA187" s="78"/>
      <c r="EB187" s="78"/>
      <c r="EC187" s="78"/>
      <c r="ED187" s="78"/>
      <c r="EE187" s="78"/>
      <c r="EF187" s="78"/>
      <c r="EG187" s="78"/>
      <c r="EH187" s="78"/>
      <c r="EI187" s="91"/>
      <c r="EJ187" s="91"/>
      <c r="EK187" s="91"/>
      <c r="EL187" s="91"/>
      <c r="EM187" s="91"/>
      <c r="EN187" s="91"/>
      <c r="EO187" s="91"/>
      <c r="EP187" s="78"/>
      <c r="EQ187" s="78"/>
      <c r="ER187" s="78"/>
      <c r="ES187" s="78"/>
      <c r="ET187" s="78"/>
      <c r="EU187" s="78"/>
      <c r="EV187" s="78"/>
      <c r="EW187" s="78"/>
      <c r="EX187" s="78"/>
      <c r="EY187" s="78"/>
      <c r="EZ187" s="78"/>
      <c r="FA187" s="78"/>
      <c r="FB187" s="78"/>
      <c r="FC187" s="78"/>
      <c r="FD187" s="78"/>
      <c r="FE187" s="78"/>
      <c r="FF187" s="78"/>
      <c r="FG187" s="78"/>
      <c r="FH187" s="78"/>
      <c r="FI187" s="78"/>
      <c r="FJ187" s="78"/>
      <c r="FK187" s="78"/>
    </row>
    <row r="188" spans="1:167" hidden="1" outlineLevel="1">
      <c r="A188" s="29" t="str">
        <f t="shared" si="22"/>
        <v>cd_imv_out_certifvlr_prds_gnhs_invrn_vntnh</v>
      </c>
      <c r="B188" s="67" t="s">
        <v>26</v>
      </c>
      <c r="C188" s="68" t="s">
        <v>54</v>
      </c>
      <c r="D188" s="64" t="s">
        <v>40</v>
      </c>
      <c r="E188" s="66" t="s">
        <v>507</v>
      </c>
      <c r="F188" s="64" t="s">
        <v>554</v>
      </c>
      <c r="G188" s="64" t="e">
        <f>INDEX(Auxiliar!$B$16:$B$24,MATCH(Plano_V1!H188,Auxiliar!$C$16:$C$24,0),1)</f>
        <v>#N/A</v>
      </c>
      <c r="H188" s="64" t="e">
        <f>VLOOKUP(A188,'Aux - pivots1'!$A:$B,2,0)</f>
        <v>#N/A</v>
      </c>
      <c r="I188" s="84">
        <f>SUMIFS(Table1[Estimação (horas)],Table1[Tabela],Plano_V1!E188,Table1[Campo],Plano_V1!F188)</f>
        <v>0</v>
      </c>
      <c r="J188" s="84">
        <f t="shared" si="23"/>
        <v>0</v>
      </c>
      <c r="K188" s="87" t="s">
        <v>124</v>
      </c>
      <c r="L188" s="90">
        <f t="shared" si="21"/>
        <v>0</v>
      </c>
      <c r="M188" s="78"/>
      <c r="N188" s="78"/>
      <c r="O188" s="78"/>
      <c r="P188" s="78"/>
      <c r="Q188" s="78"/>
      <c r="R188" s="78"/>
      <c r="S188" s="78"/>
      <c r="T188" s="78"/>
      <c r="U188" s="78"/>
      <c r="V188" s="78"/>
      <c r="W188" s="78"/>
      <c r="X188" s="78"/>
      <c r="Y188" s="78"/>
      <c r="Z188" s="78"/>
      <c r="AA188" s="78"/>
      <c r="AB188" s="78"/>
      <c r="AC188" s="78"/>
      <c r="AD188" s="78"/>
      <c r="AE188" s="78"/>
      <c r="AF188" s="78"/>
      <c r="AG188" s="78"/>
      <c r="AH188" s="78"/>
      <c r="AI188" s="78"/>
      <c r="AJ188" s="78"/>
      <c r="AK188" s="78"/>
      <c r="AL188" s="78"/>
      <c r="AM188" s="78"/>
      <c r="AN188" s="78"/>
      <c r="AO188" s="78"/>
      <c r="AP188" s="78"/>
      <c r="AQ188" s="78"/>
      <c r="AR188" s="78"/>
      <c r="AS188" s="78"/>
      <c r="AT188" s="91"/>
      <c r="AU188" s="78"/>
      <c r="AV188" s="78"/>
      <c r="AW188" s="78"/>
      <c r="AX188" s="78"/>
      <c r="AY188" s="78"/>
      <c r="AZ188" s="78"/>
      <c r="BA188" s="78"/>
      <c r="BB188" s="78"/>
      <c r="BC188" s="78"/>
      <c r="BD188" s="78"/>
      <c r="BE188" s="78"/>
      <c r="BF188" s="78"/>
      <c r="BG188" s="78"/>
      <c r="BH188" s="78"/>
      <c r="BI188" s="78"/>
      <c r="BJ188" s="78"/>
      <c r="BK188" s="78"/>
      <c r="BL188" s="78"/>
      <c r="BM188" s="78"/>
      <c r="BN188" s="78"/>
      <c r="BO188" s="78"/>
      <c r="BP188" s="78"/>
      <c r="BQ188" s="78"/>
      <c r="BR188" s="78"/>
      <c r="BS188" s="78"/>
      <c r="BT188" s="78"/>
      <c r="BU188" s="78"/>
      <c r="BV188" s="78"/>
      <c r="BW188" s="78"/>
      <c r="BX188" s="78"/>
      <c r="BY188" s="78"/>
      <c r="BZ188" s="78"/>
      <c r="CA188" s="78"/>
      <c r="CB188" s="78"/>
      <c r="CC188" s="78"/>
      <c r="CD188" s="78"/>
      <c r="CE188" s="78"/>
      <c r="CF188" s="78"/>
      <c r="CG188" s="78"/>
      <c r="CH188" s="78"/>
      <c r="CI188" s="78"/>
      <c r="CJ188" s="78"/>
      <c r="CK188" s="78"/>
      <c r="CL188" s="78"/>
      <c r="CM188" s="78"/>
      <c r="CN188" s="78"/>
      <c r="CO188" s="78"/>
      <c r="CP188" s="78"/>
      <c r="CQ188" s="78"/>
      <c r="CR188" s="78"/>
      <c r="CS188" s="78"/>
      <c r="CT188" s="78"/>
      <c r="CU188" s="78"/>
      <c r="CV188" s="78"/>
      <c r="CW188" s="78"/>
      <c r="CX188" s="78"/>
      <c r="CY188" s="78"/>
      <c r="CZ188" s="78"/>
      <c r="DA188" s="78"/>
      <c r="DB188" s="78"/>
      <c r="DC188" s="78"/>
      <c r="DD188" s="78"/>
      <c r="DE188" s="78"/>
      <c r="DF188" s="78"/>
      <c r="DG188" s="78"/>
      <c r="DH188" s="78"/>
      <c r="DI188" s="78"/>
      <c r="DJ188" s="78"/>
      <c r="DK188" s="78"/>
      <c r="DL188" s="78"/>
      <c r="DM188" s="78"/>
      <c r="DN188" s="78"/>
      <c r="DO188" s="78"/>
      <c r="DP188" s="78"/>
      <c r="DQ188" s="78"/>
      <c r="DR188" s="78"/>
      <c r="DS188" s="78"/>
      <c r="DT188" s="78"/>
      <c r="DU188" s="78"/>
      <c r="DV188" s="78"/>
      <c r="DW188" s="78"/>
      <c r="DX188" s="78"/>
      <c r="DY188" s="78"/>
      <c r="DZ188" s="78"/>
      <c r="EA188" s="78"/>
      <c r="EB188" s="78"/>
      <c r="EC188" s="78"/>
      <c r="ED188" s="78"/>
      <c r="EE188" s="78"/>
      <c r="EF188" s="78"/>
      <c r="EG188" s="78"/>
      <c r="EH188" s="78"/>
      <c r="EI188" s="91"/>
      <c r="EJ188" s="91"/>
      <c r="EK188" s="91"/>
      <c r="EL188" s="91"/>
      <c r="EM188" s="91"/>
      <c r="EN188" s="91"/>
      <c r="EO188" s="91"/>
      <c r="EP188" s="78"/>
      <c r="EQ188" s="78"/>
      <c r="ER188" s="78"/>
      <c r="ES188" s="78"/>
      <c r="ET188" s="78"/>
      <c r="EU188" s="78"/>
      <c r="EV188" s="78"/>
      <c r="EW188" s="78"/>
      <c r="EX188" s="78"/>
      <c r="EY188" s="78"/>
      <c r="EZ188" s="78"/>
      <c r="FA188" s="78"/>
      <c r="FB188" s="78"/>
      <c r="FC188" s="78"/>
      <c r="FD188" s="78"/>
      <c r="FE188" s="78"/>
      <c r="FF188" s="78"/>
      <c r="FG188" s="78"/>
      <c r="FH188" s="78"/>
      <c r="FI188" s="78"/>
      <c r="FJ188" s="78"/>
      <c r="FK188" s="78"/>
    </row>
    <row r="189" spans="1:167" hidden="1" outlineLevel="1">
      <c r="A189" s="29" t="str">
        <f t="shared" si="22"/>
        <v>cd_imv_out_certifvlr_prds_gnhs_vr_cbrtr</v>
      </c>
      <c r="B189" s="67" t="s">
        <v>26</v>
      </c>
      <c r="C189" s="68" t="s">
        <v>54</v>
      </c>
      <c r="D189" s="64" t="s">
        <v>40</v>
      </c>
      <c r="E189" s="66" t="s">
        <v>507</v>
      </c>
      <c r="F189" s="64" t="s">
        <v>555</v>
      </c>
      <c r="G189" s="64" t="e">
        <f>INDEX(Auxiliar!$B$16:$B$24,MATCH(Plano_V1!H189,Auxiliar!$C$16:$C$24,0),1)</f>
        <v>#N/A</v>
      </c>
      <c r="H189" s="64" t="e">
        <f>VLOOKUP(A189,'Aux - pivots1'!$A:$B,2,0)</f>
        <v>#N/A</v>
      </c>
      <c r="I189" s="84">
        <f>SUMIFS(Table1[Estimação (horas)],Table1[Tabela],Plano_V1!E189,Table1[Campo],Plano_V1!F189)</f>
        <v>0</v>
      </c>
      <c r="J189" s="84">
        <f t="shared" si="23"/>
        <v>0</v>
      </c>
      <c r="K189" s="87" t="s">
        <v>124</v>
      </c>
      <c r="L189" s="90">
        <f t="shared" si="21"/>
        <v>0</v>
      </c>
      <c r="M189" s="78"/>
      <c r="N189" s="78"/>
      <c r="O189" s="78"/>
      <c r="P189" s="78"/>
      <c r="Q189" s="78"/>
      <c r="R189" s="78"/>
      <c r="S189" s="78"/>
      <c r="T189" s="78"/>
      <c r="U189" s="78"/>
      <c r="V189" s="78"/>
      <c r="W189" s="78"/>
      <c r="X189" s="78"/>
      <c r="Y189" s="78"/>
      <c r="Z189" s="78"/>
      <c r="AA189" s="78"/>
      <c r="AB189" s="78"/>
      <c r="AC189" s="78"/>
      <c r="AD189" s="78"/>
      <c r="AE189" s="78"/>
      <c r="AF189" s="78"/>
      <c r="AG189" s="78"/>
      <c r="AH189" s="78"/>
      <c r="AI189" s="78"/>
      <c r="AJ189" s="78"/>
      <c r="AK189" s="78"/>
      <c r="AL189" s="78"/>
      <c r="AM189" s="78"/>
      <c r="AN189" s="78"/>
      <c r="AO189" s="78"/>
      <c r="AP189" s="78"/>
      <c r="AQ189" s="78"/>
      <c r="AR189" s="78"/>
      <c r="AS189" s="78"/>
      <c r="AT189" s="91"/>
      <c r="AU189" s="78"/>
      <c r="AV189" s="78"/>
      <c r="AW189" s="78"/>
      <c r="AX189" s="78"/>
      <c r="AY189" s="78"/>
      <c r="AZ189" s="78"/>
      <c r="BA189" s="78"/>
      <c r="BB189" s="78"/>
      <c r="BC189" s="78"/>
      <c r="BD189" s="78"/>
      <c r="BE189" s="78"/>
      <c r="BF189" s="78"/>
      <c r="BG189" s="78"/>
      <c r="BH189" s="78"/>
      <c r="BI189" s="78"/>
      <c r="BJ189" s="78"/>
      <c r="BK189" s="78"/>
      <c r="BL189" s="78"/>
      <c r="BM189" s="78"/>
      <c r="BN189" s="78"/>
      <c r="BO189" s="78"/>
      <c r="BP189" s="78"/>
      <c r="BQ189" s="78"/>
      <c r="BR189" s="78"/>
      <c r="BS189" s="78"/>
      <c r="BT189" s="78"/>
      <c r="BU189" s="78"/>
      <c r="BV189" s="78"/>
      <c r="BW189" s="78"/>
      <c r="BX189" s="78"/>
      <c r="BY189" s="78"/>
      <c r="BZ189" s="78"/>
      <c r="CA189" s="78"/>
      <c r="CB189" s="78"/>
      <c r="CC189" s="78"/>
      <c r="CD189" s="78"/>
      <c r="CE189" s="78"/>
      <c r="CF189" s="78"/>
      <c r="CG189" s="78"/>
      <c r="CH189" s="78"/>
      <c r="CI189" s="78"/>
      <c r="CJ189" s="78"/>
      <c r="CK189" s="78"/>
      <c r="CL189" s="78"/>
      <c r="CM189" s="78"/>
      <c r="CN189" s="78"/>
      <c r="CO189" s="78"/>
      <c r="CP189" s="78"/>
      <c r="CQ189" s="78"/>
      <c r="CR189" s="78"/>
      <c r="CS189" s="78"/>
      <c r="CT189" s="78"/>
      <c r="CU189" s="78"/>
      <c r="CV189" s="78"/>
      <c r="CW189" s="78"/>
      <c r="CX189" s="78"/>
      <c r="CY189" s="78"/>
      <c r="CZ189" s="78"/>
      <c r="DA189" s="78"/>
      <c r="DB189" s="78"/>
      <c r="DC189" s="78"/>
      <c r="DD189" s="78"/>
      <c r="DE189" s="78"/>
      <c r="DF189" s="78"/>
      <c r="DG189" s="78"/>
      <c r="DH189" s="78"/>
      <c r="DI189" s="78"/>
      <c r="DJ189" s="78"/>
      <c r="DK189" s="78"/>
      <c r="DL189" s="78"/>
      <c r="DM189" s="78"/>
      <c r="DN189" s="78"/>
      <c r="DO189" s="78"/>
      <c r="DP189" s="78"/>
      <c r="DQ189" s="78"/>
      <c r="DR189" s="78"/>
      <c r="DS189" s="78"/>
      <c r="DT189" s="78"/>
      <c r="DU189" s="78"/>
      <c r="DV189" s="78"/>
      <c r="DW189" s="78"/>
      <c r="DX189" s="78"/>
      <c r="DY189" s="78"/>
      <c r="DZ189" s="78"/>
      <c r="EA189" s="78"/>
      <c r="EB189" s="78"/>
      <c r="EC189" s="78"/>
      <c r="ED189" s="78"/>
      <c r="EE189" s="78"/>
      <c r="EF189" s="78"/>
      <c r="EG189" s="78"/>
      <c r="EH189" s="78"/>
      <c r="EI189" s="91"/>
      <c r="EJ189" s="91"/>
      <c r="EK189" s="91"/>
      <c r="EL189" s="91"/>
      <c r="EM189" s="91"/>
      <c r="EN189" s="91"/>
      <c r="EO189" s="91"/>
      <c r="EP189" s="78"/>
      <c r="EQ189" s="78"/>
      <c r="ER189" s="78"/>
      <c r="ES189" s="78"/>
      <c r="ET189" s="78"/>
      <c r="EU189" s="78"/>
      <c r="EV189" s="78"/>
      <c r="EW189" s="78"/>
      <c r="EX189" s="78"/>
      <c r="EY189" s="78"/>
      <c r="EZ189" s="78"/>
      <c r="FA189" s="78"/>
      <c r="FB189" s="78"/>
      <c r="FC189" s="78"/>
      <c r="FD189" s="78"/>
      <c r="FE189" s="78"/>
      <c r="FF189" s="78"/>
      <c r="FG189" s="78"/>
      <c r="FH189" s="78"/>
      <c r="FI189" s="78"/>
      <c r="FJ189" s="78"/>
      <c r="FK189" s="78"/>
    </row>
    <row r="190" spans="1:167" hidden="1" outlineLevel="1">
      <c r="A190" s="29" t="str">
        <f t="shared" si="22"/>
        <v>cd_imv_out_certifvlr_prds_gnhs_vr_jnl</v>
      </c>
      <c r="B190" s="67" t="s">
        <v>26</v>
      </c>
      <c r="C190" s="68" t="s">
        <v>54</v>
      </c>
      <c r="D190" s="64" t="s">
        <v>40</v>
      </c>
      <c r="E190" s="66" t="s">
        <v>507</v>
      </c>
      <c r="F190" s="64" t="s">
        <v>556</v>
      </c>
      <c r="G190" s="64" t="e">
        <f>INDEX(Auxiliar!$B$16:$B$24,MATCH(Plano_V1!H190,Auxiliar!$C$16:$C$24,0),1)</f>
        <v>#N/A</v>
      </c>
      <c r="H190" s="64" t="e">
        <f>VLOOKUP(A190,'Aux - pivots1'!$A:$B,2,0)</f>
        <v>#N/A</v>
      </c>
      <c r="I190" s="84">
        <f>SUMIFS(Table1[Estimação (horas)],Table1[Tabela],Plano_V1!E190,Table1[Campo],Plano_V1!F190)</f>
        <v>0</v>
      </c>
      <c r="J190" s="84">
        <f t="shared" si="23"/>
        <v>0</v>
      </c>
      <c r="K190" s="87" t="s">
        <v>124</v>
      </c>
      <c r="L190" s="90">
        <f t="shared" si="21"/>
        <v>0</v>
      </c>
      <c r="M190" s="78"/>
      <c r="N190" s="78"/>
      <c r="O190" s="78"/>
      <c r="P190" s="78"/>
      <c r="Q190" s="78"/>
      <c r="R190" s="78"/>
      <c r="S190" s="78"/>
      <c r="T190" s="78"/>
      <c r="U190" s="78"/>
      <c r="V190" s="78"/>
      <c r="W190" s="78"/>
      <c r="X190" s="78"/>
      <c r="Y190" s="78"/>
      <c r="Z190" s="78"/>
      <c r="AA190" s="78"/>
      <c r="AB190" s="78"/>
      <c r="AC190" s="78"/>
      <c r="AD190" s="78"/>
      <c r="AE190" s="78"/>
      <c r="AF190" s="78"/>
      <c r="AG190" s="78"/>
      <c r="AH190" s="78"/>
      <c r="AI190" s="78"/>
      <c r="AJ190" s="78"/>
      <c r="AK190" s="78"/>
      <c r="AL190" s="78"/>
      <c r="AM190" s="78"/>
      <c r="AN190" s="78"/>
      <c r="AO190" s="78"/>
      <c r="AP190" s="78"/>
      <c r="AQ190" s="78"/>
      <c r="AR190" s="78"/>
      <c r="AS190" s="78"/>
      <c r="AT190" s="91"/>
      <c r="AU190" s="78"/>
      <c r="AV190" s="78"/>
      <c r="AW190" s="78"/>
      <c r="AX190" s="78"/>
      <c r="AY190" s="78"/>
      <c r="AZ190" s="78"/>
      <c r="BA190" s="78"/>
      <c r="BB190" s="78"/>
      <c r="BC190" s="78"/>
      <c r="BD190" s="78"/>
      <c r="BE190" s="78"/>
      <c r="BF190" s="78"/>
      <c r="BG190" s="78"/>
      <c r="BH190" s="78"/>
      <c r="BI190" s="78"/>
      <c r="BJ190" s="78"/>
      <c r="BK190" s="78"/>
      <c r="BL190" s="78"/>
      <c r="BM190" s="78"/>
      <c r="BN190" s="78"/>
      <c r="BO190" s="78"/>
      <c r="BP190" s="78"/>
      <c r="BQ190" s="78"/>
      <c r="BR190" s="78"/>
      <c r="BS190" s="78"/>
      <c r="BT190" s="78"/>
      <c r="BU190" s="78"/>
      <c r="BV190" s="78"/>
      <c r="BW190" s="78"/>
      <c r="BX190" s="78"/>
      <c r="BY190" s="78"/>
      <c r="BZ190" s="78"/>
      <c r="CA190" s="78"/>
      <c r="CB190" s="78"/>
      <c r="CC190" s="78"/>
      <c r="CD190" s="78"/>
      <c r="CE190" s="78"/>
      <c r="CF190" s="78"/>
      <c r="CG190" s="78"/>
      <c r="CH190" s="78"/>
      <c r="CI190" s="78"/>
      <c r="CJ190" s="78"/>
      <c r="CK190" s="78"/>
      <c r="CL190" s="78"/>
      <c r="CM190" s="78"/>
      <c r="CN190" s="78"/>
      <c r="CO190" s="78"/>
      <c r="CP190" s="78"/>
      <c r="CQ190" s="78"/>
      <c r="CR190" s="78"/>
      <c r="CS190" s="78"/>
      <c r="CT190" s="78"/>
      <c r="CU190" s="78"/>
      <c r="CV190" s="78"/>
      <c r="CW190" s="78"/>
      <c r="CX190" s="78"/>
      <c r="CY190" s="78"/>
      <c r="CZ190" s="78"/>
      <c r="DA190" s="78"/>
      <c r="DB190" s="78"/>
      <c r="DC190" s="78"/>
      <c r="DD190" s="78"/>
      <c r="DE190" s="78"/>
      <c r="DF190" s="78"/>
      <c r="DG190" s="78"/>
      <c r="DH190" s="78"/>
      <c r="DI190" s="78"/>
      <c r="DJ190" s="78"/>
      <c r="DK190" s="78"/>
      <c r="DL190" s="78"/>
      <c r="DM190" s="78"/>
      <c r="DN190" s="78"/>
      <c r="DO190" s="78"/>
      <c r="DP190" s="78"/>
      <c r="DQ190" s="78"/>
      <c r="DR190" s="78"/>
      <c r="DS190" s="78"/>
      <c r="DT190" s="78"/>
      <c r="DU190" s="78"/>
      <c r="DV190" s="78"/>
      <c r="DW190" s="78"/>
      <c r="DX190" s="78"/>
      <c r="DY190" s="78"/>
      <c r="DZ190" s="78"/>
      <c r="EA190" s="78"/>
      <c r="EB190" s="78"/>
      <c r="EC190" s="78"/>
      <c r="ED190" s="78"/>
      <c r="EE190" s="78"/>
      <c r="EF190" s="78"/>
      <c r="EG190" s="78"/>
      <c r="EH190" s="78"/>
      <c r="EI190" s="91"/>
      <c r="EJ190" s="91"/>
      <c r="EK190" s="91"/>
      <c r="EL190" s="91"/>
      <c r="EM190" s="91"/>
      <c r="EN190" s="91"/>
      <c r="EO190" s="91"/>
      <c r="EP190" s="78"/>
      <c r="EQ190" s="78"/>
      <c r="ER190" s="78"/>
      <c r="ES190" s="78"/>
      <c r="ET190" s="78"/>
      <c r="EU190" s="78"/>
      <c r="EV190" s="78"/>
      <c r="EW190" s="78"/>
      <c r="EX190" s="78"/>
      <c r="EY190" s="78"/>
      <c r="EZ190" s="78"/>
      <c r="FA190" s="78"/>
      <c r="FB190" s="78"/>
      <c r="FC190" s="78"/>
      <c r="FD190" s="78"/>
      <c r="FE190" s="78"/>
      <c r="FF190" s="78"/>
      <c r="FG190" s="78"/>
      <c r="FH190" s="78"/>
      <c r="FI190" s="78"/>
      <c r="FJ190" s="78"/>
      <c r="FK190" s="78"/>
    </row>
    <row r="191" spans="1:167" hidden="1" outlineLevel="1">
      <c r="A191" s="29" t="str">
        <f t="shared" si="22"/>
        <v>cd_imv_out_certifvlr_prds_gnhs_vr_prd_prt</v>
      </c>
      <c r="B191" s="67" t="s">
        <v>26</v>
      </c>
      <c r="C191" s="68" t="s">
        <v>54</v>
      </c>
      <c r="D191" s="64" t="s">
        <v>40</v>
      </c>
      <c r="E191" s="66" t="s">
        <v>507</v>
      </c>
      <c r="F191" s="64" t="s">
        <v>557</v>
      </c>
      <c r="G191" s="64" t="e">
        <f>INDEX(Auxiliar!$B$16:$B$24,MATCH(Plano_V1!H191,Auxiliar!$C$16:$C$24,0),1)</f>
        <v>#N/A</v>
      </c>
      <c r="H191" s="64" t="e">
        <f>VLOOKUP(A191,'Aux - pivots1'!$A:$B,2,0)</f>
        <v>#N/A</v>
      </c>
      <c r="I191" s="84">
        <f>SUMIFS(Table1[Estimação (horas)],Table1[Tabela],Plano_V1!E191,Table1[Campo],Plano_V1!F191)</f>
        <v>0</v>
      </c>
      <c r="J191" s="84">
        <f t="shared" si="23"/>
        <v>0</v>
      </c>
      <c r="K191" s="87" t="s">
        <v>124</v>
      </c>
      <c r="L191" s="90">
        <f t="shared" si="21"/>
        <v>0</v>
      </c>
      <c r="M191" s="78"/>
      <c r="N191" s="78"/>
      <c r="O191" s="78"/>
      <c r="P191" s="78"/>
      <c r="Q191" s="78"/>
      <c r="R191" s="78"/>
      <c r="S191" s="78"/>
      <c r="T191" s="78"/>
      <c r="U191" s="78"/>
      <c r="V191" s="78"/>
      <c r="W191" s="78"/>
      <c r="X191" s="78"/>
      <c r="Y191" s="78"/>
      <c r="Z191" s="78"/>
      <c r="AA191" s="78"/>
      <c r="AB191" s="78"/>
      <c r="AC191" s="78"/>
      <c r="AD191" s="78"/>
      <c r="AE191" s="78"/>
      <c r="AF191" s="78"/>
      <c r="AG191" s="78"/>
      <c r="AH191" s="78"/>
      <c r="AI191" s="78"/>
      <c r="AJ191" s="78"/>
      <c r="AK191" s="78"/>
      <c r="AL191" s="78"/>
      <c r="AM191" s="78"/>
      <c r="AN191" s="78"/>
      <c r="AO191" s="78"/>
      <c r="AP191" s="78"/>
      <c r="AQ191" s="78"/>
      <c r="AR191" s="78"/>
      <c r="AS191" s="78"/>
      <c r="AT191" s="91"/>
      <c r="AU191" s="78"/>
      <c r="AV191" s="78"/>
      <c r="AW191" s="78"/>
      <c r="AX191" s="78"/>
      <c r="AY191" s="78"/>
      <c r="AZ191" s="78"/>
      <c r="BA191" s="78"/>
      <c r="BB191" s="78"/>
      <c r="BC191" s="78"/>
      <c r="BD191" s="78"/>
      <c r="BE191" s="78"/>
      <c r="BF191" s="78"/>
      <c r="BG191" s="78"/>
      <c r="BH191" s="78"/>
      <c r="BI191" s="78"/>
      <c r="BJ191" s="78"/>
      <c r="BK191" s="78"/>
      <c r="BL191" s="78"/>
      <c r="BM191" s="78"/>
      <c r="BN191" s="78"/>
      <c r="BO191" s="78"/>
      <c r="BP191" s="78"/>
      <c r="BQ191" s="78"/>
      <c r="BR191" s="78"/>
      <c r="BS191" s="78"/>
      <c r="BT191" s="78"/>
      <c r="BU191" s="78"/>
      <c r="BV191" s="78"/>
      <c r="BW191" s="78"/>
      <c r="BX191" s="78"/>
      <c r="BY191" s="78"/>
      <c r="BZ191" s="78"/>
      <c r="CA191" s="78"/>
      <c r="CB191" s="78"/>
      <c r="CC191" s="78"/>
      <c r="CD191" s="78"/>
      <c r="CE191" s="78"/>
      <c r="CF191" s="78"/>
      <c r="CG191" s="78"/>
      <c r="CH191" s="78"/>
      <c r="CI191" s="78"/>
      <c r="CJ191" s="78"/>
      <c r="CK191" s="78"/>
      <c r="CL191" s="78"/>
      <c r="CM191" s="78"/>
      <c r="CN191" s="78"/>
      <c r="CO191" s="78"/>
      <c r="CP191" s="78"/>
      <c r="CQ191" s="78"/>
      <c r="CR191" s="78"/>
      <c r="CS191" s="78"/>
      <c r="CT191" s="78"/>
      <c r="CU191" s="78"/>
      <c r="CV191" s="78"/>
      <c r="CW191" s="78"/>
      <c r="CX191" s="78"/>
      <c r="CY191" s="78"/>
      <c r="CZ191" s="78"/>
      <c r="DA191" s="78"/>
      <c r="DB191" s="78"/>
      <c r="DC191" s="78"/>
      <c r="DD191" s="78"/>
      <c r="DE191" s="78"/>
      <c r="DF191" s="78"/>
      <c r="DG191" s="78"/>
      <c r="DH191" s="78"/>
      <c r="DI191" s="78"/>
      <c r="DJ191" s="78"/>
      <c r="DK191" s="78"/>
      <c r="DL191" s="78"/>
      <c r="DM191" s="78"/>
      <c r="DN191" s="78"/>
      <c r="DO191" s="78"/>
      <c r="DP191" s="78"/>
      <c r="DQ191" s="78"/>
      <c r="DR191" s="78"/>
      <c r="DS191" s="78"/>
      <c r="DT191" s="78"/>
      <c r="DU191" s="78"/>
      <c r="DV191" s="78"/>
      <c r="DW191" s="78"/>
      <c r="DX191" s="78"/>
      <c r="DY191" s="78"/>
      <c r="DZ191" s="78"/>
      <c r="EA191" s="78"/>
      <c r="EB191" s="78"/>
      <c r="EC191" s="78"/>
      <c r="ED191" s="78"/>
      <c r="EE191" s="78"/>
      <c r="EF191" s="78"/>
      <c r="EG191" s="78"/>
      <c r="EH191" s="78"/>
      <c r="EI191" s="91"/>
      <c r="EJ191" s="91"/>
      <c r="EK191" s="91"/>
      <c r="EL191" s="91"/>
      <c r="EM191" s="91"/>
      <c r="EN191" s="91"/>
      <c r="EO191" s="91"/>
      <c r="EP191" s="78"/>
      <c r="EQ191" s="78"/>
      <c r="ER191" s="78"/>
      <c r="ES191" s="78"/>
      <c r="ET191" s="78"/>
      <c r="EU191" s="78"/>
      <c r="EV191" s="78"/>
      <c r="EW191" s="78"/>
      <c r="EX191" s="78"/>
      <c r="EY191" s="78"/>
      <c r="EZ191" s="78"/>
      <c r="FA191" s="78"/>
      <c r="FB191" s="78"/>
      <c r="FC191" s="78"/>
      <c r="FD191" s="78"/>
      <c r="FE191" s="78"/>
      <c r="FF191" s="78"/>
      <c r="FG191" s="78"/>
      <c r="FH191" s="78"/>
      <c r="FI191" s="78"/>
      <c r="FJ191" s="78"/>
      <c r="FK191" s="78"/>
    </row>
    <row r="192" spans="1:167" hidden="1" outlineLevel="1">
      <c r="A192" s="29" t="str">
        <f t="shared" si="22"/>
        <v>cd_imv_out_certifvlr_prds_gnhs_vr_rfrc</v>
      </c>
      <c r="B192" s="67" t="s">
        <v>26</v>
      </c>
      <c r="C192" s="68" t="s">
        <v>54</v>
      </c>
      <c r="D192" s="64" t="s">
        <v>40</v>
      </c>
      <c r="E192" s="66" t="s">
        <v>507</v>
      </c>
      <c r="F192" s="64" t="s">
        <v>558</v>
      </c>
      <c r="G192" s="64" t="e">
        <f>INDEX(Auxiliar!$B$16:$B$24,MATCH(Plano_V1!H192,Auxiliar!$C$16:$C$24,0),1)</f>
        <v>#N/A</v>
      </c>
      <c r="H192" s="64" t="e">
        <f>VLOOKUP(A192,'Aux - pivots1'!$A:$B,2,0)</f>
        <v>#N/A</v>
      </c>
      <c r="I192" s="84">
        <f>SUMIFS(Table1[Estimação (horas)],Table1[Tabela],Plano_V1!E192,Table1[Campo],Plano_V1!F192)</f>
        <v>0</v>
      </c>
      <c r="J192" s="84">
        <f t="shared" si="23"/>
        <v>0</v>
      </c>
      <c r="K192" s="87" t="s">
        <v>124</v>
      </c>
      <c r="L192" s="90">
        <f t="shared" si="21"/>
        <v>0</v>
      </c>
      <c r="M192" s="78"/>
      <c r="N192" s="78"/>
      <c r="O192" s="78"/>
      <c r="P192" s="78"/>
      <c r="Q192" s="78"/>
      <c r="R192" s="78"/>
      <c r="S192" s="78"/>
      <c r="T192" s="78"/>
      <c r="U192" s="78"/>
      <c r="V192" s="78"/>
      <c r="W192" s="78"/>
      <c r="X192" s="78"/>
      <c r="Y192" s="78"/>
      <c r="Z192" s="78"/>
      <c r="AA192" s="78"/>
      <c r="AB192" s="78"/>
      <c r="AC192" s="78"/>
      <c r="AD192" s="78"/>
      <c r="AE192" s="78"/>
      <c r="AF192" s="78"/>
      <c r="AG192" s="78"/>
      <c r="AH192" s="78"/>
      <c r="AI192" s="78"/>
      <c r="AJ192" s="78"/>
      <c r="AK192" s="78"/>
      <c r="AL192" s="78"/>
      <c r="AM192" s="78"/>
      <c r="AN192" s="78"/>
      <c r="AO192" s="78"/>
      <c r="AP192" s="78"/>
      <c r="AQ192" s="78"/>
      <c r="AR192" s="78"/>
      <c r="AS192" s="78"/>
      <c r="AT192" s="91"/>
      <c r="AU192" s="78"/>
      <c r="AV192" s="78"/>
      <c r="AW192" s="78"/>
      <c r="AX192" s="78"/>
      <c r="AY192" s="78"/>
      <c r="AZ192" s="78"/>
      <c r="BA192" s="78"/>
      <c r="BB192" s="78"/>
      <c r="BC192" s="78"/>
      <c r="BD192" s="78"/>
      <c r="BE192" s="78"/>
      <c r="BF192" s="78"/>
      <c r="BG192" s="78"/>
      <c r="BH192" s="78"/>
      <c r="BI192" s="78"/>
      <c r="BJ192" s="78"/>
      <c r="BK192" s="78"/>
      <c r="BL192" s="78"/>
      <c r="BM192" s="78"/>
      <c r="BN192" s="78"/>
      <c r="BO192" s="78"/>
      <c r="BP192" s="78"/>
      <c r="BQ192" s="78"/>
      <c r="BR192" s="78"/>
      <c r="BS192" s="78"/>
      <c r="BT192" s="78"/>
      <c r="BU192" s="78"/>
      <c r="BV192" s="78"/>
      <c r="BW192" s="78"/>
      <c r="BX192" s="78"/>
      <c r="BY192" s="78"/>
      <c r="BZ192" s="78"/>
      <c r="CA192" s="78"/>
      <c r="CB192" s="78"/>
      <c r="CC192" s="78"/>
      <c r="CD192" s="78"/>
      <c r="CE192" s="78"/>
      <c r="CF192" s="78"/>
      <c r="CG192" s="78"/>
      <c r="CH192" s="78"/>
      <c r="CI192" s="78"/>
      <c r="CJ192" s="78"/>
      <c r="CK192" s="78"/>
      <c r="CL192" s="78"/>
      <c r="CM192" s="78"/>
      <c r="CN192" s="78"/>
      <c r="CO192" s="78"/>
      <c r="CP192" s="78"/>
      <c r="CQ192" s="78"/>
      <c r="CR192" s="78"/>
      <c r="CS192" s="78"/>
      <c r="CT192" s="78"/>
      <c r="CU192" s="78"/>
      <c r="CV192" s="78"/>
      <c r="CW192" s="78"/>
      <c r="CX192" s="78"/>
      <c r="CY192" s="78"/>
      <c r="CZ192" s="78"/>
      <c r="DA192" s="78"/>
      <c r="DB192" s="78"/>
      <c r="DC192" s="78"/>
      <c r="DD192" s="78"/>
      <c r="DE192" s="78"/>
      <c r="DF192" s="78"/>
      <c r="DG192" s="78"/>
      <c r="DH192" s="78"/>
      <c r="DI192" s="78"/>
      <c r="DJ192" s="78"/>
      <c r="DK192" s="78"/>
      <c r="DL192" s="78"/>
      <c r="DM192" s="78"/>
      <c r="DN192" s="78"/>
      <c r="DO192" s="78"/>
      <c r="DP192" s="78"/>
      <c r="DQ192" s="78"/>
      <c r="DR192" s="78"/>
      <c r="DS192" s="78"/>
      <c r="DT192" s="78"/>
      <c r="DU192" s="78"/>
      <c r="DV192" s="78"/>
      <c r="DW192" s="78"/>
      <c r="DX192" s="78"/>
      <c r="DY192" s="78"/>
      <c r="DZ192" s="78"/>
      <c r="EA192" s="78"/>
      <c r="EB192" s="78"/>
      <c r="EC192" s="78"/>
      <c r="ED192" s="78"/>
      <c r="EE192" s="78"/>
      <c r="EF192" s="78"/>
      <c r="EG192" s="78"/>
      <c r="EH192" s="78"/>
      <c r="EI192" s="91"/>
      <c r="EJ192" s="91"/>
      <c r="EK192" s="91"/>
      <c r="EL192" s="91"/>
      <c r="EM192" s="91"/>
      <c r="EN192" s="91"/>
      <c r="EO192" s="91"/>
      <c r="EP192" s="78"/>
      <c r="EQ192" s="78"/>
      <c r="ER192" s="78"/>
      <c r="ES192" s="78"/>
      <c r="ET192" s="78"/>
      <c r="EU192" s="78"/>
      <c r="EV192" s="78"/>
      <c r="EW192" s="78"/>
      <c r="EX192" s="78"/>
      <c r="EY192" s="78"/>
      <c r="EZ192" s="78"/>
      <c r="FA192" s="78"/>
      <c r="FB192" s="78"/>
      <c r="FC192" s="78"/>
      <c r="FD192" s="78"/>
      <c r="FE192" s="78"/>
      <c r="FF192" s="78"/>
      <c r="FG192" s="78"/>
      <c r="FH192" s="78"/>
      <c r="FI192" s="78"/>
      <c r="FJ192" s="78"/>
      <c r="FK192" s="78"/>
    </row>
    <row r="193" spans="1:167" hidden="1" outlineLevel="1">
      <c r="A193" s="29" t="str">
        <f t="shared" si="22"/>
        <v>cd_imv_out_certifvlr_rdc_anl_estmd_ftr</v>
      </c>
      <c r="B193" s="67" t="s">
        <v>26</v>
      </c>
      <c r="C193" s="68" t="s">
        <v>54</v>
      </c>
      <c r="D193" s="64" t="s">
        <v>40</v>
      </c>
      <c r="E193" s="66" t="s">
        <v>507</v>
      </c>
      <c r="F193" s="64" t="s">
        <v>559</v>
      </c>
      <c r="G193" s="64" t="e">
        <f>INDEX(Auxiliar!$B$16:$B$24,MATCH(Plano_V1!H193,Auxiliar!$C$16:$C$24,0),1)</f>
        <v>#N/A</v>
      </c>
      <c r="H193" s="64" t="e">
        <f>VLOOKUP(A193,'Aux - pivots1'!$A:$B,2,0)</f>
        <v>#N/A</v>
      </c>
      <c r="I193" s="84">
        <f>SUMIFS(Table1[Estimação (horas)],Table1[Tabela],Plano_V1!E193,Table1[Campo],Plano_V1!F193)</f>
        <v>0</v>
      </c>
      <c r="J193" s="84">
        <f t="shared" si="23"/>
        <v>0</v>
      </c>
      <c r="K193" s="87" t="s">
        <v>124</v>
      </c>
      <c r="L193" s="90">
        <f t="shared" si="21"/>
        <v>0</v>
      </c>
      <c r="M193" s="78"/>
      <c r="N193" s="78"/>
      <c r="O193" s="78"/>
      <c r="P193" s="78"/>
      <c r="Q193" s="78"/>
      <c r="R193" s="78"/>
      <c r="S193" s="78"/>
      <c r="T193" s="78"/>
      <c r="U193" s="78"/>
      <c r="V193" s="78"/>
      <c r="W193" s="78"/>
      <c r="X193" s="78"/>
      <c r="Y193" s="78"/>
      <c r="Z193" s="78"/>
      <c r="AA193" s="78"/>
      <c r="AB193" s="78"/>
      <c r="AC193" s="78"/>
      <c r="AD193" s="78"/>
      <c r="AE193" s="78"/>
      <c r="AF193" s="78"/>
      <c r="AG193" s="78"/>
      <c r="AH193" s="78"/>
      <c r="AI193" s="78"/>
      <c r="AJ193" s="78"/>
      <c r="AK193" s="78"/>
      <c r="AL193" s="78"/>
      <c r="AM193" s="78"/>
      <c r="AN193" s="78"/>
      <c r="AO193" s="78"/>
      <c r="AP193" s="78"/>
      <c r="AQ193" s="78"/>
      <c r="AR193" s="78"/>
      <c r="AS193" s="78"/>
      <c r="AT193" s="91"/>
      <c r="AU193" s="78"/>
      <c r="AV193" s="78"/>
      <c r="AW193" s="78"/>
      <c r="AX193" s="78"/>
      <c r="AY193" s="78"/>
      <c r="AZ193" s="78"/>
      <c r="BA193" s="78"/>
      <c r="BB193" s="78"/>
      <c r="BC193" s="78"/>
      <c r="BD193" s="78"/>
      <c r="BE193" s="78"/>
      <c r="BF193" s="78"/>
      <c r="BG193" s="78"/>
      <c r="BH193" s="78"/>
      <c r="BI193" s="78"/>
      <c r="BJ193" s="78"/>
      <c r="BK193" s="78"/>
      <c r="BL193" s="78"/>
      <c r="BM193" s="78"/>
      <c r="BN193" s="78"/>
      <c r="BO193" s="78"/>
      <c r="BP193" s="78"/>
      <c r="BQ193" s="78"/>
      <c r="BR193" s="78"/>
      <c r="BS193" s="78"/>
      <c r="BT193" s="78"/>
      <c r="BU193" s="78"/>
      <c r="BV193" s="78"/>
      <c r="BW193" s="78"/>
      <c r="BX193" s="78"/>
      <c r="BY193" s="78"/>
      <c r="BZ193" s="78"/>
      <c r="CA193" s="78"/>
      <c r="CB193" s="78"/>
      <c r="CC193" s="78"/>
      <c r="CD193" s="78"/>
      <c r="CE193" s="78"/>
      <c r="CF193" s="78"/>
      <c r="CG193" s="78"/>
      <c r="CH193" s="78"/>
      <c r="CI193" s="78"/>
      <c r="CJ193" s="78"/>
      <c r="CK193" s="78"/>
      <c r="CL193" s="78"/>
      <c r="CM193" s="78"/>
      <c r="CN193" s="78"/>
      <c r="CO193" s="78"/>
      <c r="CP193" s="78"/>
      <c r="CQ193" s="78"/>
      <c r="CR193" s="78"/>
      <c r="CS193" s="78"/>
      <c r="CT193" s="78"/>
      <c r="CU193" s="78"/>
      <c r="CV193" s="78"/>
      <c r="CW193" s="78"/>
      <c r="CX193" s="78"/>
      <c r="CY193" s="78"/>
      <c r="CZ193" s="78"/>
      <c r="DA193" s="78"/>
      <c r="DB193" s="78"/>
      <c r="DC193" s="78"/>
      <c r="DD193" s="78"/>
      <c r="DE193" s="78"/>
      <c r="DF193" s="78"/>
      <c r="DG193" s="78"/>
      <c r="DH193" s="78"/>
      <c r="DI193" s="78"/>
      <c r="DJ193" s="78"/>
      <c r="DK193" s="78"/>
      <c r="DL193" s="78"/>
      <c r="DM193" s="78"/>
      <c r="DN193" s="78"/>
      <c r="DO193" s="78"/>
      <c r="DP193" s="78"/>
      <c r="DQ193" s="78"/>
      <c r="DR193" s="78"/>
      <c r="DS193" s="78"/>
      <c r="DT193" s="78"/>
      <c r="DU193" s="78"/>
      <c r="DV193" s="78"/>
      <c r="DW193" s="78"/>
      <c r="DX193" s="78"/>
      <c r="DY193" s="78"/>
      <c r="DZ193" s="78"/>
      <c r="EA193" s="78"/>
      <c r="EB193" s="78"/>
      <c r="EC193" s="78"/>
      <c r="ED193" s="78"/>
      <c r="EE193" s="78"/>
      <c r="EF193" s="78"/>
      <c r="EG193" s="78"/>
      <c r="EH193" s="78"/>
      <c r="EI193" s="91"/>
      <c r="EJ193" s="91"/>
      <c r="EK193" s="91"/>
      <c r="EL193" s="91"/>
      <c r="EM193" s="91"/>
      <c r="EN193" s="91"/>
      <c r="EO193" s="91"/>
      <c r="EP193" s="78"/>
      <c r="EQ193" s="78"/>
      <c r="ER193" s="78"/>
      <c r="ES193" s="78"/>
      <c r="ET193" s="78"/>
      <c r="EU193" s="78"/>
      <c r="EV193" s="78"/>
      <c r="EW193" s="78"/>
      <c r="EX193" s="78"/>
      <c r="EY193" s="78"/>
      <c r="EZ193" s="78"/>
      <c r="FA193" s="78"/>
      <c r="FB193" s="78"/>
      <c r="FC193" s="78"/>
      <c r="FD193" s="78"/>
      <c r="FE193" s="78"/>
      <c r="FF193" s="78"/>
      <c r="FG193" s="78"/>
      <c r="FH193" s="78"/>
      <c r="FI193" s="78"/>
      <c r="FJ193" s="78"/>
      <c r="FK193" s="78"/>
    </row>
    <row r="194" spans="1:167" hidden="1" outlineLevel="1">
      <c r="A194" s="29" t="str">
        <f t="shared" si="22"/>
        <v>cd_imv_out_certifvlr_tmprtr_md_extrr</v>
      </c>
      <c r="B194" s="67" t="s">
        <v>26</v>
      </c>
      <c r="C194" s="68" t="s">
        <v>54</v>
      </c>
      <c r="D194" s="64" t="s">
        <v>40</v>
      </c>
      <c r="E194" s="66" t="s">
        <v>507</v>
      </c>
      <c r="F194" s="64" t="s">
        <v>560</v>
      </c>
      <c r="G194" s="64" t="e">
        <f>INDEX(Auxiliar!$B$16:$B$24,MATCH(Plano_V1!H194,Auxiliar!$C$16:$C$24,0),1)</f>
        <v>#N/A</v>
      </c>
      <c r="H194" s="64" t="e">
        <f>VLOOKUP(A194,'Aux - pivots1'!$A:$B,2,0)</f>
        <v>#N/A</v>
      </c>
      <c r="I194" s="84">
        <f>SUMIFS(Table1[Estimação (horas)],Table1[Tabela],Plano_V1!E194,Table1[Campo],Plano_V1!F194)</f>
        <v>0</v>
      </c>
      <c r="J194" s="84">
        <f t="shared" si="23"/>
        <v>0</v>
      </c>
      <c r="K194" s="87" t="s">
        <v>124</v>
      </c>
      <c r="L194" s="90">
        <f t="shared" si="21"/>
        <v>0</v>
      </c>
      <c r="M194" s="78"/>
      <c r="N194" s="78"/>
      <c r="O194" s="78"/>
      <c r="P194" s="78"/>
      <c r="Q194" s="78"/>
      <c r="R194" s="78"/>
      <c r="S194" s="78"/>
      <c r="T194" s="78"/>
      <c r="U194" s="78"/>
      <c r="V194" s="78"/>
      <c r="W194" s="78"/>
      <c r="X194" s="78"/>
      <c r="Y194" s="78"/>
      <c r="Z194" s="78"/>
      <c r="AA194" s="78"/>
      <c r="AB194" s="78"/>
      <c r="AC194" s="78"/>
      <c r="AD194" s="78"/>
      <c r="AE194" s="78"/>
      <c r="AF194" s="78"/>
      <c r="AG194" s="78"/>
      <c r="AH194" s="78"/>
      <c r="AI194" s="78"/>
      <c r="AJ194" s="78"/>
      <c r="AK194" s="78"/>
      <c r="AL194" s="78"/>
      <c r="AM194" s="78"/>
      <c r="AN194" s="78"/>
      <c r="AO194" s="78"/>
      <c r="AP194" s="78"/>
      <c r="AQ194" s="78"/>
      <c r="AR194" s="78"/>
      <c r="AS194" s="78"/>
      <c r="AT194" s="91"/>
      <c r="AU194" s="78"/>
      <c r="AV194" s="78"/>
      <c r="AW194" s="78"/>
      <c r="AX194" s="78"/>
      <c r="AY194" s="78"/>
      <c r="AZ194" s="78"/>
      <c r="BA194" s="78"/>
      <c r="BB194" s="78"/>
      <c r="BC194" s="78"/>
      <c r="BD194" s="78"/>
      <c r="BE194" s="78"/>
      <c r="BF194" s="78"/>
      <c r="BG194" s="78"/>
      <c r="BH194" s="78"/>
      <c r="BI194" s="78"/>
      <c r="BJ194" s="78"/>
      <c r="BK194" s="78"/>
      <c r="BL194" s="78"/>
      <c r="BM194" s="78"/>
      <c r="BN194" s="78"/>
      <c r="BO194" s="78"/>
      <c r="BP194" s="78"/>
      <c r="BQ194" s="78"/>
      <c r="BR194" s="78"/>
      <c r="BS194" s="78"/>
      <c r="BT194" s="78"/>
      <c r="BU194" s="78"/>
      <c r="BV194" s="78"/>
      <c r="BW194" s="78"/>
      <c r="BX194" s="78"/>
      <c r="BY194" s="78"/>
      <c r="BZ194" s="78"/>
      <c r="CA194" s="78"/>
      <c r="CB194" s="78"/>
      <c r="CC194" s="78"/>
      <c r="CD194" s="78"/>
      <c r="CE194" s="78"/>
      <c r="CF194" s="78"/>
      <c r="CG194" s="78"/>
      <c r="CH194" s="78"/>
      <c r="CI194" s="78"/>
      <c r="CJ194" s="78"/>
      <c r="CK194" s="78"/>
      <c r="CL194" s="78"/>
      <c r="CM194" s="78"/>
      <c r="CN194" s="78"/>
      <c r="CO194" s="78"/>
      <c r="CP194" s="78"/>
      <c r="CQ194" s="78"/>
      <c r="CR194" s="78"/>
      <c r="CS194" s="78"/>
      <c r="CT194" s="78"/>
      <c r="CU194" s="78"/>
      <c r="CV194" s="78"/>
      <c r="CW194" s="78"/>
      <c r="CX194" s="78"/>
      <c r="CY194" s="78"/>
      <c r="CZ194" s="78"/>
      <c r="DA194" s="78"/>
      <c r="DB194" s="78"/>
      <c r="DC194" s="78"/>
      <c r="DD194" s="78"/>
      <c r="DE194" s="78"/>
      <c r="DF194" s="78"/>
      <c r="DG194" s="78"/>
      <c r="DH194" s="78"/>
      <c r="DI194" s="78"/>
      <c r="DJ194" s="78"/>
      <c r="DK194" s="78"/>
      <c r="DL194" s="78"/>
      <c r="DM194" s="78"/>
      <c r="DN194" s="78"/>
      <c r="DO194" s="78"/>
      <c r="DP194" s="78"/>
      <c r="DQ194" s="78"/>
      <c r="DR194" s="78"/>
      <c r="DS194" s="78"/>
      <c r="DT194" s="78"/>
      <c r="DU194" s="78"/>
      <c r="DV194" s="78"/>
      <c r="DW194" s="78"/>
      <c r="DX194" s="78"/>
      <c r="DY194" s="78"/>
      <c r="DZ194" s="78"/>
      <c r="EA194" s="78"/>
      <c r="EB194" s="78"/>
      <c r="EC194" s="78"/>
      <c r="ED194" s="78"/>
      <c r="EE194" s="78"/>
      <c r="EF194" s="78"/>
      <c r="EG194" s="78"/>
      <c r="EH194" s="78"/>
      <c r="EI194" s="91"/>
      <c r="EJ194" s="91"/>
      <c r="EK194" s="91"/>
      <c r="EL194" s="91"/>
      <c r="EM194" s="91"/>
      <c r="EN194" s="91"/>
      <c r="EO194" s="91"/>
      <c r="EP194" s="78"/>
      <c r="EQ194" s="78"/>
      <c r="ER194" s="78"/>
      <c r="ES194" s="78"/>
      <c r="ET194" s="78"/>
      <c r="EU194" s="78"/>
      <c r="EV194" s="78"/>
      <c r="EW194" s="78"/>
      <c r="EX194" s="78"/>
      <c r="EY194" s="78"/>
      <c r="EZ194" s="78"/>
      <c r="FA194" s="78"/>
      <c r="FB194" s="78"/>
      <c r="FC194" s="78"/>
      <c r="FD194" s="78"/>
      <c r="FE194" s="78"/>
      <c r="FF194" s="78"/>
      <c r="FG194" s="78"/>
      <c r="FH194" s="78"/>
      <c r="FI194" s="78"/>
      <c r="FJ194" s="78"/>
      <c r="FK194" s="78"/>
    </row>
    <row r="195" spans="1:167" hidden="1" outlineLevel="1">
      <c r="A195" s="29" t="str">
        <f t="shared" si="22"/>
        <v>cd_imv_out_certifzn_clmtc_invrn</v>
      </c>
      <c r="B195" s="67" t="s">
        <v>26</v>
      </c>
      <c r="C195" s="68" t="s">
        <v>54</v>
      </c>
      <c r="D195" s="64" t="s">
        <v>40</v>
      </c>
      <c r="E195" s="66" t="s">
        <v>507</v>
      </c>
      <c r="F195" s="64" t="s">
        <v>561</v>
      </c>
      <c r="G195" s="64" t="e">
        <f>INDEX(Auxiliar!$B$16:$B$24,MATCH(Plano_V1!H195,Auxiliar!$C$16:$C$24,0),1)</f>
        <v>#N/A</v>
      </c>
      <c r="H195" s="64" t="e">
        <f>VLOOKUP(A195,'Aux - pivots1'!$A:$B,2,0)</f>
        <v>#N/A</v>
      </c>
      <c r="I195" s="84">
        <f>SUMIFS(Table1[Estimação (horas)],Table1[Tabela],Plano_V1!E195,Table1[Campo],Plano_V1!F195)</f>
        <v>0</v>
      </c>
      <c r="J195" s="84">
        <f t="shared" si="23"/>
        <v>0</v>
      </c>
      <c r="K195" s="87" t="s">
        <v>124</v>
      </c>
      <c r="L195" s="90">
        <f t="shared" si="21"/>
        <v>0</v>
      </c>
      <c r="M195" s="78"/>
      <c r="N195" s="78"/>
      <c r="O195" s="78"/>
      <c r="P195" s="78"/>
      <c r="Q195" s="78"/>
      <c r="R195" s="78"/>
      <c r="S195" s="78"/>
      <c r="T195" s="78"/>
      <c r="U195" s="78"/>
      <c r="V195" s="78"/>
      <c r="W195" s="78"/>
      <c r="X195" s="78"/>
      <c r="Y195" s="78"/>
      <c r="Z195" s="78"/>
      <c r="AA195" s="78"/>
      <c r="AB195" s="78"/>
      <c r="AC195" s="78"/>
      <c r="AD195" s="78"/>
      <c r="AE195" s="78"/>
      <c r="AF195" s="78"/>
      <c r="AG195" s="78"/>
      <c r="AH195" s="78"/>
      <c r="AI195" s="78"/>
      <c r="AJ195" s="78"/>
      <c r="AK195" s="78"/>
      <c r="AL195" s="78"/>
      <c r="AM195" s="78"/>
      <c r="AN195" s="78"/>
      <c r="AO195" s="78"/>
      <c r="AP195" s="78"/>
      <c r="AQ195" s="78"/>
      <c r="AR195" s="78"/>
      <c r="AS195" s="78"/>
      <c r="AT195" s="91"/>
      <c r="AU195" s="78"/>
      <c r="AV195" s="78"/>
      <c r="AW195" s="78"/>
      <c r="AX195" s="78"/>
      <c r="AY195" s="78"/>
      <c r="AZ195" s="78"/>
      <c r="BA195" s="78"/>
      <c r="BB195" s="78"/>
      <c r="BC195" s="78"/>
      <c r="BD195" s="78"/>
      <c r="BE195" s="78"/>
      <c r="BF195" s="78"/>
      <c r="BG195" s="78"/>
      <c r="BH195" s="78"/>
      <c r="BI195" s="78"/>
      <c r="BJ195" s="78"/>
      <c r="BK195" s="78"/>
      <c r="BL195" s="78"/>
      <c r="BM195" s="78"/>
      <c r="BN195" s="78"/>
      <c r="BO195" s="78"/>
      <c r="BP195" s="78"/>
      <c r="BQ195" s="78"/>
      <c r="BR195" s="78"/>
      <c r="BS195" s="78"/>
      <c r="BT195" s="78"/>
      <c r="BU195" s="78"/>
      <c r="BV195" s="78"/>
      <c r="BW195" s="78"/>
      <c r="BX195" s="78"/>
      <c r="BY195" s="78"/>
      <c r="BZ195" s="78"/>
      <c r="CA195" s="78"/>
      <c r="CB195" s="78"/>
      <c r="CC195" s="78"/>
      <c r="CD195" s="78"/>
      <c r="CE195" s="78"/>
      <c r="CF195" s="78"/>
      <c r="CG195" s="78"/>
      <c r="CH195" s="78"/>
      <c r="CI195" s="78"/>
      <c r="CJ195" s="78"/>
      <c r="CK195" s="78"/>
      <c r="CL195" s="78"/>
      <c r="CM195" s="78"/>
      <c r="CN195" s="78"/>
      <c r="CO195" s="78"/>
      <c r="CP195" s="78"/>
      <c r="CQ195" s="78"/>
      <c r="CR195" s="78"/>
      <c r="CS195" s="78"/>
      <c r="CT195" s="78"/>
      <c r="CU195" s="78"/>
      <c r="CV195" s="78"/>
      <c r="CW195" s="78"/>
      <c r="CX195" s="78"/>
      <c r="CY195" s="78"/>
      <c r="CZ195" s="78"/>
      <c r="DA195" s="78"/>
      <c r="DB195" s="78"/>
      <c r="DC195" s="78"/>
      <c r="DD195" s="78"/>
      <c r="DE195" s="78"/>
      <c r="DF195" s="78"/>
      <c r="DG195" s="78"/>
      <c r="DH195" s="78"/>
      <c r="DI195" s="78"/>
      <c r="DJ195" s="78"/>
      <c r="DK195" s="78"/>
      <c r="DL195" s="78"/>
      <c r="DM195" s="78"/>
      <c r="DN195" s="78"/>
      <c r="DO195" s="78"/>
      <c r="DP195" s="78"/>
      <c r="DQ195" s="78"/>
      <c r="DR195" s="78"/>
      <c r="DS195" s="78"/>
      <c r="DT195" s="78"/>
      <c r="DU195" s="78"/>
      <c r="DV195" s="78"/>
      <c r="DW195" s="78"/>
      <c r="DX195" s="78"/>
      <c r="DY195" s="78"/>
      <c r="DZ195" s="78"/>
      <c r="EA195" s="78"/>
      <c r="EB195" s="78"/>
      <c r="EC195" s="78"/>
      <c r="ED195" s="78"/>
      <c r="EE195" s="78"/>
      <c r="EF195" s="78"/>
      <c r="EG195" s="78"/>
      <c r="EH195" s="78"/>
      <c r="EI195" s="91"/>
      <c r="EJ195" s="91"/>
      <c r="EK195" s="91"/>
      <c r="EL195" s="91"/>
      <c r="EM195" s="91"/>
      <c r="EN195" s="91"/>
      <c r="EO195" s="91"/>
      <c r="EP195" s="78"/>
      <c r="EQ195" s="78"/>
      <c r="ER195" s="78"/>
      <c r="ES195" s="78"/>
      <c r="ET195" s="78"/>
      <c r="EU195" s="78"/>
      <c r="EV195" s="78"/>
      <c r="EW195" s="78"/>
      <c r="EX195" s="78"/>
      <c r="EY195" s="78"/>
      <c r="EZ195" s="78"/>
      <c r="FA195" s="78"/>
      <c r="FB195" s="78"/>
      <c r="FC195" s="78"/>
      <c r="FD195" s="78"/>
      <c r="FE195" s="78"/>
      <c r="FF195" s="78"/>
      <c r="FG195" s="78"/>
      <c r="FH195" s="78"/>
      <c r="FI195" s="78"/>
      <c r="FJ195" s="78"/>
      <c r="FK195" s="78"/>
    </row>
    <row r="196" spans="1:167" hidden="1" outlineLevel="1">
      <c r="A196" s="29" t="str">
        <f t="shared" si="22"/>
        <v>cd_imv_out_certifzn_clmtc_vr</v>
      </c>
      <c r="B196" s="67" t="s">
        <v>26</v>
      </c>
      <c r="C196" s="68" t="s">
        <v>54</v>
      </c>
      <c r="D196" s="64" t="s">
        <v>40</v>
      </c>
      <c r="E196" s="66" t="s">
        <v>507</v>
      </c>
      <c r="F196" s="64" t="s">
        <v>562</v>
      </c>
      <c r="G196" s="64" t="e">
        <f>INDEX(Auxiliar!$B$16:$B$24,MATCH(Plano_V1!H196,Auxiliar!$C$16:$C$24,0),1)</f>
        <v>#N/A</v>
      </c>
      <c r="H196" s="64" t="e">
        <f>VLOOKUP(A196,'Aux - pivots1'!$A:$B,2,0)</f>
        <v>#N/A</v>
      </c>
      <c r="I196" s="84">
        <f>SUMIFS(Table1[Estimação (horas)],Table1[Tabela],Plano_V1!E196,Table1[Campo],Plano_V1!F196)</f>
        <v>0</v>
      </c>
      <c r="J196" s="84">
        <f t="shared" si="23"/>
        <v>0</v>
      </c>
      <c r="K196" s="87" t="s">
        <v>124</v>
      </c>
      <c r="L196" s="90">
        <f t="shared" si="21"/>
        <v>0</v>
      </c>
      <c r="M196" s="78"/>
      <c r="N196" s="78"/>
      <c r="O196" s="78"/>
      <c r="P196" s="78"/>
      <c r="Q196" s="78"/>
      <c r="R196" s="78"/>
      <c r="S196" s="78"/>
      <c r="T196" s="78"/>
      <c r="U196" s="78"/>
      <c r="V196" s="78"/>
      <c r="W196" s="78"/>
      <c r="X196" s="78"/>
      <c r="Y196" s="78"/>
      <c r="Z196" s="78"/>
      <c r="AA196" s="78"/>
      <c r="AB196" s="78"/>
      <c r="AC196" s="78"/>
      <c r="AD196" s="78"/>
      <c r="AE196" s="78"/>
      <c r="AF196" s="78"/>
      <c r="AG196" s="78"/>
      <c r="AH196" s="78"/>
      <c r="AI196" s="78"/>
      <c r="AJ196" s="78"/>
      <c r="AK196" s="78"/>
      <c r="AL196" s="78"/>
      <c r="AM196" s="78"/>
      <c r="AN196" s="78"/>
      <c r="AO196" s="78"/>
      <c r="AP196" s="78"/>
      <c r="AQ196" s="78"/>
      <c r="AR196" s="78"/>
      <c r="AS196" s="78"/>
      <c r="AT196" s="91"/>
      <c r="AU196" s="78"/>
      <c r="AV196" s="78"/>
      <c r="AW196" s="78"/>
      <c r="AX196" s="78"/>
      <c r="AY196" s="78"/>
      <c r="AZ196" s="78"/>
      <c r="BA196" s="78"/>
      <c r="BB196" s="78"/>
      <c r="BC196" s="78"/>
      <c r="BD196" s="78"/>
      <c r="BE196" s="78"/>
      <c r="BF196" s="78"/>
      <c r="BG196" s="78"/>
      <c r="BH196" s="78"/>
      <c r="BI196" s="78"/>
      <c r="BJ196" s="78"/>
      <c r="BK196" s="78"/>
      <c r="BL196" s="78"/>
      <c r="BM196" s="78"/>
      <c r="BN196" s="78"/>
      <c r="BO196" s="78"/>
      <c r="BP196" s="78"/>
      <c r="BQ196" s="78"/>
      <c r="BR196" s="78"/>
      <c r="BS196" s="78"/>
      <c r="BT196" s="78"/>
      <c r="BU196" s="78"/>
      <c r="BV196" s="78"/>
      <c r="BW196" s="78"/>
      <c r="BX196" s="78"/>
      <c r="BY196" s="78"/>
      <c r="BZ196" s="78"/>
      <c r="CA196" s="78"/>
      <c r="CB196" s="78"/>
      <c r="CC196" s="78"/>
      <c r="CD196" s="78"/>
      <c r="CE196" s="78"/>
      <c r="CF196" s="78"/>
      <c r="CG196" s="78"/>
      <c r="CH196" s="78"/>
      <c r="CI196" s="78"/>
      <c r="CJ196" s="78"/>
      <c r="CK196" s="78"/>
      <c r="CL196" s="78"/>
      <c r="CM196" s="78"/>
      <c r="CN196" s="78"/>
      <c r="CO196" s="78"/>
      <c r="CP196" s="78"/>
      <c r="CQ196" s="78"/>
      <c r="CR196" s="78"/>
      <c r="CS196" s="78"/>
      <c r="CT196" s="78"/>
      <c r="CU196" s="78"/>
      <c r="CV196" s="78"/>
      <c r="CW196" s="78"/>
      <c r="CX196" s="78"/>
      <c r="CY196" s="78"/>
      <c r="CZ196" s="78"/>
      <c r="DA196" s="78"/>
      <c r="DB196" s="78"/>
      <c r="DC196" s="78"/>
      <c r="DD196" s="78"/>
      <c r="DE196" s="78"/>
      <c r="DF196" s="78"/>
      <c r="DG196" s="78"/>
      <c r="DH196" s="78"/>
      <c r="DI196" s="78"/>
      <c r="DJ196" s="78"/>
      <c r="DK196" s="78"/>
      <c r="DL196" s="78"/>
      <c r="DM196" s="78"/>
      <c r="DN196" s="78"/>
      <c r="DO196" s="78"/>
      <c r="DP196" s="78"/>
      <c r="DQ196" s="78"/>
      <c r="DR196" s="78"/>
      <c r="DS196" s="78"/>
      <c r="DT196" s="78"/>
      <c r="DU196" s="78"/>
      <c r="DV196" s="78"/>
      <c r="DW196" s="78"/>
      <c r="DX196" s="78"/>
      <c r="DY196" s="78"/>
      <c r="DZ196" s="78"/>
      <c r="EA196" s="78"/>
      <c r="EB196" s="78"/>
      <c r="EC196" s="78"/>
      <c r="ED196" s="78"/>
      <c r="EE196" s="78"/>
      <c r="EF196" s="78"/>
      <c r="EG196" s="78"/>
      <c r="EH196" s="78"/>
      <c r="EI196" s="91"/>
      <c r="EJ196" s="91"/>
      <c r="EK196" s="91"/>
      <c r="EL196" s="91"/>
      <c r="EM196" s="91"/>
      <c r="EN196" s="91"/>
      <c r="EO196" s="91"/>
      <c r="EP196" s="78"/>
      <c r="EQ196" s="78"/>
      <c r="ER196" s="78"/>
      <c r="ES196" s="78"/>
      <c r="ET196" s="78"/>
      <c r="EU196" s="78"/>
      <c r="EV196" s="78"/>
      <c r="EW196" s="78"/>
      <c r="EX196" s="78"/>
      <c r="EY196" s="78"/>
      <c r="EZ196" s="78"/>
      <c r="FA196" s="78"/>
      <c r="FB196" s="78"/>
      <c r="FC196" s="78"/>
      <c r="FD196" s="78"/>
      <c r="FE196" s="78"/>
      <c r="FF196" s="78"/>
      <c r="FG196" s="78"/>
      <c r="FH196" s="78"/>
      <c r="FI196" s="78"/>
      <c r="FJ196" s="78"/>
      <c r="FK196" s="78"/>
    </row>
    <row r="197" spans="1:167" hidden="1" outlineLevel="1">
      <c r="A197" s="29" t="str">
        <f t="shared" si="22"/>
        <v>Re-testesn.a.</v>
      </c>
      <c r="B197" s="67" t="s">
        <v>26</v>
      </c>
      <c r="C197" s="68" t="s">
        <v>54</v>
      </c>
      <c r="D197" s="64" t="s">
        <v>40</v>
      </c>
      <c r="E197" s="66" t="s">
        <v>53</v>
      </c>
      <c r="F197" s="64" t="s">
        <v>38</v>
      </c>
      <c r="G197" s="64" t="s">
        <v>180</v>
      </c>
      <c r="H197" s="64"/>
      <c r="I197" s="84">
        <f>SUM(I43:I196)*D7</f>
        <v>0</v>
      </c>
      <c r="J197" s="84">
        <f>I197/8</f>
        <v>0</v>
      </c>
      <c r="K197" s="87"/>
      <c r="L197" s="90">
        <f t="shared" si="21"/>
        <v>0</v>
      </c>
      <c r="M197" s="78"/>
      <c r="N197" s="78"/>
      <c r="O197" s="78"/>
      <c r="P197" s="78"/>
      <c r="Q197" s="78"/>
      <c r="R197" s="78"/>
      <c r="S197" s="78"/>
      <c r="T197" s="78"/>
      <c r="U197" s="78"/>
      <c r="V197" s="78"/>
      <c r="W197" s="78"/>
      <c r="X197" s="78"/>
      <c r="Y197" s="78"/>
      <c r="Z197" s="78"/>
      <c r="AA197" s="78"/>
      <c r="AB197" s="78"/>
      <c r="AC197" s="78"/>
      <c r="AD197" s="78"/>
      <c r="AE197" s="78"/>
      <c r="AF197" s="78"/>
      <c r="AG197" s="78"/>
      <c r="AH197" s="78"/>
      <c r="AI197" s="78"/>
      <c r="AJ197" s="78"/>
      <c r="AK197" s="78"/>
      <c r="AL197" s="78"/>
      <c r="AM197" s="78"/>
      <c r="AN197" s="78"/>
      <c r="AO197" s="78"/>
      <c r="AP197" s="78"/>
      <c r="AQ197" s="78"/>
      <c r="AR197" s="78"/>
      <c r="AS197" s="78"/>
      <c r="AT197" s="91"/>
      <c r="AU197" s="78"/>
      <c r="AV197" s="78"/>
      <c r="AW197" s="78"/>
      <c r="AX197" s="78"/>
      <c r="AY197" s="78"/>
      <c r="AZ197" s="78"/>
      <c r="BA197" s="78"/>
      <c r="BB197" s="78"/>
      <c r="BC197" s="78"/>
      <c r="BD197" s="78"/>
      <c r="BE197" s="78"/>
      <c r="BF197" s="78"/>
      <c r="BG197" s="78"/>
      <c r="BH197" s="78"/>
      <c r="BI197" s="78"/>
      <c r="BJ197" s="78"/>
      <c r="BK197" s="78"/>
      <c r="BL197" s="78"/>
      <c r="BM197" s="78"/>
      <c r="BN197" s="78"/>
      <c r="BO197" s="78"/>
      <c r="BP197" s="78"/>
      <c r="BQ197" s="78"/>
      <c r="BR197" s="78"/>
      <c r="BS197" s="78"/>
      <c r="BT197" s="78"/>
      <c r="BU197" s="78"/>
      <c r="BV197" s="78"/>
      <c r="BW197" s="78"/>
      <c r="BX197" s="78"/>
      <c r="BY197" s="78"/>
      <c r="BZ197" s="78"/>
      <c r="CA197" s="78"/>
      <c r="CB197" s="78"/>
      <c r="CC197" s="78"/>
      <c r="CD197" s="78"/>
      <c r="CE197" s="78"/>
      <c r="CF197" s="78"/>
      <c r="CG197" s="78"/>
      <c r="CH197" s="78"/>
      <c r="CI197" s="78"/>
      <c r="CJ197" s="78"/>
      <c r="CK197" s="78"/>
      <c r="CL197" s="78"/>
      <c r="CM197" s="78"/>
      <c r="CN197" s="78"/>
      <c r="CO197" s="78"/>
      <c r="CP197" s="78"/>
      <c r="CQ197" s="78"/>
      <c r="CR197" s="78"/>
      <c r="CS197" s="78"/>
      <c r="CT197" s="78"/>
      <c r="CU197" s="78"/>
      <c r="CV197" s="78"/>
      <c r="CW197" s="78"/>
      <c r="CX197" s="78"/>
      <c r="CY197" s="78"/>
      <c r="CZ197" s="78"/>
      <c r="DA197" s="78"/>
      <c r="DB197" s="78"/>
      <c r="DC197" s="78"/>
      <c r="DD197" s="78"/>
      <c r="DE197" s="78"/>
      <c r="DF197" s="78"/>
      <c r="DG197" s="78"/>
      <c r="DH197" s="78"/>
      <c r="DI197" s="78"/>
      <c r="DJ197" s="78"/>
      <c r="DK197" s="78"/>
      <c r="DL197" s="78"/>
      <c r="DM197" s="78"/>
      <c r="DN197" s="78"/>
      <c r="DO197" s="78"/>
      <c r="DP197" s="78"/>
      <c r="DQ197" s="78"/>
      <c r="DR197" s="78"/>
      <c r="DS197" s="78"/>
      <c r="DT197" s="78"/>
      <c r="DU197" s="78"/>
      <c r="DV197" s="78"/>
      <c r="DW197" s="78"/>
      <c r="DX197" s="78"/>
      <c r="DY197" s="78"/>
      <c r="DZ197" s="78"/>
      <c r="EA197" s="78"/>
      <c r="EB197" s="78"/>
      <c r="EC197" s="78"/>
      <c r="ED197" s="78"/>
      <c r="EE197" s="78"/>
      <c r="EF197" s="78"/>
      <c r="EG197" s="78"/>
      <c r="EH197" s="78"/>
      <c r="EI197" s="91"/>
      <c r="EJ197" s="91"/>
      <c r="EK197" s="91"/>
      <c r="EL197" s="91"/>
      <c r="EM197" s="91"/>
      <c r="EN197" s="91"/>
      <c r="EO197" s="91"/>
      <c r="EP197" s="78"/>
      <c r="EQ197" s="78"/>
      <c r="ER197" s="78"/>
      <c r="ES197" s="78"/>
      <c r="ET197" s="78"/>
      <c r="EU197" s="78"/>
      <c r="EV197" s="78"/>
      <c r="EW197" s="78"/>
      <c r="EX197" s="78"/>
      <c r="EY197" s="78"/>
      <c r="EZ197" s="78"/>
      <c r="FA197" s="78"/>
      <c r="FB197" s="78"/>
      <c r="FC197" s="78"/>
      <c r="FD197" s="78"/>
      <c r="FE197" s="78"/>
      <c r="FF197" s="78"/>
      <c r="FG197" s="78"/>
      <c r="FH197" s="78"/>
      <c r="FI197" s="78"/>
      <c r="FJ197" s="78"/>
      <c r="FK197" s="78"/>
    </row>
    <row r="198" spans="1:167" collapsed="1">
      <c r="A198" s="29" t="str">
        <f t="shared" si="22"/>
        <v/>
      </c>
      <c r="B198" s="63" t="s">
        <v>26</v>
      </c>
      <c r="C198" s="96" t="s">
        <v>181</v>
      </c>
      <c r="D198" s="96"/>
      <c r="E198" s="103"/>
      <c r="F198" s="96"/>
      <c r="G198" s="96"/>
      <c r="H198" s="96"/>
      <c r="I198" s="99">
        <f>SUM(I199:I361)</f>
        <v>148.89999999999958</v>
      </c>
      <c r="J198" s="99">
        <f>ROUNDUP(I198/8,0)</f>
        <v>19</v>
      </c>
      <c r="K198" s="100"/>
      <c r="L198" s="90">
        <f t="shared" si="21"/>
        <v>-4</v>
      </c>
      <c r="M198" s="78"/>
      <c r="N198" s="78"/>
      <c r="O198" s="78"/>
      <c r="P198" s="78"/>
      <c r="Q198" s="78"/>
      <c r="R198" s="78"/>
      <c r="S198" s="78"/>
      <c r="T198" s="78"/>
      <c r="U198" s="78"/>
      <c r="V198" s="78"/>
      <c r="W198" s="78"/>
      <c r="X198" s="78">
        <v>0.5</v>
      </c>
      <c r="Y198" s="78">
        <v>0.5</v>
      </c>
      <c r="Z198" s="78">
        <v>1</v>
      </c>
      <c r="AA198" s="78">
        <v>0.5</v>
      </c>
      <c r="AB198" s="78"/>
      <c r="AC198" s="78">
        <v>0.5</v>
      </c>
      <c r="AD198" s="78"/>
      <c r="AE198" s="78"/>
      <c r="AF198" s="78"/>
      <c r="AG198" s="78">
        <v>0.5</v>
      </c>
      <c r="AH198" s="78">
        <v>2</v>
      </c>
      <c r="AI198" s="78">
        <v>2</v>
      </c>
      <c r="AJ198" s="78">
        <v>2</v>
      </c>
      <c r="AK198" s="78">
        <v>1.5</v>
      </c>
      <c r="AL198" s="78">
        <v>2</v>
      </c>
      <c r="AM198" s="78">
        <v>2</v>
      </c>
      <c r="AN198" s="78">
        <v>2</v>
      </c>
      <c r="AO198" s="78">
        <v>2</v>
      </c>
      <c r="AP198" s="78">
        <v>2</v>
      </c>
      <c r="AQ198" s="78">
        <v>1</v>
      </c>
      <c r="AR198" s="78">
        <v>1</v>
      </c>
      <c r="AS198" s="78"/>
      <c r="AT198" s="91"/>
      <c r="AU198" s="78"/>
      <c r="AV198" s="78"/>
      <c r="AW198" s="78"/>
      <c r="AX198" s="78"/>
      <c r="AY198" s="78"/>
      <c r="AZ198" s="78"/>
      <c r="BA198" s="78"/>
      <c r="BB198" s="78"/>
      <c r="BC198" s="78"/>
      <c r="BD198" s="78"/>
      <c r="BE198" s="78"/>
      <c r="BF198" s="78"/>
      <c r="BG198" s="78"/>
      <c r="BH198" s="78"/>
      <c r="BI198" s="78"/>
      <c r="BJ198" s="78"/>
      <c r="BK198" s="78"/>
      <c r="BL198" s="78"/>
      <c r="BM198" s="78"/>
      <c r="BN198" s="78"/>
      <c r="BO198" s="78"/>
      <c r="BP198" s="78"/>
      <c r="BQ198" s="78"/>
      <c r="BR198" s="78"/>
      <c r="BS198" s="78"/>
      <c r="BT198" s="78"/>
      <c r="BU198" s="78"/>
      <c r="BV198" s="78"/>
      <c r="BW198" s="78"/>
      <c r="BX198" s="78"/>
      <c r="BY198" s="78"/>
      <c r="BZ198" s="78"/>
      <c r="CA198" s="78"/>
      <c r="CB198" s="78"/>
      <c r="CC198" s="78"/>
      <c r="CD198" s="78"/>
      <c r="CE198" s="78"/>
      <c r="CF198" s="78"/>
      <c r="CG198" s="78"/>
      <c r="CH198" s="78"/>
      <c r="CI198" s="78"/>
      <c r="CJ198" s="78"/>
      <c r="CK198" s="78"/>
      <c r="CL198" s="78"/>
      <c r="CM198" s="78"/>
      <c r="CN198" s="78"/>
      <c r="CO198" s="78"/>
      <c r="CP198" s="78"/>
      <c r="CQ198" s="78"/>
      <c r="CR198" s="78"/>
      <c r="CS198" s="78"/>
      <c r="CT198" s="78"/>
      <c r="CU198" s="78"/>
      <c r="CV198" s="78"/>
      <c r="CW198" s="78"/>
      <c r="CX198" s="78"/>
      <c r="CY198" s="78"/>
      <c r="CZ198" s="78"/>
      <c r="DA198" s="78"/>
      <c r="DB198" s="78"/>
      <c r="DC198" s="78"/>
      <c r="DD198" s="78"/>
      <c r="DE198" s="78"/>
      <c r="DF198" s="78"/>
      <c r="DG198" s="78"/>
      <c r="DH198" s="78"/>
      <c r="DI198" s="78"/>
      <c r="DJ198" s="78"/>
      <c r="DK198" s="78"/>
      <c r="DL198" s="78"/>
      <c r="DM198" s="78"/>
      <c r="DN198" s="78"/>
      <c r="DO198" s="78"/>
      <c r="DP198" s="78"/>
      <c r="DQ198" s="78"/>
      <c r="DR198" s="78"/>
      <c r="DS198" s="78"/>
      <c r="DT198" s="78"/>
      <c r="DU198" s="78"/>
      <c r="DV198" s="78"/>
      <c r="DW198" s="78"/>
      <c r="DX198" s="78"/>
      <c r="DY198" s="78"/>
      <c r="DZ198" s="78"/>
      <c r="EA198" s="78"/>
      <c r="EB198" s="78"/>
      <c r="EC198" s="78"/>
      <c r="ED198" s="78"/>
      <c r="EE198" s="78"/>
      <c r="EF198" s="78"/>
      <c r="EG198" s="78"/>
      <c r="EH198" s="78"/>
      <c r="EI198" s="91"/>
      <c r="EJ198" s="91"/>
      <c r="EK198" s="91"/>
      <c r="EL198" s="91"/>
      <c r="EM198" s="91"/>
      <c r="EN198" s="91"/>
      <c r="EO198" s="91"/>
      <c r="EP198" s="78"/>
      <c r="EQ198" s="78"/>
      <c r="ER198" s="78"/>
      <c r="ES198" s="78"/>
      <c r="ET198" s="78"/>
      <c r="EU198" s="78"/>
      <c r="EV198" s="78"/>
      <c r="EW198" s="78"/>
      <c r="EX198" s="78"/>
      <c r="EY198" s="78"/>
      <c r="EZ198" s="78"/>
      <c r="FA198" s="78"/>
      <c r="FB198" s="78"/>
      <c r="FC198" s="78"/>
      <c r="FD198" s="78"/>
      <c r="FE198" s="78"/>
      <c r="FF198" s="78"/>
      <c r="FG198" s="78"/>
      <c r="FH198" s="78"/>
      <c r="FI198" s="78"/>
      <c r="FJ198" s="78"/>
      <c r="FK198" s="78"/>
    </row>
    <row r="199" spans="1:167" outlineLevel="1">
      <c r="A199" s="29" t="str">
        <f t="shared" si="22"/>
        <v>modesg_param_sfcs_taxon_europeian.a.</v>
      </c>
      <c r="B199" s="67" t="s">
        <v>26</v>
      </c>
      <c r="C199" s="68" t="s">
        <v>181</v>
      </c>
      <c r="D199" s="64" t="s">
        <v>36</v>
      </c>
      <c r="E199" s="66" t="s">
        <v>182</v>
      </c>
      <c r="F199" s="64" t="s">
        <v>38</v>
      </c>
      <c r="G199" s="64" t="e">
        <f>INDEX(Auxiliar!$B$16:$B$24,MATCH(Plano_V1!H199,Auxiliar!$C$16:$C$24,0),1)</f>
        <v>#N/A</v>
      </c>
      <c r="H199" s="64" t="e">
        <f>VLOOKUP(A199,'Aux - pivots1'!$A:$B,2,0)</f>
        <v>#N/A</v>
      </c>
      <c r="I199" s="84">
        <f>SUMIFS(Table1[Estimação (horas)],Table1[Tabela],Plano_V1!E199,Table1[Campo],Plano_V1!F199)</f>
        <v>0</v>
      </c>
      <c r="J199" s="84">
        <f t="shared" ref="J199:J262" si="24">I199/8</f>
        <v>0</v>
      </c>
      <c r="K199" s="89" t="s">
        <v>39</v>
      </c>
      <c r="L199" s="90">
        <f t="shared" si="21"/>
        <v>0</v>
      </c>
      <c r="M199" s="78"/>
      <c r="N199" s="78"/>
      <c r="O199" s="78"/>
      <c r="P199" s="78"/>
      <c r="Q199" s="78"/>
      <c r="R199" s="78"/>
      <c r="S199" s="78"/>
      <c r="T199" s="78"/>
      <c r="U199" s="78"/>
      <c r="V199" s="78"/>
      <c r="W199" s="78"/>
      <c r="X199" s="78"/>
      <c r="Y199" s="78"/>
      <c r="Z199" s="78"/>
      <c r="AA199" s="78"/>
      <c r="AB199" s="78"/>
      <c r="AC199" s="78"/>
      <c r="AD199" s="78"/>
      <c r="AE199" s="78"/>
      <c r="AF199" s="78"/>
      <c r="AG199" s="78"/>
      <c r="AH199" s="78"/>
      <c r="AI199" s="78"/>
      <c r="AJ199" s="78"/>
      <c r="AK199" s="78"/>
      <c r="AL199" s="78"/>
      <c r="AM199" s="78"/>
      <c r="AN199" s="78"/>
      <c r="AO199" s="78"/>
      <c r="AP199" s="78"/>
      <c r="AQ199" s="78"/>
      <c r="AR199" s="78"/>
      <c r="AS199" s="78"/>
      <c r="AT199" s="91"/>
      <c r="AU199" s="78"/>
      <c r="AV199" s="78"/>
      <c r="AW199" s="78"/>
      <c r="AX199" s="78"/>
      <c r="AY199" s="78"/>
      <c r="AZ199" s="78"/>
      <c r="BA199" s="78"/>
      <c r="BB199" s="78"/>
      <c r="BC199" s="78"/>
      <c r="BD199" s="78"/>
      <c r="BE199" s="78"/>
      <c r="BF199" s="78"/>
      <c r="BG199" s="78"/>
      <c r="BH199" s="78"/>
      <c r="BI199" s="78"/>
      <c r="BJ199" s="78"/>
      <c r="BK199" s="78"/>
      <c r="BL199" s="78"/>
      <c r="BM199" s="78"/>
      <c r="BN199" s="78"/>
      <c r="BO199" s="78"/>
      <c r="BP199" s="78"/>
      <c r="BQ199" s="78"/>
      <c r="BR199" s="78"/>
      <c r="BS199" s="78"/>
      <c r="BT199" s="78"/>
      <c r="BU199" s="78"/>
      <c r="BV199" s="78"/>
      <c r="BW199" s="78"/>
      <c r="BX199" s="78"/>
      <c r="BY199" s="78"/>
      <c r="BZ199" s="78"/>
      <c r="CA199" s="78"/>
      <c r="CB199" s="78"/>
      <c r="CC199" s="78"/>
      <c r="CD199" s="78"/>
      <c r="CE199" s="78"/>
      <c r="CF199" s="78"/>
      <c r="CG199" s="78"/>
      <c r="CH199" s="78"/>
      <c r="CI199" s="78"/>
      <c r="CJ199" s="78"/>
      <c r="CK199" s="78"/>
      <c r="CL199" s="78"/>
      <c r="CM199" s="78"/>
      <c r="CN199" s="78"/>
      <c r="CO199" s="78"/>
      <c r="CP199" s="78"/>
      <c r="CQ199" s="78"/>
      <c r="CR199" s="78"/>
      <c r="CS199" s="78"/>
      <c r="CT199" s="78"/>
      <c r="CU199" s="78"/>
      <c r="CV199" s="78"/>
      <c r="CW199" s="78"/>
      <c r="CX199" s="78"/>
      <c r="CY199" s="78"/>
      <c r="CZ199" s="78"/>
      <c r="DA199" s="78"/>
      <c r="DB199" s="78"/>
      <c r="DC199" s="78"/>
      <c r="DD199" s="78"/>
      <c r="DE199" s="78"/>
      <c r="DF199" s="78"/>
      <c r="DG199" s="78"/>
      <c r="DH199" s="78"/>
      <c r="DI199" s="78"/>
      <c r="DJ199" s="78"/>
      <c r="DK199" s="78"/>
      <c r="DL199" s="78"/>
      <c r="DM199" s="78"/>
      <c r="DN199" s="78"/>
      <c r="DO199" s="78"/>
      <c r="DP199" s="78"/>
      <c r="DQ199" s="78"/>
      <c r="DR199" s="78"/>
      <c r="DS199" s="78"/>
      <c r="DT199" s="78"/>
      <c r="DU199" s="78"/>
      <c r="DV199" s="78"/>
      <c r="DW199" s="78"/>
      <c r="DX199" s="78"/>
      <c r="DY199" s="78"/>
      <c r="DZ199" s="78"/>
      <c r="EA199" s="78"/>
      <c r="EB199" s="78"/>
      <c r="EC199" s="78"/>
      <c r="ED199" s="78"/>
      <c r="EE199" s="78"/>
      <c r="EF199" s="78"/>
      <c r="EG199" s="78"/>
      <c r="EH199" s="78"/>
      <c r="EI199" s="91"/>
      <c r="EJ199" s="91"/>
      <c r="EK199" s="91"/>
      <c r="EL199" s="91"/>
      <c r="EM199" s="91"/>
      <c r="EN199" s="91"/>
      <c r="EO199" s="91"/>
      <c r="EP199" s="78"/>
      <c r="EQ199" s="78"/>
      <c r="ER199" s="78"/>
      <c r="ES199" s="78"/>
      <c r="ET199" s="78"/>
      <c r="EU199" s="78"/>
      <c r="EV199" s="78"/>
      <c r="EW199" s="78"/>
      <c r="EX199" s="78"/>
      <c r="EY199" s="78"/>
      <c r="EZ199" s="78"/>
      <c r="FA199" s="78"/>
      <c r="FB199" s="78"/>
      <c r="FC199" s="78"/>
      <c r="FD199" s="78"/>
      <c r="FE199" s="78"/>
      <c r="FF199" s="78"/>
      <c r="FG199" s="78"/>
      <c r="FH199" s="78"/>
      <c r="FI199" s="78"/>
      <c r="FJ199" s="78"/>
      <c r="FK199" s="78"/>
    </row>
    <row r="200" spans="1:167" outlineLevel="1">
      <c r="A200" s="29" t="str">
        <f t="shared" si="22"/>
        <v>modesg_param_sfcs_taxon_europeiacbalcao</v>
      </c>
      <c r="B200" s="67" t="s">
        <v>26</v>
      </c>
      <c r="C200" s="68" t="s">
        <v>181</v>
      </c>
      <c r="D200" s="64" t="s">
        <v>40</v>
      </c>
      <c r="E200" s="66" t="s">
        <v>182</v>
      </c>
      <c r="F200" s="64" t="s">
        <v>183</v>
      </c>
      <c r="G200" s="64" t="e">
        <f>INDEX(Auxiliar!$B$16:$B$24,MATCH(Plano_V1!H200,Auxiliar!$C$16:$C$24,0),1)</f>
        <v>#N/A</v>
      </c>
      <c r="H200" s="64" t="e">
        <f>VLOOKUP(A200,'Aux - pivots1'!$A:$B,2,0)</f>
        <v>#N/A</v>
      </c>
      <c r="I200" s="84">
        <f>SUMIFS(Table1[Estimação (horas)],Table1[Tabela],Plano_V1!E200,Table1[Campo],Plano_V1!F200)</f>
        <v>0</v>
      </c>
      <c r="J200" s="84">
        <f t="shared" si="24"/>
        <v>0</v>
      </c>
      <c r="K200" s="89" t="s">
        <v>39</v>
      </c>
      <c r="L200" s="90">
        <f t="shared" si="21"/>
        <v>0</v>
      </c>
      <c r="M200" s="78"/>
      <c r="N200" s="78"/>
      <c r="O200" s="78"/>
      <c r="P200" s="78"/>
      <c r="Q200" s="78"/>
      <c r="R200" s="78"/>
      <c r="S200" s="78"/>
      <c r="T200" s="78"/>
      <c r="U200" s="78"/>
      <c r="V200" s="78"/>
      <c r="W200" s="78"/>
      <c r="X200" s="78"/>
      <c r="Y200" s="78"/>
      <c r="Z200" s="78"/>
      <c r="AA200" s="78"/>
      <c r="AB200" s="78"/>
      <c r="AC200" s="78"/>
      <c r="AD200" s="78"/>
      <c r="AE200" s="78"/>
      <c r="AF200" s="78"/>
      <c r="AG200" s="78"/>
      <c r="AH200" s="78"/>
      <c r="AI200" s="78"/>
      <c r="AJ200" s="78"/>
      <c r="AK200" s="78"/>
      <c r="AL200" s="78"/>
      <c r="AM200" s="78"/>
      <c r="AN200" s="78"/>
      <c r="AO200" s="78"/>
      <c r="AP200" s="78"/>
      <c r="AQ200" s="78"/>
      <c r="AR200" s="78"/>
      <c r="AS200" s="78"/>
      <c r="AT200" s="91"/>
      <c r="AU200" s="78"/>
      <c r="AV200" s="78"/>
      <c r="AW200" s="78"/>
      <c r="AX200" s="78"/>
      <c r="AY200" s="78"/>
      <c r="AZ200" s="78"/>
      <c r="BA200" s="78"/>
      <c r="BB200" s="78"/>
      <c r="BC200" s="78"/>
      <c r="BD200" s="78"/>
      <c r="BE200" s="78"/>
      <c r="BF200" s="78"/>
      <c r="BG200" s="78"/>
      <c r="BH200" s="78"/>
      <c r="BI200" s="78"/>
      <c r="BJ200" s="78"/>
      <c r="BK200" s="78"/>
      <c r="BL200" s="78"/>
      <c r="BM200" s="78"/>
      <c r="BN200" s="78"/>
      <c r="BO200" s="78"/>
      <c r="BP200" s="78"/>
      <c r="BQ200" s="78"/>
      <c r="BR200" s="78"/>
      <c r="BS200" s="78"/>
      <c r="BT200" s="78"/>
      <c r="BU200" s="78"/>
      <c r="BV200" s="78"/>
      <c r="BW200" s="78"/>
      <c r="BX200" s="78"/>
      <c r="BY200" s="78"/>
      <c r="BZ200" s="78"/>
      <c r="CA200" s="78"/>
      <c r="CB200" s="78"/>
      <c r="CC200" s="78"/>
      <c r="CD200" s="78"/>
      <c r="CE200" s="78"/>
      <c r="CF200" s="78"/>
      <c r="CG200" s="78"/>
      <c r="CH200" s="78"/>
      <c r="CI200" s="78"/>
      <c r="CJ200" s="78"/>
      <c r="CK200" s="78"/>
      <c r="CL200" s="78"/>
      <c r="CM200" s="78"/>
      <c r="CN200" s="78"/>
      <c r="CO200" s="78"/>
      <c r="CP200" s="78"/>
      <c r="CQ200" s="78"/>
      <c r="CR200" s="78"/>
      <c r="CS200" s="78"/>
      <c r="CT200" s="78"/>
      <c r="CU200" s="78"/>
      <c r="CV200" s="78"/>
      <c r="CW200" s="78"/>
      <c r="CX200" s="78"/>
      <c r="CY200" s="78"/>
      <c r="CZ200" s="78"/>
      <c r="DA200" s="78"/>
      <c r="DB200" s="78"/>
      <c r="DC200" s="78"/>
      <c r="DD200" s="78"/>
      <c r="DE200" s="78"/>
      <c r="DF200" s="78"/>
      <c r="DG200" s="78"/>
      <c r="DH200" s="78"/>
      <c r="DI200" s="78"/>
      <c r="DJ200" s="78"/>
      <c r="DK200" s="78"/>
      <c r="DL200" s="78"/>
      <c r="DM200" s="78"/>
      <c r="DN200" s="78"/>
      <c r="DO200" s="78"/>
      <c r="DP200" s="78"/>
      <c r="DQ200" s="78"/>
      <c r="DR200" s="78"/>
      <c r="DS200" s="78"/>
      <c r="DT200" s="78"/>
      <c r="DU200" s="78"/>
      <c r="DV200" s="78"/>
      <c r="DW200" s="78"/>
      <c r="DX200" s="78"/>
      <c r="DY200" s="78"/>
      <c r="DZ200" s="78"/>
      <c r="EA200" s="78"/>
      <c r="EB200" s="78"/>
      <c r="EC200" s="78"/>
      <c r="ED200" s="78"/>
      <c r="EE200" s="78"/>
      <c r="EF200" s="78"/>
      <c r="EG200" s="78"/>
      <c r="EH200" s="78"/>
      <c r="EI200" s="91"/>
      <c r="EJ200" s="91"/>
      <c r="EK200" s="91"/>
      <c r="EL200" s="91"/>
      <c r="EM200" s="91"/>
      <c r="EN200" s="91"/>
      <c r="EO200" s="91"/>
      <c r="EP200" s="78"/>
      <c r="EQ200" s="78"/>
      <c r="ER200" s="78"/>
      <c r="ES200" s="78"/>
      <c r="ET200" s="78"/>
      <c r="EU200" s="78"/>
      <c r="EV200" s="78"/>
      <c r="EW200" s="78"/>
      <c r="EX200" s="78"/>
      <c r="EY200" s="78"/>
      <c r="EZ200" s="78"/>
      <c r="FA200" s="78"/>
      <c r="FB200" s="78"/>
      <c r="FC200" s="78"/>
      <c r="FD200" s="78"/>
      <c r="FE200" s="78"/>
      <c r="FF200" s="78"/>
      <c r="FG200" s="78"/>
      <c r="FH200" s="78"/>
      <c r="FI200" s="78"/>
      <c r="FJ200" s="78"/>
      <c r="FK200" s="78"/>
    </row>
    <row r="201" spans="1:167" outlineLevel="1">
      <c r="A201" s="29" t="str">
        <f t="shared" si="22"/>
        <v>modesg_param_sfcs_taxon_europeiacempresa</v>
      </c>
      <c r="B201" s="67" t="s">
        <v>26</v>
      </c>
      <c r="C201" s="68" t="s">
        <v>181</v>
      </c>
      <c r="D201" s="64" t="s">
        <v>40</v>
      </c>
      <c r="E201" s="66" t="s">
        <v>182</v>
      </c>
      <c r="F201" s="64" t="s">
        <v>184</v>
      </c>
      <c r="G201" s="64" t="e">
        <f>INDEX(Auxiliar!$B$16:$B$24,MATCH(Plano_V1!H201,Auxiliar!$C$16:$C$24,0),1)</f>
        <v>#N/A</v>
      </c>
      <c r="H201" s="64" t="e">
        <f>VLOOKUP(A201,'Aux - pivots1'!$A:$B,2,0)</f>
        <v>#N/A</v>
      </c>
      <c r="I201" s="84">
        <f>SUMIFS(Table1[Estimação (horas)],Table1[Tabela],Plano_V1!E201,Table1[Campo],Plano_V1!F201)</f>
        <v>0</v>
      </c>
      <c r="J201" s="84">
        <f t="shared" si="24"/>
        <v>0</v>
      </c>
      <c r="K201" s="89" t="s">
        <v>39</v>
      </c>
      <c r="L201" s="90">
        <f t="shared" si="21"/>
        <v>0</v>
      </c>
      <c r="M201" s="78"/>
      <c r="N201" s="78"/>
      <c r="O201" s="78"/>
      <c r="P201" s="78"/>
      <c r="Q201" s="78"/>
      <c r="R201" s="78"/>
      <c r="S201" s="78"/>
      <c r="T201" s="78"/>
      <c r="U201" s="78"/>
      <c r="V201" s="78"/>
      <c r="W201" s="78"/>
      <c r="X201" s="78"/>
      <c r="Y201" s="78"/>
      <c r="Z201" s="78"/>
      <c r="AA201" s="78"/>
      <c r="AB201" s="78"/>
      <c r="AC201" s="78"/>
      <c r="AD201" s="78"/>
      <c r="AE201" s="78"/>
      <c r="AF201" s="78"/>
      <c r="AG201" s="78"/>
      <c r="AH201" s="78"/>
      <c r="AI201" s="78"/>
      <c r="AJ201" s="78"/>
      <c r="AK201" s="78"/>
      <c r="AL201" s="78"/>
      <c r="AM201" s="78"/>
      <c r="AN201" s="78"/>
      <c r="AO201" s="78"/>
      <c r="AP201" s="78"/>
      <c r="AQ201" s="78"/>
      <c r="AR201" s="78"/>
      <c r="AS201" s="78"/>
      <c r="AT201" s="91"/>
      <c r="AU201" s="78"/>
      <c r="AV201" s="78"/>
      <c r="AW201" s="78"/>
      <c r="AX201" s="78"/>
      <c r="AY201" s="78"/>
      <c r="AZ201" s="78"/>
      <c r="BA201" s="78"/>
      <c r="BB201" s="78"/>
      <c r="BC201" s="78"/>
      <c r="BD201" s="78"/>
      <c r="BE201" s="78"/>
      <c r="BF201" s="78"/>
      <c r="BG201" s="78"/>
      <c r="BH201" s="78"/>
      <c r="BI201" s="78"/>
      <c r="BJ201" s="78"/>
      <c r="BK201" s="78"/>
      <c r="BL201" s="78"/>
      <c r="BM201" s="78"/>
      <c r="BN201" s="78"/>
      <c r="BO201" s="78"/>
      <c r="BP201" s="78"/>
      <c r="BQ201" s="78"/>
      <c r="BR201" s="78"/>
      <c r="BS201" s="78"/>
      <c r="BT201" s="78"/>
      <c r="BU201" s="78"/>
      <c r="BV201" s="78"/>
      <c r="BW201" s="78"/>
      <c r="BX201" s="78"/>
      <c r="BY201" s="78"/>
      <c r="BZ201" s="78"/>
      <c r="CA201" s="78"/>
      <c r="CB201" s="78"/>
      <c r="CC201" s="78"/>
      <c r="CD201" s="78"/>
      <c r="CE201" s="78"/>
      <c r="CF201" s="78"/>
      <c r="CG201" s="78"/>
      <c r="CH201" s="78"/>
      <c r="CI201" s="78"/>
      <c r="CJ201" s="78"/>
      <c r="CK201" s="78"/>
      <c r="CL201" s="78"/>
      <c r="CM201" s="78"/>
      <c r="CN201" s="78"/>
      <c r="CO201" s="78"/>
      <c r="CP201" s="78"/>
      <c r="CQ201" s="78"/>
      <c r="CR201" s="78"/>
      <c r="CS201" s="78"/>
      <c r="CT201" s="78"/>
      <c r="CU201" s="78"/>
      <c r="CV201" s="78"/>
      <c r="CW201" s="78"/>
      <c r="CX201" s="78"/>
      <c r="CY201" s="78"/>
      <c r="CZ201" s="78"/>
      <c r="DA201" s="78"/>
      <c r="DB201" s="78"/>
      <c r="DC201" s="78"/>
      <c r="DD201" s="78"/>
      <c r="DE201" s="78"/>
      <c r="DF201" s="78"/>
      <c r="DG201" s="78"/>
      <c r="DH201" s="78"/>
      <c r="DI201" s="78"/>
      <c r="DJ201" s="78"/>
      <c r="DK201" s="78"/>
      <c r="DL201" s="78"/>
      <c r="DM201" s="78"/>
      <c r="DN201" s="78"/>
      <c r="DO201" s="78"/>
      <c r="DP201" s="78"/>
      <c r="DQ201" s="78"/>
      <c r="DR201" s="78"/>
      <c r="DS201" s="78"/>
      <c r="DT201" s="78"/>
      <c r="DU201" s="78"/>
      <c r="DV201" s="78"/>
      <c r="DW201" s="78"/>
      <c r="DX201" s="78"/>
      <c r="DY201" s="78"/>
      <c r="DZ201" s="78"/>
      <c r="EA201" s="78"/>
      <c r="EB201" s="78"/>
      <c r="EC201" s="78"/>
      <c r="ED201" s="78"/>
      <c r="EE201" s="78"/>
      <c r="EF201" s="78"/>
      <c r="EG201" s="78"/>
      <c r="EH201" s="78"/>
      <c r="EI201" s="91"/>
      <c r="EJ201" s="91"/>
      <c r="EK201" s="91"/>
      <c r="EL201" s="91"/>
      <c r="EM201" s="91"/>
      <c r="EN201" s="91"/>
      <c r="EO201" s="91"/>
      <c r="EP201" s="78"/>
      <c r="EQ201" s="78"/>
      <c r="ER201" s="78"/>
      <c r="ES201" s="78"/>
      <c r="ET201" s="78"/>
      <c r="EU201" s="78"/>
      <c r="EV201" s="78"/>
      <c r="EW201" s="78"/>
      <c r="EX201" s="78"/>
      <c r="EY201" s="78"/>
      <c r="EZ201" s="78"/>
      <c r="FA201" s="78"/>
      <c r="FB201" s="78"/>
      <c r="FC201" s="78"/>
      <c r="FD201" s="78"/>
      <c r="FE201" s="78"/>
      <c r="FF201" s="78"/>
      <c r="FG201" s="78"/>
      <c r="FH201" s="78"/>
      <c r="FI201" s="78"/>
      <c r="FJ201" s="78"/>
      <c r="FK201" s="78"/>
    </row>
    <row r="202" spans="1:167" outlineLevel="1">
      <c r="A202" s="29" t="str">
        <f t="shared" si="22"/>
        <v>modesg_param_sfcs_taxon_europeiackmetamis</v>
      </c>
      <c r="B202" s="67" t="s">
        <v>26</v>
      </c>
      <c r="C202" s="68" t="s">
        <v>181</v>
      </c>
      <c r="D202" s="64" t="s">
        <v>40</v>
      </c>
      <c r="E202" s="66" t="s">
        <v>182</v>
      </c>
      <c r="F202" s="64" t="s">
        <v>185</v>
      </c>
      <c r="G202" s="64" t="e">
        <f>INDEX(Auxiliar!$B$16:$B$24,MATCH(Plano_V1!H202,Auxiliar!$C$16:$C$24,0),1)</f>
        <v>#N/A</v>
      </c>
      <c r="H202" s="64" t="e">
        <f>VLOOKUP(A202,'Aux - pivots1'!$A:$B,2,0)</f>
        <v>#N/A</v>
      </c>
      <c r="I202" s="84">
        <f>SUMIFS(Table1[Estimação (horas)],Table1[Tabela],Plano_V1!E202,Table1[Campo],Plano_V1!F202)</f>
        <v>0</v>
      </c>
      <c r="J202" s="84">
        <f t="shared" si="24"/>
        <v>0</v>
      </c>
      <c r="K202" s="89" t="s">
        <v>39</v>
      </c>
      <c r="L202" s="90">
        <f t="shared" si="21"/>
        <v>0</v>
      </c>
      <c r="M202" s="78"/>
      <c r="N202" s="78"/>
      <c r="O202" s="78"/>
      <c r="P202" s="78"/>
      <c r="Q202" s="78"/>
      <c r="R202" s="78"/>
      <c r="S202" s="78"/>
      <c r="T202" s="78"/>
      <c r="U202" s="78"/>
      <c r="V202" s="78"/>
      <c r="W202" s="78"/>
      <c r="X202" s="78"/>
      <c r="Y202" s="78"/>
      <c r="Z202" s="78"/>
      <c r="AA202" s="78"/>
      <c r="AB202" s="78"/>
      <c r="AC202" s="78"/>
      <c r="AD202" s="78"/>
      <c r="AE202" s="78"/>
      <c r="AF202" s="78"/>
      <c r="AG202" s="78"/>
      <c r="AH202" s="78"/>
      <c r="AI202" s="78"/>
      <c r="AJ202" s="78"/>
      <c r="AK202" s="78"/>
      <c r="AL202" s="78"/>
      <c r="AM202" s="78"/>
      <c r="AN202" s="78"/>
      <c r="AO202" s="78"/>
      <c r="AP202" s="78"/>
      <c r="AQ202" s="78"/>
      <c r="AR202" s="78"/>
      <c r="AS202" s="78"/>
      <c r="AT202" s="91"/>
      <c r="AU202" s="78"/>
      <c r="AV202" s="78"/>
      <c r="AW202" s="78"/>
      <c r="AX202" s="78"/>
      <c r="AY202" s="78"/>
      <c r="AZ202" s="78"/>
      <c r="BA202" s="78"/>
      <c r="BB202" s="78"/>
      <c r="BC202" s="78"/>
      <c r="BD202" s="78"/>
      <c r="BE202" s="78"/>
      <c r="BF202" s="78"/>
      <c r="BG202" s="78"/>
      <c r="BH202" s="78"/>
      <c r="BI202" s="78"/>
      <c r="BJ202" s="78"/>
      <c r="BK202" s="78"/>
      <c r="BL202" s="78"/>
      <c r="BM202" s="78"/>
      <c r="BN202" s="78"/>
      <c r="BO202" s="78"/>
      <c r="BP202" s="78"/>
      <c r="BQ202" s="78"/>
      <c r="BR202" s="78"/>
      <c r="BS202" s="78"/>
      <c r="BT202" s="78"/>
      <c r="BU202" s="78"/>
      <c r="BV202" s="78"/>
      <c r="BW202" s="78"/>
      <c r="BX202" s="78"/>
      <c r="BY202" s="78"/>
      <c r="BZ202" s="78"/>
      <c r="CA202" s="78"/>
      <c r="CB202" s="78"/>
      <c r="CC202" s="78"/>
      <c r="CD202" s="78"/>
      <c r="CE202" s="78"/>
      <c r="CF202" s="78"/>
      <c r="CG202" s="78"/>
      <c r="CH202" s="78"/>
      <c r="CI202" s="78"/>
      <c r="CJ202" s="78"/>
      <c r="CK202" s="78"/>
      <c r="CL202" s="78"/>
      <c r="CM202" s="78"/>
      <c r="CN202" s="78"/>
      <c r="CO202" s="78"/>
      <c r="CP202" s="78"/>
      <c r="CQ202" s="78"/>
      <c r="CR202" s="78"/>
      <c r="CS202" s="78"/>
      <c r="CT202" s="78"/>
      <c r="CU202" s="78"/>
      <c r="CV202" s="78"/>
      <c r="CW202" s="78"/>
      <c r="CX202" s="78"/>
      <c r="CY202" s="78"/>
      <c r="CZ202" s="78"/>
      <c r="DA202" s="78"/>
      <c r="DB202" s="78"/>
      <c r="DC202" s="78"/>
      <c r="DD202" s="78"/>
      <c r="DE202" s="78"/>
      <c r="DF202" s="78"/>
      <c r="DG202" s="78"/>
      <c r="DH202" s="78"/>
      <c r="DI202" s="78"/>
      <c r="DJ202" s="78"/>
      <c r="DK202" s="78"/>
      <c r="DL202" s="78"/>
      <c r="DM202" s="78"/>
      <c r="DN202" s="78"/>
      <c r="DO202" s="78"/>
      <c r="DP202" s="78"/>
      <c r="DQ202" s="78"/>
      <c r="DR202" s="78"/>
      <c r="DS202" s="78"/>
      <c r="DT202" s="78"/>
      <c r="DU202" s="78"/>
      <c r="DV202" s="78"/>
      <c r="DW202" s="78"/>
      <c r="DX202" s="78"/>
      <c r="DY202" s="78"/>
      <c r="DZ202" s="78"/>
      <c r="EA202" s="78"/>
      <c r="EB202" s="78"/>
      <c r="EC202" s="78"/>
      <c r="ED202" s="78"/>
      <c r="EE202" s="78"/>
      <c r="EF202" s="78"/>
      <c r="EG202" s="78"/>
      <c r="EH202" s="78"/>
      <c r="EI202" s="91"/>
      <c r="EJ202" s="91"/>
      <c r="EK202" s="91"/>
      <c r="EL202" s="91"/>
      <c r="EM202" s="91"/>
      <c r="EN202" s="91"/>
      <c r="EO202" s="91"/>
      <c r="EP202" s="78"/>
      <c r="EQ202" s="78"/>
      <c r="ER202" s="78"/>
      <c r="ES202" s="78"/>
      <c r="ET202" s="78"/>
      <c r="EU202" s="78"/>
      <c r="EV202" s="78"/>
      <c r="EW202" s="78"/>
      <c r="EX202" s="78"/>
      <c r="EY202" s="78"/>
      <c r="EZ202" s="78"/>
      <c r="FA202" s="78"/>
      <c r="FB202" s="78"/>
      <c r="FC202" s="78"/>
      <c r="FD202" s="78"/>
      <c r="FE202" s="78"/>
      <c r="FF202" s="78"/>
      <c r="FG202" s="78"/>
      <c r="FH202" s="78"/>
      <c r="FI202" s="78"/>
      <c r="FJ202" s="78"/>
      <c r="FK202" s="78"/>
    </row>
    <row r="203" spans="1:167" outlineLevel="1">
      <c r="A203" s="29" t="str">
        <f t="shared" si="22"/>
        <v>modesg_param_sfcs_taxon_europeiackprodmi</v>
      </c>
      <c r="B203" s="67" t="s">
        <v>26</v>
      </c>
      <c r="C203" s="68" t="s">
        <v>181</v>
      </c>
      <c r="D203" s="64" t="s">
        <v>40</v>
      </c>
      <c r="E203" s="66" t="s">
        <v>182</v>
      </c>
      <c r="F203" s="64" t="s">
        <v>186</v>
      </c>
      <c r="G203" s="64" t="e">
        <f>INDEX(Auxiliar!$B$16:$B$24,MATCH(Plano_V1!H203,Auxiliar!$C$16:$C$24,0),1)</f>
        <v>#N/A</v>
      </c>
      <c r="H203" s="64" t="e">
        <f>VLOOKUP(A203,'Aux - pivots1'!$A:$B,2,0)</f>
        <v>#N/A</v>
      </c>
      <c r="I203" s="84">
        <f>SUMIFS(Table1[Estimação (horas)],Table1[Tabela],Plano_V1!E203,Table1[Campo],Plano_V1!F203)</f>
        <v>0</v>
      </c>
      <c r="J203" s="84">
        <f t="shared" si="24"/>
        <v>0</v>
      </c>
      <c r="K203" s="89" t="s">
        <v>39</v>
      </c>
      <c r="L203" s="90">
        <f t="shared" si="21"/>
        <v>0</v>
      </c>
      <c r="M203" s="78"/>
      <c r="N203" s="78"/>
      <c r="O203" s="78"/>
      <c r="P203" s="78"/>
      <c r="Q203" s="78"/>
      <c r="R203" s="78"/>
      <c r="S203" s="78"/>
      <c r="T203" s="78"/>
      <c r="U203" s="78"/>
      <c r="V203" s="78"/>
      <c r="W203" s="78"/>
      <c r="X203" s="78"/>
      <c r="Y203" s="78"/>
      <c r="Z203" s="78"/>
      <c r="AA203" s="78"/>
      <c r="AB203" s="78"/>
      <c r="AC203" s="78"/>
      <c r="AD203" s="78"/>
      <c r="AE203" s="78"/>
      <c r="AF203" s="78"/>
      <c r="AG203" s="78"/>
      <c r="AH203" s="78"/>
      <c r="AI203" s="78"/>
      <c r="AJ203" s="78"/>
      <c r="AK203" s="78"/>
      <c r="AL203" s="78"/>
      <c r="AM203" s="78"/>
      <c r="AN203" s="78"/>
      <c r="AO203" s="78"/>
      <c r="AP203" s="78"/>
      <c r="AQ203" s="78"/>
      <c r="AR203" s="78"/>
      <c r="AS203" s="78"/>
      <c r="AT203" s="91"/>
      <c r="AU203" s="78"/>
      <c r="AV203" s="78"/>
      <c r="AW203" s="78"/>
      <c r="AX203" s="78"/>
      <c r="AY203" s="78"/>
      <c r="AZ203" s="78"/>
      <c r="BA203" s="78"/>
      <c r="BB203" s="78"/>
      <c r="BC203" s="78"/>
      <c r="BD203" s="78"/>
      <c r="BE203" s="78"/>
      <c r="BF203" s="78"/>
      <c r="BG203" s="78"/>
      <c r="BH203" s="78"/>
      <c r="BI203" s="78"/>
      <c r="BJ203" s="78"/>
      <c r="BK203" s="78"/>
      <c r="BL203" s="78"/>
      <c r="BM203" s="78"/>
      <c r="BN203" s="78"/>
      <c r="BO203" s="78"/>
      <c r="BP203" s="78"/>
      <c r="BQ203" s="78"/>
      <c r="BR203" s="78"/>
      <c r="BS203" s="78"/>
      <c r="BT203" s="78"/>
      <c r="BU203" s="78"/>
      <c r="BV203" s="78"/>
      <c r="BW203" s="78"/>
      <c r="BX203" s="78"/>
      <c r="BY203" s="78"/>
      <c r="BZ203" s="78"/>
      <c r="CA203" s="78"/>
      <c r="CB203" s="78"/>
      <c r="CC203" s="78"/>
      <c r="CD203" s="78"/>
      <c r="CE203" s="78"/>
      <c r="CF203" s="78"/>
      <c r="CG203" s="78"/>
      <c r="CH203" s="78"/>
      <c r="CI203" s="78"/>
      <c r="CJ203" s="78"/>
      <c r="CK203" s="78"/>
      <c r="CL203" s="78"/>
      <c r="CM203" s="78"/>
      <c r="CN203" s="78"/>
      <c r="CO203" s="78"/>
      <c r="CP203" s="78"/>
      <c r="CQ203" s="78"/>
      <c r="CR203" s="78"/>
      <c r="CS203" s="78"/>
      <c r="CT203" s="78"/>
      <c r="CU203" s="78"/>
      <c r="CV203" s="78"/>
      <c r="CW203" s="78"/>
      <c r="CX203" s="78"/>
      <c r="CY203" s="78"/>
      <c r="CZ203" s="78"/>
      <c r="DA203" s="78"/>
      <c r="DB203" s="78"/>
      <c r="DC203" s="78"/>
      <c r="DD203" s="78"/>
      <c r="DE203" s="78"/>
      <c r="DF203" s="78"/>
      <c r="DG203" s="78"/>
      <c r="DH203" s="78"/>
      <c r="DI203" s="78"/>
      <c r="DJ203" s="78"/>
      <c r="DK203" s="78"/>
      <c r="DL203" s="78"/>
      <c r="DM203" s="78"/>
      <c r="DN203" s="78"/>
      <c r="DO203" s="78"/>
      <c r="DP203" s="78"/>
      <c r="DQ203" s="78"/>
      <c r="DR203" s="78"/>
      <c r="DS203" s="78"/>
      <c r="DT203" s="78"/>
      <c r="DU203" s="78"/>
      <c r="DV203" s="78"/>
      <c r="DW203" s="78"/>
      <c r="DX203" s="78"/>
      <c r="DY203" s="78"/>
      <c r="DZ203" s="78"/>
      <c r="EA203" s="78"/>
      <c r="EB203" s="78"/>
      <c r="EC203" s="78"/>
      <c r="ED203" s="78"/>
      <c r="EE203" s="78"/>
      <c r="EF203" s="78"/>
      <c r="EG203" s="78"/>
      <c r="EH203" s="78"/>
      <c r="EI203" s="91"/>
      <c r="EJ203" s="91"/>
      <c r="EK203" s="91"/>
      <c r="EL203" s="91"/>
      <c r="EM203" s="91"/>
      <c r="EN203" s="91"/>
      <c r="EO203" s="91"/>
      <c r="EP203" s="78"/>
      <c r="EQ203" s="78"/>
      <c r="ER203" s="78"/>
      <c r="ES203" s="78"/>
      <c r="ET203" s="78"/>
      <c r="EU203" s="78"/>
      <c r="EV203" s="78"/>
      <c r="EW203" s="78"/>
      <c r="EX203" s="78"/>
      <c r="EY203" s="78"/>
      <c r="EZ203" s="78"/>
      <c r="FA203" s="78"/>
      <c r="FB203" s="78"/>
      <c r="FC203" s="78"/>
      <c r="FD203" s="78"/>
      <c r="FE203" s="78"/>
      <c r="FF203" s="78"/>
      <c r="FG203" s="78"/>
      <c r="FH203" s="78"/>
      <c r="FI203" s="78"/>
      <c r="FJ203" s="78"/>
      <c r="FK203" s="78"/>
    </row>
    <row r="204" spans="1:167" outlineLevel="1">
      <c r="A204" s="29" t="str">
        <f t="shared" si="22"/>
        <v>modesg_param_sfcs_taxon_europeiacmetanseg</v>
      </c>
      <c r="B204" s="67" t="s">
        <v>26</v>
      </c>
      <c r="C204" s="68" t="s">
        <v>181</v>
      </c>
      <c r="D204" s="64" t="s">
        <v>40</v>
      </c>
      <c r="E204" s="66" t="s">
        <v>182</v>
      </c>
      <c r="F204" s="64" t="s">
        <v>187</v>
      </c>
      <c r="G204" s="64" t="e">
        <f>INDEX(Auxiliar!$B$16:$B$24,MATCH(Plano_V1!H204,Auxiliar!$C$16:$C$24,0),1)</f>
        <v>#N/A</v>
      </c>
      <c r="H204" s="64" t="e">
        <f>VLOOKUP(A204,'Aux - pivots1'!$A:$B,2,0)</f>
        <v>#N/A</v>
      </c>
      <c r="I204" s="84">
        <f>SUMIFS(Table1[Estimação (horas)],Table1[Tabela],Plano_V1!E204,Table1[Campo],Plano_V1!F204)</f>
        <v>0</v>
      </c>
      <c r="J204" s="84">
        <f t="shared" si="24"/>
        <v>0</v>
      </c>
      <c r="K204" s="89" t="s">
        <v>39</v>
      </c>
      <c r="L204" s="90">
        <f t="shared" si="21"/>
        <v>0</v>
      </c>
      <c r="M204" s="78"/>
      <c r="N204" s="78"/>
      <c r="O204" s="78"/>
      <c r="P204" s="78"/>
      <c r="Q204" s="78"/>
      <c r="R204" s="78"/>
      <c r="S204" s="78"/>
      <c r="T204" s="78"/>
      <c r="U204" s="78"/>
      <c r="V204" s="78"/>
      <c r="W204" s="78"/>
      <c r="X204" s="78"/>
      <c r="Y204" s="78"/>
      <c r="Z204" s="78"/>
      <c r="AA204" s="78"/>
      <c r="AB204" s="78"/>
      <c r="AC204" s="78"/>
      <c r="AD204" s="78"/>
      <c r="AE204" s="78"/>
      <c r="AF204" s="78"/>
      <c r="AG204" s="78"/>
      <c r="AH204" s="78"/>
      <c r="AI204" s="78"/>
      <c r="AJ204" s="78"/>
      <c r="AK204" s="78"/>
      <c r="AL204" s="78"/>
      <c r="AM204" s="78"/>
      <c r="AN204" s="78"/>
      <c r="AO204" s="78"/>
      <c r="AP204" s="78"/>
      <c r="AQ204" s="78"/>
      <c r="AR204" s="78"/>
      <c r="AS204" s="78"/>
      <c r="AT204" s="91"/>
      <c r="AU204" s="78"/>
      <c r="AV204" s="78"/>
      <c r="AW204" s="78"/>
      <c r="AX204" s="78"/>
      <c r="AY204" s="78"/>
      <c r="AZ204" s="78"/>
      <c r="BA204" s="78"/>
      <c r="BB204" s="78"/>
      <c r="BC204" s="78"/>
      <c r="BD204" s="78"/>
      <c r="BE204" s="78"/>
      <c r="BF204" s="78"/>
      <c r="BG204" s="78"/>
      <c r="BH204" s="78"/>
      <c r="BI204" s="78"/>
      <c r="BJ204" s="78"/>
      <c r="BK204" s="78"/>
      <c r="BL204" s="78"/>
      <c r="BM204" s="78"/>
      <c r="BN204" s="78"/>
      <c r="BO204" s="78"/>
      <c r="BP204" s="78"/>
      <c r="BQ204" s="78"/>
      <c r="BR204" s="78"/>
      <c r="BS204" s="78"/>
      <c r="BT204" s="78"/>
      <c r="BU204" s="78"/>
      <c r="BV204" s="78"/>
      <c r="BW204" s="78"/>
      <c r="BX204" s="78"/>
      <c r="BY204" s="78"/>
      <c r="BZ204" s="78"/>
      <c r="CA204" s="78"/>
      <c r="CB204" s="78"/>
      <c r="CC204" s="78"/>
      <c r="CD204" s="78"/>
      <c r="CE204" s="78"/>
      <c r="CF204" s="78"/>
      <c r="CG204" s="78"/>
      <c r="CH204" s="78"/>
      <c r="CI204" s="78"/>
      <c r="CJ204" s="78"/>
      <c r="CK204" s="78"/>
      <c r="CL204" s="78"/>
      <c r="CM204" s="78"/>
      <c r="CN204" s="78"/>
      <c r="CO204" s="78"/>
      <c r="CP204" s="78"/>
      <c r="CQ204" s="78"/>
      <c r="CR204" s="78"/>
      <c r="CS204" s="78"/>
      <c r="CT204" s="78"/>
      <c r="CU204" s="78"/>
      <c r="CV204" s="78"/>
      <c r="CW204" s="78"/>
      <c r="CX204" s="78"/>
      <c r="CY204" s="78"/>
      <c r="CZ204" s="78"/>
      <c r="DA204" s="78"/>
      <c r="DB204" s="78"/>
      <c r="DC204" s="78"/>
      <c r="DD204" s="78"/>
      <c r="DE204" s="78"/>
      <c r="DF204" s="78"/>
      <c r="DG204" s="78"/>
      <c r="DH204" s="78"/>
      <c r="DI204" s="78"/>
      <c r="DJ204" s="78"/>
      <c r="DK204" s="78"/>
      <c r="DL204" s="78"/>
      <c r="DM204" s="78"/>
      <c r="DN204" s="78"/>
      <c r="DO204" s="78"/>
      <c r="DP204" s="78"/>
      <c r="DQ204" s="78"/>
      <c r="DR204" s="78"/>
      <c r="DS204" s="78"/>
      <c r="DT204" s="78"/>
      <c r="DU204" s="78"/>
      <c r="DV204" s="78"/>
      <c r="DW204" s="78"/>
      <c r="DX204" s="78"/>
      <c r="DY204" s="78"/>
      <c r="DZ204" s="78"/>
      <c r="EA204" s="78"/>
      <c r="EB204" s="78"/>
      <c r="EC204" s="78"/>
      <c r="ED204" s="78"/>
      <c r="EE204" s="78"/>
      <c r="EF204" s="78"/>
      <c r="EG204" s="78"/>
      <c r="EH204" s="78"/>
      <c r="EI204" s="91"/>
      <c r="EJ204" s="91"/>
      <c r="EK204" s="91"/>
      <c r="EL204" s="91"/>
      <c r="EM204" s="91"/>
      <c r="EN204" s="91"/>
      <c r="EO204" s="91"/>
      <c r="EP204" s="78"/>
      <c r="EQ204" s="78"/>
      <c r="ER204" s="78"/>
      <c r="ES204" s="78"/>
      <c r="ET204" s="78"/>
      <c r="EU204" s="78"/>
      <c r="EV204" s="78"/>
      <c r="EW204" s="78"/>
      <c r="EX204" s="78"/>
      <c r="EY204" s="78"/>
      <c r="EZ204" s="78"/>
      <c r="FA204" s="78"/>
      <c r="FB204" s="78"/>
      <c r="FC204" s="78"/>
      <c r="FD204" s="78"/>
      <c r="FE204" s="78"/>
      <c r="FF204" s="78"/>
      <c r="FG204" s="78"/>
      <c r="FH204" s="78"/>
      <c r="FI204" s="78"/>
      <c r="FJ204" s="78"/>
      <c r="FK204" s="78"/>
    </row>
    <row r="205" spans="1:167" outlineLevel="1">
      <c r="A205" s="29" t="str">
        <f t="shared" si="22"/>
        <v>modesg_param_sfcs_taxon_europeiacnsm_co2</v>
      </c>
      <c r="B205" s="67" t="s">
        <v>26</v>
      </c>
      <c r="C205" s="68" t="s">
        <v>181</v>
      </c>
      <c r="D205" s="64" t="s">
        <v>40</v>
      </c>
      <c r="E205" s="66" t="s">
        <v>182</v>
      </c>
      <c r="F205" s="64" t="s">
        <v>188</v>
      </c>
      <c r="G205" s="64" t="e">
        <f>INDEX(Auxiliar!$B$16:$B$24,MATCH(Plano_V1!H205,Auxiliar!$C$16:$C$24,0),1)</f>
        <v>#N/A</v>
      </c>
      <c r="H205" s="64" t="e">
        <f>VLOOKUP(A205,'Aux - pivots1'!$A:$B,2,0)</f>
        <v>#N/A</v>
      </c>
      <c r="I205" s="84">
        <f>SUMIFS(Table1[Estimação (horas)],Table1[Tabela],Plano_V1!E205,Table1[Campo],Plano_V1!F205)</f>
        <v>0</v>
      </c>
      <c r="J205" s="84">
        <f t="shared" si="24"/>
        <v>0</v>
      </c>
      <c r="K205" s="89" t="s">
        <v>39</v>
      </c>
      <c r="L205" s="90">
        <f t="shared" si="21"/>
        <v>0</v>
      </c>
      <c r="M205" s="78"/>
      <c r="N205" s="78"/>
      <c r="O205" s="78"/>
      <c r="P205" s="78"/>
      <c r="Q205" s="78"/>
      <c r="R205" s="78"/>
      <c r="S205" s="78"/>
      <c r="T205" s="78"/>
      <c r="U205" s="78"/>
      <c r="V205" s="78"/>
      <c r="W205" s="78"/>
      <c r="X205" s="78"/>
      <c r="Y205" s="78"/>
      <c r="Z205" s="78"/>
      <c r="AA205" s="78"/>
      <c r="AB205" s="78"/>
      <c r="AC205" s="78"/>
      <c r="AD205" s="78"/>
      <c r="AE205" s="78"/>
      <c r="AF205" s="78"/>
      <c r="AG205" s="78"/>
      <c r="AH205" s="78"/>
      <c r="AI205" s="78"/>
      <c r="AJ205" s="78"/>
      <c r="AK205" s="78"/>
      <c r="AL205" s="78"/>
      <c r="AM205" s="78"/>
      <c r="AN205" s="78"/>
      <c r="AO205" s="78"/>
      <c r="AP205" s="78"/>
      <c r="AQ205" s="78"/>
      <c r="AR205" s="78"/>
      <c r="AS205" s="78"/>
      <c r="AT205" s="91"/>
      <c r="AU205" s="78"/>
      <c r="AV205" s="78"/>
      <c r="AW205" s="78"/>
      <c r="AX205" s="78"/>
      <c r="AY205" s="78"/>
      <c r="AZ205" s="78"/>
      <c r="BA205" s="78"/>
      <c r="BB205" s="78"/>
      <c r="BC205" s="78"/>
      <c r="BD205" s="78"/>
      <c r="BE205" s="78"/>
      <c r="BF205" s="78"/>
      <c r="BG205" s="78"/>
      <c r="BH205" s="78"/>
      <c r="BI205" s="78"/>
      <c r="BJ205" s="78"/>
      <c r="BK205" s="78"/>
      <c r="BL205" s="78"/>
      <c r="BM205" s="78"/>
      <c r="BN205" s="78"/>
      <c r="BO205" s="78"/>
      <c r="BP205" s="78"/>
      <c r="BQ205" s="78"/>
      <c r="BR205" s="78"/>
      <c r="BS205" s="78"/>
      <c r="BT205" s="78"/>
      <c r="BU205" s="78"/>
      <c r="BV205" s="78"/>
      <c r="BW205" s="78"/>
      <c r="BX205" s="78"/>
      <c r="BY205" s="78"/>
      <c r="BZ205" s="78"/>
      <c r="CA205" s="78"/>
      <c r="CB205" s="78"/>
      <c r="CC205" s="78"/>
      <c r="CD205" s="78"/>
      <c r="CE205" s="78"/>
      <c r="CF205" s="78"/>
      <c r="CG205" s="78"/>
      <c r="CH205" s="78"/>
      <c r="CI205" s="78"/>
      <c r="CJ205" s="78"/>
      <c r="CK205" s="78"/>
      <c r="CL205" s="78"/>
      <c r="CM205" s="78"/>
      <c r="CN205" s="78"/>
      <c r="CO205" s="78"/>
      <c r="CP205" s="78"/>
      <c r="CQ205" s="78"/>
      <c r="CR205" s="78"/>
      <c r="CS205" s="78"/>
      <c r="CT205" s="78"/>
      <c r="CU205" s="78"/>
      <c r="CV205" s="78"/>
      <c r="CW205" s="78"/>
      <c r="CX205" s="78"/>
      <c r="CY205" s="78"/>
      <c r="CZ205" s="78"/>
      <c r="DA205" s="78"/>
      <c r="DB205" s="78"/>
      <c r="DC205" s="78"/>
      <c r="DD205" s="78"/>
      <c r="DE205" s="78"/>
      <c r="DF205" s="78"/>
      <c r="DG205" s="78"/>
      <c r="DH205" s="78"/>
      <c r="DI205" s="78"/>
      <c r="DJ205" s="78"/>
      <c r="DK205" s="78"/>
      <c r="DL205" s="78"/>
      <c r="DM205" s="78"/>
      <c r="DN205" s="78"/>
      <c r="DO205" s="78"/>
      <c r="DP205" s="78"/>
      <c r="DQ205" s="78"/>
      <c r="DR205" s="78"/>
      <c r="DS205" s="78"/>
      <c r="DT205" s="78"/>
      <c r="DU205" s="78"/>
      <c r="DV205" s="78"/>
      <c r="DW205" s="78"/>
      <c r="DX205" s="78"/>
      <c r="DY205" s="78"/>
      <c r="DZ205" s="78"/>
      <c r="EA205" s="78"/>
      <c r="EB205" s="78"/>
      <c r="EC205" s="78"/>
      <c r="ED205" s="78"/>
      <c r="EE205" s="78"/>
      <c r="EF205" s="78"/>
      <c r="EG205" s="78"/>
      <c r="EH205" s="78"/>
      <c r="EI205" s="91"/>
      <c r="EJ205" s="91"/>
      <c r="EK205" s="91"/>
      <c r="EL205" s="91"/>
      <c r="EM205" s="91"/>
      <c r="EN205" s="91"/>
      <c r="EO205" s="91"/>
      <c r="EP205" s="78"/>
      <c r="EQ205" s="78"/>
      <c r="ER205" s="78"/>
      <c r="ES205" s="78"/>
      <c r="ET205" s="78"/>
      <c r="EU205" s="78"/>
      <c r="EV205" s="78"/>
      <c r="EW205" s="78"/>
      <c r="EX205" s="78"/>
      <c r="EY205" s="78"/>
      <c r="EZ205" s="78"/>
      <c r="FA205" s="78"/>
      <c r="FB205" s="78"/>
      <c r="FC205" s="78"/>
      <c r="FD205" s="78"/>
      <c r="FE205" s="78"/>
      <c r="FF205" s="78"/>
      <c r="FG205" s="78"/>
      <c r="FH205" s="78"/>
      <c r="FI205" s="78"/>
      <c r="FJ205" s="78"/>
      <c r="FK205" s="78"/>
    </row>
    <row r="206" spans="1:167" outlineLevel="1">
      <c r="A206" s="29" t="str">
        <f t="shared" si="22"/>
        <v>modesg_param_sfcs_taxon_europeiacnumecta</v>
      </c>
      <c r="B206" s="67" t="s">
        <v>26</v>
      </c>
      <c r="C206" s="68" t="s">
        <v>181</v>
      </c>
      <c r="D206" s="64" t="s">
        <v>40</v>
      </c>
      <c r="E206" s="66" t="s">
        <v>182</v>
      </c>
      <c r="F206" s="64" t="s">
        <v>189</v>
      </c>
      <c r="G206" s="64" t="e">
        <f>INDEX(Auxiliar!$B$16:$B$24,MATCH(Plano_V1!H206,Auxiliar!$C$16:$C$24,0),1)</f>
        <v>#N/A</v>
      </c>
      <c r="H206" s="64" t="e">
        <f>VLOOKUP(A206,'Aux - pivots1'!$A:$B,2,0)</f>
        <v>#N/A</v>
      </c>
      <c r="I206" s="84">
        <f>SUMIFS(Table1[Estimação (horas)],Table1[Tabela],Plano_V1!E206,Table1[Campo],Plano_V1!F206)</f>
        <v>0</v>
      </c>
      <c r="J206" s="84">
        <f t="shared" si="24"/>
        <v>0</v>
      </c>
      <c r="K206" s="89" t="s">
        <v>39</v>
      </c>
      <c r="L206" s="90">
        <f t="shared" si="21"/>
        <v>0</v>
      </c>
      <c r="M206" s="78"/>
      <c r="N206" s="78"/>
      <c r="O206" s="78"/>
      <c r="P206" s="78"/>
      <c r="Q206" s="78"/>
      <c r="R206" s="78"/>
      <c r="S206" s="78"/>
      <c r="T206" s="78"/>
      <c r="U206" s="78"/>
      <c r="V206" s="78"/>
      <c r="W206" s="78"/>
      <c r="X206" s="78"/>
      <c r="Y206" s="78"/>
      <c r="Z206" s="78"/>
      <c r="AA206" s="78"/>
      <c r="AB206" s="78"/>
      <c r="AC206" s="78"/>
      <c r="AD206" s="78"/>
      <c r="AE206" s="78"/>
      <c r="AF206" s="78"/>
      <c r="AG206" s="78"/>
      <c r="AH206" s="78"/>
      <c r="AI206" s="78"/>
      <c r="AJ206" s="78"/>
      <c r="AK206" s="78"/>
      <c r="AL206" s="78"/>
      <c r="AM206" s="78"/>
      <c r="AN206" s="78"/>
      <c r="AO206" s="78"/>
      <c r="AP206" s="78"/>
      <c r="AQ206" s="78"/>
      <c r="AR206" s="78"/>
      <c r="AS206" s="78"/>
      <c r="AT206" s="91"/>
      <c r="AU206" s="78"/>
      <c r="AV206" s="78"/>
      <c r="AW206" s="78"/>
      <c r="AX206" s="78"/>
      <c r="AY206" s="78"/>
      <c r="AZ206" s="78"/>
      <c r="BA206" s="78"/>
      <c r="BB206" s="78"/>
      <c r="BC206" s="78"/>
      <c r="BD206" s="78"/>
      <c r="BE206" s="78"/>
      <c r="BF206" s="78"/>
      <c r="BG206" s="78"/>
      <c r="BH206" s="78"/>
      <c r="BI206" s="78"/>
      <c r="BJ206" s="78"/>
      <c r="BK206" s="78"/>
      <c r="BL206" s="78"/>
      <c r="BM206" s="78"/>
      <c r="BN206" s="78"/>
      <c r="BO206" s="78"/>
      <c r="BP206" s="78"/>
      <c r="BQ206" s="78"/>
      <c r="BR206" s="78"/>
      <c r="BS206" s="78"/>
      <c r="BT206" s="78"/>
      <c r="BU206" s="78"/>
      <c r="BV206" s="78"/>
      <c r="BW206" s="78"/>
      <c r="BX206" s="78"/>
      <c r="BY206" s="78"/>
      <c r="BZ206" s="78"/>
      <c r="CA206" s="78"/>
      <c r="CB206" s="78"/>
      <c r="CC206" s="78"/>
      <c r="CD206" s="78"/>
      <c r="CE206" s="78"/>
      <c r="CF206" s="78"/>
      <c r="CG206" s="78"/>
      <c r="CH206" s="78"/>
      <c r="CI206" s="78"/>
      <c r="CJ206" s="78"/>
      <c r="CK206" s="78"/>
      <c r="CL206" s="78"/>
      <c r="CM206" s="78"/>
      <c r="CN206" s="78"/>
      <c r="CO206" s="78"/>
      <c r="CP206" s="78"/>
      <c r="CQ206" s="78"/>
      <c r="CR206" s="78"/>
      <c r="CS206" s="78"/>
      <c r="CT206" s="78"/>
      <c r="CU206" s="78"/>
      <c r="CV206" s="78"/>
      <c r="CW206" s="78"/>
      <c r="CX206" s="78"/>
      <c r="CY206" s="78"/>
      <c r="CZ206" s="78"/>
      <c r="DA206" s="78"/>
      <c r="DB206" s="78"/>
      <c r="DC206" s="78"/>
      <c r="DD206" s="78"/>
      <c r="DE206" s="78"/>
      <c r="DF206" s="78"/>
      <c r="DG206" s="78"/>
      <c r="DH206" s="78"/>
      <c r="DI206" s="78"/>
      <c r="DJ206" s="78"/>
      <c r="DK206" s="78"/>
      <c r="DL206" s="78"/>
      <c r="DM206" s="78"/>
      <c r="DN206" s="78"/>
      <c r="DO206" s="78"/>
      <c r="DP206" s="78"/>
      <c r="DQ206" s="78"/>
      <c r="DR206" s="78"/>
      <c r="DS206" s="78"/>
      <c r="DT206" s="78"/>
      <c r="DU206" s="78"/>
      <c r="DV206" s="78"/>
      <c r="DW206" s="78"/>
      <c r="DX206" s="78"/>
      <c r="DY206" s="78"/>
      <c r="DZ206" s="78"/>
      <c r="EA206" s="78"/>
      <c r="EB206" s="78"/>
      <c r="EC206" s="78"/>
      <c r="ED206" s="78"/>
      <c r="EE206" s="78"/>
      <c r="EF206" s="78"/>
      <c r="EG206" s="78"/>
      <c r="EH206" s="78"/>
      <c r="EI206" s="91"/>
      <c r="EJ206" s="91"/>
      <c r="EK206" s="91"/>
      <c r="EL206" s="91"/>
      <c r="EM206" s="91"/>
      <c r="EN206" s="91"/>
      <c r="EO206" s="91"/>
      <c r="EP206" s="78"/>
      <c r="EQ206" s="78"/>
      <c r="ER206" s="78"/>
      <c r="ES206" s="78"/>
      <c r="ET206" s="78"/>
      <c r="EU206" s="78"/>
      <c r="EV206" s="78"/>
      <c r="EW206" s="78"/>
      <c r="EX206" s="78"/>
      <c r="EY206" s="78"/>
      <c r="EZ206" s="78"/>
      <c r="FA206" s="78"/>
      <c r="FB206" s="78"/>
      <c r="FC206" s="78"/>
      <c r="FD206" s="78"/>
      <c r="FE206" s="78"/>
      <c r="FF206" s="78"/>
      <c r="FG206" s="78"/>
      <c r="FH206" s="78"/>
      <c r="FI206" s="78"/>
      <c r="FJ206" s="78"/>
      <c r="FK206" s="78"/>
    </row>
    <row r="207" spans="1:167" outlineLevel="1">
      <c r="A207" s="29" t="str">
        <f t="shared" si="22"/>
        <v>modesg_param_sfcs_taxon_europeiacod_lease</v>
      </c>
      <c r="B207" s="67" t="s">
        <v>26</v>
      </c>
      <c r="C207" s="68" t="s">
        <v>181</v>
      </c>
      <c r="D207" s="64" t="s">
        <v>40</v>
      </c>
      <c r="E207" s="66" t="s">
        <v>182</v>
      </c>
      <c r="F207" s="64" t="s">
        <v>190</v>
      </c>
      <c r="G207" s="64" t="e">
        <f>INDEX(Auxiliar!$B$16:$B$24,MATCH(Plano_V1!H207,Auxiliar!$C$16:$C$24,0),1)</f>
        <v>#N/A</v>
      </c>
      <c r="H207" s="64" t="e">
        <f>VLOOKUP(A207,'Aux - pivots1'!$A:$B,2,0)</f>
        <v>#N/A</v>
      </c>
      <c r="I207" s="84">
        <f>SUMIFS(Table1[Estimação (horas)],Table1[Tabela],Plano_V1!E207,Table1[Campo],Plano_V1!F207)</f>
        <v>0</v>
      </c>
      <c r="J207" s="84">
        <f t="shared" si="24"/>
        <v>0</v>
      </c>
      <c r="K207" s="89" t="s">
        <v>39</v>
      </c>
      <c r="L207" s="90">
        <f t="shared" si="21"/>
        <v>0</v>
      </c>
      <c r="M207" s="78"/>
      <c r="N207" s="78"/>
      <c r="O207" s="78"/>
      <c r="P207" s="78"/>
      <c r="Q207" s="78"/>
      <c r="R207" s="78"/>
      <c r="S207" s="78"/>
      <c r="T207" s="78"/>
      <c r="U207" s="78"/>
      <c r="V207" s="78"/>
      <c r="W207" s="78"/>
      <c r="X207" s="78"/>
      <c r="Y207" s="78"/>
      <c r="Z207" s="78"/>
      <c r="AA207" s="78"/>
      <c r="AB207" s="78"/>
      <c r="AC207" s="78"/>
      <c r="AD207" s="78"/>
      <c r="AE207" s="78"/>
      <c r="AF207" s="78"/>
      <c r="AG207" s="78"/>
      <c r="AH207" s="78"/>
      <c r="AI207" s="78"/>
      <c r="AJ207" s="78"/>
      <c r="AK207" s="78"/>
      <c r="AL207" s="78"/>
      <c r="AM207" s="78"/>
      <c r="AN207" s="78"/>
      <c r="AO207" s="78"/>
      <c r="AP207" s="78"/>
      <c r="AQ207" s="78"/>
      <c r="AR207" s="78"/>
      <c r="AS207" s="78"/>
      <c r="AT207" s="91"/>
      <c r="AU207" s="78"/>
      <c r="AV207" s="78"/>
      <c r="AW207" s="78"/>
      <c r="AX207" s="78"/>
      <c r="AY207" s="78"/>
      <c r="AZ207" s="78"/>
      <c r="BA207" s="78"/>
      <c r="BB207" s="78"/>
      <c r="BC207" s="78"/>
      <c r="BD207" s="78"/>
      <c r="BE207" s="78"/>
      <c r="BF207" s="78"/>
      <c r="BG207" s="78"/>
      <c r="BH207" s="78"/>
      <c r="BI207" s="78"/>
      <c r="BJ207" s="78"/>
      <c r="BK207" s="78"/>
      <c r="BL207" s="78"/>
      <c r="BM207" s="78"/>
      <c r="BN207" s="78"/>
      <c r="BO207" s="78"/>
      <c r="BP207" s="78"/>
      <c r="BQ207" s="78"/>
      <c r="BR207" s="78"/>
      <c r="BS207" s="78"/>
      <c r="BT207" s="78"/>
      <c r="BU207" s="78"/>
      <c r="BV207" s="78"/>
      <c r="BW207" s="78"/>
      <c r="BX207" s="78"/>
      <c r="BY207" s="78"/>
      <c r="BZ207" s="78"/>
      <c r="CA207" s="78"/>
      <c r="CB207" s="78"/>
      <c r="CC207" s="78"/>
      <c r="CD207" s="78"/>
      <c r="CE207" s="78"/>
      <c r="CF207" s="78"/>
      <c r="CG207" s="78"/>
      <c r="CH207" s="78"/>
      <c r="CI207" s="78"/>
      <c r="CJ207" s="78"/>
      <c r="CK207" s="78"/>
      <c r="CL207" s="78"/>
      <c r="CM207" s="78"/>
      <c r="CN207" s="78"/>
      <c r="CO207" s="78"/>
      <c r="CP207" s="78"/>
      <c r="CQ207" s="78"/>
      <c r="CR207" s="78"/>
      <c r="CS207" s="78"/>
      <c r="CT207" s="78"/>
      <c r="CU207" s="78"/>
      <c r="CV207" s="78"/>
      <c r="CW207" s="78"/>
      <c r="CX207" s="78"/>
      <c r="CY207" s="78"/>
      <c r="CZ207" s="78"/>
      <c r="DA207" s="78"/>
      <c r="DB207" s="78"/>
      <c r="DC207" s="78"/>
      <c r="DD207" s="78"/>
      <c r="DE207" s="78"/>
      <c r="DF207" s="78"/>
      <c r="DG207" s="78"/>
      <c r="DH207" s="78"/>
      <c r="DI207" s="78"/>
      <c r="DJ207" s="78"/>
      <c r="DK207" s="78"/>
      <c r="DL207" s="78"/>
      <c r="DM207" s="78"/>
      <c r="DN207" s="78"/>
      <c r="DO207" s="78"/>
      <c r="DP207" s="78"/>
      <c r="DQ207" s="78"/>
      <c r="DR207" s="78"/>
      <c r="DS207" s="78"/>
      <c r="DT207" s="78"/>
      <c r="DU207" s="78"/>
      <c r="DV207" s="78"/>
      <c r="DW207" s="78"/>
      <c r="DX207" s="78"/>
      <c r="DY207" s="78"/>
      <c r="DZ207" s="78"/>
      <c r="EA207" s="78"/>
      <c r="EB207" s="78"/>
      <c r="EC207" s="78"/>
      <c r="ED207" s="78"/>
      <c r="EE207" s="78"/>
      <c r="EF207" s="78"/>
      <c r="EG207" s="78"/>
      <c r="EH207" s="78"/>
      <c r="EI207" s="91"/>
      <c r="EJ207" s="91"/>
      <c r="EK207" s="91"/>
      <c r="EL207" s="91"/>
      <c r="EM207" s="91"/>
      <c r="EN207" s="91"/>
      <c r="EO207" s="91"/>
      <c r="EP207" s="78"/>
      <c r="EQ207" s="78"/>
      <c r="ER207" s="78"/>
      <c r="ES207" s="78"/>
      <c r="ET207" s="78"/>
      <c r="EU207" s="78"/>
      <c r="EV207" s="78"/>
      <c r="EW207" s="78"/>
      <c r="EX207" s="78"/>
      <c r="EY207" s="78"/>
      <c r="EZ207" s="78"/>
      <c r="FA207" s="78"/>
      <c r="FB207" s="78"/>
      <c r="FC207" s="78"/>
      <c r="FD207" s="78"/>
      <c r="FE207" s="78"/>
      <c r="FF207" s="78"/>
      <c r="FG207" s="78"/>
      <c r="FH207" s="78"/>
      <c r="FI207" s="78"/>
      <c r="FJ207" s="78"/>
      <c r="FK207" s="78"/>
    </row>
    <row r="208" spans="1:167" outlineLevel="1">
      <c r="A208" s="29" t="str">
        <f t="shared" si="22"/>
        <v>modesg_param_sfcs_taxon_europeiacod_regra</v>
      </c>
      <c r="B208" s="67" t="s">
        <v>26</v>
      </c>
      <c r="C208" s="68" t="s">
        <v>181</v>
      </c>
      <c r="D208" s="64" t="s">
        <v>40</v>
      </c>
      <c r="E208" s="66" t="s">
        <v>182</v>
      </c>
      <c r="F208" s="64" t="s">
        <v>191</v>
      </c>
      <c r="G208" s="64" t="e">
        <f>INDEX(Auxiliar!$B$16:$B$24,MATCH(Plano_V1!H208,Auxiliar!$C$16:$C$24,0),1)</f>
        <v>#N/A</v>
      </c>
      <c r="H208" s="64" t="e">
        <f>VLOOKUP(A208,'Aux - pivots1'!$A:$B,2,0)</f>
        <v>#N/A</v>
      </c>
      <c r="I208" s="84">
        <f>SUMIFS(Table1[Estimação (horas)],Table1[Tabela],Plano_V1!E208,Table1[Campo],Plano_V1!F208)</f>
        <v>0</v>
      </c>
      <c r="J208" s="84">
        <f t="shared" si="24"/>
        <v>0</v>
      </c>
      <c r="K208" s="89" t="s">
        <v>39</v>
      </c>
      <c r="L208" s="90">
        <f t="shared" si="21"/>
        <v>0</v>
      </c>
      <c r="M208" s="78"/>
      <c r="N208" s="78"/>
      <c r="O208" s="78"/>
      <c r="P208" s="78"/>
      <c r="Q208" s="78"/>
      <c r="R208" s="78"/>
      <c r="S208" s="78"/>
      <c r="T208" s="78"/>
      <c r="U208" s="78"/>
      <c r="V208" s="78"/>
      <c r="W208" s="78"/>
      <c r="X208" s="78"/>
      <c r="Y208" s="78"/>
      <c r="Z208" s="78"/>
      <c r="AA208" s="78"/>
      <c r="AB208" s="78"/>
      <c r="AC208" s="78"/>
      <c r="AD208" s="78"/>
      <c r="AE208" s="78"/>
      <c r="AF208" s="78"/>
      <c r="AG208" s="78"/>
      <c r="AH208" s="78"/>
      <c r="AI208" s="78"/>
      <c r="AJ208" s="78"/>
      <c r="AK208" s="78"/>
      <c r="AL208" s="78"/>
      <c r="AM208" s="78"/>
      <c r="AN208" s="78"/>
      <c r="AO208" s="78"/>
      <c r="AP208" s="78"/>
      <c r="AQ208" s="78"/>
      <c r="AR208" s="78"/>
      <c r="AS208" s="78"/>
      <c r="AT208" s="91"/>
      <c r="AU208" s="78"/>
      <c r="AV208" s="78"/>
      <c r="AW208" s="78"/>
      <c r="AX208" s="78"/>
      <c r="AY208" s="78"/>
      <c r="AZ208" s="78"/>
      <c r="BA208" s="78"/>
      <c r="BB208" s="78"/>
      <c r="BC208" s="78"/>
      <c r="BD208" s="78"/>
      <c r="BE208" s="78"/>
      <c r="BF208" s="78"/>
      <c r="BG208" s="78"/>
      <c r="BH208" s="78"/>
      <c r="BI208" s="78"/>
      <c r="BJ208" s="78"/>
      <c r="BK208" s="78"/>
      <c r="BL208" s="78"/>
      <c r="BM208" s="78"/>
      <c r="BN208" s="78"/>
      <c r="BO208" s="78"/>
      <c r="BP208" s="78"/>
      <c r="BQ208" s="78"/>
      <c r="BR208" s="78"/>
      <c r="BS208" s="78"/>
      <c r="BT208" s="78"/>
      <c r="BU208" s="78"/>
      <c r="BV208" s="78"/>
      <c r="BW208" s="78"/>
      <c r="BX208" s="78"/>
      <c r="BY208" s="78"/>
      <c r="BZ208" s="78"/>
      <c r="CA208" s="78"/>
      <c r="CB208" s="78"/>
      <c r="CC208" s="78"/>
      <c r="CD208" s="78"/>
      <c r="CE208" s="78"/>
      <c r="CF208" s="78"/>
      <c r="CG208" s="78"/>
      <c r="CH208" s="78"/>
      <c r="CI208" s="78"/>
      <c r="CJ208" s="78"/>
      <c r="CK208" s="78"/>
      <c r="CL208" s="78"/>
      <c r="CM208" s="78"/>
      <c r="CN208" s="78"/>
      <c r="CO208" s="78"/>
      <c r="CP208" s="78"/>
      <c r="CQ208" s="78"/>
      <c r="CR208" s="78"/>
      <c r="CS208" s="78"/>
      <c r="CT208" s="78"/>
      <c r="CU208" s="78"/>
      <c r="CV208" s="78"/>
      <c r="CW208" s="78"/>
      <c r="CX208" s="78"/>
      <c r="CY208" s="78"/>
      <c r="CZ208" s="78"/>
      <c r="DA208" s="78"/>
      <c r="DB208" s="78"/>
      <c r="DC208" s="78"/>
      <c r="DD208" s="78"/>
      <c r="DE208" s="78"/>
      <c r="DF208" s="78"/>
      <c r="DG208" s="78"/>
      <c r="DH208" s="78"/>
      <c r="DI208" s="78"/>
      <c r="DJ208" s="78"/>
      <c r="DK208" s="78"/>
      <c r="DL208" s="78"/>
      <c r="DM208" s="78"/>
      <c r="DN208" s="78"/>
      <c r="DO208" s="78"/>
      <c r="DP208" s="78"/>
      <c r="DQ208" s="78"/>
      <c r="DR208" s="78"/>
      <c r="DS208" s="78"/>
      <c r="DT208" s="78"/>
      <c r="DU208" s="78"/>
      <c r="DV208" s="78"/>
      <c r="DW208" s="78"/>
      <c r="DX208" s="78"/>
      <c r="DY208" s="78"/>
      <c r="DZ208" s="78"/>
      <c r="EA208" s="78"/>
      <c r="EB208" s="78"/>
      <c r="EC208" s="78"/>
      <c r="ED208" s="78"/>
      <c r="EE208" s="78"/>
      <c r="EF208" s="78"/>
      <c r="EG208" s="78"/>
      <c r="EH208" s="78"/>
      <c r="EI208" s="91"/>
      <c r="EJ208" s="91"/>
      <c r="EK208" s="91"/>
      <c r="EL208" s="91"/>
      <c r="EM208" s="91"/>
      <c r="EN208" s="91"/>
      <c r="EO208" s="91"/>
      <c r="EP208" s="78"/>
      <c r="EQ208" s="78"/>
      <c r="ER208" s="78"/>
      <c r="ES208" s="78"/>
      <c r="ET208" s="78"/>
      <c r="EU208" s="78"/>
      <c r="EV208" s="78"/>
      <c r="EW208" s="78"/>
      <c r="EX208" s="78"/>
      <c r="EY208" s="78"/>
      <c r="EZ208" s="78"/>
      <c r="FA208" s="78"/>
      <c r="FB208" s="78"/>
      <c r="FC208" s="78"/>
      <c r="FD208" s="78"/>
      <c r="FE208" s="78"/>
      <c r="FF208" s="78"/>
      <c r="FG208" s="78"/>
      <c r="FH208" s="78"/>
      <c r="FI208" s="78"/>
      <c r="FJ208" s="78"/>
      <c r="FK208" s="78"/>
    </row>
    <row r="209" spans="1:167" outlineLevel="1">
      <c r="A209" s="29" t="str">
        <f t="shared" si="22"/>
        <v>modesg_param_sfcs_taxon_europeiacomite</v>
      </c>
      <c r="B209" s="67" t="s">
        <v>26</v>
      </c>
      <c r="C209" s="68" t="s">
        <v>181</v>
      </c>
      <c r="D209" s="64" t="s">
        <v>40</v>
      </c>
      <c r="E209" s="66" t="s">
        <v>182</v>
      </c>
      <c r="F209" s="64" t="s">
        <v>192</v>
      </c>
      <c r="G209" s="64" t="e">
        <f>INDEX(Auxiliar!$B$16:$B$24,MATCH(Plano_V1!H209,Auxiliar!$C$16:$C$24,0),1)</f>
        <v>#N/A</v>
      </c>
      <c r="H209" s="64" t="e">
        <f>VLOOKUP(A209,'Aux - pivots1'!$A:$B,2,0)</f>
        <v>#N/A</v>
      </c>
      <c r="I209" s="84">
        <f>SUMIFS(Table1[Estimação (horas)],Table1[Tabela],Plano_V1!E209,Table1[Campo],Plano_V1!F209)</f>
        <v>0</v>
      </c>
      <c r="J209" s="84">
        <f t="shared" si="24"/>
        <v>0</v>
      </c>
      <c r="K209" s="89" t="s">
        <v>39</v>
      </c>
      <c r="L209" s="90">
        <f t="shared" si="21"/>
        <v>0</v>
      </c>
      <c r="M209" s="78"/>
      <c r="N209" s="78"/>
      <c r="O209" s="78"/>
      <c r="P209" s="78"/>
      <c r="Q209" s="78"/>
      <c r="R209" s="78"/>
      <c r="S209" s="78"/>
      <c r="T209" s="78"/>
      <c r="U209" s="78"/>
      <c r="V209" s="78"/>
      <c r="W209" s="78"/>
      <c r="X209" s="78"/>
      <c r="Y209" s="78"/>
      <c r="Z209" s="78"/>
      <c r="AA209" s="78"/>
      <c r="AB209" s="78"/>
      <c r="AC209" s="78"/>
      <c r="AD209" s="78"/>
      <c r="AE209" s="78"/>
      <c r="AF209" s="78"/>
      <c r="AG209" s="78"/>
      <c r="AH209" s="78"/>
      <c r="AI209" s="78"/>
      <c r="AJ209" s="78"/>
      <c r="AK209" s="78"/>
      <c r="AL209" s="78"/>
      <c r="AM209" s="78"/>
      <c r="AN209" s="78"/>
      <c r="AO209" s="78"/>
      <c r="AP209" s="78"/>
      <c r="AQ209" s="78"/>
      <c r="AR209" s="78"/>
      <c r="AS209" s="78"/>
      <c r="AT209" s="91"/>
      <c r="AU209" s="78"/>
      <c r="AV209" s="78"/>
      <c r="AW209" s="78"/>
      <c r="AX209" s="78"/>
      <c r="AY209" s="78"/>
      <c r="AZ209" s="78"/>
      <c r="BA209" s="78"/>
      <c r="BB209" s="78"/>
      <c r="BC209" s="78"/>
      <c r="BD209" s="78"/>
      <c r="BE209" s="78"/>
      <c r="BF209" s="78"/>
      <c r="BG209" s="78"/>
      <c r="BH209" s="78"/>
      <c r="BI209" s="78"/>
      <c r="BJ209" s="78"/>
      <c r="BK209" s="78"/>
      <c r="BL209" s="78"/>
      <c r="BM209" s="78"/>
      <c r="BN209" s="78"/>
      <c r="BO209" s="78"/>
      <c r="BP209" s="78"/>
      <c r="BQ209" s="78"/>
      <c r="BR209" s="78"/>
      <c r="BS209" s="78"/>
      <c r="BT209" s="78"/>
      <c r="BU209" s="78"/>
      <c r="BV209" s="78"/>
      <c r="BW209" s="78"/>
      <c r="BX209" s="78"/>
      <c r="BY209" s="78"/>
      <c r="BZ209" s="78"/>
      <c r="CA209" s="78"/>
      <c r="CB209" s="78"/>
      <c r="CC209" s="78"/>
      <c r="CD209" s="78"/>
      <c r="CE209" s="78"/>
      <c r="CF209" s="78"/>
      <c r="CG209" s="78"/>
      <c r="CH209" s="78"/>
      <c r="CI209" s="78"/>
      <c r="CJ209" s="78"/>
      <c r="CK209" s="78"/>
      <c r="CL209" s="78"/>
      <c r="CM209" s="78"/>
      <c r="CN209" s="78"/>
      <c r="CO209" s="78"/>
      <c r="CP209" s="78"/>
      <c r="CQ209" s="78"/>
      <c r="CR209" s="78"/>
      <c r="CS209" s="78"/>
      <c r="CT209" s="78"/>
      <c r="CU209" s="78"/>
      <c r="CV209" s="78"/>
      <c r="CW209" s="78"/>
      <c r="CX209" s="78"/>
      <c r="CY209" s="78"/>
      <c r="CZ209" s="78"/>
      <c r="DA209" s="78"/>
      <c r="DB209" s="78"/>
      <c r="DC209" s="78"/>
      <c r="DD209" s="78"/>
      <c r="DE209" s="78"/>
      <c r="DF209" s="78"/>
      <c r="DG209" s="78"/>
      <c r="DH209" s="78"/>
      <c r="DI209" s="78"/>
      <c r="DJ209" s="78"/>
      <c r="DK209" s="78"/>
      <c r="DL209" s="78"/>
      <c r="DM209" s="78"/>
      <c r="DN209" s="78"/>
      <c r="DO209" s="78"/>
      <c r="DP209" s="78"/>
      <c r="DQ209" s="78"/>
      <c r="DR209" s="78"/>
      <c r="DS209" s="78"/>
      <c r="DT209" s="78"/>
      <c r="DU209" s="78"/>
      <c r="DV209" s="78"/>
      <c r="DW209" s="78"/>
      <c r="DX209" s="78"/>
      <c r="DY209" s="78"/>
      <c r="DZ209" s="78"/>
      <c r="EA209" s="78"/>
      <c r="EB209" s="78"/>
      <c r="EC209" s="78"/>
      <c r="ED209" s="78"/>
      <c r="EE209" s="78"/>
      <c r="EF209" s="78"/>
      <c r="EG209" s="78"/>
      <c r="EH209" s="78"/>
      <c r="EI209" s="91"/>
      <c r="EJ209" s="91"/>
      <c r="EK209" s="91"/>
      <c r="EL209" s="91"/>
      <c r="EM209" s="91"/>
      <c r="EN209" s="91"/>
      <c r="EO209" s="91"/>
      <c r="EP209" s="78"/>
      <c r="EQ209" s="78"/>
      <c r="ER209" s="78"/>
      <c r="ES209" s="78"/>
      <c r="ET209" s="78"/>
      <c r="EU209" s="78"/>
      <c r="EV209" s="78"/>
      <c r="EW209" s="78"/>
      <c r="EX209" s="78"/>
      <c r="EY209" s="78"/>
      <c r="EZ209" s="78"/>
      <c r="FA209" s="78"/>
      <c r="FB209" s="78"/>
      <c r="FC209" s="78"/>
      <c r="FD209" s="78"/>
      <c r="FE209" s="78"/>
      <c r="FF209" s="78"/>
      <c r="FG209" s="78"/>
      <c r="FH209" s="78"/>
      <c r="FI209" s="78"/>
      <c r="FJ209" s="78"/>
      <c r="FK209" s="78"/>
    </row>
    <row r="210" spans="1:167" outlineLevel="1">
      <c r="A210" s="29" t="str">
        <f t="shared" si="22"/>
        <v>modesg_param_sfcs_taxon_europeiadata_aprvc</v>
      </c>
      <c r="B210" s="67" t="s">
        <v>26</v>
      </c>
      <c r="C210" s="68" t="s">
        <v>181</v>
      </c>
      <c r="D210" s="64" t="s">
        <v>40</v>
      </c>
      <c r="E210" s="66" t="s">
        <v>182</v>
      </c>
      <c r="F210" s="64" t="s">
        <v>193</v>
      </c>
      <c r="G210" s="64" t="e">
        <f>INDEX(Auxiliar!$B$16:$B$24,MATCH(Plano_V1!H210,Auxiliar!$C$16:$C$24,0),1)</f>
        <v>#N/A</v>
      </c>
      <c r="H210" s="64" t="e">
        <f>VLOOKUP(A210,'Aux - pivots1'!$A:$B,2,0)</f>
        <v>#N/A</v>
      </c>
      <c r="I210" s="84">
        <f>SUMIFS(Table1[Estimação (horas)],Table1[Tabela],Plano_V1!E210,Table1[Campo],Plano_V1!F210)</f>
        <v>0</v>
      </c>
      <c r="J210" s="84">
        <f t="shared" si="24"/>
        <v>0</v>
      </c>
      <c r="K210" s="89" t="s">
        <v>39</v>
      </c>
      <c r="L210" s="90">
        <f t="shared" si="21"/>
        <v>0</v>
      </c>
      <c r="M210" s="78"/>
      <c r="N210" s="78"/>
      <c r="O210" s="78"/>
      <c r="P210" s="78"/>
      <c r="Q210" s="78"/>
      <c r="R210" s="78"/>
      <c r="S210" s="78"/>
      <c r="T210" s="78"/>
      <c r="U210" s="78"/>
      <c r="V210" s="78"/>
      <c r="W210" s="78"/>
      <c r="X210" s="78"/>
      <c r="Y210" s="78"/>
      <c r="Z210" s="78"/>
      <c r="AA210" s="78"/>
      <c r="AB210" s="78"/>
      <c r="AC210" s="78"/>
      <c r="AD210" s="78"/>
      <c r="AE210" s="78"/>
      <c r="AF210" s="78"/>
      <c r="AG210" s="78"/>
      <c r="AH210" s="78"/>
      <c r="AI210" s="78"/>
      <c r="AJ210" s="78"/>
      <c r="AK210" s="78"/>
      <c r="AL210" s="78"/>
      <c r="AM210" s="78"/>
      <c r="AN210" s="78"/>
      <c r="AO210" s="78"/>
      <c r="AP210" s="78"/>
      <c r="AQ210" s="78"/>
      <c r="AR210" s="78"/>
      <c r="AS210" s="78"/>
      <c r="AT210" s="91"/>
      <c r="AU210" s="78"/>
      <c r="AV210" s="78"/>
      <c r="AW210" s="78"/>
      <c r="AX210" s="78"/>
      <c r="AY210" s="78"/>
      <c r="AZ210" s="78"/>
      <c r="BA210" s="78"/>
      <c r="BB210" s="78"/>
      <c r="BC210" s="78"/>
      <c r="BD210" s="78"/>
      <c r="BE210" s="78"/>
      <c r="BF210" s="78"/>
      <c r="BG210" s="78"/>
      <c r="BH210" s="78"/>
      <c r="BI210" s="78"/>
      <c r="BJ210" s="78"/>
      <c r="BK210" s="78"/>
      <c r="BL210" s="78"/>
      <c r="BM210" s="78"/>
      <c r="BN210" s="78"/>
      <c r="BO210" s="78"/>
      <c r="BP210" s="78"/>
      <c r="BQ210" s="78"/>
      <c r="BR210" s="78"/>
      <c r="BS210" s="78"/>
      <c r="BT210" s="78"/>
      <c r="BU210" s="78"/>
      <c r="BV210" s="78"/>
      <c r="BW210" s="78"/>
      <c r="BX210" s="78"/>
      <c r="BY210" s="78"/>
      <c r="BZ210" s="78"/>
      <c r="CA210" s="78"/>
      <c r="CB210" s="78"/>
      <c r="CC210" s="78"/>
      <c r="CD210" s="78"/>
      <c r="CE210" s="78"/>
      <c r="CF210" s="78"/>
      <c r="CG210" s="78"/>
      <c r="CH210" s="78"/>
      <c r="CI210" s="78"/>
      <c r="CJ210" s="78"/>
      <c r="CK210" s="78"/>
      <c r="CL210" s="78"/>
      <c r="CM210" s="78"/>
      <c r="CN210" s="78"/>
      <c r="CO210" s="78"/>
      <c r="CP210" s="78"/>
      <c r="CQ210" s="78"/>
      <c r="CR210" s="78"/>
      <c r="CS210" s="78"/>
      <c r="CT210" s="78"/>
      <c r="CU210" s="78"/>
      <c r="CV210" s="78"/>
      <c r="CW210" s="78"/>
      <c r="CX210" s="78"/>
      <c r="CY210" s="78"/>
      <c r="CZ210" s="78"/>
      <c r="DA210" s="78"/>
      <c r="DB210" s="78"/>
      <c r="DC210" s="78"/>
      <c r="DD210" s="78"/>
      <c r="DE210" s="78"/>
      <c r="DF210" s="78"/>
      <c r="DG210" s="78"/>
      <c r="DH210" s="78"/>
      <c r="DI210" s="78"/>
      <c r="DJ210" s="78"/>
      <c r="DK210" s="78"/>
      <c r="DL210" s="78"/>
      <c r="DM210" s="78"/>
      <c r="DN210" s="78"/>
      <c r="DO210" s="78"/>
      <c r="DP210" s="78"/>
      <c r="DQ210" s="78"/>
      <c r="DR210" s="78"/>
      <c r="DS210" s="78"/>
      <c r="DT210" s="78"/>
      <c r="DU210" s="78"/>
      <c r="DV210" s="78"/>
      <c r="DW210" s="78"/>
      <c r="DX210" s="78"/>
      <c r="DY210" s="78"/>
      <c r="DZ210" s="78"/>
      <c r="EA210" s="78"/>
      <c r="EB210" s="78"/>
      <c r="EC210" s="78"/>
      <c r="ED210" s="78"/>
      <c r="EE210" s="78"/>
      <c r="EF210" s="78"/>
      <c r="EG210" s="78"/>
      <c r="EH210" s="78"/>
      <c r="EI210" s="91"/>
      <c r="EJ210" s="91"/>
      <c r="EK210" s="91"/>
      <c r="EL210" s="91"/>
      <c r="EM210" s="91"/>
      <c r="EN210" s="91"/>
      <c r="EO210" s="91"/>
      <c r="EP210" s="78"/>
      <c r="EQ210" s="78"/>
      <c r="ER210" s="78"/>
      <c r="ES210" s="78"/>
      <c r="ET210" s="78"/>
      <c r="EU210" s="78"/>
      <c r="EV210" s="78"/>
      <c r="EW210" s="78"/>
      <c r="EX210" s="78"/>
      <c r="EY210" s="78"/>
      <c r="EZ210" s="78"/>
      <c r="FA210" s="78"/>
      <c r="FB210" s="78"/>
      <c r="FC210" s="78"/>
      <c r="FD210" s="78"/>
      <c r="FE210" s="78"/>
      <c r="FF210" s="78"/>
      <c r="FG210" s="78"/>
      <c r="FH210" s="78"/>
      <c r="FI210" s="78"/>
      <c r="FJ210" s="78"/>
      <c r="FK210" s="78"/>
    </row>
    <row r="211" spans="1:167" outlineLevel="1">
      <c r="A211" s="29" t="str">
        <f t="shared" si="22"/>
        <v>modesg_param_sfcs_taxon_europeiadata_final</v>
      </c>
      <c r="B211" s="67" t="s">
        <v>26</v>
      </c>
      <c r="C211" s="68" t="s">
        <v>181</v>
      </c>
      <c r="D211" s="64" t="s">
        <v>40</v>
      </c>
      <c r="E211" s="66" t="s">
        <v>182</v>
      </c>
      <c r="F211" s="64" t="s">
        <v>194</v>
      </c>
      <c r="G211" s="64" t="e">
        <f>INDEX(Auxiliar!$B$16:$B$24,MATCH(Plano_V1!H211,Auxiliar!$C$16:$C$24,0),1)</f>
        <v>#N/A</v>
      </c>
      <c r="H211" s="64" t="e">
        <f>VLOOKUP(A211,'Aux - pivots1'!$A:$B,2,0)</f>
        <v>#N/A</v>
      </c>
      <c r="I211" s="84">
        <f>SUMIFS(Table1[Estimação (horas)],Table1[Tabela],Plano_V1!E211,Table1[Campo],Plano_V1!F211)</f>
        <v>0</v>
      </c>
      <c r="J211" s="84">
        <f t="shared" si="24"/>
        <v>0</v>
      </c>
      <c r="K211" s="89" t="s">
        <v>39</v>
      </c>
      <c r="L211" s="90">
        <f t="shared" si="21"/>
        <v>0</v>
      </c>
      <c r="M211" s="78"/>
      <c r="N211" s="78"/>
      <c r="O211" s="78"/>
      <c r="P211" s="78"/>
      <c r="Q211" s="78"/>
      <c r="R211" s="78"/>
      <c r="S211" s="78"/>
      <c r="T211" s="78"/>
      <c r="U211" s="78"/>
      <c r="V211" s="78"/>
      <c r="W211" s="78"/>
      <c r="X211" s="78"/>
      <c r="Y211" s="78"/>
      <c r="Z211" s="78"/>
      <c r="AA211" s="78"/>
      <c r="AB211" s="78"/>
      <c r="AC211" s="78"/>
      <c r="AD211" s="78"/>
      <c r="AE211" s="78"/>
      <c r="AF211" s="78"/>
      <c r="AG211" s="78"/>
      <c r="AH211" s="78"/>
      <c r="AI211" s="78"/>
      <c r="AJ211" s="78"/>
      <c r="AK211" s="78"/>
      <c r="AL211" s="78"/>
      <c r="AM211" s="78"/>
      <c r="AN211" s="78"/>
      <c r="AO211" s="78"/>
      <c r="AP211" s="78"/>
      <c r="AQ211" s="78"/>
      <c r="AR211" s="78"/>
      <c r="AS211" s="78"/>
      <c r="AT211" s="91"/>
      <c r="AU211" s="78"/>
      <c r="AV211" s="78"/>
      <c r="AW211" s="78"/>
      <c r="AX211" s="78"/>
      <c r="AY211" s="78"/>
      <c r="AZ211" s="78"/>
      <c r="BA211" s="78"/>
      <c r="BB211" s="78"/>
      <c r="BC211" s="78"/>
      <c r="BD211" s="78"/>
      <c r="BE211" s="78"/>
      <c r="BF211" s="78"/>
      <c r="BG211" s="78"/>
      <c r="BH211" s="78"/>
      <c r="BI211" s="78"/>
      <c r="BJ211" s="78"/>
      <c r="BK211" s="78"/>
      <c r="BL211" s="78"/>
      <c r="BM211" s="78"/>
      <c r="BN211" s="78"/>
      <c r="BO211" s="78"/>
      <c r="BP211" s="78"/>
      <c r="BQ211" s="78"/>
      <c r="BR211" s="78"/>
      <c r="BS211" s="78"/>
      <c r="BT211" s="78"/>
      <c r="BU211" s="78"/>
      <c r="BV211" s="78"/>
      <c r="BW211" s="78"/>
      <c r="BX211" s="78"/>
      <c r="BY211" s="78"/>
      <c r="BZ211" s="78"/>
      <c r="CA211" s="78"/>
      <c r="CB211" s="78"/>
      <c r="CC211" s="78"/>
      <c r="CD211" s="78"/>
      <c r="CE211" s="78"/>
      <c r="CF211" s="78"/>
      <c r="CG211" s="78"/>
      <c r="CH211" s="78"/>
      <c r="CI211" s="78"/>
      <c r="CJ211" s="78"/>
      <c r="CK211" s="78"/>
      <c r="CL211" s="78"/>
      <c r="CM211" s="78"/>
      <c r="CN211" s="78"/>
      <c r="CO211" s="78"/>
      <c r="CP211" s="78"/>
      <c r="CQ211" s="78"/>
      <c r="CR211" s="78"/>
      <c r="CS211" s="78"/>
      <c r="CT211" s="78"/>
      <c r="CU211" s="78"/>
      <c r="CV211" s="78"/>
      <c r="CW211" s="78"/>
      <c r="CX211" s="78"/>
      <c r="CY211" s="78"/>
      <c r="CZ211" s="78"/>
      <c r="DA211" s="78"/>
      <c r="DB211" s="78"/>
      <c r="DC211" s="78"/>
      <c r="DD211" s="78"/>
      <c r="DE211" s="78"/>
      <c r="DF211" s="78"/>
      <c r="DG211" s="78"/>
      <c r="DH211" s="78"/>
      <c r="DI211" s="78"/>
      <c r="DJ211" s="78"/>
      <c r="DK211" s="78"/>
      <c r="DL211" s="78"/>
      <c r="DM211" s="78"/>
      <c r="DN211" s="78"/>
      <c r="DO211" s="78"/>
      <c r="DP211" s="78"/>
      <c r="DQ211" s="78"/>
      <c r="DR211" s="78"/>
      <c r="DS211" s="78"/>
      <c r="DT211" s="78"/>
      <c r="DU211" s="78"/>
      <c r="DV211" s="78"/>
      <c r="DW211" s="78"/>
      <c r="DX211" s="78"/>
      <c r="DY211" s="78"/>
      <c r="DZ211" s="78"/>
      <c r="EA211" s="78"/>
      <c r="EB211" s="78"/>
      <c r="EC211" s="78"/>
      <c r="ED211" s="78"/>
      <c r="EE211" s="78"/>
      <c r="EF211" s="78"/>
      <c r="EG211" s="78"/>
      <c r="EH211" s="78"/>
      <c r="EI211" s="91"/>
      <c r="EJ211" s="91"/>
      <c r="EK211" s="91"/>
      <c r="EL211" s="91"/>
      <c r="EM211" s="91"/>
      <c r="EN211" s="91"/>
      <c r="EO211" s="91"/>
      <c r="EP211" s="78"/>
      <c r="EQ211" s="78"/>
      <c r="ER211" s="78"/>
      <c r="ES211" s="78"/>
      <c r="ET211" s="78"/>
      <c r="EU211" s="78"/>
      <c r="EV211" s="78"/>
      <c r="EW211" s="78"/>
      <c r="EX211" s="78"/>
      <c r="EY211" s="78"/>
      <c r="EZ211" s="78"/>
      <c r="FA211" s="78"/>
      <c r="FB211" s="78"/>
      <c r="FC211" s="78"/>
      <c r="FD211" s="78"/>
      <c r="FE211" s="78"/>
      <c r="FF211" s="78"/>
      <c r="FG211" s="78"/>
      <c r="FH211" s="78"/>
      <c r="FI211" s="78"/>
      <c r="FJ211" s="78"/>
      <c r="FK211" s="78"/>
    </row>
    <row r="212" spans="1:167" outlineLevel="1">
      <c r="A212" s="29" t="str">
        <f t="shared" si="22"/>
        <v>modesg_param_sfcs_taxon_europeiadata_inicial</v>
      </c>
      <c r="B212" s="67" t="s">
        <v>26</v>
      </c>
      <c r="C212" s="68" t="s">
        <v>181</v>
      </c>
      <c r="D212" s="64" t="s">
        <v>40</v>
      </c>
      <c r="E212" s="66" t="s">
        <v>182</v>
      </c>
      <c r="F212" s="64" t="s">
        <v>195</v>
      </c>
      <c r="G212" s="64" t="e">
        <f>INDEX(Auxiliar!$B$16:$B$24,MATCH(Plano_V1!H212,Auxiliar!$C$16:$C$24,0),1)</f>
        <v>#N/A</v>
      </c>
      <c r="H212" s="64" t="e">
        <f>VLOOKUP(A212,'Aux - pivots1'!$A:$B,2,0)</f>
        <v>#N/A</v>
      </c>
      <c r="I212" s="84">
        <f>SUMIFS(Table1[Estimação (horas)],Table1[Tabela],Plano_V1!E212,Table1[Campo],Plano_V1!F212)</f>
        <v>0</v>
      </c>
      <c r="J212" s="84">
        <f t="shared" si="24"/>
        <v>0</v>
      </c>
      <c r="K212" s="89" t="s">
        <v>39</v>
      </c>
      <c r="L212" s="90">
        <f t="shared" si="21"/>
        <v>0</v>
      </c>
      <c r="M212" s="78"/>
      <c r="N212" s="78"/>
      <c r="O212" s="78"/>
      <c r="P212" s="78"/>
      <c r="Q212" s="78"/>
      <c r="R212" s="78"/>
      <c r="S212" s="78"/>
      <c r="T212" s="78"/>
      <c r="U212" s="78"/>
      <c r="V212" s="78"/>
      <c r="W212" s="78"/>
      <c r="X212" s="78"/>
      <c r="Y212" s="78"/>
      <c r="Z212" s="78"/>
      <c r="AA212" s="78"/>
      <c r="AB212" s="78"/>
      <c r="AC212" s="78"/>
      <c r="AD212" s="78"/>
      <c r="AE212" s="78"/>
      <c r="AF212" s="78"/>
      <c r="AG212" s="78"/>
      <c r="AH212" s="78"/>
      <c r="AI212" s="78"/>
      <c r="AJ212" s="78"/>
      <c r="AK212" s="78"/>
      <c r="AL212" s="78"/>
      <c r="AM212" s="78"/>
      <c r="AN212" s="78"/>
      <c r="AO212" s="78"/>
      <c r="AP212" s="78"/>
      <c r="AQ212" s="78"/>
      <c r="AR212" s="78"/>
      <c r="AS212" s="78"/>
      <c r="AT212" s="91"/>
      <c r="AU212" s="78"/>
      <c r="AV212" s="78"/>
      <c r="AW212" s="78"/>
      <c r="AX212" s="78"/>
      <c r="AY212" s="78"/>
      <c r="AZ212" s="78"/>
      <c r="BA212" s="78"/>
      <c r="BB212" s="78"/>
      <c r="BC212" s="78"/>
      <c r="BD212" s="78"/>
      <c r="BE212" s="78"/>
      <c r="BF212" s="78"/>
      <c r="BG212" s="78"/>
      <c r="BH212" s="78"/>
      <c r="BI212" s="78"/>
      <c r="BJ212" s="78"/>
      <c r="BK212" s="78"/>
      <c r="BL212" s="78"/>
      <c r="BM212" s="78"/>
      <c r="BN212" s="78"/>
      <c r="BO212" s="78"/>
      <c r="BP212" s="78"/>
      <c r="BQ212" s="78"/>
      <c r="BR212" s="78"/>
      <c r="BS212" s="78"/>
      <c r="BT212" s="78"/>
      <c r="BU212" s="78"/>
      <c r="BV212" s="78"/>
      <c r="BW212" s="78"/>
      <c r="BX212" s="78"/>
      <c r="BY212" s="78"/>
      <c r="BZ212" s="78"/>
      <c r="CA212" s="78"/>
      <c r="CB212" s="78"/>
      <c r="CC212" s="78"/>
      <c r="CD212" s="78"/>
      <c r="CE212" s="78"/>
      <c r="CF212" s="78"/>
      <c r="CG212" s="78"/>
      <c r="CH212" s="78"/>
      <c r="CI212" s="78"/>
      <c r="CJ212" s="78"/>
      <c r="CK212" s="78"/>
      <c r="CL212" s="78"/>
      <c r="CM212" s="78"/>
      <c r="CN212" s="78"/>
      <c r="CO212" s="78"/>
      <c r="CP212" s="78"/>
      <c r="CQ212" s="78"/>
      <c r="CR212" s="78"/>
      <c r="CS212" s="78"/>
      <c r="CT212" s="78"/>
      <c r="CU212" s="78"/>
      <c r="CV212" s="78"/>
      <c r="CW212" s="78"/>
      <c r="CX212" s="78"/>
      <c r="CY212" s="78"/>
      <c r="CZ212" s="78"/>
      <c r="DA212" s="78"/>
      <c r="DB212" s="78"/>
      <c r="DC212" s="78"/>
      <c r="DD212" s="78"/>
      <c r="DE212" s="78"/>
      <c r="DF212" s="78"/>
      <c r="DG212" s="78"/>
      <c r="DH212" s="78"/>
      <c r="DI212" s="78"/>
      <c r="DJ212" s="78"/>
      <c r="DK212" s="78"/>
      <c r="DL212" s="78"/>
      <c r="DM212" s="78"/>
      <c r="DN212" s="78"/>
      <c r="DO212" s="78"/>
      <c r="DP212" s="78"/>
      <c r="DQ212" s="78"/>
      <c r="DR212" s="78"/>
      <c r="DS212" s="78"/>
      <c r="DT212" s="78"/>
      <c r="DU212" s="78"/>
      <c r="DV212" s="78"/>
      <c r="DW212" s="78"/>
      <c r="DX212" s="78"/>
      <c r="DY212" s="78"/>
      <c r="DZ212" s="78"/>
      <c r="EA212" s="78"/>
      <c r="EB212" s="78"/>
      <c r="EC212" s="78"/>
      <c r="ED212" s="78"/>
      <c r="EE212" s="78"/>
      <c r="EF212" s="78"/>
      <c r="EG212" s="78"/>
      <c r="EH212" s="78"/>
      <c r="EI212" s="91"/>
      <c r="EJ212" s="91"/>
      <c r="EK212" s="91"/>
      <c r="EL212" s="91"/>
      <c r="EM212" s="91"/>
      <c r="EN212" s="91"/>
      <c r="EO212" s="91"/>
      <c r="EP212" s="78"/>
      <c r="EQ212" s="78"/>
      <c r="ER212" s="78"/>
      <c r="ES212" s="78"/>
      <c r="ET212" s="78"/>
      <c r="EU212" s="78"/>
      <c r="EV212" s="78"/>
      <c r="EW212" s="78"/>
      <c r="EX212" s="78"/>
      <c r="EY212" s="78"/>
      <c r="EZ212" s="78"/>
      <c r="FA212" s="78"/>
      <c r="FB212" s="78"/>
      <c r="FC212" s="78"/>
      <c r="FD212" s="78"/>
      <c r="FE212" s="78"/>
      <c r="FF212" s="78"/>
      <c r="FG212" s="78"/>
      <c r="FH212" s="78"/>
      <c r="FI212" s="78"/>
      <c r="FJ212" s="78"/>
      <c r="FK212" s="78"/>
    </row>
    <row r="213" spans="1:167" outlineLevel="1">
      <c r="A213" s="29" t="str">
        <f t="shared" si="22"/>
        <v>modesg_param_sfcs_taxon_europeiadominio</v>
      </c>
      <c r="B213" s="67" t="s">
        <v>26</v>
      </c>
      <c r="C213" s="68" t="s">
        <v>181</v>
      </c>
      <c r="D213" s="64" t="s">
        <v>40</v>
      </c>
      <c r="E213" s="66" t="s">
        <v>182</v>
      </c>
      <c r="F213" s="64" t="s">
        <v>196</v>
      </c>
      <c r="G213" s="64" t="e">
        <f>INDEX(Auxiliar!$B$16:$B$24,MATCH(Plano_V1!H213,Auxiliar!$C$16:$C$24,0),1)</f>
        <v>#N/A</v>
      </c>
      <c r="H213" s="64" t="e">
        <f>VLOOKUP(A213,'Aux - pivots1'!$A:$B,2,0)</f>
        <v>#N/A</v>
      </c>
      <c r="I213" s="84">
        <f>SUMIFS(Table1[Estimação (horas)],Table1[Tabela],Plano_V1!E213,Table1[Campo],Plano_V1!F213)</f>
        <v>0</v>
      </c>
      <c r="J213" s="84">
        <f t="shared" si="24"/>
        <v>0</v>
      </c>
      <c r="K213" s="89" t="s">
        <v>39</v>
      </c>
      <c r="L213" s="90">
        <f t="shared" si="21"/>
        <v>0</v>
      </c>
      <c r="M213" s="78"/>
      <c r="N213" s="78"/>
      <c r="O213" s="78"/>
      <c r="P213" s="78"/>
      <c r="Q213" s="78"/>
      <c r="R213" s="78"/>
      <c r="S213" s="78"/>
      <c r="T213" s="78"/>
      <c r="U213" s="78"/>
      <c r="V213" s="78"/>
      <c r="W213" s="78"/>
      <c r="X213" s="78"/>
      <c r="Y213" s="78"/>
      <c r="Z213" s="78"/>
      <c r="AA213" s="78"/>
      <c r="AB213" s="78"/>
      <c r="AC213" s="78"/>
      <c r="AD213" s="78"/>
      <c r="AE213" s="78"/>
      <c r="AF213" s="78"/>
      <c r="AG213" s="78"/>
      <c r="AH213" s="78"/>
      <c r="AI213" s="78"/>
      <c r="AJ213" s="78"/>
      <c r="AK213" s="78"/>
      <c r="AL213" s="78"/>
      <c r="AM213" s="78"/>
      <c r="AN213" s="78"/>
      <c r="AO213" s="78"/>
      <c r="AP213" s="78"/>
      <c r="AQ213" s="78"/>
      <c r="AR213" s="78"/>
      <c r="AS213" s="78"/>
      <c r="AT213" s="91"/>
      <c r="AU213" s="78"/>
      <c r="AV213" s="78"/>
      <c r="AW213" s="78"/>
      <c r="AX213" s="78"/>
      <c r="AY213" s="78"/>
      <c r="AZ213" s="78"/>
      <c r="BA213" s="78"/>
      <c r="BB213" s="78"/>
      <c r="BC213" s="78"/>
      <c r="BD213" s="78"/>
      <c r="BE213" s="78"/>
      <c r="BF213" s="78"/>
      <c r="BG213" s="78"/>
      <c r="BH213" s="78"/>
      <c r="BI213" s="78"/>
      <c r="BJ213" s="78"/>
      <c r="BK213" s="78"/>
      <c r="BL213" s="78"/>
      <c r="BM213" s="78"/>
      <c r="BN213" s="78"/>
      <c r="BO213" s="78"/>
      <c r="BP213" s="78"/>
      <c r="BQ213" s="78"/>
      <c r="BR213" s="78"/>
      <c r="BS213" s="78"/>
      <c r="BT213" s="78"/>
      <c r="BU213" s="78"/>
      <c r="BV213" s="78"/>
      <c r="BW213" s="78"/>
      <c r="BX213" s="78"/>
      <c r="BY213" s="78"/>
      <c r="BZ213" s="78"/>
      <c r="CA213" s="78"/>
      <c r="CB213" s="78"/>
      <c r="CC213" s="78"/>
      <c r="CD213" s="78"/>
      <c r="CE213" s="78"/>
      <c r="CF213" s="78"/>
      <c r="CG213" s="78"/>
      <c r="CH213" s="78"/>
      <c r="CI213" s="78"/>
      <c r="CJ213" s="78"/>
      <c r="CK213" s="78"/>
      <c r="CL213" s="78"/>
      <c r="CM213" s="78"/>
      <c r="CN213" s="78"/>
      <c r="CO213" s="78"/>
      <c r="CP213" s="78"/>
      <c r="CQ213" s="78"/>
      <c r="CR213" s="78"/>
      <c r="CS213" s="78"/>
      <c r="CT213" s="78"/>
      <c r="CU213" s="78"/>
      <c r="CV213" s="78"/>
      <c r="CW213" s="78"/>
      <c r="CX213" s="78"/>
      <c r="CY213" s="78"/>
      <c r="CZ213" s="78"/>
      <c r="DA213" s="78"/>
      <c r="DB213" s="78"/>
      <c r="DC213" s="78"/>
      <c r="DD213" s="78"/>
      <c r="DE213" s="78"/>
      <c r="DF213" s="78"/>
      <c r="DG213" s="78"/>
      <c r="DH213" s="78"/>
      <c r="DI213" s="78"/>
      <c r="DJ213" s="78"/>
      <c r="DK213" s="78"/>
      <c r="DL213" s="78"/>
      <c r="DM213" s="78"/>
      <c r="DN213" s="78"/>
      <c r="DO213" s="78"/>
      <c r="DP213" s="78"/>
      <c r="DQ213" s="78"/>
      <c r="DR213" s="78"/>
      <c r="DS213" s="78"/>
      <c r="DT213" s="78"/>
      <c r="DU213" s="78"/>
      <c r="DV213" s="78"/>
      <c r="DW213" s="78"/>
      <c r="DX213" s="78"/>
      <c r="DY213" s="78"/>
      <c r="DZ213" s="78"/>
      <c r="EA213" s="78"/>
      <c r="EB213" s="78"/>
      <c r="EC213" s="78"/>
      <c r="ED213" s="78"/>
      <c r="EE213" s="78"/>
      <c r="EF213" s="78"/>
      <c r="EG213" s="78"/>
      <c r="EH213" s="78"/>
      <c r="EI213" s="91"/>
      <c r="EJ213" s="91"/>
      <c r="EK213" s="91"/>
      <c r="EL213" s="91"/>
      <c r="EM213" s="91"/>
      <c r="EN213" s="91"/>
      <c r="EO213" s="91"/>
      <c r="EP213" s="78"/>
      <c r="EQ213" s="78"/>
      <c r="ER213" s="78"/>
      <c r="ES213" s="78"/>
      <c r="ET213" s="78"/>
      <c r="EU213" s="78"/>
      <c r="EV213" s="78"/>
      <c r="EW213" s="78"/>
      <c r="EX213" s="78"/>
      <c r="EY213" s="78"/>
      <c r="EZ213" s="78"/>
      <c r="FA213" s="78"/>
      <c r="FB213" s="78"/>
      <c r="FC213" s="78"/>
      <c r="FD213" s="78"/>
      <c r="FE213" s="78"/>
      <c r="FF213" s="78"/>
      <c r="FG213" s="78"/>
      <c r="FH213" s="78"/>
      <c r="FI213" s="78"/>
      <c r="FJ213" s="78"/>
      <c r="FK213" s="78"/>
    </row>
    <row r="214" spans="1:167" outlineLevel="1">
      <c r="A214" s="29" t="str">
        <f t="shared" si="22"/>
        <v>modesg_param_sfcs_taxon_europeiadscrc</v>
      </c>
      <c r="B214" s="67" t="s">
        <v>26</v>
      </c>
      <c r="C214" s="68" t="s">
        <v>181</v>
      </c>
      <c r="D214" s="64" t="s">
        <v>40</v>
      </c>
      <c r="E214" s="66" t="s">
        <v>182</v>
      </c>
      <c r="F214" s="64" t="s">
        <v>197</v>
      </c>
      <c r="G214" s="64" t="e">
        <f>INDEX(Auxiliar!$B$16:$B$24,MATCH(Plano_V1!H214,Auxiliar!$C$16:$C$24,0),1)</f>
        <v>#N/A</v>
      </c>
      <c r="H214" s="64" t="e">
        <f>VLOOKUP(A214,'Aux - pivots1'!$A:$B,2,0)</f>
        <v>#N/A</v>
      </c>
      <c r="I214" s="84">
        <f>SUMIFS(Table1[Estimação (horas)],Table1[Tabela],Plano_V1!E214,Table1[Campo],Plano_V1!F214)</f>
        <v>0</v>
      </c>
      <c r="J214" s="84">
        <f t="shared" si="24"/>
        <v>0</v>
      </c>
      <c r="K214" s="89" t="s">
        <v>39</v>
      </c>
      <c r="L214" s="90">
        <f t="shared" si="21"/>
        <v>0</v>
      </c>
      <c r="M214" s="78"/>
      <c r="N214" s="78"/>
      <c r="O214" s="78"/>
      <c r="P214" s="78"/>
      <c r="Q214" s="78"/>
      <c r="R214" s="78"/>
      <c r="S214" s="78"/>
      <c r="T214" s="78"/>
      <c r="U214" s="78"/>
      <c r="V214" s="78"/>
      <c r="W214" s="78"/>
      <c r="X214" s="78"/>
      <c r="Y214" s="78"/>
      <c r="Z214" s="78"/>
      <c r="AA214" s="78"/>
      <c r="AB214" s="78"/>
      <c r="AC214" s="78"/>
      <c r="AD214" s="78"/>
      <c r="AE214" s="78"/>
      <c r="AF214" s="78"/>
      <c r="AG214" s="78"/>
      <c r="AH214" s="78"/>
      <c r="AI214" s="78"/>
      <c r="AJ214" s="78"/>
      <c r="AK214" s="78"/>
      <c r="AL214" s="78"/>
      <c r="AM214" s="78"/>
      <c r="AN214" s="78"/>
      <c r="AO214" s="78"/>
      <c r="AP214" s="78"/>
      <c r="AQ214" s="78"/>
      <c r="AR214" s="78"/>
      <c r="AS214" s="78"/>
      <c r="AT214" s="91"/>
      <c r="AU214" s="78"/>
      <c r="AV214" s="78"/>
      <c r="AW214" s="78"/>
      <c r="AX214" s="78"/>
      <c r="AY214" s="78"/>
      <c r="AZ214" s="78"/>
      <c r="BA214" s="78"/>
      <c r="BB214" s="78"/>
      <c r="BC214" s="78"/>
      <c r="BD214" s="78"/>
      <c r="BE214" s="78"/>
      <c r="BF214" s="78"/>
      <c r="BG214" s="78"/>
      <c r="BH214" s="78"/>
      <c r="BI214" s="78"/>
      <c r="BJ214" s="78"/>
      <c r="BK214" s="78"/>
      <c r="BL214" s="78"/>
      <c r="BM214" s="78"/>
      <c r="BN214" s="78"/>
      <c r="BO214" s="78"/>
      <c r="BP214" s="78"/>
      <c r="BQ214" s="78"/>
      <c r="BR214" s="78"/>
      <c r="BS214" s="78"/>
      <c r="BT214" s="78"/>
      <c r="BU214" s="78"/>
      <c r="BV214" s="78"/>
      <c r="BW214" s="78"/>
      <c r="BX214" s="78"/>
      <c r="BY214" s="78"/>
      <c r="BZ214" s="78"/>
      <c r="CA214" s="78"/>
      <c r="CB214" s="78"/>
      <c r="CC214" s="78"/>
      <c r="CD214" s="78"/>
      <c r="CE214" s="78"/>
      <c r="CF214" s="78"/>
      <c r="CG214" s="78"/>
      <c r="CH214" s="78"/>
      <c r="CI214" s="78"/>
      <c r="CJ214" s="78"/>
      <c r="CK214" s="78"/>
      <c r="CL214" s="78"/>
      <c r="CM214" s="78"/>
      <c r="CN214" s="78"/>
      <c r="CO214" s="78"/>
      <c r="CP214" s="78"/>
      <c r="CQ214" s="78"/>
      <c r="CR214" s="78"/>
      <c r="CS214" s="78"/>
      <c r="CT214" s="78"/>
      <c r="CU214" s="78"/>
      <c r="CV214" s="78"/>
      <c r="CW214" s="78"/>
      <c r="CX214" s="78"/>
      <c r="CY214" s="78"/>
      <c r="CZ214" s="78"/>
      <c r="DA214" s="78"/>
      <c r="DB214" s="78"/>
      <c r="DC214" s="78"/>
      <c r="DD214" s="78"/>
      <c r="DE214" s="78"/>
      <c r="DF214" s="78"/>
      <c r="DG214" s="78"/>
      <c r="DH214" s="78"/>
      <c r="DI214" s="78"/>
      <c r="DJ214" s="78"/>
      <c r="DK214" s="78"/>
      <c r="DL214" s="78"/>
      <c r="DM214" s="78"/>
      <c r="DN214" s="78"/>
      <c r="DO214" s="78"/>
      <c r="DP214" s="78"/>
      <c r="DQ214" s="78"/>
      <c r="DR214" s="78"/>
      <c r="DS214" s="78"/>
      <c r="DT214" s="78"/>
      <c r="DU214" s="78"/>
      <c r="DV214" s="78"/>
      <c r="DW214" s="78"/>
      <c r="DX214" s="78"/>
      <c r="DY214" s="78"/>
      <c r="DZ214" s="78"/>
      <c r="EA214" s="78"/>
      <c r="EB214" s="78"/>
      <c r="EC214" s="78"/>
      <c r="ED214" s="78"/>
      <c r="EE214" s="78"/>
      <c r="EF214" s="78"/>
      <c r="EG214" s="78"/>
      <c r="EH214" s="78"/>
      <c r="EI214" s="91"/>
      <c r="EJ214" s="91"/>
      <c r="EK214" s="91"/>
      <c r="EL214" s="91"/>
      <c r="EM214" s="91"/>
      <c r="EN214" s="91"/>
      <c r="EO214" s="91"/>
      <c r="EP214" s="78"/>
      <c r="EQ214" s="78"/>
      <c r="ER214" s="78"/>
      <c r="ES214" s="78"/>
      <c r="ET214" s="78"/>
      <c r="EU214" s="78"/>
      <c r="EV214" s="78"/>
      <c r="EW214" s="78"/>
      <c r="EX214" s="78"/>
      <c r="EY214" s="78"/>
      <c r="EZ214" s="78"/>
      <c r="FA214" s="78"/>
      <c r="FB214" s="78"/>
      <c r="FC214" s="78"/>
      <c r="FD214" s="78"/>
      <c r="FE214" s="78"/>
      <c r="FF214" s="78"/>
      <c r="FG214" s="78"/>
      <c r="FH214" s="78"/>
      <c r="FI214" s="78"/>
      <c r="FJ214" s="78"/>
      <c r="FK214" s="78"/>
    </row>
    <row r="215" spans="1:167" outlineLevel="1">
      <c r="A215" s="29" t="str">
        <f t="shared" si="22"/>
        <v>modesg_param_sfcs_taxon_europeiaepc</v>
      </c>
      <c r="B215" s="67" t="s">
        <v>26</v>
      </c>
      <c r="C215" s="68" t="s">
        <v>181</v>
      </c>
      <c r="D215" s="64" t="s">
        <v>40</v>
      </c>
      <c r="E215" s="66" t="s">
        <v>182</v>
      </c>
      <c r="F215" s="64" t="s">
        <v>198</v>
      </c>
      <c r="G215" s="64" t="e">
        <f>INDEX(Auxiliar!$B$16:$B$24,MATCH(Plano_V1!H215,Auxiliar!$C$16:$C$24,0),1)</f>
        <v>#N/A</v>
      </c>
      <c r="H215" s="64" t="e">
        <f>VLOOKUP(A215,'Aux - pivots1'!$A:$B,2,0)</f>
        <v>#N/A</v>
      </c>
      <c r="I215" s="84">
        <f>SUMIFS(Table1[Estimação (horas)],Table1[Tabela],Plano_V1!E215,Table1[Campo],Plano_V1!F215)</f>
        <v>0</v>
      </c>
      <c r="J215" s="84">
        <f t="shared" si="24"/>
        <v>0</v>
      </c>
      <c r="K215" s="89" t="s">
        <v>39</v>
      </c>
      <c r="L215" s="90">
        <f t="shared" si="21"/>
        <v>0</v>
      </c>
      <c r="M215" s="78"/>
      <c r="N215" s="78"/>
      <c r="O215" s="78"/>
      <c r="P215" s="78"/>
      <c r="Q215" s="78"/>
      <c r="R215" s="78"/>
      <c r="S215" s="78"/>
      <c r="T215" s="78"/>
      <c r="U215" s="78"/>
      <c r="V215" s="78"/>
      <c r="W215" s="78"/>
      <c r="X215" s="78"/>
      <c r="Y215" s="78"/>
      <c r="Z215" s="78"/>
      <c r="AA215" s="78"/>
      <c r="AB215" s="78"/>
      <c r="AC215" s="78"/>
      <c r="AD215" s="78"/>
      <c r="AE215" s="78"/>
      <c r="AF215" s="78"/>
      <c r="AG215" s="78"/>
      <c r="AH215" s="78"/>
      <c r="AI215" s="78"/>
      <c r="AJ215" s="78"/>
      <c r="AK215" s="78"/>
      <c r="AL215" s="78"/>
      <c r="AM215" s="78"/>
      <c r="AN215" s="78"/>
      <c r="AO215" s="78"/>
      <c r="AP215" s="78"/>
      <c r="AQ215" s="78"/>
      <c r="AR215" s="78"/>
      <c r="AS215" s="78"/>
      <c r="AT215" s="91"/>
      <c r="AU215" s="78"/>
      <c r="AV215" s="78"/>
      <c r="AW215" s="78"/>
      <c r="AX215" s="78"/>
      <c r="AY215" s="78"/>
      <c r="AZ215" s="78"/>
      <c r="BA215" s="78"/>
      <c r="BB215" s="78"/>
      <c r="BC215" s="78"/>
      <c r="BD215" s="78"/>
      <c r="BE215" s="78"/>
      <c r="BF215" s="78"/>
      <c r="BG215" s="78"/>
      <c r="BH215" s="78"/>
      <c r="BI215" s="78"/>
      <c r="BJ215" s="78"/>
      <c r="BK215" s="78"/>
      <c r="BL215" s="78"/>
      <c r="BM215" s="78"/>
      <c r="BN215" s="78"/>
      <c r="BO215" s="78"/>
      <c r="BP215" s="78"/>
      <c r="BQ215" s="78"/>
      <c r="BR215" s="78"/>
      <c r="BS215" s="78"/>
      <c r="BT215" s="78"/>
      <c r="BU215" s="78"/>
      <c r="BV215" s="78"/>
      <c r="BW215" s="78"/>
      <c r="BX215" s="78"/>
      <c r="BY215" s="78"/>
      <c r="BZ215" s="78"/>
      <c r="CA215" s="78"/>
      <c r="CB215" s="78"/>
      <c r="CC215" s="78"/>
      <c r="CD215" s="78"/>
      <c r="CE215" s="78"/>
      <c r="CF215" s="78"/>
      <c r="CG215" s="78"/>
      <c r="CH215" s="78"/>
      <c r="CI215" s="78"/>
      <c r="CJ215" s="78"/>
      <c r="CK215" s="78"/>
      <c r="CL215" s="78"/>
      <c r="CM215" s="78"/>
      <c r="CN215" s="78"/>
      <c r="CO215" s="78"/>
      <c r="CP215" s="78"/>
      <c r="CQ215" s="78"/>
      <c r="CR215" s="78"/>
      <c r="CS215" s="78"/>
      <c r="CT215" s="78"/>
      <c r="CU215" s="78"/>
      <c r="CV215" s="78"/>
      <c r="CW215" s="78"/>
      <c r="CX215" s="78"/>
      <c r="CY215" s="78"/>
      <c r="CZ215" s="78"/>
      <c r="DA215" s="78"/>
      <c r="DB215" s="78"/>
      <c r="DC215" s="78"/>
      <c r="DD215" s="78"/>
      <c r="DE215" s="78"/>
      <c r="DF215" s="78"/>
      <c r="DG215" s="78"/>
      <c r="DH215" s="78"/>
      <c r="DI215" s="78"/>
      <c r="DJ215" s="78"/>
      <c r="DK215" s="78"/>
      <c r="DL215" s="78"/>
      <c r="DM215" s="78"/>
      <c r="DN215" s="78"/>
      <c r="DO215" s="78"/>
      <c r="DP215" s="78"/>
      <c r="DQ215" s="78"/>
      <c r="DR215" s="78"/>
      <c r="DS215" s="78"/>
      <c r="DT215" s="78"/>
      <c r="DU215" s="78"/>
      <c r="DV215" s="78"/>
      <c r="DW215" s="78"/>
      <c r="DX215" s="78"/>
      <c r="DY215" s="78"/>
      <c r="DZ215" s="78"/>
      <c r="EA215" s="78"/>
      <c r="EB215" s="78"/>
      <c r="EC215" s="78"/>
      <c r="ED215" s="78"/>
      <c r="EE215" s="78"/>
      <c r="EF215" s="78"/>
      <c r="EG215" s="78"/>
      <c r="EH215" s="78"/>
      <c r="EI215" s="91"/>
      <c r="EJ215" s="91"/>
      <c r="EK215" s="91"/>
      <c r="EL215" s="91"/>
      <c r="EM215" s="91"/>
      <c r="EN215" s="91"/>
      <c r="EO215" s="91"/>
      <c r="EP215" s="78"/>
      <c r="EQ215" s="78"/>
      <c r="ER215" s="78"/>
      <c r="ES215" s="78"/>
      <c r="ET215" s="78"/>
      <c r="EU215" s="78"/>
      <c r="EV215" s="78"/>
      <c r="EW215" s="78"/>
      <c r="EX215" s="78"/>
      <c r="EY215" s="78"/>
      <c r="EZ215" s="78"/>
      <c r="FA215" s="78"/>
      <c r="FB215" s="78"/>
      <c r="FC215" s="78"/>
      <c r="FD215" s="78"/>
      <c r="FE215" s="78"/>
      <c r="FF215" s="78"/>
      <c r="FG215" s="78"/>
      <c r="FH215" s="78"/>
      <c r="FI215" s="78"/>
      <c r="FJ215" s="78"/>
      <c r="FK215" s="78"/>
    </row>
    <row r="216" spans="1:167" outlineLevel="1">
      <c r="A216" s="29" t="str">
        <f t="shared" si="22"/>
        <v>modesg_param_sfcs_taxon_europeiaflag_project_finance</v>
      </c>
      <c r="B216" s="67" t="s">
        <v>26</v>
      </c>
      <c r="C216" s="68" t="s">
        <v>181</v>
      </c>
      <c r="D216" s="64" t="s">
        <v>40</v>
      </c>
      <c r="E216" s="66" t="s">
        <v>182</v>
      </c>
      <c r="F216" s="64" t="s">
        <v>199</v>
      </c>
      <c r="G216" s="64" t="e">
        <f>INDEX(Auxiliar!$B$16:$B$24,MATCH(Plano_V1!H216,Auxiliar!$C$16:$C$24,0),1)</f>
        <v>#N/A</v>
      </c>
      <c r="H216" s="64" t="e">
        <f>VLOOKUP(A216,'Aux - pivots1'!$A:$B,2,0)</f>
        <v>#N/A</v>
      </c>
      <c r="I216" s="84">
        <f>SUMIFS(Table1[Estimação (horas)],Table1[Tabela],Plano_V1!E216,Table1[Campo],Plano_V1!F216)</f>
        <v>0</v>
      </c>
      <c r="J216" s="84">
        <f t="shared" si="24"/>
        <v>0</v>
      </c>
      <c r="K216" s="89" t="s">
        <v>39</v>
      </c>
      <c r="L216" s="90">
        <f t="shared" si="21"/>
        <v>0</v>
      </c>
      <c r="M216" s="78"/>
      <c r="N216" s="78"/>
      <c r="O216" s="78"/>
      <c r="P216" s="78"/>
      <c r="Q216" s="78"/>
      <c r="R216" s="78"/>
      <c r="S216" s="78"/>
      <c r="T216" s="78"/>
      <c r="U216" s="78"/>
      <c r="V216" s="78"/>
      <c r="W216" s="78"/>
      <c r="X216" s="78"/>
      <c r="Y216" s="78"/>
      <c r="Z216" s="78"/>
      <c r="AA216" s="78"/>
      <c r="AB216" s="78"/>
      <c r="AC216" s="78"/>
      <c r="AD216" s="78"/>
      <c r="AE216" s="78"/>
      <c r="AF216" s="78"/>
      <c r="AG216" s="78"/>
      <c r="AH216" s="78"/>
      <c r="AI216" s="78"/>
      <c r="AJ216" s="78"/>
      <c r="AK216" s="78"/>
      <c r="AL216" s="78"/>
      <c r="AM216" s="78"/>
      <c r="AN216" s="78"/>
      <c r="AO216" s="78"/>
      <c r="AP216" s="78"/>
      <c r="AQ216" s="78"/>
      <c r="AR216" s="78"/>
      <c r="AS216" s="78"/>
      <c r="AT216" s="91"/>
      <c r="AU216" s="78"/>
      <c r="AV216" s="78"/>
      <c r="AW216" s="78"/>
      <c r="AX216" s="78"/>
      <c r="AY216" s="78"/>
      <c r="AZ216" s="78"/>
      <c r="BA216" s="78"/>
      <c r="BB216" s="78"/>
      <c r="BC216" s="78"/>
      <c r="BD216" s="78"/>
      <c r="BE216" s="78"/>
      <c r="BF216" s="78"/>
      <c r="BG216" s="78"/>
      <c r="BH216" s="78"/>
      <c r="BI216" s="78"/>
      <c r="BJ216" s="78"/>
      <c r="BK216" s="78"/>
      <c r="BL216" s="78"/>
      <c r="BM216" s="78"/>
      <c r="BN216" s="78"/>
      <c r="BO216" s="78"/>
      <c r="BP216" s="78"/>
      <c r="BQ216" s="78"/>
      <c r="BR216" s="78"/>
      <c r="BS216" s="78"/>
      <c r="BT216" s="78"/>
      <c r="BU216" s="78"/>
      <c r="BV216" s="78"/>
      <c r="BW216" s="78"/>
      <c r="BX216" s="78"/>
      <c r="BY216" s="78"/>
      <c r="BZ216" s="78"/>
      <c r="CA216" s="78"/>
      <c r="CB216" s="78"/>
      <c r="CC216" s="78"/>
      <c r="CD216" s="78"/>
      <c r="CE216" s="78"/>
      <c r="CF216" s="78"/>
      <c r="CG216" s="78"/>
      <c r="CH216" s="78"/>
      <c r="CI216" s="78"/>
      <c r="CJ216" s="78"/>
      <c r="CK216" s="78"/>
      <c r="CL216" s="78"/>
      <c r="CM216" s="78"/>
      <c r="CN216" s="78"/>
      <c r="CO216" s="78"/>
      <c r="CP216" s="78"/>
      <c r="CQ216" s="78"/>
      <c r="CR216" s="78"/>
      <c r="CS216" s="78"/>
      <c r="CT216" s="78"/>
      <c r="CU216" s="78"/>
      <c r="CV216" s="78"/>
      <c r="CW216" s="78"/>
      <c r="CX216" s="78"/>
      <c r="CY216" s="78"/>
      <c r="CZ216" s="78"/>
      <c r="DA216" s="78"/>
      <c r="DB216" s="78"/>
      <c r="DC216" s="78"/>
      <c r="DD216" s="78"/>
      <c r="DE216" s="78"/>
      <c r="DF216" s="78"/>
      <c r="DG216" s="78"/>
      <c r="DH216" s="78"/>
      <c r="DI216" s="78"/>
      <c r="DJ216" s="78"/>
      <c r="DK216" s="78"/>
      <c r="DL216" s="78"/>
      <c r="DM216" s="78"/>
      <c r="DN216" s="78"/>
      <c r="DO216" s="78"/>
      <c r="DP216" s="78"/>
      <c r="DQ216" s="78"/>
      <c r="DR216" s="78"/>
      <c r="DS216" s="78"/>
      <c r="DT216" s="78"/>
      <c r="DU216" s="78"/>
      <c r="DV216" s="78"/>
      <c r="DW216" s="78"/>
      <c r="DX216" s="78"/>
      <c r="DY216" s="78"/>
      <c r="DZ216" s="78"/>
      <c r="EA216" s="78"/>
      <c r="EB216" s="78"/>
      <c r="EC216" s="78"/>
      <c r="ED216" s="78"/>
      <c r="EE216" s="78"/>
      <c r="EF216" s="78"/>
      <c r="EG216" s="78"/>
      <c r="EH216" s="78"/>
      <c r="EI216" s="91"/>
      <c r="EJ216" s="91"/>
      <c r="EK216" s="91"/>
      <c r="EL216" s="91"/>
      <c r="EM216" s="91"/>
      <c r="EN216" s="91"/>
      <c r="EO216" s="91"/>
      <c r="EP216" s="78"/>
      <c r="EQ216" s="78"/>
      <c r="ER216" s="78"/>
      <c r="ES216" s="78"/>
      <c r="ET216" s="78"/>
      <c r="EU216" s="78"/>
      <c r="EV216" s="78"/>
      <c r="EW216" s="78"/>
      <c r="EX216" s="78"/>
      <c r="EY216" s="78"/>
      <c r="EZ216" s="78"/>
      <c r="FA216" s="78"/>
      <c r="FB216" s="78"/>
      <c r="FC216" s="78"/>
      <c r="FD216" s="78"/>
      <c r="FE216" s="78"/>
      <c r="FF216" s="78"/>
      <c r="FG216" s="78"/>
      <c r="FH216" s="78"/>
      <c r="FI216" s="78"/>
      <c r="FJ216" s="78"/>
      <c r="FK216" s="78"/>
    </row>
    <row r="217" spans="1:167" outlineLevel="1">
      <c r="A217" s="29" t="str">
        <f t="shared" si="22"/>
        <v>modesg_param_sfcs_taxon_europeiacfinalidad</v>
      </c>
      <c r="B217" s="67" t="s">
        <v>26</v>
      </c>
      <c r="C217" s="68" t="s">
        <v>181</v>
      </c>
      <c r="D217" s="64" t="s">
        <v>40</v>
      </c>
      <c r="E217" s="66" t="s">
        <v>182</v>
      </c>
      <c r="F217" s="64" t="s">
        <v>200</v>
      </c>
      <c r="G217" s="64" t="e">
        <f>INDEX(Auxiliar!$B$16:$B$24,MATCH(Plano_V1!H217,Auxiliar!$C$16:$C$24,0),1)</f>
        <v>#N/A</v>
      </c>
      <c r="H217" s="64" t="e">
        <f>VLOOKUP(A217,'Aux - pivots1'!$A:$B,2,0)</f>
        <v>#N/A</v>
      </c>
      <c r="I217" s="84">
        <f>SUMIFS(Table1[Estimação (horas)],Table1[Tabela],Plano_V1!E217,Table1[Campo],Plano_V1!F217)</f>
        <v>0</v>
      </c>
      <c r="J217" s="84">
        <f t="shared" si="24"/>
        <v>0</v>
      </c>
      <c r="K217" s="89" t="s">
        <v>39</v>
      </c>
      <c r="L217" s="90">
        <f t="shared" si="21"/>
        <v>0</v>
      </c>
      <c r="M217" s="78"/>
      <c r="N217" s="78"/>
      <c r="O217" s="78"/>
      <c r="P217" s="78"/>
      <c r="Q217" s="78"/>
      <c r="R217" s="78"/>
      <c r="S217" s="78"/>
      <c r="T217" s="78"/>
      <c r="U217" s="78"/>
      <c r="V217" s="78"/>
      <c r="W217" s="78"/>
      <c r="X217" s="78"/>
      <c r="Y217" s="78"/>
      <c r="Z217" s="78"/>
      <c r="AA217" s="78"/>
      <c r="AB217" s="78"/>
      <c r="AC217" s="78"/>
      <c r="AD217" s="78"/>
      <c r="AE217" s="78"/>
      <c r="AF217" s="78"/>
      <c r="AG217" s="78"/>
      <c r="AH217" s="78"/>
      <c r="AI217" s="78"/>
      <c r="AJ217" s="78"/>
      <c r="AK217" s="78"/>
      <c r="AL217" s="78"/>
      <c r="AM217" s="78"/>
      <c r="AN217" s="78"/>
      <c r="AO217" s="78"/>
      <c r="AP217" s="78"/>
      <c r="AQ217" s="78"/>
      <c r="AR217" s="78"/>
      <c r="AS217" s="78"/>
      <c r="AT217" s="91"/>
      <c r="AU217" s="78"/>
      <c r="AV217" s="78"/>
      <c r="AW217" s="78"/>
      <c r="AX217" s="78"/>
      <c r="AY217" s="78"/>
      <c r="AZ217" s="78"/>
      <c r="BA217" s="78"/>
      <c r="BB217" s="78"/>
      <c r="BC217" s="78"/>
      <c r="BD217" s="78"/>
      <c r="BE217" s="78"/>
      <c r="BF217" s="78"/>
      <c r="BG217" s="78"/>
      <c r="BH217" s="78"/>
      <c r="BI217" s="78"/>
      <c r="BJ217" s="78"/>
      <c r="BK217" s="78"/>
      <c r="BL217" s="78"/>
      <c r="BM217" s="78"/>
      <c r="BN217" s="78"/>
      <c r="BO217" s="78"/>
      <c r="BP217" s="78"/>
      <c r="BQ217" s="78"/>
      <c r="BR217" s="78"/>
      <c r="BS217" s="78"/>
      <c r="BT217" s="78"/>
      <c r="BU217" s="78"/>
      <c r="BV217" s="78"/>
      <c r="BW217" s="78"/>
      <c r="BX217" s="78"/>
      <c r="BY217" s="78"/>
      <c r="BZ217" s="78"/>
      <c r="CA217" s="78"/>
      <c r="CB217" s="78"/>
      <c r="CC217" s="78"/>
      <c r="CD217" s="78"/>
      <c r="CE217" s="78"/>
      <c r="CF217" s="78"/>
      <c r="CG217" s="78"/>
      <c r="CH217" s="78"/>
      <c r="CI217" s="78"/>
      <c r="CJ217" s="78"/>
      <c r="CK217" s="78"/>
      <c r="CL217" s="78"/>
      <c r="CM217" s="78"/>
      <c r="CN217" s="78"/>
      <c r="CO217" s="78"/>
      <c r="CP217" s="78"/>
      <c r="CQ217" s="78"/>
      <c r="CR217" s="78"/>
      <c r="CS217" s="78"/>
      <c r="CT217" s="78"/>
      <c r="CU217" s="78"/>
      <c r="CV217" s="78"/>
      <c r="CW217" s="78"/>
      <c r="CX217" s="78"/>
      <c r="CY217" s="78"/>
      <c r="CZ217" s="78"/>
      <c r="DA217" s="78"/>
      <c r="DB217" s="78"/>
      <c r="DC217" s="78"/>
      <c r="DD217" s="78"/>
      <c r="DE217" s="78"/>
      <c r="DF217" s="78"/>
      <c r="DG217" s="78"/>
      <c r="DH217" s="78"/>
      <c r="DI217" s="78"/>
      <c r="DJ217" s="78"/>
      <c r="DK217" s="78"/>
      <c r="DL217" s="78"/>
      <c r="DM217" s="78"/>
      <c r="DN217" s="78"/>
      <c r="DO217" s="78"/>
      <c r="DP217" s="78"/>
      <c r="DQ217" s="78"/>
      <c r="DR217" s="78"/>
      <c r="DS217" s="78"/>
      <c r="DT217" s="78"/>
      <c r="DU217" s="78"/>
      <c r="DV217" s="78"/>
      <c r="DW217" s="78"/>
      <c r="DX217" s="78"/>
      <c r="DY217" s="78"/>
      <c r="DZ217" s="78"/>
      <c r="EA217" s="78"/>
      <c r="EB217" s="78"/>
      <c r="EC217" s="78"/>
      <c r="ED217" s="78"/>
      <c r="EE217" s="78"/>
      <c r="EF217" s="78"/>
      <c r="EG217" s="78"/>
      <c r="EH217" s="78"/>
      <c r="EI217" s="91"/>
      <c r="EJ217" s="91"/>
      <c r="EK217" s="91"/>
      <c r="EL217" s="91"/>
      <c r="EM217" s="91"/>
      <c r="EN217" s="91"/>
      <c r="EO217" s="91"/>
      <c r="EP217" s="78"/>
      <c r="EQ217" s="78"/>
      <c r="ER217" s="78"/>
      <c r="ES217" s="78"/>
      <c r="ET217" s="78"/>
      <c r="EU217" s="78"/>
      <c r="EV217" s="78"/>
      <c r="EW217" s="78"/>
      <c r="EX217" s="78"/>
      <c r="EY217" s="78"/>
      <c r="EZ217" s="78"/>
      <c r="FA217" s="78"/>
      <c r="FB217" s="78"/>
      <c r="FC217" s="78"/>
      <c r="FD217" s="78"/>
      <c r="FE217" s="78"/>
      <c r="FF217" s="78"/>
      <c r="FG217" s="78"/>
      <c r="FH217" s="78"/>
      <c r="FI217" s="78"/>
      <c r="FJ217" s="78"/>
      <c r="FK217" s="78"/>
    </row>
    <row r="218" spans="1:167" outlineLevel="1">
      <c r="A218" s="29" t="str">
        <f t="shared" si="22"/>
        <v>modesg_param_sfcs_taxon_europeiatipo_combust</v>
      </c>
      <c r="B218" s="67" t="s">
        <v>26</v>
      </c>
      <c r="C218" s="68" t="s">
        <v>181</v>
      </c>
      <c r="D218" s="64" t="s">
        <v>40</v>
      </c>
      <c r="E218" s="66" t="s">
        <v>182</v>
      </c>
      <c r="F218" s="64" t="s">
        <v>201</v>
      </c>
      <c r="G218" s="64" t="e">
        <f>INDEX(Auxiliar!$B$16:$B$24,MATCH(Plano_V1!H218,Auxiliar!$C$16:$C$24,0),1)</f>
        <v>#N/A</v>
      </c>
      <c r="H218" s="64" t="e">
        <f>VLOOKUP(A218,'Aux - pivots1'!$A:$B,2,0)</f>
        <v>#N/A</v>
      </c>
      <c r="I218" s="84">
        <f>SUMIFS(Table1[Estimação (horas)],Table1[Tabela],Plano_V1!E218,Table1[Campo],Plano_V1!F218)</f>
        <v>0</v>
      </c>
      <c r="J218" s="84">
        <f t="shared" si="24"/>
        <v>0</v>
      </c>
      <c r="K218" s="89" t="s">
        <v>39</v>
      </c>
      <c r="L218" s="90">
        <f t="shared" ref="L218:L281" si="25">J218-SUM(M218:FK218)</f>
        <v>0</v>
      </c>
      <c r="M218" s="78"/>
      <c r="N218" s="78"/>
      <c r="O218" s="78"/>
      <c r="P218" s="78"/>
      <c r="Q218" s="78"/>
      <c r="R218" s="78"/>
      <c r="S218" s="78"/>
      <c r="T218" s="78"/>
      <c r="U218" s="78"/>
      <c r="V218" s="78"/>
      <c r="W218" s="78"/>
      <c r="X218" s="78"/>
      <c r="Y218" s="78"/>
      <c r="Z218" s="78"/>
      <c r="AA218" s="78"/>
      <c r="AB218" s="78"/>
      <c r="AC218" s="78"/>
      <c r="AD218" s="78"/>
      <c r="AE218" s="78"/>
      <c r="AF218" s="78"/>
      <c r="AG218" s="78"/>
      <c r="AH218" s="78"/>
      <c r="AI218" s="78"/>
      <c r="AJ218" s="78"/>
      <c r="AK218" s="78"/>
      <c r="AL218" s="78"/>
      <c r="AM218" s="78"/>
      <c r="AN218" s="78"/>
      <c r="AO218" s="78"/>
      <c r="AP218" s="78"/>
      <c r="AQ218" s="78"/>
      <c r="AR218" s="78"/>
      <c r="AS218" s="78"/>
      <c r="AT218" s="91"/>
      <c r="AU218" s="78"/>
      <c r="AV218" s="78"/>
      <c r="AW218" s="78"/>
      <c r="AX218" s="78"/>
      <c r="AY218" s="78"/>
      <c r="AZ218" s="78"/>
      <c r="BA218" s="78"/>
      <c r="BB218" s="78"/>
      <c r="BC218" s="78"/>
      <c r="BD218" s="78"/>
      <c r="BE218" s="78"/>
      <c r="BF218" s="78"/>
      <c r="BG218" s="78"/>
      <c r="BH218" s="78"/>
      <c r="BI218" s="78"/>
      <c r="BJ218" s="78"/>
      <c r="BK218" s="78"/>
      <c r="BL218" s="78"/>
      <c r="BM218" s="78"/>
      <c r="BN218" s="78"/>
      <c r="BO218" s="78"/>
      <c r="BP218" s="78"/>
      <c r="BQ218" s="78"/>
      <c r="BR218" s="78"/>
      <c r="BS218" s="78"/>
      <c r="BT218" s="78"/>
      <c r="BU218" s="78"/>
      <c r="BV218" s="78"/>
      <c r="BW218" s="78"/>
      <c r="BX218" s="78"/>
      <c r="BY218" s="78"/>
      <c r="BZ218" s="78"/>
      <c r="CA218" s="78"/>
      <c r="CB218" s="78"/>
      <c r="CC218" s="78"/>
      <c r="CD218" s="78"/>
      <c r="CE218" s="78"/>
      <c r="CF218" s="78"/>
      <c r="CG218" s="78"/>
      <c r="CH218" s="78"/>
      <c r="CI218" s="78"/>
      <c r="CJ218" s="78"/>
      <c r="CK218" s="78"/>
      <c r="CL218" s="78"/>
      <c r="CM218" s="78"/>
      <c r="CN218" s="78"/>
      <c r="CO218" s="78"/>
      <c r="CP218" s="78"/>
      <c r="CQ218" s="78"/>
      <c r="CR218" s="78"/>
      <c r="CS218" s="78"/>
      <c r="CT218" s="78"/>
      <c r="CU218" s="78"/>
      <c r="CV218" s="78"/>
      <c r="CW218" s="78"/>
      <c r="CX218" s="78"/>
      <c r="CY218" s="78"/>
      <c r="CZ218" s="78"/>
      <c r="DA218" s="78"/>
      <c r="DB218" s="78"/>
      <c r="DC218" s="78"/>
      <c r="DD218" s="78"/>
      <c r="DE218" s="78"/>
      <c r="DF218" s="78"/>
      <c r="DG218" s="78"/>
      <c r="DH218" s="78"/>
      <c r="DI218" s="78"/>
      <c r="DJ218" s="78"/>
      <c r="DK218" s="78"/>
      <c r="DL218" s="78"/>
      <c r="DM218" s="78"/>
      <c r="DN218" s="78"/>
      <c r="DO218" s="78"/>
      <c r="DP218" s="78"/>
      <c r="DQ218" s="78"/>
      <c r="DR218" s="78"/>
      <c r="DS218" s="78"/>
      <c r="DT218" s="78"/>
      <c r="DU218" s="78"/>
      <c r="DV218" s="78"/>
      <c r="DW218" s="78"/>
      <c r="DX218" s="78"/>
      <c r="DY218" s="78"/>
      <c r="DZ218" s="78"/>
      <c r="EA218" s="78"/>
      <c r="EB218" s="78"/>
      <c r="EC218" s="78"/>
      <c r="ED218" s="78"/>
      <c r="EE218" s="78"/>
      <c r="EF218" s="78"/>
      <c r="EG218" s="78"/>
      <c r="EH218" s="78"/>
      <c r="EI218" s="91"/>
      <c r="EJ218" s="91"/>
      <c r="EK218" s="91"/>
      <c r="EL218" s="91"/>
      <c r="EM218" s="91"/>
      <c r="EN218" s="91"/>
      <c r="EO218" s="91"/>
      <c r="EP218" s="78"/>
      <c r="EQ218" s="78"/>
      <c r="ER218" s="78"/>
      <c r="ES218" s="78"/>
      <c r="ET218" s="78"/>
      <c r="EU218" s="78"/>
      <c r="EV218" s="78"/>
      <c r="EW218" s="78"/>
      <c r="EX218" s="78"/>
      <c r="EY218" s="78"/>
      <c r="EZ218" s="78"/>
      <c r="FA218" s="78"/>
      <c r="FB218" s="78"/>
      <c r="FC218" s="78"/>
      <c r="FD218" s="78"/>
      <c r="FE218" s="78"/>
      <c r="FF218" s="78"/>
      <c r="FG218" s="78"/>
      <c r="FH218" s="78"/>
      <c r="FI218" s="78"/>
      <c r="FJ218" s="78"/>
      <c r="FK218" s="78"/>
    </row>
    <row r="219" spans="1:167" outlineLevel="1">
      <c r="A219" s="29" t="str">
        <f t="shared" si="22"/>
        <v>modesg_param_sfcs_taxon_europeiamontante_pndrc</v>
      </c>
      <c r="B219" s="67" t="s">
        <v>26</v>
      </c>
      <c r="C219" s="68" t="s">
        <v>181</v>
      </c>
      <c r="D219" s="64" t="s">
        <v>40</v>
      </c>
      <c r="E219" s="66" t="s">
        <v>182</v>
      </c>
      <c r="F219" s="64" t="s">
        <v>202</v>
      </c>
      <c r="G219" s="64" t="e">
        <f>INDEX(Auxiliar!$B$16:$B$24,MATCH(Plano_V1!H219,Auxiliar!$C$16:$C$24,0),1)</f>
        <v>#N/A</v>
      </c>
      <c r="H219" s="64" t="e">
        <f>VLOOKUP(A219,'Aux - pivots1'!$A:$B,2,0)</f>
        <v>#N/A</v>
      </c>
      <c r="I219" s="84">
        <f>SUMIFS(Table1[Estimação (horas)],Table1[Tabela],Plano_V1!E219,Table1[Campo],Plano_V1!F219)</f>
        <v>0</v>
      </c>
      <c r="J219" s="84">
        <f t="shared" si="24"/>
        <v>0</v>
      </c>
      <c r="K219" s="89" t="s">
        <v>39</v>
      </c>
      <c r="L219" s="90">
        <f t="shared" si="25"/>
        <v>0</v>
      </c>
      <c r="M219" s="78"/>
      <c r="N219" s="78"/>
      <c r="O219" s="78"/>
      <c r="P219" s="78"/>
      <c r="Q219" s="78"/>
      <c r="R219" s="78"/>
      <c r="S219" s="78"/>
      <c r="T219" s="78"/>
      <c r="U219" s="78"/>
      <c r="V219" s="78"/>
      <c r="W219" s="78"/>
      <c r="X219" s="78"/>
      <c r="Y219" s="78"/>
      <c r="Z219" s="78"/>
      <c r="AA219" s="78"/>
      <c r="AB219" s="78"/>
      <c r="AC219" s="78"/>
      <c r="AD219" s="78"/>
      <c r="AE219" s="78"/>
      <c r="AF219" s="78"/>
      <c r="AG219" s="78"/>
      <c r="AH219" s="78"/>
      <c r="AI219" s="78"/>
      <c r="AJ219" s="78"/>
      <c r="AK219" s="78"/>
      <c r="AL219" s="78"/>
      <c r="AM219" s="78"/>
      <c r="AN219" s="78"/>
      <c r="AO219" s="78"/>
      <c r="AP219" s="78"/>
      <c r="AQ219" s="78"/>
      <c r="AR219" s="78"/>
      <c r="AS219" s="78"/>
      <c r="AT219" s="91"/>
      <c r="AU219" s="78"/>
      <c r="AV219" s="78"/>
      <c r="AW219" s="78"/>
      <c r="AX219" s="78"/>
      <c r="AY219" s="78"/>
      <c r="AZ219" s="78"/>
      <c r="BA219" s="78"/>
      <c r="BB219" s="78"/>
      <c r="BC219" s="78"/>
      <c r="BD219" s="78"/>
      <c r="BE219" s="78"/>
      <c r="BF219" s="78"/>
      <c r="BG219" s="78"/>
      <c r="BH219" s="78"/>
      <c r="BI219" s="78"/>
      <c r="BJ219" s="78"/>
      <c r="BK219" s="78"/>
      <c r="BL219" s="78"/>
      <c r="BM219" s="78"/>
      <c r="BN219" s="78"/>
      <c r="BO219" s="78"/>
      <c r="BP219" s="78"/>
      <c r="BQ219" s="78"/>
      <c r="BR219" s="78"/>
      <c r="BS219" s="78"/>
      <c r="BT219" s="78"/>
      <c r="BU219" s="78"/>
      <c r="BV219" s="78"/>
      <c r="BW219" s="78"/>
      <c r="BX219" s="78"/>
      <c r="BY219" s="78"/>
      <c r="BZ219" s="78"/>
      <c r="CA219" s="78"/>
      <c r="CB219" s="78"/>
      <c r="CC219" s="78"/>
      <c r="CD219" s="78"/>
      <c r="CE219" s="78"/>
      <c r="CF219" s="78"/>
      <c r="CG219" s="78"/>
      <c r="CH219" s="78"/>
      <c r="CI219" s="78"/>
      <c r="CJ219" s="78"/>
      <c r="CK219" s="78"/>
      <c r="CL219" s="78"/>
      <c r="CM219" s="78"/>
      <c r="CN219" s="78"/>
      <c r="CO219" s="78"/>
      <c r="CP219" s="78"/>
      <c r="CQ219" s="78"/>
      <c r="CR219" s="78"/>
      <c r="CS219" s="78"/>
      <c r="CT219" s="78"/>
      <c r="CU219" s="78"/>
      <c r="CV219" s="78"/>
      <c r="CW219" s="78"/>
      <c r="CX219" s="78"/>
      <c r="CY219" s="78"/>
      <c r="CZ219" s="78"/>
      <c r="DA219" s="78"/>
      <c r="DB219" s="78"/>
      <c r="DC219" s="78"/>
      <c r="DD219" s="78"/>
      <c r="DE219" s="78"/>
      <c r="DF219" s="78"/>
      <c r="DG219" s="78"/>
      <c r="DH219" s="78"/>
      <c r="DI219" s="78"/>
      <c r="DJ219" s="78"/>
      <c r="DK219" s="78"/>
      <c r="DL219" s="78"/>
      <c r="DM219" s="78"/>
      <c r="DN219" s="78"/>
      <c r="DO219" s="78"/>
      <c r="DP219" s="78"/>
      <c r="DQ219" s="78"/>
      <c r="DR219" s="78"/>
      <c r="DS219" s="78"/>
      <c r="DT219" s="78"/>
      <c r="DU219" s="78"/>
      <c r="DV219" s="78"/>
      <c r="DW219" s="78"/>
      <c r="DX219" s="78"/>
      <c r="DY219" s="78"/>
      <c r="DZ219" s="78"/>
      <c r="EA219" s="78"/>
      <c r="EB219" s="78"/>
      <c r="EC219" s="78"/>
      <c r="ED219" s="78"/>
      <c r="EE219" s="78"/>
      <c r="EF219" s="78"/>
      <c r="EG219" s="78"/>
      <c r="EH219" s="78"/>
      <c r="EI219" s="91"/>
      <c r="EJ219" s="91"/>
      <c r="EK219" s="91"/>
      <c r="EL219" s="91"/>
      <c r="EM219" s="91"/>
      <c r="EN219" s="91"/>
      <c r="EO219" s="91"/>
      <c r="EP219" s="78"/>
      <c r="EQ219" s="78"/>
      <c r="ER219" s="78"/>
      <c r="ES219" s="78"/>
      <c r="ET219" s="78"/>
      <c r="EU219" s="78"/>
      <c r="EV219" s="78"/>
      <c r="EW219" s="78"/>
      <c r="EX219" s="78"/>
      <c r="EY219" s="78"/>
      <c r="EZ219" s="78"/>
      <c r="FA219" s="78"/>
      <c r="FB219" s="78"/>
      <c r="FC219" s="78"/>
      <c r="FD219" s="78"/>
      <c r="FE219" s="78"/>
      <c r="FF219" s="78"/>
      <c r="FG219" s="78"/>
      <c r="FH219" s="78"/>
      <c r="FI219" s="78"/>
      <c r="FJ219" s="78"/>
      <c r="FK219" s="78"/>
    </row>
    <row r="220" spans="1:167" outlineLevel="1">
      <c r="A220" s="29" t="str">
        <f t="shared" si="22"/>
        <v>modesg_param_sfcs_taxon_europeianome_ctgr_sfcs</v>
      </c>
      <c r="B220" s="67" t="s">
        <v>26</v>
      </c>
      <c r="C220" s="68" t="s">
        <v>181</v>
      </c>
      <c r="D220" s="64" t="s">
        <v>40</v>
      </c>
      <c r="E220" s="66" t="s">
        <v>182</v>
      </c>
      <c r="F220" s="64" t="s">
        <v>203</v>
      </c>
      <c r="G220" s="64" t="e">
        <f>INDEX(Auxiliar!$B$16:$B$24,MATCH(Plano_V1!H220,Auxiliar!$C$16:$C$24,0),1)</f>
        <v>#N/A</v>
      </c>
      <c r="H220" s="64" t="e">
        <f>VLOOKUP(A220,'Aux - pivots1'!$A:$B,2,0)</f>
        <v>#N/A</v>
      </c>
      <c r="I220" s="84">
        <f>SUMIFS(Table1[Estimação (horas)],Table1[Tabela],Plano_V1!E220,Table1[Campo],Plano_V1!F220)</f>
        <v>0</v>
      </c>
      <c r="J220" s="84">
        <f t="shared" si="24"/>
        <v>0</v>
      </c>
      <c r="K220" s="89" t="s">
        <v>39</v>
      </c>
      <c r="L220" s="90">
        <f t="shared" si="25"/>
        <v>0</v>
      </c>
      <c r="M220" s="78"/>
      <c r="N220" s="78"/>
      <c r="O220" s="78"/>
      <c r="P220" s="78"/>
      <c r="Q220" s="78"/>
      <c r="R220" s="78"/>
      <c r="S220" s="78"/>
      <c r="T220" s="78"/>
      <c r="U220" s="78"/>
      <c r="V220" s="78"/>
      <c r="W220" s="78"/>
      <c r="X220" s="78"/>
      <c r="Y220" s="78"/>
      <c r="Z220" s="78"/>
      <c r="AA220" s="78"/>
      <c r="AB220" s="78"/>
      <c r="AC220" s="78"/>
      <c r="AD220" s="78"/>
      <c r="AE220" s="78"/>
      <c r="AF220" s="78"/>
      <c r="AG220" s="78"/>
      <c r="AH220" s="78"/>
      <c r="AI220" s="78"/>
      <c r="AJ220" s="78"/>
      <c r="AK220" s="78"/>
      <c r="AL220" s="78"/>
      <c r="AM220" s="78"/>
      <c r="AN220" s="78"/>
      <c r="AO220" s="78"/>
      <c r="AP220" s="78"/>
      <c r="AQ220" s="78"/>
      <c r="AR220" s="78"/>
      <c r="AS220" s="78"/>
      <c r="AT220" s="91"/>
      <c r="AU220" s="78"/>
      <c r="AV220" s="78"/>
      <c r="AW220" s="78"/>
      <c r="AX220" s="78"/>
      <c r="AY220" s="78"/>
      <c r="AZ220" s="78"/>
      <c r="BA220" s="78"/>
      <c r="BB220" s="78"/>
      <c r="BC220" s="78"/>
      <c r="BD220" s="78"/>
      <c r="BE220" s="78"/>
      <c r="BF220" s="78"/>
      <c r="BG220" s="78"/>
      <c r="BH220" s="78"/>
      <c r="BI220" s="78"/>
      <c r="BJ220" s="78"/>
      <c r="BK220" s="78"/>
      <c r="BL220" s="78"/>
      <c r="BM220" s="78"/>
      <c r="BN220" s="78"/>
      <c r="BO220" s="78"/>
      <c r="BP220" s="78"/>
      <c r="BQ220" s="78"/>
      <c r="BR220" s="78"/>
      <c r="BS220" s="78"/>
      <c r="BT220" s="78"/>
      <c r="BU220" s="78"/>
      <c r="BV220" s="78"/>
      <c r="BW220" s="78"/>
      <c r="BX220" s="78"/>
      <c r="BY220" s="78"/>
      <c r="BZ220" s="78"/>
      <c r="CA220" s="78"/>
      <c r="CB220" s="78"/>
      <c r="CC220" s="78"/>
      <c r="CD220" s="78"/>
      <c r="CE220" s="78"/>
      <c r="CF220" s="78"/>
      <c r="CG220" s="78"/>
      <c r="CH220" s="78"/>
      <c r="CI220" s="78"/>
      <c r="CJ220" s="78"/>
      <c r="CK220" s="78"/>
      <c r="CL220" s="78"/>
      <c r="CM220" s="78"/>
      <c r="CN220" s="78"/>
      <c r="CO220" s="78"/>
      <c r="CP220" s="78"/>
      <c r="CQ220" s="78"/>
      <c r="CR220" s="78"/>
      <c r="CS220" s="78"/>
      <c r="CT220" s="78"/>
      <c r="CU220" s="78"/>
      <c r="CV220" s="78"/>
      <c r="CW220" s="78"/>
      <c r="CX220" s="78"/>
      <c r="CY220" s="78"/>
      <c r="CZ220" s="78"/>
      <c r="DA220" s="78"/>
      <c r="DB220" s="78"/>
      <c r="DC220" s="78"/>
      <c r="DD220" s="78"/>
      <c r="DE220" s="78"/>
      <c r="DF220" s="78"/>
      <c r="DG220" s="78"/>
      <c r="DH220" s="78"/>
      <c r="DI220" s="78"/>
      <c r="DJ220" s="78"/>
      <c r="DK220" s="78"/>
      <c r="DL220" s="78"/>
      <c r="DM220" s="78"/>
      <c r="DN220" s="78"/>
      <c r="DO220" s="78"/>
      <c r="DP220" s="78"/>
      <c r="DQ220" s="78"/>
      <c r="DR220" s="78"/>
      <c r="DS220" s="78"/>
      <c r="DT220" s="78"/>
      <c r="DU220" s="78"/>
      <c r="DV220" s="78"/>
      <c r="DW220" s="78"/>
      <c r="DX220" s="78"/>
      <c r="DY220" s="78"/>
      <c r="DZ220" s="78"/>
      <c r="EA220" s="78"/>
      <c r="EB220" s="78"/>
      <c r="EC220" s="78"/>
      <c r="ED220" s="78"/>
      <c r="EE220" s="78"/>
      <c r="EF220" s="78"/>
      <c r="EG220" s="78"/>
      <c r="EH220" s="78"/>
      <c r="EI220" s="91"/>
      <c r="EJ220" s="91"/>
      <c r="EK220" s="91"/>
      <c r="EL220" s="91"/>
      <c r="EM220" s="91"/>
      <c r="EN220" s="91"/>
      <c r="EO220" s="91"/>
      <c r="EP220" s="78"/>
      <c r="EQ220" s="78"/>
      <c r="ER220" s="78"/>
      <c r="ES220" s="78"/>
      <c r="ET220" s="78"/>
      <c r="EU220" s="78"/>
      <c r="EV220" s="78"/>
      <c r="EW220" s="78"/>
      <c r="EX220" s="78"/>
      <c r="EY220" s="78"/>
      <c r="EZ220" s="78"/>
      <c r="FA220" s="78"/>
      <c r="FB220" s="78"/>
      <c r="FC220" s="78"/>
      <c r="FD220" s="78"/>
      <c r="FE220" s="78"/>
      <c r="FF220" s="78"/>
      <c r="FG220" s="78"/>
      <c r="FH220" s="78"/>
      <c r="FI220" s="78"/>
      <c r="FJ220" s="78"/>
      <c r="FK220" s="78"/>
    </row>
    <row r="221" spans="1:167" outlineLevel="1">
      <c r="A221" s="29" t="str">
        <f t="shared" ref="A221:A284" si="26">E221&amp;F221</f>
        <v>modesg_param_sfcs_taxon_europeianome_general_specific_purpose</v>
      </c>
      <c r="B221" s="67" t="s">
        <v>26</v>
      </c>
      <c r="C221" s="68" t="s">
        <v>181</v>
      </c>
      <c r="D221" s="64" t="s">
        <v>40</v>
      </c>
      <c r="E221" s="66" t="s">
        <v>182</v>
      </c>
      <c r="F221" s="64" t="s">
        <v>204</v>
      </c>
      <c r="G221" s="64" t="e">
        <f>INDEX(Auxiliar!$B$16:$B$24,MATCH(Plano_V1!H221,Auxiliar!$C$16:$C$24,0),1)</f>
        <v>#N/A</v>
      </c>
      <c r="H221" s="64" t="e">
        <f>VLOOKUP(A221,'Aux - pivots1'!$A:$B,2,0)</f>
        <v>#N/A</v>
      </c>
      <c r="I221" s="84">
        <f>SUMIFS(Table1[Estimação (horas)],Table1[Tabela],Plano_V1!E221,Table1[Campo],Plano_V1!F221)</f>
        <v>0</v>
      </c>
      <c r="J221" s="84">
        <f t="shared" si="24"/>
        <v>0</v>
      </c>
      <c r="K221" s="89" t="s">
        <v>39</v>
      </c>
      <c r="L221" s="90">
        <f t="shared" si="25"/>
        <v>0</v>
      </c>
      <c r="M221" s="78"/>
      <c r="N221" s="78"/>
      <c r="O221" s="78"/>
      <c r="P221" s="78"/>
      <c r="Q221" s="78"/>
      <c r="R221" s="78"/>
      <c r="S221" s="78"/>
      <c r="T221" s="78"/>
      <c r="U221" s="78"/>
      <c r="V221" s="78"/>
      <c r="W221" s="78"/>
      <c r="X221" s="78"/>
      <c r="Y221" s="78"/>
      <c r="Z221" s="78"/>
      <c r="AA221" s="78"/>
      <c r="AB221" s="78"/>
      <c r="AC221" s="78"/>
      <c r="AD221" s="78"/>
      <c r="AE221" s="78"/>
      <c r="AF221" s="78"/>
      <c r="AG221" s="78"/>
      <c r="AH221" s="78"/>
      <c r="AI221" s="78"/>
      <c r="AJ221" s="78"/>
      <c r="AK221" s="78"/>
      <c r="AL221" s="78"/>
      <c r="AM221" s="78"/>
      <c r="AN221" s="78"/>
      <c r="AO221" s="78"/>
      <c r="AP221" s="78"/>
      <c r="AQ221" s="78"/>
      <c r="AR221" s="78"/>
      <c r="AS221" s="78"/>
      <c r="AT221" s="91"/>
      <c r="AU221" s="78"/>
      <c r="AV221" s="78"/>
      <c r="AW221" s="78"/>
      <c r="AX221" s="78"/>
      <c r="AY221" s="78"/>
      <c r="AZ221" s="78"/>
      <c r="BA221" s="78"/>
      <c r="BB221" s="78"/>
      <c r="BC221" s="78"/>
      <c r="BD221" s="78"/>
      <c r="BE221" s="78"/>
      <c r="BF221" s="78"/>
      <c r="BG221" s="78"/>
      <c r="BH221" s="78"/>
      <c r="BI221" s="78"/>
      <c r="BJ221" s="78"/>
      <c r="BK221" s="78"/>
      <c r="BL221" s="78"/>
      <c r="BM221" s="78"/>
      <c r="BN221" s="78"/>
      <c r="BO221" s="78"/>
      <c r="BP221" s="78"/>
      <c r="BQ221" s="78"/>
      <c r="BR221" s="78"/>
      <c r="BS221" s="78"/>
      <c r="BT221" s="78"/>
      <c r="BU221" s="78"/>
      <c r="BV221" s="78"/>
      <c r="BW221" s="78"/>
      <c r="BX221" s="78"/>
      <c r="BY221" s="78"/>
      <c r="BZ221" s="78"/>
      <c r="CA221" s="78"/>
      <c r="CB221" s="78"/>
      <c r="CC221" s="78"/>
      <c r="CD221" s="78"/>
      <c r="CE221" s="78"/>
      <c r="CF221" s="78"/>
      <c r="CG221" s="78"/>
      <c r="CH221" s="78"/>
      <c r="CI221" s="78"/>
      <c r="CJ221" s="78"/>
      <c r="CK221" s="78"/>
      <c r="CL221" s="78"/>
      <c r="CM221" s="78"/>
      <c r="CN221" s="78"/>
      <c r="CO221" s="78"/>
      <c r="CP221" s="78"/>
      <c r="CQ221" s="78"/>
      <c r="CR221" s="78"/>
      <c r="CS221" s="78"/>
      <c r="CT221" s="78"/>
      <c r="CU221" s="78"/>
      <c r="CV221" s="78"/>
      <c r="CW221" s="78"/>
      <c r="CX221" s="78"/>
      <c r="CY221" s="78"/>
      <c r="CZ221" s="78"/>
      <c r="DA221" s="78"/>
      <c r="DB221" s="78"/>
      <c r="DC221" s="78"/>
      <c r="DD221" s="78"/>
      <c r="DE221" s="78"/>
      <c r="DF221" s="78"/>
      <c r="DG221" s="78"/>
      <c r="DH221" s="78"/>
      <c r="DI221" s="78"/>
      <c r="DJ221" s="78"/>
      <c r="DK221" s="78"/>
      <c r="DL221" s="78"/>
      <c r="DM221" s="78"/>
      <c r="DN221" s="78"/>
      <c r="DO221" s="78"/>
      <c r="DP221" s="78"/>
      <c r="DQ221" s="78"/>
      <c r="DR221" s="78"/>
      <c r="DS221" s="78"/>
      <c r="DT221" s="78"/>
      <c r="DU221" s="78"/>
      <c r="DV221" s="78"/>
      <c r="DW221" s="78"/>
      <c r="DX221" s="78"/>
      <c r="DY221" s="78"/>
      <c r="DZ221" s="78"/>
      <c r="EA221" s="78"/>
      <c r="EB221" s="78"/>
      <c r="EC221" s="78"/>
      <c r="ED221" s="78"/>
      <c r="EE221" s="78"/>
      <c r="EF221" s="78"/>
      <c r="EG221" s="78"/>
      <c r="EH221" s="78"/>
      <c r="EI221" s="91"/>
      <c r="EJ221" s="91"/>
      <c r="EK221" s="91"/>
      <c r="EL221" s="91"/>
      <c r="EM221" s="91"/>
      <c r="EN221" s="91"/>
      <c r="EO221" s="91"/>
      <c r="EP221" s="78"/>
      <c r="EQ221" s="78"/>
      <c r="ER221" s="78"/>
      <c r="ES221" s="78"/>
      <c r="ET221" s="78"/>
      <c r="EU221" s="78"/>
      <c r="EV221" s="78"/>
      <c r="EW221" s="78"/>
      <c r="EX221" s="78"/>
      <c r="EY221" s="78"/>
      <c r="EZ221" s="78"/>
      <c r="FA221" s="78"/>
      <c r="FB221" s="78"/>
      <c r="FC221" s="78"/>
      <c r="FD221" s="78"/>
      <c r="FE221" s="78"/>
      <c r="FF221" s="78"/>
      <c r="FG221" s="78"/>
      <c r="FH221" s="78"/>
      <c r="FI221" s="78"/>
      <c r="FJ221" s="78"/>
      <c r="FK221" s="78"/>
    </row>
    <row r="222" spans="1:167" outlineLevel="1">
      <c r="A222" s="29" t="str">
        <f t="shared" si="26"/>
        <v>modesg_param_sfcs_taxon_europeianome_purpose_esg</v>
      </c>
      <c r="B222" s="67" t="s">
        <v>26</v>
      </c>
      <c r="C222" s="68" t="s">
        <v>181</v>
      </c>
      <c r="D222" s="64" t="s">
        <v>40</v>
      </c>
      <c r="E222" s="66" t="s">
        <v>182</v>
      </c>
      <c r="F222" s="64" t="s">
        <v>205</v>
      </c>
      <c r="G222" s="64" t="e">
        <f>INDEX(Auxiliar!$B$16:$B$24,MATCH(Plano_V1!H222,Auxiliar!$C$16:$C$24,0),1)</f>
        <v>#N/A</v>
      </c>
      <c r="H222" s="64" t="e">
        <f>VLOOKUP(A222,'Aux - pivots1'!$A:$B,2,0)</f>
        <v>#N/A</v>
      </c>
      <c r="I222" s="84">
        <f>SUMIFS(Table1[Estimação (horas)],Table1[Tabela],Plano_V1!E222,Table1[Campo],Plano_V1!F222)</f>
        <v>0</v>
      </c>
      <c r="J222" s="84">
        <f t="shared" si="24"/>
        <v>0</v>
      </c>
      <c r="K222" s="89" t="s">
        <v>39</v>
      </c>
      <c r="L222" s="90">
        <f t="shared" si="25"/>
        <v>0</v>
      </c>
      <c r="M222" s="78"/>
      <c r="N222" s="78"/>
      <c r="O222" s="78"/>
      <c r="P222" s="78"/>
      <c r="Q222" s="78"/>
      <c r="R222" s="78"/>
      <c r="S222" s="78"/>
      <c r="T222" s="78"/>
      <c r="U222" s="78"/>
      <c r="V222" s="78"/>
      <c r="W222" s="78"/>
      <c r="X222" s="78"/>
      <c r="Y222" s="78"/>
      <c r="Z222" s="78"/>
      <c r="AA222" s="78"/>
      <c r="AB222" s="78"/>
      <c r="AC222" s="78"/>
      <c r="AD222" s="78"/>
      <c r="AE222" s="78"/>
      <c r="AF222" s="78"/>
      <c r="AG222" s="78"/>
      <c r="AH222" s="78"/>
      <c r="AI222" s="78"/>
      <c r="AJ222" s="78"/>
      <c r="AK222" s="78"/>
      <c r="AL222" s="78"/>
      <c r="AM222" s="78"/>
      <c r="AN222" s="78"/>
      <c r="AO222" s="78"/>
      <c r="AP222" s="78"/>
      <c r="AQ222" s="78"/>
      <c r="AR222" s="78"/>
      <c r="AS222" s="78"/>
      <c r="AT222" s="91"/>
      <c r="AU222" s="78"/>
      <c r="AV222" s="78"/>
      <c r="AW222" s="78"/>
      <c r="AX222" s="78"/>
      <c r="AY222" s="78"/>
      <c r="AZ222" s="78"/>
      <c r="BA222" s="78"/>
      <c r="BB222" s="78"/>
      <c r="BC222" s="78"/>
      <c r="BD222" s="78"/>
      <c r="BE222" s="78"/>
      <c r="BF222" s="78"/>
      <c r="BG222" s="78"/>
      <c r="BH222" s="78"/>
      <c r="BI222" s="78"/>
      <c r="BJ222" s="78"/>
      <c r="BK222" s="78"/>
      <c r="BL222" s="78"/>
      <c r="BM222" s="78"/>
      <c r="BN222" s="78"/>
      <c r="BO222" s="78"/>
      <c r="BP222" s="78"/>
      <c r="BQ222" s="78"/>
      <c r="BR222" s="78"/>
      <c r="BS222" s="78"/>
      <c r="BT222" s="78"/>
      <c r="BU222" s="78"/>
      <c r="BV222" s="78"/>
      <c r="BW222" s="78"/>
      <c r="BX222" s="78"/>
      <c r="BY222" s="78"/>
      <c r="BZ222" s="78"/>
      <c r="CA222" s="78"/>
      <c r="CB222" s="78"/>
      <c r="CC222" s="78"/>
      <c r="CD222" s="78"/>
      <c r="CE222" s="78"/>
      <c r="CF222" s="78"/>
      <c r="CG222" s="78"/>
      <c r="CH222" s="78"/>
      <c r="CI222" s="78"/>
      <c r="CJ222" s="78"/>
      <c r="CK222" s="78"/>
      <c r="CL222" s="78"/>
      <c r="CM222" s="78"/>
      <c r="CN222" s="78"/>
      <c r="CO222" s="78"/>
      <c r="CP222" s="78"/>
      <c r="CQ222" s="78"/>
      <c r="CR222" s="78"/>
      <c r="CS222" s="78"/>
      <c r="CT222" s="78"/>
      <c r="CU222" s="78"/>
      <c r="CV222" s="78"/>
      <c r="CW222" s="78"/>
      <c r="CX222" s="78"/>
      <c r="CY222" s="78"/>
      <c r="CZ222" s="78"/>
      <c r="DA222" s="78"/>
      <c r="DB222" s="78"/>
      <c r="DC222" s="78"/>
      <c r="DD222" s="78"/>
      <c r="DE222" s="78"/>
      <c r="DF222" s="78"/>
      <c r="DG222" s="78"/>
      <c r="DH222" s="78"/>
      <c r="DI222" s="78"/>
      <c r="DJ222" s="78"/>
      <c r="DK222" s="78"/>
      <c r="DL222" s="78"/>
      <c r="DM222" s="78"/>
      <c r="DN222" s="78"/>
      <c r="DO222" s="78"/>
      <c r="DP222" s="78"/>
      <c r="DQ222" s="78"/>
      <c r="DR222" s="78"/>
      <c r="DS222" s="78"/>
      <c r="DT222" s="78"/>
      <c r="DU222" s="78"/>
      <c r="DV222" s="78"/>
      <c r="DW222" s="78"/>
      <c r="DX222" s="78"/>
      <c r="DY222" s="78"/>
      <c r="DZ222" s="78"/>
      <c r="EA222" s="78"/>
      <c r="EB222" s="78"/>
      <c r="EC222" s="78"/>
      <c r="ED222" s="78"/>
      <c r="EE222" s="78"/>
      <c r="EF222" s="78"/>
      <c r="EG222" s="78"/>
      <c r="EH222" s="78"/>
      <c r="EI222" s="91"/>
      <c r="EJ222" s="91"/>
      <c r="EK222" s="91"/>
      <c r="EL222" s="91"/>
      <c r="EM222" s="91"/>
      <c r="EN222" s="91"/>
      <c r="EO222" s="91"/>
      <c r="EP222" s="78"/>
      <c r="EQ222" s="78"/>
      <c r="ER222" s="78"/>
      <c r="ES222" s="78"/>
      <c r="ET222" s="78"/>
      <c r="EU222" s="78"/>
      <c r="EV222" s="78"/>
      <c r="EW222" s="78"/>
      <c r="EX222" s="78"/>
      <c r="EY222" s="78"/>
      <c r="EZ222" s="78"/>
      <c r="FA222" s="78"/>
      <c r="FB222" s="78"/>
      <c r="FC222" s="78"/>
      <c r="FD222" s="78"/>
      <c r="FE222" s="78"/>
      <c r="FF222" s="78"/>
      <c r="FG222" s="78"/>
      <c r="FH222" s="78"/>
      <c r="FI222" s="78"/>
      <c r="FJ222" s="78"/>
      <c r="FK222" s="78"/>
    </row>
    <row r="223" spans="1:167" outlineLevel="1">
      <c r="A223" s="29" t="str">
        <f t="shared" si="26"/>
        <v>modesg_param_sfcs_taxon_europeianome_specific_eligible</v>
      </c>
      <c r="B223" s="67" t="s">
        <v>26</v>
      </c>
      <c r="C223" s="68" t="s">
        <v>181</v>
      </c>
      <c r="D223" s="64" t="s">
        <v>40</v>
      </c>
      <c r="E223" s="66" t="s">
        <v>182</v>
      </c>
      <c r="F223" s="64" t="s">
        <v>206</v>
      </c>
      <c r="G223" s="64" t="e">
        <f>INDEX(Auxiliar!$B$16:$B$24,MATCH(Plano_V1!H223,Auxiliar!$C$16:$C$24,0),1)</f>
        <v>#N/A</v>
      </c>
      <c r="H223" s="64" t="e">
        <f>VLOOKUP(A223,'Aux - pivots1'!$A:$B,2,0)</f>
        <v>#N/A</v>
      </c>
      <c r="I223" s="84">
        <f>SUMIFS(Table1[Estimação (horas)],Table1[Tabela],Plano_V1!E223,Table1[Campo],Plano_V1!F223)</f>
        <v>0</v>
      </c>
      <c r="J223" s="84">
        <f t="shared" si="24"/>
        <v>0</v>
      </c>
      <c r="K223" s="89" t="s">
        <v>39</v>
      </c>
      <c r="L223" s="90">
        <f t="shared" si="25"/>
        <v>0</v>
      </c>
      <c r="M223" s="78"/>
      <c r="N223" s="78"/>
      <c r="O223" s="78"/>
      <c r="P223" s="78"/>
      <c r="Q223" s="78"/>
      <c r="R223" s="78"/>
      <c r="S223" s="78"/>
      <c r="T223" s="78"/>
      <c r="U223" s="78"/>
      <c r="V223" s="78"/>
      <c r="W223" s="78"/>
      <c r="X223" s="78"/>
      <c r="Y223" s="78"/>
      <c r="Z223" s="78"/>
      <c r="AA223" s="78"/>
      <c r="AB223" s="78"/>
      <c r="AC223" s="78"/>
      <c r="AD223" s="78"/>
      <c r="AE223" s="78"/>
      <c r="AF223" s="78"/>
      <c r="AG223" s="78"/>
      <c r="AH223" s="78"/>
      <c r="AI223" s="78"/>
      <c r="AJ223" s="78"/>
      <c r="AK223" s="78"/>
      <c r="AL223" s="78"/>
      <c r="AM223" s="78"/>
      <c r="AN223" s="78"/>
      <c r="AO223" s="78"/>
      <c r="AP223" s="78"/>
      <c r="AQ223" s="78"/>
      <c r="AR223" s="78"/>
      <c r="AS223" s="78"/>
      <c r="AT223" s="91"/>
      <c r="AU223" s="78"/>
      <c r="AV223" s="78"/>
      <c r="AW223" s="78"/>
      <c r="AX223" s="78"/>
      <c r="AY223" s="78"/>
      <c r="AZ223" s="78"/>
      <c r="BA223" s="78"/>
      <c r="BB223" s="78"/>
      <c r="BC223" s="78"/>
      <c r="BD223" s="78"/>
      <c r="BE223" s="78"/>
      <c r="BF223" s="78"/>
      <c r="BG223" s="78"/>
      <c r="BH223" s="78"/>
      <c r="BI223" s="78"/>
      <c r="BJ223" s="78"/>
      <c r="BK223" s="78"/>
      <c r="BL223" s="78"/>
      <c r="BM223" s="78"/>
      <c r="BN223" s="78"/>
      <c r="BO223" s="78"/>
      <c r="BP223" s="78"/>
      <c r="BQ223" s="78"/>
      <c r="BR223" s="78"/>
      <c r="BS223" s="78"/>
      <c r="BT223" s="78"/>
      <c r="BU223" s="78"/>
      <c r="BV223" s="78"/>
      <c r="BW223" s="78"/>
      <c r="BX223" s="78"/>
      <c r="BY223" s="78"/>
      <c r="BZ223" s="78"/>
      <c r="CA223" s="78"/>
      <c r="CB223" s="78"/>
      <c r="CC223" s="78"/>
      <c r="CD223" s="78"/>
      <c r="CE223" s="78"/>
      <c r="CF223" s="78"/>
      <c r="CG223" s="78"/>
      <c r="CH223" s="78"/>
      <c r="CI223" s="78"/>
      <c r="CJ223" s="78"/>
      <c r="CK223" s="78"/>
      <c r="CL223" s="78"/>
      <c r="CM223" s="78"/>
      <c r="CN223" s="78"/>
      <c r="CO223" s="78"/>
      <c r="CP223" s="78"/>
      <c r="CQ223" s="78"/>
      <c r="CR223" s="78"/>
      <c r="CS223" s="78"/>
      <c r="CT223" s="78"/>
      <c r="CU223" s="78"/>
      <c r="CV223" s="78"/>
      <c r="CW223" s="78"/>
      <c r="CX223" s="78"/>
      <c r="CY223" s="78"/>
      <c r="CZ223" s="78"/>
      <c r="DA223" s="78"/>
      <c r="DB223" s="78"/>
      <c r="DC223" s="78"/>
      <c r="DD223" s="78"/>
      <c r="DE223" s="78"/>
      <c r="DF223" s="78"/>
      <c r="DG223" s="78"/>
      <c r="DH223" s="78"/>
      <c r="DI223" s="78"/>
      <c r="DJ223" s="78"/>
      <c r="DK223" s="78"/>
      <c r="DL223" s="78"/>
      <c r="DM223" s="78"/>
      <c r="DN223" s="78"/>
      <c r="DO223" s="78"/>
      <c r="DP223" s="78"/>
      <c r="DQ223" s="78"/>
      <c r="DR223" s="78"/>
      <c r="DS223" s="78"/>
      <c r="DT223" s="78"/>
      <c r="DU223" s="78"/>
      <c r="DV223" s="78"/>
      <c r="DW223" s="78"/>
      <c r="DX223" s="78"/>
      <c r="DY223" s="78"/>
      <c r="DZ223" s="78"/>
      <c r="EA223" s="78"/>
      <c r="EB223" s="78"/>
      <c r="EC223" s="78"/>
      <c r="ED223" s="78"/>
      <c r="EE223" s="78"/>
      <c r="EF223" s="78"/>
      <c r="EG223" s="78"/>
      <c r="EH223" s="78"/>
      <c r="EI223" s="91"/>
      <c r="EJ223" s="91"/>
      <c r="EK223" s="91"/>
      <c r="EL223" s="91"/>
      <c r="EM223" s="91"/>
      <c r="EN223" s="91"/>
      <c r="EO223" s="91"/>
      <c r="EP223" s="78"/>
      <c r="EQ223" s="78"/>
      <c r="ER223" s="78"/>
      <c r="ES223" s="78"/>
      <c r="ET223" s="78"/>
      <c r="EU223" s="78"/>
      <c r="EV223" s="78"/>
      <c r="EW223" s="78"/>
      <c r="EX223" s="78"/>
      <c r="EY223" s="78"/>
      <c r="EZ223" s="78"/>
      <c r="FA223" s="78"/>
      <c r="FB223" s="78"/>
      <c r="FC223" s="78"/>
      <c r="FD223" s="78"/>
      <c r="FE223" s="78"/>
      <c r="FF223" s="78"/>
      <c r="FG223" s="78"/>
      <c r="FH223" s="78"/>
      <c r="FI223" s="78"/>
      <c r="FJ223" s="78"/>
      <c r="FK223" s="78"/>
    </row>
    <row r="224" spans="1:167" outlineLevel="1">
      <c r="A224" s="29" t="str">
        <f t="shared" si="26"/>
        <v>modesg_param_sfcs_taxon_europeianome_specific_sustainable</v>
      </c>
      <c r="B224" s="67" t="s">
        <v>26</v>
      </c>
      <c r="C224" s="68" t="s">
        <v>181</v>
      </c>
      <c r="D224" s="64" t="s">
        <v>40</v>
      </c>
      <c r="E224" s="66" t="s">
        <v>182</v>
      </c>
      <c r="F224" s="64" t="s">
        <v>207</v>
      </c>
      <c r="G224" s="64" t="e">
        <f>INDEX(Auxiliar!$B$16:$B$24,MATCH(Plano_V1!H224,Auxiliar!$C$16:$C$24,0),1)</f>
        <v>#N/A</v>
      </c>
      <c r="H224" s="64" t="e">
        <f>VLOOKUP(A224,'Aux - pivots1'!$A:$B,2,0)</f>
        <v>#N/A</v>
      </c>
      <c r="I224" s="84">
        <f>SUMIFS(Table1[Estimação (horas)],Table1[Tabela],Plano_V1!E224,Table1[Campo],Plano_V1!F224)</f>
        <v>0</v>
      </c>
      <c r="J224" s="84">
        <f t="shared" si="24"/>
        <v>0</v>
      </c>
      <c r="K224" s="89" t="s">
        <v>39</v>
      </c>
      <c r="L224" s="90">
        <f t="shared" si="25"/>
        <v>0</v>
      </c>
      <c r="M224" s="78"/>
      <c r="N224" s="78"/>
      <c r="O224" s="78"/>
      <c r="P224" s="78"/>
      <c r="Q224" s="78"/>
      <c r="R224" s="78"/>
      <c r="S224" s="78"/>
      <c r="T224" s="78"/>
      <c r="U224" s="78"/>
      <c r="V224" s="78"/>
      <c r="W224" s="78"/>
      <c r="X224" s="78"/>
      <c r="Y224" s="78"/>
      <c r="Z224" s="78"/>
      <c r="AA224" s="78"/>
      <c r="AB224" s="78"/>
      <c r="AC224" s="78"/>
      <c r="AD224" s="78"/>
      <c r="AE224" s="78"/>
      <c r="AF224" s="78"/>
      <c r="AG224" s="78"/>
      <c r="AH224" s="78"/>
      <c r="AI224" s="78"/>
      <c r="AJ224" s="78"/>
      <c r="AK224" s="78"/>
      <c r="AL224" s="78"/>
      <c r="AM224" s="78"/>
      <c r="AN224" s="78"/>
      <c r="AO224" s="78"/>
      <c r="AP224" s="78"/>
      <c r="AQ224" s="78"/>
      <c r="AR224" s="78"/>
      <c r="AS224" s="78"/>
      <c r="AT224" s="91"/>
      <c r="AU224" s="78"/>
      <c r="AV224" s="78"/>
      <c r="AW224" s="78"/>
      <c r="AX224" s="78"/>
      <c r="AY224" s="78"/>
      <c r="AZ224" s="78"/>
      <c r="BA224" s="78"/>
      <c r="BB224" s="78"/>
      <c r="BC224" s="78"/>
      <c r="BD224" s="78"/>
      <c r="BE224" s="78"/>
      <c r="BF224" s="78"/>
      <c r="BG224" s="78"/>
      <c r="BH224" s="78"/>
      <c r="BI224" s="78"/>
      <c r="BJ224" s="78"/>
      <c r="BK224" s="78"/>
      <c r="BL224" s="78"/>
      <c r="BM224" s="78"/>
      <c r="BN224" s="78"/>
      <c r="BO224" s="78"/>
      <c r="BP224" s="78"/>
      <c r="BQ224" s="78"/>
      <c r="BR224" s="78"/>
      <c r="BS224" s="78"/>
      <c r="BT224" s="78"/>
      <c r="BU224" s="78"/>
      <c r="BV224" s="78"/>
      <c r="BW224" s="78"/>
      <c r="BX224" s="78"/>
      <c r="BY224" s="78"/>
      <c r="BZ224" s="78"/>
      <c r="CA224" s="78"/>
      <c r="CB224" s="78"/>
      <c r="CC224" s="78"/>
      <c r="CD224" s="78"/>
      <c r="CE224" s="78"/>
      <c r="CF224" s="78"/>
      <c r="CG224" s="78"/>
      <c r="CH224" s="78"/>
      <c r="CI224" s="78"/>
      <c r="CJ224" s="78"/>
      <c r="CK224" s="78"/>
      <c r="CL224" s="78"/>
      <c r="CM224" s="78"/>
      <c r="CN224" s="78"/>
      <c r="CO224" s="78"/>
      <c r="CP224" s="78"/>
      <c r="CQ224" s="78"/>
      <c r="CR224" s="78"/>
      <c r="CS224" s="78"/>
      <c r="CT224" s="78"/>
      <c r="CU224" s="78"/>
      <c r="CV224" s="78"/>
      <c r="CW224" s="78"/>
      <c r="CX224" s="78"/>
      <c r="CY224" s="78"/>
      <c r="CZ224" s="78"/>
      <c r="DA224" s="78"/>
      <c r="DB224" s="78"/>
      <c r="DC224" s="78"/>
      <c r="DD224" s="78"/>
      <c r="DE224" s="78"/>
      <c r="DF224" s="78"/>
      <c r="DG224" s="78"/>
      <c r="DH224" s="78"/>
      <c r="DI224" s="78"/>
      <c r="DJ224" s="78"/>
      <c r="DK224" s="78"/>
      <c r="DL224" s="78"/>
      <c r="DM224" s="78"/>
      <c r="DN224" s="78"/>
      <c r="DO224" s="78"/>
      <c r="DP224" s="78"/>
      <c r="DQ224" s="78"/>
      <c r="DR224" s="78"/>
      <c r="DS224" s="78"/>
      <c r="DT224" s="78"/>
      <c r="DU224" s="78"/>
      <c r="DV224" s="78"/>
      <c r="DW224" s="78"/>
      <c r="DX224" s="78"/>
      <c r="DY224" s="78"/>
      <c r="DZ224" s="78"/>
      <c r="EA224" s="78"/>
      <c r="EB224" s="78"/>
      <c r="EC224" s="78"/>
      <c r="ED224" s="78"/>
      <c r="EE224" s="78"/>
      <c r="EF224" s="78"/>
      <c r="EG224" s="78"/>
      <c r="EH224" s="78"/>
      <c r="EI224" s="91"/>
      <c r="EJ224" s="91"/>
      <c r="EK224" s="91"/>
      <c r="EL224" s="91"/>
      <c r="EM224" s="91"/>
      <c r="EN224" s="91"/>
      <c r="EO224" s="91"/>
      <c r="EP224" s="78"/>
      <c r="EQ224" s="78"/>
      <c r="ER224" s="78"/>
      <c r="ES224" s="78"/>
      <c r="ET224" s="78"/>
      <c r="EU224" s="78"/>
      <c r="EV224" s="78"/>
      <c r="EW224" s="78"/>
      <c r="EX224" s="78"/>
      <c r="EY224" s="78"/>
      <c r="EZ224" s="78"/>
      <c r="FA224" s="78"/>
      <c r="FB224" s="78"/>
      <c r="FC224" s="78"/>
      <c r="FD224" s="78"/>
      <c r="FE224" s="78"/>
      <c r="FF224" s="78"/>
      <c r="FG224" s="78"/>
      <c r="FH224" s="78"/>
      <c r="FI224" s="78"/>
      <c r="FJ224" s="78"/>
      <c r="FK224" s="78"/>
    </row>
    <row r="225" spans="1:167" outlineLevel="1">
      <c r="A225" s="29" t="str">
        <f t="shared" si="26"/>
        <v>modesg_param_sfcs_taxon_europeiaref_date</v>
      </c>
      <c r="B225" s="67" t="s">
        <v>26</v>
      </c>
      <c r="C225" s="68" t="s">
        <v>181</v>
      </c>
      <c r="D225" s="64" t="s">
        <v>40</v>
      </c>
      <c r="E225" s="66" t="s">
        <v>182</v>
      </c>
      <c r="F225" s="64" t="s">
        <v>208</v>
      </c>
      <c r="G225" s="64" t="e">
        <f>INDEX(Auxiliar!$B$16:$B$24,MATCH(Plano_V1!H225,Auxiliar!$C$16:$C$24,0),1)</f>
        <v>#N/A</v>
      </c>
      <c r="H225" s="64" t="e">
        <f>VLOOKUP(A225,'Aux - pivots1'!$A:$B,2,0)</f>
        <v>#N/A</v>
      </c>
      <c r="I225" s="84">
        <f>SUMIFS(Table1[Estimação (horas)],Table1[Tabela],Plano_V1!E225,Table1[Campo],Plano_V1!F225)</f>
        <v>0</v>
      </c>
      <c r="J225" s="84">
        <f t="shared" si="24"/>
        <v>0</v>
      </c>
      <c r="K225" s="89" t="s">
        <v>39</v>
      </c>
      <c r="L225" s="90">
        <f t="shared" si="25"/>
        <v>0</v>
      </c>
      <c r="M225" s="78"/>
      <c r="N225" s="78"/>
      <c r="O225" s="78"/>
      <c r="P225" s="78"/>
      <c r="Q225" s="78"/>
      <c r="R225" s="78"/>
      <c r="S225" s="78"/>
      <c r="T225" s="78"/>
      <c r="U225" s="78"/>
      <c r="V225" s="78"/>
      <c r="W225" s="78"/>
      <c r="X225" s="78"/>
      <c r="Y225" s="78"/>
      <c r="Z225" s="78"/>
      <c r="AA225" s="78"/>
      <c r="AB225" s="78"/>
      <c r="AC225" s="78"/>
      <c r="AD225" s="78"/>
      <c r="AE225" s="78"/>
      <c r="AF225" s="78"/>
      <c r="AG225" s="78"/>
      <c r="AH225" s="78"/>
      <c r="AI225" s="78"/>
      <c r="AJ225" s="78"/>
      <c r="AK225" s="78"/>
      <c r="AL225" s="78"/>
      <c r="AM225" s="78"/>
      <c r="AN225" s="78"/>
      <c r="AO225" s="78"/>
      <c r="AP225" s="78"/>
      <c r="AQ225" s="78"/>
      <c r="AR225" s="78"/>
      <c r="AS225" s="78"/>
      <c r="AT225" s="91"/>
      <c r="AU225" s="78"/>
      <c r="AV225" s="78"/>
      <c r="AW225" s="78"/>
      <c r="AX225" s="78"/>
      <c r="AY225" s="78"/>
      <c r="AZ225" s="78"/>
      <c r="BA225" s="78"/>
      <c r="BB225" s="78"/>
      <c r="BC225" s="78"/>
      <c r="BD225" s="78"/>
      <c r="BE225" s="78"/>
      <c r="BF225" s="78"/>
      <c r="BG225" s="78"/>
      <c r="BH225" s="78"/>
      <c r="BI225" s="78"/>
      <c r="BJ225" s="78"/>
      <c r="BK225" s="78"/>
      <c r="BL225" s="78"/>
      <c r="BM225" s="78"/>
      <c r="BN225" s="78"/>
      <c r="BO225" s="78"/>
      <c r="BP225" s="78"/>
      <c r="BQ225" s="78"/>
      <c r="BR225" s="78"/>
      <c r="BS225" s="78"/>
      <c r="BT225" s="78"/>
      <c r="BU225" s="78"/>
      <c r="BV225" s="78"/>
      <c r="BW225" s="78"/>
      <c r="BX225" s="78"/>
      <c r="BY225" s="78"/>
      <c r="BZ225" s="78"/>
      <c r="CA225" s="78"/>
      <c r="CB225" s="78"/>
      <c r="CC225" s="78"/>
      <c r="CD225" s="78"/>
      <c r="CE225" s="78"/>
      <c r="CF225" s="78"/>
      <c r="CG225" s="78"/>
      <c r="CH225" s="78"/>
      <c r="CI225" s="78"/>
      <c r="CJ225" s="78"/>
      <c r="CK225" s="78"/>
      <c r="CL225" s="78"/>
      <c r="CM225" s="78"/>
      <c r="CN225" s="78"/>
      <c r="CO225" s="78"/>
      <c r="CP225" s="78"/>
      <c r="CQ225" s="78"/>
      <c r="CR225" s="78"/>
      <c r="CS225" s="78"/>
      <c r="CT225" s="78"/>
      <c r="CU225" s="78"/>
      <c r="CV225" s="78"/>
      <c r="CW225" s="78"/>
      <c r="CX225" s="78"/>
      <c r="CY225" s="78"/>
      <c r="CZ225" s="78"/>
      <c r="DA225" s="78"/>
      <c r="DB225" s="78"/>
      <c r="DC225" s="78"/>
      <c r="DD225" s="78"/>
      <c r="DE225" s="78"/>
      <c r="DF225" s="78"/>
      <c r="DG225" s="78"/>
      <c r="DH225" s="78"/>
      <c r="DI225" s="78"/>
      <c r="DJ225" s="78"/>
      <c r="DK225" s="78"/>
      <c r="DL225" s="78"/>
      <c r="DM225" s="78"/>
      <c r="DN225" s="78"/>
      <c r="DO225" s="78"/>
      <c r="DP225" s="78"/>
      <c r="DQ225" s="78"/>
      <c r="DR225" s="78"/>
      <c r="DS225" s="78"/>
      <c r="DT225" s="78"/>
      <c r="DU225" s="78"/>
      <c r="DV225" s="78"/>
      <c r="DW225" s="78"/>
      <c r="DX225" s="78"/>
      <c r="DY225" s="78"/>
      <c r="DZ225" s="78"/>
      <c r="EA225" s="78"/>
      <c r="EB225" s="78"/>
      <c r="EC225" s="78"/>
      <c r="ED225" s="78"/>
      <c r="EE225" s="78"/>
      <c r="EF225" s="78"/>
      <c r="EG225" s="78"/>
      <c r="EH225" s="78"/>
      <c r="EI225" s="91"/>
      <c r="EJ225" s="91"/>
      <c r="EK225" s="91"/>
      <c r="EL225" s="91"/>
      <c r="EM225" s="91"/>
      <c r="EN225" s="91"/>
      <c r="EO225" s="91"/>
      <c r="EP225" s="78"/>
      <c r="EQ225" s="78"/>
      <c r="ER225" s="78"/>
      <c r="ES225" s="78"/>
      <c r="ET225" s="78"/>
      <c r="EU225" s="78"/>
      <c r="EV225" s="78"/>
      <c r="EW225" s="78"/>
      <c r="EX225" s="78"/>
      <c r="EY225" s="78"/>
      <c r="EZ225" s="78"/>
      <c r="FA225" s="78"/>
      <c r="FB225" s="78"/>
      <c r="FC225" s="78"/>
      <c r="FD225" s="78"/>
      <c r="FE225" s="78"/>
      <c r="FF225" s="78"/>
      <c r="FG225" s="78"/>
      <c r="FH225" s="78"/>
      <c r="FI225" s="78"/>
      <c r="FJ225" s="78"/>
      <c r="FK225" s="78"/>
    </row>
    <row r="226" spans="1:167" outlineLevel="1">
      <c r="A226" s="29" t="str">
        <f t="shared" si="26"/>
        <v>modesg_param_sfcs_taxon_europeiazcliente</v>
      </c>
      <c r="B226" s="67" t="s">
        <v>26</v>
      </c>
      <c r="C226" s="68" t="s">
        <v>181</v>
      </c>
      <c r="D226" s="64" t="s">
        <v>40</v>
      </c>
      <c r="E226" s="66" t="s">
        <v>182</v>
      </c>
      <c r="F226" s="64" t="s">
        <v>209</v>
      </c>
      <c r="G226" s="64" t="e">
        <f>INDEX(Auxiliar!$B$16:$B$24,MATCH(Plano_V1!H226,Auxiliar!$C$16:$C$24,0),1)</f>
        <v>#N/A</v>
      </c>
      <c r="H226" s="64" t="e">
        <f>VLOOKUP(A226,'Aux - pivots1'!$A:$B,2,0)</f>
        <v>#N/A</v>
      </c>
      <c r="I226" s="84">
        <f>SUMIFS(Table1[Estimação (horas)],Table1[Tabela],Plano_V1!E226,Table1[Campo],Plano_V1!F226)</f>
        <v>0</v>
      </c>
      <c r="J226" s="84">
        <f t="shared" si="24"/>
        <v>0</v>
      </c>
      <c r="K226" s="89" t="s">
        <v>39</v>
      </c>
      <c r="L226" s="90">
        <f t="shared" si="25"/>
        <v>0</v>
      </c>
      <c r="M226" s="78"/>
      <c r="N226" s="78"/>
      <c r="O226" s="78"/>
      <c r="P226" s="78"/>
      <c r="Q226" s="78"/>
      <c r="R226" s="78"/>
      <c r="S226" s="78"/>
      <c r="T226" s="78"/>
      <c r="U226" s="78"/>
      <c r="V226" s="78"/>
      <c r="W226" s="78"/>
      <c r="X226" s="78"/>
      <c r="Y226" s="78"/>
      <c r="Z226" s="78"/>
      <c r="AA226" s="78"/>
      <c r="AB226" s="78"/>
      <c r="AC226" s="78"/>
      <c r="AD226" s="78"/>
      <c r="AE226" s="78"/>
      <c r="AF226" s="78"/>
      <c r="AG226" s="78"/>
      <c r="AH226" s="78"/>
      <c r="AI226" s="78"/>
      <c r="AJ226" s="78"/>
      <c r="AK226" s="78"/>
      <c r="AL226" s="78"/>
      <c r="AM226" s="78"/>
      <c r="AN226" s="78"/>
      <c r="AO226" s="78"/>
      <c r="AP226" s="78"/>
      <c r="AQ226" s="78"/>
      <c r="AR226" s="78"/>
      <c r="AS226" s="78"/>
      <c r="AT226" s="91"/>
      <c r="AU226" s="78"/>
      <c r="AV226" s="78"/>
      <c r="AW226" s="78"/>
      <c r="AX226" s="78"/>
      <c r="AY226" s="78"/>
      <c r="AZ226" s="78"/>
      <c r="BA226" s="78"/>
      <c r="BB226" s="78"/>
      <c r="BC226" s="78"/>
      <c r="BD226" s="78"/>
      <c r="BE226" s="78"/>
      <c r="BF226" s="78"/>
      <c r="BG226" s="78"/>
      <c r="BH226" s="78"/>
      <c r="BI226" s="78"/>
      <c r="BJ226" s="78"/>
      <c r="BK226" s="78"/>
      <c r="BL226" s="78"/>
      <c r="BM226" s="78"/>
      <c r="BN226" s="78"/>
      <c r="BO226" s="78"/>
      <c r="BP226" s="78"/>
      <c r="BQ226" s="78"/>
      <c r="BR226" s="78"/>
      <c r="BS226" s="78"/>
      <c r="BT226" s="78"/>
      <c r="BU226" s="78"/>
      <c r="BV226" s="78"/>
      <c r="BW226" s="78"/>
      <c r="BX226" s="78"/>
      <c r="BY226" s="78"/>
      <c r="BZ226" s="78"/>
      <c r="CA226" s="78"/>
      <c r="CB226" s="78"/>
      <c r="CC226" s="78"/>
      <c r="CD226" s="78"/>
      <c r="CE226" s="78"/>
      <c r="CF226" s="78"/>
      <c r="CG226" s="78"/>
      <c r="CH226" s="78"/>
      <c r="CI226" s="78"/>
      <c r="CJ226" s="78"/>
      <c r="CK226" s="78"/>
      <c r="CL226" s="78"/>
      <c r="CM226" s="78"/>
      <c r="CN226" s="78"/>
      <c r="CO226" s="78"/>
      <c r="CP226" s="78"/>
      <c r="CQ226" s="78"/>
      <c r="CR226" s="78"/>
      <c r="CS226" s="78"/>
      <c r="CT226" s="78"/>
      <c r="CU226" s="78"/>
      <c r="CV226" s="78"/>
      <c r="CW226" s="78"/>
      <c r="CX226" s="78"/>
      <c r="CY226" s="78"/>
      <c r="CZ226" s="78"/>
      <c r="DA226" s="78"/>
      <c r="DB226" s="78"/>
      <c r="DC226" s="78"/>
      <c r="DD226" s="78"/>
      <c r="DE226" s="78"/>
      <c r="DF226" s="78"/>
      <c r="DG226" s="78"/>
      <c r="DH226" s="78"/>
      <c r="DI226" s="78"/>
      <c r="DJ226" s="78"/>
      <c r="DK226" s="78"/>
      <c r="DL226" s="78"/>
      <c r="DM226" s="78"/>
      <c r="DN226" s="78"/>
      <c r="DO226" s="78"/>
      <c r="DP226" s="78"/>
      <c r="DQ226" s="78"/>
      <c r="DR226" s="78"/>
      <c r="DS226" s="78"/>
      <c r="DT226" s="78"/>
      <c r="DU226" s="78"/>
      <c r="DV226" s="78"/>
      <c r="DW226" s="78"/>
      <c r="DX226" s="78"/>
      <c r="DY226" s="78"/>
      <c r="DZ226" s="78"/>
      <c r="EA226" s="78"/>
      <c r="EB226" s="78"/>
      <c r="EC226" s="78"/>
      <c r="ED226" s="78"/>
      <c r="EE226" s="78"/>
      <c r="EF226" s="78"/>
      <c r="EG226" s="78"/>
      <c r="EH226" s="78"/>
      <c r="EI226" s="91"/>
      <c r="EJ226" s="91"/>
      <c r="EK226" s="91"/>
      <c r="EL226" s="91"/>
      <c r="EM226" s="91"/>
      <c r="EN226" s="91"/>
      <c r="EO226" s="91"/>
      <c r="EP226" s="78"/>
      <c r="EQ226" s="78"/>
      <c r="ER226" s="78"/>
      <c r="ES226" s="78"/>
      <c r="ET226" s="78"/>
      <c r="EU226" s="78"/>
      <c r="EV226" s="78"/>
      <c r="EW226" s="78"/>
      <c r="EX226" s="78"/>
      <c r="EY226" s="78"/>
      <c r="EZ226" s="78"/>
      <c r="FA226" s="78"/>
      <c r="FB226" s="78"/>
      <c r="FC226" s="78"/>
      <c r="FD226" s="78"/>
      <c r="FE226" s="78"/>
      <c r="FF226" s="78"/>
      <c r="FG226" s="78"/>
      <c r="FH226" s="78"/>
      <c r="FI226" s="78"/>
      <c r="FJ226" s="78"/>
      <c r="FK226" s="78"/>
    </row>
    <row r="227" spans="1:167" outlineLevel="1">
      <c r="A227" s="29" t="str">
        <f t="shared" si="26"/>
        <v>modesg_param_sfcs_taxon_europeiazdeposit</v>
      </c>
      <c r="B227" s="67" t="s">
        <v>26</v>
      </c>
      <c r="C227" s="68" t="s">
        <v>181</v>
      </c>
      <c r="D227" s="64" t="s">
        <v>40</v>
      </c>
      <c r="E227" s="66" t="s">
        <v>182</v>
      </c>
      <c r="F227" s="64" t="s">
        <v>210</v>
      </c>
      <c r="G227" s="64" t="e">
        <f>INDEX(Auxiliar!$B$16:$B$24,MATCH(Plano_V1!H227,Auxiliar!$C$16:$C$24,0),1)</f>
        <v>#N/A</v>
      </c>
      <c r="H227" s="64" t="e">
        <f>VLOOKUP(A227,'Aux - pivots1'!$A:$B,2,0)</f>
        <v>#N/A</v>
      </c>
      <c r="I227" s="84">
        <f>SUMIFS(Table1[Estimação (horas)],Table1[Tabela],Plano_V1!E227,Table1[Campo],Plano_V1!F227)</f>
        <v>0</v>
      </c>
      <c r="J227" s="84">
        <f t="shared" si="24"/>
        <v>0</v>
      </c>
      <c r="K227" s="89" t="s">
        <v>39</v>
      </c>
      <c r="L227" s="90">
        <f t="shared" si="25"/>
        <v>0</v>
      </c>
      <c r="M227" s="78"/>
      <c r="N227" s="78"/>
      <c r="O227" s="78"/>
      <c r="P227" s="78"/>
      <c r="Q227" s="78"/>
      <c r="R227" s="78"/>
      <c r="S227" s="78"/>
      <c r="T227" s="78"/>
      <c r="U227" s="78"/>
      <c r="V227" s="78"/>
      <c r="W227" s="78"/>
      <c r="X227" s="78"/>
      <c r="Y227" s="78"/>
      <c r="Z227" s="78"/>
      <c r="AA227" s="78"/>
      <c r="AB227" s="78"/>
      <c r="AC227" s="78"/>
      <c r="AD227" s="78"/>
      <c r="AE227" s="78"/>
      <c r="AF227" s="78"/>
      <c r="AG227" s="78"/>
      <c r="AH227" s="78"/>
      <c r="AI227" s="78"/>
      <c r="AJ227" s="78"/>
      <c r="AK227" s="78"/>
      <c r="AL227" s="78"/>
      <c r="AM227" s="78"/>
      <c r="AN227" s="78"/>
      <c r="AO227" s="78"/>
      <c r="AP227" s="78"/>
      <c r="AQ227" s="78"/>
      <c r="AR227" s="78"/>
      <c r="AS227" s="78"/>
      <c r="AT227" s="91"/>
      <c r="AU227" s="78"/>
      <c r="AV227" s="78"/>
      <c r="AW227" s="78"/>
      <c r="AX227" s="78"/>
      <c r="AY227" s="78"/>
      <c r="AZ227" s="78"/>
      <c r="BA227" s="78"/>
      <c r="BB227" s="78"/>
      <c r="BC227" s="78"/>
      <c r="BD227" s="78"/>
      <c r="BE227" s="78"/>
      <c r="BF227" s="78"/>
      <c r="BG227" s="78"/>
      <c r="BH227" s="78"/>
      <c r="BI227" s="78"/>
      <c r="BJ227" s="78"/>
      <c r="BK227" s="78"/>
      <c r="BL227" s="78"/>
      <c r="BM227" s="78"/>
      <c r="BN227" s="78"/>
      <c r="BO227" s="78"/>
      <c r="BP227" s="78"/>
      <c r="BQ227" s="78"/>
      <c r="BR227" s="78"/>
      <c r="BS227" s="78"/>
      <c r="BT227" s="78"/>
      <c r="BU227" s="78"/>
      <c r="BV227" s="78"/>
      <c r="BW227" s="78"/>
      <c r="BX227" s="78"/>
      <c r="BY227" s="78"/>
      <c r="BZ227" s="78"/>
      <c r="CA227" s="78"/>
      <c r="CB227" s="78"/>
      <c r="CC227" s="78"/>
      <c r="CD227" s="78"/>
      <c r="CE227" s="78"/>
      <c r="CF227" s="78"/>
      <c r="CG227" s="78"/>
      <c r="CH227" s="78"/>
      <c r="CI227" s="78"/>
      <c r="CJ227" s="78"/>
      <c r="CK227" s="78"/>
      <c r="CL227" s="78"/>
      <c r="CM227" s="78"/>
      <c r="CN227" s="78"/>
      <c r="CO227" s="78"/>
      <c r="CP227" s="78"/>
      <c r="CQ227" s="78"/>
      <c r="CR227" s="78"/>
      <c r="CS227" s="78"/>
      <c r="CT227" s="78"/>
      <c r="CU227" s="78"/>
      <c r="CV227" s="78"/>
      <c r="CW227" s="78"/>
      <c r="CX227" s="78"/>
      <c r="CY227" s="78"/>
      <c r="CZ227" s="78"/>
      <c r="DA227" s="78"/>
      <c r="DB227" s="78"/>
      <c r="DC227" s="78"/>
      <c r="DD227" s="78"/>
      <c r="DE227" s="78"/>
      <c r="DF227" s="78"/>
      <c r="DG227" s="78"/>
      <c r="DH227" s="78"/>
      <c r="DI227" s="78"/>
      <c r="DJ227" s="78"/>
      <c r="DK227" s="78"/>
      <c r="DL227" s="78"/>
      <c r="DM227" s="78"/>
      <c r="DN227" s="78"/>
      <c r="DO227" s="78"/>
      <c r="DP227" s="78"/>
      <c r="DQ227" s="78"/>
      <c r="DR227" s="78"/>
      <c r="DS227" s="78"/>
      <c r="DT227" s="78"/>
      <c r="DU227" s="78"/>
      <c r="DV227" s="78"/>
      <c r="DW227" s="78"/>
      <c r="DX227" s="78"/>
      <c r="DY227" s="78"/>
      <c r="DZ227" s="78"/>
      <c r="EA227" s="78"/>
      <c r="EB227" s="78"/>
      <c r="EC227" s="78"/>
      <c r="ED227" s="78"/>
      <c r="EE227" s="78"/>
      <c r="EF227" s="78"/>
      <c r="EG227" s="78"/>
      <c r="EH227" s="78"/>
      <c r="EI227" s="91"/>
      <c r="EJ227" s="91"/>
      <c r="EK227" s="91"/>
      <c r="EL227" s="91"/>
      <c r="EM227" s="91"/>
      <c r="EN227" s="91"/>
      <c r="EO227" s="91"/>
      <c r="EP227" s="78"/>
      <c r="EQ227" s="78"/>
      <c r="ER227" s="78"/>
      <c r="ES227" s="78"/>
      <c r="ET227" s="78"/>
      <c r="EU227" s="78"/>
      <c r="EV227" s="78"/>
      <c r="EW227" s="78"/>
      <c r="EX227" s="78"/>
      <c r="EY227" s="78"/>
      <c r="EZ227" s="78"/>
      <c r="FA227" s="78"/>
      <c r="FB227" s="78"/>
      <c r="FC227" s="78"/>
      <c r="FD227" s="78"/>
      <c r="FE227" s="78"/>
      <c r="FF227" s="78"/>
      <c r="FG227" s="78"/>
      <c r="FH227" s="78"/>
      <c r="FI227" s="78"/>
      <c r="FJ227" s="78"/>
      <c r="FK227" s="78"/>
    </row>
    <row r="228" spans="1:167" outlineLevel="1">
      <c r="A228" s="29" t="str">
        <f t="shared" si="26"/>
        <v>modesg_inp_emss_vclsn.a.</v>
      </c>
      <c r="B228" s="67" t="s">
        <v>26</v>
      </c>
      <c r="C228" s="68" t="s">
        <v>181</v>
      </c>
      <c r="D228" s="64" t="s">
        <v>36</v>
      </c>
      <c r="E228" s="66" t="s">
        <v>212</v>
      </c>
      <c r="F228" s="64" t="s">
        <v>38</v>
      </c>
      <c r="G228" s="64" t="str">
        <f>INDEX(Auxiliar!$B$16:$B$24,MATCH(Plano_V1!H228,Auxiliar!$C$16:$C$24,0),1)</f>
        <v>1. Concluído</v>
      </c>
      <c r="H228" s="64">
        <f>VLOOKUP(A228,'Aux - pivots1'!$A:$B,2,0)</f>
        <v>1</v>
      </c>
      <c r="I228" s="84">
        <f>SUMIFS(Table1[Estimação (horas)],Table1[Tabela],Plano_V1!E228,Table1[Campo],Plano_V1!F228)</f>
        <v>8.5</v>
      </c>
      <c r="J228" s="84">
        <f t="shared" si="24"/>
        <v>1.0625</v>
      </c>
      <c r="K228" s="89" t="s">
        <v>39</v>
      </c>
      <c r="L228" s="90">
        <f t="shared" si="25"/>
        <v>1.0625</v>
      </c>
      <c r="M228" s="78"/>
      <c r="N228" s="78"/>
      <c r="O228" s="78"/>
      <c r="P228" s="78"/>
      <c r="Q228" s="78"/>
      <c r="R228" s="78"/>
      <c r="S228" s="78"/>
      <c r="T228" s="78"/>
      <c r="U228" s="78"/>
      <c r="V228" s="78"/>
      <c r="W228" s="78"/>
      <c r="X228" s="78"/>
      <c r="Y228" s="78"/>
      <c r="Z228" s="78"/>
      <c r="AA228" s="78"/>
      <c r="AB228" s="78"/>
      <c r="AC228" s="78"/>
      <c r="AD228" s="78"/>
      <c r="AE228" s="78"/>
      <c r="AF228" s="78"/>
      <c r="AG228" s="78"/>
      <c r="AH228" s="78"/>
      <c r="AI228" s="78"/>
      <c r="AJ228" s="78"/>
      <c r="AK228" s="78"/>
      <c r="AL228" s="78"/>
      <c r="AM228" s="78"/>
      <c r="AN228" s="78"/>
      <c r="AO228" s="78"/>
      <c r="AP228" s="78"/>
      <c r="AQ228" s="78"/>
      <c r="AR228" s="78"/>
      <c r="AS228" s="78"/>
      <c r="AT228" s="91"/>
      <c r="AU228" s="78"/>
      <c r="AV228" s="78"/>
      <c r="AW228" s="78"/>
      <c r="AX228" s="78"/>
      <c r="AY228" s="78"/>
      <c r="AZ228" s="78"/>
      <c r="BA228" s="78"/>
      <c r="BB228" s="78"/>
      <c r="BC228" s="78"/>
      <c r="BD228" s="78"/>
      <c r="BE228" s="78"/>
      <c r="BF228" s="78"/>
      <c r="BG228" s="78"/>
      <c r="BH228" s="78"/>
      <c r="BI228" s="78"/>
      <c r="BJ228" s="78"/>
      <c r="BK228" s="78"/>
      <c r="BL228" s="78"/>
      <c r="BM228" s="78"/>
      <c r="BN228" s="78"/>
      <c r="BO228" s="78"/>
      <c r="BP228" s="78"/>
      <c r="BQ228" s="78"/>
      <c r="BR228" s="78"/>
      <c r="BS228" s="78"/>
      <c r="BT228" s="78"/>
      <c r="BU228" s="78"/>
      <c r="BV228" s="78"/>
      <c r="BW228" s="78"/>
      <c r="BX228" s="78"/>
      <c r="BY228" s="78"/>
      <c r="BZ228" s="78"/>
      <c r="CA228" s="78"/>
      <c r="CB228" s="78"/>
      <c r="CC228" s="78"/>
      <c r="CD228" s="78"/>
      <c r="CE228" s="78"/>
      <c r="CF228" s="78"/>
      <c r="CG228" s="78"/>
      <c r="CH228" s="78"/>
      <c r="CI228" s="78"/>
      <c r="CJ228" s="78"/>
      <c r="CK228" s="78"/>
      <c r="CL228" s="78"/>
      <c r="CM228" s="78"/>
      <c r="CN228" s="78"/>
      <c r="CO228" s="78"/>
      <c r="CP228" s="78"/>
      <c r="CQ228" s="78"/>
      <c r="CR228" s="78"/>
      <c r="CS228" s="78"/>
      <c r="CT228" s="78"/>
      <c r="CU228" s="78"/>
      <c r="CV228" s="78"/>
      <c r="CW228" s="78"/>
      <c r="CX228" s="78"/>
      <c r="CY228" s="78"/>
      <c r="CZ228" s="78"/>
      <c r="DA228" s="78"/>
      <c r="DB228" s="78"/>
      <c r="DC228" s="78"/>
      <c r="DD228" s="78"/>
      <c r="DE228" s="78"/>
      <c r="DF228" s="78"/>
      <c r="DG228" s="78"/>
      <c r="DH228" s="78"/>
      <c r="DI228" s="78"/>
      <c r="DJ228" s="78"/>
      <c r="DK228" s="78"/>
      <c r="DL228" s="78"/>
      <c r="DM228" s="78"/>
      <c r="DN228" s="78"/>
      <c r="DO228" s="78"/>
      <c r="DP228" s="78"/>
      <c r="DQ228" s="78"/>
      <c r="DR228" s="78"/>
      <c r="DS228" s="78"/>
      <c r="DT228" s="78"/>
      <c r="DU228" s="78"/>
      <c r="DV228" s="78"/>
      <c r="DW228" s="78"/>
      <c r="DX228" s="78"/>
      <c r="DY228" s="78"/>
      <c r="DZ228" s="78"/>
      <c r="EA228" s="78"/>
      <c r="EB228" s="78"/>
      <c r="EC228" s="78"/>
      <c r="ED228" s="78"/>
      <c r="EE228" s="78"/>
      <c r="EF228" s="78"/>
      <c r="EG228" s="78"/>
      <c r="EH228" s="78"/>
      <c r="EI228" s="91"/>
      <c r="EJ228" s="91"/>
      <c r="EK228" s="91"/>
      <c r="EL228" s="91"/>
      <c r="EM228" s="91"/>
      <c r="EN228" s="91"/>
      <c r="EO228" s="91"/>
      <c r="EP228" s="78"/>
      <c r="EQ228" s="78"/>
      <c r="ER228" s="78"/>
      <c r="ES228" s="78"/>
      <c r="ET228" s="78"/>
      <c r="EU228" s="78"/>
      <c r="EV228" s="78"/>
      <c r="EW228" s="78"/>
      <c r="EX228" s="78"/>
      <c r="EY228" s="78"/>
      <c r="EZ228" s="78"/>
      <c r="FA228" s="78"/>
      <c r="FB228" s="78"/>
      <c r="FC228" s="78"/>
      <c r="FD228" s="78"/>
      <c r="FE228" s="78"/>
      <c r="FF228" s="78"/>
      <c r="FG228" s="78"/>
      <c r="FH228" s="78"/>
      <c r="FI228" s="78"/>
      <c r="FJ228" s="78"/>
      <c r="FK228" s="78"/>
    </row>
    <row r="229" spans="1:167" outlineLevel="1">
      <c r="A229" s="29" t="str">
        <f t="shared" si="26"/>
        <v>modesg_inp_km_medios_emss_vclsn.a.</v>
      </c>
      <c r="B229" s="67" t="s">
        <v>26</v>
      </c>
      <c r="C229" s="68" t="s">
        <v>181</v>
      </c>
      <c r="D229" s="64" t="s">
        <v>36</v>
      </c>
      <c r="E229" s="66" t="s">
        <v>213</v>
      </c>
      <c r="F229" s="64" t="s">
        <v>38</v>
      </c>
      <c r="G229" s="64" t="str">
        <f>INDEX(Auxiliar!$B$16:$B$24,MATCH(Plano_V1!H229,Auxiliar!$C$16:$C$24,0),1)</f>
        <v>1. Concluído</v>
      </c>
      <c r="H229" s="64">
        <f>VLOOKUP(A229,'Aux - pivots1'!$A:$B,2,0)</f>
        <v>1</v>
      </c>
      <c r="I229" s="84">
        <f>SUMIFS(Table1[Estimação (horas)],Table1[Tabela],Plano_V1!E229,Table1[Campo],Plano_V1!F229)</f>
        <v>8.5</v>
      </c>
      <c r="J229" s="84">
        <f t="shared" si="24"/>
        <v>1.0625</v>
      </c>
      <c r="K229" s="89" t="s">
        <v>39</v>
      </c>
      <c r="L229" s="90">
        <f t="shared" si="25"/>
        <v>1.0625</v>
      </c>
      <c r="M229" s="78"/>
      <c r="N229" s="78"/>
      <c r="O229" s="78"/>
      <c r="P229" s="78"/>
      <c r="Q229" s="78"/>
      <c r="R229" s="78"/>
      <c r="S229" s="78"/>
      <c r="T229" s="78"/>
      <c r="U229" s="78"/>
      <c r="V229" s="78"/>
      <c r="W229" s="78"/>
      <c r="X229" s="78"/>
      <c r="Y229" s="78"/>
      <c r="Z229" s="78"/>
      <c r="AA229" s="78"/>
      <c r="AB229" s="78"/>
      <c r="AC229" s="78"/>
      <c r="AD229" s="78"/>
      <c r="AE229" s="78"/>
      <c r="AF229" s="78"/>
      <c r="AG229" s="78"/>
      <c r="AH229" s="78"/>
      <c r="AI229" s="78"/>
      <c r="AJ229" s="78"/>
      <c r="AK229" s="78"/>
      <c r="AL229" s="78"/>
      <c r="AM229" s="78"/>
      <c r="AN229" s="78"/>
      <c r="AO229" s="78"/>
      <c r="AP229" s="78"/>
      <c r="AQ229" s="78"/>
      <c r="AR229" s="78"/>
      <c r="AS229" s="78"/>
      <c r="AT229" s="91"/>
      <c r="AU229" s="78"/>
      <c r="AV229" s="78"/>
      <c r="AW229" s="78"/>
      <c r="AX229" s="78"/>
      <c r="AY229" s="78"/>
      <c r="AZ229" s="78"/>
      <c r="BA229" s="78"/>
      <c r="BB229" s="78"/>
      <c r="BC229" s="78"/>
      <c r="BD229" s="78"/>
      <c r="BE229" s="78"/>
      <c r="BF229" s="78"/>
      <c r="BG229" s="78"/>
      <c r="BH229" s="78"/>
      <c r="BI229" s="78"/>
      <c r="BJ229" s="78"/>
      <c r="BK229" s="78"/>
      <c r="BL229" s="78"/>
      <c r="BM229" s="78"/>
      <c r="BN229" s="78"/>
      <c r="BO229" s="78"/>
      <c r="BP229" s="78"/>
      <c r="BQ229" s="78"/>
      <c r="BR229" s="78"/>
      <c r="BS229" s="78"/>
      <c r="BT229" s="78"/>
      <c r="BU229" s="78"/>
      <c r="BV229" s="78"/>
      <c r="BW229" s="78"/>
      <c r="BX229" s="78"/>
      <c r="BY229" s="78"/>
      <c r="BZ229" s="78"/>
      <c r="CA229" s="78"/>
      <c r="CB229" s="78"/>
      <c r="CC229" s="78"/>
      <c r="CD229" s="78"/>
      <c r="CE229" s="78"/>
      <c r="CF229" s="78"/>
      <c r="CG229" s="78"/>
      <c r="CH229" s="78"/>
      <c r="CI229" s="78"/>
      <c r="CJ229" s="78"/>
      <c r="CK229" s="78"/>
      <c r="CL229" s="78"/>
      <c r="CM229" s="78"/>
      <c r="CN229" s="78"/>
      <c r="CO229" s="78"/>
      <c r="CP229" s="78"/>
      <c r="CQ229" s="78"/>
      <c r="CR229" s="78"/>
      <c r="CS229" s="78"/>
      <c r="CT229" s="78"/>
      <c r="CU229" s="78"/>
      <c r="CV229" s="78"/>
      <c r="CW229" s="78"/>
      <c r="CX229" s="78"/>
      <c r="CY229" s="78"/>
      <c r="CZ229" s="78"/>
      <c r="DA229" s="78"/>
      <c r="DB229" s="78"/>
      <c r="DC229" s="78"/>
      <c r="DD229" s="78"/>
      <c r="DE229" s="78"/>
      <c r="DF229" s="78"/>
      <c r="DG229" s="78"/>
      <c r="DH229" s="78"/>
      <c r="DI229" s="78"/>
      <c r="DJ229" s="78"/>
      <c r="DK229" s="78"/>
      <c r="DL229" s="78"/>
      <c r="DM229" s="78"/>
      <c r="DN229" s="78"/>
      <c r="DO229" s="78"/>
      <c r="DP229" s="78"/>
      <c r="DQ229" s="78"/>
      <c r="DR229" s="78"/>
      <c r="DS229" s="78"/>
      <c r="DT229" s="78"/>
      <c r="DU229" s="78"/>
      <c r="DV229" s="78"/>
      <c r="DW229" s="78"/>
      <c r="DX229" s="78"/>
      <c r="DY229" s="78"/>
      <c r="DZ229" s="78"/>
      <c r="EA229" s="78"/>
      <c r="EB229" s="78"/>
      <c r="EC229" s="78"/>
      <c r="ED229" s="78"/>
      <c r="EE229" s="78"/>
      <c r="EF229" s="78"/>
      <c r="EG229" s="78"/>
      <c r="EH229" s="78"/>
      <c r="EI229" s="91"/>
      <c r="EJ229" s="91"/>
      <c r="EK229" s="91"/>
      <c r="EL229" s="91"/>
      <c r="EM229" s="91"/>
      <c r="EN229" s="91"/>
      <c r="EO229" s="91"/>
      <c r="EP229" s="78"/>
      <c r="EQ229" s="78"/>
      <c r="ER229" s="78"/>
      <c r="ES229" s="78"/>
      <c r="ET229" s="78"/>
      <c r="EU229" s="78"/>
      <c r="EV229" s="78"/>
      <c r="EW229" s="78"/>
      <c r="EX229" s="78"/>
      <c r="EY229" s="78"/>
      <c r="EZ229" s="78"/>
      <c r="FA229" s="78"/>
      <c r="FB229" s="78"/>
      <c r="FC229" s="78"/>
      <c r="FD229" s="78"/>
      <c r="FE229" s="78"/>
      <c r="FF229" s="78"/>
      <c r="FG229" s="78"/>
      <c r="FH229" s="78"/>
      <c r="FI229" s="78"/>
      <c r="FJ229" s="78"/>
      <c r="FK229" s="78"/>
    </row>
    <row r="230" spans="1:167" outlineLevel="1">
      <c r="A230" s="29" t="str">
        <f t="shared" si="26"/>
        <v>modesg_inp_empr_excl_parisn.a.</v>
      </c>
      <c r="B230" s="67" t="s">
        <v>26</v>
      </c>
      <c r="C230" s="68" t="s">
        <v>181</v>
      </c>
      <c r="D230" s="64" t="s">
        <v>36</v>
      </c>
      <c r="E230" s="66" t="s">
        <v>214</v>
      </c>
      <c r="F230" s="64" t="s">
        <v>38</v>
      </c>
      <c r="G230" s="64" t="str">
        <f>INDEX(Auxiliar!$B$16:$B$24,MATCH(Plano_V1!H230,Auxiliar!$C$16:$C$24,0),1)</f>
        <v>1. Concluído</v>
      </c>
      <c r="H230" s="64">
        <f>VLOOKUP(A230,'Aux - pivots1'!$A:$B,2,0)</f>
        <v>1</v>
      </c>
      <c r="I230" s="84">
        <f>SUMIFS(Table1[Estimação (horas)],Table1[Tabela],Plano_V1!E230,Table1[Campo],Plano_V1!F230)</f>
        <v>8.5</v>
      </c>
      <c r="J230" s="84">
        <f t="shared" si="24"/>
        <v>1.0625</v>
      </c>
      <c r="K230" s="89" t="s">
        <v>39</v>
      </c>
      <c r="L230" s="90">
        <f t="shared" si="25"/>
        <v>1.0625</v>
      </c>
      <c r="M230" s="78"/>
      <c r="N230" s="78"/>
      <c r="O230" s="78"/>
      <c r="P230" s="78"/>
      <c r="Q230" s="78"/>
      <c r="R230" s="78"/>
      <c r="S230" s="78"/>
      <c r="T230" s="78"/>
      <c r="U230" s="78"/>
      <c r="V230" s="78"/>
      <c r="W230" s="78"/>
      <c r="X230" s="78"/>
      <c r="Y230" s="78"/>
      <c r="Z230" s="78"/>
      <c r="AA230" s="78"/>
      <c r="AB230" s="78"/>
      <c r="AC230" s="78"/>
      <c r="AD230" s="78"/>
      <c r="AE230" s="78"/>
      <c r="AF230" s="78"/>
      <c r="AG230" s="78"/>
      <c r="AH230" s="78"/>
      <c r="AI230" s="78"/>
      <c r="AJ230" s="78"/>
      <c r="AK230" s="78"/>
      <c r="AL230" s="78"/>
      <c r="AM230" s="78"/>
      <c r="AN230" s="78"/>
      <c r="AO230" s="78"/>
      <c r="AP230" s="78"/>
      <c r="AQ230" s="78"/>
      <c r="AR230" s="78"/>
      <c r="AS230" s="78"/>
      <c r="AT230" s="91"/>
      <c r="AU230" s="78"/>
      <c r="AV230" s="78"/>
      <c r="AW230" s="78"/>
      <c r="AX230" s="78"/>
      <c r="AY230" s="78"/>
      <c r="AZ230" s="78"/>
      <c r="BA230" s="78"/>
      <c r="BB230" s="78"/>
      <c r="BC230" s="78"/>
      <c r="BD230" s="78"/>
      <c r="BE230" s="78"/>
      <c r="BF230" s="78"/>
      <c r="BG230" s="78"/>
      <c r="BH230" s="78"/>
      <c r="BI230" s="78"/>
      <c r="BJ230" s="78"/>
      <c r="BK230" s="78"/>
      <c r="BL230" s="78"/>
      <c r="BM230" s="78"/>
      <c r="BN230" s="78"/>
      <c r="BO230" s="78"/>
      <c r="BP230" s="78"/>
      <c r="BQ230" s="78"/>
      <c r="BR230" s="78"/>
      <c r="BS230" s="78"/>
      <c r="BT230" s="78"/>
      <c r="BU230" s="78"/>
      <c r="BV230" s="78"/>
      <c r="BW230" s="78"/>
      <c r="BX230" s="78"/>
      <c r="BY230" s="78"/>
      <c r="BZ230" s="78"/>
      <c r="CA230" s="78"/>
      <c r="CB230" s="78"/>
      <c r="CC230" s="78"/>
      <c r="CD230" s="78"/>
      <c r="CE230" s="78"/>
      <c r="CF230" s="78"/>
      <c r="CG230" s="78"/>
      <c r="CH230" s="78"/>
      <c r="CI230" s="78"/>
      <c r="CJ230" s="78"/>
      <c r="CK230" s="78"/>
      <c r="CL230" s="78"/>
      <c r="CM230" s="78"/>
      <c r="CN230" s="78"/>
      <c r="CO230" s="78"/>
      <c r="CP230" s="78"/>
      <c r="CQ230" s="78"/>
      <c r="CR230" s="78"/>
      <c r="CS230" s="78"/>
      <c r="CT230" s="78"/>
      <c r="CU230" s="78"/>
      <c r="CV230" s="78"/>
      <c r="CW230" s="78"/>
      <c r="CX230" s="78"/>
      <c r="CY230" s="78"/>
      <c r="CZ230" s="78"/>
      <c r="DA230" s="78"/>
      <c r="DB230" s="78"/>
      <c r="DC230" s="78"/>
      <c r="DD230" s="78"/>
      <c r="DE230" s="78"/>
      <c r="DF230" s="78"/>
      <c r="DG230" s="78"/>
      <c r="DH230" s="78"/>
      <c r="DI230" s="78"/>
      <c r="DJ230" s="78"/>
      <c r="DK230" s="78"/>
      <c r="DL230" s="78"/>
      <c r="DM230" s="78"/>
      <c r="DN230" s="78"/>
      <c r="DO230" s="78"/>
      <c r="DP230" s="78"/>
      <c r="DQ230" s="78"/>
      <c r="DR230" s="78"/>
      <c r="DS230" s="78"/>
      <c r="DT230" s="78"/>
      <c r="DU230" s="78"/>
      <c r="DV230" s="78"/>
      <c r="DW230" s="78"/>
      <c r="DX230" s="78"/>
      <c r="DY230" s="78"/>
      <c r="DZ230" s="78"/>
      <c r="EA230" s="78"/>
      <c r="EB230" s="78"/>
      <c r="EC230" s="78"/>
      <c r="ED230" s="78"/>
      <c r="EE230" s="78"/>
      <c r="EF230" s="78"/>
      <c r="EG230" s="78"/>
      <c r="EH230" s="78"/>
      <c r="EI230" s="91"/>
      <c r="EJ230" s="91"/>
      <c r="EK230" s="91"/>
      <c r="EL230" s="91"/>
      <c r="EM230" s="91"/>
      <c r="EN230" s="91"/>
      <c r="EO230" s="91"/>
      <c r="EP230" s="78"/>
      <c r="EQ230" s="78"/>
      <c r="ER230" s="78"/>
      <c r="ES230" s="78"/>
      <c r="ET230" s="78"/>
      <c r="EU230" s="78"/>
      <c r="EV230" s="78"/>
      <c r="EW230" s="78"/>
      <c r="EX230" s="78"/>
      <c r="EY230" s="78"/>
      <c r="EZ230" s="78"/>
      <c r="FA230" s="78"/>
      <c r="FB230" s="78"/>
      <c r="FC230" s="78"/>
      <c r="FD230" s="78"/>
      <c r="FE230" s="78"/>
      <c r="FF230" s="78"/>
      <c r="FG230" s="78"/>
      <c r="FH230" s="78"/>
      <c r="FI230" s="78"/>
      <c r="FJ230" s="78"/>
      <c r="FK230" s="78"/>
    </row>
    <row r="231" spans="1:167" outlineLevel="1">
      <c r="A231" s="29" t="str">
        <f t="shared" si="26"/>
        <v>modesg_inp_nfrd_alinhamento_taxn.a.</v>
      </c>
      <c r="B231" s="67" t="s">
        <v>26</v>
      </c>
      <c r="C231" s="68" t="s">
        <v>181</v>
      </c>
      <c r="D231" s="64" t="s">
        <v>36</v>
      </c>
      <c r="E231" s="66" t="s">
        <v>215</v>
      </c>
      <c r="F231" s="64" t="s">
        <v>38</v>
      </c>
      <c r="G231" s="64" t="str">
        <f>INDEX(Auxiliar!$B$16:$B$24,MATCH(Plano_V1!H231,Auxiliar!$C$16:$C$24,0),1)</f>
        <v>1. Concluído</v>
      </c>
      <c r="H231" s="64">
        <f>VLOOKUP(A231,'Aux - pivots1'!$A:$B,2,0)</f>
        <v>1</v>
      </c>
      <c r="I231" s="84">
        <f>SUMIFS(Table1[Estimação (horas)],Table1[Tabela],Plano_V1!E231,Table1[Campo],Plano_V1!F231)</f>
        <v>8.5</v>
      </c>
      <c r="J231" s="84">
        <f t="shared" si="24"/>
        <v>1.0625</v>
      </c>
      <c r="K231" s="89" t="s">
        <v>39</v>
      </c>
      <c r="L231" s="90">
        <f t="shared" si="25"/>
        <v>1.0625</v>
      </c>
      <c r="M231" s="78"/>
      <c r="N231" s="78"/>
      <c r="O231" s="78"/>
      <c r="P231" s="78"/>
      <c r="Q231" s="78"/>
      <c r="R231" s="78"/>
      <c r="S231" s="78"/>
      <c r="T231" s="78"/>
      <c r="U231" s="78"/>
      <c r="V231" s="78"/>
      <c r="W231" s="78"/>
      <c r="X231" s="78"/>
      <c r="Y231" s="78"/>
      <c r="Z231" s="78"/>
      <c r="AA231" s="78"/>
      <c r="AB231" s="78"/>
      <c r="AC231" s="78"/>
      <c r="AD231" s="78"/>
      <c r="AE231" s="78"/>
      <c r="AF231" s="78"/>
      <c r="AG231" s="78"/>
      <c r="AH231" s="78"/>
      <c r="AI231" s="78"/>
      <c r="AJ231" s="78"/>
      <c r="AK231" s="78"/>
      <c r="AL231" s="78"/>
      <c r="AM231" s="78"/>
      <c r="AN231" s="78"/>
      <c r="AO231" s="78"/>
      <c r="AP231" s="78"/>
      <c r="AQ231" s="78"/>
      <c r="AR231" s="78"/>
      <c r="AS231" s="78"/>
      <c r="AT231" s="91"/>
      <c r="AU231" s="78"/>
      <c r="AV231" s="78"/>
      <c r="AW231" s="78"/>
      <c r="AX231" s="78"/>
      <c r="AY231" s="78"/>
      <c r="AZ231" s="78"/>
      <c r="BA231" s="78"/>
      <c r="BB231" s="78"/>
      <c r="BC231" s="78"/>
      <c r="BD231" s="78"/>
      <c r="BE231" s="78"/>
      <c r="BF231" s="78"/>
      <c r="BG231" s="78"/>
      <c r="BH231" s="78"/>
      <c r="BI231" s="78"/>
      <c r="BJ231" s="78"/>
      <c r="BK231" s="78"/>
      <c r="BL231" s="78"/>
      <c r="BM231" s="78"/>
      <c r="BN231" s="78"/>
      <c r="BO231" s="78"/>
      <c r="BP231" s="78"/>
      <c r="BQ231" s="78"/>
      <c r="BR231" s="78"/>
      <c r="BS231" s="78"/>
      <c r="BT231" s="78"/>
      <c r="BU231" s="78"/>
      <c r="BV231" s="78"/>
      <c r="BW231" s="78"/>
      <c r="BX231" s="78"/>
      <c r="BY231" s="78"/>
      <c r="BZ231" s="78"/>
      <c r="CA231" s="78"/>
      <c r="CB231" s="78"/>
      <c r="CC231" s="78"/>
      <c r="CD231" s="78"/>
      <c r="CE231" s="78"/>
      <c r="CF231" s="78"/>
      <c r="CG231" s="78"/>
      <c r="CH231" s="78"/>
      <c r="CI231" s="78"/>
      <c r="CJ231" s="78"/>
      <c r="CK231" s="78"/>
      <c r="CL231" s="78"/>
      <c r="CM231" s="78"/>
      <c r="CN231" s="78"/>
      <c r="CO231" s="78"/>
      <c r="CP231" s="78"/>
      <c r="CQ231" s="78"/>
      <c r="CR231" s="78"/>
      <c r="CS231" s="78"/>
      <c r="CT231" s="78"/>
      <c r="CU231" s="78"/>
      <c r="CV231" s="78"/>
      <c r="CW231" s="78"/>
      <c r="CX231" s="78"/>
      <c r="CY231" s="78"/>
      <c r="CZ231" s="78"/>
      <c r="DA231" s="78"/>
      <c r="DB231" s="78"/>
      <c r="DC231" s="78"/>
      <c r="DD231" s="78"/>
      <c r="DE231" s="78"/>
      <c r="DF231" s="78"/>
      <c r="DG231" s="78"/>
      <c r="DH231" s="78"/>
      <c r="DI231" s="78"/>
      <c r="DJ231" s="78"/>
      <c r="DK231" s="78"/>
      <c r="DL231" s="78"/>
      <c r="DM231" s="78"/>
      <c r="DN231" s="78"/>
      <c r="DO231" s="78"/>
      <c r="DP231" s="78"/>
      <c r="DQ231" s="78"/>
      <c r="DR231" s="78"/>
      <c r="DS231" s="78"/>
      <c r="DT231" s="78"/>
      <c r="DU231" s="78"/>
      <c r="DV231" s="78"/>
      <c r="DW231" s="78"/>
      <c r="DX231" s="78"/>
      <c r="DY231" s="78"/>
      <c r="DZ231" s="78"/>
      <c r="EA231" s="78"/>
      <c r="EB231" s="78"/>
      <c r="EC231" s="78"/>
      <c r="ED231" s="78"/>
      <c r="EE231" s="78"/>
      <c r="EF231" s="78"/>
      <c r="EG231" s="78"/>
      <c r="EH231" s="78"/>
      <c r="EI231" s="91"/>
      <c r="EJ231" s="91"/>
      <c r="EK231" s="91"/>
      <c r="EL231" s="91"/>
      <c r="EM231" s="91"/>
      <c r="EN231" s="91"/>
      <c r="EO231" s="91"/>
      <c r="EP231" s="78"/>
      <c r="EQ231" s="78"/>
      <c r="ER231" s="78"/>
      <c r="ES231" s="78"/>
      <c r="ET231" s="78"/>
      <c r="EU231" s="78"/>
      <c r="EV231" s="78"/>
      <c r="EW231" s="78"/>
      <c r="EX231" s="78"/>
      <c r="EY231" s="78"/>
      <c r="EZ231" s="78"/>
      <c r="FA231" s="78"/>
      <c r="FB231" s="78"/>
      <c r="FC231" s="78"/>
      <c r="FD231" s="78"/>
      <c r="FE231" s="78"/>
      <c r="FF231" s="78"/>
      <c r="FG231" s="78"/>
      <c r="FH231" s="78"/>
      <c r="FI231" s="78"/>
      <c r="FJ231" s="78"/>
      <c r="FK231" s="78"/>
    </row>
    <row r="232" spans="1:167" outlineLevel="1">
      <c r="A232" s="29" t="str">
        <f t="shared" si="26"/>
        <v>modesg_inp_risco_fisicon.a.</v>
      </c>
      <c r="B232" s="67" t="s">
        <v>26</v>
      </c>
      <c r="C232" s="68" t="s">
        <v>181</v>
      </c>
      <c r="D232" s="64" t="s">
        <v>36</v>
      </c>
      <c r="E232" s="66" t="s">
        <v>216</v>
      </c>
      <c r="F232" s="64" t="s">
        <v>38</v>
      </c>
      <c r="G232" s="64" t="str">
        <f>INDEX(Auxiliar!$B$16:$B$24,MATCH(Plano_V1!H232,Auxiliar!$C$16:$C$24,0),1)</f>
        <v>1. Concluído</v>
      </c>
      <c r="H232" s="64">
        <f>VLOOKUP(A232,'Aux - pivots1'!$A:$B,2,0)</f>
        <v>1</v>
      </c>
      <c r="I232" s="84">
        <f>SUMIFS(Table1[Estimação (horas)],Table1[Tabela],Plano_V1!E232,Table1[Campo],Plano_V1!F232)</f>
        <v>8.5</v>
      </c>
      <c r="J232" s="84">
        <f t="shared" si="24"/>
        <v>1.0625</v>
      </c>
      <c r="K232" s="89" t="s">
        <v>39</v>
      </c>
      <c r="L232" s="90">
        <f t="shared" si="25"/>
        <v>1.0625</v>
      </c>
      <c r="M232" s="78"/>
      <c r="N232" s="78"/>
      <c r="O232" s="78"/>
      <c r="P232" s="78"/>
      <c r="Q232" s="78"/>
      <c r="R232" s="78"/>
      <c r="S232" s="78"/>
      <c r="T232" s="78"/>
      <c r="U232" s="78"/>
      <c r="V232" s="78"/>
      <c r="W232" s="78"/>
      <c r="X232" s="78"/>
      <c r="Y232" s="78"/>
      <c r="Z232" s="78"/>
      <c r="AA232" s="78"/>
      <c r="AB232" s="78"/>
      <c r="AC232" s="78"/>
      <c r="AD232" s="78"/>
      <c r="AE232" s="78"/>
      <c r="AF232" s="78"/>
      <c r="AG232" s="78"/>
      <c r="AH232" s="78"/>
      <c r="AI232" s="78"/>
      <c r="AJ232" s="78"/>
      <c r="AK232" s="78"/>
      <c r="AL232" s="78"/>
      <c r="AM232" s="78"/>
      <c r="AN232" s="78"/>
      <c r="AO232" s="78"/>
      <c r="AP232" s="78"/>
      <c r="AQ232" s="78"/>
      <c r="AR232" s="78"/>
      <c r="AS232" s="78"/>
      <c r="AT232" s="91"/>
      <c r="AU232" s="78"/>
      <c r="AV232" s="78"/>
      <c r="AW232" s="78"/>
      <c r="AX232" s="78"/>
      <c r="AY232" s="78"/>
      <c r="AZ232" s="78"/>
      <c r="BA232" s="78"/>
      <c r="BB232" s="78"/>
      <c r="BC232" s="78"/>
      <c r="BD232" s="78"/>
      <c r="BE232" s="78"/>
      <c r="BF232" s="78"/>
      <c r="BG232" s="78"/>
      <c r="BH232" s="78"/>
      <c r="BI232" s="78"/>
      <c r="BJ232" s="78"/>
      <c r="BK232" s="78"/>
      <c r="BL232" s="78"/>
      <c r="BM232" s="78"/>
      <c r="BN232" s="78"/>
      <c r="BO232" s="78"/>
      <c r="BP232" s="78"/>
      <c r="BQ232" s="78"/>
      <c r="BR232" s="78"/>
      <c r="BS232" s="78"/>
      <c r="BT232" s="78"/>
      <c r="BU232" s="78"/>
      <c r="BV232" s="78"/>
      <c r="BW232" s="78"/>
      <c r="BX232" s="78"/>
      <c r="BY232" s="78"/>
      <c r="BZ232" s="78"/>
      <c r="CA232" s="78"/>
      <c r="CB232" s="78"/>
      <c r="CC232" s="78"/>
      <c r="CD232" s="78"/>
      <c r="CE232" s="78"/>
      <c r="CF232" s="78"/>
      <c r="CG232" s="78"/>
      <c r="CH232" s="78"/>
      <c r="CI232" s="78"/>
      <c r="CJ232" s="78"/>
      <c r="CK232" s="78"/>
      <c r="CL232" s="78"/>
      <c r="CM232" s="78"/>
      <c r="CN232" s="78"/>
      <c r="CO232" s="78"/>
      <c r="CP232" s="78"/>
      <c r="CQ232" s="78"/>
      <c r="CR232" s="78"/>
      <c r="CS232" s="78"/>
      <c r="CT232" s="78"/>
      <c r="CU232" s="78"/>
      <c r="CV232" s="78"/>
      <c r="CW232" s="78"/>
      <c r="CX232" s="78"/>
      <c r="CY232" s="78"/>
      <c r="CZ232" s="78"/>
      <c r="DA232" s="78"/>
      <c r="DB232" s="78"/>
      <c r="DC232" s="78"/>
      <c r="DD232" s="78"/>
      <c r="DE232" s="78"/>
      <c r="DF232" s="78"/>
      <c r="DG232" s="78"/>
      <c r="DH232" s="78"/>
      <c r="DI232" s="78"/>
      <c r="DJ232" s="78"/>
      <c r="DK232" s="78"/>
      <c r="DL232" s="78"/>
      <c r="DM232" s="78"/>
      <c r="DN232" s="78"/>
      <c r="DO232" s="78"/>
      <c r="DP232" s="78"/>
      <c r="DQ232" s="78"/>
      <c r="DR232" s="78"/>
      <c r="DS232" s="78"/>
      <c r="DT232" s="78"/>
      <c r="DU232" s="78"/>
      <c r="DV232" s="78"/>
      <c r="DW232" s="78"/>
      <c r="DX232" s="78"/>
      <c r="DY232" s="78"/>
      <c r="DZ232" s="78"/>
      <c r="EA232" s="78"/>
      <c r="EB232" s="78"/>
      <c r="EC232" s="78"/>
      <c r="ED232" s="78"/>
      <c r="EE232" s="78"/>
      <c r="EF232" s="78"/>
      <c r="EG232" s="78"/>
      <c r="EH232" s="78"/>
      <c r="EI232" s="91"/>
      <c r="EJ232" s="91"/>
      <c r="EK232" s="91"/>
      <c r="EL232" s="91"/>
      <c r="EM232" s="91"/>
      <c r="EN232" s="91"/>
      <c r="EO232" s="91"/>
      <c r="EP232" s="78"/>
      <c r="EQ232" s="78"/>
      <c r="ER232" s="78"/>
      <c r="ES232" s="78"/>
      <c r="ET232" s="78"/>
      <c r="EU232" s="78"/>
      <c r="EV232" s="78"/>
      <c r="EW232" s="78"/>
      <c r="EX232" s="78"/>
      <c r="EY232" s="78"/>
      <c r="EZ232" s="78"/>
      <c r="FA232" s="78"/>
      <c r="FB232" s="78"/>
      <c r="FC232" s="78"/>
      <c r="FD232" s="78"/>
      <c r="FE232" s="78"/>
      <c r="FF232" s="78"/>
      <c r="FG232" s="78"/>
      <c r="FH232" s="78"/>
      <c r="FI232" s="78"/>
      <c r="FJ232" s="78"/>
      <c r="FK232" s="78"/>
    </row>
    <row r="233" spans="1:167" outlineLevel="1">
      <c r="A233" s="29" t="str">
        <f t="shared" si="26"/>
        <v>modesg_inp_emss_scibn.a.</v>
      </c>
      <c r="B233" s="67" t="s">
        <v>26</v>
      </c>
      <c r="C233" s="68" t="s">
        <v>181</v>
      </c>
      <c r="D233" s="64" t="s">
        <v>36</v>
      </c>
      <c r="E233" s="66" t="s">
        <v>217</v>
      </c>
      <c r="F233" s="64" t="s">
        <v>38</v>
      </c>
      <c r="G233" s="64" t="str">
        <f>INDEX(Auxiliar!$B$16:$B$24,MATCH(Plano_V1!H233,Auxiliar!$C$16:$C$24,0),1)</f>
        <v>1. Concluído</v>
      </c>
      <c r="H233" s="64">
        <f>VLOOKUP(A233,'Aux - pivots1'!$A:$B,2,0)</f>
        <v>1</v>
      </c>
      <c r="I233" s="84">
        <f>SUMIFS(Table1[Estimação (horas)],Table1[Tabela],Plano_V1!E233,Table1[Campo],Plano_V1!F233)</f>
        <v>8.5</v>
      </c>
      <c r="J233" s="84">
        <f t="shared" si="24"/>
        <v>1.0625</v>
      </c>
      <c r="K233" s="89" t="s">
        <v>39</v>
      </c>
      <c r="L233" s="90">
        <f t="shared" si="25"/>
        <v>1.0625</v>
      </c>
      <c r="M233" s="78"/>
      <c r="N233" s="78"/>
      <c r="O233" s="78"/>
      <c r="P233" s="78"/>
      <c r="Q233" s="78"/>
      <c r="R233" s="78"/>
      <c r="S233" s="78"/>
      <c r="T233" s="78"/>
      <c r="U233" s="78"/>
      <c r="V233" s="78"/>
      <c r="W233" s="78"/>
      <c r="X233" s="78"/>
      <c r="Y233" s="78"/>
      <c r="Z233" s="78"/>
      <c r="AA233" s="78"/>
      <c r="AB233" s="78"/>
      <c r="AC233" s="78"/>
      <c r="AD233" s="78"/>
      <c r="AE233" s="78"/>
      <c r="AF233" s="78"/>
      <c r="AG233" s="78"/>
      <c r="AH233" s="78"/>
      <c r="AI233" s="78"/>
      <c r="AJ233" s="78"/>
      <c r="AK233" s="78"/>
      <c r="AL233" s="78"/>
      <c r="AM233" s="78"/>
      <c r="AN233" s="78"/>
      <c r="AO233" s="78"/>
      <c r="AP233" s="78"/>
      <c r="AQ233" s="78"/>
      <c r="AR233" s="78"/>
      <c r="AS233" s="78"/>
      <c r="AT233" s="91"/>
      <c r="AU233" s="78"/>
      <c r="AV233" s="78"/>
      <c r="AW233" s="78"/>
      <c r="AX233" s="78"/>
      <c r="AY233" s="78"/>
      <c r="AZ233" s="78"/>
      <c r="BA233" s="78"/>
      <c r="BB233" s="78"/>
      <c r="BC233" s="78"/>
      <c r="BD233" s="78"/>
      <c r="BE233" s="78"/>
      <c r="BF233" s="78"/>
      <c r="BG233" s="78"/>
      <c r="BH233" s="78"/>
      <c r="BI233" s="78"/>
      <c r="BJ233" s="78"/>
      <c r="BK233" s="78"/>
      <c r="BL233" s="78"/>
      <c r="BM233" s="78"/>
      <c r="BN233" s="78"/>
      <c r="BO233" s="78"/>
      <c r="BP233" s="78"/>
      <c r="BQ233" s="78"/>
      <c r="BR233" s="78"/>
      <c r="BS233" s="78"/>
      <c r="BT233" s="78"/>
      <c r="BU233" s="78"/>
      <c r="BV233" s="78"/>
      <c r="BW233" s="78"/>
      <c r="BX233" s="78"/>
      <c r="BY233" s="78"/>
      <c r="BZ233" s="78"/>
      <c r="CA233" s="78"/>
      <c r="CB233" s="78"/>
      <c r="CC233" s="78"/>
      <c r="CD233" s="78"/>
      <c r="CE233" s="78"/>
      <c r="CF233" s="78"/>
      <c r="CG233" s="78"/>
      <c r="CH233" s="78"/>
      <c r="CI233" s="78"/>
      <c r="CJ233" s="78"/>
      <c r="CK233" s="78"/>
      <c r="CL233" s="78"/>
      <c r="CM233" s="78"/>
      <c r="CN233" s="78"/>
      <c r="CO233" s="78"/>
      <c r="CP233" s="78"/>
      <c r="CQ233" s="78"/>
      <c r="CR233" s="78"/>
      <c r="CS233" s="78"/>
      <c r="CT233" s="78"/>
      <c r="CU233" s="78"/>
      <c r="CV233" s="78"/>
      <c r="CW233" s="78"/>
      <c r="CX233" s="78"/>
      <c r="CY233" s="78"/>
      <c r="CZ233" s="78"/>
      <c r="DA233" s="78"/>
      <c r="DB233" s="78"/>
      <c r="DC233" s="78"/>
      <c r="DD233" s="78"/>
      <c r="DE233" s="78"/>
      <c r="DF233" s="78"/>
      <c r="DG233" s="78"/>
      <c r="DH233" s="78"/>
      <c r="DI233" s="78"/>
      <c r="DJ233" s="78"/>
      <c r="DK233" s="78"/>
      <c r="DL233" s="78"/>
      <c r="DM233" s="78"/>
      <c r="DN233" s="78"/>
      <c r="DO233" s="78"/>
      <c r="DP233" s="78"/>
      <c r="DQ233" s="78"/>
      <c r="DR233" s="78"/>
      <c r="DS233" s="78"/>
      <c r="DT233" s="78"/>
      <c r="DU233" s="78"/>
      <c r="DV233" s="78"/>
      <c r="DW233" s="78"/>
      <c r="DX233" s="78"/>
      <c r="DY233" s="78"/>
      <c r="DZ233" s="78"/>
      <c r="EA233" s="78"/>
      <c r="EB233" s="78"/>
      <c r="EC233" s="78"/>
      <c r="ED233" s="78"/>
      <c r="EE233" s="78"/>
      <c r="EF233" s="78"/>
      <c r="EG233" s="78"/>
      <c r="EH233" s="78"/>
      <c r="EI233" s="91"/>
      <c r="EJ233" s="91"/>
      <c r="EK233" s="91"/>
      <c r="EL233" s="91"/>
      <c r="EM233" s="91"/>
      <c r="EN233" s="91"/>
      <c r="EO233" s="91"/>
      <c r="EP233" s="78"/>
      <c r="EQ233" s="78"/>
      <c r="ER233" s="78"/>
      <c r="ES233" s="78"/>
      <c r="ET233" s="78"/>
      <c r="EU233" s="78"/>
      <c r="EV233" s="78"/>
      <c r="EW233" s="78"/>
      <c r="EX233" s="78"/>
      <c r="EY233" s="78"/>
      <c r="EZ233" s="78"/>
      <c r="FA233" s="78"/>
      <c r="FB233" s="78"/>
      <c r="FC233" s="78"/>
      <c r="FD233" s="78"/>
      <c r="FE233" s="78"/>
      <c r="FF233" s="78"/>
      <c r="FG233" s="78"/>
      <c r="FH233" s="78"/>
      <c r="FI233" s="78"/>
      <c r="FJ233" s="78"/>
      <c r="FK233" s="78"/>
    </row>
    <row r="234" spans="1:167" outlineLevel="1">
      <c r="A234" s="29" t="str">
        <f t="shared" si="26"/>
        <v>modesg_inp_emss_nacen.a.</v>
      </c>
      <c r="B234" s="67" t="s">
        <v>26</v>
      </c>
      <c r="C234" s="68" t="s">
        <v>181</v>
      </c>
      <c r="D234" s="64" t="s">
        <v>36</v>
      </c>
      <c r="E234" s="66" t="s">
        <v>218</v>
      </c>
      <c r="F234" s="64" t="s">
        <v>38</v>
      </c>
      <c r="G234" s="64" t="str">
        <f>INDEX(Auxiliar!$B$16:$B$24,MATCH(Plano_V1!H234,Auxiliar!$C$16:$C$24,0),1)</f>
        <v>1. Concluído</v>
      </c>
      <c r="H234" s="64">
        <f>VLOOKUP(A234,'Aux - pivots1'!$A:$B,2,0)</f>
        <v>1</v>
      </c>
      <c r="I234" s="84">
        <f>SUMIFS(Table1[Estimação (horas)],Table1[Tabela],Plano_V1!E234,Table1[Campo],Plano_V1!F234)</f>
        <v>8.5</v>
      </c>
      <c r="J234" s="84">
        <f t="shared" si="24"/>
        <v>1.0625</v>
      </c>
      <c r="K234" s="89" t="s">
        <v>39</v>
      </c>
      <c r="L234" s="90">
        <f t="shared" si="25"/>
        <v>1.0625</v>
      </c>
      <c r="M234" s="78"/>
      <c r="N234" s="78"/>
      <c r="O234" s="78"/>
      <c r="P234" s="78"/>
      <c r="Q234" s="78"/>
      <c r="R234" s="78"/>
      <c r="S234" s="78"/>
      <c r="T234" s="78"/>
      <c r="U234" s="78"/>
      <c r="V234" s="78"/>
      <c r="W234" s="78"/>
      <c r="X234" s="78"/>
      <c r="Y234" s="78"/>
      <c r="Z234" s="78"/>
      <c r="AA234" s="78"/>
      <c r="AB234" s="78"/>
      <c r="AC234" s="78"/>
      <c r="AD234" s="78"/>
      <c r="AE234" s="78"/>
      <c r="AF234" s="78"/>
      <c r="AG234" s="78"/>
      <c r="AH234" s="78"/>
      <c r="AI234" s="78"/>
      <c r="AJ234" s="78"/>
      <c r="AK234" s="78"/>
      <c r="AL234" s="78"/>
      <c r="AM234" s="78"/>
      <c r="AN234" s="78"/>
      <c r="AO234" s="78"/>
      <c r="AP234" s="78"/>
      <c r="AQ234" s="78"/>
      <c r="AR234" s="78"/>
      <c r="AS234" s="78"/>
      <c r="AT234" s="91"/>
      <c r="AU234" s="78"/>
      <c r="AV234" s="78"/>
      <c r="AW234" s="78"/>
      <c r="AX234" s="78"/>
      <c r="AY234" s="78"/>
      <c r="AZ234" s="78"/>
      <c r="BA234" s="78"/>
      <c r="BB234" s="78"/>
      <c r="BC234" s="78"/>
      <c r="BD234" s="78"/>
      <c r="BE234" s="78"/>
      <c r="BF234" s="78"/>
      <c r="BG234" s="78"/>
      <c r="BH234" s="78"/>
      <c r="BI234" s="78"/>
      <c r="BJ234" s="78"/>
      <c r="BK234" s="78"/>
      <c r="BL234" s="78"/>
      <c r="BM234" s="78"/>
      <c r="BN234" s="78"/>
      <c r="BO234" s="78"/>
      <c r="BP234" s="78"/>
      <c r="BQ234" s="78"/>
      <c r="BR234" s="78"/>
      <c r="BS234" s="78"/>
      <c r="BT234" s="78"/>
      <c r="BU234" s="78"/>
      <c r="BV234" s="78"/>
      <c r="BW234" s="78"/>
      <c r="BX234" s="78"/>
      <c r="BY234" s="78"/>
      <c r="BZ234" s="78"/>
      <c r="CA234" s="78"/>
      <c r="CB234" s="78"/>
      <c r="CC234" s="78"/>
      <c r="CD234" s="78"/>
      <c r="CE234" s="78"/>
      <c r="CF234" s="78"/>
      <c r="CG234" s="78"/>
      <c r="CH234" s="78"/>
      <c r="CI234" s="78"/>
      <c r="CJ234" s="78"/>
      <c r="CK234" s="78"/>
      <c r="CL234" s="78"/>
      <c r="CM234" s="78"/>
      <c r="CN234" s="78"/>
      <c r="CO234" s="78"/>
      <c r="CP234" s="78"/>
      <c r="CQ234" s="78"/>
      <c r="CR234" s="78"/>
      <c r="CS234" s="78"/>
      <c r="CT234" s="78"/>
      <c r="CU234" s="78"/>
      <c r="CV234" s="78"/>
      <c r="CW234" s="78"/>
      <c r="CX234" s="78"/>
      <c r="CY234" s="78"/>
      <c r="CZ234" s="78"/>
      <c r="DA234" s="78"/>
      <c r="DB234" s="78"/>
      <c r="DC234" s="78"/>
      <c r="DD234" s="78"/>
      <c r="DE234" s="78"/>
      <c r="DF234" s="78"/>
      <c r="DG234" s="78"/>
      <c r="DH234" s="78"/>
      <c r="DI234" s="78"/>
      <c r="DJ234" s="78"/>
      <c r="DK234" s="78"/>
      <c r="DL234" s="78"/>
      <c r="DM234" s="78"/>
      <c r="DN234" s="78"/>
      <c r="DO234" s="78"/>
      <c r="DP234" s="78"/>
      <c r="DQ234" s="78"/>
      <c r="DR234" s="78"/>
      <c r="DS234" s="78"/>
      <c r="DT234" s="78"/>
      <c r="DU234" s="78"/>
      <c r="DV234" s="78"/>
      <c r="DW234" s="78"/>
      <c r="DX234" s="78"/>
      <c r="DY234" s="78"/>
      <c r="DZ234" s="78"/>
      <c r="EA234" s="78"/>
      <c r="EB234" s="78"/>
      <c r="EC234" s="78"/>
      <c r="ED234" s="78"/>
      <c r="EE234" s="78"/>
      <c r="EF234" s="78"/>
      <c r="EG234" s="78"/>
      <c r="EH234" s="78"/>
      <c r="EI234" s="91"/>
      <c r="EJ234" s="91"/>
      <c r="EK234" s="91"/>
      <c r="EL234" s="91"/>
      <c r="EM234" s="91"/>
      <c r="EN234" s="91"/>
      <c r="EO234" s="91"/>
      <c r="EP234" s="78"/>
      <c r="EQ234" s="78"/>
      <c r="ER234" s="78"/>
      <c r="ES234" s="78"/>
      <c r="ET234" s="78"/>
      <c r="EU234" s="78"/>
      <c r="EV234" s="78"/>
      <c r="EW234" s="78"/>
      <c r="EX234" s="78"/>
      <c r="EY234" s="78"/>
      <c r="EZ234" s="78"/>
      <c r="FA234" s="78"/>
      <c r="FB234" s="78"/>
      <c r="FC234" s="78"/>
      <c r="FD234" s="78"/>
      <c r="FE234" s="78"/>
      <c r="FF234" s="78"/>
      <c r="FG234" s="78"/>
      <c r="FH234" s="78"/>
      <c r="FI234" s="78"/>
      <c r="FJ234" s="78"/>
      <c r="FK234" s="78"/>
    </row>
    <row r="235" spans="1:167" outlineLevel="1">
      <c r="A235" s="29" t="str">
        <f t="shared" si="26"/>
        <v>modesg_inp_emss_bens_imoveisn.a.</v>
      </c>
      <c r="B235" s="67" t="s">
        <v>26</v>
      </c>
      <c r="C235" s="68" t="s">
        <v>181</v>
      </c>
      <c r="D235" s="64" t="s">
        <v>36</v>
      </c>
      <c r="E235" s="66" t="s">
        <v>219</v>
      </c>
      <c r="F235" s="64" t="s">
        <v>38</v>
      </c>
      <c r="G235" s="64" t="str">
        <f>INDEX(Auxiliar!$B$16:$B$24,MATCH(Plano_V1!H235,Auxiliar!$C$16:$C$24,0),1)</f>
        <v>1. Concluído</v>
      </c>
      <c r="H235" s="64">
        <f>VLOOKUP(A235,'Aux - pivots1'!$A:$B,2,0)</f>
        <v>1</v>
      </c>
      <c r="I235" s="84">
        <f>SUMIFS(Table1[Estimação (horas)],Table1[Tabela],Plano_V1!E235,Table1[Campo],Plano_V1!F235)</f>
        <v>8.5</v>
      </c>
      <c r="J235" s="84">
        <f t="shared" si="24"/>
        <v>1.0625</v>
      </c>
      <c r="K235" s="89" t="s">
        <v>39</v>
      </c>
      <c r="L235" s="90">
        <f t="shared" si="25"/>
        <v>1.0625</v>
      </c>
      <c r="M235" s="78"/>
      <c r="N235" s="78"/>
      <c r="O235" s="78"/>
      <c r="P235" s="78"/>
      <c r="Q235" s="78"/>
      <c r="R235" s="78"/>
      <c r="S235" s="78"/>
      <c r="T235" s="78"/>
      <c r="U235" s="78"/>
      <c r="V235" s="78"/>
      <c r="W235" s="78"/>
      <c r="X235" s="78"/>
      <c r="Y235" s="78"/>
      <c r="Z235" s="78"/>
      <c r="AA235" s="78"/>
      <c r="AB235" s="78"/>
      <c r="AC235" s="78"/>
      <c r="AD235" s="78"/>
      <c r="AE235" s="78"/>
      <c r="AF235" s="78"/>
      <c r="AG235" s="78"/>
      <c r="AH235" s="78"/>
      <c r="AI235" s="78"/>
      <c r="AJ235" s="78"/>
      <c r="AK235" s="78"/>
      <c r="AL235" s="78"/>
      <c r="AM235" s="78"/>
      <c r="AN235" s="78"/>
      <c r="AO235" s="78"/>
      <c r="AP235" s="78"/>
      <c r="AQ235" s="78"/>
      <c r="AR235" s="78"/>
      <c r="AS235" s="78"/>
      <c r="AT235" s="91"/>
      <c r="AU235" s="78"/>
      <c r="AV235" s="78"/>
      <c r="AW235" s="78"/>
      <c r="AX235" s="78"/>
      <c r="AY235" s="78"/>
      <c r="AZ235" s="78"/>
      <c r="BA235" s="78"/>
      <c r="BB235" s="78"/>
      <c r="BC235" s="78"/>
      <c r="BD235" s="78"/>
      <c r="BE235" s="78"/>
      <c r="BF235" s="78"/>
      <c r="BG235" s="78"/>
      <c r="BH235" s="78"/>
      <c r="BI235" s="78"/>
      <c r="BJ235" s="78"/>
      <c r="BK235" s="78"/>
      <c r="BL235" s="78"/>
      <c r="BM235" s="78"/>
      <c r="BN235" s="78"/>
      <c r="BO235" s="78"/>
      <c r="BP235" s="78"/>
      <c r="BQ235" s="78"/>
      <c r="BR235" s="78"/>
      <c r="BS235" s="78"/>
      <c r="BT235" s="78"/>
      <c r="BU235" s="78"/>
      <c r="BV235" s="78"/>
      <c r="BW235" s="78"/>
      <c r="BX235" s="78"/>
      <c r="BY235" s="78"/>
      <c r="BZ235" s="78"/>
      <c r="CA235" s="78"/>
      <c r="CB235" s="78"/>
      <c r="CC235" s="78"/>
      <c r="CD235" s="78"/>
      <c r="CE235" s="78"/>
      <c r="CF235" s="78"/>
      <c r="CG235" s="78"/>
      <c r="CH235" s="78"/>
      <c r="CI235" s="78"/>
      <c r="CJ235" s="78"/>
      <c r="CK235" s="78"/>
      <c r="CL235" s="78"/>
      <c r="CM235" s="78"/>
      <c r="CN235" s="78"/>
      <c r="CO235" s="78"/>
      <c r="CP235" s="78"/>
      <c r="CQ235" s="78"/>
      <c r="CR235" s="78"/>
      <c r="CS235" s="78"/>
      <c r="CT235" s="78"/>
      <c r="CU235" s="78"/>
      <c r="CV235" s="78"/>
      <c r="CW235" s="78"/>
      <c r="CX235" s="78"/>
      <c r="CY235" s="78"/>
      <c r="CZ235" s="78"/>
      <c r="DA235" s="78"/>
      <c r="DB235" s="78"/>
      <c r="DC235" s="78"/>
      <c r="DD235" s="78"/>
      <c r="DE235" s="78"/>
      <c r="DF235" s="78"/>
      <c r="DG235" s="78"/>
      <c r="DH235" s="78"/>
      <c r="DI235" s="78"/>
      <c r="DJ235" s="78"/>
      <c r="DK235" s="78"/>
      <c r="DL235" s="78"/>
      <c r="DM235" s="78"/>
      <c r="DN235" s="78"/>
      <c r="DO235" s="78"/>
      <c r="DP235" s="78"/>
      <c r="DQ235" s="78"/>
      <c r="DR235" s="78"/>
      <c r="DS235" s="78"/>
      <c r="DT235" s="78"/>
      <c r="DU235" s="78"/>
      <c r="DV235" s="78"/>
      <c r="DW235" s="78"/>
      <c r="DX235" s="78"/>
      <c r="DY235" s="78"/>
      <c r="DZ235" s="78"/>
      <c r="EA235" s="78"/>
      <c r="EB235" s="78"/>
      <c r="EC235" s="78"/>
      <c r="ED235" s="78"/>
      <c r="EE235" s="78"/>
      <c r="EF235" s="78"/>
      <c r="EG235" s="78"/>
      <c r="EH235" s="78"/>
      <c r="EI235" s="91"/>
      <c r="EJ235" s="91"/>
      <c r="EK235" s="91"/>
      <c r="EL235" s="91"/>
      <c r="EM235" s="91"/>
      <c r="EN235" s="91"/>
      <c r="EO235" s="91"/>
      <c r="EP235" s="78"/>
      <c r="EQ235" s="78"/>
      <c r="ER235" s="78"/>
      <c r="ES235" s="78"/>
      <c r="ET235" s="78"/>
      <c r="EU235" s="78"/>
      <c r="EV235" s="78"/>
      <c r="EW235" s="78"/>
      <c r="EX235" s="78"/>
      <c r="EY235" s="78"/>
      <c r="EZ235" s="78"/>
      <c r="FA235" s="78"/>
      <c r="FB235" s="78"/>
      <c r="FC235" s="78"/>
      <c r="FD235" s="78"/>
      <c r="FE235" s="78"/>
      <c r="FF235" s="78"/>
      <c r="FG235" s="78"/>
      <c r="FH235" s="78"/>
      <c r="FI235" s="78"/>
      <c r="FJ235" s="78"/>
      <c r="FK235" s="78"/>
    </row>
    <row r="236" spans="1:167" outlineLevel="1">
      <c r="A236" s="29" t="str">
        <f t="shared" si="26"/>
        <v>modesg_inp_emss_vclsref_date</v>
      </c>
      <c r="B236" s="67" t="s">
        <v>26</v>
      </c>
      <c r="C236" s="68" t="s">
        <v>181</v>
      </c>
      <c r="D236" s="64" t="s">
        <v>40</v>
      </c>
      <c r="E236" s="66" t="s">
        <v>212</v>
      </c>
      <c r="F236" s="64" t="s">
        <v>208</v>
      </c>
      <c r="G236" s="64" t="str">
        <f>INDEX(Auxiliar!$B$16:$B$24,MATCH(Plano_V1!H236,Auxiliar!$C$16:$C$24,0),1)</f>
        <v>1. Concluído</v>
      </c>
      <c r="H236" s="64">
        <f>VLOOKUP(A236,'Aux - pivots1'!$A:$B,2,0)</f>
        <v>1</v>
      </c>
      <c r="I236" s="84">
        <f>SUMIFS(Table1[Estimação (horas)],Table1[Tabela],Plano_V1!E236,Table1[Campo],Plano_V1!F236)</f>
        <v>0.5</v>
      </c>
      <c r="J236" s="84">
        <f t="shared" si="24"/>
        <v>6.25E-2</v>
      </c>
      <c r="K236" s="89" t="s">
        <v>39</v>
      </c>
      <c r="L236" s="90">
        <f t="shared" si="25"/>
        <v>6.25E-2</v>
      </c>
      <c r="M236" s="78"/>
      <c r="N236" s="78"/>
      <c r="O236" s="78"/>
      <c r="P236" s="78"/>
      <c r="Q236" s="78"/>
      <c r="R236" s="78"/>
      <c r="S236" s="78"/>
      <c r="T236" s="78"/>
      <c r="U236" s="78"/>
      <c r="V236" s="78"/>
      <c r="W236" s="78"/>
      <c r="X236" s="78"/>
      <c r="Y236" s="78"/>
      <c r="Z236" s="78"/>
      <c r="AA236" s="78"/>
      <c r="AB236" s="78"/>
      <c r="AC236" s="78"/>
      <c r="AD236" s="78"/>
      <c r="AE236" s="78"/>
      <c r="AF236" s="78"/>
      <c r="AG236" s="78"/>
      <c r="AH236" s="78"/>
      <c r="AI236" s="78"/>
      <c r="AJ236" s="78"/>
      <c r="AK236" s="78"/>
      <c r="AL236" s="78"/>
      <c r="AM236" s="78"/>
      <c r="AN236" s="78"/>
      <c r="AO236" s="78"/>
      <c r="AP236" s="78"/>
      <c r="AQ236" s="78"/>
      <c r="AR236" s="78"/>
      <c r="AS236" s="78"/>
      <c r="AT236" s="91"/>
      <c r="AU236" s="78"/>
      <c r="AV236" s="78"/>
      <c r="AW236" s="78"/>
      <c r="AX236" s="78"/>
      <c r="AY236" s="78"/>
      <c r="AZ236" s="78"/>
      <c r="BA236" s="78"/>
      <c r="BB236" s="78"/>
      <c r="BC236" s="78"/>
      <c r="BD236" s="78"/>
      <c r="BE236" s="78"/>
      <c r="BF236" s="78"/>
      <c r="BG236" s="78"/>
      <c r="BH236" s="78"/>
      <c r="BI236" s="78"/>
      <c r="BJ236" s="78"/>
      <c r="BK236" s="78"/>
      <c r="BL236" s="78"/>
      <c r="BM236" s="78"/>
      <c r="BN236" s="78"/>
      <c r="BO236" s="78"/>
      <c r="BP236" s="78"/>
      <c r="BQ236" s="78"/>
      <c r="BR236" s="78"/>
      <c r="BS236" s="78"/>
      <c r="BT236" s="78"/>
      <c r="BU236" s="78"/>
      <c r="BV236" s="78"/>
      <c r="BW236" s="78"/>
      <c r="BX236" s="78"/>
      <c r="BY236" s="78"/>
      <c r="BZ236" s="78"/>
      <c r="CA236" s="78"/>
      <c r="CB236" s="78"/>
      <c r="CC236" s="78"/>
      <c r="CD236" s="78"/>
      <c r="CE236" s="78"/>
      <c r="CF236" s="78"/>
      <c r="CG236" s="78"/>
      <c r="CH236" s="78"/>
      <c r="CI236" s="78"/>
      <c r="CJ236" s="78"/>
      <c r="CK236" s="78"/>
      <c r="CL236" s="78"/>
      <c r="CM236" s="78"/>
      <c r="CN236" s="78"/>
      <c r="CO236" s="78"/>
      <c r="CP236" s="78"/>
      <c r="CQ236" s="78"/>
      <c r="CR236" s="78"/>
      <c r="CS236" s="78"/>
      <c r="CT236" s="78"/>
      <c r="CU236" s="78"/>
      <c r="CV236" s="78"/>
      <c r="CW236" s="78"/>
      <c r="CX236" s="78"/>
      <c r="CY236" s="78"/>
      <c r="CZ236" s="78"/>
      <c r="DA236" s="78"/>
      <c r="DB236" s="78"/>
      <c r="DC236" s="78"/>
      <c r="DD236" s="78"/>
      <c r="DE236" s="78"/>
      <c r="DF236" s="78"/>
      <c r="DG236" s="78"/>
      <c r="DH236" s="78"/>
      <c r="DI236" s="78"/>
      <c r="DJ236" s="78"/>
      <c r="DK236" s="78"/>
      <c r="DL236" s="78"/>
      <c r="DM236" s="78"/>
      <c r="DN236" s="78"/>
      <c r="DO236" s="78"/>
      <c r="DP236" s="78"/>
      <c r="DQ236" s="78"/>
      <c r="DR236" s="78"/>
      <c r="DS236" s="78"/>
      <c r="DT236" s="78"/>
      <c r="DU236" s="78"/>
      <c r="DV236" s="78"/>
      <c r="DW236" s="78"/>
      <c r="DX236" s="78"/>
      <c r="DY236" s="78"/>
      <c r="DZ236" s="78"/>
      <c r="EA236" s="78"/>
      <c r="EB236" s="78"/>
      <c r="EC236" s="78"/>
      <c r="ED236" s="78"/>
      <c r="EE236" s="78"/>
      <c r="EF236" s="78"/>
      <c r="EG236" s="78"/>
      <c r="EH236" s="78"/>
      <c r="EI236" s="91"/>
      <c r="EJ236" s="91"/>
      <c r="EK236" s="91"/>
      <c r="EL236" s="91"/>
      <c r="EM236" s="91"/>
      <c r="EN236" s="91"/>
      <c r="EO236" s="91"/>
      <c r="EP236" s="78"/>
      <c r="EQ236" s="78"/>
      <c r="ER236" s="78"/>
      <c r="ES236" s="78"/>
      <c r="ET236" s="78"/>
      <c r="EU236" s="78"/>
      <c r="EV236" s="78"/>
      <c r="EW236" s="78"/>
      <c r="EX236" s="78"/>
      <c r="EY236" s="78"/>
      <c r="EZ236" s="78"/>
      <c r="FA236" s="78"/>
      <c r="FB236" s="78"/>
      <c r="FC236" s="78"/>
      <c r="FD236" s="78"/>
      <c r="FE236" s="78"/>
      <c r="FF236" s="78"/>
      <c r="FG236" s="78"/>
      <c r="FH236" s="78"/>
      <c r="FI236" s="78"/>
      <c r="FJ236" s="78"/>
      <c r="FK236" s="78"/>
    </row>
    <row r="237" spans="1:167" outlineLevel="1">
      <c r="A237" s="29" t="str">
        <f t="shared" si="26"/>
        <v>modesg_inp_emss_vclsnome_regiao</v>
      </c>
      <c r="B237" s="67" t="s">
        <v>26</v>
      </c>
      <c r="C237" s="68" t="s">
        <v>181</v>
      </c>
      <c r="D237" s="64" t="s">
        <v>40</v>
      </c>
      <c r="E237" s="66" t="s">
        <v>212</v>
      </c>
      <c r="F237" s="64" t="s">
        <v>220</v>
      </c>
      <c r="G237" s="64" t="str">
        <f>INDEX(Auxiliar!$B$16:$B$24,MATCH(Plano_V1!H237,Auxiliar!$C$16:$C$24,0),1)</f>
        <v>1. Concluído</v>
      </c>
      <c r="H237" s="64">
        <f>VLOOKUP(A237,'Aux - pivots1'!$A:$B,2,0)</f>
        <v>1</v>
      </c>
      <c r="I237" s="84">
        <f>SUMIFS(Table1[Estimação (horas)],Table1[Tabela],Plano_V1!E237,Table1[Campo],Plano_V1!F237)</f>
        <v>0.6</v>
      </c>
      <c r="J237" s="84">
        <f t="shared" si="24"/>
        <v>7.4999999999999997E-2</v>
      </c>
      <c r="K237" s="89" t="s">
        <v>39</v>
      </c>
      <c r="L237" s="90">
        <f t="shared" si="25"/>
        <v>7.4999999999999997E-2</v>
      </c>
      <c r="M237" s="78"/>
      <c r="N237" s="78"/>
      <c r="O237" s="78"/>
      <c r="P237" s="78"/>
      <c r="Q237" s="78"/>
      <c r="R237" s="78"/>
      <c r="S237" s="78"/>
      <c r="T237" s="78"/>
      <c r="U237" s="78"/>
      <c r="V237" s="78"/>
      <c r="W237" s="78"/>
      <c r="X237" s="78"/>
      <c r="Y237" s="78"/>
      <c r="Z237" s="78"/>
      <c r="AA237" s="78"/>
      <c r="AB237" s="78"/>
      <c r="AC237" s="78"/>
      <c r="AD237" s="78"/>
      <c r="AE237" s="78"/>
      <c r="AF237" s="78"/>
      <c r="AG237" s="78"/>
      <c r="AH237" s="78"/>
      <c r="AI237" s="78"/>
      <c r="AJ237" s="78"/>
      <c r="AK237" s="78"/>
      <c r="AL237" s="78"/>
      <c r="AM237" s="78"/>
      <c r="AN237" s="78"/>
      <c r="AO237" s="78"/>
      <c r="AP237" s="78"/>
      <c r="AQ237" s="78"/>
      <c r="AR237" s="78"/>
      <c r="AS237" s="78"/>
      <c r="AT237" s="91"/>
      <c r="AU237" s="78"/>
      <c r="AV237" s="78"/>
      <c r="AW237" s="78"/>
      <c r="AX237" s="78"/>
      <c r="AY237" s="78"/>
      <c r="AZ237" s="78"/>
      <c r="BA237" s="78"/>
      <c r="BB237" s="78"/>
      <c r="BC237" s="78"/>
      <c r="BD237" s="78"/>
      <c r="BE237" s="78"/>
      <c r="BF237" s="78"/>
      <c r="BG237" s="78"/>
      <c r="BH237" s="78"/>
      <c r="BI237" s="78"/>
      <c r="BJ237" s="78"/>
      <c r="BK237" s="78"/>
      <c r="BL237" s="78"/>
      <c r="BM237" s="78"/>
      <c r="BN237" s="78"/>
      <c r="BO237" s="78"/>
      <c r="BP237" s="78"/>
      <c r="BQ237" s="78"/>
      <c r="BR237" s="78"/>
      <c r="BS237" s="78"/>
      <c r="BT237" s="78"/>
      <c r="BU237" s="78"/>
      <c r="BV237" s="78"/>
      <c r="BW237" s="78"/>
      <c r="BX237" s="78"/>
      <c r="BY237" s="78"/>
      <c r="BZ237" s="78"/>
      <c r="CA237" s="78"/>
      <c r="CB237" s="78"/>
      <c r="CC237" s="78"/>
      <c r="CD237" s="78"/>
      <c r="CE237" s="78"/>
      <c r="CF237" s="78"/>
      <c r="CG237" s="78"/>
      <c r="CH237" s="78"/>
      <c r="CI237" s="78"/>
      <c r="CJ237" s="78"/>
      <c r="CK237" s="78"/>
      <c r="CL237" s="78"/>
      <c r="CM237" s="78"/>
      <c r="CN237" s="78"/>
      <c r="CO237" s="78"/>
      <c r="CP237" s="78"/>
      <c r="CQ237" s="78"/>
      <c r="CR237" s="78"/>
      <c r="CS237" s="78"/>
      <c r="CT237" s="78"/>
      <c r="CU237" s="78"/>
      <c r="CV237" s="78"/>
      <c r="CW237" s="78"/>
      <c r="CX237" s="78"/>
      <c r="CY237" s="78"/>
      <c r="CZ237" s="78"/>
      <c r="DA237" s="78"/>
      <c r="DB237" s="78"/>
      <c r="DC237" s="78"/>
      <c r="DD237" s="78"/>
      <c r="DE237" s="78"/>
      <c r="DF237" s="78"/>
      <c r="DG237" s="78"/>
      <c r="DH237" s="78"/>
      <c r="DI237" s="78"/>
      <c r="DJ237" s="78"/>
      <c r="DK237" s="78"/>
      <c r="DL237" s="78"/>
      <c r="DM237" s="78"/>
      <c r="DN237" s="78"/>
      <c r="DO237" s="78"/>
      <c r="DP237" s="78"/>
      <c r="DQ237" s="78"/>
      <c r="DR237" s="78"/>
      <c r="DS237" s="78"/>
      <c r="DT237" s="78"/>
      <c r="DU237" s="78"/>
      <c r="DV237" s="78"/>
      <c r="DW237" s="78"/>
      <c r="DX237" s="78"/>
      <c r="DY237" s="78"/>
      <c r="DZ237" s="78"/>
      <c r="EA237" s="78"/>
      <c r="EB237" s="78"/>
      <c r="EC237" s="78"/>
      <c r="ED237" s="78"/>
      <c r="EE237" s="78"/>
      <c r="EF237" s="78"/>
      <c r="EG237" s="78"/>
      <c r="EH237" s="78"/>
      <c r="EI237" s="91"/>
      <c r="EJ237" s="91"/>
      <c r="EK237" s="91"/>
      <c r="EL237" s="91"/>
      <c r="EM237" s="91"/>
      <c r="EN237" s="91"/>
      <c r="EO237" s="91"/>
      <c r="EP237" s="78"/>
      <c r="EQ237" s="78"/>
      <c r="ER237" s="78"/>
      <c r="ES237" s="78"/>
      <c r="ET237" s="78"/>
      <c r="EU237" s="78"/>
      <c r="EV237" s="78"/>
      <c r="EW237" s="78"/>
      <c r="EX237" s="78"/>
      <c r="EY237" s="78"/>
      <c r="EZ237" s="78"/>
      <c r="FA237" s="78"/>
      <c r="FB237" s="78"/>
      <c r="FC237" s="78"/>
      <c r="FD237" s="78"/>
      <c r="FE237" s="78"/>
      <c r="FF237" s="78"/>
      <c r="FG237" s="78"/>
      <c r="FH237" s="78"/>
      <c r="FI237" s="78"/>
      <c r="FJ237" s="78"/>
      <c r="FK237" s="78"/>
    </row>
    <row r="238" spans="1:167" outlineLevel="1">
      <c r="A238" s="29" t="str">
        <f t="shared" si="26"/>
        <v>modesg_inp_emss_vclsnome_pais</v>
      </c>
      <c r="B238" s="67" t="s">
        <v>26</v>
      </c>
      <c r="C238" s="68" t="s">
        <v>181</v>
      </c>
      <c r="D238" s="64" t="s">
        <v>40</v>
      </c>
      <c r="E238" s="66" t="s">
        <v>212</v>
      </c>
      <c r="F238" s="64" t="s">
        <v>221</v>
      </c>
      <c r="G238" s="64" t="str">
        <f>INDEX(Auxiliar!$B$16:$B$24,MATCH(Plano_V1!H238,Auxiliar!$C$16:$C$24,0),1)</f>
        <v>1. Concluído</v>
      </c>
      <c r="H238" s="64">
        <f>VLOOKUP(A238,'Aux - pivots1'!$A:$B,2,0)</f>
        <v>1</v>
      </c>
      <c r="I238" s="84">
        <f>SUMIFS(Table1[Estimação (horas)],Table1[Tabela],Plano_V1!E238,Table1[Campo],Plano_V1!F238)</f>
        <v>0.6</v>
      </c>
      <c r="J238" s="84">
        <f t="shared" si="24"/>
        <v>7.4999999999999997E-2</v>
      </c>
      <c r="K238" s="89" t="s">
        <v>39</v>
      </c>
      <c r="L238" s="90">
        <f t="shared" si="25"/>
        <v>7.4999999999999997E-2</v>
      </c>
      <c r="M238" s="78"/>
      <c r="N238" s="78"/>
      <c r="O238" s="78"/>
      <c r="P238" s="78"/>
      <c r="Q238" s="78"/>
      <c r="R238" s="78"/>
      <c r="S238" s="78"/>
      <c r="T238" s="78"/>
      <c r="U238" s="78"/>
      <c r="V238" s="78"/>
      <c r="W238" s="78"/>
      <c r="X238" s="78"/>
      <c r="Y238" s="78"/>
      <c r="Z238" s="78"/>
      <c r="AA238" s="78"/>
      <c r="AB238" s="78"/>
      <c r="AC238" s="78"/>
      <c r="AD238" s="78"/>
      <c r="AE238" s="78"/>
      <c r="AF238" s="78"/>
      <c r="AG238" s="78"/>
      <c r="AH238" s="78"/>
      <c r="AI238" s="78"/>
      <c r="AJ238" s="78"/>
      <c r="AK238" s="78"/>
      <c r="AL238" s="78"/>
      <c r="AM238" s="78"/>
      <c r="AN238" s="78"/>
      <c r="AO238" s="78"/>
      <c r="AP238" s="78"/>
      <c r="AQ238" s="78"/>
      <c r="AR238" s="78"/>
      <c r="AS238" s="78"/>
      <c r="AT238" s="91"/>
      <c r="AU238" s="78"/>
      <c r="AV238" s="78"/>
      <c r="AW238" s="78"/>
      <c r="AX238" s="78"/>
      <c r="AY238" s="78"/>
      <c r="AZ238" s="78"/>
      <c r="BA238" s="78"/>
      <c r="BB238" s="78"/>
      <c r="BC238" s="78"/>
      <c r="BD238" s="78"/>
      <c r="BE238" s="78"/>
      <c r="BF238" s="78"/>
      <c r="BG238" s="78"/>
      <c r="BH238" s="78"/>
      <c r="BI238" s="78"/>
      <c r="BJ238" s="78"/>
      <c r="BK238" s="78"/>
      <c r="BL238" s="78"/>
      <c r="BM238" s="78"/>
      <c r="BN238" s="78"/>
      <c r="BO238" s="78"/>
      <c r="BP238" s="78"/>
      <c r="BQ238" s="78"/>
      <c r="BR238" s="78"/>
      <c r="BS238" s="78"/>
      <c r="BT238" s="78"/>
      <c r="BU238" s="78"/>
      <c r="BV238" s="78"/>
      <c r="BW238" s="78"/>
      <c r="BX238" s="78"/>
      <c r="BY238" s="78"/>
      <c r="BZ238" s="78"/>
      <c r="CA238" s="78"/>
      <c r="CB238" s="78"/>
      <c r="CC238" s="78"/>
      <c r="CD238" s="78"/>
      <c r="CE238" s="78"/>
      <c r="CF238" s="78"/>
      <c r="CG238" s="78"/>
      <c r="CH238" s="78"/>
      <c r="CI238" s="78"/>
      <c r="CJ238" s="78"/>
      <c r="CK238" s="78"/>
      <c r="CL238" s="78"/>
      <c r="CM238" s="78"/>
      <c r="CN238" s="78"/>
      <c r="CO238" s="78"/>
      <c r="CP238" s="78"/>
      <c r="CQ238" s="78"/>
      <c r="CR238" s="78"/>
      <c r="CS238" s="78"/>
      <c r="CT238" s="78"/>
      <c r="CU238" s="78"/>
      <c r="CV238" s="78"/>
      <c r="CW238" s="78"/>
      <c r="CX238" s="78"/>
      <c r="CY238" s="78"/>
      <c r="CZ238" s="78"/>
      <c r="DA238" s="78"/>
      <c r="DB238" s="78"/>
      <c r="DC238" s="78"/>
      <c r="DD238" s="78"/>
      <c r="DE238" s="78"/>
      <c r="DF238" s="78"/>
      <c r="DG238" s="78"/>
      <c r="DH238" s="78"/>
      <c r="DI238" s="78"/>
      <c r="DJ238" s="78"/>
      <c r="DK238" s="78"/>
      <c r="DL238" s="78"/>
      <c r="DM238" s="78"/>
      <c r="DN238" s="78"/>
      <c r="DO238" s="78"/>
      <c r="DP238" s="78"/>
      <c r="DQ238" s="78"/>
      <c r="DR238" s="78"/>
      <c r="DS238" s="78"/>
      <c r="DT238" s="78"/>
      <c r="DU238" s="78"/>
      <c r="DV238" s="78"/>
      <c r="DW238" s="78"/>
      <c r="DX238" s="78"/>
      <c r="DY238" s="78"/>
      <c r="DZ238" s="78"/>
      <c r="EA238" s="78"/>
      <c r="EB238" s="78"/>
      <c r="EC238" s="78"/>
      <c r="ED238" s="78"/>
      <c r="EE238" s="78"/>
      <c r="EF238" s="78"/>
      <c r="EG238" s="78"/>
      <c r="EH238" s="78"/>
      <c r="EI238" s="91"/>
      <c r="EJ238" s="91"/>
      <c r="EK238" s="91"/>
      <c r="EL238" s="91"/>
      <c r="EM238" s="91"/>
      <c r="EN238" s="91"/>
      <c r="EO238" s="91"/>
      <c r="EP238" s="78"/>
      <c r="EQ238" s="78"/>
      <c r="ER238" s="78"/>
      <c r="ES238" s="78"/>
      <c r="ET238" s="78"/>
      <c r="EU238" s="78"/>
      <c r="EV238" s="78"/>
      <c r="EW238" s="78"/>
      <c r="EX238" s="78"/>
      <c r="EY238" s="78"/>
      <c r="EZ238" s="78"/>
      <c r="FA238" s="78"/>
      <c r="FB238" s="78"/>
      <c r="FC238" s="78"/>
      <c r="FD238" s="78"/>
      <c r="FE238" s="78"/>
      <c r="FF238" s="78"/>
      <c r="FG238" s="78"/>
      <c r="FH238" s="78"/>
      <c r="FI238" s="78"/>
      <c r="FJ238" s="78"/>
      <c r="FK238" s="78"/>
    </row>
    <row r="239" spans="1:167" outlineLevel="1">
      <c r="A239" s="29" t="str">
        <f t="shared" si="26"/>
        <v>modesg_inp_emss_vclsnome_estado</v>
      </c>
      <c r="B239" s="67" t="s">
        <v>26</v>
      </c>
      <c r="C239" s="68" t="s">
        <v>181</v>
      </c>
      <c r="D239" s="64" t="s">
        <v>40</v>
      </c>
      <c r="E239" s="66" t="s">
        <v>212</v>
      </c>
      <c r="F239" s="64" t="s">
        <v>222</v>
      </c>
      <c r="G239" s="64" t="str">
        <f>INDEX(Auxiliar!$B$16:$B$24,MATCH(Plano_V1!H239,Auxiliar!$C$16:$C$24,0),1)</f>
        <v>1. Concluído</v>
      </c>
      <c r="H239" s="64">
        <f>VLOOKUP(A239,'Aux - pivots1'!$A:$B,2,0)</f>
        <v>1</v>
      </c>
      <c r="I239" s="84">
        <f>SUMIFS(Table1[Estimação (horas)],Table1[Tabela],Plano_V1!E239,Table1[Campo],Plano_V1!F239)</f>
        <v>0.5</v>
      </c>
      <c r="J239" s="84">
        <f t="shared" si="24"/>
        <v>6.25E-2</v>
      </c>
      <c r="K239" s="89" t="s">
        <v>39</v>
      </c>
      <c r="L239" s="90">
        <f t="shared" si="25"/>
        <v>6.25E-2</v>
      </c>
      <c r="M239" s="78"/>
      <c r="N239" s="78"/>
      <c r="O239" s="78"/>
      <c r="P239" s="78"/>
      <c r="Q239" s="78"/>
      <c r="R239" s="78"/>
      <c r="S239" s="78"/>
      <c r="T239" s="78"/>
      <c r="U239" s="78"/>
      <c r="V239" s="78"/>
      <c r="W239" s="78"/>
      <c r="X239" s="78"/>
      <c r="Y239" s="78"/>
      <c r="Z239" s="78"/>
      <c r="AA239" s="78"/>
      <c r="AB239" s="78"/>
      <c r="AC239" s="78"/>
      <c r="AD239" s="78"/>
      <c r="AE239" s="78"/>
      <c r="AF239" s="78"/>
      <c r="AG239" s="78"/>
      <c r="AH239" s="78"/>
      <c r="AI239" s="78"/>
      <c r="AJ239" s="78"/>
      <c r="AK239" s="78"/>
      <c r="AL239" s="78"/>
      <c r="AM239" s="78"/>
      <c r="AN239" s="78"/>
      <c r="AO239" s="78"/>
      <c r="AP239" s="78"/>
      <c r="AQ239" s="78"/>
      <c r="AR239" s="78"/>
      <c r="AS239" s="78"/>
      <c r="AT239" s="91"/>
      <c r="AU239" s="78"/>
      <c r="AV239" s="78"/>
      <c r="AW239" s="78"/>
      <c r="AX239" s="78"/>
      <c r="AY239" s="78"/>
      <c r="AZ239" s="78"/>
      <c r="BA239" s="78"/>
      <c r="BB239" s="78"/>
      <c r="BC239" s="78"/>
      <c r="BD239" s="78"/>
      <c r="BE239" s="78"/>
      <c r="BF239" s="78"/>
      <c r="BG239" s="78"/>
      <c r="BH239" s="78"/>
      <c r="BI239" s="78"/>
      <c r="BJ239" s="78"/>
      <c r="BK239" s="78"/>
      <c r="BL239" s="78"/>
      <c r="BM239" s="78"/>
      <c r="BN239" s="78"/>
      <c r="BO239" s="78"/>
      <c r="BP239" s="78"/>
      <c r="BQ239" s="78"/>
      <c r="BR239" s="78"/>
      <c r="BS239" s="78"/>
      <c r="BT239" s="78"/>
      <c r="BU239" s="78"/>
      <c r="BV239" s="78"/>
      <c r="BW239" s="78"/>
      <c r="BX239" s="78"/>
      <c r="BY239" s="78"/>
      <c r="BZ239" s="78"/>
      <c r="CA239" s="78"/>
      <c r="CB239" s="78"/>
      <c r="CC239" s="78"/>
      <c r="CD239" s="78"/>
      <c r="CE239" s="78"/>
      <c r="CF239" s="78"/>
      <c r="CG239" s="78"/>
      <c r="CH239" s="78"/>
      <c r="CI239" s="78"/>
      <c r="CJ239" s="78"/>
      <c r="CK239" s="78"/>
      <c r="CL239" s="78"/>
      <c r="CM239" s="78"/>
      <c r="CN239" s="78"/>
      <c r="CO239" s="78"/>
      <c r="CP239" s="78"/>
      <c r="CQ239" s="78"/>
      <c r="CR239" s="78"/>
      <c r="CS239" s="78"/>
      <c r="CT239" s="78"/>
      <c r="CU239" s="78"/>
      <c r="CV239" s="78"/>
      <c r="CW239" s="78"/>
      <c r="CX239" s="78"/>
      <c r="CY239" s="78"/>
      <c r="CZ239" s="78"/>
      <c r="DA239" s="78"/>
      <c r="DB239" s="78"/>
      <c r="DC239" s="78"/>
      <c r="DD239" s="78"/>
      <c r="DE239" s="78"/>
      <c r="DF239" s="78"/>
      <c r="DG239" s="78"/>
      <c r="DH239" s="78"/>
      <c r="DI239" s="78"/>
      <c r="DJ239" s="78"/>
      <c r="DK239" s="78"/>
      <c r="DL239" s="78"/>
      <c r="DM239" s="78"/>
      <c r="DN239" s="78"/>
      <c r="DO239" s="78"/>
      <c r="DP239" s="78"/>
      <c r="DQ239" s="78"/>
      <c r="DR239" s="78"/>
      <c r="DS239" s="78"/>
      <c r="DT239" s="78"/>
      <c r="DU239" s="78"/>
      <c r="DV239" s="78"/>
      <c r="DW239" s="78"/>
      <c r="DX239" s="78"/>
      <c r="DY239" s="78"/>
      <c r="DZ239" s="78"/>
      <c r="EA239" s="78"/>
      <c r="EB239" s="78"/>
      <c r="EC239" s="78"/>
      <c r="ED239" s="78"/>
      <c r="EE239" s="78"/>
      <c r="EF239" s="78"/>
      <c r="EG239" s="78"/>
      <c r="EH239" s="78"/>
      <c r="EI239" s="91"/>
      <c r="EJ239" s="91"/>
      <c r="EK239" s="91"/>
      <c r="EL239" s="91"/>
      <c r="EM239" s="91"/>
      <c r="EN239" s="91"/>
      <c r="EO239" s="91"/>
      <c r="EP239" s="78"/>
      <c r="EQ239" s="78"/>
      <c r="ER239" s="78"/>
      <c r="ES239" s="78"/>
      <c r="ET239" s="78"/>
      <c r="EU239" s="78"/>
      <c r="EV239" s="78"/>
      <c r="EW239" s="78"/>
      <c r="EX239" s="78"/>
      <c r="EY239" s="78"/>
      <c r="EZ239" s="78"/>
      <c r="FA239" s="78"/>
      <c r="FB239" s="78"/>
      <c r="FC239" s="78"/>
      <c r="FD239" s="78"/>
      <c r="FE239" s="78"/>
      <c r="FF239" s="78"/>
      <c r="FG239" s="78"/>
      <c r="FH239" s="78"/>
      <c r="FI239" s="78"/>
      <c r="FJ239" s="78"/>
      <c r="FK239" s="78"/>
    </row>
    <row r="240" spans="1:167" outlineLevel="1">
      <c r="A240" s="29" t="str">
        <f t="shared" si="26"/>
        <v>modesg_inp_emss_vclstipo_veiculo</v>
      </c>
      <c r="B240" s="67" t="s">
        <v>26</v>
      </c>
      <c r="C240" s="68" t="s">
        <v>181</v>
      </c>
      <c r="D240" s="64" t="s">
        <v>40</v>
      </c>
      <c r="E240" s="66" t="s">
        <v>212</v>
      </c>
      <c r="F240" s="64" t="s">
        <v>223</v>
      </c>
      <c r="G240" s="64" t="str">
        <f>INDEX(Auxiliar!$B$16:$B$24,MATCH(Plano_V1!H240,Auxiliar!$C$16:$C$24,0),1)</f>
        <v>1. Concluído</v>
      </c>
      <c r="H240" s="64">
        <f>VLOOKUP(A240,'Aux - pivots1'!$A:$B,2,0)</f>
        <v>1</v>
      </c>
      <c r="I240" s="84">
        <f>SUMIFS(Table1[Estimação (horas)],Table1[Tabela],Plano_V1!E240,Table1[Campo],Plano_V1!F240)</f>
        <v>0.6</v>
      </c>
      <c r="J240" s="84">
        <f t="shared" si="24"/>
        <v>7.4999999999999997E-2</v>
      </c>
      <c r="K240" s="89" t="s">
        <v>39</v>
      </c>
      <c r="L240" s="90">
        <f t="shared" si="25"/>
        <v>7.4999999999999997E-2</v>
      </c>
      <c r="M240" s="78"/>
      <c r="N240" s="78"/>
      <c r="O240" s="78"/>
      <c r="P240" s="78"/>
      <c r="Q240" s="78"/>
      <c r="R240" s="78"/>
      <c r="S240" s="78"/>
      <c r="T240" s="78"/>
      <c r="U240" s="78"/>
      <c r="V240" s="78"/>
      <c r="W240" s="78"/>
      <c r="X240" s="78"/>
      <c r="Y240" s="78"/>
      <c r="Z240" s="78"/>
      <c r="AA240" s="78"/>
      <c r="AB240" s="78"/>
      <c r="AC240" s="78"/>
      <c r="AD240" s="78"/>
      <c r="AE240" s="78"/>
      <c r="AF240" s="78"/>
      <c r="AG240" s="78"/>
      <c r="AH240" s="78"/>
      <c r="AI240" s="78"/>
      <c r="AJ240" s="78"/>
      <c r="AK240" s="78"/>
      <c r="AL240" s="78"/>
      <c r="AM240" s="78"/>
      <c r="AN240" s="78"/>
      <c r="AO240" s="78"/>
      <c r="AP240" s="78"/>
      <c r="AQ240" s="78"/>
      <c r="AR240" s="78"/>
      <c r="AS240" s="78"/>
      <c r="AT240" s="91"/>
      <c r="AU240" s="78"/>
      <c r="AV240" s="78"/>
      <c r="AW240" s="78"/>
      <c r="AX240" s="78"/>
      <c r="AY240" s="78"/>
      <c r="AZ240" s="78"/>
      <c r="BA240" s="78"/>
      <c r="BB240" s="78"/>
      <c r="BC240" s="78"/>
      <c r="BD240" s="78"/>
      <c r="BE240" s="78"/>
      <c r="BF240" s="78"/>
      <c r="BG240" s="78"/>
      <c r="BH240" s="78"/>
      <c r="BI240" s="78"/>
      <c r="BJ240" s="78"/>
      <c r="BK240" s="78"/>
      <c r="BL240" s="78"/>
      <c r="BM240" s="78"/>
      <c r="BN240" s="78"/>
      <c r="BO240" s="78"/>
      <c r="BP240" s="78"/>
      <c r="BQ240" s="78"/>
      <c r="BR240" s="78"/>
      <c r="BS240" s="78"/>
      <c r="BT240" s="78"/>
      <c r="BU240" s="78"/>
      <c r="BV240" s="78"/>
      <c r="BW240" s="78"/>
      <c r="BX240" s="78"/>
      <c r="BY240" s="78"/>
      <c r="BZ240" s="78"/>
      <c r="CA240" s="78"/>
      <c r="CB240" s="78"/>
      <c r="CC240" s="78"/>
      <c r="CD240" s="78"/>
      <c r="CE240" s="78"/>
      <c r="CF240" s="78"/>
      <c r="CG240" s="78"/>
      <c r="CH240" s="78"/>
      <c r="CI240" s="78"/>
      <c r="CJ240" s="78"/>
      <c r="CK240" s="78"/>
      <c r="CL240" s="78"/>
      <c r="CM240" s="78"/>
      <c r="CN240" s="78"/>
      <c r="CO240" s="78"/>
      <c r="CP240" s="78"/>
      <c r="CQ240" s="78"/>
      <c r="CR240" s="78"/>
      <c r="CS240" s="78"/>
      <c r="CT240" s="78"/>
      <c r="CU240" s="78"/>
      <c r="CV240" s="78"/>
      <c r="CW240" s="78"/>
      <c r="CX240" s="78"/>
      <c r="CY240" s="78"/>
      <c r="CZ240" s="78"/>
      <c r="DA240" s="78"/>
      <c r="DB240" s="78"/>
      <c r="DC240" s="78"/>
      <c r="DD240" s="78"/>
      <c r="DE240" s="78"/>
      <c r="DF240" s="78"/>
      <c r="DG240" s="78"/>
      <c r="DH240" s="78"/>
      <c r="DI240" s="78"/>
      <c r="DJ240" s="78"/>
      <c r="DK240" s="78"/>
      <c r="DL240" s="78"/>
      <c r="DM240" s="78"/>
      <c r="DN240" s="78"/>
      <c r="DO240" s="78"/>
      <c r="DP240" s="78"/>
      <c r="DQ240" s="78"/>
      <c r="DR240" s="78"/>
      <c r="DS240" s="78"/>
      <c r="DT240" s="78"/>
      <c r="DU240" s="78"/>
      <c r="DV240" s="78"/>
      <c r="DW240" s="78"/>
      <c r="DX240" s="78"/>
      <c r="DY240" s="78"/>
      <c r="DZ240" s="78"/>
      <c r="EA240" s="78"/>
      <c r="EB240" s="78"/>
      <c r="EC240" s="78"/>
      <c r="ED240" s="78"/>
      <c r="EE240" s="78"/>
      <c r="EF240" s="78"/>
      <c r="EG240" s="78"/>
      <c r="EH240" s="78"/>
      <c r="EI240" s="91"/>
      <c r="EJ240" s="91"/>
      <c r="EK240" s="91"/>
      <c r="EL240" s="91"/>
      <c r="EM240" s="91"/>
      <c r="EN240" s="91"/>
      <c r="EO240" s="91"/>
      <c r="EP240" s="78"/>
      <c r="EQ240" s="78"/>
      <c r="ER240" s="78"/>
      <c r="ES240" s="78"/>
      <c r="ET240" s="78"/>
      <c r="EU240" s="78"/>
      <c r="EV240" s="78"/>
      <c r="EW240" s="78"/>
      <c r="EX240" s="78"/>
      <c r="EY240" s="78"/>
      <c r="EZ240" s="78"/>
      <c r="FA240" s="78"/>
      <c r="FB240" s="78"/>
      <c r="FC240" s="78"/>
      <c r="FD240" s="78"/>
      <c r="FE240" s="78"/>
      <c r="FF240" s="78"/>
      <c r="FG240" s="78"/>
      <c r="FH240" s="78"/>
      <c r="FI240" s="78"/>
      <c r="FJ240" s="78"/>
      <c r="FK240" s="78"/>
    </row>
    <row r="241" spans="1:167" outlineLevel="1">
      <c r="A241" s="29" t="str">
        <f t="shared" si="26"/>
        <v>modesg_inp_emss_vclstipo_motor</v>
      </c>
      <c r="B241" s="67" t="s">
        <v>26</v>
      </c>
      <c r="C241" s="68" t="s">
        <v>181</v>
      </c>
      <c r="D241" s="64" t="s">
        <v>40</v>
      </c>
      <c r="E241" s="66" t="s">
        <v>212</v>
      </c>
      <c r="F241" s="64" t="s">
        <v>224</v>
      </c>
      <c r="G241" s="64" t="str">
        <f>INDEX(Auxiliar!$B$16:$B$24,MATCH(Plano_V1!H241,Auxiliar!$C$16:$C$24,0),1)</f>
        <v>1. Concluído</v>
      </c>
      <c r="H241" s="64">
        <f>VLOOKUP(A241,'Aux - pivots1'!$A:$B,2,0)</f>
        <v>1</v>
      </c>
      <c r="I241" s="84">
        <f>SUMIFS(Table1[Estimação (horas)],Table1[Tabela],Plano_V1!E241,Table1[Campo],Plano_V1!F241)</f>
        <v>0.6</v>
      </c>
      <c r="J241" s="84">
        <f t="shared" si="24"/>
        <v>7.4999999999999997E-2</v>
      </c>
      <c r="K241" s="89" t="s">
        <v>39</v>
      </c>
      <c r="L241" s="90">
        <f t="shared" si="25"/>
        <v>7.4999999999999997E-2</v>
      </c>
      <c r="M241" s="78"/>
      <c r="N241" s="78"/>
      <c r="O241" s="78"/>
      <c r="P241" s="78"/>
      <c r="Q241" s="78"/>
      <c r="R241" s="78"/>
      <c r="S241" s="78"/>
      <c r="T241" s="78"/>
      <c r="U241" s="78"/>
      <c r="V241" s="78"/>
      <c r="W241" s="78"/>
      <c r="X241" s="78"/>
      <c r="Y241" s="78"/>
      <c r="Z241" s="78"/>
      <c r="AA241" s="78"/>
      <c r="AB241" s="78"/>
      <c r="AC241" s="78"/>
      <c r="AD241" s="78"/>
      <c r="AE241" s="78"/>
      <c r="AF241" s="78"/>
      <c r="AG241" s="78"/>
      <c r="AH241" s="78"/>
      <c r="AI241" s="78"/>
      <c r="AJ241" s="78"/>
      <c r="AK241" s="78"/>
      <c r="AL241" s="78"/>
      <c r="AM241" s="78"/>
      <c r="AN241" s="78"/>
      <c r="AO241" s="78"/>
      <c r="AP241" s="78"/>
      <c r="AQ241" s="78"/>
      <c r="AR241" s="78"/>
      <c r="AS241" s="78"/>
      <c r="AT241" s="91"/>
      <c r="AU241" s="78"/>
      <c r="AV241" s="78"/>
      <c r="AW241" s="78"/>
      <c r="AX241" s="78"/>
      <c r="AY241" s="78"/>
      <c r="AZ241" s="78"/>
      <c r="BA241" s="78"/>
      <c r="BB241" s="78"/>
      <c r="BC241" s="78"/>
      <c r="BD241" s="78"/>
      <c r="BE241" s="78"/>
      <c r="BF241" s="78"/>
      <c r="BG241" s="78"/>
      <c r="BH241" s="78"/>
      <c r="BI241" s="78"/>
      <c r="BJ241" s="78"/>
      <c r="BK241" s="78"/>
      <c r="BL241" s="78"/>
      <c r="BM241" s="78"/>
      <c r="BN241" s="78"/>
      <c r="BO241" s="78"/>
      <c r="BP241" s="78"/>
      <c r="BQ241" s="78"/>
      <c r="BR241" s="78"/>
      <c r="BS241" s="78"/>
      <c r="BT241" s="78"/>
      <c r="BU241" s="78"/>
      <c r="BV241" s="78"/>
      <c r="BW241" s="78"/>
      <c r="BX241" s="78"/>
      <c r="BY241" s="78"/>
      <c r="BZ241" s="78"/>
      <c r="CA241" s="78"/>
      <c r="CB241" s="78"/>
      <c r="CC241" s="78"/>
      <c r="CD241" s="78"/>
      <c r="CE241" s="78"/>
      <c r="CF241" s="78"/>
      <c r="CG241" s="78"/>
      <c r="CH241" s="78"/>
      <c r="CI241" s="78"/>
      <c r="CJ241" s="78"/>
      <c r="CK241" s="78"/>
      <c r="CL241" s="78"/>
      <c r="CM241" s="78"/>
      <c r="CN241" s="78"/>
      <c r="CO241" s="78"/>
      <c r="CP241" s="78"/>
      <c r="CQ241" s="78"/>
      <c r="CR241" s="78"/>
      <c r="CS241" s="78"/>
      <c r="CT241" s="78"/>
      <c r="CU241" s="78"/>
      <c r="CV241" s="78"/>
      <c r="CW241" s="78"/>
      <c r="CX241" s="78"/>
      <c r="CY241" s="78"/>
      <c r="CZ241" s="78"/>
      <c r="DA241" s="78"/>
      <c r="DB241" s="78"/>
      <c r="DC241" s="78"/>
      <c r="DD241" s="78"/>
      <c r="DE241" s="78"/>
      <c r="DF241" s="78"/>
      <c r="DG241" s="78"/>
      <c r="DH241" s="78"/>
      <c r="DI241" s="78"/>
      <c r="DJ241" s="78"/>
      <c r="DK241" s="78"/>
      <c r="DL241" s="78"/>
      <c r="DM241" s="78"/>
      <c r="DN241" s="78"/>
      <c r="DO241" s="78"/>
      <c r="DP241" s="78"/>
      <c r="DQ241" s="78"/>
      <c r="DR241" s="78"/>
      <c r="DS241" s="78"/>
      <c r="DT241" s="78"/>
      <c r="DU241" s="78"/>
      <c r="DV241" s="78"/>
      <c r="DW241" s="78"/>
      <c r="DX241" s="78"/>
      <c r="DY241" s="78"/>
      <c r="DZ241" s="78"/>
      <c r="EA241" s="78"/>
      <c r="EB241" s="78"/>
      <c r="EC241" s="78"/>
      <c r="ED241" s="78"/>
      <c r="EE241" s="78"/>
      <c r="EF241" s="78"/>
      <c r="EG241" s="78"/>
      <c r="EH241" s="78"/>
      <c r="EI241" s="91"/>
      <c r="EJ241" s="91"/>
      <c r="EK241" s="91"/>
      <c r="EL241" s="91"/>
      <c r="EM241" s="91"/>
      <c r="EN241" s="91"/>
      <c r="EO241" s="91"/>
      <c r="EP241" s="78"/>
      <c r="EQ241" s="78"/>
      <c r="ER241" s="78"/>
      <c r="ES241" s="78"/>
      <c r="ET241" s="78"/>
      <c r="EU241" s="78"/>
      <c r="EV241" s="78"/>
      <c r="EW241" s="78"/>
      <c r="EX241" s="78"/>
      <c r="EY241" s="78"/>
      <c r="EZ241" s="78"/>
      <c r="FA241" s="78"/>
      <c r="FB241" s="78"/>
      <c r="FC241" s="78"/>
      <c r="FD241" s="78"/>
      <c r="FE241" s="78"/>
      <c r="FF241" s="78"/>
      <c r="FG241" s="78"/>
      <c r="FH241" s="78"/>
      <c r="FI241" s="78"/>
      <c r="FJ241" s="78"/>
      <c r="FK241" s="78"/>
    </row>
    <row r="242" spans="1:167" outlineLevel="1">
      <c r="A242" s="29" t="str">
        <f t="shared" si="26"/>
        <v>modesg_inp_emss_vclsmarca</v>
      </c>
      <c r="B242" s="67" t="s">
        <v>26</v>
      </c>
      <c r="C242" s="68" t="s">
        <v>181</v>
      </c>
      <c r="D242" s="64" t="s">
        <v>40</v>
      </c>
      <c r="E242" s="66" t="s">
        <v>212</v>
      </c>
      <c r="F242" s="64" t="s">
        <v>225</v>
      </c>
      <c r="G242" s="64" t="str">
        <f>INDEX(Auxiliar!$B$16:$B$24,MATCH(Plano_V1!H242,Auxiliar!$C$16:$C$24,0),1)</f>
        <v>1. Concluído</v>
      </c>
      <c r="H242" s="64">
        <f>VLOOKUP(A242,'Aux - pivots1'!$A:$B,2,0)</f>
        <v>1</v>
      </c>
      <c r="I242" s="84">
        <f>SUMIFS(Table1[Estimação (horas)],Table1[Tabela],Plano_V1!E242,Table1[Campo],Plano_V1!F242)</f>
        <v>0.6</v>
      </c>
      <c r="J242" s="84">
        <f t="shared" si="24"/>
        <v>7.4999999999999997E-2</v>
      </c>
      <c r="K242" s="89" t="s">
        <v>39</v>
      </c>
      <c r="L242" s="90">
        <f t="shared" si="25"/>
        <v>7.4999999999999997E-2</v>
      </c>
      <c r="M242" s="78"/>
      <c r="N242" s="78"/>
      <c r="O242" s="78"/>
      <c r="P242" s="78"/>
      <c r="Q242" s="78"/>
      <c r="R242" s="78"/>
      <c r="S242" s="78"/>
      <c r="T242" s="78"/>
      <c r="U242" s="78"/>
      <c r="V242" s="78"/>
      <c r="W242" s="78"/>
      <c r="X242" s="78"/>
      <c r="Y242" s="78"/>
      <c r="Z242" s="78"/>
      <c r="AA242" s="78"/>
      <c r="AB242" s="78"/>
      <c r="AC242" s="78"/>
      <c r="AD242" s="78"/>
      <c r="AE242" s="78"/>
      <c r="AF242" s="78"/>
      <c r="AG242" s="78"/>
      <c r="AH242" s="78"/>
      <c r="AI242" s="78"/>
      <c r="AJ242" s="78"/>
      <c r="AK242" s="78"/>
      <c r="AL242" s="78"/>
      <c r="AM242" s="78"/>
      <c r="AN242" s="78"/>
      <c r="AO242" s="78"/>
      <c r="AP242" s="78"/>
      <c r="AQ242" s="78"/>
      <c r="AR242" s="78"/>
      <c r="AS242" s="78"/>
      <c r="AT242" s="91"/>
      <c r="AU242" s="78"/>
      <c r="AV242" s="78"/>
      <c r="AW242" s="78"/>
      <c r="AX242" s="78"/>
      <c r="AY242" s="78"/>
      <c r="AZ242" s="78"/>
      <c r="BA242" s="78"/>
      <c r="BB242" s="78"/>
      <c r="BC242" s="78"/>
      <c r="BD242" s="78"/>
      <c r="BE242" s="78"/>
      <c r="BF242" s="78"/>
      <c r="BG242" s="78"/>
      <c r="BH242" s="78"/>
      <c r="BI242" s="78"/>
      <c r="BJ242" s="78"/>
      <c r="BK242" s="78"/>
      <c r="BL242" s="78"/>
      <c r="BM242" s="78"/>
      <c r="BN242" s="78"/>
      <c r="BO242" s="78"/>
      <c r="BP242" s="78"/>
      <c r="BQ242" s="78"/>
      <c r="BR242" s="78"/>
      <c r="BS242" s="78"/>
      <c r="BT242" s="78"/>
      <c r="BU242" s="78"/>
      <c r="BV242" s="78"/>
      <c r="BW242" s="78"/>
      <c r="BX242" s="78"/>
      <c r="BY242" s="78"/>
      <c r="BZ242" s="78"/>
      <c r="CA242" s="78"/>
      <c r="CB242" s="78"/>
      <c r="CC242" s="78"/>
      <c r="CD242" s="78"/>
      <c r="CE242" s="78"/>
      <c r="CF242" s="78"/>
      <c r="CG242" s="78"/>
      <c r="CH242" s="78"/>
      <c r="CI242" s="78"/>
      <c r="CJ242" s="78"/>
      <c r="CK242" s="78"/>
      <c r="CL242" s="78"/>
      <c r="CM242" s="78"/>
      <c r="CN242" s="78"/>
      <c r="CO242" s="78"/>
      <c r="CP242" s="78"/>
      <c r="CQ242" s="78"/>
      <c r="CR242" s="78"/>
      <c r="CS242" s="78"/>
      <c r="CT242" s="78"/>
      <c r="CU242" s="78"/>
      <c r="CV242" s="78"/>
      <c r="CW242" s="78"/>
      <c r="CX242" s="78"/>
      <c r="CY242" s="78"/>
      <c r="CZ242" s="78"/>
      <c r="DA242" s="78"/>
      <c r="DB242" s="78"/>
      <c r="DC242" s="78"/>
      <c r="DD242" s="78"/>
      <c r="DE242" s="78"/>
      <c r="DF242" s="78"/>
      <c r="DG242" s="78"/>
      <c r="DH242" s="78"/>
      <c r="DI242" s="78"/>
      <c r="DJ242" s="78"/>
      <c r="DK242" s="78"/>
      <c r="DL242" s="78"/>
      <c r="DM242" s="78"/>
      <c r="DN242" s="78"/>
      <c r="DO242" s="78"/>
      <c r="DP242" s="78"/>
      <c r="DQ242" s="78"/>
      <c r="DR242" s="78"/>
      <c r="DS242" s="78"/>
      <c r="DT242" s="78"/>
      <c r="DU242" s="78"/>
      <c r="DV242" s="78"/>
      <c r="DW242" s="78"/>
      <c r="DX242" s="78"/>
      <c r="DY242" s="78"/>
      <c r="DZ242" s="78"/>
      <c r="EA242" s="78"/>
      <c r="EB242" s="78"/>
      <c r="EC242" s="78"/>
      <c r="ED242" s="78"/>
      <c r="EE242" s="78"/>
      <c r="EF242" s="78"/>
      <c r="EG242" s="78"/>
      <c r="EH242" s="78"/>
      <c r="EI242" s="91"/>
      <c r="EJ242" s="91"/>
      <c r="EK242" s="91"/>
      <c r="EL242" s="91"/>
      <c r="EM242" s="91"/>
      <c r="EN242" s="91"/>
      <c r="EO242" s="91"/>
      <c r="EP242" s="78"/>
      <c r="EQ242" s="78"/>
      <c r="ER242" s="78"/>
      <c r="ES242" s="78"/>
      <c r="ET242" s="78"/>
      <c r="EU242" s="78"/>
      <c r="EV242" s="78"/>
      <c r="EW242" s="78"/>
      <c r="EX242" s="78"/>
      <c r="EY242" s="78"/>
      <c r="EZ242" s="78"/>
      <c r="FA242" s="78"/>
      <c r="FB242" s="78"/>
      <c r="FC242" s="78"/>
      <c r="FD242" s="78"/>
      <c r="FE242" s="78"/>
      <c r="FF242" s="78"/>
      <c r="FG242" s="78"/>
      <c r="FH242" s="78"/>
      <c r="FI242" s="78"/>
      <c r="FJ242" s="78"/>
      <c r="FK242" s="78"/>
    </row>
    <row r="243" spans="1:167" outlineLevel="1">
      <c r="A243" s="29" t="str">
        <f t="shared" si="26"/>
        <v>modesg_inp_emss_vclsmodelo</v>
      </c>
      <c r="B243" s="67" t="s">
        <v>26</v>
      </c>
      <c r="C243" s="68" t="s">
        <v>181</v>
      </c>
      <c r="D243" s="64" t="s">
        <v>40</v>
      </c>
      <c r="E243" s="66" t="s">
        <v>212</v>
      </c>
      <c r="F243" s="64" t="s">
        <v>226</v>
      </c>
      <c r="G243" s="64" t="str">
        <f>INDEX(Auxiliar!$B$16:$B$24,MATCH(Plano_V1!H243,Auxiliar!$C$16:$C$24,0),1)</f>
        <v>1. Concluído</v>
      </c>
      <c r="H243" s="64">
        <f>VLOOKUP(A243,'Aux - pivots1'!$A:$B,2,0)</f>
        <v>1</v>
      </c>
      <c r="I243" s="84">
        <f>SUMIFS(Table1[Estimação (horas)],Table1[Tabela],Plano_V1!E243,Table1[Campo],Plano_V1!F243)</f>
        <v>0.6</v>
      </c>
      <c r="J243" s="84">
        <f t="shared" si="24"/>
        <v>7.4999999999999997E-2</v>
      </c>
      <c r="K243" s="89" t="s">
        <v>39</v>
      </c>
      <c r="L243" s="90">
        <f t="shared" si="25"/>
        <v>7.4999999999999997E-2</v>
      </c>
      <c r="M243" s="78"/>
      <c r="N243" s="78"/>
      <c r="O243" s="78"/>
      <c r="P243" s="78"/>
      <c r="Q243" s="78"/>
      <c r="R243" s="78"/>
      <c r="S243" s="78"/>
      <c r="T243" s="78"/>
      <c r="U243" s="78"/>
      <c r="V243" s="78"/>
      <c r="W243" s="78"/>
      <c r="X243" s="78"/>
      <c r="Y243" s="78"/>
      <c r="Z243" s="78"/>
      <c r="AA243" s="78"/>
      <c r="AB243" s="78"/>
      <c r="AC243" s="78"/>
      <c r="AD243" s="78"/>
      <c r="AE243" s="78"/>
      <c r="AF243" s="78"/>
      <c r="AG243" s="78"/>
      <c r="AH243" s="78"/>
      <c r="AI243" s="78"/>
      <c r="AJ243" s="78"/>
      <c r="AK243" s="78"/>
      <c r="AL243" s="78"/>
      <c r="AM243" s="78"/>
      <c r="AN243" s="78"/>
      <c r="AO243" s="78"/>
      <c r="AP243" s="78"/>
      <c r="AQ243" s="78"/>
      <c r="AR243" s="78"/>
      <c r="AS243" s="78"/>
      <c r="AT243" s="91"/>
      <c r="AU243" s="78"/>
      <c r="AV243" s="78"/>
      <c r="AW243" s="78"/>
      <c r="AX243" s="78"/>
      <c r="AY243" s="78"/>
      <c r="AZ243" s="78"/>
      <c r="BA243" s="78"/>
      <c r="BB243" s="78"/>
      <c r="BC243" s="78"/>
      <c r="BD243" s="78"/>
      <c r="BE243" s="78"/>
      <c r="BF243" s="78"/>
      <c r="BG243" s="78"/>
      <c r="BH243" s="78"/>
      <c r="BI243" s="78"/>
      <c r="BJ243" s="78"/>
      <c r="BK243" s="78"/>
      <c r="BL243" s="78"/>
      <c r="BM243" s="78"/>
      <c r="BN243" s="78"/>
      <c r="BO243" s="78"/>
      <c r="BP243" s="78"/>
      <c r="BQ243" s="78"/>
      <c r="BR243" s="78"/>
      <c r="BS243" s="78"/>
      <c r="BT243" s="78"/>
      <c r="BU243" s="78"/>
      <c r="BV243" s="78"/>
      <c r="BW243" s="78"/>
      <c r="BX243" s="78"/>
      <c r="BY243" s="78"/>
      <c r="BZ243" s="78"/>
      <c r="CA243" s="78"/>
      <c r="CB243" s="78"/>
      <c r="CC243" s="78"/>
      <c r="CD243" s="78"/>
      <c r="CE243" s="78"/>
      <c r="CF243" s="78"/>
      <c r="CG243" s="78"/>
      <c r="CH243" s="78"/>
      <c r="CI243" s="78"/>
      <c r="CJ243" s="78"/>
      <c r="CK243" s="78"/>
      <c r="CL243" s="78"/>
      <c r="CM243" s="78"/>
      <c r="CN243" s="78"/>
      <c r="CO243" s="78"/>
      <c r="CP243" s="78"/>
      <c r="CQ243" s="78"/>
      <c r="CR243" s="78"/>
      <c r="CS243" s="78"/>
      <c r="CT243" s="78"/>
      <c r="CU243" s="78"/>
      <c r="CV243" s="78"/>
      <c r="CW243" s="78"/>
      <c r="CX243" s="78"/>
      <c r="CY243" s="78"/>
      <c r="CZ243" s="78"/>
      <c r="DA243" s="78"/>
      <c r="DB243" s="78"/>
      <c r="DC243" s="78"/>
      <c r="DD243" s="78"/>
      <c r="DE243" s="78"/>
      <c r="DF243" s="78"/>
      <c r="DG243" s="78"/>
      <c r="DH243" s="78"/>
      <c r="DI243" s="78"/>
      <c r="DJ243" s="78"/>
      <c r="DK243" s="78"/>
      <c r="DL243" s="78"/>
      <c r="DM243" s="78"/>
      <c r="DN243" s="78"/>
      <c r="DO243" s="78"/>
      <c r="DP243" s="78"/>
      <c r="DQ243" s="78"/>
      <c r="DR243" s="78"/>
      <c r="DS243" s="78"/>
      <c r="DT243" s="78"/>
      <c r="DU243" s="78"/>
      <c r="DV243" s="78"/>
      <c r="DW243" s="78"/>
      <c r="DX243" s="78"/>
      <c r="DY243" s="78"/>
      <c r="DZ243" s="78"/>
      <c r="EA243" s="78"/>
      <c r="EB243" s="78"/>
      <c r="EC243" s="78"/>
      <c r="ED243" s="78"/>
      <c r="EE243" s="78"/>
      <c r="EF243" s="78"/>
      <c r="EG243" s="78"/>
      <c r="EH243" s="78"/>
      <c r="EI243" s="91"/>
      <c r="EJ243" s="91"/>
      <c r="EK243" s="91"/>
      <c r="EL243" s="91"/>
      <c r="EM243" s="91"/>
      <c r="EN243" s="91"/>
      <c r="EO243" s="91"/>
      <c r="EP243" s="78"/>
      <c r="EQ243" s="78"/>
      <c r="ER243" s="78"/>
      <c r="ES243" s="78"/>
      <c r="ET243" s="78"/>
      <c r="EU243" s="78"/>
      <c r="EV243" s="78"/>
      <c r="EW243" s="78"/>
      <c r="EX243" s="78"/>
      <c r="EY243" s="78"/>
      <c r="EZ243" s="78"/>
      <c r="FA243" s="78"/>
      <c r="FB243" s="78"/>
      <c r="FC243" s="78"/>
      <c r="FD243" s="78"/>
      <c r="FE243" s="78"/>
      <c r="FF243" s="78"/>
      <c r="FG243" s="78"/>
      <c r="FH243" s="78"/>
      <c r="FI243" s="78"/>
      <c r="FJ243" s="78"/>
      <c r="FK243" s="78"/>
    </row>
    <row r="244" spans="1:167" outlineLevel="1">
      <c r="A244" s="29" t="str">
        <f t="shared" si="26"/>
        <v>modesg_inp_emss_vclsdata_level_5</v>
      </c>
      <c r="B244" s="67" t="s">
        <v>26</v>
      </c>
      <c r="C244" s="68" t="s">
        <v>181</v>
      </c>
      <c r="D244" s="64" t="s">
        <v>40</v>
      </c>
      <c r="E244" s="66" t="s">
        <v>212</v>
      </c>
      <c r="F244" s="64" t="s">
        <v>563</v>
      </c>
      <c r="G244" s="64" t="e">
        <f>INDEX(Auxiliar!$B$16:$B$24,MATCH(Plano_V1!H244,Auxiliar!$C$16:$C$24,0),1)</f>
        <v>#N/A</v>
      </c>
      <c r="H244" s="64" t="e">
        <f>VLOOKUP(A244,'Aux - pivots1'!$A:$B,2,0)</f>
        <v>#N/A</v>
      </c>
      <c r="I244" s="84">
        <f>SUMIFS(Table1[Estimação (horas)],Table1[Tabela],Plano_V1!E244,Table1[Campo],Plano_V1!F244)</f>
        <v>0</v>
      </c>
      <c r="J244" s="84">
        <f t="shared" si="24"/>
        <v>0</v>
      </c>
      <c r="K244" s="89" t="s">
        <v>39</v>
      </c>
      <c r="L244" s="90">
        <f t="shared" si="25"/>
        <v>0</v>
      </c>
      <c r="M244" s="78"/>
      <c r="N244" s="78"/>
      <c r="O244" s="78"/>
      <c r="P244" s="78"/>
      <c r="Q244" s="78"/>
      <c r="R244" s="78"/>
      <c r="S244" s="78"/>
      <c r="T244" s="78"/>
      <c r="U244" s="78"/>
      <c r="V244" s="78"/>
      <c r="W244" s="78"/>
      <c r="X244" s="78"/>
      <c r="Y244" s="78"/>
      <c r="Z244" s="78"/>
      <c r="AA244" s="78"/>
      <c r="AB244" s="78"/>
      <c r="AC244" s="78"/>
      <c r="AD244" s="78"/>
      <c r="AE244" s="78"/>
      <c r="AF244" s="78"/>
      <c r="AG244" s="78"/>
      <c r="AH244" s="78"/>
      <c r="AI244" s="78"/>
      <c r="AJ244" s="78"/>
      <c r="AK244" s="78"/>
      <c r="AL244" s="78"/>
      <c r="AM244" s="78"/>
      <c r="AN244" s="78"/>
      <c r="AO244" s="78"/>
      <c r="AP244" s="78"/>
      <c r="AQ244" s="78"/>
      <c r="AR244" s="78"/>
      <c r="AS244" s="78"/>
      <c r="AT244" s="91"/>
      <c r="AU244" s="78"/>
      <c r="AV244" s="78"/>
      <c r="AW244" s="78"/>
      <c r="AX244" s="78"/>
      <c r="AY244" s="78"/>
      <c r="AZ244" s="78"/>
      <c r="BA244" s="78"/>
      <c r="BB244" s="78"/>
      <c r="BC244" s="78"/>
      <c r="BD244" s="78"/>
      <c r="BE244" s="78"/>
      <c r="BF244" s="78"/>
      <c r="BG244" s="78"/>
      <c r="BH244" s="78"/>
      <c r="BI244" s="78"/>
      <c r="BJ244" s="78"/>
      <c r="BK244" s="78"/>
      <c r="BL244" s="78"/>
      <c r="BM244" s="78"/>
      <c r="BN244" s="78"/>
      <c r="BO244" s="78"/>
      <c r="BP244" s="78"/>
      <c r="BQ244" s="78"/>
      <c r="BR244" s="78"/>
      <c r="BS244" s="78"/>
      <c r="BT244" s="78"/>
      <c r="BU244" s="78"/>
      <c r="BV244" s="78"/>
      <c r="BW244" s="78"/>
      <c r="BX244" s="78"/>
      <c r="BY244" s="78"/>
      <c r="BZ244" s="78"/>
      <c r="CA244" s="78"/>
      <c r="CB244" s="78"/>
      <c r="CC244" s="78"/>
      <c r="CD244" s="78"/>
      <c r="CE244" s="78"/>
      <c r="CF244" s="78"/>
      <c r="CG244" s="78"/>
      <c r="CH244" s="78"/>
      <c r="CI244" s="78"/>
      <c r="CJ244" s="78"/>
      <c r="CK244" s="78"/>
      <c r="CL244" s="78"/>
      <c r="CM244" s="78"/>
      <c r="CN244" s="78"/>
      <c r="CO244" s="78"/>
      <c r="CP244" s="78"/>
      <c r="CQ244" s="78"/>
      <c r="CR244" s="78"/>
      <c r="CS244" s="78"/>
      <c r="CT244" s="78"/>
      <c r="CU244" s="78"/>
      <c r="CV244" s="78"/>
      <c r="CW244" s="78"/>
      <c r="CX244" s="78"/>
      <c r="CY244" s="78"/>
      <c r="CZ244" s="78"/>
      <c r="DA244" s="78"/>
      <c r="DB244" s="78"/>
      <c r="DC244" s="78"/>
      <c r="DD244" s="78"/>
      <c r="DE244" s="78"/>
      <c r="DF244" s="78"/>
      <c r="DG244" s="78"/>
      <c r="DH244" s="78"/>
      <c r="DI244" s="78"/>
      <c r="DJ244" s="78"/>
      <c r="DK244" s="78"/>
      <c r="DL244" s="78"/>
      <c r="DM244" s="78"/>
      <c r="DN244" s="78"/>
      <c r="DO244" s="78"/>
      <c r="DP244" s="78"/>
      <c r="DQ244" s="78"/>
      <c r="DR244" s="78"/>
      <c r="DS244" s="78"/>
      <c r="DT244" s="78"/>
      <c r="DU244" s="78"/>
      <c r="DV244" s="78"/>
      <c r="DW244" s="78"/>
      <c r="DX244" s="78"/>
      <c r="DY244" s="78"/>
      <c r="DZ244" s="78"/>
      <c r="EA244" s="78"/>
      <c r="EB244" s="78"/>
      <c r="EC244" s="78"/>
      <c r="ED244" s="78"/>
      <c r="EE244" s="78"/>
      <c r="EF244" s="78"/>
      <c r="EG244" s="78"/>
      <c r="EH244" s="78"/>
      <c r="EI244" s="91"/>
      <c r="EJ244" s="91"/>
      <c r="EK244" s="91"/>
      <c r="EL244" s="91"/>
      <c r="EM244" s="91"/>
      <c r="EN244" s="91"/>
      <c r="EO244" s="91"/>
      <c r="EP244" s="78"/>
      <c r="EQ244" s="78"/>
      <c r="ER244" s="78"/>
      <c r="ES244" s="78"/>
      <c r="ET244" s="78"/>
      <c r="EU244" s="78"/>
      <c r="EV244" s="78"/>
      <c r="EW244" s="78"/>
      <c r="EX244" s="78"/>
      <c r="EY244" s="78"/>
      <c r="EZ244" s="78"/>
      <c r="FA244" s="78"/>
      <c r="FB244" s="78"/>
      <c r="FC244" s="78"/>
      <c r="FD244" s="78"/>
      <c r="FE244" s="78"/>
      <c r="FF244" s="78"/>
      <c r="FG244" s="78"/>
      <c r="FH244" s="78"/>
      <c r="FI244" s="78"/>
      <c r="FJ244" s="78"/>
      <c r="FK244" s="78"/>
    </row>
    <row r="245" spans="1:167" outlineLevel="1">
      <c r="A245" s="29" t="str">
        <f t="shared" si="26"/>
        <v>modesg_inp_emss_vclsnome_unidade_funcional</v>
      </c>
      <c r="B245" s="67" t="s">
        <v>26</v>
      </c>
      <c r="C245" s="68" t="s">
        <v>181</v>
      </c>
      <c r="D245" s="64" t="s">
        <v>40</v>
      </c>
      <c r="E245" s="66" t="s">
        <v>212</v>
      </c>
      <c r="F245" s="64" t="s">
        <v>228</v>
      </c>
      <c r="G245" s="64" t="str">
        <f>INDEX(Auxiliar!$B$16:$B$24,MATCH(Plano_V1!H245,Auxiliar!$C$16:$C$24,0),1)</f>
        <v>1. Concluído</v>
      </c>
      <c r="H245" s="64">
        <f>VLOOKUP(A245,'Aux - pivots1'!$A:$B,2,0)</f>
        <v>1</v>
      </c>
      <c r="I245" s="84">
        <f>SUMIFS(Table1[Estimação (horas)],Table1[Tabela],Plano_V1!E245,Table1[Campo],Plano_V1!F245)</f>
        <v>0.6</v>
      </c>
      <c r="J245" s="84">
        <f t="shared" si="24"/>
        <v>7.4999999999999997E-2</v>
      </c>
      <c r="K245" s="89" t="s">
        <v>39</v>
      </c>
      <c r="L245" s="90">
        <f t="shared" si="25"/>
        <v>7.4999999999999997E-2</v>
      </c>
      <c r="M245" s="78"/>
      <c r="N245" s="78"/>
      <c r="O245" s="78"/>
      <c r="P245" s="78"/>
      <c r="Q245" s="78"/>
      <c r="R245" s="78"/>
      <c r="S245" s="78"/>
      <c r="T245" s="78"/>
      <c r="U245" s="78"/>
      <c r="V245" s="78"/>
      <c r="W245" s="78"/>
      <c r="X245" s="78"/>
      <c r="Y245" s="78"/>
      <c r="Z245" s="78"/>
      <c r="AA245" s="78"/>
      <c r="AB245" s="78"/>
      <c r="AC245" s="78"/>
      <c r="AD245" s="78"/>
      <c r="AE245" s="78"/>
      <c r="AF245" s="78"/>
      <c r="AG245" s="78"/>
      <c r="AH245" s="78"/>
      <c r="AI245" s="78"/>
      <c r="AJ245" s="78"/>
      <c r="AK245" s="78"/>
      <c r="AL245" s="78"/>
      <c r="AM245" s="78"/>
      <c r="AN245" s="78"/>
      <c r="AO245" s="78"/>
      <c r="AP245" s="78"/>
      <c r="AQ245" s="78"/>
      <c r="AR245" s="78"/>
      <c r="AS245" s="78"/>
      <c r="AT245" s="91"/>
      <c r="AU245" s="78"/>
      <c r="AV245" s="78"/>
      <c r="AW245" s="78"/>
      <c r="AX245" s="78"/>
      <c r="AY245" s="78"/>
      <c r="AZ245" s="78"/>
      <c r="BA245" s="78"/>
      <c r="BB245" s="78"/>
      <c r="BC245" s="78"/>
      <c r="BD245" s="78"/>
      <c r="BE245" s="78"/>
      <c r="BF245" s="78"/>
      <c r="BG245" s="78"/>
      <c r="BH245" s="78"/>
      <c r="BI245" s="78"/>
      <c r="BJ245" s="78"/>
      <c r="BK245" s="78"/>
      <c r="BL245" s="78"/>
      <c r="BM245" s="78"/>
      <c r="BN245" s="78"/>
      <c r="BO245" s="78"/>
      <c r="BP245" s="78"/>
      <c r="BQ245" s="78"/>
      <c r="BR245" s="78"/>
      <c r="BS245" s="78"/>
      <c r="BT245" s="78"/>
      <c r="BU245" s="78"/>
      <c r="BV245" s="78"/>
      <c r="BW245" s="78"/>
      <c r="BX245" s="78"/>
      <c r="BY245" s="78"/>
      <c r="BZ245" s="78"/>
      <c r="CA245" s="78"/>
      <c r="CB245" s="78"/>
      <c r="CC245" s="78"/>
      <c r="CD245" s="78"/>
      <c r="CE245" s="78"/>
      <c r="CF245" s="78"/>
      <c r="CG245" s="78"/>
      <c r="CH245" s="78"/>
      <c r="CI245" s="78"/>
      <c r="CJ245" s="78"/>
      <c r="CK245" s="78"/>
      <c r="CL245" s="78"/>
      <c r="CM245" s="78"/>
      <c r="CN245" s="78"/>
      <c r="CO245" s="78"/>
      <c r="CP245" s="78"/>
      <c r="CQ245" s="78"/>
      <c r="CR245" s="78"/>
      <c r="CS245" s="78"/>
      <c r="CT245" s="78"/>
      <c r="CU245" s="78"/>
      <c r="CV245" s="78"/>
      <c r="CW245" s="78"/>
      <c r="CX245" s="78"/>
      <c r="CY245" s="78"/>
      <c r="CZ245" s="78"/>
      <c r="DA245" s="78"/>
      <c r="DB245" s="78"/>
      <c r="DC245" s="78"/>
      <c r="DD245" s="78"/>
      <c r="DE245" s="78"/>
      <c r="DF245" s="78"/>
      <c r="DG245" s="78"/>
      <c r="DH245" s="78"/>
      <c r="DI245" s="78"/>
      <c r="DJ245" s="78"/>
      <c r="DK245" s="78"/>
      <c r="DL245" s="78"/>
      <c r="DM245" s="78"/>
      <c r="DN245" s="78"/>
      <c r="DO245" s="78"/>
      <c r="DP245" s="78"/>
      <c r="DQ245" s="78"/>
      <c r="DR245" s="78"/>
      <c r="DS245" s="78"/>
      <c r="DT245" s="78"/>
      <c r="DU245" s="78"/>
      <c r="DV245" s="78"/>
      <c r="DW245" s="78"/>
      <c r="DX245" s="78"/>
      <c r="DY245" s="78"/>
      <c r="DZ245" s="78"/>
      <c r="EA245" s="78"/>
      <c r="EB245" s="78"/>
      <c r="EC245" s="78"/>
      <c r="ED245" s="78"/>
      <c r="EE245" s="78"/>
      <c r="EF245" s="78"/>
      <c r="EG245" s="78"/>
      <c r="EH245" s="78"/>
      <c r="EI245" s="91"/>
      <c r="EJ245" s="91"/>
      <c r="EK245" s="91"/>
      <c r="EL245" s="91"/>
      <c r="EM245" s="91"/>
      <c r="EN245" s="91"/>
      <c r="EO245" s="91"/>
      <c r="EP245" s="78"/>
      <c r="EQ245" s="78"/>
      <c r="ER245" s="78"/>
      <c r="ES245" s="78"/>
      <c r="ET245" s="78"/>
      <c r="EU245" s="78"/>
      <c r="EV245" s="78"/>
      <c r="EW245" s="78"/>
      <c r="EX245" s="78"/>
      <c r="EY245" s="78"/>
      <c r="EZ245" s="78"/>
      <c r="FA245" s="78"/>
      <c r="FB245" s="78"/>
      <c r="FC245" s="78"/>
      <c r="FD245" s="78"/>
      <c r="FE245" s="78"/>
      <c r="FF245" s="78"/>
      <c r="FG245" s="78"/>
      <c r="FH245" s="78"/>
      <c r="FI245" s="78"/>
      <c r="FJ245" s="78"/>
      <c r="FK245" s="78"/>
    </row>
    <row r="246" spans="1:167" outlineLevel="1">
      <c r="A246" s="29" t="str">
        <f t="shared" si="26"/>
        <v>modesg_inp_emss_vclsunidade_funcional</v>
      </c>
      <c r="B246" s="67" t="s">
        <v>26</v>
      </c>
      <c r="C246" s="68" t="s">
        <v>181</v>
      </c>
      <c r="D246" s="64" t="s">
        <v>40</v>
      </c>
      <c r="E246" s="66" t="s">
        <v>212</v>
      </c>
      <c r="F246" s="64" t="s">
        <v>229</v>
      </c>
      <c r="G246" s="64" t="str">
        <f>INDEX(Auxiliar!$B$16:$B$24,MATCH(Plano_V1!H246,Auxiliar!$C$16:$C$24,0),1)</f>
        <v>1. Concluído</v>
      </c>
      <c r="H246" s="64">
        <f>VLOOKUP(A246,'Aux - pivots1'!$A:$B,2,0)</f>
        <v>1</v>
      </c>
      <c r="I246" s="84">
        <f>SUMIFS(Table1[Estimação (horas)],Table1[Tabela],Plano_V1!E246,Table1[Campo],Plano_V1!F246)</f>
        <v>0.6</v>
      </c>
      <c r="J246" s="84">
        <f t="shared" si="24"/>
        <v>7.4999999999999997E-2</v>
      </c>
      <c r="K246" s="89" t="s">
        <v>39</v>
      </c>
      <c r="L246" s="90">
        <f t="shared" si="25"/>
        <v>7.4999999999999997E-2</v>
      </c>
      <c r="M246" s="78"/>
      <c r="N246" s="78"/>
      <c r="O246" s="78"/>
      <c r="P246" s="78"/>
      <c r="Q246" s="78"/>
      <c r="R246" s="78"/>
      <c r="S246" s="78"/>
      <c r="T246" s="78"/>
      <c r="U246" s="78"/>
      <c r="V246" s="78"/>
      <c r="W246" s="78"/>
      <c r="X246" s="78"/>
      <c r="Y246" s="78"/>
      <c r="Z246" s="78"/>
      <c r="AA246" s="78"/>
      <c r="AB246" s="78"/>
      <c r="AC246" s="78"/>
      <c r="AD246" s="78"/>
      <c r="AE246" s="78"/>
      <c r="AF246" s="78"/>
      <c r="AG246" s="78"/>
      <c r="AH246" s="78"/>
      <c r="AI246" s="78"/>
      <c r="AJ246" s="78"/>
      <c r="AK246" s="78"/>
      <c r="AL246" s="78"/>
      <c r="AM246" s="78"/>
      <c r="AN246" s="78"/>
      <c r="AO246" s="78"/>
      <c r="AP246" s="78"/>
      <c r="AQ246" s="78"/>
      <c r="AR246" s="78"/>
      <c r="AS246" s="78"/>
      <c r="AT246" s="91"/>
      <c r="AU246" s="78"/>
      <c r="AV246" s="78"/>
      <c r="AW246" s="78"/>
      <c r="AX246" s="78"/>
      <c r="AY246" s="78"/>
      <c r="AZ246" s="78"/>
      <c r="BA246" s="78"/>
      <c r="BB246" s="78"/>
      <c r="BC246" s="78"/>
      <c r="BD246" s="78"/>
      <c r="BE246" s="78"/>
      <c r="BF246" s="78"/>
      <c r="BG246" s="78"/>
      <c r="BH246" s="78"/>
      <c r="BI246" s="78"/>
      <c r="BJ246" s="78"/>
      <c r="BK246" s="78"/>
      <c r="BL246" s="78"/>
      <c r="BM246" s="78"/>
      <c r="BN246" s="78"/>
      <c r="BO246" s="78"/>
      <c r="BP246" s="78"/>
      <c r="BQ246" s="78"/>
      <c r="BR246" s="78"/>
      <c r="BS246" s="78"/>
      <c r="BT246" s="78"/>
      <c r="BU246" s="78"/>
      <c r="BV246" s="78"/>
      <c r="BW246" s="78"/>
      <c r="BX246" s="78"/>
      <c r="BY246" s="78"/>
      <c r="BZ246" s="78"/>
      <c r="CA246" s="78"/>
      <c r="CB246" s="78"/>
      <c r="CC246" s="78"/>
      <c r="CD246" s="78"/>
      <c r="CE246" s="78"/>
      <c r="CF246" s="78"/>
      <c r="CG246" s="78"/>
      <c r="CH246" s="78"/>
      <c r="CI246" s="78"/>
      <c r="CJ246" s="78"/>
      <c r="CK246" s="78"/>
      <c r="CL246" s="78"/>
      <c r="CM246" s="78"/>
      <c r="CN246" s="78"/>
      <c r="CO246" s="78"/>
      <c r="CP246" s="78"/>
      <c r="CQ246" s="78"/>
      <c r="CR246" s="78"/>
      <c r="CS246" s="78"/>
      <c r="CT246" s="78"/>
      <c r="CU246" s="78"/>
      <c r="CV246" s="78"/>
      <c r="CW246" s="78"/>
      <c r="CX246" s="78"/>
      <c r="CY246" s="78"/>
      <c r="CZ246" s="78"/>
      <c r="DA246" s="78"/>
      <c r="DB246" s="78"/>
      <c r="DC246" s="78"/>
      <c r="DD246" s="78"/>
      <c r="DE246" s="78"/>
      <c r="DF246" s="78"/>
      <c r="DG246" s="78"/>
      <c r="DH246" s="78"/>
      <c r="DI246" s="78"/>
      <c r="DJ246" s="78"/>
      <c r="DK246" s="78"/>
      <c r="DL246" s="78"/>
      <c r="DM246" s="78"/>
      <c r="DN246" s="78"/>
      <c r="DO246" s="78"/>
      <c r="DP246" s="78"/>
      <c r="DQ246" s="78"/>
      <c r="DR246" s="78"/>
      <c r="DS246" s="78"/>
      <c r="DT246" s="78"/>
      <c r="DU246" s="78"/>
      <c r="DV246" s="78"/>
      <c r="DW246" s="78"/>
      <c r="DX246" s="78"/>
      <c r="DY246" s="78"/>
      <c r="DZ246" s="78"/>
      <c r="EA246" s="78"/>
      <c r="EB246" s="78"/>
      <c r="EC246" s="78"/>
      <c r="ED246" s="78"/>
      <c r="EE246" s="78"/>
      <c r="EF246" s="78"/>
      <c r="EG246" s="78"/>
      <c r="EH246" s="78"/>
      <c r="EI246" s="91"/>
      <c r="EJ246" s="91"/>
      <c r="EK246" s="91"/>
      <c r="EL246" s="91"/>
      <c r="EM246" s="91"/>
      <c r="EN246" s="91"/>
      <c r="EO246" s="91"/>
      <c r="EP246" s="78"/>
      <c r="EQ246" s="78"/>
      <c r="ER246" s="78"/>
      <c r="ES246" s="78"/>
      <c r="ET246" s="78"/>
      <c r="EU246" s="78"/>
      <c r="EV246" s="78"/>
      <c r="EW246" s="78"/>
      <c r="EX246" s="78"/>
      <c r="EY246" s="78"/>
      <c r="EZ246" s="78"/>
      <c r="FA246" s="78"/>
      <c r="FB246" s="78"/>
      <c r="FC246" s="78"/>
      <c r="FD246" s="78"/>
      <c r="FE246" s="78"/>
      <c r="FF246" s="78"/>
      <c r="FG246" s="78"/>
      <c r="FH246" s="78"/>
      <c r="FI246" s="78"/>
      <c r="FJ246" s="78"/>
      <c r="FK246" s="78"/>
    </row>
    <row r="247" spans="1:167" outlineLevel="1">
      <c r="A247" s="29" t="str">
        <f t="shared" si="26"/>
        <v>modesg_inp_emss_vclsnome_fator_emissao</v>
      </c>
      <c r="B247" s="67" t="s">
        <v>26</v>
      </c>
      <c r="C247" s="68" t="s">
        <v>181</v>
      </c>
      <c r="D247" s="64" t="s">
        <v>40</v>
      </c>
      <c r="E247" s="66" t="s">
        <v>212</v>
      </c>
      <c r="F247" s="64" t="s">
        <v>230</v>
      </c>
      <c r="G247" s="64" t="str">
        <f>INDEX(Auxiliar!$B$16:$B$24,MATCH(Plano_V1!H247,Auxiliar!$C$16:$C$24,0),1)</f>
        <v>1. Concluído</v>
      </c>
      <c r="H247" s="64">
        <f>VLOOKUP(A247,'Aux - pivots1'!$A:$B,2,0)</f>
        <v>1</v>
      </c>
      <c r="I247" s="84">
        <f>SUMIFS(Table1[Estimação (horas)],Table1[Tabela],Plano_V1!E247,Table1[Campo],Plano_V1!F247)</f>
        <v>0.6</v>
      </c>
      <c r="J247" s="84">
        <f t="shared" si="24"/>
        <v>7.4999999999999997E-2</v>
      </c>
      <c r="K247" s="89" t="s">
        <v>39</v>
      </c>
      <c r="L247" s="90">
        <f t="shared" si="25"/>
        <v>7.4999999999999997E-2</v>
      </c>
      <c r="M247" s="78"/>
      <c r="N247" s="78"/>
      <c r="O247" s="78"/>
      <c r="P247" s="78"/>
      <c r="Q247" s="78"/>
      <c r="R247" s="78"/>
      <c r="S247" s="78"/>
      <c r="T247" s="78"/>
      <c r="U247" s="78"/>
      <c r="V247" s="78"/>
      <c r="W247" s="78"/>
      <c r="X247" s="78"/>
      <c r="Y247" s="78"/>
      <c r="Z247" s="78"/>
      <c r="AA247" s="78"/>
      <c r="AB247" s="78"/>
      <c r="AC247" s="78"/>
      <c r="AD247" s="78"/>
      <c r="AE247" s="78"/>
      <c r="AF247" s="78"/>
      <c r="AG247" s="78"/>
      <c r="AH247" s="78"/>
      <c r="AI247" s="78"/>
      <c r="AJ247" s="78"/>
      <c r="AK247" s="78"/>
      <c r="AL247" s="78"/>
      <c r="AM247" s="78"/>
      <c r="AN247" s="78"/>
      <c r="AO247" s="78"/>
      <c r="AP247" s="78"/>
      <c r="AQ247" s="78"/>
      <c r="AR247" s="78"/>
      <c r="AS247" s="78"/>
      <c r="AT247" s="91"/>
      <c r="AU247" s="78"/>
      <c r="AV247" s="78"/>
      <c r="AW247" s="78"/>
      <c r="AX247" s="78"/>
      <c r="AY247" s="78"/>
      <c r="AZ247" s="78"/>
      <c r="BA247" s="78"/>
      <c r="BB247" s="78"/>
      <c r="BC247" s="78"/>
      <c r="BD247" s="78"/>
      <c r="BE247" s="78"/>
      <c r="BF247" s="78"/>
      <c r="BG247" s="78"/>
      <c r="BH247" s="78"/>
      <c r="BI247" s="78"/>
      <c r="BJ247" s="78"/>
      <c r="BK247" s="78"/>
      <c r="BL247" s="78"/>
      <c r="BM247" s="78"/>
      <c r="BN247" s="78"/>
      <c r="BO247" s="78"/>
      <c r="BP247" s="78"/>
      <c r="BQ247" s="78"/>
      <c r="BR247" s="78"/>
      <c r="BS247" s="78"/>
      <c r="BT247" s="78"/>
      <c r="BU247" s="78"/>
      <c r="BV247" s="78"/>
      <c r="BW247" s="78"/>
      <c r="BX247" s="78"/>
      <c r="BY247" s="78"/>
      <c r="BZ247" s="78"/>
      <c r="CA247" s="78"/>
      <c r="CB247" s="78"/>
      <c r="CC247" s="78"/>
      <c r="CD247" s="78"/>
      <c r="CE247" s="78"/>
      <c r="CF247" s="78"/>
      <c r="CG247" s="78"/>
      <c r="CH247" s="78"/>
      <c r="CI247" s="78"/>
      <c r="CJ247" s="78"/>
      <c r="CK247" s="78"/>
      <c r="CL247" s="78"/>
      <c r="CM247" s="78"/>
      <c r="CN247" s="78"/>
      <c r="CO247" s="78"/>
      <c r="CP247" s="78"/>
      <c r="CQ247" s="78"/>
      <c r="CR247" s="78"/>
      <c r="CS247" s="78"/>
      <c r="CT247" s="78"/>
      <c r="CU247" s="78"/>
      <c r="CV247" s="78"/>
      <c r="CW247" s="78"/>
      <c r="CX247" s="78"/>
      <c r="CY247" s="78"/>
      <c r="CZ247" s="78"/>
      <c r="DA247" s="78"/>
      <c r="DB247" s="78"/>
      <c r="DC247" s="78"/>
      <c r="DD247" s="78"/>
      <c r="DE247" s="78"/>
      <c r="DF247" s="78"/>
      <c r="DG247" s="78"/>
      <c r="DH247" s="78"/>
      <c r="DI247" s="78"/>
      <c r="DJ247" s="78"/>
      <c r="DK247" s="78"/>
      <c r="DL247" s="78"/>
      <c r="DM247" s="78"/>
      <c r="DN247" s="78"/>
      <c r="DO247" s="78"/>
      <c r="DP247" s="78"/>
      <c r="DQ247" s="78"/>
      <c r="DR247" s="78"/>
      <c r="DS247" s="78"/>
      <c r="DT247" s="78"/>
      <c r="DU247" s="78"/>
      <c r="DV247" s="78"/>
      <c r="DW247" s="78"/>
      <c r="DX247" s="78"/>
      <c r="DY247" s="78"/>
      <c r="DZ247" s="78"/>
      <c r="EA247" s="78"/>
      <c r="EB247" s="78"/>
      <c r="EC247" s="78"/>
      <c r="ED247" s="78"/>
      <c r="EE247" s="78"/>
      <c r="EF247" s="78"/>
      <c r="EG247" s="78"/>
      <c r="EH247" s="78"/>
      <c r="EI247" s="91"/>
      <c r="EJ247" s="91"/>
      <c r="EK247" s="91"/>
      <c r="EL247" s="91"/>
      <c r="EM247" s="91"/>
      <c r="EN247" s="91"/>
      <c r="EO247" s="91"/>
      <c r="EP247" s="78"/>
      <c r="EQ247" s="78"/>
      <c r="ER247" s="78"/>
      <c r="ES247" s="78"/>
      <c r="ET247" s="78"/>
      <c r="EU247" s="78"/>
      <c r="EV247" s="78"/>
      <c r="EW247" s="78"/>
      <c r="EX247" s="78"/>
      <c r="EY247" s="78"/>
      <c r="EZ247" s="78"/>
      <c r="FA247" s="78"/>
      <c r="FB247" s="78"/>
      <c r="FC247" s="78"/>
      <c r="FD247" s="78"/>
      <c r="FE247" s="78"/>
      <c r="FF247" s="78"/>
      <c r="FG247" s="78"/>
      <c r="FH247" s="78"/>
      <c r="FI247" s="78"/>
      <c r="FJ247" s="78"/>
      <c r="FK247" s="78"/>
    </row>
    <row r="248" spans="1:167" outlineLevel="1">
      <c r="A248" s="29" t="str">
        <f t="shared" si="26"/>
        <v>modesg_inp_emss_vclsunidade_fator_de_emissao</v>
      </c>
      <c r="B248" s="67" t="s">
        <v>26</v>
      </c>
      <c r="C248" s="68" t="s">
        <v>181</v>
      </c>
      <c r="D248" s="64" t="s">
        <v>40</v>
      </c>
      <c r="E248" s="66" t="s">
        <v>212</v>
      </c>
      <c r="F248" s="64" t="s">
        <v>231</v>
      </c>
      <c r="G248" s="64" t="str">
        <f>INDEX(Auxiliar!$B$16:$B$24,MATCH(Plano_V1!H248,Auxiliar!$C$16:$C$24,0),1)</f>
        <v>1. Concluído</v>
      </c>
      <c r="H248" s="64">
        <f>VLOOKUP(A248,'Aux - pivots1'!$A:$B,2,0)</f>
        <v>1</v>
      </c>
      <c r="I248" s="84">
        <f>SUMIFS(Table1[Estimação (horas)],Table1[Tabela],Plano_V1!E248,Table1[Campo],Plano_V1!F248)</f>
        <v>0.6</v>
      </c>
      <c r="J248" s="84">
        <f t="shared" si="24"/>
        <v>7.4999999999999997E-2</v>
      </c>
      <c r="K248" s="89" t="s">
        <v>39</v>
      </c>
      <c r="L248" s="90">
        <f t="shared" si="25"/>
        <v>7.4999999999999997E-2</v>
      </c>
      <c r="M248" s="78"/>
      <c r="N248" s="78"/>
      <c r="O248" s="78"/>
      <c r="P248" s="78"/>
      <c r="Q248" s="78"/>
      <c r="R248" s="78"/>
      <c r="S248" s="78"/>
      <c r="T248" s="78"/>
      <c r="U248" s="78"/>
      <c r="V248" s="78"/>
      <c r="W248" s="78"/>
      <c r="X248" s="78"/>
      <c r="Y248" s="78"/>
      <c r="Z248" s="78"/>
      <c r="AA248" s="78"/>
      <c r="AB248" s="78"/>
      <c r="AC248" s="78"/>
      <c r="AD248" s="78"/>
      <c r="AE248" s="78"/>
      <c r="AF248" s="78"/>
      <c r="AG248" s="78"/>
      <c r="AH248" s="78"/>
      <c r="AI248" s="78"/>
      <c r="AJ248" s="78"/>
      <c r="AK248" s="78"/>
      <c r="AL248" s="78"/>
      <c r="AM248" s="78"/>
      <c r="AN248" s="78"/>
      <c r="AO248" s="78"/>
      <c r="AP248" s="78"/>
      <c r="AQ248" s="78"/>
      <c r="AR248" s="78"/>
      <c r="AS248" s="78"/>
      <c r="AT248" s="91"/>
      <c r="AU248" s="78"/>
      <c r="AV248" s="78"/>
      <c r="AW248" s="78"/>
      <c r="AX248" s="78"/>
      <c r="AY248" s="78"/>
      <c r="AZ248" s="78"/>
      <c r="BA248" s="78"/>
      <c r="BB248" s="78"/>
      <c r="BC248" s="78"/>
      <c r="BD248" s="78"/>
      <c r="BE248" s="78"/>
      <c r="BF248" s="78"/>
      <c r="BG248" s="78"/>
      <c r="BH248" s="78"/>
      <c r="BI248" s="78"/>
      <c r="BJ248" s="78"/>
      <c r="BK248" s="78"/>
      <c r="BL248" s="78"/>
      <c r="BM248" s="78"/>
      <c r="BN248" s="78"/>
      <c r="BO248" s="78"/>
      <c r="BP248" s="78"/>
      <c r="BQ248" s="78"/>
      <c r="BR248" s="78"/>
      <c r="BS248" s="78"/>
      <c r="BT248" s="78"/>
      <c r="BU248" s="78"/>
      <c r="BV248" s="78"/>
      <c r="BW248" s="78"/>
      <c r="BX248" s="78"/>
      <c r="BY248" s="78"/>
      <c r="BZ248" s="78"/>
      <c r="CA248" s="78"/>
      <c r="CB248" s="78"/>
      <c r="CC248" s="78"/>
      <c r="CD248" s="78"/>
      <c r="CE248" s="78"/>
      <c r="CF248" s="78"/>
      <c r="CG248" s="78"/>
      <c r="CH248" s="78"/>
      <c r="CI248" s="78"/>
      <c r="CJ248" s="78"/>
      <c r="CK248" s="78"/>
      <c r="CL248" s="78"/>
      <c r="CM248" s="78"/>
      <c r="CN248" s="78"/>
      <c r="CO248" s="78"/>
      <c r="CP248" s="78"/>
      <c r="CQ248" s="78"/>
      <c r="CR248" s="78"/>
      <c r="CS248" s="78"/>
      <c r="CT248" s="78"/>
      <c r="CU248" s="78"/>
      <c r="CV248" s="78"/>
      <c r="CW248" s="78"/>
      <c r="CX248" s="78"/>
      <c r="CY248" s="78"/>
      <c r="CZ248" s="78"/>
      <c r="DA248" s="78"/>
      <c r="DB248" s="78"/>
      <c r="DC248" s="78"/>
      <c r="DD248" s="78"/>
      <c r="DE248" s="78"/>
      <c r="DF248" s="78"/>
      <c r="DG248" s="78"/>
      <c r="DH248" s="78"/>
      <c r="DI248" s="78"/>
      <c r="DJ248" s="78"/>
      <c r="DK248" s="78"/>
      <c r="DL248" s="78"/>
      <c r="DM248" s="78"/>
      <c r="DN248" s="78"/>
      <c r="DO248" s="78"/>
      <c r="DP248" s="78"/>
      <c r="DQ248" s="78"/>
      <c r="DR248" s="78"/>
      <c r="DS248" s="78"/>
      <c r="DT248" s="78"/>
      <c r="DU248" s="78"/>
      <c r="DV248" s="78"/>
      <c r="DW248" s="78"/>
      <c r="DX248" s="78"/>
      <c r="DY248" s="78"/>
      <c r="DZ248" s="78"/>
      <c r="EA248" s="78"/>
      <c r="EB248" s="78"/>
      <c r="EC248" s="78"/>
      <c r="ED248" s="78"/>
      <c r="EE248" s="78"/>
      <c r="EF248" s="78"/>
      <c r="EG248" s="78"/>
      <c r="EH248" s="78"/>
      <c r="EI248" s="91"/>
      <c r="EJ248" s="91"/>
      <c r="EK248" s="91"/>
      <c r="EL248" s="91"/>
      <c r="EM248" s="91"/>
      <c r="EN248" s="91"/>
      <c r="EO248" s="91"/>
      <c r="EP248" s="78"/>
      <c r="EQ248" s="78"/>
      <c r="ER248" s="78"/>
      <c r="ES248" s="78"/>
      <c r="ET248" s="78"/>
      <c r="EU248" s="78"/>
      <c r="EV248" s="78"/>
      <c r="EW248" s="78"/>
      <c r="EX248" s="78"/>
      <c r="EY248" s="78"/>
      <c r="EZ248" s="78"/>
      <c r="FA248" s="78"/>
      <c r="FB248" s="78"/>
      <c r="FC248" s="78"/>
      <c r="FD248" s="78"/>
      <c r="FE248" s="78"/>
      <c r="FF248" s="78"/>
      <c r="FG248" s="78"/>
      <c r="FH248" s="78"/>
      <c r="FI248" s="78"/>
      <c r="FJ248" s="78"/>
      <c r="FK248" s="78"/>
    </row>
    <row r="249" spans="1:167" outlineLevel="1">
      <c r="A249" s="29" t="str">
        <f t="shared" si="26"/>
        <v>modesg_inp_emss_vclsscore_qualidade</v>
      </c>
      <c r="B249" s="67" t="s">
        <v>26</v>
      </c>
      <c r="C249" s="68" t="s">
        <v>181</v>
      </c>
      <c r="D249" s="64" t="s">
        <v>40</v>
      </c>
      <c r="E249" s="66" t="s">
        <v>212</v>
      </c>
      <c r="F249" s="64" t="s">
        <v>232</v>
      </c>
      <c r="G249" s="64" t="str">
        <f>INDEX(Auxiliar!$B$16:$B$24,MATCH(Plano_V1!H249,Auxiliar!$C$16:$C$24,0),1)</f>
        <v>1. Concluído</v>
      </c>
      <c r="H249" s="64">
        <f>VLOOKUP(A249,'Aux - pivots1'!$A:$B,2,0)</f>
        <v>1</v>
      </c>
      <c r="I249" s="84">
        <f>SUMIFS(Table1[Estimação (horas)],Table1[Tabela],Plano_V1!E249,Table1[Campo],Plano_V1!F249)</f>
        <v>0.6</v>
      </c>
      <c r="J249" s="84">
        <f t="shared" si="24"/>
        <v>7.4999999999999997E-2</v>
      </c>
      <c r="K249" s="89" t="s">
        <v>39</v>
      </c>
      <c r="L249" s="90">
        <f t="shared" si="25"/>
        <v>7.4999999999999997E-2</v>
      </c>
      <c r="M249" s="78"/>
      <c r="N249" s="78"/>
      <c r="O249" s="78"/>
      <c r="P249" s="78"/>
      <c r="Q249" s="78"/>
      <c r="R249" s="78"/>
      <c r="S249" s="78"/>
      <c r="T249" s="78"/>
      <c r="U249" s="78"/>
      <c r="V249" s="78"/>
      <c r="W249" s="78"/>
      <c r="X249" s="78"/>
      <c r="Y249" s="78"/>
      <c r="Z249" s="78"/>
      <c r="AA249" s="78"/>
      <c r="AB249" s="78"/>
      <c r="AC249" s="78"/>
      <c r="AD249" s="78"/>
      <c r="AE249" s="78"/>
      <c r="AF249" s="78"/>
      <c r="AG249" s="78"/>
      <c r="AH249" s="78"/>
      <c r="AI249" s="78"/>
      <c r="AJ249" s="78"/>
      <c r="AK249" s="78"/>
      <c r="AL249" s="78"/>
      <c r="AM249" s="78"/>
      <c r="AN249" s="78"/>
      <c r="AO249" s="78"/>
      <c r="AP249" s="78"/>
      <c r="AQ249" s="78"/>
      <c r="AR249" s="78"/>
      <c r="AS249" s="78"/>
      <c r="AT249" s="91"/>
      <c r="AU249" s="78"/>
      <c r="AV249" s="78"/>
      <c r="AW249" s="78"/>
      <c r="AX249" s="78"/>
      <c r="AY249" s="78"/>
      <c r="AZ249" s="78"/>
      <c r="BA249" s="78"/>
      <c r="BB249" s="78"/>
      <c r="BC249" s="78"/>
      <c r="BD249" s="78"/>
      <c r="BE249" s="78"/>
      <c r="BF249" s="78"/>
      <c r="BG249" s="78"/>
      <c r="BH249" s="78"/>
      <c r="BI249" s="78"/>
      <c r="BJ249" s="78"/>
      <c r="BK249" s="78"/>
      <c r="BL249" s="78"/>
      <c r="BM249" s="78"/>
      <c r="BN249" s="78"/>
      <c r="BO249" s="78"/>
      <c r="BP249" s="78"/>
      <c r="BQ249" s="78"/>
      <c r="BR249" s="78"/>
      <c r="BS249" s="78"/>
      <c r="BT249" s="78"/>
      <c r="BU249" s="78"/>
      <c r="BV249" s="78"/>
      <c r="BW249" s="78"/>
      <c r="BX249" s="78"/>
      <c r="BY249" s="78"/>
      <c r="BZ249" s="78"/>
      <c r="CA249" s="78"/>
      <c r="CB249" s="78"/>
      <c r="CC249" s="78"/>
      <c r="CD249" s="78"/>
      <c r="CE249" s="78"/>
      <c r="CF249" s="78"/>
      <c r="CG249" s="78"/>
      <c r="CH249" s="78"/>
      <c r="CI249" s="78"/>
      <c r="CJ249" s="78"/>
      <c r="CK249" s="78"/>
      <c r="CL249" s="78"/>
      <c r="CM249" s="78"/>
      <c r="CN249" s="78"/>
      <c r="CO249" s="78"/>
      <c r="CP249" s="78"/>
      <c r="CQ249" s="78"/>
      <c r="CR249" s="78"/>
      <c r="CS249" s="78"/>
      <c r="CT249" s="78"/>
      <c r="CU249" s="78"/>
      <c r="CV249" s="78"/>
      <c r="CW249" s="78"/>
      <c r="CX249" s="78"/>
      <c r="CY249" s="78"/>
      <c r="CZ249" s="78"/>
      <c r="DA249" s="78"/>
      <c r="DB249" s="78"/>
      <c r="DC249" s="78"/>
      <c r="DD249" s="78"/>
      <c r="DE249" s="78"/>
      <c r="DF249" s="78"/>
      <c r="DG249" s="78"/>
      <c r="DH249" s="78"/>
      <c r="DI249" s="78"/>
      <c r="DJ249" s="78"/>
      <c r="DK249" s="78"/>
      <c r="DL249" s="78"/>
      <c r="DM249" s="78"/>
      <c r="DN249" s="78"/>
      <c r="DO249" s="78"/>
      <c r="DP249" s="78"/>
      <c r="DQ249" s="78"/>
      <c r="DR249" s="78"/>
      <c r="DS249" s="78"/>
      <c r="DT249" s="78"/>
      <c r="DU249" s="78"/>
      <c r="DV249" s="78"/>
      <c r="DW249" s="78"/>
      <c r="DX249" s="78"/>
      <c r="DY249" s="78"/>
      <c r="DZ249" s="78"/>
      <c r="EA249" s="78"/>
      <c r="EB249" s="78"/>
      <c r="EC249" s="78"/>
      <c r="ED249" s="78"/>
      <c r="EE249" s="78"/>
      <c r="EF249" s="78"/>
      <c r="EG249" s="78"/>
      <c r="EH249" s="78"/>
      <c r="EI249" s="91"/>
      <c r="EJ249" s="91"/>
      <c r="EK249" s="91"/>
      <c r="EL249" s="91"/>
      <c r="EM249" s="91"/>
      <c r="EN249" s="91"/>
      <c r="EO249" s="91"/>
      <c r="EP249" s="78"/>
      <c r="EQ249" s="78"/>
      <c r="ER249" s="78"/>
      <c r="ES249" s="78"/>
      <c r="ET249" s="78"/>
      <c r="EU249" s="78"/>
      <c r="EV249" s="78"/>
      <c r="EW249" s="78"/>
      <c r="EX249" s="78"/>
      <c r="EY249" s="78"/>
      <c r="EZ249" s="78"/>
      <c r="FA249" s="78"/>
      <c r="FB249" s="78"/>
      <c r="FC249" s="78"/>
      <c r="FD249" s="78"/>
      <c r="FE249" s="78"/>
      <c r="FF249" s="78"/>
      <c r="FG249" s="78"/>
      <c r="FH249" s="78"/>
      <c r="FI249" s="78"/>
      <c r="FJ249" s="78"/>
      <c r="FK249" s="78"/>
    </row>
    <row r="250" spans="1:167" outlineLevel="1">
      <c r="A250" s="29" t="str">
        <f t="shared" si="26"/>
        <v>modesg_inp_emss_vclsscp1_ftr_emss</v>
      </c>
      <c r="B250" s="67" t="s">
        <v>26</v>
      </c>
      <c r="C250" s="68" t="s">
        <v>181</v>
      </c>
      <c r="D250" s="64" t="s">
        <v>40</v>
      </c>
      <c r="E250" s="66" t="s">
        <v>212</v>
      </c>
      <c r="F250" s="64" t="s">
        <v>233</v>
      </c>
      <c r="G250" s="64" t="str">
        <f>INDEX(Auxiliar!$B$16:$B$24,MATCH(Plano_V1!H250,Auxiliar!$C$16:$C$24,0),1)</f>
        <v>1. Concluído</v>
      </c>
      <c r="H250" s="64">
        <f>VLOOKUP(A250,'Aux - pivots1'!$A:$B,2,0)</f>
        <v>1</v>
      </c>
      <c r="I250" s="84">
        <f>SUMIFS(Table1[Estimação (horas)],Table1[Tabela],Plano_V1!E250,Table1[Campo],Plano_V1!F250)</f>
        <v>0.6</v>
      </c>
      <c r="J250" s="84">
        <f t="shared" si="24"/>
        <v>7.4999999999999997E-2</v>
      </c>
      <c r="K250" s="89" t="s">
        <v>39</v>
      </c>
      <c r="L250" s="90">
        <f t="shared" si="25"/>
        <v>7.4999999999999997E-2</v>
      </c>
      <c r="M250" s="78"/>
      <c r="N250" s="78"/>
      <c r="O250" s="78"/>
      <c r="P250" s="78"/>
      <c r="Q250" s="78"/>
      <c r="R250" s="78"/>
      <c r="S250" s="78"/>
      <c r="T250" s="78"/>
      <c r="U250" s="78"/>
      <c r="V250" s="78"/>
      <c r="W250" s="78"/>
      <c r="X250" s="78"/>
      <c r="Y250" s="78"/>
      <c r="Z250" s="78"/>
      <c r="AA250" s="78"/>
      <c r="AB250" s="78"/>
      <c r="AC250" s="78"/>
      <c r="AD250" s="78"/>
      <c r="AE250" s="78"/>
      <c r="AF250" s="78"/>
      <c r="AG250" s="78"/>
      <c r="AH250" s="78"/>
      <c r="AI250" s="78"/>
      <c r="AJ250" s="78"/>
      <c r="AK250" s="78"/>
      <c r="AL250" s="78"/>
      <c r="AM250" s="78"/>
      <c r="AN250" s="78"/>
      <c r="AO250" s="78"/>
      <c r="AP250" s="78"/>
      <c r="AQ250" s="78"/>
      <c r="AR250" s="78"/>
      <c r="AS250" s="78"/>
      <c r="AT250" s="91"/>
      <c r="AU250" s="78"/>
      <c r="AV250" s="78"/>
      <c r="AW250" s="78"/>
      <c r="AX250" s="78"/>
      <c r="AY250" s="78"/>
      <c r="AZ250" s="78"/>
      <c r="BA250" s="78"/>
      <c r="BB250" s="78"/>
      <c r="BC250" s="78"/>
      <c r="BD250" s="78"/>
      <c r="BE250" s="78"/>
      <c r="BF250" s="78"/>
      <c r="BG250" s="78"/>
      <c r="BH250" s="78"/>
      <c r="BI250" s="78"/>
      <c r="BJ250" s="78"/>
      <c r="BK250" s="78"/>
      <c r="BL250" s="78"/>
      <c r="BM250" s="78"/>
      <c r="BN250" s="78"/>
      <c r="BO250" s="78"/>
      <c r="BP250" s="78"/>
      <c r="BQ250" s="78"/>
      <c r="BR250" s="78"/>
      <c r="BS250" s="78"/>
      <c r="BT250" s="78"/>
      <c r="BU250" s="78"/>
      <c r="BV250" s="78"/>
      <c r="BW250" s="78"/>
      <c r="BX250" s="78"/>
      <c r="BY250" s="78"/>
      <c r="BZ250" s="78"/>
      <c r="CA250" s="78"/>
      <c r="CB250" s="78"/>
      <c r="CC250" s="78"/>
      <c r="CD250" s="78"/>
      <c r="CE250" s="78"/>
      <c r="CF250" s="78"/>
      <c r="CG250" s="78"/>
      <c r="CH250" s="78"/>
      <c r="CI250" s="78"/>
      <c r="CJ250" s="78"/>
      <c r="CK250" s="78"/>
      <c r="CL250" s="78"/>
      <c r="CM250" s="78"/>
      <c r="CN250" s="78"/>
      <c r="CO250" s="78"/>
      <c r="CP250" s="78"/>
      <c r="CQ250" s="78"/>
      <c r="CR250" s="78"/>
      <c r="CS250" s="78"/>
      <c r="CT250" s="78"/>
      <c r="CU250" s="78"/>
      <c r="CV250" s="78"/>
      <c r="CW250" s="78"/>
      <c r="CX250" s="78"/>
      <c r="CY250" s="78"/>
      <c r="CZ250" s="78"/>
      <c r="DA250" s="78"/>
      <c r="DB250" s="78"/>
      <c r="DC250" s="78"/>
      <c r="DD250" s="78"/>
      <c r="DE250" s="78"/>
      <c r="DF250" s="78"/>
      <c r="DG250" s="78"/>
      <c r="DH250" s="78"/>
      <c r="DI250" s="78"/>
      <c r="DJ250" s="78"/>
      <c r="DK250" s="78"/>
      <c r="DL250" s="78"/>
      <c r="DM250" s="78"/>
      <c r="DN250" s="78"/>
      <c r="DO250" s="78"/>
      <c r="DP250" s="78"/>
      <c r="DQ250" s="78"/>
      <c r="DR250" s="78"/>
      <c r="DS250" s="78"/>
      <c r="DT250" s="78"/>
      <c r="DU250" s="78"/>
      <c r="DV250" s="78"/>
      <c r="DW250" s="78"/>
      <c r="DX250" s="78"/>
      <c r="DY250" s="78"/>
      <c r="DZ250" s="78"/>
      <c r="EA250" s="78"/>
      <c r="EB250" s="78"/>
      <c r="EC250" s="78"/>
      <c r="ED250" s="78"/>
      <c r="EE250" s="78"/>
      <c r="EF250" s="78"/>
      <c r="EG250" s="78"/>
      <c r="EH250" s="78"/>
      <c r="EI250" s="91"/>
      <c r="EJ250" s="91"/>
      <c r="EK250" s="91"/>
      <c r="EL250" s="91"/>
      <c r="EM250" s="91"/>
      <c r="EN250" s="91"/>
      <c r="EO250" s="91"/>
      <c r="EP250" s="78"/>
      <c r="EQ250" s="78"/>
      <c r="ER250" s="78"/>
      <c r="ES250" s="78"/>
      <c r="ET250" s="78"/>
      <c r="EU250" s="78"/>
      <c r="EV250" s="78"/>
      <c r="EW250" s="78"/>
      <c r="EX250" s="78"/>
      <c r="EY250" s="78"/>
      <c r="EZ250" s="78"/>
      <c r="FA250" s="78"/>
      <c r="FB250" s="78"/>
      <c r="FC250" s="78"/>
      <c r="FD250" s="78"/>
      <c r="FE250" s="78"/>
      <c r="FF250" s="78"/>
      <c r="FG250" s="78"/>
      <c r="FH250" s="78"/>
      <c r="FI250" s="78"/>
      <c r="FJ250" s="78"/>
      <c r="FK250" s="78"/>
    </row>
    <row r="251" spans="1:167" outlineLevel="1">
      <c r="A251" s="29" t="str">
        <f t="shared" si="26"/>
        <v>modesg_inp_emss_vclsscp2_ftr_emss</v>
      </c>
      <c r="B251" s="67" t="s">
        <v>26</v>
      </c>
      <c r="C251" s="68" t="s">
        <v>181</v>
      </c>
      <c r="D251" s="64" t="s">
        <v>40</v>
      </c>
      <c r="E251" s="66" t="s">
        <v>212</v>
      </c>
      <c r="F251" s="64" t="s">
        <v>234</v>
      </c>
      <c r="G251" s="64" t="str">
        <f>INDEX(Auxiliar!$B$16:$B$24,MATCH(Plano_V1!H251,Auxiliar!$C$16:$C$24,0),1)</f>
        <v>1. Concluído</v>
      </c>
      <c r="H251" s="64">
        <f>VLOOKUP(A251,'Aux - pivots1'!$A:$B,2,0)</f>
        <v>1</v>
      </c>
      <c r="I251" s="84">
        <f>SUMIFS(Table1[Estimação (horas)],Table1[Tabela],Plano_V1!E251,Table1[Campo],Plano_V1!F251)</f>
        <v>0.6</v>
      </c>
      <c r="J251" s="84">
        <f t="shared" si="24"/>
        <v>7.4999999999999997E-2</v>
      </c>
      <c r="K251" s="89" t="s">
        <v>39</v>
      </c>
      <c r="L251" s="90">
        <f t="shared" si="25"/>
        <v>7.4999999999999997E-2</v>
      </c>
      <c r="M251" s="78"/>
      <c r="N251" s="78"/>
      <c r="O251" s="78"/>
      <c r="P251" s="78"/>
      <c r="Q251" s="78"/>
      <c r="R251" s="78"/>
      <c r="S251" s="78"/>
      <c r="T251" s="78"/>
      <c r="U251" s="78"/>
      <c r="V251" s="78"/>
      <c r="W251" s="78"/>
      <c r="X251" s="78"/>
      <c r="Y251" s="78"/>
      <c r="Z251" s="78"/>
      <c r="AA251" s="78"/>
      <c r="AB251" s="78"/>
      <c r="AC251" s="78"/>
      <c r="AD251" s="78"/>
      <c r="AE251" s="78"/>
      <c r="AF251" s="78"/>
      <c r="AG251" s="78"/>
      <c r="AH251" s="78"/>
      <c r="AI251" s="78"/>
      <c r="AJ251" s="78"/>
      <c r="AK251" s="78"/>
      <c r="AL251" s="78"/>
      <c r="AM251" s="78"/>
      <c r="AN251" s="78"/>
      <c r="AO251" s="78"/>
      <c r="AP251" s="78"/>
      <c r="AQ251" s="78"/>
      <c r="AR251" s="78"/>
      <c r="AS251" s="78"/>
      <c r="AT251" s="91"/>
      <c r="AU251" s="78"/>
      <c r="AV251" s="78"/>
      <c r="AW251" s="78"/>
      <c r="AX251" s="78"/>
      <c r="AY251" s="78"/>
      <c r="AZ251" s="78"/>
      <c r="BA251" s="78"/>
      <c r="BB251" s="78"/>
      <c r="BC251" s="78"/>
      <c r="BD251" s="78"/>
      <c r="BE251" s="78"/>
      <c r="BF251" s="78"/>
      <c r="BG251" s="78"/>
      <c r="BH251" s="78"/>
      <c r="BI251" s="78"/>
      <c r="BJ251" s="78"/>
      <c r="BK251" s="78"/>
      <c r="BL251" s="78"/>
      <c r="BM251" s="78"/>
      <c r="BN251" s="78"/>
      <c r="BO251" s="78"/>
      <c r="BP251" s="78"/>
      <c r="BQ251" s="78"/>
      <c r="BR251" s="78"/>
      <c r="BS251" s="78"/>
      <c r="BT251" s="78"/>
      <c r="BU251" s="78"/>
      <c r="BV251" s="78"/>
      <c r="BW251" s="78"/>
      <c r="BX251" s="78"/>
      <c r="BY251" s="78"/>
      <c r="BZ251" s="78"/>
      <c r="CA251" s="78"/>
      <c r="CB251" s="78"/>
      <c r="CC251" s="78"/>
      <c r="CD251" s="78"/>
      <c r="CE251" s="78"/>
      <c r="CF251" s="78"/>
      <c r="CG251" s="78"/>
      <c r="CH251" s="78"/>
      <c r="CI251" s="78"/>
      <c r="CJ251" s="78"/>
      <c r="CK251" s="78"/>
      <c r="CL251" s="78"/>
      <c r="CM251" s="78"/>
      <c r="CN251" s="78"/>
      <c r="CO251" s="78"/>
      <c r="CP251" s="78"/>
      <c r="CQ251" s="78"/>
      <c r="CR251" s="78"/>
      <c r="CS251" s="78"/>
      <c r="CT251" s="78"/>
      <c r="CU251" s="78"/>
      <c r="CV251" s="78"/>
      <c r="CW251" s="78"/>
      <c r="CX251" s="78"/>
      <c r="CY251" s="78"/>
      <c r="CZ251" s="78"/>
      <c r="DA251" s="78"/>
      <c r="DB251" s="78"/>
      <c r="DC251" s="78"/>
      <c r="DD251" s="78"/>
      <c r="DE251" s="78"/>
      <c r="DF251" s="78"/>
      <c r="DG251" s="78"/>
      <c r="DH251" s="78"/>
      <c r="DI251" s="78"/>
      <c r="DJ251" s="78"/>
      <c r="DK251" s="78"/>
      <c r="DL251" s="78"/>
      <c r="DM251" s="78"/>
      <c r="DN251" s="78"/>
      <c r="DO251" s="78"/>
      <c r="DP251" s="78"/>
      <c r="DQ251" s="78"/>
      <c r="DR251" s="78"/>
      <c r="DS251" s="78"/>
      <c r="DT251" s="78"/>
      <c r="DU251" s="78"/>
      <c r="DV251" s="78"/>
      <c r="DW251" s="78"/>
      <c r="DX251" s="78"/>
      <c r="DY251" s="78"/>
      <c r="DZ251" s="78"/>
      <c r="EA251" s="78"/>
      <c r="EB251" s="78"/>
      <c r="EC251" s="78"/>
      <c r="ED251" s="78"/>
      <c r="EE251" s="78"/>
      <c r="EF251" s="78"/>
      <c r="EG251" s="78"/>
      <c r="EH251" s="78"/>
      <c r="EI251" s="91"/>
      <c r="EJ251" s="91"/>
      <c r="EK251" s="91"/>
      <c r="EL251" s="91"/>
      <c r="EM251" s="91"/>
      <c r="EN251" s="91"/>
      <c r="EO251" s="91"/>
      <c r="EP251" s="78"/>
      <c r="EQ251" s="78"/>
      <c r="ER251" s="78"/>
      <c r="ES251" s="78"/>
      <c r="ET251" s="78"/>
      <c r="EU251" s="78"/>
      <c r="EV251" s="78"/>
      <c r="EW251" s="78"/>
      <c r="EX251" s="78"/>
      <c r="EY251" s="78"/>
      <c r="EZ251" s="78"/>
      <c r="FA251" s="78"/>
      <c r="FB251" s="78"/>
      <c r="FC251" s="78"/>
      <c r="FD251" s="78"/>
      <c r="FE251" s="78"/>
      <c r="FF251" s="78"/>
      <c r="FG251" s="78"/>
      <c r="FH251" s="78"/>
      <c r="FI251" s="78"/>
      <c r="FJ251" s="78"/>
      <c r="FK251" s="78"/>
    </row>
    <row r="252" spans="1:167" outlineLevel="1">
      <c r="A252" s="29" t="str">
        <f t="shared" si="26"/>
        <v>modesg_inp_emss_vclsscp3_ftr_emss</v>
      </c>
      <c r="B252" s="67" t="s">
        <v>26</v>
      </c>
      <c r="C252" s="68" t="s">
        <v>181</v>
      </c>
      <c r="D252" s="64" t="s">
        <v>40</v>
      </c>
      <c r="E252" s="66" t="s">
        <v>212</v>
      </c>
      <c r="F252" s="64" t="s">
        <v>235</v>
      </c>
      <c r="G252" s="64" t="str">
        <f>INDEX(Auxiliar!$B$16:$B$24,MATCH(Plano_V1!H252,Auxiliar!$C$16:$C$24,0),1)</f>
        <v>1. Concluído</v>
      </c>
      <c r="H252" s="64">
        <f>VLOOKUP(A252,'Aux - pivots1'!$A:$B,2,0)</f>
        <v>1</v>
      </c>
      <c r="I252" s="84">
        <f>SUMIFS(Table1[Estimação (horas)],Table1[Tabela],Plano_V1!E252,Table1[Campo],Plano_V1!F252)</f>
        <v>0.6</v>
      </c>
      <c r="J252" s="84">
        <f t="shared" si="24"/>
        <v>7.4999999999999997E-2</v>
      </c>
      <c r="K252" s="89" t="s">
        <v>39</v>
      </c>
      <c r="L252" s="90">
        <f t="shared" si="25"/>
        <v>7.4999999999999997E-2</v>
      </c>
      <c r="M252" s="78"/>
      <c r="N252" s="78"/>
      <c r="O252" s="78"/>
      <c r="P252" s="78"/>
      <c r="Q252" s="78"/>
      <c r="R252" s="78"/>
      <c r="S252" s="78"/>
      <c r="T252" s="78"/>
      <c r="U252" s="78"/>
      <c r="V252" s="78"/>
      <c r="W252" s="78"/>
      <c r="X252" s="78"/>
      <c r="Y252" s="78"/>
      <c r="Z252" s="78"/>
      <c r="AA252" s="78"/>
      <c r="AB252" s="78"/>
      <c r="AC252" s="78"/>
      <c r="AD252" s="78"/>
      <c r="AE252" s="78"/>
      <c r="AF252" s="78"/>
      <c r="AG252" s="78"/>
      <c r="AH252" s="78"/>
      <c r="AI252" s="78"/>
      <c r="AJ252" s="78"/>
      <c r="AK252" s="78"/>
      <c r="AL252" s="78"/>
      <c r="AM252" s="78"/>
      <c r="AN252" s="78"/>
      <c r="AO252" s="78"/>
      <c r="AP252" s="78"/>
      <c r="AQ252" s="78"/>
      <c r="AR252" s="78"/>
      <c r="AS252" s="78"/>
      <c r="AT252" s="91"/>
      <c r="AU252" s="78"/>
      <c r="AV252" s="78"/>
      <c r="AW252" s="78"/>
      <c r="AX252" s="78"/>
      <c r="AY252" s="78"/>
      <c r="AZ252" s="78"/>
      <c r="BA252" s="78"/>
      <c r="BB252" s="78"/>
      <c r="BC252" s="78"/>
      <c r="BD252" s="78"/>
      <c r="BE252" s="78"/>
      <c r="BF252" s="78"/>
      <c r="BG252" s="78"/>
      <c r="BH252" s="78"/>
      <c r="BI252" s="78"/>
      <c r="BJ252" s="78"/>
      <c r="BK252" s="78"/>
      <c r="BL252" s="78"/>
      <c r="BM252" s="78"/>
      <c r="BN252" s="78"/>
      <c r="BO252" s="78"/>
      <c r="BP252" s="78"/>
      <c r="BQ252" s="78"/>
      <c r="BR252" s="78"/>
      <c r="BS252" s="78"/>
      <c r="BT252" s="78"/>
      <c r="BU252" s="78"/>
      <c r="BV252" s="78"/>
      <c r="BW252" s="78"/>
      <c r="BX252" s="78"/>
      <c r="BY252" s="78"/>
      <c r="BZ252" s="78"/>
      <c r="CA252" s="78"/>
      <c r="CB252" s="78"/>
      <c r="CC252" s="78"/>
      <c r="CD252" s="78"/>
      <c r="CE252" s="78"/>
      <c r="CF252" s="78"/>
      <c r="CG252" s="78"/>
      <c r="CH252" s="78"/>
      <c r="CI252" s="78"/>
      <c r="CJ252" s="78"/>
      <c r="CK252" s="78"/>
      <c r="CL252" s="78"/>
      <c r="CM252" s="78"/>
      <c r="CN252" s="78"/>
      <c r="CO252" s="78"/>
      <c r="CP252" s="78"/>
      <c r="CQ252" s="78"/>
      <c r="CR252" s="78"/>
      <c r="CS252" s="78"/>
      <c r="CT252" s="78"/>
      <c r="CU252" s="78"/>
      <c r="CV252" s="78"/>
      <c r="CW252" s="78"/>
      <c r="CX252" s="78"/>
      <c r="CY252" s="78"/>
      <c r="CZ252" s="78"/>
      <c r="DA252" s="78"/>
      <c r="DB252" s="78"/>
      <c r="DC252" s="78"/>
      <c r="DD252" s="78"/>
      <c r="DE252" s="78"/>
      <c r="DF252" s="78"/>
      <c r="DG252" s="78"/>
      <c r="DH252" s="78"/>
      <c r="DI252" s="78"/>
      <c r="DJ252" s="78"/>
      <c r="DK252" s="78"/>
      <c r="DL252" s="78"/>
      <c r="DM252" s="78"/>
      <c r="DN252" s="78"/>
      <c r="DO252" s="78"/>
      <c r="DP252" s="78"/>
      <c r="DQ252" s="78"/>
      <c r="DR252" s="78"/>
      <c r="DS252" s="78"/>
      <c r="DT252" s="78"/>
      <c r="DU252" s="78"/>
      <c r="DV252" s="78"/>
      <c r="DW252" s="78"/>
      <c r="DX252" s="78"/>
      <c r="DY252" s="78"/>
      <c r="DZ252" s="78"/>
      <c r="EA252" s="78"/>
      <c r="EB252" s="78"/>
      <c r="EC252" s="78"/>
      <c r="ED252" s="78"/>
      <c r="EE252" s="78"/>
      <c r="EF252" s="78"/>
      <c r="EG252" s="78"/>
      <c r="EH252" s="78"/>
      <c r="EI252" s="91"/>
      <c r="EJ252" s="91"/>
      <c r="EK252" s="91"/>
      <c r="EL252" s="91"/>
      <c r="EM252" s="91"/>
      <c r="EN252" s="91"/>
      <c r="EO252" s="91"/>
      <c r="EP252" s="78"/>
      <c r="EQ252" s="78"/>
      <c r="ER252" s="78"/>
      <c r="ES252" s="78"/>
      <c r="ET252" s="78"/>
      <c r="EU252" s="78"/>
      <c r="EV252" s="78"/>
      <c r="EW252" s="78"/>
      <c r="EX252" s="78"/>
      <c r="EY252" s="78"/>
      <c r="EZ252" s="78"/>
      <c r="FA252" s="78"/>
      <c r="FB252" s="78"/>
      <c r="FC252" s="78"/>
      <c r="FD252" s="78"/>
      <c r="FE252" s="78"/>
      <c r="FF252" s="78"/>
      <c r="FG252" s="78"/>
      <c r="FH252" s="78"/>
      <c r="FI252" s="78"/>
      <c r="FJ252" s="78"/>
      <c r="FK252" s="78"/>
    </row>
    <row r="253" spans="1:167" outlineLevel="1">
      <c r="A253" s="29" t="str">
        <f t="shared" si="26"/>
        <v>modesg_inp_km_medios_emss_vclsref_date</v>
      </c>
      <c r="B253" s="67" t="s">
        <v>26</v>
      </c>
      <c r="C253" s="68" t="s">
        <v>181</v>
      </c>
      <c r="D253" s="64" t="s">
        <v>40</v>
      </c>
      <c r="E253" s="66" t="s">
        <v>213</v>
      </c>
      <c r="F253" s="64" t="s">
        <v>208</v>
      </c>
      <c r="G253" s="64" t="str">
        <f>INDEX(Auxiliar!$B$16:$B$24,MATCH(Plano_V1!H253,Auxiliar!$C$16:$C$24,0),1)</f>
        <v>1. Concluído</v>
      </c>
      <c r="H253" s="64">
        <f>VLOOKUP(A253,'Aux - pivots1'!$A:$B,2,0)</f>
        <v>1</v>
      </c>
      <c r="I253" s="84">
        <f>SUMIFS(Table1[Estimação (horas)],Table1[Tabela],Plano_V1!E253,Table1[Campo],Plano_V1!F253)</f>
        <v>0.5</v>
      </c>
      <c r="J253" s="84">
        <f t="shared" si="24"/>
        <v>6.25E-2</v>
      </c>
      <c r="K253" s="89" t="s">
        <v>39</v>
      </c>
      <c r="L253" s="90">
        <f t="shared" si="25"/>
        <v>6.25E-2</v>
      </c>
      <c r="M253" s="78"/>
      <c r="N253" s="78"/>
      <c r="O253" s="78"/>
      <c r="P253" s="78"/>
      <c r="Q253" s="78"/>
      <c r="R253" s="78"/>
      <c r="S253" s="78"/>
      <c r="T253" s="78"/>
      <c r="U253" s="78"/>
      <c r="V253" s="78"/>
      <c r="W253" s="78"/>
      <c r="X253" s="78"/>
      <c r="Y253" s="78"/>
      <c r="Z253" s="78"/>
      <c r="AA253" s="78"/>
      <c r="AB253" s="78"/>
      <c r="AC253" s="78"/>
      <c r="AD253" s="78"/>
      <c r="AE253" s="78"/>
      <c r="AF253" s="78"/>
      <c r="AG253" s="78"/>
      <c r="AH253" s="78"/>
      <c r="AI253" s="78"/>
      <c r="AJ253" s="78"/>
      <c r="AK253" s="78"/>
      <c r="AL253" s="78"/>
      <c r="AM253" s="78"/>
      <c r="AN253" s="78"/>
      <c r="AO253" s="78"/>
      <c r="AP253" s="78"/>
      <c r="AQ253" s="78"/>
      <c r="AR253" s="78"/>
      <c r="AS253" s="78"/>
      <c r="AT253" s="91"/>
      <c r="AU253" s="78"/>
      <c r="AV253" s="78"/>
      <c r="AW253" s="78"/>
      <c r="AX253" s="78"/>
      <c r="AY253" s="78"/>
      <c r="AZ253" s="78"/>
      <c r="BA253" s="78"/>
      <c r="BB253" s="78"/>
      <c r="BC253" s="78"/>
      <c r="BD253" s="78"/>
      <c r="BE253" s="78"/>
      <c r="BF253" s="78"/>
      <c r="BG253" s="78"/>
      <c r="BH253" s="78"/>
      <c r="BI253" s="78"/>
      <c r="BJ253" s="78"/>
      <c r="BK253" s="78"/>
      <c r="BL253" s="78"/>
      <c r="BM253" s="78"/>
      <c r="BN253" s="78"/>
      <c r="BO253" s="78"/>
      <c r="BP253" s="78"/>
      <c r="BQ253" s="78"/>
      <c r="BR253" s="78"/>
      <c r="BS253" s="78"/>
      <c r="BT253" s="78"/>
      <c r="BU253" s="78"/>
      <c r="BV253" s="78"/>
      <c r="BW253" s="78"/>
      <c r="BX253" s="78"/>
      <c r="BY253" s="78"/>
      <c r="BZ253" s="78"/>
      <c r="CA253" s="78"/>
      <c r="CB253" s="78"/>
      <c r="CC253" s="78"/>
      <c r="CD253" s="78"/>
      <c r="CE253" s="78"/>
      <c r="CF253" s="78"/>
      <c r="CG253" s="78"/>
      <c r="CH253" s="78"/>
      <c r="CI253" s="78"/>
      <c r="CJ253" s="78"/>
      <c r="CK253" s="78"/>
      <c r="CL253" s="78"/>
      <c r="CM253" s="78"/>
      <c r="CN253" s="78"/>
      <c r="CO253" s="78"/>
      <c r="CP253" s="78"/>
      <c r="CQ253" s="78"/>
      <c r="CR253" s="78"/>
      <c r="CS253" s="78"/>
      <c r="CT253" s="78"/>
      <c r="CU253" s="78"/>
      <c r="CV253" s="78"/>
      <c r="CW253" s="78"/>
      <c r="CX253" s="78"/>
      <c r="CY253" s="78"/>
      <c r="CZ253" s="78"/>
      <c r="DA253" s="78"/>
      <c r="DB253" s="78"/>
      <c r="DC253" s="78"/>
      <c r="DD253" s="78"/>
      <c r="DE253" s="78"/>
      <c r="DF253" s="78"/>
      <c r="DG253" s="78"/>
      <c r="DH253" s="78"/>
      <c r="DI253" s="78"/>
      <c r="DJ253" s="78"/>
      <c r="DK253" s="78"/>
      <c r="DL253" s="78"/>
      <c r="DM253" s="78"/>
      <c r="DN253" s="78"/>
      <c r="DO253" s="78"/>
      <c r="DP253" s="78"/>
      <c r="DQ253" s="78"/>
      <c r="DR253" s="78"/>
      <c r="DS253" s="78"/>
      <c r="DT253" s="78"/>
      <c r="DU253" s="78"/>
      <c r="DV253" s="78"/>
      <c r="DW253" s="78"/>
      <c r="DX253" s="78"/>
      <c r="DY253" s="78"/>
      <c r="DZ253" s="78"/>
      <c r="EA253" s="78"/>
      <c r="EB253" s="78"/>
      <c r="EC253" s="78"/>
      <c r="ED253" s="78"/>
      <c r="EE253" s="78"/>
      <c r="EF253" s="78"/>
      <c r="EG253" s="78"/>
      <c r="EH253" s="78"/>
      <c r="EI253" s="91"/>
      <c r="EJ253" s="91"/>
      <c r="EK253" s="91"/>
      <c r="EL253" s="91"/>
      <c r="EM253" s="91"/>
      <c r="EN253" s="91"/>
      <c r="EO253" s="91"/>
      <c r="EP253" s="78"/>
      <c r="EQ253" s="78"/>
      <c r="ER253" s="78"/>
      <c r="ES253" s="78"/>
      <c r="ET253" s="78"/>
      <c r="EU253" s="78"/>
      <c r="EV253" s="78"/>
      <c r="EW253" s="78"/>
      <c r="EX253" s="78"/>
      <c r="EY253" s="78"/>
      <c r="EZ253" s="78"/>
      <c r="FA253" s="78"/>
      <c r="FB253" s="78"/>
      <c r="FC253" s="78"/>
      <c r="FD253" s="78"/>
      <c r="FE253" s="78"/>
      <c r="FF253" s="78"/>
      <c r="FG253" s="78"/>
      <c r="FH253" s="78"/>
      <c r="FI253" s="78"/>
      <c r="FJ253" s="78"/>
      <c r="FK253" s="78"/>
    </row>
    <row r="254" spans="1:167" outlineLevel="1">
      <c r="A254" s="29" t="str">
        <f t="shared" si="26"/>
        <v>modesg_inp_km_medios_emss_vclsnome_pais</v>
      </c>
      <c r="B254" s="67" t="s">
        <v>26</v>
      </c>
      <c r="C254" s="68" t="s">
        <v>181</v>
      </c>
      <c r="D254" s="64" t="s">
        <v>40</v>
      </c>
      <c r="E254" s="66" t="s">
        <v>213</v>
      </c>
      <c r="F254" s="64" t="s">
        <v>221</v>
      </c>
      <c r="G254" s="64" t="str">
        <f>INDEX(Auxiliar!$B$16:$B$24,MATCH(Plano_V1!H254,Auxiliar!$C$16:$C$24,0),1)</f>
        <v>1. Concluído</v>
      </c>
      <c r="H254" s="64">
        <f>VLOOKUP(A254,'Aux - pivots1'!$A:$B,2,0)</f>
        <v>1</v>
      </c>
      <c r="I254" s="84">
        <f>SUMIFS(Table1[Estimação (horas)],Table1[Tabela],Plano_V1!E254,Table1[Campo],Plano_V1!F254)</f>
        <v>0.6</v>
      </c>
      <c r="J254" s="84">
        <f t="shared" si="24"/>
        <v>7.4999999999999997E-2</v>
      </c>
      <c r="K254" s="89" t="s">
        <v>39</v>
      </c>
      <c r="L254" s="90">
        <f t="shared" si="25"/>
        <v>7.4999999999999997E-2</v>
      </c>
      <c r="M254" s="78"/>
      <c r="N254" s="78"/>
      <c r="O254" s="78"/>
      <c r="P254" s="78"/>
      <c r="Q254" s="78"/>
      <c r="R254" s="78"/>
      <c r="S254" s="78"/>
      <c r="T254" s="78"/>
      <c r="U254" s="78"/>
      <c r="V254" s="78"/>
      <c r="W254" s="78"/>
      <c r="X254" s="78"/>
      <c r="Y254" s="78"/>
      <c r="Z254" s="78"/>
      <c r="AA254" s="78"/>
      <c r="AB254" s="78"/>
      <c r="AC254" s="78"/>
      <c r="AD254" s="78"/>
      <c r="AE254" s="78"/>
      <c r="AF254" s="78"/>
      <c r="AG254" s="78"/>
      <c r="AH254" s="78"/>
      <c r="AI254" s="78"/>
      <c r="AJ254" s="78"/>
      <c r="AK254" s="78"/>
      <c r="AL254" s="78"/>
      <c r="AM254" s="78"/>
      <c r="AN254" s="78"/>
      <c r="AO254" s="78"/>
      <c r="AP254" s="78"/>
      <c r="AQ254" s="78"/>
      <c r="AR254" s="78"/>
      <c r="AS254" s="78"/>
      <c r="AT254" s="91"/>
      <c r="AU254" s="78"/>
      <c r="AV254" s="78"/>
      <c r="AW254" s="78"/>
      <c r="AX254" s="78"/>
      <c r="AY254" s="78"/>
      <c r="AZ254" s="78"/>
      <c r="BA254" s="78"/>
      <c r="BB254" s="78"/>
      <c r="BC254" s="78"/>
      <c r="BD254" s="78"/>
      <c r="BE254" s="78"/>
      <c r="BF254" s="78"/>
      <c r="BG254" s="78"/>
      <c r="BH254" s="78"/>
      <c r="BI254" s="78"/>
      <c r="BJ254" s="78"/>
      <c r="BK254" s="78"/>
      <c r="BL254" s="78"/>
      <c r="BM254" s="78"/>
      <c r="BN254" s="78"/>
      <c r="BO254" s="78"/>
      <c r="BP254" s="78"/>
      <c r="BQ254" s="78"/>
      <c r="BR254" s="78"/>
      <c r="BS254" s="78"/>
      <c r="BT254" s="78"/>
      <c r="BU254" s="78"/>
      <c r="BV254" s="78"/>
      <c r="BW254" s="78"/>
      <c r="BX254" s="78"/>
      <c r="BY254" s="78"/>
      <c r="BZ254" s="78"/>
      <c r="CA254" s="78"/>
      <c r="CB254" s="78"/>
      <c r="CC254" s="78"/>
      <c r="CD254" s="78"/>
      <c r="CE254" s="78"/>
      <c r="CF254" s="78"/>
      <c r="CG254" s="78"/>
      <c r="CH254" s="78"/>
      <c r="CI254" s="78"/>
      <c r="CJ254" s="78"/>
      <c r="CK254" s="78"/>
      <c r="CL254" s="78"/>
      <c r="CM254" s="78"/>
      <c r="CN254" s="78"/>
      <c r="CO254" s="78"/>
      <c r="CP254" s="78"/>
      <c r="CQ254" s="78"/>
      <c r="CR254" s="78"/>
      <c r="CS254" s="78"/>
      <c r="CT254" s="78"/>
      <c r="CU254" s="78"/>
      <c r="CV254" s="78"/>
      <c r="CW254" s="78"/>
      <c r="CX254" s="78"/>
      <c r="CY254" s="78"/>
      <c r="CZ254" s="78"/>
      <c r="DA254" s="78"/>
      <c r="DB254" s="78"/>
      <c r="DC254" s="78"/>
      <c r="DD254" s="78"/>
      <c r="DE254" s="78"/>
      <c r="DF254" s="78"/>
      <c r="DG254" s="78"/>
      <c r="DH254" s="78"/>
      <c r="DI254" s="78"/>
      <c r="DJ254" s="78"/>
      <c r="DK254" s="78"/>
      <c r="DL254" s="78"/>
      <c r="DM254" s="78"/>
      <c r="DN254" s="78"/>
      <c r="DO254" s="78"/>
      <c r="DP254" s="78"/>
      <c r="DQ254" s="78"/>
      <c r="DR254" s="78"/>
      <c r="DS254" s="78"/>
      <c r="DT254" s="78"/>
      <c r="DU254" s="78"/>
      <c r="DV254" s="78"/>
      <c r="DW254" s="78"/>
      <c r="DX254" s="78"/>
      <c r="DY254" s="78"/>
      <c r="DZ254" s="78"/>
      <c r="EA254" s="78"/>
      <c r="EB254" s="78"/>
      <c r="EC254" s="78"/>
      <c r="ED254" s="78"/>
      <c r="EE254" s="78"/>
      <c r="EF254" s="78"/>
      <c r="EG254" s="78"/>
      <c r="EH254" s="78"/>
      <c r="EI254" s="91"/>
      <c r="EJ254" s="91"/>
      <c r="EK254" s="91"/>
      <c r="EL254" s="91"/>
      <c r="EM254" s="91"/>
      <c r="EN254" s="91"/>
      <c r="EO254" s="91"/>
      <c r="EP254" s="78"/>
      <c r="EQ254" s="78"/>
      <c r="ER254" s="78"/>
      <c r="ES254" s="78"/>
      <c r="ET254" s="78"/>
      <c r="EU254" s="78"/>
      <c r="EV254" s="78"/>
      <c r="EW254" s="78"/>
      <c r="EX254" s="78"/>
      <c r="EY254" s="78"/>
      <c r="EZ254" s="78"/>
      <c r="FA254" s="78"/>
      <c r="FB254" s="78"/>
      <c r="FC254" s="78"/>
      <c r="FD254" s="78"/>
      <c r="FE254" s="78"/>
      <c r="FF254" s="78"/>
      <c r="FG254" s="78"/>
      <c r="FH254" s="78"/>
      <c r="FI254" s="78"/>
      <c r="FJ254" s="78"/>
      <c r="FK254" s="78"/>
    </row>
    <row r="255" spans="1:167" outlineLevel="1">
      <c r="A255" s="29" t="str">
        <f t="shared" si="26"/>
        <v>modesg_inp_km_medios_emss_vclstipo_vcl</v>
      </c>
      <c r="B255" s="67" t="s">
        <v>26</v>
      </c>
      <c r="C255" s="68" t="s">
        <v>181</v>
      </c>
      <c r="D255" s="64" t="s">
        <v>40</v>
      </c>
      <c r="E255" s="66" t="s">
        <v>213</v>
      </c>
      <c r="F255" s="64" t="s">
        <v>236</v>
      </c>
      <c r="G255" s="64" t="str">
        <f>INDEX(Auxiliar!$B$16:$B$24,MATCH(Plano_V1!H255,Auxiliar!$C$16:$C$24,0),1)</f>
        <v>1. Concluído</v>
      </c>
      <c r="H255" s="64">
        <f>VLOOKUP(A255,'Aux - pivots1'!$A:$B,2,0)</f>
        <v>1</v>
      </c>
      <c r="I255" s="84">
        <f>SUMIFS(Table1[Estimação (horas)],Table1[Tabela],Plano_V1!E255,Table1[Campo],Plano_V1!F255)</f>
        <v>0.6</v>
      </c>
      <c r="J255" s="84">
        <f t="shared" si="24"/>
        <v>7.4999999999999997E-2</v>
      </c>
      <c r="K255" s="89" t="s">
        <v>39</v>
      </c>
      <c r="L255" s="90">
        <f t="shared" si="25"/>
        <v>7.4999999999999997E-2</v>
      </c>
      <c r="M255" s="78"/>
      <c r="N255" s="78"/>
      <c r="O255" s="78"/>
      <c r="P255" s="78"/>
      <c r="Q255" s="78"/>
      <c r="R255" s="78"/>
      <c r="S255" s="78"/>
      <c r="T255" s="78"/>
      <c r="U255" s="78"/>
      <c r="V255" s="78"/>
      <c r="W255" s="78"/>
      <c r="X255" s="78"/>
      <c r="Y255" s="78"/>
      <c r="Z255" s="78"/>
      <c r="AA255" s="78"/>
      <c r="AB255" s="78"/>
      <c r="AC255" s="78"/>
      <c r="AD255" s="78"/>
      <c r="AE255" s="78"/>
      <c r="AF255" s="78"/>
      <c r="AG255" s="78"/>
      <c r="AH255" s="78"/>
      <c r="AI255" s="78"/>
      <c r="AJ255" s="78"/>
      <c r="AK255" s="78"/>
      <c r="AL255" s="78"/>
      <c r="AM255" s="78"/>
      <c r="AN255" s="78"/>
      <c r="AO255" s="78"/>
      <c r="AP255" s="78"/>
      <c r="AQ255" s="78"/>
      <c r="AR255" s="78"/>
      <c r="AS255" s="78"/>
      <c r="AT255" s="91"/>
      <c r="AU255" s="78"/>
      <c r="AV255" s="78"/>
      <c r="AW255" s="78"/>
      <c r="AX255" s="78"/>
      <c r="AY255" s="78"/>
      <c r="AZ255" s="78"/>
      <c r="BA255" s="78"/>
      <c r="BB255" s="78"/>
      <c r="BC255" s="78"/>
      <c r="BD255" s="78"/>
      <c r="BE255" s="78"/>
      <c r="BF255" s="78"/>
      <c r="BG255" s="78"/>
      <c r="BH255" s="78"/>
      <c r="BI255" s="78"/>
      <c r="BJ255" s="78"/>
      <c r="BK255" s="78"/>
      <c r="BL255" s="78"/>
      <c r="BM255" s="78"/>
      <c r="BN255" s="78"/>
      <c r="BO255" s="78"/>
      <c r="BP255" s="78"/>
      <c r="BQ255" s="78"/>
      <c r="BR255" s="78"/>
      <c r="BS255" s="78"/>
      <c r="BT255" s="78"/>
      <c r="BU255" s="78"/>
      <c r="BV255" s="78"/>
      <c r="BW255" s="78"/>
      <c r="BX255" s="78"/>
      <c r="BY255" s="78"/>
      <c r="BZ255" s="78"/>
      <c r="CA255" s="78"/>
      <c r="CB255" s="78"/>
      <c r="CC255" s="78"/>
      <c r="CD255" s="78"/>
      <c r="CE255" s="78"/>
      <c r="CF255" s="78"/>
      <c r="CG255" s="78"/>
      <c r="CH255" s="78"/>
      <c r="CI255" s="78"/>
      <c r="CJ255" s="78"/>
      <c r="CK255" s="78"/>
      <c r="CL255" s="78"/>
      <c r="CM255" s="78"/>
      <c r="CN255" s="78"/>
      <c r="CO255" s="78"/>
      <c r="CP255" s="78"/>
      <c r="CQ255" s="78"/>
      <c r="CR255" s="78"/>
      <c r="CS255" s="78"/>
      <c r="CT255" s="78"/>
      <c r="CU255" s="78"/>
      <c r="CV255" s="78"/>
      <c r="CW255" s="78"/>
      <c r="CX255" s="78"/>
      <c r="CY255" s="78"/>
      <c r="CZ255" s="78"/>
      <c r="DA255" s="78"/>
      <c r="DB255" s="78"/>
      <c r="DC255" s="78"/>
      <c r="DD255" s="78"/>
      <c r="DE255" s="78"/>
      <c r="DF255" s="78"/>
      <c r="DG255" s="78"/>
      <c r="DH255" s="78"/>
      <c r="DI255" s="78"/>
      <c r="DJ255" s="78"/>
      <c r="DK255" s="78"/>
      <c r="DL255" s="78"/>
      <c r="DM255" s="78"/>
      <c r="DN255" s="78"/>
      <c r="DO255" s="78"/>
      <c r="DP255" s="78"/>
      <c r="DQ255" s="78"/>
      <c r="DR255" s="78"/>
      <c r="DS255" s="78"/>
      <c r="DT255" s="78"/>
      <c r="DU255" s="78"/>
      <c r="DV255" s="78"/>
      <c r="DW255" s="78"/>
      <c r="DX255" s="78"/>
      <c r="DY255" s="78"/>
      <c r="DZ255" s="78"/>
      <c r="EA255" s="78"/>
      <c r="EB255" s="78"/>
      <c r="EC255" s="78"/>
      <c r="ED255" s="78"/>
      <c r="EE255" s="78"/>
      <c r="EF255" s="78"/>
      <c r="EG255" s="78"/>
      <c r="EH255" s="78"/>
      <c r="EI255" s="91"/>
      <c r="EJ255" s="91"/>
      <c r="EK255" s="91"/>
      <c r="EL255" s="91"/>
      <c r="EM255" s="91"/>
      <c r="EN255" s="91"/>
      <c r="EO255" s="91"/>
      <c r="EP255" s="78"/>
      <c r="EQ255" s="78"/>
      <c r="ER255" s="78"/>
      <c r="ES255" s="78"/>
      <c r="ET255" s="78"/>
      <c r="EU255" s="78"/>
      <c r="EV255" s="78"/>
      <c r="EW255" s="78"/>
      <c r="EX255" s="78"/>
      <c r="EY255" s="78"/>
      <c r="EZ255" s="78"/>
      <c r="FA255" s="78"/>
      <c r="FB255" s="78"/>
      <c r="FC255" s="78"/>
      <c r="FD255" s="78"/>
      <c r="FE255" s="78"/>
      <c r="FF255" s="78"/>
      <c r="FG255" s="78"/>
      <c r="FH255" s="78"/>
      <c r="FI255" s="78"/>
      <c r="FJ255" s="78"/>
      <c r="FK255" s="78"/>
    </row>
    <row r="256" spans="1:167" outlineLevel="1">
      <c r="A256" s="29" t="str">
        <f t="shared" si="26"/>
        <v>modesg_inp_km_medios_emss_vclstipo_motor</v>
      </c>
      <c r="B256" s="67" t="s">
        <v>26</v>
      </c>
      <c r="C256" s="68" t="s">
        <v>181</v>
      </c>
      <c r="D256" s="64" t="s">
        <v>40</v>
      </c>
      <c r="E256" s="66" t="s">
        <v>213</v>
      </c>
      <c r="F256" s="64" t="s">
        <v>224</v>
      </c>
      <c r="G256" s="64" t="str">
        <f>INDEX(Auxiliar!$B$16:$B$24,MATCH(Plano_V1!H256,Auxiliar!$C$16:$C$24,0),1)</f>
        <v>1. Concluído</v>
      </c>
      <c r="H256" s="64">
        <f>VLOOKUP(A256,'Aux - pivots1'!$A:$B,2,0)</f>
        <v>1</v>
      </c>
      <c r="I256" s="84">
        <f>SUMIFS(Table1[Estimação (horas)],Table1[Tabela],Plano_V1!E256,Table1[Campo],Plano_V1!F256)</f>
        <v>0.6</v>
      </c>
      <c r="J256" s="84">
        <f t="shared" si="24"/>
        <v>7.4999999999999997E-2</v>
      </c>
      <c r="K256" s="89" t="s">
        <v>39</v>
      </c>
      <c r="L256" s="90">
        <f t="shared" si="25"/>
        <v>7.4999999999999997E-2</v>
      </c>
      <c r="M256" s="78"/>
      <c r="N256" s="78"/>
      <c r="O256" s="78"/>
      <c r="P256" s="78"/>
      <c r="Q256" s="78"/>
      <c r="R256" s="78"/>
      <c r="S256" s="78"/>
      <c r="T256" s="78"/>
      <c r="U256" s="78"/>
      <c r="V256" s="78"/>
      <c r="W256" s="78"/>
      <c r="X256" s="78"/>
      <c r="Y256" s="78"/>
      <c r="Z256" s="78"/>
      <c r="AA256" s="78"/>
      <c r="AB256" s="78"/>
      <c r="AC256" s="78"/>
      <c r="AD256" s="78"/>
      <c r="AE256" s="78"/>
      <c r="AF256" s="78"/>
      <c r="AG256" s="78"/>
      <c r="AH256" s="78"/>
      <c r="AI256" s="78"/>
      <c r="AJ256" s="78"/>
      <c r="AK256" s="78"/>
      <c r="AL256" s="78"/>
      <c r="AM256" s="78"/>
      <c r="AN256" s="78"/>
      <c r="AO256" s="78"/>
      <c r="AP256" s="78"/>
      <c r="AQ256" s="78"/>
      <c r="AR256" s="78"/>
      <c r="AS256" s="78"/>
      <c r="AT256" s="91"/>
      <c r="AU256" s="78"/>
      <c r="AV256" s="78"/>
      <c r="AW256" s="78"/>
      <c r="AX256" s="78"/>
      <c r="AY256" s="78"/>
      <c r="AZ256" s="78"/>
      <c r="BA256" s="78"/>
      <c r="BB256" s="78"/>
      <c r="BC256" s="78"/>
      <c r="BD256" s="78"/>
      <c r="BE256" s="78"/>
      <c r="BF256" s="78"/>
      <c r="BG256" s="78"/>
      <c r="BH256" s="78"/>
      <c r="BI256" s="78"/>
      <c r="BJ256" s="78"/>
      <c r="BK256" s="78"/>
      <c r="BL256" s="78"/>
      <c r="BM256" s="78"/>
      <c r="BN256" s="78"/>
      <c r="BO256" s="78"/>
      <c r="BP256" s="78"/>
      <c r="BQ256" s="78"/>
      <c r="BR256" s="78"/>
      <c r="BS256" s="78"/>
      <c r="BT256" s="78"/>
      <c r="BU256" s="78"/>
      <c r="BV256" s="78"/>
      <c r="BW256" s="78"/>
      <c r="BX256" s="78"/>
      <c r="BY256" s="78"/>
      <c r="BZ256" s="78"/>
      <c r="CA256" s="78"/>
      <c r="CB256" s="78"/>
      <c r="CC256" s="78"/>
      <c r="CD256" s="78"/>
      <c r="CE256" s="78"/>
      <c r="CF256" s="78"/>
      <c r="CG256" s="78"/>
      <c r="CH256" s="78"/>
      <c r="CI256" s="78"/>
      <c r="CJ256" s="78"/>
      <c r="CK256" s="78"/>
      <c r="CL256" s="78"/>
      <c r="CM256" s="78"/>
      <c r="CN256" s="78"/>
      <c r="CO256" s="78"/>
      <c r="CP256" s="78"/>
      <c r="CQ256" s="78"/>
      <c r="CR256" s="78"/>
      <c r="CS256" s="78"/>
      <c r="CT256" s="78"/>
      <c r="CU256" s="78"/>
      <c r="CV256" s="78"/>
      <c r="CW256" s="78"/>
      <c r="CX256" s="78"/>
      <c r="CY256" s="78"/>
      <c r="CZ256" s="78"/>
      <c r="DA256" s="78"/>
      <c r="DB256" s="78"/>
      <c r="DC256" s="78"/>
      <c r="DD256" s="78"/>
      <c r="DE256" s="78"/>
      <c r="DF256" s="78"/>
      <c r="DG256" s="78"/>
      <c r="DH256" s="78"/>
      <c r="DI256" s="78"/>
      <c r="DJ256" s="78"/>
      <c r="DK256" s="78"/>
      <c r="DL256" s="78"/>
      <c r="DM256" s="78"/>
      <c r="DN256" s="78"/>
      <c r="DO256" s="78"/>
      <c r="DP256" s="78"/>
      <c r="DQ256" s="78"/>
      <c r="DR256" s="78"/>
      <c r="DS256" s="78"/>
      <c r="DT256" s="78"/>
      <c r="DU256" s="78"/>
      <c r="DV256" s="78"/>
      <c r="DW256" s="78"/>
      <c r="DX256" s="78"/>
      <c r="DY256" s="78"/>
      <c r="DZ256" s="78"/>
      <c r="EA256" s="78"/>
      <c r="EB256" s="78"/>
      <c r="EC256" s="78"/>
      <c r="ED256" s="78"/>
      <c r="EE256" s="78"/>
      <c r="EF256" s="78"/>
      <c r="EG256" s="78"/>
      <c r="EH256" s="78"/>
      <c r="EI256" s="91"/>
      <c r="EJ256" s="91"/>
      <c r="EK256" s="91"/>
      <c r="EL256" s="91"/>
      <c r="EM256" s="91"/>
      <c r="EN256" s="91"/>
      <c r="EO256" s="91"/>
      <c r="EP256" s="78"/>
      <c r="EQ256" s="78"/>
      <c r="ER256" s="78"/>
      <c r="ES256" s="78"/>
      <c r="ET256" s="78"/>
      <c r="EU256" s="78"/>
      <c r="EV256" s="78"/>
      <c r="EW256" s="78"/>
      <c r="EX256" s="78"/>
      <c r="EY256" s="78"/>
      <c r="EZ256" s="78"/>
      <c r="FA256" s="78"/>
      <c r="FB256" s="78"/>
      <c r="FC256" s="78"/>
      <c r="FD256" s="78"/>
      <c r="FE256" s="78"/>
      <c r="FF256" s="78"/>
      <c r="FG256" s="78"/>
      <c r="FH256" s="78"/>
      <c r="FI256" s="78"/>
      <c r="FJ256" s="78"/>
      <c r="FK256" s="78"/>
    </row>
    <row r="257" spans="1:167" outlineLevel="1">
      <c r="A257" s="29" t="str">
        <f t="shared" si="26"/>
        <v>modesg_inp_km_medios_emss_vclsdata_level_5</v>
      </c>
      <c r="B257" s="67" t="s">
        <v>26</v>
      </c>
      <c r="C257" s="68" t="s">
        <v>181</v>
      </c>
      <c r="D257" s="64" t="s">
        <v>40</v>
      </c>
      <c r="E257" s="66" t="s">
        <v>213</v>
      </c>
      <c r="F257" s="64" t="s">
        <v>563</v>
      </c>
      <c r="G257" s="64" t="e">
        <f>INDEX(Auxiliar!$B$16:$B$24,MATCH(Plano_V1!H257,Auxiliar!$C$16:$C$24,0),1)</f>
        <v>#N/A</v>
      </c>
      <c r="H257" s="64" t="e">
        <f>VLOOKUP(A257,'Aux - pivots1'!$A:$B,2,0)</f>
        <v>#N/A</v>
      </c>
      <c r="I257" s="84">
        <f>SUMIFS(Table1[Estimação (horas)],Table1[Tabela],Plano_V1!E257,Table1[Campo],Plano_V1!F257)</f>
        <v>0</v>
      </c>
      <c r="J257" s="84">
        <f t="shared" si="24"/>
        <v>0</v>
      </c>
      <c r="K257" s="89" t="s">
        <v>39</v>
      </c>
      <c r="L257" s="90">
        <f t="shared" si="25"/>
        <v>0</v>
      </c>
      <c r="M257" s="78"/>
      <c r="N257" s="78"/>
      <c r="O257" s="78"/>
      <c r="P257" s="78"/>
      <c r="Q257" s="78"/>
      <c r="R257" s="78"/>
      <c r="S257" s="78"/>
      <c r="T257" s="78"/>
      <c r="U257" s="78"/>
      <c r="V257" s="78"/>
      <c r="W257" s="78"/>
      <c r="X257" s="78"/>
      <c r="Y257" s="78"/>
      <c r="Z257" s="78"/>
      <c r="AA257" s="78"/>
      <c r="AB257" s="78"/>
      <c r="AC257" s="78"/>
      <c r="AD257" s="78"/>
      <c r="AE257" s="78"/>
      <c r="AF257" s="78"/>
      <c r="AG257" s="78"/>
      <c r="AH257" s="78"/>
      <c r="AI257" s="78"/>
      <c r="AJ257" s="78"/>
      <c r="AK257" s="78"/>
      <c r="AL257" s="78"/>
      <c r="AM257" s="78"/>
      <c r="AN257" s="78"/>
      <c r="AO257" s="78"/>
      <c r="AP257" s="78"/>
      <c r="AQ257" s="78"/>
      <c r="AR257" s="78"/>
      <c r="AS257" s="78"/>
      <c r="AT257" s="91"/>
      <c r="AU257" s="78"/>
      <c r="AV257" s="78"/>
      <c r="AW257" s="78"/>
      <c r="AX257" s="78"/>
      <c r="AY257" s="78"/>
      <c r="AZ257" s="78"/>
      <c r="BA257" s="78"/>
      <c r="BB257" s="78"/>
      <c r="BC257" s="78"/>
      <c r="BD257" s="78"/>
      <c r="BE257" s="78"/>
      <c r="BF257" s="78"/>
      <c r="BG257" s="78"/>
      <c r="BH257" s="78"/>
      <c r="BI257" s="78"/>
      <c r="BJ257" s="78"/>
      <c r="BK257" s="78"/>
      <c r="BL257" s="78"/>
      <c r="BM257" s="78"/>
      <c r="BN257" s="78"/>
      <c r="BO257" s="78"/>
      <c r="BP257" s="78"/>
      <c r="BQ257" s="78"/>
      <c r="BR257" s="78"/>
      <c r="BS257" s="78"/>
      <c r="BT257" s="78"/>
      <c r="BU257" s="78"/>
      <c r="BV257" s="78"/>
      <c r="BW257" s="78"/>
      <c r="BX257" s="78"/>
      <c r="BY257" s="78"/>
      <c r="BZ257" s="78"/>
      <c r="CA257" s="78"/>
      <c r="CB257" s="78"/>
      <c r="CC257" s="78"/>
      <c r="CD257" s="78"/>
      <c r="CE257" s="78"/>
      <c r="CF257" s="78"/>
      <c r="CG257" s="78"/>
      <c r="CH257" s="78"/>
      <c r="CI257" s="78"/>
      <c r="CJ257" s="78"/>
      <c r="CK257" s="78"/>
      <c r="CL257" s="78"/>
      <c r="CM257" s="78"/>
      <c r="CN257" s="78"/>
      <c r="CO257" s="78"/>
      <c r="CP257" s="78"/>
      <c r="CQ257" s="78"/>
      <c r="CR257" s="78"/>
      <c r="CS257" s="78"/>
      <c r="CT257" s="78"/>
      <c r="CU257" s="78"/>
      <c r="CV257" s="78"/>
      <c r="CW257" s="78"/>
      <c r="CX257" s="78"/>
      <c r="CY257" s="78"/>
      <c r="CZ257" s="78"/>
      <c r="DA257" s="78"/>
      <c r="DB257" s="78"/>
      <c r="DC257" s="78"/>
      <c r="DD257" s="78"/>
      <c r="DE257" s="78"/>
      <c r="DF257" s="78"/>
      <c r="DG257" s="78"/>
      <c r="DH257" s="78"/>
      <c r="DI257" s="78"/>
      <c r="DJ257" s="78"/>
      <c r="DK257" s="78"/>
      <c r="DL257" s="78"/>
      <c r="DM257" s="78"/>
      <c r="DN257" s="78"/>
      <c r="DO257" s="78"/>
      <c r="DP257" s="78"/>
      <c r="DQ257" s="78"/>
      <c r="DR257" s="78"/>
      <c r="DS257" s="78"/>
      <c r="DT257" s="78"/>
      <c r="DU257" s="78"/>
      <c r="DV257" s="78"/>
      <c r="DW257" s="78"/>
      <c r="DX257" s="78"/>
      <c r="DY257" s="78"/>
      <c r="DZ257" s="78"/>
      <c r="EA257" s="78"/>
      <c r="EB257" s="78"/>
      <c r="EC257" s="78"/>
      <c r="ED257" s="78"/>
      <c r="EE257" s="78"/>
      <c r="EF257" s="78"/>
      <c r="EG257" s="78"/>
      <c r="EH257" s="78"/>
      <c r="EI257" s="91"/>
      <c r="EJ257" s="91"/>
      <c r="EK257" s="91"/>
      <c r="EL257" s="91"/>
      <c r="EM257" s="91"/>
      <c r="EN257" s="91"/>
      <c r="EO257" s="91"/>
      <c r="EP257" s="78"/>
      <c r="EQ257" s="78"/>
      <c r="ER257" s="78"/>
      <c r="ES257" s="78"/>
      <c r="ET257" s="78"/>
      <c r="EU257" s="78"/>
      <c r="EV257" s="78"/>
      <c r="EW257" s="78"/>
      <c r="EX257" s="78"/>
      <c r="EY257" s="78"/>
      <c r="EZ257" s="78"/>
      <c r="FA257" s="78"/>
      <c r="FB257" s="78"/>
      <c r="FC257" s="78"/>
      <c r="FD257" s="78"/>
      <c r="FE257" s="78"/>
      <c r="FF257" s="78"/>
      <c r="FG257" s="78"/>
      <c r="FH257" s="78"/>
      <c r="FI257" s="78"/>
      <c r="FJ257" s="78"/>
      <c r="FK257" s="78"/>
    </row>
    <row r="258" spans="1:167" outlineLevel="1">
      <c r="A258" s="29" t="str">
        <f t="shared" si="26"/>
        <v>modesg_inp_km_medios_emss_vclsmedia_km</v>
      </c>
      <c r="B258" s="67" t="s">
        <v>26</v>
      </c>
      <c r="C258" s="68" t="s">
        <v>181</v>
      </c>
      <c r="D258" s="64" t="s">
        <v>40</v>
      </c>
      <c r="E258" s="66" t="s">
        <v>213</v>
      </c>
      <c r="F258" s="64" t="s">
        <v>237</v>
      </c>
      <c r="G258" s="64" t="str">
        <f>INDEX(Auxiliar!$B$16:$B$24,MATCH(Plano_V1!H258,Auxiliar!$C$16:$C$24,0),1)</f>
        <v>1. Concluído</v>
      </c>
      <c r="H258" s="64">
        <f>VLOOKUP(A258,'Aux - pivots1'!$A:$B,2,0)</f>
        <v>1</v>
      </c>
      <c r="I258" s="84">
        <f>SUMIFS(Table1[Estimação (horas)],Table1[Tabela],Plano_V1!E258,Table1[Campo],Plano_V1!F258)</f>
        <v>0.6</v>
      </c>
      <c r="J258" s="84">
        <f t="shared" si="24"/>
        <v>7.4999999999999997E-2</v>
      </c>
      <c r="K258" s="89" t="s">
        <v>39</v>
      </c>
      <c r="L258" s="90">
        <f t="shared" si="25"/>
        <v>7.4999999999999997E-2</v>
      </c>
      <c r="M258" s="78"/>
      <c r="N258" s="78"/>
      <c r="O258" s="78"/>
      <c r="P258" s="78"/>
      <c r="Q258" s="78"/>
      <c r="R258" s="78"/>
      <c r="S258" s="78"/>
      <c r="T258" s="78"/>
      <c r="U258" s="78"/>
      <c r="V258" s="78"/>
      <c r="W258" s="78"/>
      <c r="X258" s="78"/>
      <c r="Y258" s="78"/>
      <c r="Z258" s="78"/>
      <c r="AA258" s="78"/>
      <c r="AB258" s="78"/>
      <c r="AC258" s="78"/>
      <c r="AD258" s="78"/>
      <c r="AE258" s="78"/>
      <c r="AF258" s="78"/>
      <c r="AG258" s="78"/>
      <c r="AH258" s="78"/>
      <c r="AI258" s="78"/>
      <c r="AJ258" s="78"/>
      <c r="AK258" s="78"/>
      <c r="AL258" s="78"/>
      <c r="AM258" s="78"/>
      <c r="AN258" s="78"/>
      <c r="AO258" s="78"/>
      <c r="AP258" s="78"/>
      <c r="AQ258" s="78"/>
      <c r="AR258" s="78"/>
      <c r="AS258" s="78"/>
      <c r="AT258" s="91"/>
      <c r="AU258" s="78"/>
      <c r="AV258" s="78"/>
      <c r="AW258" s="78"/>
      <c r="AX258" s="78"/>
      <c r="AY258" s="78"/>
      <c r="AZ258" s="78"/>
      <c r="BA258" s="78"/>
      <c r="BB258" s="78"/>
      <c r="BC258" s="78"/>
      <c r="BD258" s="78"/>
      <c r="BE258" s="78"/>
      <c r="BF258" s="78"/>
      <c r="BG258" s="78"/>
      <c r="BH258" s="78"/>
      <c r="BI258" s="78"/>
      <c r="BJ258" s="78"/>
      <c r="BK258" s="78"/>
      <c r="BL258" s="78"/>
      <c r="BM258" s="78"/>
      <c r="BN258" s="78"/>
      <c r="BO258" s="78"/>
      <c r="BP258" s="78"/>
      <c r="BQ258" s="78"/>
      <c r="BR258" s="78"/>
      <c r="BS258" s="78"/>
      <c r="BT258" s="78"/>
      <c r="BU258" s="78"/>
      <c r="BV258" s="78"/>
      <c r="BW258" s="78"/>
      <c r="BX258" s="78"/>
      <c r="BY258" s="78"/>
      <c r="BZ258" s="78"/>
      <c r="CA258" s="78"/>
      <c r="CB258" s="78"/>
      <c r="CC258" s="78"/>
      <c r="CD258" s="78"/>
      <c r="CE258" s="78"/>
      <c r="CF258" s="78"/>
      <c r="CG258" s="78"/>
      <c r="CH258" s="78"/>
      <c r="CI258" s="78"/>
      <c r="CJ258" s="78"/>
      <c r="CK258" s="78"/>
      <c r="CL258" s="78"/>
      <c r="CM258" s="78"/>
      <c r="CN258" s="78"/>
      <c r="CO258" s="78"/>
      <c r="CP258" s="78"/>
      <c r="CQ258" s="78"/>
      <c r="CR258" s="78"/>
      <c r="CS258" s="78"/>
      <c r="CT258" s="78"/>
      <c r="CU258" s="78"/>
      <c r="CV258" s="78"/>
      <c r="CW258" s="78"/>
      <c r="CX258" s="78"/>
      <c r="CY258" s="78"/>
      <c r="CZ258" s="78"/>
      <c r="DA258" s="78"/>
      <c r="DB258" s="78"/>
      <c r="DC258" s="78"/>
      <c r="DD258" s="78"/>
      <c r="DE258" s="78"/>
      <c r="DF258" s="78"/>
      <c r="DG258" s="78"/>
      <c r="DH258" s="78"/>
      <c r="DI258" s="78"/>
      <c r="DJ258" s="78"/>
      <c r="DK258" s="78"/>
      <c r="DL258" s="78"/>
      <c r="DM258" s="78"/>
      <c r="DN258" s="78"/>
      <c r="DO258" s="78"/>
      <c r="DP258" s="78"/>
      <c r="DQ258" s="78"/>
      <c r="DR258" s="78"/>
      <c r="DS258" s="78"/>
      <c r="DT258" s="78"/>
      <c r="DU258" s="78"/>
      <c r="DV258" s="78"/>
      <c r="DW258" s="78"/>
      <c r="DX258" s="78"/>
      <c r="DY258" s="78"/>
      <c r="DZ258" s="78"/>
      <c r="EA258" s="78"/>
      <c r="EB258" s="78"/>
      <c r="EC258" s="78"/>
      <c r="ED258" s="78"/>
      <c r="EE258" s="78"/>
      <c r="EF258" s="78"/>
      <c r="EG258" s="78"/>
      <c r="EH258" s="78"/>
      <c r="EI258" s="91"/>
      <c r="EJ258" s="91"/>
      <c r="EK258" s="91"/>
      <c r="EL258" s="91"/>
      <c r="EM258" s="91"/>
      <c r="EN258" s="91"/>
      <c r="EO258" s="91"/>
      <c r="EP258" s="78"/>
      <c r="EQ258" s="78"/>
      <c r="ER258" s="78"/>
      <c r="ES258" s="78"/>
      <c r="ET258" s="78"/>
      <c r="EU258" s="78"/>
      <c r="EV258" s="78"/>
      <c r="EW258" s="78"/>
      <c r="EX258" s="78"/>
      <c r="EY258" s="78"/>
      <c r="EZ258" s="78"/>
      <c r="FA258" s="78"/>
      <c r="FB258" s="78"/>
      <c r="FC258" s="78"/>
      <c r="FD258" s="78"/>
      <c r="FE258" s="78"/>
      <c r="FF258" s="78"/>
      <c r="FG258" s="78"/>
      <c r="FH258" s="78"/>
      <c r="FI258" s="78"/>
      <c r="FJ258" s="78"/>
      <c r="FK258" s="78"/>
    </row>
    <row r="259" spans="1:167" outlineLevel="1">
      <c r="A259" s="29" t="str">
        <f t="shared" si="26"/>
        <v>modesg_inp_empr_excl_parisref_date</v>
      </c>
      <c r="B259" s="67" t="s">
        <v>26</v>
      </c>
      <c r="C259" s="68" t="s">
        <v>181</v>
      </c>
      <c r="D259" s="64" t="s">
        <v>40</v>
      </c>
      <c r="E259" s="66" t="s">
        <v>214</v>
      </c>
      <c r="F259" s="64" t="s">
        <v>208</v>
      </c>
      <c r="G259" s="64" t="str">
        <f>INDEX(Auxiliar!$B$16:$B$24,MATCH(Plano_V1!H259,Auxiliar!$C$16:$C$24,0),1)</f>
        <v>1. Concluído</v>
      </c>
      <c r="H259" s="64">
        <f>VLOOKUP(A259,'Aux - pivots1'!$A:$B,2,0)</f>
        <v>1</v>
      </c>
      <c r="I259" s="84">
        <f>SUMIFS(Table1[Estimação (horas)],Table1[Tabela],Plano_V1!E259,Table1[Campo],Plano_V1!F259)</f>
        <v>0.5</v>
      </c>
      <c r="J259" s="84">
        <f t="shared" si="24"/>
        <v>6.25E-2</v>
      </c>
      <c r="K259" s="89" t="s">
        <v>39</v>
      </c>
      <c r="L259" s="90">
        <f t="shared" si="25"/>
        <v>6.25E-2</v>
      </c>
      <c r="M259" s="78"/>
      <c r="N259" s="78"/>
      <c r="O259" s="78"/>
      <c r="P259" s="78"/>
      <c r="Q259" s="78"/>
      <c r="R259" s="78"/>
      <c r="S259" s="78"/>
      <c r="T259" s="78"/>
      <c r="U259" s="78"/>
      <c r="V259" s="78"/>
      <c r="W259" s="78"/>
      <c r="X259" s="78"/>
      <c r="Y259" s="78"/>
      <c r="Z259" s="78"/>
      <c r="AA259" s="78"/>
      <c r="AB259" s="78"/>
      <c r="AC259" s="78"/>
      <c r="AD259" s="78"/>
      <c r="AE259" s="78"/>
      <c r="AF259" s="78"/>
      <c r="AG259" s="78"/>
      <c r="AH259" s="78"/>
      <c r="AI259" s="78"/>
      <c r="AJ259" s="78"/>
      <c r="AK259" s="78"/>
      <c r="AL259" s="78"/>
      <c r="AM259" s="78"/>
      <c r="AN259" s="78"/>
      <c r="AO259" s="78"/>
      <c r="AP259" s="78"/>
      <c r="AQ259" s="78"/>
      <c r="AR259" s="78"/>
      <c r="AS259" s="78"/>
      <c r="AT259" s="91"/>
      <c r="AU259" s="78"/>
      <c r="AV259" s="78"/>
      <c r="AW259" s="78"/>
      <c r="AX259" s="78"/>
      <c r="AY259" s="78"/>
      <c r="AZ259" s="78"/>
      <c r="BA259" s="78"/>
      <c r="BB259" s="78"/>
      <c r="BC259" s="78"/>
      <c r="BD259" s="78"/>
      <c r="BE259" s="78"/>
      <c r="BF259" s="78"/>
      <c r="BG259" s="78"/>
      <c r="BH259" s="78"/>
      <c r="BI259" s="78"/>
      <c r="BJ259" s="78"/>
      <c r="BK259" s="78"/>
      <c r="BL259" s="78"/>
      <c r="BM259" s="78"/>
      <c r="BN259" s="78"/>
      <c r="BO259" s="78"/>
      <c r="BP259" s="78"/>
      <c r="BQ259" s="78"/>
      <c r="BR259" s="78"/>
      <c r="BS259" s="78"/>
      <c r="BT259" s="78"/>
      <c r="BU259" s="78"/>
      <c r="BV259" s="78"/>
      <c r="BW259" s="78"/>
      <c r="BX259" s="78"/>
      <c r="BY259" s="78"/>
      <c r="BZ259" s="78"/>
      <c r="CA259" s="78"/>
      <c r="CB259" s="78"/>
      <c r="CC259" s="78"/>
      <c r="CD259" s="78"/>
      <c r="CE259" s="78"/>
      <c r="CF259" s="78"/>
      <c r="CG259" s="78"/>
      <c r="CH259" s="78"/>
      <c r="CI259" s="78"/>
      <c r="CJ259" s="78"/>
      <c r="CK259" s="78"/>
      <c r="CL259" s="78"/>
      <c r="CM259" s="78"/>
      <c r="CN259" s="78"/>
      <c r="CO259" s="78"/>
      <c r="CP259" s="78"/>
      <c r="CQ259" s="78"/>
      <c r="CR259" s="78"/>
      <c r="CS259" s="78"/>
      <c r="CT259" s="78"/>
      <c r="CU259" s="78"/>
      <c r="CV259" s="78"/>
      <c r="CW259" s="78"/>
      <c r="CX259" s="78"/>
      <c r="CY259" s="78"/>
      <c r="CZ259" s="78"/>
      <c r="DA259" s="78"/>
      <c r="DB259" s="78"/>
      <c r="DC259" s="78"/>
      <c r="DD259" s="78"/>
      <c r="DE259" s="78"/>
      <c r="DF259" s="78"/>
      <c r="DG259" s="78"/>
      <c r="DH259" s="78"/>
      <c r="DI259" s="78"/>
      <c r="DJ259" s="78"/>
      <c r="DK259" s="78"/>
      <c r="DL259" s="78"/>
      <c r="DM259" s="78"/>
      <c r="DN259" s="78"/>
      <c r="DO259" s="78"/>
      <c r="DP259" s="78"/>
      <c r="DQ259" s="78"/>
      <c r="DR259" s="78"/>
      <c r="DS259" s="78"/>
      <c r="DT259" s="78"/>
      <c r="DU259" s="78"/>
      <c r="DV259" s="78"/>
      <c r="DW259" s="78"/>
      <c r="DX259" s="78"/>
      <c r="DY259" s="78"/>
      <c r="DZ259" s="78"/>
      <c r="EA259" s="78"/>
      <c r="EB259" s="78"/>
      <c r="EC259" s="78"/>
      <c r="ED259" s="78"/>
      <c r="EE259" s="78"/>
      <c r="EF259" s="78"/>
      <c r="EG259" s="78"/>
      <c r="EH259" s="78"/>
      <c r="EI259" s="91"/>
      <c r="EJ259" s="91"/>
      <c r="EK259" s="91"/>
      <c r="EL259" s="91"/>
      <c r="EM259" s="91"/>
      <c r="EN259" s="91"/>
      <c r="EO259" s="91"/>
      <c r="EP259" s="78"/>
      <c r="EQ259" s="78"/>
      <c r="ER259" s="78"/>
      <c r="ES259" s="78"/>
      <c r="ET259" s="78"/>
      <c r="EU259" s="78"/>
      <c r="EV259" s="78"/>
      <c r="EW259" s="78"/>
      <c r="EX259" s="78"/>
      <c r="EY259" s="78"/>
      <c r="EZ259" s="78"/>
      <c r="FA259" s="78"/>
      <c r="FB259" s="78"/>
      <c r="FC259" s="78"/>
      <c r="FD259" s="78"/>
      <c r="FE259" s="78"/>
      <c r="FF259" s="78"/>
      <c r="FG259" s="78"/>
      <c r="FH259" s="78"/>
      <c r="FI259" s="78"/>
      <c r="FJ259" s="78"/>
      <c r="FK259" s="78"/>
    </row>
    <row r="260" spans="1:167" outlineLevel="1">
      <c r="A260" s="29" t="str">
        <f t="shared" si="26"/>
        <v>modesg_inp_empr_excl_parisisin</v>
      </c>
      <c r="B260" s="67" t="s">
        <v>26</v>
      </c>
      <c r="C260" s="68" t="s">
        <v>181</v>
      </c>
      <c r="D260" s="64" t="s">
        <v>40</v>
      </c>
      <c r="E260" s="66" t="s">
        <v>214</v>
      </c>
      <c r="F260" s="64" t="s">
        <v>238</v>
      </c>
      <c r="G260" s="64" t="str">
        <f>INDEX(Auxiliar!$B$16:$B$24,MATCH(Plano_V1!H260,Auxiliar!$C$16:$C$24,0),1)</f>
        <v>1. Concluído</v>
      </c>
      <c r="H260" s="64">
        <f>VLOOKUP(A260,'Aux - pivots1'!$A:$B,2,0)</f>
        <v>1</v>
      </c>
      <c r="I260" s="84">
        <f>SUMIFS(Table1[Estimação (horas)],Table1[Tabela],Plano_V1!E260,Table1[Campo],Plano_V1!F260)</f>
        <v>0.6</v>
      </c>
      <c r="J260" s="84">
        <f t="shared" si="24"/>
        <v>7.4999999999999997E-2</v>
      </c>
      <c r="K260" s="89" t="s">
        <v>39</v>
      </c>
      <c r="L260" s="90">
        <f t="shared" si="25"/>
        <v>7.4999999999999997E-2</v>
      </c>
      <c r="M260" s="78"/>
      <c r="N260" s="78"/>
      <c r="O260" s="78"/>
      <c r="P260" s="78"/>
      <c r="Q260" s="78"/>
      <c r="R260" s="78"/>
      <c r="S260" s="78"/>
      <c r="T260" s="78"/>
      <c r="U260" s="78"/>
      <c r="V260" s="78"/>
      <c r="W260" s="78"/>
      <c r="X260" s="78"/>
      <c r="Y260" s="78"/>
      <c r="Z260" s="78"/>
      <c r="AA260" s="78"/>
      <c r="AB260" s="78"/>
      <c r="AC260" s="78"/>
      <c r="AD260" s="78"/>
      <c r="AE260" s="78"/>
      <c r="AF260" s="78"/>
      <c r="AG260" s="78"/>
      <c r="AH260" s="78"/>
      <c r="AI260" s="78"/>
      <c r="AJ260" s="78"/>
      <c r="AK260" s="78"/>
      <c r="AL260" s="78"/>
      <c r="AM260" s="78"/>
      <c r="AN260" s="78"/>
      <c r="AO260" s="78"/>
      <c r="AP260" s="78"/>
      <c r="AQ260" s="78"/>
      <c r="AR260" s="78"/>
      <c r="AS260" s="78"/>
      <c r="AT260" s="91"/>
      <c r="AU260" s="78"/>
      <c r="AV260" s="78"/>
      <c r="AW260" s="78"/>
      <c r="AX260" s="78"/>
      <c r="AY260" s="78"/>
      <c r="AZ260" s="78"/>
      <c r="BA260" s="78"/>
      <c r="BB260" s="78"/>
      <c r="BC260" s="78"/>
      <c r="BD260" s="78"/>
      <c r="BE260" s="78"/>
      <c r="BF260" s="78"/>
      <c r="BG260" s="78"/>
      <c r="BH260" s="78"/>
      <c r="BI260" s="78"/>
      <c r="BJ260" s="78"/>
      <c r="BK260" s="78"/>
      <c r="BL260" s="78"/>
      <c r="BM260" s="78"/>
      <c r="BN260" s="78"/>
      <c r="BO260" s="78"/>
      <c r="BP260" s="78"/>
      <c r="BQ260" s="78"/>
      <c r="BR260" s="78"/>
      <c r="BS260" s="78"/>
      <c r="BT260" s="78"/>
      <c r="BU260" s="78"/>
      <c r="BV260" s="78"/>
      <c r="BW260" s="78"/>
      <c r="BX260" s="78"/>
      <c r="BY260" s="78"/>
      <c r="BZ260" s="78"/>
      <c r="CA260" s="78"/>
      <c r="CB260" s="78"/>
      <c r="CC260" s="78"/>
      <c r="CD260" s="78"/>
      <c r="CE260" s="78"/>
      <c r="CF260" s="78"/>
      <c r="CG260" s="78"/>
      <c r="CH260" s="78"/>
      <c r="CI260" s="78"/>
      <c r="CJ260" s="78"/>
      <c r="CK260" s="78"/>
      <c r="CL260" s="78"/>
      <c r="CM260" s="78"/>
      <c r="CN260" s="78"/>
      <c r="CO260" s="78"/>
      <c r="CP260" s="78"/>
      <c r="CQ260" s="78"/>
      <c r="CR260" s="78"/>
      <c r="CS260" s="78"/>
      <c r="CT260" s="78"/>
      <c r="CU260" s="78"/>
      <c r="CV260" s="78"/>
      <c r="CW260" s="78"/>
      <c r="CX260" s="78"/>
      <c r="CY260" s="78"/>
      <c r="CZ260" s="78"/>
      <c r="DA260" s="78"/>
      <c r="DB260" s="78"/>
      <c r="DC260" s="78"/>
      <c r="DD260" s="78"/>
      <c r="DE260" s="78"/>
      <c r="DF260" s="78"/>
      <c r="DG260" s="78"/>
      <c r="DH260" s="78"/>
      <c r="DI260" s="78"/>
      <c r="DJ260" s="78"/>
      <c r="DK260" s="78"/>
      <c r="DL260" s="78"/>
      <c r="DM260" s="78"/>
      <c r="DN260" s="78"/>
      <c r="DO260" s="78"/>
      <c r="DP260" s="78"/>
      <c r="DQ260" s="78"/>
      <c r="DR260" s="78"/>
      <c r="DS260" s="78"/>
      <c r="DT260" s="78"/>
      <c r="DU260" s="78"/>
      <c r="DV260" s="78"/>
      <c r="DW260" s="78"/>
      <c r="DX260" s="78"/>
      <c r="DY260" s="78"/>
      <c r="DZ260" s="78"/>
      <c r="EA260" s="78"/>
      <c r="EB260" s="78"/>
      <c r="EC260" s="78"/>
      <c r="ED260" s="78"/>
      <c r="EE260" s="78"/>
      <c r="EF260" s="78"/>
      <c r="EG260" s="78"/>
      <c r="EH260" s="78"/>
      <c r="EI260" s="91"/>
      <c r="EJ260" s="91"/>
      <c r="EK260" s="91"/>
      <c r="EL260" s="91"/>
      <c r="EM260" s="91"/>
      <c r="EN260" s="91"/>
      <c r="EO260" s="91"/>
      <c r="EP260" s="78"/>
      <c r="EQ260" s="78"/>
      <c r="ER260" s="78"/>
      <c r="ES260" s="78"/>
      <c r="ET260" s="78"/>
      <c r="EU260" s="78"/>
      <c r="EV260" s="78"/>
      <c r="EW260" s="78"/>
      <c r="EX260" s="78"/>
      <c r="EY260" s="78"/>
      <c r="EZ260" s="78"/>
      <c r="FA260" s="78"/>
      <c r="FB260" s="78"/>
      <c r="FC260" s="78"/>
      <c r="FD260" s="78"/>
      <c r="FE260" s="78"/>
      <c r="FF260" s="78"/>
      <c r="FG260" s="78"/>
      <c r="FH260" s="78"/>
      <c r="FI260" s="78"/>
      <c r="FJ260" s="78"/>
      <c r="FK260" s="78"/>
    </row>
    <row r="261" spans="1:167" outlineLevel="1">
      <c r="A261" s="29" t="str">
        <f t="shared" si="26"/>
        <v>modesg_inp_empr_excl_parisclei</v>
      </c>
      <c r="B261" s="67" t="s">
        <v>26</v>
      </c>
      <c r="C261" s="68" t="s">
        <v>181</v>
      </c>
      <c r="D261" s="64" t="s">
        <v>40</v>
      </c>
      <c r="E261" s="66" t="s">
        <v>214</v>
      </c>
      <c r="F261" s="64" t="s">
        <v>239</v>
      </c>
      <c r="G261" s="64" t="str">
        <f>INDEX(Auxiliar!$B$16:$B$24,MATCH(Plano_V1!H261,Auxiliar!$C$16:$C$24,0),1)</f>
        <v>1. Concluído</v>
      </c>
      <c r="H261" s="64">
        <f>VLOOKUP(A261,'Aux - pivots1'!$A:$B,2,0)</f>
        <v>1</v>
      </c>
      <c r="I261" s="84">
        <f>SUMIFS(Table1[Estimação (horas)],Table1[Tabela],Plano_V1!E261,Table1[Campo],Plano_V1!F261)</f>
        <v>0.6</v>
      </c>
      <c r="J261" s="84">
        <f t="shared" si="24"/>
        <v>7.4999999999999997E-2</v>
      </c>
      <c r="K261" s="89" t="s">
        <v>39</v>
      </c>
      <c r="L261" s="90">
        <f t="shared" si="25"/>
        <v>7.4999999999999997E-2</v>
      </c>
      <c r="M261" s="78"/>
      <c r="N261" s="78"/>
      <c r="O261" s="78"/>
      <c r="P261" s="78"/>
      <c r="Q261" s="78"/>
      <c r="R261" s="78"/>
      <c r="S261" s="78"/>
      <c r="T261" s="78"/>
      <c r="U261" s="78"/>
      <c r="V261" s="78"/>
      <c r="W261" s="78"/>
      <c r="X261" s="78"/>
      <c r="Y261" s="78"/>
      <c r="Z261" s="78"/>
      <c r="AA261" s="78"/>
      <c r="AB261" s="78"/>
      <c r="AC261" s="78"/>
      <c r="AD261" s="78"/>
      <c r="AE261" s="78"/>
      <c r="AF261" s="78"/>
      <c r="AG261" s="78"/>
      <c r="AH261" s="78"/>
      <c r="AI261" s="78"/>
      <c r="AJ261" s="78"/>
      <c r="AK261" s="78"/>
      <c r="AL261" s="78"/>
      <c r="AM261" s="78"/>
      <c r="AN261" s="78"/>
      <c r="AO261" s="78"/>
      <c r="AP261" s="78"/>
      <c r="AQ261" s="78"/>
      <c r="AR261" s="78"/>
      <c r="AS261" s="78"/>
      <c r="AT261" s="91"/>
      <c r="AU261" s="78"/>
      <c r="AV261" s="78"/>
      <c r="AW261" s="78"/>
      <c r="AX261" s="78"/>
      <c r="AY261" s="78"/>
      <c r="AZ261" s="78"/>
      <c r="BA261" s="78"/>
      <c r="BB261" s="78"/>
      <c r="BC261" s="78"/>
      <c r="BD261" s="78"/>
      <c r="BE261" s="78"/>
      <c r="BF261" s="78"/>
      <c r="BG261" s="78"/>
      <c r="BH261" s="78"/>
      <c r="BI261" s="78"/>
      <c r="BJ261" s="78"/>
      <c r="BK261" s="78"/>
      <c r="BL261" s="78"/>
      <c r="BM261" s="78"/>
      <c r="BN261" s="78"/>
      <c r="BO261" s="78"/>
      <c r="BP261" s="78"/>
      <c r="BQ261" s="78"/>
      <c r="BR261" s="78"/>
      <c r="BS261" s="78"/>
      <c r="BT261" s="78"/>
      <c r="BU261" s="78"/>
      <c r="BV261" s="78"/>
      <c r="BW261" s="78"/>
      <c r="BX261" s="78"/>
      <c r="BY261" s="78"/>
      <c r="BZ261" s="78"/>
      <c r="CA261" s="78"/>
      <c r="CB261" s="78"/>
      <c r="CC261" s="78"/>
      <c r="CD261" s="78"/>
      <c r="CE261" s="78"/>
      <c r="CF261" s="78"/>
      <c r="CG261" s="78"/>
      <c r="CH261" s="78"/>
      <c r="CI261" s="78"/>
      <c r="CJ261" s="78"/>
      <c r="CK261" s="78"/>
      <c r="CL261" s="78"/>
      <c r="CM261" s="78"/>
      <c r="CN261" s="78"/>
      <c r="CO261" s="78"/>
      <c r="CP261" s="78"/>
      <c r="CQ261" s="78"/>
      <c r="CR261" s="78"/>
      <c r="CS261" s="78"/>
      <c r="CT261" s="78"/>
      <c r="CU261" s="78"/>
      <c r="CV261" s="78"/>
      <c r="CW261" s="78"/>
      <c r="CX261" s="78"/>
      <c r="CY261" s="78"/>
      <c r="CZ261" s="78"/>
      <c r="DA261" s="78"/>
      <c r="DB261" s="78"/>
      <c r="DC261" s="78"/>
      <c r="DD261" s="78"/>
      <c r="DE261" s="78"/>
      <c r="DF261" s="78"/>
      <c r="DG261" s="78"/>
      <c r="DH261" s="78"/>
      <c r="DI261" s="78"/>
      <c r="DJ261" s="78"/>
      <c r="DK261" s="78"/>
      <c r="DL261" s="78"/>
      <c r="DM261" s="78"/>
      <c r="DN261" s="78"/>
      <c r="DO261" s="78"/>
      <c r="DP261" s="78"/>
      <c r="DQ261" s="78"/>
      <c r="DR261" s="78"/>
      <c r="DS261" s="78"/>
      <c r="DT261" s="78"/>
      <c r="DU261" s="78"/>
      <c r="DV261" s="78"/>
      <c r="DW261" s="78"/>
      <c r="DX261" s="78"/>
      <c r="DY261" s="78"/>
      <c r="DZ261" s="78"/>
      <c r="EA261" s="78"/>
      <c r="EB261" s="78"/>
      <c r="EC261" s="78"/>
      <c r="ED261" s="78"/>
      <c r="EE261" s="78"/>
      <c r="EF261" s="78"/>
      <c r="EG261" s="78"/>
      <c r="EH261" s="78"/>
      <c r="EI261" s="91"/>
      <c r="EJ261" s="91"/>
      <c r="EK261" s="91"/>
      <c r="EL261" s="91"/>
      <c r="EM261" s="91"/>
      <c r="EN261" s="91"/>
      <c r="EO261" s="91"/>
      <c r="EP261" s="78"/>
      <c r="EQ261" s="78"/>
      <c r="ER261" s="78"/>
      <c r="ES261" s="78"/>
      <c r="ET261" s="78"/>
      <c r="EU261" s="78"/>
      <c r="EV261" s="78"/>
      <c r="EW261" s="78"/>
      <c r="EX261" s="78"/>
      <c r="EY261" s="78"/>
      <c r="EZ261" s="78"/>
      <c r="FA261" s="78"/>
      <c r="FB261" s="78"/>
      <c r="FC261" s="78"/>
      <c r="FD261" s="78"/>
      <c r="FE261" s="78"/>
      <c r="FF261" s="78"/>
      <c r="FG261" s="78"/>
      <c r="FH261" s="78"/>
      <c r="FI261" s="78"/>
      <c r="FJ261" s="78"/>
      <c r="FK261" s="78"/>
    </row>
    <row r="262" spans="1:167" outlineLevel="1">
      <c r="A262" s="29" t="str">
        <f t="shared" si="26"/>
        <v>modesg_inp_empr_excl_parisccli_kgl</v>
      </c>
      <c r="B262" s="67" t="s">
        <v>26</v>
      </c>
      <c r="C262" s="68" t="s">
        <v>181</v>
      </c>
      <c r="D262" s="64" t="s">
        <v>40</v>
      </c>
      <c r="E262" s="66" t="s">
        <v>214</v>
      </c>
      <c r="F262" s="64" t="s">
        <v>240</v>
      </c>
      <c r="G262" s="64" t="str">
        <f>INDEX(Auxiliar!$B$16:$B$24,MATCH(Plano_V1!H262,Auxiliar!$C$16:$C$24,0),1)</f>
        <v>1. Concluído</v>
      </c>
      <c r="H262" s="64">
        <f>VLOOKUP(A262,'Aux - pivots1'!$A:$B,2,0)</f>
        <v>1</v>
      </c>
      <c r="I262" s="84">
        <f>SUMIFS(Table1[Estimação (horas)],Table1[Tabela],Plano_V1!E262,Table1[Campo],Plano_V1!F262)</f>
        <v>0.6</v>
      </c>
      <c r="J262" s="84">
        <f t="shared" si="24"/>
        <v>7.4999999999999997E-2</v>
      </c>
      <c r="K262" s="89" t="s">
        <v>39</v>
      </c>
      <c r="L262" s="90">
        <f t="shared" si="25"/>
        <v>7.4999999999999997E-2</v>
      </c>
      <c r="M262" s="78"/>
      <c r="N262" s="78"/>
      <c r="O262" s="78"/>
      <c r="P262" s="78"/>
      <c r="Q262" s="78"/>
      <c r="R262" s="78"/>
      <c r="S262" s="78"/>
      <c r="T262" s="78"/>
      <c r="U262" s="78"/>
      <c r="V262" s="78"/>
      <c r="W262" s="78"/>
      <c r="X262" s="78"/>
      <c r="Y262" s="78"/>
      <c r="Z262" s="78"/>
      <c r="AA262" s="78"/>
      <c r="AB262" s="78"/>
      <c r="AC262" s="78"/>
      <c r="AD262" s="78"/>
      <c r="AE262" s="78"/>
      <c r="AF262" s="78"/>
      <c r="AG262" s="78"/>
      <c r="AH262" s="78"/>
      <c r="AI262" s="78"/>
      <c r="AJ262" s="78"/>
      <c r="AK262" s="78"/>
      <c r="AL262" s="78"/>
      <c r="AM262" s="78"/>
      <c r="AN262" s="78"/>
      <c r="AO262" s="78"/>
      <c r="AP262" s="78"/>
      <c r="AQ262" s="78"/>
      <c r="AR262" s="78"/>
      <c r="AS262" s="78"/>
      <c r="AT262" s="91"/>
      <c r="AU262" s="78"/>
      <c r="AV262" s="78"/>
      <c r="AW262" s="78"/>
      <c r="AX262" s="78"/>
      <c r="AY262" s="78"/>
      <c r="AZ262" s="78"/>
      <c r="BA262" s="78"/>
      <c r="BB262" s="78"/>
      <c r="BC262" s="78"/>
      <c r="BD262" s="78"/>
      <c r="BE262" s="78"/>
      <c r="BF262" s="78"/>
      <c r="BG262" s="78"/>
      <c r="BH262" s="78"/>
      <c r="BI262" s="78"/>
      <c r="BJ262" s="78"/>
      <c r="BK262" s="78"/>
      <c r="BL262" s="78"/>
      <c r="BM262" s="78"/>
      <c r="BN262" s="78"/>
      <c r="BO262" s="78"/>
      <c r="BP262" s="78"/>
      <c r="BQ262" s="78"/>
      <c r="BR262" s="78"/>
      <c r="BS262" s="78"/>
      <c r="BT262" s="78"/>
      <c r="BU262" s="78"/>
      <c r="BV262" s="78"/>
      <c r="BW262" s="78"/>
      <c r="BX262" s="78"/>
      <c r="BY262" s="78"/>
      <c r="BZ262" s="78"/>
      <c r="CA262" s="78"/>
      <c r="CB262" s="78"/>
      <c r="CC262" s="78"/>
      <c r="CD262" s="78"/>
      <c r="CE262" s="78"/>
      <c r="CF262" s="78"/>
      <c r="CG262" s="78"/>
      <c r="CH262" s="78"/>
      <c r="CI262" s="78"/>
      <c r="CJ262" s="78"/>
      <c r="CK262" s="78"/>
      <c r="CL262" s="78"/>
      <c r="CM262" s="78"/>
      <c r="CN262" s="78"/>
      <c r="CO262" s="78"/>
      <c r="CP262" s="78"/>
      <c r="CQ262" s="78"/>
      <c r="CR262" s="78"/>
      <c r="CS262" s="78"/>
      <c r="CT262" s="78"/>
      <c r="CU262" s="78"/>
      <c r="CV262" s="78"/>
      <c r="CW262" s="78"/>
      <c r="CX262" s="78"/>
      <c r="CY262" s="78"/>
      <c r="CZ262" s="78"/>
      <c r="DA262" s="78"/>
      <c r="DB262" s="78"/>
      <c r="DC262" s="78"/>
      <c r="DD262" s="78"/>
      <c r="DE262" s="78"/>
      <c r="DF262" s="78"/>
      <c r="DG262" s="78"/>
      <c r="DH262" s="78"/>
      <c r="DI262" s="78"/>
      <c r="DJ262" s="78"/>
      <c r="DK262" s="78"/>
      <c r="DL262" s="78"/>
      <c r="DM262" s="78"/>
      <c r="DN262" s="78"/>
      <c r="DO262" s="78"/>
      <c r="DP262" s="78"/>
      <c r="DQ262" s="78"/>
      <c r="DR262" s="78"/>
      <c r="DS262" s="78"/>
      <c r="DT262" s="78"/>
      <c r="DU262" s="78"/>
      <c r="DV262" s="78"/>
      <c r="DW262" s="78"/>
      <c r="DX262" s="78"/>
      <c r="DY262" s="78"/>
      <c r="DZ262" s="78"/>
      <c r="EA262" s="78"/>
      <c r="EB262" s="78"/>
      <c r="EC262" s="78"/>
      <c r="ED262" s="78"/>
      <c r="EE262" s="78"/>
      <c r="EF262" s="78"/>
      <c r="EG262" s="78"/>
      <c r="EH262" s="78"/>
      <c r="EI262" s="91"/>
      <c r="EJ262" s="91"/>
      <c r="EK262" s="91"/>
      <c r="EL262" s="91"/>
      <c r="EM262" s="91"/>
      <c r="EN262" s="91"/>
      <c r="EO262" s="91"/>
      <c r="EP262" s="78"/>
      <c r="EQ262" s="78"/>
      <c r="ER262" s="78"/>
      <c r="ES262" s="78"/>
      <c r="ET262" s="78"/>
      <c r="EU262" s="78"/>
      <c r="EV262" s="78"/>
      <c r="EW262" s="78"/>
      <c r="EX262" s="78"/>
      <c r="EY262" s="78"/>
      <c r="EZ262" s="78"/>
      <c r="FA262" s="78"/>
      <c r="FB262" s="78"/>
      <c r="FC262" s="78"/>
      <c r="FD262" s="78"/>
      <c r="FE262" s="78"/>
      <c r="FF262" s="78"/>
      <c r="FG262" s="78"/>
      <c r="FH262" s="78"/>
      <c r="FI262" s="78"/>
      <c r="FJ262" s="78"/>
      <c r="FK262" s="78"/>
    </row>
    <row r="263" spans="1:167" outlineLevel="1">
      <c r="A263" s="29" t="str">
        <f t="shared" si="26"/>
        <v>modesg_inp_empr_excl_parisnome_entidade</v>
      </c>
      <c r="B263" s="67" t="s">
        <v>26</v>
      </c>
      <c r="C263" s="68" t="s">
        <v>181</v>
      </c>
      <c r="D263" s="64" t="s">
        <v>40</v>
      </c>
      <c r="E263" s="66" t="s">
        <v>214</v>
      </c>
      <c r="F263" s="64" t="s">
        <v>241</v>
      </c>
      <c r="G263" s="64" t="str">
        <f>INDEX(Auxiliar!$B$16:$B$24,MATCH(Plano_V1!H263,Auxiliar!$C$16:$C$24,0),1)</f>
        <v>1. Concluído</v>
      </c>
      <c r="H263" s="64">
        <f>VLOOKUP(A263,'Aux - pivots1'!$A:$B,2,0)</f>
        <v>1</v>
      </c>
      <c r="I263" s="84">
        <f>SUMIFS(Table1[Estimação (horas)],Table1[Tabela],Plano_V1!E263,Table1[Campo],Plano_V1!F263)</f>
        <v>0.5</v>
      </c>
      <c r="J263" s="84">
        <f t="shared" ref="J263:J326" si="27">I263/8</f>
        <v>6.25E-2</v>
      </c>
      <c r="K263" s="89" t="s">
        <v>39</v>
      </c>
      <c r="L263" s="90">
        <f t="shared" si="25"/>
        <v>6.25E-2</v>
      </c>
      <c r="M263" s="78"/>
      <c r="N263" s="78"/>
      <c r="O263" s="78"/>
      <c r="P263" s="78"/>
      <c r="Q263" s="78"/>
      <c r="R263" s="78"/>
      <c r="S263" s="78"/>
      <c r="T263" s="78"/>
      <c r="U263" s="78"/>
      <c r="V263" s="78"/>
      <c r="W263" s="78"/>
      <c r="X263" s="78"/>
      <c r="Y263" s="78"/>
      <c r="Z263" s="78"/>
      <c r="AA263" s="78"/>
      <c r="AB263" s="78"/>
      <c r="AC263" s="78"/>
      <c r="AD263" s="78"/>
      <c r="AE263" s="78"/>
      <c r="AF263" s="78"/>
      <c r="AG263" s="78"/>
      <c r="AH263" s="78"/>
      <c r="AI263" s="78"/>
      <c r="AJ263" s="78"/>
      <c r="AK263" s="78"/>
      <c r="AL263" s="78"/>
      <c r="AM263" s="78"/>
      <c r="AN263" s="78"/>
      <c r="AO263" s="78"/>
      <c r="AP263" s="78"/>
      <c r="AQ263" s="78"/>
      <c r="AR263" s="78"/>
      <c r="AS263" s="78"/>
      <c r="AT263" s="91"/>
      <c r="AU263" s="78"/>
      <c r="AV263" s="78"/>
      <c r="AW263" s="78"/>
      <c r="AX263" s="78"/>
      <c r="AY263" s="78"/>
      <c r="AZ263" s="78"/>
      <c r="BA263" s="78"/>
      <c r="BB263" s="78"/>
      <c r="BC263" s="78"/>
      <c r="BD263" s="78"/>
      <c r="BE263" s="78"/>
      <c r="BF263" s="78"/>
      <c r="BG263" s="78"/>
      <c r="BH263" s="78"/>
      <c r="BI263" s="78"/>
      <c r="BJ263" s="78"/>
      <c r="BK263" s="78"/>
      <c r="BL263" s="78"/>
      <c r="BM263" s="78"/>
      <c r="BN263" s="78"/>
      <c r="BO263" s="78"/>
      <c r="BP263" s="78"/>
      <c r="BQ263" s="78"/>
      <c r="BR263" s="78"/>
      <c r="BS263" s="78"/>
      <c r="BT263" s="78"/>
      <c r="BU263" s="78"/>
      <c r="BV263" s="78"/>
      <c r="BW263" s="78"/>
      <c r="BX263" s="78"/>
      <c r="BY263" s="78"/>
      <c r="BZ263" s="78"/>
      <c r="CA263" s="78"/>
      <c r="CB263" s="78"/>
      <c r="CC263" s="78"/>
      <c r="CD263" s="78"/>
      <c r="CE263" s="78"/>
      <c r="CF263" s="78"/>
      <c r="CG263" s="78"/>
      <c r="CH263" s="78"/>
      <c r="CI263" s="78"/>
      <c r="CJ263" s="78"/>
      <c r="CK263" s="78"/>
      <c r="CL263" s="78"/>
      <c r="CM263" s="78"/>
      <c r="CN263" s="78"/>
      <c r="CO263" s="78"/>
      <c r="CP263" s="78"/>
      <c r="CQ263" s="78"/>
      <c r="CR263" s="78"/>
      <c r="CS263" s="78"/>
      <c r="CT263" s="78"/>
      <c r="CU263" s="78"/>
      <c r="CV263" s="78"/>
      <c r="CW263" s="78"/>
      <c r="CX263" s="78"/>
      <c r="CY263" s="78"/>
      <c r="CZ263" s="78"/>
      <c r="DA263" s="78"/>
      <c r="DB263" s="78"/>
      <c r="DC263" s="78"/>
      <c r="DD263" s="78"/>
      <c r="DE263" s="78"/>
      <c r="DF263" s="78"/>
      <c r="DG263" s="78"/>
      <c r="DH263" s="78"/>
      <c r="DI263" s="78"/>
      <c r="DJ263" s="78"/>
      <c r="DK263" s="78"/>
      <c r="DL263" s="78"/>
      <c r="DM263" s="78"/>
      <c r="DN263" s="78"/>
      <c r="DO263" s="78"/>
      <c r="DP263" s="78"/>
      <c r="DQ263" s="78"/>
      <c r="DR263" s="78"/>
      <c r="DS263" s="78"/>
      <c r="DT263" s="78"/>
      <c r="DU263" s="78"/>
      <c r="DV263" s="78"/>
      <c r="DW263" s="78"/>
      <c r="DX263" s="78"/>
      <c r="DY263" s="78"/>
      <c r="DZ263" s="78"/>
      <c r="EA263" s="78"/>
      <c r="EB263" s="78"/>
      <c r="EC263" s="78"/>
      <c r="ED263" s="78"/>
      <c r="EE263" s="78"/>
      <c r="EF263" s="78"/>
      <c r="EG263" s="78"/>
      <c r="EH263" s="78"/>
      <c r="EI263" s="91"/>
      <c r="EJ263" s="91"/>
      <c r="EK263" s="91"/>
      <c r="EL263" s="91"/>
      <c r="EM263" s="91"/>
      <c r="EN263" s="91"/>
      <c r="EO263" s="91"/>
      <c r="EP263" s="78"/>
      <c r="EQ263" s="78"/>
      <c r="ER263" s="78"/>
      <c r="ES263" s="78"/>
      <c r="ET263" s="78"/>
      <c r="EU263" s="78"/>
      <c r="EV263" s="78"/>
      <c r="EW263" s="78"/>
      <c r="EX263" s="78"/>
      <c r="EY263" s="78"/>
      <c r="EZ263" s="78"/>
      <c r="FA263" s="78"/>
      <c r="FB263" s="78"/>
      <c r="FC263" s="78"/>
      <c r="FD263" s="78"/>
      <c r="FE263" s="78"/>
      <c r="FF263" s="78"/>
      <c r="FG263" s="78"/>
      <c r="FH263" s="78"/>
      <c r="FI263" s="78"/>
      <c r="FJ263" s="78"/>
      <c r="FK263" s="78"/>
    </row>
    <row r="264" spans="1:167" outlineLevel="1">
      <c r="A264" s="29" t="str">
        <f t="shared" si="26"/>
        <v>modesg_inp_empr_excl_parisflg_scib</v>
      </c>
      <c r="B264" s="67" t="s">
        <v>26</v>
      </c>
      <c r="C264" s="68" t="s">
        <v>181</v>
      </c>
      <c r="D264" s="64" t="s">
        <v>40</v>
      </c>
      <c r="E264" s="66" t="s">
        <v>214</v>
      </c>
      <c r="F264" s="64" t="s">
        <v>242</v>
      </c>
      <c r="G264" s="64" t="str">
        <f>INDEX(Auxiliar!$B$16:$B$24,MATCH(Plano_V1!H264,Auxiliar!$C$16:$C$24,0),1)</f>
        <v>1. Concluído</v>
      </c>
      <c r="H264" s="64">
        <f>VLOOKUP(A264,'Aux - pivots1'!$A:$B,2,0)</f>
        <v>1</v>
      </c>
      <c r="I264" s="84">
        <f>SUMIFS(Table1[Estimação (horas)],Table1[Tabela],Plano_V1!E264,Table1[Campo],Plano_V1!F264)</f>
        <v>0.5</v>
      </c>
      <c r="J264" s="84">
        <f t="shared" si="27"/>
        <v>6.25E-2</v>
      </c>
      <c r="K264" s="89" t="s">
        <v>39</v>
      </c>
      <c r="L264" s="90">
        <f t="shared" si="25"/>
        <v>6.25E-2</v>
      </c>
      <c r="M264" s="78"/>
      <c r="N264" s="78"/>
      <c r="O264" s="78"/>
      <c r="P264" s="78"/>
      <c r="Q264" s="78"/>
      <c r="R264" s="78"/>
      <c r="S264" s="78"/>
      <c r="T264" s="78"/>
      <c r="U264" s="78"/>
      <c r="V264" s="78"/>
      <c r="W264" s="78"/>
      <c r="X264" s="78"/>
      <c r="Y264" s="78"/>
      <c r="Z264" s="78"/>
      <c r="AA264" s="78"/>
      <c r="AB264" s="78"/>
      <c r="AC264" s="78"/>
      <c r="AD264" s="78"/>
      <c r="AE264" s="78"/>
      <c r="AF264" s="78"/>
      <c r="AG264" s="78"/>
      <c r="AH264" s="78"/>
      <c r="AI264" s="78"/>
      <c r="AJ264" s="78"/>
      <c r="AK264" s="78"/>
      <c r="AL264" s="78"/>
      <c r="AM264" s="78"/>
      <c r="AN264" s="78"/>
      <c r="AO264" s="78"/>
      <c r="AP264" s="78"/>
      <c r="AQ264" s="78"/>
      <c r="AR264" s="78"/>
      <c r="AS264" s="78"/>
      <c r="AT264" s="91"/>
      <c r="AU264" s="78"/>
      <c r="AV264" s="78"/>
      <c r="AW264" s="78"/>
      <c r="AX264" s="78"/>
      <c r="AY264" s="78"/>
      <c r="AZ264" s="78"/>
      <c r="BA264" s="78"/>
      <c r="BB264" s="78"/>
      <c r="BC264" s="78"/>
      <c r="BD264" s="78"/>
      <c r="BE264" s="78"/>
      <c r="BF264" s="78"/>
      <c r="BG264" s="78"/>
      <c r="BH264" s="78"/>
      <c r="BI264" s="78"/>
      <c r="BJ264" s="78"/>
      <c r="BK264" s="78"/>
      <c r="BL264" s="78"/>
      <c r="BM264" s="78"/>
      <c r="BN264" s="78"/>
      <c r="BO264" s="78"/>
      <c r="BP264" s="78"/>
      <c r="BQ264" s="78"/>
      <c r="BR264" s="78"/>
      <c r="BS264" s="78"/>
      <c r="BT264" s="78"/>
      <c r="BU264" s="78"/>
      <c r="BV264" s="78"/>
      <c r="BW264" s="78"/>
      <c r="BX264" s="78"/>
      <c r="BY264" s="78"/>
      <c r="BZ264" s="78"/>
      <c r="CA264" s="78"/>
      <c r="CB264" s="78"/>
      <c r="CC264" s="78"/>
      <c r="CD264" s="78"/>
      <c r="CE264" s="78"/>
      <c r="CF264" s="78"/>
      <c r="CG264" s="78"/>
      <c r="CH264" s="78"/>
      <c r="CI264" s="78"/>
      <c r="CJ264" s="78"/>
      <c r="CK264" s="78"/>
      <c r="CL264" s="78"/>
      <c r="CM264" s="78"/>
      <c r="CN264" s="78"/>
      <c r="CO264" s="78"/>
      <c r="CP264" s="78"/>
      <c r="CQ264" s="78"/>
      <c r="CR264" s="78"/>
      <c r="CS264" s="78"/>
      <c r="CT264" s="78"/>
      <c r="CU264" s="78"/>
      <c r="CV264" s="78"/>
      <c r="CW264" s="78"/>
      <c r="CX264" s="78"/>
      <c r="CY264" s="78"/>
      <c r="CZ264" s="78"/>
      <c r="DA264" s="78"/>
      <c r="DB264" s="78"/>
      <c r="DC264" s="78"/>
      <c r="DD264" s="78"/>
      <c r="DE264" s="78"/>
      <c r="DF264" s="78"/>
      <c r="DG264" s="78"/>
      <c r="DH264" s="78"/>
      <c r="DI264" s="78"/>
      <c r="DJ264" s="78"/>
      <c r="DK264" s="78"/>
      <c r="DL264" s="78"/>
      <c r="DM264" s="78"/>
      <c r="DN264" s="78"/>
      <c r="DO264" s="78"/>
      <c r="DP264" s="78"/>
      <c r="DQ264" s="78"/>
      <c r="DR264" s="78"/>
      <c r="DS264" s="78"/>
      <c r="DT264" s="78"/>
      <c r="DU264" s="78"/>
      <c r="DV264" s="78"/>
      <c r="DW264" s="78"/>
      <c r="DX264" s="78"/>
      <c r="DY264" s="78"/>
      <c r="DZ264" s="78"/>
      <c r="EA264" s="78"/>
      <c r="EB264" s="78"/>
      <c r="EC264" s="78"/>
      <c r="ED264" s="78"/>
      <c r="EE264" s="78"/>
      <c r="EF264" s="78"/>
      <c r="EG264" s="78"/>
      <c r="EH264" s="78"/>
      <c r="EI264" s="91"/>
      <c r="EJ264" s="91"/>
      <c r="EK264" s="91"/>
      <c r="EL264" s="91"/>
      <c r="EM264" s="91"/>
      <c r="EN264" s="91"/>
      <c r="EO264" s="91"/>
      <c r="EP264" s="78"/>
      <c r="EQ264" s="78"/>
      <c r="ER264" s="78"/>
      <c r="ES264" s="78"/>
      <c r="ET264" s="78"/>
      <c r="EU264" s="78"/>
      <c r="EV264" s="78"/>
      <c r="EW264" s="78"/>
      <c r="EX264" s="78"/>
      <c r="EY264" s="78"/>
      <c r="EZ264" s="78"/>
      <c r="FA264" s="78"/>
      <c r="FB264" s="78"/>
      <c r="FC264" s="78"/>
      <c r="FD264" s="78"/>
      <c r="FE264" s="78"/>
      <c r="FF264" s="78"/>
      <c r="FG264" s="78"/>
      <c r="FH264" s="78"/>
      <c r="FI264" s="78"/>
      <c r="FJ264" s="78"/>
      <c r="FK264" s="78"/>
    </row>
    <row r="265" spans="1:167" outlineLevel="1">
      <c r="A265" s="29" t="str">
        <f t="shared" si="26"/>
        <v>modesg_inp_empr_excl_parisnome_pais</v>
      </c>
      <c r="B265" s="67" t="s">
        <v>26</v>
      </c>
      <c r="C265" s="68" t="s">
        <v>181</v>
      </c>
      <c r="D265" s="64" t="s">
        <v>40</v>
      </c>
      <c r="E265" s="66" t="s">
        <v>214</v>
      </c>
      <c r="F265" s="64" t="s">
        <v>221</v>
      </c>
      <c r="G265" s="64" t="str">
        <f>INDEX(Auxiliar!$B$16:$B$24,MATCH(Plano_V1!H265,Auxiliar!$C$16:$C$24,0),1)</f>
        <v>1. Concluído</v>
      </c>
      <c r="H265" s="64">
        <f>VLOOKUP(A265,'Aux - pivots1'!$A:$B,2,0)</f>
        <v>1</v>
      </c>
      <c r="I265" s="84">
        <f>SUMIFS(Table1[Estimação (horas)],Table1[Tabela],Plano_V1!E265,Table1[Campo],Plano_V1!F265)</f>
        <v>0.5</v>
      </c>
      <c r="J265" s="84">
        <f t="shared" si="27"/>
        <v>6.25E-2</v>
      </c>
      <c r="K265" s="89" t="s">
        <v>39</v>
      </c>
      <c r="L265" s="90">
        <f t="shared" si="25"/>
        <v>6.25E-2</v>
      </c>
      <c r="M265" s="78"/>
      <c r="N265" s="78"/>
      <c r="O265" s="78"/>
      <c r="P265" s="78"/>
      <c r="Q265" s="78"/>
      <c r="R265" s="78"/>
      <c r="S265" s="78"/>
      <c r="T265" s="78"/>
      <c r="U265" s="78"/>
      <c r="V265" s="78"/>
      <c r="W265" s="78"/>
      <c r="X265" s="78"/>
      <c r="Y265" s="78"/>
      <c r="Z265" s="78"/>
      <c r="AA265" s="78"/>
      <c r="AB265" s="78"/>
      <c r="AC265" s="78"/>
      <c r="AD265" s="78"/>
      <c r="AE265" s="78"/>
      <c r="AF265" s="78"/>
      <c r="AG265" s="78"/>
      <c r="AH265" s="78"/>
      <c r="AI265" s="78"/>
      <c r="AJ265" s="78"/>
      <c r="AK265" s="78"/>
      <c r="AL265" s="78"/>
      <c r="AM265" s="78"/>
      <c r="AN265" s="78"/>
      <c r="AO265" s="78"/>
      <c r="AP265" s="78"/>
      <c r="AQ265" s="78"/>
      <c r="AR265" s="78"/>
      <c r="AS265" s="78"/>
      <c r="AT265" s="91"/>
      <c r="AU265" s="78"/>
      <c r="AV265" s="78"/>
      <c r="AW265" s="78"/>
      <c r="AX265" s="78"/>
      <c r="AY265" s="78"/>
      <c r="AZ265" s="78"/>
      <c r="BA265" s="78"/>
      <c r="BB265" s="78"/>
      <c r="BC265" s="78"/>
      <c r="BD265" s="78"/>
      <c r="BE265" s="78"/>
      <c r="BF265" s="78"/>
      <c r="BG265" s="78"/>
      <c r="BH265" s="78"/>
      <c r="BI265" s="78"/>
      <c r="BJ265" s="78"/>
      <c r="BK265" s="78"/>
      <c r="BL265" s="78"/>
      <c r="BM265" s="78"/>
      <c r="BN265" s="78"/>
      <c r="BO265" s="78"/>
      <c r="BP265" s="78"/>
      <c r="BQ265" s="78"/>
      <c r="BR265" s="78"/>
      <c r="BS265" s="78"/>
      <c r="BT265" s="78"/>
      <c r="BU265" s="78"/>
      <c r="BV265" s="78"/>
      <c r="BW265" s="78"/>
      <c r="BX265" s="78"/>
      <c r="BY265" s="78"/>
      <c r="BZ265" s="78"/>
      <c r="CA265" s="78"/>
      <c r="CB265" s="78"/>
      <c r="CC265" s="78"/>
      <c r="CD265" s="78"/>
      <c r="CE265" s="78"/>
      <c r="CF265" s="78"/>
      <c r="CG265" s="78"/>
      <c r="CH265" s="78"/>
      <c r="CI265" s="78"/>
      <c r="CJ265" s="78"/>
      <c r="CK265" s="78"/>
      <c r="CL265" s="78"/>
      <c r="CM265" s="78"/>
      <c r="CN265" s="78"/>
      <c r="CO265" s="78"/>
      <c r="CP265" s="78"/>
      <c r="CQ265" s="78"/>
      <c r="CR265" s="78"/>
      <c r="CS265" s="78"/>
      <c r="CT265" s="78"/>
      <c r="CU265" s="78"/>
      <c r="CV265" s="78"/>
      <c r="CW265" s="78"/>
      <c r="CX265" s="78"/>
      <c r="CY265" s="78"/>
      <c r="CZ265" s="78"/>
      <c r="DA265" s="78"/>
      <c r="DB265" s="78"/>
      <c r="DC265" s="78"/>
      <c r="DD265" s="78"/>
      <c r="DE265" s="78"/>
      <c r="DF265" s="78"/>
      <c r="DG265" s="78"/>
      <c r="DH265" s="78"/>
      <c r="DI265" s="78"/>
      <c r="DJ265" s="78"/>
      <c r="DK265" s="78"/>
      <c r="DL265" s="78"/>
      <c r="DM265" s="78"/>
      <c r="DN265" s="78"/>
      <c r="DO265" s="78"/>
      <c r="DP265" s="78"/>
      <c r="DQ265" s="78"/>
      <c r="DR265" s="78"/>
      <c r="DS265" s="78"/>
      <c r="DT265" s="78"/>
      <c r="DU265" s="78"/>
      <c r="DV265" s="78"/>
      <c r="DW265" s="78"/>
      <c r="DX265" s="78"/>
      <c r="DY265" s="78"/>
      <c r="DZ265" s="78"/>
      <c r="EA265" s="78"/>
      <c r="EB265" s="78"/>
      <c r="EC265" s="78"/>
      <c r="ED265" s="78"/>
      <c r="EE265" s="78"/>
      <c r="EF265" s="78"/>
      <c r="EG265" s="78"/>
      <c r="EH265" s="78"/>
      <c r="EI265" s="91"/>
      <c r="EJ265" s="91"/>
      <c r="EK265" s="91"/>
      <c r="EL265" s="91"/>
      <c r="EM265" s="91"/>
      <c r="EN265" s="91"/>
      <c r="EO265" s="91"/>
      <c r="EP265" s="78"/>
      <c r="EQ265" s="78"/>
      <c r="ER265" s="78"/>
      <c r="ES265" s="78"/>
      <c r="ET265" s="78"/>
      <c r="EU265" s="78"/>
      <c r="EV265" s="78"/>
      <c r="EW265" s="78"/>
      <c r="EX265" s="78"/>
      <c r="EY265" s="78"/>
      <c r="EZ265" s="78"/>
      <c r="FA265" s="78"/>
      <c r="FB265" s="78"/>
      <c r="FC265" s="78"/>
      <c r="FD265" s="78"/>
      <c r="FE265" s="78"/>
      <c r="FF265" s="78"/>
      <c r="FG265" s="78"/>
      <c r="FH265" s="78"/>
      <c r="FI265" s="78"/>
      <c r="FJ265" s="78"/>
      <c r="FK265" s="78"/>
    </row>
    <row r="266" spans="1:167" outlineLevel="1">
      <c r="A266" s="29" t="str">
        <f t="shared" si="26"/>
        <v>modesg_inp_nfrd_alinhamento_taxref_date</v>
      </c>
      <c r="B266" s="67" t="s">
        <v>26</v>
      </c>
      <c r="C266" s="68" t="s">
        <v>181</v>
      </c>
      <c r="D266" s="64" t="s">
        <v>40</v>
      </c>
      <c r="E266" s="66" t="s">
        <v>215</v>
      </c>
      <c r="F266" s="64" t="s">
        <v>208</v>
      </c>
      <c r="G266" s="64" t="str">
        <f>INDEX(Auxiliar!$B$16:$B$24,MATCH(Plano_V1!H266,Auxiliar!$C$16:$C$24,0),1)</f>
        <v>1. Concluído</v>
      </c>
      <c r="H266" s="64">
        <f>VLOOKUP(A266,'Aux - pivots1'!$A:$B,2,0)</f>
        <v>1</v>
      </c>
      <c r="I266" s="84">
        <f>SUMIFS(Table1[Estimação (horas)],Table1[Tabela],Plano_V1!E266,Table1[Campo],Plano_V1!F266)</f>
        <v>0.5</v>
      </c>
      <c r="J266" s="84">
        <f t="shared" si="27"/>
        <v>6.25E-2</v>
      </c>
      <c r="K266" s="89" t="s">
        <v>39</v>
      </c>
      <c r="L266" s="90">
        <f t="shared" si="25"/>
        <v>6.25E-2</v>
      </c>
      <c r="M266" s="78"/>
      <c r="N266" s="78"/>
      <c r="O266" s="78"/>
      <c r="P266" s="78"/>
      <c r="Q266" s="78"/>
      <c r="R266" s="78"/>
      <c r="S266" s="78"/>
      <c r="T266" s="78"/>
      <c r="U266" s="78"/>
      <c r="V266" s="78"/>
      <c r="W266" s="78"/>
      <c r="X266" s="78"/>
      <c r="Y266" s="78"/>
      <c r="Z266" s="78"/>
      <c r="AA266" s="78"/>
      <c r="AB266" s="78"/>
      <c r="AC266" s="78"/>
      <c r="AD266" s="78"/>
      <c r="AE266" s="78"/>
      <c r="AF266" s="78"/>
      <c r="AG266" s="78"/>
      <c r="AH266" s="78"/>
      <c r="AI266" s="78"/>
      <c r="AJ266" s="78"/>
      <c r="AK266" s="78"/>
      <c r="AL266" s="78"/>
      <c r="AM266" s="78"/>
      <c r="AN266" s="78"/>
      <c r="AO266" s="78"/>
      <c r="AP266" s="78"/>
      <c r="AQ266" s="78"/>
      <c r="AR266" s="78"/>
      <c r="AS266" s="78"/>
      <c r="AT266" s="91"/>
      <c r="AU266" s="78"/>
      <c r="AV266" s="78"/>
      <c r="AW266" s="78"/>
      <c r="AX266" s="78"/>
      <c r="AY266" s="78"/>
      <c r="AZ266" s="78"/>
      <c r="BA266" s="78"/>
      <c r="BB266" s="78"/>
      <c r="BC266" s="78"/>
      <c r="BD266" s="78"/>
      <c r="BE266" s="78"/>
      <c r="BF266" s="78"/>
      <c r="BG266" s="78"/>
      <c r="BH266" s="78"/>
      <c r="BI266" s="78"/>
      <c r="BJ266" s="78"/>
      <c r="BK266" s="78"/>
      <c r="BL266" s="78"/>
      <c r="BM266" s="78"/>
      <c r="BN266" s="78"/>
      <c r="BO266" s="78"/>
      <c r="BP266" s="78"/>
      <c r="BQ266" s="78"/>
      <c r="BR266" s="78"/>
      <c r="BS266" s="78"/>
      <c r="BT266" s="78"/>
      <c r="BU266" s="78"/>
      <c r="BV266" s="78"/>
      <c r="BW266" s="78"/>
      <c r="BX266" s="78"/>
      <c r="BY266" s="78"/>
      <c r="BZ266" s="78"/>
      <c r="CA266" s="78"/>
      <c r="CB266" s="78"/>
      <c r="CC266" s="78"/>
      <c r="CD266" s="78"/>
      <c r="CE266" s="78"/>
      <c r="CF266" s="78"/>
      <c r="CG266" s="78"/>
      <c r="CH266" s="78"/>
      <c r="CI266" s="78"/>
      <c r="CJ266" s="78"/>
      <c r="CK266" s="78"/>
      <c r="CL266" s="78"/>
      <c r="CM266" s="78"/>
      <c r="CN266" s="78"/>
      <c r="CO266" s="78"/>
      <c r="CP266" s="78"/>
      <c r="CQ266" s="78"/>
      <c r="CR266" s="78"/>
      <c r="CS266" s="78"/>
      <c r="CT266" s="78"/>
      <c r="CU266" s="78"/>
      <c r="CV266" s="78"/>
      <c r="CW266" s="78"/>
      <c r="CX266" s="78"/>
      <c r="CY266" s="78"/>
      <c r="CZ266" s="78"/>
      <c r="DA266" s="78"/>
      <c r="DB266" s="78"/>
      <c r="DC266" s="78"/>
      <c r="DD266" s="78"/>
      <c r="DE266" s="78"/>
      <c r="DF266" s="78"/>
      <c r="DG266" s="78"/>
      <c r="DH266" s="78"/>
      <c r="DI266" s="78"/>
      <c r="DJ266" s="78"/>
      <c r="DK266" s="78"/>
      <c r="DL266" s="78"/>
      <c r="DM266" s="78"/>
      <c r="DN266" s="78"/>
      <c r="DO266" s="78"/>
      <c r="DP266" s="78"/>
      <c r="DQ266" s="78"/>
      <c r="DR266" s="78"/>
      <c r="DS266" s="78"/>
      <c r="DT266" s="78"/>
      <c r="DU266" s="78"/>
      <c r="DV266" s="78"/>
      <c r="DW266" s="78"/>
      <c r="DX266" s="78"/>
      <c r="DY266" s="78"/>
      <c r="DZ266" s="78"/>
      <c r="EA266" s="78"/>
      <c r="EB266" s="78"/>
      <c r="EC266" s="78"/>
      <c r="ED266" s="78"/>
      <c r="EE266" s="78"/>
      <c r="EF266" s="78"/>
      <c r="EG266" s="78"/>
      <c r="EH266" s="78"/>
      <c r="EI266" s="91"/>
      <c r="EJ266" s="91"/>
      <c r="EK266" s="91"/>
      <c r="EL266" s="91"/>
      <c r="EM266" s="91"/>
      <c r="EN266" s="91"/>
      <c r="EO266" s="91"/>
      <c r="EP266" s="78"/>
      <c r="EQ266" s="78"/>
      <c r="ER266" s="78"/>
      <c r="ES266" s="78"/>
      <c r="ET266" s="78"/>
      <c r="EU266" s="78"/>
      <c r="EV266" s="78"/>
      <c r="EW266" s="78"/>
      <c r="EX266" s="78"/>
      <c r="EY266" s="78"/>
      <c r="EZ266" s="78"/>
      <c r="FA266" s="78"/>
      <c r="FB266" s="78"/>
      <c r="FC266" s="78"/>
      <c r="FD266" s="78"/>
      <c r="FE266" s="78"/>
      <c r="FF266" s="78"/>
      <c r="FG266" s="78"/>
      <c r="FH266" s="78"/>
      <c r="FI266" s="78"/>
      <c r="FJ266" s="78"/>
      <c r="FK266" s="78"/>
    </row>
    <row r="267" spans="1:167" outlineLevel="1">
      <c r="A267" s="29" t="str">
        <f t="shared" si="26"/>
        <v>modesg_inp_nfrd_alinhamento_taxccli_kgl</v>
      </c>
      <c r="B267" s="67" t="s">
        <v>26</v>
      </c>
      <c r="C267" s="68" t="s">
        <v>181</v>
      </c>
      <c r="D267" s="64" t="s">
        <v>40</v>
      </c>
      <c r="E267" s="66" t="s">
        <v>215</v>
      </c>
      <c r="F267" s="64" t="s">
        <v>240</v>
      </c>
      <c r="G267" s="64" t="str">
        <f>INDEX(Auxiliar!$B$16:$B$24,MATCH(Plano_V1!H267,Auxiliar!$C$16:$C$24,0),1)</f>
        <v>1. Concluído</v>
      </c>
      <c r="H267" s="64">
        <f>VLOOKUP(A267,'Aux - pivots1'!$A:$B,2,0)</f>
        <v>1</v>
      </c>
      <c r="I267" s="84">
        <f>SUMIFS(Table1[Estimação (horas)],Table1[Tabela],Plano_V1!E267,Table1[Campo],Plano_V1!F267)</f>
        <v>0.6</v>
      </c>
      <c r="J267" s="84">
        <f t="shared" si="27"/>
        <v>7.4999999999999997E-2</v>
      </c>
      <c r="K267" s="89" t="s">
        <v>39</v>
      </c>
      <c r="L267" s="90">
        <f t="shared" si="25"/>
        <v>7.4999999999999997E-2</v>
      </c>
      <c r="M267" s="78"/>
      <c r="N267" s="78"/>
      <c r="O267" s="78"/>
      <c r="P267" s="78"/>
      <c r="Q267" s="78"/>
      <c r="R267" s="78"/>
      <c r="S267" s="78"/>
      <c r="T267" s="78"/>
      <c r="U267" s="78"/>
      <c r="V267" s="78"/>
      <c r="W267" s="78"/>
      <c r="X267" s="78"/>
      <c r="Y267" s="78"/>
      <c r="Z267" s="78"/>
      <c r="AA267" s="78"/>
      <c r="AB267" s="78"/>
      <c r="AC267" s="78"/>
      <c r="AD267" s="78"/>
      <c r="AE267" s="78"/>
      <c r="AF267" s="78"/>
      <c r="AG267" s="78"/>
      <c r="AH267" s="78"/>
      <c r="AI267" s="78"/>
      <c r="AJ267" s="78"/>
      <c r="AK267" s="78"/>
      <c r="AL267" s="78"/>
      <c r="AM267" s="78"/>
      <c r="AN267" s="78"/>
      <c r="AO267" s="78"/>
      <c r="AP267" s="78"/>
      <c r="AQ267" s="78"/>
      <c r="AR267" s="78"/>
      <c r="AS267" s="78"/>
      <c r="AT267" s="91"/>
      <c r="AU267" s="78"/>
      <c r="AV267" s="78"/>
      <c r="AW267" s="78"/>
      <c r="AX267" s="78"/>
      <c r="AY267" s="78"/>
      <c r="AZ267" s="78"/>
      <c r="BA267" s="78"/>
      <c r="BB267" s="78"/>
      <c r="BC267" s="78"/>
      <c r="BD267" s="78"/>
      <c r="BE267" s="78"/>
      <c r="BF267" s="78"/>
      <c r="BG267" s="78"/>
      <c r="BH267" s="78"/>
      <c r="BI267" s="78"/>
      <c r="BJ267" s="78"/>
      <c r="BK267" s="78"/>
      <c r="BL267" s="78"/>
      <c r="BM267" s="78"/>
      <c r="BN267" s="78"/>
      <c r="BO267" s="78"/>
      <c r="BP267" s="78"/>
      <c r="BQ267" s="78"/>
      <c r="BR267" s="78"/>
      <c r="BS267" s="78"/>
      <c r="BT267" s="78"/>
      <c r="BU267" s="78"/>
      <c r="BV267" s="78"/>
      <c r="BW267" s="78"/>
      <c r="BX267" s="78"/>
      <c r="BY267" s="78"/>
      <c r="BZ267" s="78"/>
      <c r="CA267" s="78"/>
      <c r="CB267" s="78"/>
      <c r="CC267" s="78"/>
      <c r="CD267" s="78"/>
      <c r="CE267" s="78"/>
      <c r="CF267" s="78"/>
      <c r="CG267" s="78"/>
      <c r="CH267" s="78"/>
      <c r="CI267" s="78"/>
      <c r="CJ267" s="78"/>
      <c r="CK267" s="78"/>
      <c r="CL267" s="78"/>
      <c r="CM267" s="78"/>
      <c r="CN267" s="78"/>
      <c r="CO267" s="78"/>
      <c r="CP267" s="78"/>
      <c r="CQ267" s="78"/>
      <c r="CR267" s="78"/>
      <c r="CS267" s="78"/>
      <c r="CT267" s="78"/>
      <c r="CU267" s="78"/>
      <c r="CV267" s="78"/>
      <c r="CW267" s="78"/>
      <c r="CX267" s="78"/>
      <c r="CY267" s="78"/>
      <c r="CZ267" s="78"/>
      <c r="DA267" s="78"/>
      <c r="DB267" s="78"/>
      <c r="DC267" s="78"/>
      <c r="DD267" s="78"/>
      <c r="DE267" s="78"/>
      <c r="DF267" s="78"/>
      <c r="DG267" s="78"/>
      <c r="DH267" s="78"/>
      <c r="DI267" s="78"/>
      <c r="DJ267" s="78"/>
      <c r="DK267" s="78"/>
      <c r="DL267" s="78"/>
      <c r="DM267" s="78"/>
      <c r="DN267" s="78"/>
      <c r="DO267" s="78"/>
      <c r="DP267" s="78"/>
      <c r="DQ267" s="78"/>
      <c r="DR267" s="78"/>
      <c r="DS267" s="78"/>
      <c r="DT267" s="78"/>
      <c r="DU267" s="78"/>
      <c r="DV267" s="78"/>
      <c r="DW267" s="78"/>
      <c r="DX267" s="78"/>
      <c r="DY267" s="78"/>
      <c r="DZ267" s="78"/>
      <c r="EA267" s="78"/>
      <c r="EB267" s="78"/>
      <c r="EC267" s="78"/>
      <c r="ED267" s="78"/>
      <c r="EE267" s="78"/>
      <c r="EF267" s="78"/>
      <c r="EG267" s="78"/>
      <c r="EH267" s="78"/>
      <c r="EI267" s="91"/>
      <c r="EJ267" s="91"/>
      <c r="EK267" s="91"/>
      <c r="EL267" s="91"/>
      <c r="EM267" s="91"/>
      <c r="EN267" s="91"/>
      <c r="EO267" s="91"/>
      <c r="EP267" s="78"/>
      <c r="EQ267" s="78"/>
      <c r="ER267" s="78"/>
      <c r="ES267" s="78"/>
      <c r="ET267" s="78"/>
      <c r="EU267" s="78"/>
      <c r="EV267" s="78"/>
      <c r="EW267" s="78"/>
      <c r="EX267" s="78"/>
      <c r="EY267" s="78"/>
      <c r="EZ267" s="78"/>
      <c r="FA267" s="78"/>
      <c r="FB267" s="78"/>
      <c r="FC267" s="78"/>
      <c r="FD267" s="78"/>
      <c r="FE267" s="78"/>
      <c r="FF267" s="78"/>
      <c r="FG267" s="78"/>
      <c r="FH267" s="78"/>
      <c r="FI267" s="78"/>
      <c r="FJ267" s="78"/>
      <c r="FK267" s="78"/>
    </row>
    <row r="268" spans="1:167" outlineLevel="1">
      <c r="A268" s="29" t="str">
        <f t="shared" si="26"/>
        <v>modesg_inp_nfrd_alinhamento_taxclei</v>
      </c>
      <c r="B268" s="67" t="s">
        <v>26</v>
      </c>
      <c r="C268" s="68" t="s">
        <v>181</v>
      </c>
      <c r="D268" s="64" t="s">
        <v>40</v>
      </c>
      <c r="E268" s="66" t="s">
        <v>215</v>
      </c>
      <c r="F268" s="64" t="s">
        <v>239</v>
      </c>
      <c r="G268" s="64" t="str">
        <f>INDEX(Auxiliar!$B$16:$B$24,MATCH(Plano_V1!H268,Auxiliar!$C$16:$C$24,0),1)</f>
        <v>1. Concluído</v>
      </c>
      <c r="H268" s="64">
        <f>VLOOKUP(A268,'Aux - pivots1'!$A:$B,2,0)</f>
        <v>1</v>
      </c>
      <c r="I268" s="84">
        <f>SUMIFS(Table1[Estimação (horas)],Table1[Tabela],Plano_V1!E268,Table1[Campo],Plano_V1!F268)</f>
        <v>0.6</v>
      </c>
      <c r="J268" s="84">
        <f t="shared" si="27"/>
        <v>7.4999999999999997E-2</v>
      </c>
      <c r="K268" s="89" t="s">
        <v>39</v>
      </c>
      <c r="L268" s="90">
        <f t="shared" si="25"/>
        <v>7.4999999999999997E-2</v>
      </c>
      <c r="M268" s="78"/>
      <c r="N268" s="78"/>
      <c r="O268" s="78"/>
      <c r="P268" s="78"/>
      <c r="Q268" s="78"/>
      <c r="R268" s="78"/>
      <c r="S268" s="78"/>
      <c r="T268" s="78"/>
      <c r="U268" s="78"/>
      <c r="V268" s="78"/>
      <c r="W268" s="78"/>
      <c r="X268" s="78"/>
      <c r="Y268" s="78"/>
      <c r="Z268" s="78"/>
      <c r="AA268" s="78"/>
      <c r="AB268" s="78"/>
      <c r="AC268" s="78"/>
      <c r="AD268" s="78"/>
      <c r="AE268" s="78"/>
      <c r="AF268" s="78"/>
      <c r="AG268" s="78"/>
      <c r="AH268" s="78"/>
      <c r="AI268" s="78"/>
      <c r="AJ268" s="78"/>
      <c r="AK268" s="78"/>
      <c r="AL268" s="78"/>
      <c r="AM268" s="78"/>
      <c r="AN268" s="78"/>
      <c r="AO268" s="78"/>
      <c r="AP268" s="78"/>
      <c r="AQ268" s="78"/>
      <c r="AR268" s="78"/>
      <c r="AS268" s="78"/>
      <c r="AT268" s="91"/>
      <c r="AU268" s="78"/>
      <c r="AV268" s="78"/>
      <c r="AW268" s="78"/>
      <c r="AX268" s="78"/>
      <c r="AY268" s="78"/>
      <c r="AZ268" s="78"/>
      <c r="BA268" s="78"/>
      <c r="BB268" s="78"/>
      <c r="BC268" s="78"/>
      <c r="BD268" s="78"/>
      <c r="BE268" s="78"/>
      <c r="BF268" s="78"/>
      <c r="BG268" s="78"/>
      <c r="BH268" s="78"/>
      <c r="BI268" s="78"/>
      <c r="BJ268" s="78"/>
      <c r="BK268" s="78"/>
      <c r="BL268" s="78"/>
      <c r="BM268" s="78"/>
      <c r="BN268" s="78"/>
      <c r="BO268" s="78"/>
      <c r="BP268" s="78"/>
      <c r="BQ268" s="78"/>
      <c r="BR268" s="78"/>
      <c r="BS268" s="78"/>
      <c r="BT268" s="78"/>
      <c r="BU268" s="78"/>
      <c r="BV268" s="78"/>
      <c r="BW268" s="78"/>
      <c r="BX268" s="78"/>
      <c r="BY268" s="78"/>
      <c r="BZ268" s="78"/>
      <c r="CA268" s="78"/>
      <c r="CB268" s="78"/>
      <c r="CC268" s="78"/>
      <c r="CD268" s="78"/>
      <c r="CE268" s="78"/>
      <c r="CF268" s="78"/>
      <c r="CG268" s="78"/>
      <c r="CH268" s="78"/>
      <c r="CI268" s="78"/>
      <c r="CJ268" s="78"/>
      <c r="CK268" s="78"/>
      <c r="CL268" s="78"/>
      <c r="CM268" s="78"/>
      <c r="CN268" s="78"/>
      <c r="CO268" s="78"/>
      <c r="CP268" s="78"/>
      <c r="CQ268" s="78"/>
      <c r="CR268" s="78"/>
      <c r="CS268" s="78"/>
      <c r="CT268" s="78"/>
      <c r="CU268" s="78"/>
      <c r="CV268" s="78"/>
      <c r="CW268" s="78"/>
      <c r="CX268" s="78"/>
      <c r="CY268" s="78"/>
      <c r="CZ268" s="78"/>
      <c r="DA268" s="78"/>
      <c r="DB268" s="78"/>
      <c r="DC268" s="78"/>
      <c r="DD268" s="78"/>
      <c r="DE268" s="78"/>
      <c r="DF268" s="78"/>
      <c r="DG268" s="78"/>
      <c r="DH268" s="78"/>
      <c r="DI268" s="78"/>
      <c r="DJ268" s="78"/>
      <c r="DK268" s="78"/>
      <c r="DL268" s="78"/>
      <c r="DM268" s="78"/>
      <c r="DN268" s="78"/>
      <c r="DO268" s="78"/>
      <c r="DP268" s="78"/>
      <c r="DQ268" s="78"/>
      <c r="DR268" s="78"/>
      <c r="DS268" s="78"/>
      <c r="DT268" s="78"/>
      <c r="DU268" s="78"/>
      <c r="DV268" s="78"/>
      <c r="DW268" s="78"/>
      <c r="DX268" s="78"/>
      <c r="DY268" s="78"/>
      <c r="DZ268" s="78"/>
      <c r="EA268" s="78"/>
      <c r="EB268" s="78"/>
      <c r="EC268" s="78"/>
      <c r="ED268" s="78"/>
      <c r="EE268" s="78"/>
      <c r="EF268" s="78"/>
      <c r="EG268" s="78"/>
      <c r="EH268" s="78"/>
      <c r="EI268" s="91"/>
      <c r="EJ268" s="91"/>
      <c r="EK268" s="91"/>
      <c r="EL268" s="91"/>
      <c r="EM268" s="91"/>
      <c r="EN268" s="91"/>
      <c r="EO268" s="91"/>
      <c r="EP268" s="78"/>
      <c r="EQ268" s="78"/>
      <c r="ER268" s="78"/>
      <c r="ES268" s="78"/>
      <c r="ET268" s="78"/>
      <c r="EU268" s="78"/>
      <c r="EV268" s="78"/>
      <c r="EW268" s="78"/>
      <c r="EX268" s="78"/>
      <c r="EY268" s="78"/>
      <c r="EZ268" s="78"/>
      <c r="FA268" s="78"/>
      <c r="FB268" s="78"/>
      <c r="FC268" s="78"/>
      <c r="FD268" s="78"/>
      <c r="FE268" s="78"/>
      <c r="FF268" s="78"/>
      <c r="FG268" s="78"/>
      <c r="FH268" s="78"/>
      <c r="FI268" s="78"/>
      <c r="FJ268" s="78"/>
      <c r="FK268" s="78"/>
    </row>
    <row r="269" spans="1:167" outlineLevel="1">
      <c r="A269" s="29" t="str">
        <f t="shared" si="26"/>
        <v>modesg_inp_nfrd_alinhamento_taxperm_id</v>
      </c>
      <c r="B269" s="67" t="s">
        <v>26</v>
      </c>
      <c r="C269" s="68" t="s">
        <v>181</v>
      </c>
      <c r="D269" s="64" t="s">
        <v>40</v>
      </c>
      <c r="E269" s="66" t="s">
        <v>215</v>
      </c>
      <c r="F269" s="64" t="s">
        <v>243</v>
      </c>
      <c r="G269" s="64" t="str">
        <f>INDEX(Auxiliar!$B$16:$B$24,MATCH(Plano_V1!H269,Auxiliar!$C$16:$C$24,0),1)</f>
        <v>1. Concluído</v>
      </c>
      <c r="H269" s="64">
        <f>VLOOKUP(A269,'Aux - pivots1'!$A:$B,2,0)</f>
        <v>1</v>
      </c>
      <c r="I269" s="84">
        <f>SUMIFS(Table1[Estimação (horas)],Table1[Tabela],Plano_V1!E269,Table1[Campo],Plano_V1!F269)</f>
        <v>0.5</v>
      </c>
      <c r="J269" s="84">
        <f t="shared" si="27"/>
        <v>6.25E-2</v>
      </c>
      <c r="K269" s="89" t="s">
        <v>39</v>
      </c>
      <c r="L269" s="90">
        <f t="shared" si="25"/>
        <v>6.25E-2</v>
      </c>
      <c r="M269" s="78"/>
      <c r="N269" s="78"/>
      <c r="O269" s="78"/>
      <c r="P269" s="78"/>
      <c r="Q269" s="78"/>
      <c r="R269" s="78"/>
      <c r="S269" s="78"/>
      <c r="T269" s="78"/>
      <c r="U269" s="78"/>
      <c r="V269" s="78"/>
      <c r="W269" s="78"/>
      <c r="X269" s="78"/>
      <c r="Y269" s="78"/>
      <c r="Z269" s="78"/>
      <c r="AA269" s="78"/>
      <c r="AB269" s="78"/>
      <c r="AC269" s="78"/>
      <c r="AD269" s="78"/>
      <c r="AE269" s="78"/>
      <c r="AF269" s="78"/>
      <c r="AG269" s="78"/>
      <c r="AH269" s="78"/>
      <c r="AI269" s="78"/>
      <c r="AJ269" s="78"/>
      <c r="AK269" s="78"/>
      <c r="AL269" s="78"/>
      <c r="AM269" s="78"/>
      <c r="AN269" s="78"/>
      <c r="AO269" s="78"/>
      <c r="AP269" s="78"/>
      <c r="AQ269" s="78"/>
      <c r="AR269" s="78"/>
      <c r="AS269" s="78"/>
      <c r="AT269" s="91"/>
      <c r="AU269" s="78"/>
      <c r="AV269" s="78"/>
      <c r="AW269" s="78"/>
      <c r="AX269" s="78"/>
      <c r="AY269" s="78"/>
      <c r="AZ269" s="78"/>
      <c r="BA269" s="78"/>
      <c r="BB269" s="78"/>
      <c r="BC269" s="78"/>
      <c r="BD269" s="78"/>
      <c r="BE269" s="78"/>
      <c r="BF269" s="78"/>
      <c r="BG269" s="78"/>
      <c r="BH269" s="78"/>
      <c r="BI269" s="78"/>
      <c r="BJ269" s="78"/>
      <c r="BK269" s="78"/>
      <c r="BL269" s="78"/>
      <c r="BM269" s="78"/>
      <c r="BN269" s="78"/>
      <c r="BO269" s="78"/>
      <c r="BP269" s="78"/>
      <c r="BQ269" s="78"/>
      <c r="BR269" s="78"/>
      <c r="BS269" s="78"/>
      <c r="BT269" s="78"/>
      <c r="BU269" s="78"/>
      <c r="BV269" s="78"/>
      <c r="BW269" s="78"/>
      <c r="BX269" s="78"/>
      <c r="BY269" s="78"/>
      <c r="BZ269" s="78"/>
      <c r="CA269" s="78"/>
      <c r="CB269" s="78"/>
      <c r="CC269" s="78"/>
      <c r="CD269" s="78"/>
      <c r="CE269" s="78"/>
      <c r="CF269" s="78"/>
      <c r="CG269" s="78"/>
      <c r="CH269" s="78"/>
      <c r="CI269" s="78"/>
      <c r="CJ269" s="78"/>
      <c r="CK269" s="78"/>
      <c r="CL269" s="78"/>
      <c r="CM269" s="78"/>
      <c r="CN269" s="78"/>
      <c r="CO269" s="78"/>
      <c r="CP269" s="78"/>
      <c r="CQ269" s="78"/>
      <c r="CR269" s="78"/>
      <c r="CS269" s="78"/>
      <c r="CT269" s="78"/>
      <c r="CU269" s="78"/>
      <c r="CV269" s="78"/>
      <c r="CW269" s="78"/>
      <c r="CX269" s="78"/>
      <c r="CY269" s="78"/>
      <c r="CZ269" s="78"/>
      <c r="DA269" s="78"/>
      <c r="DB269" s="78"/>
      <c r="DC269" s="78"/>
      <c r="DD269" s="78"/>
      <c r="DE269" s="78"/>
      <c r="DF269" s="78"/>
      <c r="DG269" s="78"/>
      <c r="DH269" s="78"/>
      <c r="DI269" s="78"/>
      <c r="DJ269" s="78"/>
      <c r="DK269" s="78"/>
      <c r="DL269" s="78"/>
      <c r="DM269" s="78"/>
      <c r="DN269" s="78"/>
      <c r="DO269" s="78"/>
      <c r="DP269" s="78"/>
      <c r="DQ269" s="78"/>
      <c r="DR269" s="78"/>
      <c r="DS269" s="78"/>
      <c r="DT269" s="78"/>
      <c r="DU269" s="78"/>
      <c r="DV269" s="78"/>
      <c r="DW269" s="78"/>
      <c r="DX269" s="78"/>
      <c r="DY269" s="78"/>
      <c r="DZ269" s="78"/>
      <c r="EA269" s="78"/>
      <c r="EB269" s="78"/>
      <c r="EC269" s="78"/>
      <c r="ED269" s="78"/>
      <c r="EE269" s="78"/>
      <c r="EF269" s="78"/>
      <c r="EG269" s="78"/>
      <c r="EH269" s="78"/>
      <c r="EI269" s="91"/>
      <c r="EJ269" s="91"/>
      <c r="EK269" s="91"/>
      <c r="EL269" s="91"/>
      <c r="EM269" s="91"/>
      <c r="EN269" s="91"/>
      <c r="EO269" s="91"/>
      <c r="EP269" s="78"/>
      <c r="EQ269" s="78"/>
      <c r="ER269" s="78"/>
      <c r="ES269" s="78"/>
      <c r="ET269" s="78"/>
      <c r="EU269" s="78"/>
      <c r="EV269" s="78"/>
      <c r="EW269" s="78"/>
      <c r="EX269" s="78"/>
      <c r="EY269" s="78"/>
      <c r="EZ269" s="78"/>
      <c r="FA269" s="78"/>
      <c r="FB269" s="78"/>
      <c r="FC269" s="78"/>
      <c r="FD269" s="78"/>
      <c r="FE269" s="78"/>
      <c r="FF269" s="78"/>
      <c r="FG269" s="78"/>
      <c r="FH269" s="78"/>
      <c r="FI269" s="78"/>
      <c r="FJ269" s="78"/>
      <c r="FK269" s="78"/>
    </row>
    <row r="270" spans="1:167" outlineLevel="1">
      <c r="A270" s="29" t="str">
        <f t="shared" si="26"/>
        <v>modesg_inp_nfrd_alinhamento_taxnome_entidade</v>
      </c>
      <c r="B270" s="67" t="s">
        <v>26</v>
      </c>
      <c r="C270" s="68" t="s">
        <v>181</v>
      </c>
      <c r="D270" s="64" t="s">
        <v>40</v>
      </c>
      <c r="E270" s="66" t="s">
        <v>215</v>
      </c>
      <c r="F270" s="64" t="s">
        <v>241</v>
      </c>
      <c r="G270" s="64" t="str">
        <f>INDEX(Auxiliar!$B$16:$B$24,MATCH(Plano_V1!H270,Auxiliar!$C$16:$C$24,0),1)</f>
        <v>1. Concluído</v>
      </c>
      <c r="H270" s="64">
        <f>VLOOKUP(A270,'Aux - pivots1'!$A:$B,2,0)</f>
        <v>1</v>
      </c>
      <c r="I270" s="84">
        <f>SUMIFS(Table1[Estimação (horas)],Table1[Tabela],Plano_V1!E270,Table1[Campo],Plano_V1!F270)</f>
        <v>0.5</v>
      </c>
      <c r="J270" s="84">
        <f t="shared" si="27"/>
        <v>6.25E-2</v>
      </c>
      <c r="K270" s="89" t="s">
        <v>39</v>
      </c>
      <c r="L270" s="90">
        <f t="shared" si="25"/>
        <v>6.25E-2</v>
      </c>
      <c r="M270" s="78"/>
      <c r="N270" s="78"/>
      <c r="O270" s="78"/>
      <c r="P270" s="78"/>
      <c r="Q270" s="78"/>
      <c r="R270" s="78"/>
      <c r="S270" s="78"/>
      <c r="T270" s="78"/>
      <c r="U270" s="78"/>
      <c r="V270" s="78"/>
      <c r="W270" s="78"/>
      <c r="X270" s="78"/>
      <c r="Y270" s="78"/>
      <c r="Z270" s="78"/>
      <c r="AA270" s="78"/>
      <c r="AB270" s="78"/>
      <c r="AC270" s="78"/>
      <c r="AD270" s="78"/>
      <c r="AE270" s="78"/>
      <c r="AF270" s="78"/>
      <c r="AG270" s="78"/>
      <c r="AH270" s="78"/>
      <c r="AI270" s="78"/>
      <c r="AJ270" s="78"/>
      <c r="AK270" s="78"/>
      <c r="AL270" s="78"/>
      <c r="AM270" s="78"/>
      <c r="AN270" s="78"/>
      <c r="AO270" s="78"/>
      <c r="AP270" s="78"/>
      <c r="AQ270" s="78"/>
      <c r="AR270" s="78"/>
      <c r="AS270" s="78"/>
      <c r="AT270" s="91"/>
      <c r="AU270" s="78"/>
      <c r="AV270" s="78"/>
      <c r="AW270" s="78"/>
      <c r="AX270" s="78"/>
      <c r="AY270" s="78"/>
      <c r="AZ270" s="78"/>
      <c r="BA270" s="78"/>
      <c r="BB270" s="78"/>
      <c r="BC270" s="78"/>
      <c r="BD270" s="78"/>
      <c r="BE270" s="78"/>
      <c r="BF270" s="78"/>
      <c r="BG270" s="78"/>
      <c r="BH270" s="78"/>
      <c r="BI270" s="78"/>
      <c r="BJ270" s="78"/>
      <c r="BK270" s="78"/>
      <c r="BL270" s="78"/>
      <c r="BM270" s="78"/>
      <c r="BN270" s="78"/>
      <c r="BO270" s="78"/>
      <c r="BP270" s="78"/>
      <c r="BQ270" s="78"/>
      <c r="BR270" s="78"/>
      <c r="BS270" s="78"/>
      <c r="BT270" s="78"/>
      <c r="BU270" s="78"/>
      <c r="BV270" s="78"/>
      <c r="BW270" s="78"/>
      <c r="BX270" s="78"/>
      <c r="BY270" s="78"/>
      <c r="BZ270" s="78"/>
      <c r="CA270" s="78"/>
      <c r="CB270" s="78"/>
      <c r="CC270" s="78"/>
      <c r="CD270" s="78"/>
      <c r="CE270" s="78"/>
      <c r="CF270" s="78"/>
      <c r="CG270" s="78"/>
      <c r="CH270" s="78"/>
      <c r="CI270" s="78"/>
      <c r="CJ270" s="78"/>
      <c r="CK270" s="78"/>
      <c r="CL270" s="78"/>
      <c r="CM270" s="78"/>
      <c r="CN270" s="78"/>
      <c r="CO270" s="78"/>
      <c r="CP270" s="78"/>
      <c r="CQ270" s="78"/>
      <c r="CR270" s="78"/>
      <c r="CS270" s="78"/>
      <c r="CT270" s="78"/>
      <c r="CU270" s="78"/>
      <c r="CV270" s="78"/>
      <c r="CW270" s="78"/>
      <c r="CX270" s="78"/>
      <c r="CY270" s="78"/>
      <c r="CZ270" s="78"/>
      <c r="DA270" s="78"/>
      <c r="DB270" s="78"/>
      <c r="DC270" s="78"/>
      <c r="DD270" s="78"/>
      <c r="DE270" s="78"/>
      <c r="DF270" s="78"/>
      <c r="DG270" s="78"/>
      <c r="DH270" s="78"/>
      <c r="DI270" s="78"/>
      <c r="DJ270" s="78"/>
      <c r="DK270" s="78"/>
      <c r="DL270" s="78"/>
      <c r="DM270" s="78"/>
      <c r="DN270" s="78"/>
      <c r="DO270" s="78"/>
      <c r="DP270" s="78"/>
      <c r="DQ270" s="78"/>
      <c r="DR270" s="78"/>
      <c r="DS270" s="78"/>
      <c r="DT270" s="78"/>
      <c r="DU270" s="78"/>
      <c r="DV270" s="78"/>
      <c r="DW270" s="78"/>
      <c r="DX270" s="78"/>
      <c r="DY270" s="78"/>
      <c r="DZ270" s="78"/>
      <c r="EA270" s="78"/>
      <c r="EB270" s="78"/>
      <c r="EC270" s="78"/>
      <c r="ED270" s="78"/>
      <c r="EE270" s="78"/>
      <c r="EF270" s="78"/>
      <c r="EG270" s="78"/>
      <c r="EH270" s="78"/>
      <c r="EI270" s="91"/>
      <c r="EJ270" s="91"/>
      <c r="EK270" s="91"/>
      <c r="EL270" s="91"/>
      <c r="EM270" s="91"/>
      <c r="EN270" s="91"/>
      <c r="EO270" s="91"/>
      <c r="EP270" s="78"/>
      <c r="EQ270" s="78"/>
      <c r="ER270" s="78"/>
      <c r="ES270" s="78"/>
      <c r="ET270" s="78"/>
      <c r="EU270" s="78"/>
      <c r="EV270" s="78"/>
      <c r="EW270" s="78"/>
      <c r="EX270" s="78"/>
      <c r="EY270" s="78"/>
      <c r="EZ270" s="78"/>
      <c r="FA270" s="78"/>
      <c r="FB270" s="78"/>
      <c r="FC270" s="78"/>
      <c r="FD270" s="78"/>
      <c r="FE270" s="78"/>
      <c r="FF270" s="78"/>
      <c r="FG270" s="78"/>
      <c r="FH270" s="78"/>
      <c r="FI270" s="78"/>
      <c r="FJ270" s="78"/>
      <c r="FK270" s="78"/>
    </row>
    <row r="271" spans="1:167" outlineLevel="1">
      <c r="A271" s="29" t="str">
        <f t="shared" si="26"/>
        <v>modesg_inp_nfrd_alinhamento_taxflg_nfrd</v>
      </c>
      <c r="B271" s="67" t="s">
        <v>26</v>
      </c>
      <c r="C271" s="68" t="s">
        <v>181</v>
      </c>
      <c r="D271" s="64" t="s">
        <v>40</v>
      </c>
      <c r="E271" s="66" t="s">
        <v>215</v>
      </c>
      <c r="F271" s="64" t="s">
        <v>244</v>
      </c>
      <c r="G271" s="64" t="str">
        <f>INDEX(Auxiliar!$B$16:$B$24,MATCH(Plano_V1!H271,Auxiliar!$C$16:$C$24,0),1)</f>
        <v>1. Concluído</v>
      </c>
      <c r="H271" s="64">
        <f>VLOOKUP(A271,'Aux - pivots1'!$A:$B,2,0)</f>
        <v>1</v>
      </c>
      <c r="I271" s="84">
        <f>SUMIFS(Table1[Estimação (horas)],Table1[Tabela],Plano_V1!E271,Table1[Campo],Plano_V1!F271)</f>
        <v>0.5</v>
      </c>
      <c r="J271" s="84">
        <f t="shared" si="27"/>
        <v>6.25E-2</v>
      </c>
      <c r="K271" s="89" t="s">
        <v>39</v>
      </c>
      <c r="L271" s="90">
        <f t="shared" si="25"/>
        <v>6.25E-2</v>
      </c>
      <c r="M271" s="78"/>
      <c r="N271" s="78"/>
      <c r="O271" s="78"/>
      <c r="P271" s="78"/>
      <c r="Q271" s="78"/>
      <c r="R271" s="78"/>
      <c r="S271" s="78"/>
      <c r="T271" s="78"/>
      <c r="U271" s="78"/>
      <c r="V271" s="78"/>
      <c r="W271" s="78"/>
      <c r="X271" s="78"/>
      <c r="Y271" s="78"/>
      <c r="Z271" s="78"/>
      <c r="AA271" s="78"/>
      <c r="AB271" s="78"/>
      <c r="AC271" s="78"/>
      <c r="AD271" s="78"/>
      <c r="AE271" s="78"/>
      <c r="AF271" s="78"/>
      <c r="AG271" s="78"/>
      <c r="AH271" s="78"/>
      <c r="AI271" s="78"/>
      <c r="AJ271" s="78"/>
      <c r="AK271" s="78"/>
      <c r="AL271" s="78"/>
      <c r="AM271" s="78"/>
      <c r="AN271" s="78"/>
      <c r="AO271" s="78"/>
      <c r="AP271" s="78"/>
      <c r="AQ271" s="78"/>
      <c r="AR271" s="78"/>
      <c r="AS271" s="78"/>
      <c r="AT271" s="91"/>
      <c r="AU271" s="78"/>
      <c r="AV271" s="78"/>
      <c r="AW271" s="78"/>
      <c r="AX271" s="78"/>
      <c r="AY271" s="78"/>
      <c r="AZ271" s="78"/>
      <c r="BA271" s="78"/>
      <c r="BB271" s="78"/>
      <c r="BC271" s="78"/>
      <c r="BD271" s="78"/>
      <c r="BE271" s="78"/>
      <c r="BF271" s="78"/>
      <c r="BG271" s="78"/>
      <c r="BH271" s="78"/>
      <c r="BI271" s="78"/>
      <c r="BJ271" s="78"/>
      <c r="BK271" s="78"/>
      <c r="BL271" s="78"/>
      <c r="BM271" s="78"/>
      <c r="BN271" s="78"/>
      <c r="BO271" s="78"/>
      <c r="BP271" s="78"/>
      <c r="BQ271" s="78"/>
      <c r="BR271" s="78"/>
      <c r="BS271" s="78"/>
      <c r="BT271" s="78"/>
      <c r="BU271" s="78"/>
      <c r="BV271" s="78"/>
      <c r="BW271" s="78"/>
      <c r="BX271" s="78"/>
      <c r="BY271" s="78"/>
      <c r="BZ271" s="78"/>
      <c r="CA271" s="78"/>
      <c r="CB271" s="78"/>
      <c r="CC271" s="78"/>
      <c r="CD271" s="78"/>
      <c r="CE271" s="78"/>
      <c r="CF271" s="78"/>
      <c r="CG271" s="78"/>
      <c r="CH271" s="78"/>
      <c r="CI271" s="78"/>
      <c r="CJ271" s="78"/>
      <c r="CK271" s="78"/>
      <c r="CL271" s="78"/>
      <c r="CM271" s="78"/>
      <c r="CN271" s="78"/>
      <c r="CO271" s="78"/>
      <c r="CP271" s="78"/>
      <c r="CQ271" s="78"/>
      <c r="CR271" s="78"/>
      <c r="CS271" s="78"/>
      <c r="CT271" s="78"/>
      <c r="CU271" s="78"/>
      <c r="CV271" s="78"/>
      <c r="CW271" s="78"/>
      <c r="CX271" s="78"/>
      <c r="CY271" s="78"/>
      <c r="CZ271" s="78"/>
      <c r="DA271" s="78"/>
      <c r="DB271" s="78"/>
      <c r="DC271" s="78"/>
      <c r="DD271" s="78"/>
      <c r="DE271" s="78"/>
      <c r="DF271" s="78"/>
      <c r="DG271" s="78"/>
      <c r="DH271" s="78"/>
      <c r="DI271" s="78"/>
      <c r="DJ271" s="78"/>
      <c r="DK271" s="78"/>
      <c r="DL271" s="78"/>
      <c r="DM271" s="78"/>
      <c r="DN271" s="78"/>
      <c r="DO271" s="78"/>
      <c r="DP271" s="78"/>
      <c r="DQ271" s="78"/>
      <c r="DR271" s="78"/>
      <c r="DS271" s="78"/>
      <c r="DT271" s="78"/>
      <c r="DU271" s="78"/>
      <c r="DV271" s="78"/>
      <c r="DW271" s="78"/>
      <c r="DX271" s="78"/>
      <c r="DY271" s="78"/>
      <c r="DZ271" s="78"/>
      <c r="EA271" s="78"/>
      <c r="EB271" s="78"/>
      <c r="EC271" s="78"/>
      <c r="ED271" s="78"/>
      <c r="EE271" s="78"/>
      <c r="EF271" s="78"/>
      <c r="EG271" s="78"/>
      <c r="EH271" s="78"/>
      <c r="EI271" s="91"/>
      <c r="EJ271" s="91"/>
      <c r="EK271" s="91"/>
      <c r="EL271" s="91"/>
      <c r="EM271" s="91"/>
      <c r="EN271" s="91"/>
      <c r="EO271" s="91"/>
      <c r="EP271" s="78"/>
      <c r="EQ271" s="78"/>
      <c r="ER271" s="78"/>
      <c r="ES271" s="78"/>
      <c r="ET271" s="78"/>
      <c r="EU271" s="78"/>
      <c r="EV271" s="78"/>
      <c r="EW271" s="78"/>
      <c r="EX271" s="78"/>
      <c r="EY271" s="78"/>
      <c r="EZ271" s="78"/>
      <c r="FA271" s="78"/>
      <c r="FB271" s="78"/>
      <c r="FC271" s="78"/>
      <c r="FD271" s="78"/>
      <c r="FE271" s="78"/>
      <c r="FF271" s="78"/>
      <c r="FG271" s="78"/>
      <c r="FH271" s="78"/>
      <c r="FI271" s="78"/>
      <c r="FJ271" s="78"/>
      <c r="FK271" s="78"/>
    </row>
    <row r="272" spans="1:167" outlineLevel="1">
      <c r="A272" s="29" t="str">
        <f t="shared" si="26"/>
        <v>modesg_inp_nfrd_alinhamento_taxcca_trnvr_ttl_elgbl</v>
      </c>
      <c r="B272" s="67" t="s">
        <v>26</v>
      </c>
      <c r="C272" s="68" t="s">
        <v>181</v>
      </c>
      <c r="D272" s="64" t="s">
        <v>40</v>
      </c>
      <c r="E272" s="66" t="s">
        <v>215</v>
      </c>
      <c r="F272" s="64" t="s">
        <v>245</v>
      </c>
      <c r="G272" s="64" t="str">
        <f>INDEX(Auxiliar!$B$16:$B$24,MATCH(Plano_V1!H272,Auxiliar!$C$16:$C$24,0),1)</f>
        <v>1. Concluído</v>
      </c>
      <c r="H272" s="64">
        <f>VLOOKUP(A272,'Aux - pivots1'!$A:$B,2,0)</f>
        <v>1</v>
      </c>
      <c r="I272" s="84">
        <f>SUMIFS(Table1[Estimação (horas)],Table1[Tabela],Plano_V1!E272,Table1[Campo],Plano_V1!F272)</f>
        <v>0.6</v>
      </c>
      <c r="J272" s="84">
        <f t="shared" si="27"/>
        <v>7.4999999999999997E-2</v>
      </c>
      <c r="K272" s="89" t="s">
        <v>39</v>
      </c>
      <c r="L272" s="90">
        <f t="shared" si="25"/>
        <v>7.4999999999999997E-2</v>
      </c>
      <c r="M272" s="78"/>
      <c r="N272" s="78"/>
      <c r="O272" s="78"/>
      <c r="P272" s="78"/>
      <c r="Q272" s="78"/>
      <c r="R272" s="78"/>
      <c r="S272" s="78"/>
      <c r="T272" s="78"/>
      <c r="U272" s="78"/>
      <c r="V272" s="78"/>
      <c r="W272" s="78"/>
      <c r="X272" s="78"/>
      <c r="Y272" s="78"/>
      <c r="Z272" s="78"/>
      <c r="AA272" s="78"/>
      <c r="AB272" s="78"/>
      <c r="AC272" s="78"/>
      <c r="AD272" s="78"/>
      <c r="AE272" s="78"/>
      <c r="AF272" s="78"/>
      <c r="AG272" s="78"/>
      <c r="AH272" s="78"/>
      <c r="AI272" s="78"/>
      <c r="AJ272" s="78"/>
      <c r="AK272" s="78"/>
      <c r="AL272" s="78"/>
      <c r="AM272" s="78"/>
      <c r="AN272" s="78"/>
      <c r="AO272" s="78"/>
      <c r="AP272" s="78"/>
      <c r="AQ272" s="78"/>
      <c r="AR272" s="78"/>
      <c r="AS272" s="78"/>
      <c r="AT272" s="91"/>
      <c r="AU272" s="78"/>
      <c r="AV272" s="78"/>
      <c r="AW272" s="78"/>
      <c r="AX272" s="78"/>
      <c r="AY272" s="78"/>
      <c r="AZ272" s="78"/>
      <c r="BA272" s="78"/>
      <c r="BB272" s="78"/>
      <c r="BC272" s="78"/>
      <c r="BD272" s="78"/>
      <c r="BE272" s="78"/>
      <c r="BF272" s="78"/>
      <c r="BG272" s="78"/>
      <c r="BH272" s="78"/>
      <c r="BI272" s="78"/>
      <c r="BJ272" s="78"/>
      <c r="BK272" s="78"/>
      <c r="BL272" s="78"/>
      <c r="BM272" s="78"/>
      <c r="BN272" s="78"/>
      <c r="BO272" s="78"/>
      <c r="BP272" s="78"/>
      <c r="BQ272" s="78"/>
      <c r="BR272" s="78"/>
      <c r="BS272" s="78"/>
      <c r="BT272" s="78"/>
      <c r="BU272" s="78"/>
      <c r="BV272" s="78"/>
      <c r="BW272" s="78"/>
      <c r="BX272" s="78"/>
      <c r="BY272" s="78"/>
      <c r="BZ272" s="78"/>
      <c r="CA272" s="78"/>
      <c r="CB272" s="78"/>
      <c r="CC272" s="78"/>
      <c r="CD272" s="78"/>
      <c r="CE272" s="78"/>
      <c r="CF272" s="78"/>
      <c r="CG272" s="78"/>
      <c r="CH272" s="78"/>
      <c r="CI272" s="78"/>
      <c r="CJ272" s="78"/>
      <c r="CK272" s="78"/>
      <c r="CL272" s="78"/>
      <c r="CM272" s="78"/>
      <c r="CN272" s="78"/>
      <c r="CO272" s="78"/>
      <c r="CP272" s="78"/>
      <c r="CQ272" s="78"/>
      <c r="CR272" s="78"/>
      <c r="CS272" s="78"/>
      <c r="CT272" s="78"/>
      <c r="CU272" s="78"/>
      <c r="CV272" s="78"/>
      <c r="CW272" s="78"/>
      <c r="CX272" s="78"/>
      <c r="CY272" s="78"/>
      <c r="CZ272" s="78"/>
      <c r="DA272" s="78"/>
      <c r="DB272" s="78"/>
      <c r="DC272" s="78"/>
      <c r="DD272" s="78"/>
      <c r="DE272" s="78"/>
      <c r="DF272" s="78"/>
      <c r="DG272" s="78"/>
      <c r="DH272" s="78"/>
      <c r="DI272" s="78"/>
      <c r="DJ272" s="78"/>
      <c r="DK272" s="78"/>
      <c r="DL272" s="78"/>
      <c r="DM272" s="78"/>
      <c r="DN272" s="78"/>
      <c r="DO272" s="78"/>
      <c r="DP272" s="78"/>
      <c r="DQ272" s="78"/>
      <c r="DR272" s="78"/>
      <c r="DS272" s="78"/>
      <c r="DT272" s="78"/>
      <c r="DU272" s="78"/>
      <c r="DV272" s="78"/>
      <c r="DW272" s="78"/>
      <c r="DX272" s="78"/>
      <c r="DY272" s="78"/>
      <c r="DZ272" s="78"/>
      <c r="EA272" s="78"/>
      <c r="EB272" s="78"/>
      <c r="EC272" s="78"/>
      <c r="ED272" s="78"/>
      <c r="EE272" s="78"/>
      <c r="EF272" s="78"/>
      <c r="EG272" s="78"/>
      <c r="EH272" s="78"/>
      <c r="EI272" s="91"/>
      <c r="EJ272" s="91"/>
      <c r="EK272" s="91"/>
      <c r="EL272" s="91"/>
      <c r="EM272" s="91"/>
      <c r="EN272" s="91"/>
      <c r="EO272" s="91"/>
      <c r="EP272" s="78"/>
      <c r="EQ272" s="78"/>
      <c r="ER272" s="78"/>
      <c r="ES272" s="78"/>
      <c r="ET272" s="78"/>
      <c r="EU272" s="78"/>
      <c r="EV272" s="78"/>
      <c r="EW272" s="78"/>
      <c r="EX272" s="78"/>
      <c r="EY272" s="78"/>
      <c r="EZ272" s="78"/>
      <c r="FA272" s="78"/>
      <c r="FB272" s="78"/>
      <c r="FC272" s="78"/>
      <c r="FD272" s="78"/>
      <c r="FE272" s="78"/>
      <c r="FF272" s="78"/>
      <c r="FG272" s="78"/>
      <c r="FH272" s="78"/>
      <c r="FI272" s="78"/>
      <c r="FJ272" s="78"/>
      <c r="FK272" s="78"/>
    </row>
    <row r="273" spans="1:167" outlineLevel="1">
      <c r="A273" s="29" t="str">
        <f t="shared" si="26"/>
        <v>modesg_inp_nfrd_alinhamento_taxcca_trnvr_enblng_alignd</v>
      </c>
      <c r="B273" s="67" t="s">
        <v>26</v>
      </c>
      <c r="C273" s="68" t="s">
        <v>181</v>
      </c>
      <c r="D273" s="64" t="s">
        <v>40</v>
      </c>
      <c r="E273" s="66" t="s">
        <v>215</v>
      </c>
      <c r="F273" s="64" t="s">
        <v>246</v>
      </c>
      <c r="G273" s="64" t="str">
        <f>INDEX(Auxiliar!$B$16:$B$24,MATCH(Plano_V1!H273,Auxiliar!$C$16:$C$24,0),1)</f>
        <v>1. Concluído</v>
      </c>
      <c r="H273" s="64">
        <f>VLOOKUP(A273,'Aux - pivots1'!$A:$B,2,0)</f>
        <v>1</v>
      </c>
      <c r="I273" s="84">
        <f>SUMIFS(Table1[Estimação (horas)],Table1[Tabela],Plano_V1!E273,Table1[Campo],Plano_V1!F273)</f>
        <v>0.6</v>
      </c>
      <c r="J273" s="84">
        <f t="shared" si="27"/>
        <v>7.4999999999999997E-2</v>
      </c>
      <c r="K273" s="89" t="s">
        <v>39</v>
      </c>
      <c r="L273" s="90">
        <f t="shared" si="25"/>
        <v>7.4999999999999997E-2</v>
      </c>
      <c r="M273" s="78"/>
      <c r="N273" s="78"/>
      <c r="O273" s="78"/>
      <c r="P273" s="78"/>
      <c r="Q273" s="78"/>
      <c r="R273" s="78"/>
      <c r="S273" s="78"/>
      <c r="T273" s="78"/>
      <c r="U273" s="78"/>
      <c r="V273" s="78"/>
      <c r="W273" s="78"/>
      <c r="X273" s="78"/>
      <c r="Y273" s="78"/>
      <c r="Z273" s="78"/>
      <c r="AA273" s="78"/>
      <c r="AB273" s="78"/>
      <c r="AC273" s="78"/>
      <c r="AD273" s="78"/>
      <c r="AE273" s="78"/>
      <c r="AF273" s="78"/>
      <c r="AG273" s="78"/>
      <c r="AH273" s="78"/>
      <c r="AI273" s="78"/>
      <c r="AJ273" s="78"/>
      <c r="AK273" s="78"/>
      <c r="AL273" s="78"/>
      <c r="AM273" s="78"/>
      <c r="AN273" s="78"/>
      <c r="AO273" s="78"/>
      <c r="AP273" s="78"/>
      <c r="AQ273" s="78"/>
      <c r="AR273" s="78"/>
      <c r="AS273" s="78"/>
      <c r="AT273" s="91"/>
      <c r="AU273" s="78"/>
      <c r="AV273" s="78"/>
      <c r="AW273" s="78"/>
      <c r="AX273" s="78"/>
      <c r="AY273" s="78"/>
      <c r="AZ273" s="78"/>
      <c r="BA273" s="78"/>
      <c r="BB273" s="78"/>
      <c r="BC273" s="78"/>
      <c r="BD273" s="78"/>
      <c r="BE273" s="78"/>
      <c r="BF273" s="78"/>
      <c r="BG273" s="78"/>
      <c r="BH273" s="78"/>
      <c r="BI273" s="78"/>
      <c r="BJ273" s="78"/>
      <c r="BK273" s="78"/>
      <c r="BL273" s="78"/>
      <c r="BM273" s="78"/>
      <c r="BN273" s="78"/>
      <c r="BO273" s="78"/>
      <c r="BP273" s="78"/>
      <c r="BQ273" s="78"/>
      <c r="BR273" s="78"/>
      <c r="BS273" s="78"/>
      <c r="BT273" s="78"/>
      <c r="BU273" s="78"/>
      <c r="BV273" s="78"/>
      <c r="BW273" s="78"/>
      <c r="BX273" s="78"/>
      <c r="BY273" s="78"/>
      <c r="BZ273" s="78"/>
      <c r="CA273" s="78"/>
      <c r="CB273" s="78"/>
      <c r="CC273" s="78"/>
      <c r="CD273" s="78"/>
      <c r="CE273" s="78"/>
      <c r="CF273" s="78"/>
      <c r="CG273" s="78"/>
      <c r="CH273" s="78"/>
      <c r="CI273" s="78"/>
      <c r="CJ273" s="78"/>
      <c r="CK273" s="78"/>
      <c r="CL273" s="78"/>
      <c r="CM273" s="78"/>
      <c r="CN273" s="78"/>
      <c r="CO273" s="78"/>
      <c r="CP273" s="78"/>
      <c r="CQ273" s="78"/>
      <c r="CR273" s="78"/>
      <c r="CS273" s="78"/>
      <c r="CT273" s="78"/>
      <c r="CU273" s="78"/>
      <c r="CV273" s="78"/>
      <c r="CW273" s="78"/>
      <c r="CX273" s="78"/>
      <c r="CY273" s="78"/>
      <c r="CZ273" s="78"/>
      <c r="DA273" s="78"/>
      <c r="DB273" s="78"/>
      <c r="DC273" s="78"/>
      <c r="DD273" s="78"/>
      <c r="DE273" s="78"/>
      <c r="DF273" s="78"/>
      <c r="DG273" s="78"/>
      <c r="DH273" s="78"/>
      <c r="DI273" s="78"/>
      <c r="DJ273" s="78"/>
      <c r="DK273" s="78"/>
      <c r="DL273" s="78"/>
      <c r="DM273" s="78"/>
      <c r="DN273" s="78"/>
      <c r="DO273" s="78"/>
      <c r="DP273" s="78"/>
      <c r="DQ273" s="78"/>
      <c r="DR273" s="78"/>
      <c r="DS273" s="78"/>
      <c r="DT273" s="78"/>
      <c r="DU273" s="78"/>
      <c r="DV273" s="78"/>
      <c r="DW273" s="78"/>
      <c r="DX273" s="78"/>
      <c r="DY273" s="78"/>
      <c r="DZ273" s="78"/>
      <c r="EA273" s="78"/>
      <c r="EB273" s="78"/>
      <c r="EC273" s="78"/>
      <c r="ED273" s="78"/>
      <c r="EE273" s="78"/>
      <c r="EF273" s="78"/>
      <c r="EG273" s="78"/>
      <c r="EH273" s="78"/>
      <c r="EI273" s="91"/>
      <c r="EJ273" s="91"/>
      <c r="EK273" s="91"/>
      <c r="EL273" s="91"/>
      <c r="EM273" s="91"/>
      <c r="EN273" s="91"/>
      <c r="EO273" s="91"/>
      <c r="EP273" s="78"/>
      <c r="EQ273" s="78"/>
      <c r="ER273" s="78"/>
      <c r="ES273" s="78"/>
      <c r="ET273" s="78"/>
      <c r="EU273" s="78"/>
      <c r="EV273" s="78"/>
      <c r="EW273" s="78"/>
      <c r="EX273" s="78"/>
      <c r="EY273" s="78"/>
      <c r="EZ273" s="78"/>
      <c r="FA273" s="78"/>
      <c r="FB273" s="78"/>
      <c r="FC273" s="78"/>
      <c r="FD273" s="78"/>
      <c r="FE273" s="78"/>
      <c r="FF273" s="78"/>
      <c r="FG273" s="78"/>
      <c r="FH273" s="78"/>
      <c r="FI273" s="78"/>
      <c r="FJ273" s="78"/>
      <c r="FK273" s="78"/>
    </row>
    <row r="274" spans="1:167" outlineLevel="1">
      <c r="A274" s="29" t="str">
        <f t="shared" si="26"/>
        <v>modesg_inp_nfrd_alinhamento_taxcca_turnover_own_prfrmnce_algnd</v>
      </c>
      <c r="B274" s="67" t="s">
        <v>26</v>
      </c>
      <c r="C274" s="68" t="s">
        <v>181</v>
      </c>
      <c r="D274" s="64" t="s">
        <v>40</v>
      </c>
      <c r="E274" s="66" t="s">
        <v>215</v>
      </c>
      <c r="F274" s="64" t="s">
        <v>247</v>
      </c>
      <c r="G274" s="64" t="str">
        <f>INDEX(Auxiliar!$B$16:$B$24,MATCH(Plano_V1!H274,Auxiliar!$C$16:$C$24,0),1)</f>
        <v>1. Concluído</v>
      </c>
      <c r="H274" s="64">
        <f>VLOOKUP(A274,'Aux - pivots1'!$A:$B,2,0)</f>
        <v>1</v>
      </c>
      <c r="I274" s="84">
        <f>SUMIFS(Table1[Estimação (horas)],Table1[Tabela],Plano_V1!E274,Table1[Campo],Plano_V1!F274)</f>
        <v>0.6</v>
      </c>
      <c r="J274" s="84">
        <f t="shared" si="27"/>
        <v>7.4999999999999997E-2</v>
      </c>
      <c r="K274" s="89" t="s">
        <v>39</v>
      </c>
      <c r="L274" s="90">
        <f t="shared" si="25"/>
        <v>7.4999999999999997E-2</v>
      </c>
      <c r="M274" s="78"/>
      <c r="N274" s="78"/>
      <c r="O274" s="78"/>
      <c r="P274" s="78"/>
      <c r="Q274" s="78"/>
      <c r="R274" s="78"/>
      <c r="S274" s="78"/>
      <c r="T274" s="78"/>
      <c r="U274" s="78"/>
      <c r="V274" s="78"/>
      <c r="W274" s="78"/>
      <c r="X274" s="78"/>
      <c r="Y274" s="78"/>
      <c r="Z274" s="78"/>
      <c r="AA274" s="78"/>
      <c r="AB274" s="78"/>
      <c r="AC274" s="78"/>
      <c r="AD274" s="78"/>
      <c r="AE274" s="78"/>
      <c r="AF274" s="78"/>
      <c r="AG274" s="78"/>
      <c r="AH274" s="78"/>
      <c r="AI274" s="78"/>
      <c r="AJ274" s="78"/>
      <c r="AK274" s="78"/>
      <c r="AL274" s="78"/>
      <c r="AM274" s="78"/>
      <c r="AN274" s="78"/>
      <c r="AO274" s="78"/>
      <c r="AP274" s="78"/>
      <c r="AQ274" s="78"/>
      <c r="AR274" s="78"/>
      <c r="AS274" s="78"/>
      <c r="AT274" s="91"/>
      <c r="AU274" s="78"/>
      <c r="AV274" s="78"/>
      <c r="AW274" s="78"/>
      <c r="AX274" s="78"/>
      <c r="AY274" s="78"/>
      <c r="AZ274" s="78"/>
      <c r="BA274" s="78"/>
      <c r="BB274" s="78"/>
      <c r="BC274" s="78"/>
      <c r="BD274" s="78"/>
      <c r="BE274" s="78"/>
      <c r="BF274" s="78"/>
      <c r="BG274" s="78"/>
      <c r="BH274" s="78"/>
      <c r="BI274" s="78"/>
      <c r="BJ274" s="78"/>
      <c r="BK274" s="78"/>
      <c r="BL274" s="78"/>
      <c r="BM274" s="78"/>
      <c r="BN274" s="78"/>
      <c r="BO274" s="78"/>
      <c r="BP274" s="78"/>
      <c r="BQ274" s="78"/>
      <c r="BR274" s="78"/>
      <c r="BS274" s="78"/>
      <c r="BT274" s="78"/>
      <c r="BU274" s="78"/>
      <c r="BV274" s="78"/>
      <c r="BW274" s="78"/>
      <c r="BX274" s="78"/>
      <c r="BY274" s="78"/>
      <c r="BZ274" s="78"/>
      <c r="CA274" s="78"/>
      <c r="CB274" s="78"/>
      <c r="CC274" s="78"/>
      <c r="CD274" s="78"/>
      <c r="CE274" s="78"/>
      <c r="CF274" s="78"/>
      <c r="CG274" s="78"/>
      <c r="CH274" s="78"/>
      <c r="CI274" s="78"/>
      <c r="CJ274" s="78"/>
      <c r="CK274" s="78"/>
      <c r="CL274" s="78"/>
      <c r="CM274" s="78"/>
      <c r="CN274" s="78"/>
      <c r="CO274" s="78"/>
      <c r="CP274" s="78"/>
      <c r="CQ274" s="78"/>
      <c r="CR274" s="78"/>
      <c r="CS274" s="78"/>
      <c r="CT274" s="78"/>
      <c r="CU274" s="78"/>
      <c r="CV274" s="78"/>
      <c r="CW274" s="78"/>
      <c r="CX274" s="78"/>
      <c r="CY274" s="78"/>
      <c r="CZ274" s="78"/>
      <c r="DA274" s="78"/>
      <c r="DB274" s="78"/>
      <c r="DC274" s="78"/>
      <c r="DD274" s="78"/>
      <c r="DE274" s="78"/>
      <c r="DF274" s="78"/>
      <c r="DG274" s="78"/>
      <c r="DH274" s="78"/>
      <c r="DI274" s="78"/>
      <c r="DJ274" s="78"/>
      <c r="DK274" s="78"/>
      <c r="DL274" s="78"/>
      <c r="DM274" s="78"/>
      <c r="DN274" s="78"/>
      <c r="DO274" s="78"/>
      <c r="DP274" s="78"/>
      <c r="DQ274" s="78"/>
      <c r="DR274" s="78"/>
      <c r="DS274" s="78"/>
      <c r="DT274" s="78"/>
      <c r="DU274" s="78"/>
      <c r="DV274" s="78"/>
      <c r="DW274" s="78"/>
      <c r="DX274" s="78"/>
      <c r="DY274" s="78"/>
      <c r="DZ274" s="78"/>
      <c r="EA274" s="78"/>
      <c r="EB274" s="78"/>
      <c r="EC274" s="78"/>
      <c r="ED274" s="78"/>
      <c r="EE274" s="78"/>
      <c r="EF274" s="78"/>
      <c r="EG274" s="78"/>
      <c r="EH274" s="78"/>
      <c r="EI274" s="91"/>
      <c r="EJ274" s="91"/>
      <c r="EK274" s="91"/>
      <c r="EL274" s="91"/>
      <c r="EM274" s="91"/>
      <c r="EN274" s="91"/>
      <c r="EO274" s="91"/>
      <c r="EP274" s="78"/>
      <c r="EQ274" s="78"/>
      <c r="ER274" s="78"/>
      <c r="ES274" s="78"/>
      <c r="ET274" s="78"/>
      <c r="EU274" s="78"/>
      <c r="EV274" s="78"/>
      <c r="EW274" s="78"/>
      <c r="EX274" s="78"/>
      <c r="EY274" s="78"/>
      <c r="EZ274" s="78"/>
      <c r="FA274" s="78"/>
      <c r="FB274" s="78"/>
      <c r="FC274" s="78"/>
      <c r="FD274" s="78"/>
      <c r="FE274" s="78"/>
      <c r="FF274" s="78"/>
      <c r="FG274" s="78"/>
      <c r="FH274" s="78"/>
      <c r="FI274" s="78"/>
      <c r="FJ274" s="78"/>
      <c r="FK274" s="78"/>
    </row>
    <row r="275" spans="1:167" outlineLevel="1">
      <c r="A275" s="29" t="str">
        <f t="shared" si="26"/>
        <v>modesg_inp_nfrd_alinhamento_taxcca_capex_ttl_elgbl</v>
      </c>
      <c r="B275" s="67" t="s">
        <v>26</v>
      </c>
      <c r="C275" s="68" t="s">
        <v>181</v>
      </c>
      <c r="D275" s="64" t="s">
        <v>40</v>
      </c>
      <c r="E275" s="66" t="s">
        <v>215</v>
      </c>
      <c r="F275" s="64" t="s">
        <v>248</v>
      </c>
      <c r="G275" s="64" t="str">
        <f>INDEX(Auxiliar!$B$16:$B$24,MATCH(Plano_V1!H275,Auxiliar!$C$16:$C$24,0),1)</f>
        <v>1. Concluído</v>
      </c>
      <c r="H275" s="64">
        <f>VLOOKUP(A275,'Aux - pivots1'!$A:$B,2,0)</f>
        <v>1</v>
      </c>
      <c r="I275" s="84">
        <f>SUMIFS(Table1[Estimação (horas)],Table1[Tabela],Plano_V1!E275,Table1[Campo],Plano_V1!F275)</f>
        <v>0.6</v>
      </c>
      <c r="J275" s="84">
        <f t="shared" si="27"/>
        <v>7.4999999999999997E-2</v>
      </c>
      <c r="K275" s="89" t="s">
        <v>39</v>
      </c>
      <c r="L275" s="90">
        <f t="shared" si="25"/>
        <v>7.4999999999999997E-2</v>
      </c>
      <c r="M275" s="78"/>
      <c r="N275" s="78"/>
      <c r="O275" s="78"/>
      <c r="P275" s="78"/>
      <c r="Q275" s="78"/>
      <c r="R275" s="78"/>
      <c r="S275" s="78"/>
      <c r="T275" s="78"/>
      <c r="U275" s="78"/>
      <c r="V275" s="78"/>
      <c r="W275" s="78"/>
      <c r="X275" s="78"/>
      <c r="Y275" s="78"/>
      <c r="Z275" s="78"/>
      <c r="AA275" s="78"/>
      <c r="AB275" s="78"/>
      <c r="AC275" s="78"/>
      <c r="AD275" s="78"/>
      <c r="AE275" s="78"/>
      <c r="AF275" s="78"/>
      <c r="AG275" s="78"/>
      <c r="AH275" s="78"/>
      <c r="AI275" s="78"/>
      <c r="AJ275" s="78"/>
      <c r="AK275" s="78"/>
      <c r="AL275" s="78"/>
      <c r="AM275" s="78"/>
      <c r="AN275" s="78"/>
      <c r="AO275" s="78"/>
      <c r="AP275" s="78"/>
      <c r="AQ275" s="78"/>
      <c r="AR275" s="78"/>
      <c r="AS275" s="78"/>
      <c r="AT275" s="91"/>
      <c r="AU275" s="78"/>
      <c r="AV275" s="78"/>
      <c r="AW275" s="78"/>
      <c r="AX275" s="78"/>
      <c r="AY275" s="78"/>
      <c r="AZ275" s="78"/>
      <c r="BA275" s="78"/>
      <c r="BB275" s="78"/>
      <c r="BC275" s="78"/>
      <c r="BD275" s="78"/>
      <c r="BE275" s="78"/>
      <c r="BF275" s="78"/>
      <c r="BG275" s="78"/>
      <c r="BH275" s="78"/>
      <c r="BI275" s="78"/>
      <c r="BJ275" s="78"/>
      <c r="BK275" s="78"/>
      <c r="BL275" s="78"/>
      <c r="BM275" s="78"/>
      <c r="BN275" s="78"/>
      <c r="BO275" s="78"/>
      <c r="BP275" s="78"/>
      <c r="BQ275" s="78"/>
      <c r="BR275" s="78"/>
      <c r="BS275" s="78"/>
      <c r="BT275" s="78"/>
      <c r="BU275" s="78"/>
      <c r="BV275" s="78"/>
      <c r="BW275" s="78"/>
      <c r="BX275" s="78"/>
      <c r="BY275" s="78"/>
      <c r="BZ275" s="78"/>
      <c r="CA275" s="78"/>
      <c r="CB275" s="78"/>
      <c r="CC275" s="78"/>
      <c r="CD275" s="78"/>
      <c r="CE275" s="78"/>
      <c r="CF275" s="78"/>
      <c r="CG275" s="78"/>
      <c r="CH275" s="78"/>
      <c r="CI275" s="78"/>
      <c r="CJ275" s="78"/>
      <c r="CK275" s="78"/>
      <c r="CL275" s="78"/>
      <c r="CM275" s="78"/>
      <c r="CN275" s="78"/>
      <c r="CO275" s="78"/>
      <c r="CP275" s="78"/>
      <c r="CQ275" s="78"/>
      <c r="CR275" s="78"/>
      <c r="CS275" s="78"/>
      <c r="CT275" s="78"/>
      <c r="CU275" s="78"/>
      <c r="CV275" s="78"/>
      <c r="CW275" s="78"/>
      <c r="CX275" s="78"/>
      <c r="CY275" s="78"/>
      <c r="CZ275" s="78"/>
      <c r="DA275" s="78"/>
      <c r="DB275" s="78"/>
      <c r="DC275" s="78"/>
      <c r="DD275" s="78"/>
      <c r="DE275" s="78"/>
      <c r="DF275" s="78"/>
      <c r="DG275" s="78"/>
      <c r="DH275" s="78"/>
      <c r="DI275" s="78"/>
      <c r="DJ275" s="78"/>
      <c r="DK275" s="78"/>
      <c r="DL275" s="78"/>
      <c r="DM275" s="78"/>
      <c r="DN275" s="78"/>
      <c r="DO275" s="78"/>
      <c r="DP275" s="78"/>
      <c r="DQ275" s="78"/>
      <c r="DR275" s="78"/>
      <c r="DS275" s="78"/>
      <c r="DT275" s="78"/>
      <c r="DU275" s="78"/>
      <c r="DV275" s="78"/>
      <c r="DW275" s="78"/>
      <c r="DX275" s="78"/>
      <c r="DY275" s="78"/>
      <c r="DZ275" s="78"/>
      <c r="EA275" s="78"/>
      <c r="EB275" s="78"/>
      <c r="EC275" s="78"/>
      <c r="ED275" s="78"/>
      <c r="EE275" s="78"/>
      <c r="EF275" s="78"/>
      <c r="EG275" s="78"/>
      <c r="EH275" s="78"/>
      <c r="EI275" s="91"/>
      <c r="EJ275" s="91"/>
      <c r="EK275" s="91"/>
      <c r="EL275" s="91"/>
      <c r="EM275" s="91"/>
      <c r="EN275" s="91"/>
      <c r="EO275" s="91"/>
      <c r="EP275" s="78"/>
      <c r="EQ275" s="78"/>
      <c r="ER275" s="78"/>
      <c r="ES275" s="78"/>
      <c r="ET275" s="78"/>
      <c r="EU275" s="78"/>
      <c r="EV275" s="78"/>
      <c r="EW275" s="78"/>
      <c r="EX275" s="78"/>
      <c r="EY275" s="78"/>
      <c r="EZ275" s="78"/>
      <c r="FA275" s="78"/>
      <c r="FB275" s="78"/>
      <c r="FC275" s="78"/>
      <c r="FD275" s="78"/>
      <c r="FE275" s="78"/>
      <c r="FF275" s="78"/>
      <c r="FG275" s="78"/>
      <c r="FH275" s="78"/>
      <c r="FI275" s="78"/>
      <c r="FJ275" s="78"/>
      <c r="FK275" s="78"/>
    </row>
    <row r="276" spans="1:167" outlineLevel="1">
      <c r="A276" s="29" t="str">
        <f t="shared" si="26"/>
        <v>modesg_inp_nfrd_alinhamento_taxcca_capex_enblng_algnd</v>
      </c>
      <c r="B276" s="67" t="s">
        <v>26</v>
      </c>
      <c r="C276" s="68" t="s">
        <v>181</v>
      </c>
      <c r="D276" s="64" t="s">
        <v>40</v>
      </c>
      <c r="E276" s="66" t="s">
        <v>215</v>
      </c>
      <c r="F276" s="64" t="s">
        <v>249</v>
      </c>
      <c r="G276" s="64" t="str">
        <f>INDEX(Auxiliar!$B$16:$B$24,MATCH(Plano_V1!H276,Auxiliar!$C$16:$C$24,0),1)</f>
        <v>1. Concluído</v>
      </c>
      <c r="H276" s="64">
        <f>VLOOKUP(A276,'Aux - pivots1'!$A:$B,2,0)</f>
        <v>1</v>
      </c>
      <c r="I276" s="84">
        <f>SUMIFS(Table1[Estimação (horas)],Table1[Tabela],Plano_V1!E276,Table1[Campo],Plano_V1!F276)</f>
        <v>0.6</v>
      </c>
      <c r="J276" s="84">
        <f t="shared" si="27"/>
        <v>7.4999999999999997E-2</v>
      </c>
      <c r="K276" s="89" t="s">
        <v>39</v>
      </c>
      <c r="L276" s="90">
        <f t="shared" si="25"/>
        <v>7.4999999999999997E-2</v>
      </c>
      <c r="M276" s="78"/>
      <c r="N276" s="78"/>
      <c r="O276" s="78"/>
      <c r="P276" s="78"/>
      <c r="Q276" s="78"/>
      <c r="R276" s="78"/>
      <c r="S276" s="78"/>
      <c r="T276" s="78"/>
      <c r="U276" s="78"/>
      <c r="V276" s="78"/>
      <c r="W276" s="78"/>
      <c r="X276" s="78"/>
      <c r="Y276" s="78"/>
      <c r="Z276" s="78"/>
      <c r="AA276" s="78"/>
      <c r="AB276" s="78"/>
      <c r="AC276" s="78"/>
      <c r="AD276" s="78"/>
      <c r="AE276" s="78"/>
      <c r="AF276" s="78"/>
      <c r="AG276" s="78"/>
      <c r="AH276" s="78"/>
      <c r="AI276" s="78"/>
      <c r="AJ276" s="78"/>
      <c r="AK276" s="78"/>
      <c r="AL276" s="78"/>
      <c r="AM276" s="78"/>
      <c r="AN276" s="78"/>
      <c r="AO276" s="78"/>
      <c r="AP276" s="78"/>
      <c r="AQ276" s="78"/>
      <c r="AR276" s="78"/>
      <c r="AS276" s="78"/>
      <c r="AT276" s="91"/>
      <c r="AU276" s="78"/>
      <c r="AV276" s="78"/>
      <c r="AW276" s="78"/>
      <c r="AX276" s="78"/>
      <c r="AY276" s="78"/>
      <c r="AZ276" s="78"/>
      <c r="BA276" s="78"/>
      <c r="BB276" s="78"/>
      <c r="BC276" s="78"/>
      <c r="BD276" s="78"/>
      <c r="BE276" s="78"/>
      <c r="BF276" s="78"/>
      <c r="BG276" s="78"/>
      <c r="BH276" s="78"/>
      <c r="BI276" s="78"/>
      <c r="BJ276" s="78"/>
      <c r="BK276" s="78"/>
      <c r="BL276" s="78"/>
      <c r="BM276" s="78"/>
      <c r="BN276" s="78"/>
      <c r="BO276" s="78"/>
      <c r="BP276" s="78"/>
      <c r="BQ276" s="78"/>
      <c r="BR276" s="78"/>
      <c r="BS276" s="78"/>
      <c r="BT276" s="78"/>
      <c r="BU276" s="78"/>
      <c r="BV276" s="78"/>
      <c r="BW276" s="78"/>
      <c r="BX276" s="78"/>
      <c r="BY276" s="78"/>
      <c r="BZ276" s="78"/>
      <c r="CA276" s="78"/>
      <c r="CB276" s="78"/>
      <c r="CC276" s="78"/>
      <c r="CD276" s="78"/>
      <c r="CE276" s="78"/>
      <c r="CF276" s="78"/>
      <c r="CG276" s="78"/>
      <c r="CH276" s="78"/>
      <c r="CI276" s="78"/>
      <c r="CJ276" s="78"/>
      <c r="CK276" s="78"/>
      <c r="CL276" s="78"/>
      <c r="CM276" s="78"/>
      <c r="CN276" s="78"/>
      <c r="CO276" s="78"/>
      <c r="CP276" s="78"/>
      <c r="CQ276" s="78"/>
      <c r="CR276" s="78"/>
      <c r="CS276" s="78"/>
      <c r="CT276" s="78"/>
      <c r="CU276" s="78"/>
      <c r="CV276" s="78"/>
      <c r="CW276" s="78"/>
      <c r="CX276" s="78"/>
      <c r="CY276" s="78"/>
      <c r="CZ276" s="78"/>
      <c r="DA276" s="78"/>
      <c r="DB276" s="78"/>
      <c r="DC276" s="78"/>
      <c r="DD276" s="78"/>
      <c r="DE276" s="78"/>
      <c r="DF276" s="78"/>
      <c r="DG276" s="78"/>
      <c r="DH276" s="78"/>
      <c r="DI276" s="78"/>
      <c r="DJ276" s="78"/>
      <c r="DK276" s="78"/>
      <c r="DL276" s="78"/>
      <c r="DM276" s="78"/>
      <c r="DN276" s="78"/>
      <c r="DO276" s="78"/>
      <c r="DP276" s="78"/>
      <c r="DQ276" s="78"/>
      <c r="DR276" s="78"/>
      <c r="DS276" s="78"/>
      <c r="DT276" s="78"/>
      <c r="DU276" s="78"/>
      <c r="DV276" s="78"/>
      <c r="DW276" s="78"/>
      <c r="DX276" s="78"/>
      <c r="DY276" s="78"/>
      <c r="DZ276" s="78"/>
      <c r="EA276" s="78"/>
      <c r="EB276" s="78"/>
      <c r="EC276" s="78"/>
      <c r="ED276" s="78"/>
      <c r="EE276" s="78"/>
      <c r="EF276" s="78"/>
      <c r="EG276" s="78"/>
      <c r="EH276" s="78"/>
      <c r="EI276" s="91"/>
      <c r="EJ276" s="91"/>
      <c r="EK276" s="91"/>
      <c r="EL276" s="91"/>
      <c r="EM276" s="91"/>
      <c r="EN276" s="91"/>
      <c r="EO276" s="91"/>
      <c r="EP276" s="78"/>
      <c r="EQ276" s="78"/>
      <c r="ER276" s="78"/>
      <c r="ES276" s="78"/>
      <c r="ET276" s="78"/>
      <c r="EU276" s="78"/>
      <c r="EV276" s="78"/>
      <c r="EW276" s="78"/>
      <c r="EX276" s="78"/>
      <c r="EY276" s="78"/>
      <c r="EZ276" s="78"/>
      <c r="FA276" s="78"/>
      <c r="FB276" s="78"/>
      <c r="FC276" s="78"/>
      <c r="FD276" s="78"/>
      <c r="FE276" s="78"/>
      <c r="FF276" s="78"/>
      <c r="FG276" s="78"/>
      <c r="FH276" s="78"/>
      <c r="FI276" s="78"/>
      <c r="FJ276" s="78"/>
      <c r="FK276" s="78"/>
    </row>
    <row r="277" spans="1:167" outlineLevel="1">
      <c r="A277" s="29" t="str">
        <f t="shared" si="26"/>
        <v>modesg_inp_nfrd_alinhamento_taxcca_capex_own_prfrmnce_algnd</v>
      </c>
      <c r="B277" s="67" t="s">
        <v>26</v>
      </c>
      <c r="C277" s="68" t="s">
        <v>181</v>
      </c>
      <c r="D277" s="64" t="s">
        <v>40</v>
      </c>
      <c r="E277" s="66" t="s">
        <v>215</v>
      </c>
      <c r="F277" s="64" t="s">
        <v>250</v>
      </c>
      <c r="G277" s="64" t="str">
        <f>INDEX(Auxiliar!$B$16:$B$24,MATCH(Plano_V1!H277,Auxiliar!$C$16:$C$24,0),1)</f>
        <v>1. Concluído</v>
      </c>
      <c r="H277" s="64">
        <f>VLOOKUP(A277,'Aux - pivots1'!$A:$B,2,0)</f>
        <v>1</v>
      </c>
      <c r="I277" s="84">
        <f>SUMIFS(Table1[Estimação (horas)],Table1[Tabela],Plano_V1!E277,Table1[Campo],Plano_V1!F277)</f>
        <v>0.6</v>
      </c>
      <c r="J277" s="84">
        <f t="shared" si="27"/>
        <v>7.4999999999999997E-2</v>
      </c>
      <c r="K277" s="89" t="s">
        <v>39</v>
      </c>
      <c r="L277" s="90">
        <f t="shared" si="25"/>
        <v>7.4999999999999997E-2</v>
      </c>
      <c r="M277" s="78"/>
      <c r="N277" s="78"/>
      <c r="O277" s="78"/>
      <c r="P277" s="78"/>
      <c r="Q277" s="78"/>
      <c r="R277" s="78"/>
      <c r="S277" s="78"/>
      <c r="T277" s="78"/>
      <c r="U277" s="78"/>
      <c r="V277" s="78"/>
      <c r="W277" s="78"/>
      <c r="X277" s="78"/>
      <c r="Y277" s="78"/>
      <c r="Z277" s="78"/>
      <c r="AA277" s="78"/>
      <c r="AB277" s="78"/>
      <c r="AC277" s="78"/>
      <c r="AD277" s="78"/>
      <c r="AE277" s="78"/>
      <c r="AF277" s="78"/>
      <c r="AG277" s="78"/>
      <c r="AH277" s="78"/>
      <c r="AI277" s="78"/>
      <c r="AJ277" s="78"/>
      <c r="AK277" s="78"/>
      <c r="AL277" s="78"/>
      <c r="AM277" s="78"/>
      <c r="AN277" s="78"/>
      <c r="AO277" s="78"/>
      <c r="AP277" s="78"/>
      <c r="AQ277" s="78"/>
      <c r="AR277" s="78"/>
      <c r="AS277" s="78"/>
      <c r="AT277" s="91"/>
      <c r="AU277" s="78"/>
      <c r="AV277" s="78"/>
      <c r="AW277" s="78"/>
      <c r="AX277" s="78"/>
      <c r="AY277" s="78"/>
      <c r="AZ277" s="78"/>
      <c r="BA277" s="78"/>
      <c r="BB277" s="78"/>
      <c r="BC277" s="78"/>
      <c r="BD277" s="78"/>
      <c r="BE277" s="78"/>
      <c r="BF277" s="78"/>
      <c r="BG277" s="78"/>
      <c r="BH277" s="78"/>
      <c r="BI277" s="78"/>
      <c r="BJ277" s="78"/>
      <c r="BK277" s="78"/>
      <c r="BL277" s="78"/>
      <c r="BM277" s="78"/>
      <c r="BN277" s="78"/>
      <c r="BO277" s="78"/>
      <c r="BP277" s="78"/>
      <c r="BQ277" s="78"/>
      <c r="BR277" s="78"/>
      <c r="BS277" s="78"/>
      <c r="BT277" s="78"/>
      <c r="BU277" s="78"/>
      <c r="BV277" s="78"/>
      <c r="BW277" s="78"/>
      <c r="BX277" s="78"/>
      <c r="BY277" s="78"/>
      <c r="BZ277" s="78"/>
      <c r="CA277" s="78"/>
      <c r="CB277" s="78"/>
      <c r="CC277" s="78"/>
      <c r="CD277" s="78"/>
      <c r="CE277" s="78"/>
      <c r="CF277" s="78"/>
      <c r="CG277" s="78"/>
      <c r="CH277" s="78"/>
      <c r="CI277" s="78"/>
      <c r="CJ277" s="78"/>
      <c r="CK277" s="78"/>
      <c r="CL277" s="78"/>
      <c r="CM277" s="78"/>
      <c r="CN277" s="78"/>
      <c r="CO277" s="78"/>
      <c r="CP277" s="78"/>
      <c r="CQ277" s="78"/>
      <c r="CR277" s="78"/>
      <c r="CS277" s="78"/>
      <c r="CT277" s="78"/>
      <c r="CU277" s="78"/>
      <c r="CV277" s="78"/>
      <c r="CW277" s="78"/>
      <c r="CX277" s="78"/>
      <c r="CY277" s="78"/>
      <c r="CZ277" s="78"/>
      <c r="DA277" s="78"/>
      <c r="DB277" s="78"/>
      <c r="DC277" s="78"/>
      <c r="DD277" s="78"/>
      <c r="DE277" s="78"/>
      <c r="DF277" s="78"/>
      <c r="DG277" s="78"/>
      <c r="DH277" s="78"/>
      <c r="DI277" s="78"/>
      <c r="DJ277" s="78"/>
      <c r="DK277" s="78"/>
      <c r="DL277" s="78"/>
      <c r="DM277" s="78"/>
      <c r="DN277" s="78"/>
      <c r="DO277" s="78"/>
      <c r="DP277" s="78"/>
      <c r="DQ277" s="78"/>
      <c r="DR277" s="78"/>
      <c r="DS277" s="78"/>
      <c r="DT277" s="78"/>
      <c r="DU277" s="78"/>
      <c r="DV277" s="78"/>
      <c r="DW277" s="78"/>
      <c r="DX277" s="78"/>
      <c r="DY277" s="78"/>
      <c r="DZ277" s="78"/>
      <c r="EA277" s="78"/>
      <c r="EB277" s="78"/>
      <c r="EC277" s="78"/>
      <c r="ED277" s="78"/>
      <c r="EE277" s="78"/>
      <c r="EF277" s="78"/>
      <c r="EG277" s="78"/>
      <c r="EH277" s="78"/>
      <c r="EI277" s="91"/>
      <c r="EJ277" s="91"/>
      <c r="EK277" s="91"/>
      <c r="EL277" s="91"/>
      <c r="EM277" s="91"/>
      <c r="EN277" s="91"/>
      <c r="EO277" s="91"/>
      <c r="EP277" s="78"/>
      <c r="EQ277" s="78"/>
      <c r="ER277" s="78"/>
      <c r="ES277" s="78"/>
      <c r="ET277" s="78"/>
      <c r="EU277" s="78"/>
      <c r="EV277" s="78"/>
      <c r="EW277" s="78"/>
      <c r="EX277" s="78"/>
      <c r="EY277" s="78"/>
      <c r="EZ277" s="78"/>
      <c r="FA277" s="78"/>
      <c r="FB277" s="78"/>
      <c r="FC277" s="78"/>
      <c r="FD277" s="78"/>
      <c r="FE277" s="78"/>
      <c r="FF277" s="78"/>
      <c r="FG277" s="78"/>
      <c r="FH277" s="78"/>
      <c r="FI277" s="78"/>
      <c r="FJ277" s="78"/>
      <c r="FK277" s="78"/>
    </row>
    <row r="278" spans="1:167" outlineLevel="1">
      <c r="A278" s="29" t="str">
        <f t="shared" si="26"/>
        <v>modesg_inp_nfrd_alinhamento_taxccm_trnvr_ttl_elgbl</v>
      </c>
      <c r="B278" s="67" t="s">
        <v>26</v>
      </c>
      <c r="C278" s="68" t="s">
        <v>181</v>
      </c>
      <c r="D278" s="64" t="s">
        <v>40</v>
      </c>
      <c r="E278" s="66" t="s">
        <v>215</v>
      </c>
      <c r="F278" s="64" t="s">
        <v>251</v>
      </c>
      <c r="G278" s="64" t="str">
        <f>INDEX(Auxiliar!$B$16:$B$24,MATCH(Plano_V1!H278,Auxiliar!$C$16:$C$24,0),1)</f>
        <v>1. Concluído</v>
      </c>
      <c r="H278" s="64">
        <f>VLOOKUP(A278,'Aux - pivots1'!$A:$B,2,0)</f>
        <v>1</v>
      </c>
      <c r="I278" s="84">
        <f>SUMIFS(Table1[Estimação (horas)],Table1[Tabela],Plano_V1!E278,Table1[Campo],Plano_V1!F278)</f>
        <v>0.6</v>
      </c>
      <c r="J278" s="84">
        <f t="shared" si="27"/>
        <v>7.4999999999999997E-2</v>
      </c>
      <c r="K278" s="89" t="s">
        <v>39</v>
      </c>
      <c r="L278" s="90">
        <f t="shared" si="25"/>
        <v>7.4999999999999997E-2</v>
      </c>
      <c r="M278" s="78"/>
      <c r="N278" s="78"/>
      <c r="O278" s="78"/>
      <c r="P278" s="78"/>
      <c r="Q278" s="78"/>
      <c r="R278" s="78"/>
      <c r="S278" s="78"/>
      <c r="T278" s="78"/>
      <c r="U278" s="78"/>
      <c r="V278" s="78"/>
      <c r="W278" s="78"/>
      <c r="X278" s="78"/>
      <c r="Y278" s="78"/>
      <c r="Z278" s="78"/>
      <c r="AA278" s="78"/>
      <c r="AB278" s="78"/>
      <c r="AC278" s="78"/>
      <c r="AD278" s="78"/>
      <c r="AE278" s="78"/>
      <c r="AF278" s="78"/>
      <c r="AG278" s="78"/>
      <c r="AH278" s="78"/>
      <c r="AI278" s="78"/>
      <c r="AJ278" s="78"/>
      <c r="AK278" s="78"/>
      <c r="AL278" s="78"/>
      <c r="AM278" s="78"/>
      <c r="AN278" s="78"/>
      <c r="AO278" s="78"/>
      <c r="AP278" s="78"/>
      <c r="AQ278" s="78"/>
      <c r="AR278" s="78"/>
      <c r="AS278" s="78"/>
      <c r="AT278" s="91"/>
      <c r="AU278" s="78"/>
      <c r="AV278" s="78"/>
      <c r="AW278" s="78"/>
      <c r="AX278" s="78"/>
      <c r="AY278" s="78"/>
      <c r="AZ278" s="78"/>
      <c r="BA278" s="78"/>
      <c r="BB278" s="78"/>
      <c r="BC278" s="78"/>
      <c r="BD278" s="78"/>
      <c r="BE278" s="78"/>
      <c r="BF278" s="78"/>
      <c r="BG278" s="78"/>
      <c r="BH278" s="78"/>
      <c r="BI278" s="78"/>
      <c r="BJ278" s="78"/>
      <c r="BK278" s="78"/>
      <c r="BL278" s="78"/>
      <c r="BM278" s="78"/>
      <c r="BN278" s="78"/>
      <c r="BO278" s="78"/>
      <c r="BP278" s="78"/>
      <c r="BQ278" s="78"/>
      <c r="BR278" s="78"/>
      <c r="BS278" s="78"/>
      <c r="BT278" s="78"/>
      <c r="BU278" s="78"/>
      <c r="BV278" s="78"/>
      <c r="BW278" s="78"/>
      <c r="BX278" s="78"/>
      <c r="BY278" s="78"/>
      <c r="BZ278" s="78"/>
      <c r="CA278" s="78"/>
      <c r="CB278" s="78"/>
      <c r="CC278" s="78"/>
      <c r="CD278" s="78"/>
      <c r="CE278" s="78"/>
      <c r="CF278" s="78"/>
      <c r="CG278" s="78"/>
      <c r="CH278" s="78"/>
      <c r="CI278" s="78"/>
      <c r="CJ278" s="78"/>
      <c r="CK278" s="78"/>
      <c r="CL278" s="78"/>
      <c r="CM278" s="78"/>
      <c r="CN278" s="78"/>
      <c r="CO278" s="78"/>
      <c r="CP278" s="78"/>
      <c r="CQ278" s="78"/>
      <c r="CR278" s="78"/>
      <c r="CS278" s="78"/>
      <c r="CT278" s="78"/>
      <c r="CU278" s="78"/>
      <c r="CV278" s="78"/>
      <c r="CW278" s="78"/>
      <c r="CX278" s="78"/>
      <c r="CY278" s="78"/>
      <c r="CZ278" s="78"/>
      <c r="DA278" s="78"/>
      <c r="DB278" s="78"/>
      <c r="DC278" s="78"/>
      <c r="DD278" s="78"/>
      <c r="DE278" s="78"/>
      <c r="DF278" s="78"/>
      <c r="DG278" s="78"/>
      <c r="DH278" s="78"/>
      <c r="DI278" s="78"/>
      <c r="DJ278" s="78"/>
      <c r="DK278" s="78"/>
      <c r="DL278" s="78"/>
      <c r="DM278" s="78"/>
      <c r="DN278" s="78"/>
      <c r="DO278" s="78"/>
      <c r="DP278" s="78"/>
      <c r="DQ278" s="78"/>
      <c r="DR278" s="78"/>
      <c r="DS278" s="78"/>
      <c r="DT278" s="78"/>
      <c r="DU278" s="78"/>
      <c r="DV278" s="78"/>
      <c r="DW278" s="78"/>
      <c r="DX278" s="78"/>
      <c r="DY278" s="78"/>
      <c r="DZ278" s="78"/>
      <c r="EA278" s="78"/>
      <c r="EB278" s="78"/>
      <c r="EC278" s="78"/>
      <c r="ED278" s="78"/>
      <c r="EE278" s="78"/>
      <c r="EF278" s="78"/>
      <c r="EG278" s="78"/>
      <c r="EH278" s="78"/>
      <c r="EI278" s="91"/>
      <c r="EJ278" s="91"/>
      <c r="EK278" s="91"/>
      <c r="EL278" s="91"/>
      <c r="EM278" s="91"/>
      <c r="EN278" s="91"/>
      <c r="EO278" s="91"/>
      <c r="EP278" s="78"/>
      <c r="EQ278" s="78"/>
      <c r="ER278" s="78"/>
      <c r="ES278" s="78"/>
      <c r="ET278" s="78"/>
      <c r="EU278" s="78"/>
      <c r="EV278" s="78"/>
      <c r="EW278" s="78"/>
      <c r="EX278" s="78"/>
      <c r="EY278" s="78"/>
      <c r="EZ278" s="78"/>
      <c r="FA278" s="78"/>
      <c r="FB278" s="78"/>
      <c r="FC278" s="78"/>
      <c r="FD278" s="78"/>
      <c r="FE278" s="78"/>
      <c r="FF278" s="78"/>
      <c r="FG278" s="78"/>
      <c r="FH278" s="78"/>
      <c r="FI278" s="78"/>
      <c r="FJ278" s="78"/>
      <c r="FK278" s="78"/>
    </row>
    <row r="279" spans="1:167" outlineLevel="1">
      <c r="A279" s="29" t="str">
        <f t="shared" si="26"/>
        <v>modesg_inp_nfrd_alinhamento_taxccm_trnvr_enblng_algnd</v>
      </c>
      <c r="B279" s="67" t="s">
        <v>26</v>
      </c>
      <c r="C279" s="68" t="s">
        <v>181</v>
      </c>
      <c r="D279" s="64" t="s">
        <v>40</v>
      </c>
      <c r="E279" s="66" t="s">
        <v>215</v>
      </c>
      <c r="F279" s="64" t="s">
        <v>252</v>
      </c>
      <c r="G279" s="64" t="str">
        <f>INDEX(Auxiliar!$B$16:$B$24,MATCH(Plano_V1!H279,Auxiliar!$C$16:$C$24,0),1)</f>
        <v>1. Concluído</v>
      </c>
      <c r="H279" s="64">
        <f>VLOOKUP(A279,'Aux - pivots1'!$A:$B,2,0)</f>
        <v>1</v>
      </c>
      <c r="I279" s="84">
        <f>SUMIFS(Table1[Estimação (horas)],Table1[Tabela],Plano_V1!E279,Table1[Campo],Plano_V1!F279)</f>
        <v>0.6</v>
      </c>
      <c r="J279" s="84">
        <f t="shared" si="27"/>
        <v>7.4999999999999997E-2</v>
      </c>
      <c r="K279" s="89" t="s">
        <v>39</v>
      </c>
      <c r="L279" s="90">
        <f t="shared" si="25"/>
        <v>7.4999999999999997E-2</v>
      </c>
      <c r="M279" s="78"/>
      <c r="N279" s="78"/>
      <c r="O279" s="78"/>
      <c r="P279" s="78"/>
      <c r="Q279" s="78"/>
      <c r="R279" s="78"/>
      <c r="S279" s="78"/>
      <c r="T279" s="78"/>
      <c r="U279" s="78"/>
      <c r="V279" s="78"/>
      <c r="W279" s="78"/>
      <c r="X279" s="78"/>
      <c r="Y279" s="78"/>
      <c r="Z279" s="78"/>
      <c r="AA279" s="78"/>
      <c r="AB279" s="78"/>
      <c r="AC279" s="78"/>
      <c r="AD279" s="78"/>
      <c r="AE279" s="78"/>
      <c r="AF279" s="78"/>
      <c r="AG279" s="78"/>
      <c r="AH279" s="78"/>
      <c r="AI279" s="78"/>
      <c r="AJ279" s="78"/>
      <c r="AK279" s="78"/>
      <c r="AL279" s="78"/>
      <c r="AM279" s="78"/>
      <c r="AN279" s="78"/>
      <c r="AO279" s="78"/>
      <c r="AP279" s="78"/>
      <c r="AQ279" s="78"/>
      <c r="AR279" s="78"/>
      <c r="AS279" s="78"/>
      <c r="AT279" s="91"/>
      <c r="AU279" s="78"/>
      <c r="AV279" s="78"/>
      <c r="AW279" s="78"/>
      <c r="AX279" s="78"/>
      <c r="AY279" s="78"/>
      <c r="AZ279" s="78"/>
      <c r="BA279" s="78"/>
      <c r="BB279" s="78"/>
      <c r="BC279" s="78"/>
      <c r="BD279" s="78"/>
      <c r="BE279" s="78"/>
      <c r="BF279" s="78"/>
      <c r="BG279" s="78"/>
      <c r="BH279" s="78"/>
      <c r="BI279" s="78"/>
      <c r="BJ279" s="78"/>
      <c r="BK279" s="78"/>
      <c r="BL279" s="78"/>
      <c r="BM279" s="78"/>
      <c r="BN279" s="78"/>
      <c r="BO279" s="78"/>
      <c r="BP279" s="78"/>
      <c r="BQ279" s="78"/>
      <c r="BR279" s="78"/>
      <c r="BS279" s="78"/>
      <c r="BT279" s="78"/>
      <c r="BU279" s="78"/>
      <c r="BV279" s="78"/>
      <c r="BW279" s="78"/>
      <c r="BX279" s="78"/>
      <c r="BY279" s="78"/>
      <c r="BZ279" s="78"/>
      <c r="CA279" s="78"/>
      <c r="CB279" s="78"/>
      <c r="CC279" s="78"/>
      <c r="CD279" s="78"/>
      <c r="CE279" s="78"/>
      <c r="CF279" s="78"/>
      <c r="CG279" s="78"/>
      <c r="CH279" s="78"/>
      <c r="CI279" s="78"/>
      <c r="CJ279" s="78"/>
      <c r="CK279" s="78"/>
      <c r="CL279" s="78"/>
      <c r="CM279" s="78"/>
      <c r="CN279" s="78"/>
      <c r="CO279" s="78"/>
      <c r="CP279" s="78"/>
      <c r="CQ279" s="78"/>
      <c r="CR279" s="78"/>
      <c r="CS279" s="78"/>
      <c r="CT279" s="78"/>
      <c r="CU279" s="78"/>
      <c r="CV279" s="78"/>
      <c r="CW279" s="78"/>
      <c r="CX279" s="78"/>
      <c r="CY279" s="78"/>
      <c r="CZ279" s="78"/>
      <c r="DA279" s="78"/>
      <c r="DB279" s="78"/>
      <c r="DC279" s="78"/>
      <c r="DD279" s="78"/>
      <c r="DE279" s="78"/>
      <c r="DF279" s="78"/>
      <c r="DG279" s="78"/>
      <c r="DH279" s="78"/>
      <c r="DI279" s="78"/>
      <c r="DJ279" s="78"/>
      <c r="DK279" s="78"/>
      <c r="DL279" s="78"/>
      <c r="DM279" s="78"/>
      <c r="DN279" s="78"/>
      <c r="DO279" s="78"/>
      <c r="DP279" s="78"/>
      <c r="DQ279" s="78"/>
      <c r="DR279" s="78"/>
      <c r="DS279" s="78"/>
      <c r="DT279" s="78"/>
      <c r="DU279" s="78"/>
      <c r="DV279" s="78"/>
      <c r="DW279" s="78"/>
      <c r="DX279" s="78"/>
      <c r="DY279" s="78"/>
      <c r="DZ279" s="78"/>
      <c r="EA279" s="78"/>
      <c r="EB279" s="78"/>
      <c r="EC279" s="78"/>
      <c r="ED279" s="78"/>
      <c r="EE279" s="78"/>
      <c r="EF279" s="78"/>
      <c r="EG279" s="78"/>
      <c r="EH279" s="78"/>
      <c r="EI279" s="91"/>
      <c r="EJ279" s="91"/>
      <c r="EK279" s="91"/>
      <c r="EL279" s="91"/>
      <c r="EM279" s="91"/>
      <c r="EN279" s="91"/>
      <c r="EO279" s="91"/>
      <c r="EP279" s="78"/>
      <c r="EQ279" s="78"/>
      <c r="ER279" s="78"/>
      <c r="ES279" s="78"/>
      <c r="ET279" s="78"/>
      <c r="EU279" s="78"/>
      <c r="EV279" s="78"/>
      <c r="EW279" s="78"/>
      <c r="EX279" s="78"/>
      <c r="EY279" s="78"/>
      <c r="EZ279" s="78"/>
      <c r="FA279" s="78"/>
      <c r="FB279" s="78"/>
      <c r="FC279" s="78"/>
      <c r="FD279" s="78"/>
      <c r="FE279" s="78"/>
      <c r="FF279" s="78"/>
      <c r="FG279" s="78"/>
      <c r="FH279" s="78"/>
      <c r="FI279" s="78"/>
      <c r="FJ279" s="78"/>
      <c r="FK279" s="78"/>
    </row>
    <row r="280" spans="1:167" outlineLevel="1">
      <c r="A280" s="29" t="str">
        <f t="shared" si="26"/>
        <v>modesg_inp_nfrd_alinhamento_taxccm_trnvr_trnstn_alignd</v>
      </c>
      <c r="B280" s="67" t="s">
        <v>26</v>
      </c>
      <c r="C280" s="68" t="s">
        <v>181</v>
      </c>
      <c r="D280" s="64" t="s">
        <v>40</v>
      </c>
      <c r="E280" s="66" t="s">
        <v>215</v>
      </c>
      <c r="F280" s="64" t="s">
        <v>253</v>
      </c>
      <c r="G280" s="64" t="str">
        <f>INDEX(Auxiliar!$B$16:$B$24,MATCH(Plano_V1!H280,Auxiliar!$C$16:$C$24,0),1)</f>
        <v>1. Concluído</v>
      </c>
      <c r="H280" s="64">
        <f>VLOOKUP(A280,'Aux - pivots1'!$A:$B,2,0)</f>
        <v>1</v>
      </c>
      <c r="I280" s="84">
        <f>SUMIFS(Table1[Estimação (horas)],Table1[Tabela],Plano_V1!E280,Table1[Campo],Plano_V1!F280)</f>
        <v>0.6</v>
      </c>
      <c r="J280" s="84">
        <f t="shared" si="27"/>
        <v>7.4999999999999997E-2</v>
      </c>
      <c r="K280" s="89" t="s">
        <v>39</v>
      </c>
      <c r="L280" s="90">
        <f t="shared" si="25"/>
        <v>7.4999999999999997E-2</v>
      </c>
      <c r="M280" s="78"/>
      <c r="N280" s="78"/>
      <c r="O280" s="78"/>
      <c r="P280" s="78"/>
      <c r="Q280" s="78"/>
      <c r="R280" s="78"/>
      <c r="S280" s="78"/>
      <c r="T280" s="78"/>
      <c r="U280" s="78"/>
      <c r="V280" s="78"/>
      <c r="W280" s="78"/>
      <c r="X280" s="78"/>
      <c r="Y280" s="78"/>
      <c r="Z280" s="78"/>
      <c r="AA280" s="78"/>
      <c r="AB280" s="78"/>
      <c r="AC280" s="78"/>
      <c r="AD280" s="78"/>
      <c r="AE280" s="78"/>
      <c r="AF280" s="78"/>
      <c r="AG280" s="78"/>
      <c r="AH280" s="78"/>
      <c r="AI280" s="78"/>
      <c r="AJ280" s="78"/>
      <c r="AK280" s="78"/>
      <c r="AL280" s="78"/>
      <c r="AM280" s="78"/>
      <c r="AN280" s="78"/>
      <c r="AO280" s="78"/>
      <c r="AP280" s="78"/>
      <c r="AQ280" s="78"/>
      <c r="AR280" s="78"/>
      <c r="AS280" s="78"/>
      <c r="AT280" s="91"/>
      <c r="AU280" s="78"/>
      <c r="AV280" s="78"/>
      <c r="AW280" s="78"/>
      <c r="AX280" s="78"/>
      <c r="AY280" s="78"/>
      <c r="AZ280" s="78"/>
      <c r="BA280" s="78"/>
      <c r="BB280" s="78"/>
      <c r="BC280" s="78"/>
      <c r="BD280" s="78"/>
      <c r="BE280" s="78"/>
      <c r="BF280" s="78"/>
      <c r="BG280" s="78"/>
      <c r="BH280" s="78"/>
      <c r="BI280" s="78"/>
      <c r="BJ280" s="78"/>
      <c r="BK280" s="78"/>
      <c r="BL280" s="78"/>
      <c r="BM280" s="78"/>
      <c r="BN280" s="78"/>
      <c r="BO280" s="78"/>
      <c r="BP280" s="78"/>
      <c r="BQ280" s="78"/>
      <c r="BR280" s="78"/>
      <c r="BS280" s="78"/>
      <c r="BT280" s="78"/>
      <c r="BU280" s="78"/>
      <c r="BV280" s="78"/>
      <c r="BW280" s="78"/>
      <c r="BX280" s="78"/>
      <c r="BY280" s="78"/>
      <c r="BZ280" s="78"/>
      <c r="CA280" s="78"/>
      <c r="CB280" s="78"/>
      <c r="CC280" s="78"/>
      <c r="CD280" s="78"/>
      <c r="CE280" s="78"/>
      <c r="CF280" s="78"/>
      <c r="CG280" s="78"/>
      <c r="CH280" s="78"/>
      <c r="CI280" s="78"/>
      <c r="CJ280" s="78"/>
      <c r="CK280" s="78"/>
      <c r="CL280" s="78"/>
      <c r="CM280" s="78"/>
      <c r="CN280" s="78"/>
      <c r="CO280" s="78"/>
      <c r="CP280" s="78"/>
      <c r="CQ280" s="78"/>
      <c r="CR280" s="78"/>
      <c r="CS280" s="78"/>
      <c r="CT280" s="78"/>
      <c r="CU280" s="78"/>
      <c r="CV280" s="78"/>
      <c r="CW280" s="78"/>
      <c r="CX280" s="78"/>
      <c r="CY280" s="78"/>
      <c r="CZ280" s="78"/>
      <c r="DA280" s="78"/>
      <c r="DB280" s="78"/>
      <c r="DC280" s="78"/>
      <c r="DD280" s="78"/>
      <c r="DE280" s="78"/>
      <c r="DF280" s="78"/>
      <c r="DG280" s="78"/>
      <c r="DH280" s="78"/>
      <c r="DI280" s="78"/>
      <c r="DJ280" s="78"/>
      <c r="DK280" s="78"/>
      <c r="DL280" s="78"/>
      <c r="DM280" s="78"/>
      <c r="DN280" s="78"/>
      <c r="DO280" s="78"/>
      <c r="DP280" s="78"/>
      <c r="DQ280" s="78"/>
      <c r="DR280" s="78"/>
      <c r="DS280" s="78"/>
      <c r="DT280" s="78"/>
      <c r="DU280" s="78"/>
      <c r="DV280" s="78"/>
      <c r="DW280" s="78"/>
      <c r="DX280" s="78"/>
      <c r="DY280" s="78"/>
      <c r="DZ280" s="78"/>
      <c r="EA280" s="78"/>
      <c r="EB280" s="78"/>
      <c r="EC280" s="78"/>
      <c r="ED280" s="78"/>
      <c r="EE280" s="78"/>
      <c r="EF280" s="78"/>
      <c r="EG280" s="78"/>
      <c r="EH280" s="78"/>
      <c r="EI280" s="91"/>
      <c r="EJ280" s="91"/>
      <c r="EK280" s="91"/>
      <c r="EL280" s="91"/>
      <c r="EM280" s="91"/>
      <c r="EN280" s="91"/>
      <c r="EO280" s="91"/>
      <c r="EP280" s="78"/>
      <c r="EQ280" s="78"/>
      <c r="ER280" s="78"/>
      <c r="ES280" s="78"/>
      <c r="ET280" s="78"/>
      <c r="EU280" s="78"/>
      <c r="EV280" s="78"/>
      <c r="EW280" s="78"/>
      <c r="EX280" s="78"/>
      <c r="EY280" s="78"/>
      <c r="EZ280" s="78"/>
      <c r="FA280" s="78"/>
      <c r="FB280" s="78"/>
      <c r="FC280" s="78"/>
      <c r="FD280" s="78"/>
      <c r="FE280" s="78"/>
      <c r="FF280" s="78"/>
      <c r="FG280" s="78"/>
      <c r="FH280" s="78"/>
      <c r="FI280" s="78"/>
      <c r="FJ280" s="78"/>
      <c r="FK280" s="78"/>
    </row>
    <row r="281" spans="1:167" outlineLevel="1">
      <c r="A281" s="29" t="str">
        <f t="shared" si="26"/>
        <v>modesg_inp_nfrd_alinhamento_taxccm_trnvr_own_prfrmnce_algnd</v>
      </c>
      <c r="B281" s="67" t="s">
        <v>26</v>
      </c>
      <c r="C281" s="68" t="s">
        <v>181</v>
      </c>
      <c r="D281" s="64" t="s">
        <v>40</v>
      </c>
      <c r="E281" s="66" t="s">
        <v>215</v>
      </c>
      <c r="F281" s="64" t="s">
        <v>254</v>
      </c>
      <c r="G281" s="64" t="str">
        <f>INDEX(Auxiliar!$B$16:$B$24,MATCH(Plano_V1!H281,Auxiliar!$C$16:$C$24,0),1)</f>
        <v>1. Concluído</v>
      </c>
      <c r="H281" s="64">
        <f>VLOOKUP(A281,'Aux - pivots1'!$A:$B,2,0)</f>
        <v>1</v>
      </c>
      <c r="I281" s="84">
        <f>SUMIFS(Table1[Estimação (horas)],Table1[Tabela],Plano_V1!E281,Table1[Campo],Plano_V1!F281)</f>
        <v>0.6</v>
      </c>
      <c r="J281" s="84">
        <f t="shared" si="27"/>
        <v>7.4999999999999997E-2</v>
      </c>
      <c r="K281" s="89" t="s">
        <v>39</v>
      </c>
      <c r="L281" s="90">
        <f t="shared" si="25"/>
        <v>7.4999999999999997E-2</v>
      </c>
      <c r="M281" s="78"/>
      <c r="N281" s="78"/>
      <c r="O281" s="78"/>
      <c r="P281" s="78"/>
      <c r="Q281" s="78"/>
      <c r="R281" s="78"/>
      <c r="S281" s="78"/>
      <c r="T281" s="78"/>
      <c r="U281" s="78"/>
      <c r="V281" s="78"/>
      <c r="W281" s="78"/>
      <c r="X281" s="78"/>
      <c r="Y281" s="78"/>
      <c r="Z281" s="78"/>
      <c r="AA281" s="78"/>
      <c r="AB281" s="78"/>
      <c r="AC281" s="78"/>
      <c r="AD281" s="78"/>
      <c r="AE281" s="78"/>
      <c r="AF281" s="78"/>
      <c r="AG281" s="78"/>
      <c r="AH281" s="78"/>
      <c r="AI281" s="78"/>
      <c r="AJ281" s="78"/>
      <c r="AK281" s="78"/>
      <c r="AL281" s="78"/>
      <c r="AM281" s="78"/>
      <c r="AN281" s="78"/>
      <c r="AO281" s="78"/>
      <c r="AP281" s="78"/>
      <c r="AQ281" s="78"/>
      <c r="AR281" s="78"/>
      <c r="AS281" s="78"/>
      <c r="AT281" s="91"/>
      <c r="AU281" s="78"/>
      <c r="AV281" s="78"/>
      <c r="AW281" s="78"/>
      <c r="AX281" s="78"/>
      <c r="AY281" s="78"/>
      <c r="AZ281" s="78"/>
      <c r="BA281" s="78"/>
      <c r="BB281" s="78"/>
      <c r="BC281" s="78"/>
      <c r="BD281" s="78"/>
      <c r="BE281" s="78"/>
      <c r="BF281" s="78"/>
      <c r="BG281" s="78"/>
      <c r="BH281" s="78"/>
      <c r="BI281" s="78"/>
      <c r="BJ281" s="78"/>
      <c r="BK281" s="78"/>
      <c r="BL281" s="78"/>
      <c r="BM281" s="78"/>
      <c r="BN281" s="78"/>
      <c r="BO281" s="78"/>
      <c r="BP281" s="78"/>
      <c r="BQ281" s="78"/>
      <c r="BR281" s="78"/>
      <c r="BS281" s="78"/>
      <c r="BT281" s="78"/>
      <c r="BU281" s="78"/>
      <c r="BV281" s="78"/>
      <c r="BW281" s="78"/>
      <c r="BX281" s="78"/>
      <c r="BY281" s="78"/>
      <c r="BZ281" s="78"/>
      <c r="CA281" s="78"/>
      <c r="CB281" s="78"/>
      <c r="CC281" s="78"/>
      <c r="CD281" s="78"/>
      <c r="CE281" s="78"/>
      <c r="CF281" s="78"/>
      <c r="CG281" s="78"/>
      <c r="CH281" s="78"/>
      <c r="CI281" s="78"/>
      <c r="CJ281" s="78"/>
      <c r="CK281" s="78"/>
      <c r="CL281" s="78"/>
      <c r="CM281" s="78"/>
      <c r="CN281" s="78"/>
      <c r="CO281" s="78"/>
      <c r="CP281" s="78"/>
      <c r="CQ281" s="78"/>
      <c r="CR281" s="78"/>
      <c r="CS281" s="78"/>
      <c r="CT281" s="78"/>
      <c r="CU281" s="78"/>
      <c r="CV281" s="78"/>
      <c r="CW281" s="78"/>
      <c r="CX281" s="78"/>
      <c r="CY281" s="78"/>
      <c r="CZ281" s="78"/>
      <c r="DA281" s="78"/>
      <c r="DB281" s="78"/>
      <c r="DC281" s="78"/>
      <c r="DD281" s="78"/>
      <c r="DE281" s="78"/>
      <c r="DF281" s="78"/>
      <c r="DG281" s="78"/>
      <c r="DH281" s="78"/>
      <c r="DI281" s="78"/>
      <c r="DJ281" s="78"/>
      <c r="DK281" s="78"/>
      <c r="DL281" s="78"/>
      <c r="DM281" s="78"/>
      <c r="DN281" s="78"/>
      <c r="DO281" s="78"/>
      <c r="DP281" s="78"/>
      <c r="DQ281" s="78"/>
      <c r="DR281" s="78"/>
      <c r="DS281" s="78"/>
      <c r="DT281" s="78"/>
      <c r="DU281" s="78"/>
      <c r="DV281" s="78"/>
      <c r="DW281" s="78"/>
      <c r="DX281" s="78"/>
      <c r="DY281" s="78"/>
      <c r="DZ281" s="78"/>
      <c r="EA281" s="78"/>
      <c r="EB281" s="78"/>
      <c r="EC281" s="78"/>
      <c r="ED281" s="78"/>
      <c r="EE281" s="78"/>
      <c r="EF281" s="78"/>
      <c r="EG281" s="78"/>
      <c r="EH281" s="78"/>
      <c r="EI281" s="91"/>
      <c r="EJ281" s="91"/>
      <c r="EK281" s="91"/>
      <c r="EL281" s="91"/>
      <c r="EM281" s="91"/>
      <c r="EN281" s="91"/>
      <c r="EO281" s="91"/>
      <c r="EP281" s="78"/>
      <c r="EQ281" s="78"/>
      <c r="ER281" s="78"/>
      <c r="ES281" s="78"/>
      <c r="ET281" s="78"/>
      <c r="EU281" s="78"/>
      <c r="EV281" s="78"/>
      <c r="EW281" s="78"/>
      <c r="EX281" s="78"/>
      <c r="EY281" s="78"/>
      <c r="EZ281" s="78"/>
      <c r="FA281" s="78"/>
      <c r="FB281" s="78"/>
      <c r="FC281" s="78"/>
      <c r="FD281" s="78"/>
      <c r="FE281" s="78"/>
      <c r="FF281" s="78"/>
      <c r="FG281" s="78"/>
      <c r="FH281" s="78"/>
      <c r="FI281" s="78"/>
      <c r="FJ281" s="78"/>
      <c r="FK281" s="78"/>
    </row>
    <row r="282" spans="1:167" outlineLevel="1">
      <c r="A282" s="29" t="str">
        <f t="shared" si="26"/>
        <v>modesg_inp_nfrd_alinhamento_taxccm_capex_ttl_elgbl</v>
      </c>
      <c r="B282" s="67" t="s">
        <v>26</v>
      </c>
      <c r="C282" s="68" t="s">
        <v>181</v>
      </c>
      <c r="D282" s="64" t="s">
        <v>40</v>
      </c>
      <c r="E282" s="66" t="s">
        <v>215</v>
      </c>
      <c r="F282" s="64" t="s">
        <v>255</v>
      </c>
      <c r="G282" s="64" t="str">
        <f>INDEX(Auxiliar!$B$16:$B$24,MATCH(Plano_V1!H282,Auxiliar!$C$16:$C$24,0),1)</f>
        <v>1. Concluído</v>
      </c>
      <c r="H282" s="64">
        <f>VLOOKUP(A282,'Aux - pivots1'!$A:$B,2,0)</f>
        <v>1</v>
      </c>
      <c r="I282" s="84">
        <f>SUMIFS(Table1[Estimação (horas)],Table1[Tabela],Plano_V1!E282,Table1[Campo],Plano_V1!F282)</f>
        <v>0.6</v>
      </c>
      <c r="J282" s="84">
        <f t="shared" si="27"/>
        <v>7.4999999999999997E-2</v>
      </c>
      <c r="K282" s="89" t="s">
        <v>39</v>
      </c>
      <c r="L282" s="90">
        <f t="shared" ref="L282:L345" si="28">J282-SUM(M282:FK282)</f>
        <v>7.4999999999999997E-2</v>
      </c>
      <c r="M282" s="78"/>
      <c r="N282" s="78"/>
      <c r="O282" s="78"/>
      <c r="P282" s="78"/>
      <c r="Q282" s="78"/>
      <c r="R282" s="78"/>
      <c r="S282" s="78"/>
      <c r="T282" s="78"/>
      <c r="U282" s="78"/>
      <c r="V282" s="78"/>
      <c r="W282" s="78"/>
      <c r="X282" s="78"/>
      <c r="Y282" s="78"/>
      <c r="Z282" s="78"/>
      <c r="AA282" s="78"/>
      <c r="AB282" s="78"/>
      <c r="AC282" s="78"/>
      <c r="AD282" s="78"/>
      <c r="AE282" s="78"/>
      <c r="AF282" s="78"/>
      <c r="AG282" s="78"/>
      <c r="AH282" s="78"/>
      <c r="AI282" s="78"/>
      <c r="AJ282" s="78"/>
      <c r="AK282" s="78"/>
      <c r="AL282" s="78"/>
      <c r="AM282" s="78"/>
      <c r="AN282" s="78"/>
      <c r="AO282" s="78"/>
      <c r="AP282" s="78"/>
      <c r="AQ282" s="78"/>
      <c r="AR282" s="78"/>
      <c r="AS282" s="78"/>
      <c r="AT282" s="91"/>
      <c r="AU282" s="78"/>
      <c r="AV282" s="78"/>
      <c r="AW282" s="78"/>
      <c r="AX282" s="78"/>
      <c r="AY282" s="78"/>
      <c r="AZ282" s="78"/>
      <c r="BA282" s="78"/>
      <c r="BB282" s="78"/>
      <c r="BC282" s="78"/>
      <c r="BD282" s="78"/>
      <c r="BE282" s="78"/>
      <c r="BF282" s="78"/>
      <c r="BG282" s="78"/>
      <c r="BH282" s="78"/>
      <c r="BI282" s="78"/>
      <c r="BJ282" s="78"/>
      <c r="BK282" s="78"/>
      <c r="BL282" s="78"/>
      <c r="BM282" s="78"/>
      <c r="BN282" s="78"/>
      <c r="BO282" s="78"/>
      <c r="BP282" s="78"/>
      <c r="BQ282" s="78"/>
      <c r="BR282" s="78"/>
      <c r="BS282" s="78"/>
      <c r="BT282" s="78"/>
      <c r="BU282" s="78"/>
      <c r="BV282" s="78"/>
      <c r="BW282" s="78"/>
      <c r="BX282" s="78"/>
      <c r="BY282" s="78"/>
      <c r="BZ282" s="78"/>
      <c r="CA282" s="78"/>
      <c r="CB282" s="78"/>
      <c r="CC282" s="78"/>
      <c r="CD282" s="78"/>
      <c r="CE282" s="78"/>
      <c r="CF282" s="78"/>
      <c r="CG282" s="78"/>
      <c r="CH282" s="78"/>
      <c r="CI282" s="78"/>
      <c r="CJ282" s="78"/>
      <c r="CK282" s="78"/>
      <c r="CL282" s="78"/>
      <c r="CM282" s="78"/>
      <c r="CN282" s="78"/>
      <c r="CO282" s="78"/>
      <c r="CP282" s="78"/>
      <c r="CQ282" s="78"/>
      <c r="CR282" s="78"/>
      <c r="CS282" s="78"/>
      <c r="CT282" s="78"/>
      <c r="CU282" s="78"/>
      <c r="CV282" s="78"/>
      <c r="CW282" s="78"/>
      <c r="CX282" s="78"/>
      <c r="CY282" s="78"/>
      <c r="CZ282" s="78"/>
      <c r="DA282" s="78"/>
      <c r="DB282" s="78"/>
      <c r="DC282" s="78"/>
      <c r="DD282" s="78"/>
      <c r="DE282" s="78"/>
      <c r="DF282" s="78"/>
      <c r="DG282" s="78"/>
      <c r="DH282" s="78"/>
      <c r="DI282" s="78"/>
      <c r="DJ282" s="78"/>
      <c r="DK282" s="78"/>
      <c r="DL282" s="78"/>
      <c r="DM282" s="78"/>
      <c r="DN282" s="78"/>
      <c r="DO282" s="78"/>
      <c r="DP282" s="78"/>
      <c r="DQ282" s="78"/>
      <c r="DR282" s="78"/>
      <c r="DS282" s="78"/>
      <c r="DT282" s="78"/>
      <c r="DU282" s="78"/>
      <c r="DV282" s="78"/>
      <c r="DW282" s="78"/>
      <c r="DX282" s="78"/>
      <c r="DY282" s="78"/>
      <c r="DZ282" s="78"/>
      <c r="EA282" s="78"/>
      <c r="EB282" s="78"/>
      <c r="EC282" s="78"/>
      <c r="ED282" s="78"/>
      <c r="EE282" s="78"/>
      <c r="EF282" s="78"/>
      <c r="EG282" s="78"/>
      <c r="EH282" s="78"/>
      <c r="EI282" s="91"/>
      <c r="EJ282" s="91"/>
      <c r="EK282" s="91"/>
      <c r="EL282" s="91"/>
      <c r="EM282" s="91"/>
      <c r="EN282" s="91"/>
      <c r="EO282" s="91"/>
      <c r="EP282" s="78"/>
      <c r="EQ282" s="78"/>
      <c r="ER282" s="78"/>
      <c r="ES282" s="78"/>
      <c r="ET282" s="78"/>
      <c r="EU282" s="78"/>
      <c r="EV282" s="78"/>
      <c r="EW282" s="78"/>
      <c r="EX282" s="78"/>
      <c r="EY282" s="78"/>
      <c r="EZ282" s="78"/>
      <c r="FA282" s="78"/>
      <c r="FB282" s="78"/>
      <c r="FC282" s="78"/>
      <c r="FD282" s="78"/>
      <c r="FE282" s="78"/>
      <c r="FF282" s="78"/>
      <c r="FG282" s="78"/>
      <c r="FH282" s="78"/>
      <c r="FI282" s="78"/>
      <c r="FJ282" s="78"/>
      <c r="FK282" s="78"/>
    </row>
    <row r="283" spans="1:167" outlineLevel="1">
      <c r="A283" s="29" t="str">
        <f t="shared" si="26"/>
        <v>modesg_inp_nfrd_alinhamento_taxccm_capex_enblng_algnd</v>
      </c>
      <c r="B283" s="67" t="s">
        <v>26</v>
      </c>
      <c r="C283" s="68" t="s">
        <v>181</v>
      </c>
      <c r="D283" s="64" t="s">
        <v>40</v>
      </c>
      <c r="E283" s="66" t="s">
        <v>215</v>
      </c>
      <c r="F283" s="64" t="s">
        <v>256</v>
      </c>
      <c r="G283" s="64" t="str">
        <f>INDEX(Auxiliar!$B$16:$B$24,MATCH(Plano_V1!H283,Auxiliar!$C$16:$C$24,0),1)</f>
        <v>1. Concluído</v>
      </c>
      <c r="H283" s="64">
        <f>VLOOKUP(A283,'Aux - pivots1'!$A:$B,2,0)</f>
        <v>1</v>
      </c>
      <c r="I283" s="84">
        <f>SUMIFS(Table1[Estimação (horas)],Table1[Tabela],Plano_V1!E283,Table1[Campo],Plano_V1!F283)</f>
        <v>0.6</v>
      </c>
      <c r="J283" s="84">
        <f t="shared" si="27"/>
        <v>7.4999999999999997E-2</v>
      </c>
      <c r="K283" s="89" t="s">
        <v>39</v>
      </c>
      <c r="L283" s="90">
        <f t="shared" si="28"/>
        <v>7.4999999999999997E-2</v>
      </c>
      <c r="M283" s="78"/>
      <c r="N283" s="78"/>
      <c r="O283" s="78"/>
      <c r="P283" s="78"/>
      <c r="Q283" s="78"/>
      <c r="R283" s="78"/>
      <c r="S283" s="78"/>
      <c r="T283" s="78"/>
      <c r="U283" s="78"/>
      <c r="V283" s="78"/>
      <c r="W283" s="78"/>
      <c r="X283" s="78"/>
      <c r="Y283" s="78"/>
      <c r="Z283" s="78"/>
      <c r="AA283" s="78"/>
      <c r="AB283" s="78"/>
      <c r="AC283" s="78"/>
      <c r="AD283" s="78"/>
      <c r="AE283" s="78"/>
      <c r="AF283" s="78"/>
      <c r="AG283" s="78"/>
      <c r="AH283" s="78"/>
      <c r="AI283" s="78"/>
      <c r="AJ283" s="78"/>
      <c r="AK283" s="78"/>
      <c r="AL283" s="78"/>
      <c r="AM283" s="78"/>
      <c r="AN283" s="78"/>
      <c r="AO283" s="78"/>
      <c r="AP283" s="78"/>
      <c r="AQ283" s="78"/>
      <c r="AR283" s="78"/>
      <c r="AS283" s="78"/>
      <c r="AT283" s="91"/>
      <c r="AU283" s="78"/>
      <c r="AV283" s="78"/>
      <c r="AW283" s="78"/>
      <c r="AX283" s="78"/>
      <c r="AY283" s="78"/>
      <c r="AZ283" s="78"/>
      <c r="BA283" s="78"/>
      <c r="BB283" s="78"/>
      <c r="BC283" s="78"/>
      <c r="BD283" s="78"/>
      <c r="BE283" s="78"/>
      <c r="BF283" s="78"/>
      <c r="BG283" s="78"/>
      <c r="BH283" s="78"/>
      <c r="BI283" s="78"/>
      <c r="BJ283" s="78"/>
      <c r="BK283" s="78"/>
      <c r="BL283" s="78"/>
      <c r="BM283" s="78"/>
      <c r="BN283" s="78"/>
      <c r="BO283" s="78"/>
      <c r="BP283" s="78"/>
      <c r="BQ283" s="78"/>
      <c r="BR283" s="78"/>
      <c r="BS283" s="78"/>
      <c r="BT283" s="78"/>
      <c r="BU283" s="78"/>
      <c r="BV283" s="78"/>
      <c r="BW283" s="78"/>
      <c r="BX283" s="78"/>
      <c r="BY283" s="78"/>
      <c r="BZ283" s="78"/>
      <c r="CA283" s="78"/>
      <c r="CB283" s="78"/>
      <c r="CC283" s="78"/>
      <c r="CD283" s="78"/>
      <c r="CE283" s="78"/>
      <c r="CF283" s="78"/>
      <c r="CG283" s="78"/>
      <c r="CH283" s="78"/>
      <c r="CI283" s="78"/>
      <c r="CJ283" s="78"/>
      <c r="CK283" s="78"/>
      <c r="CL283" s="78"/>
      <c r="CM283" s="78"/>
      <c r="CN283" s="78"/>
      <c r="CO283" s="78"/>
      <c r="CP283" s="78"/>
      <c r="CQ283" s="78"/>
      <c r="CR283" s="78"/>
      <c r="CS283" s="78"/>
      <c r="CT283" s="78"/>
      <c r="CU283" s="78"/>
      <c r="CV283" s="78"/>
      <c r="CW283" s="78"/>
      <c r="CX283" s="78"/>
      <c r="CY283" s="78"/>
      <c r="CZ283" s="78"/>
      <c r="DA283" s="78"/>
      <c r="DB283" s="78"/>
      <c r="DC283" s="78"/>
      <c r="DD283" s="78"/>
      <c r="DE283" s="78"/>
      <c r="DF283" s="78"/>
      <c r="DG283" s="78"/>
      <c r="DH283" s="78"/>
      <c r="DI283" s="78"/>
      <c r="DJ283" s="78"/>
      <c r="DK283" s="78"/>
      <c r="DL283" s="78"/>
      <c r="DM283" s="78"/>
      <c r="DN283" s="78"/>
      <c r="DO283" s="78"/>
      <c r="DP283" s="78"/>
      <c r="DQ283" s="78"/>
      <c r="DR283" s="78"/>
      <c r="DS283" s="78"/>
      <c r="DT283" s="78"/>
      <c r="DU283" s="78"/>
      <c r="DV283" s="78"/>
      <c r="DW283" s="78"/>
      <c r="DX283" s="78"/>
      <c r="DY283" s="78"/>
      <c r="DZ283" s="78"/>
      <c r="EA283" s="78"/>
      <c r="EB283" s="78"/>
      <c r="EC283" s="78"/>
      <c r="ED283" s="78"/>
      <c r="EE283" s="78"/>
      <c r="EF283" s="78"/>
      <c r="EG283" s="78"/>
      <c r="EH283" s="78"/>
      <c r="EI283" s="91"/>
      <c r="EJ283" s="91"/>
      <c r="EK283" s="91"/>
      <c r="EL283" s="91"/>
      <c r="EM283" s="91"/>
      <c r="EN283" s="91"/>
      <c r="EO283" s="91"/>
      <c r="EP283" s="78"/>
      <c r="EQ283" s="78"/>
      <c r="ER283" s="78"/>
      <c r="ES283" s="78"/>
      <c r="ET283" s="78"/>
      <c r="EU283" s="78"/>
      <c r="EV283" s="78"/>
      <c r="EW283" s="78"/>
      <c r="EX283" s="78"/>
      <c r="EY283" s="78"/>
      <c r="EZ283" s="78"/>
      <c r="FA283" s="78"/>
      <c r="FB283" s="78"/>
      <c r="FC283" s="78"/>
      <c r="FD283" s="78"/>
      <c r="FE283" s="78"/>
      <c r="FF283" s="78"/>
      <c r="FG283" s="78"/>
      <c r="FH283" s="78"/>
      <c r="FI283" s="78"/>
      <c r="FJ283" s="78"/>
      <c r="FK283" s="78"/>
    </row>
    <row r="284" spans="1:167" outlineLevel="1">
      <c r="A284" s="29" t="str">
        <f t="shared" si="26"/>
        <v>modesg_inp_nfrd_alinhamento_taxccm_capex_trnstn_algnd</v>
      </c>
      <c r="B284" s="67" t="s">
        <v>26</v>
      </c>
      <c r="C284" s="68" t="s">
        <v>181</v>
      </c>
      <c r="D284" s="64" t="s">
        <v>40</v>
      </c>
      <c r="E284" s="66" t="s">
        <v>215</v>
      </c>
      <c r="F284" s="64" t="s">
        <v>257</v>
      </c>
      <c r="G284" s="64" t="str">
        <f>INDEX(Auxiliar!$B$16:$B$24,MATCH(Plano_V1!H284,Auxiliar!$C$16:$C$24,0),1)</f>
        <v>1. Concluído</v>
      </c>
      <c r="H284" s="64">
        <f>VLOOKUP(A284,'Aux - pivots1'!$A:$B,2,0)</f>
        <v>1</v>
      </c>
      <c r="I284" s="84">
        <f>SUMIFS(Table1[Estimação (horas)],Table1[Tabela],Plano_V1!E284,Table1[Campo],Plano_V1!F284)</f>
        <v>0.6</v>
      </c>
      <c r="J284" s="84">
        <f t="shared" si="27"/>
        <v>7.4999999999999997E-2</v>
      </c>
      <c r="K284" s="89" t="s">
        <v>39</v>
      </c>
      <c r="L284" s="90">
        <f t="shared" si="28"/>
        <v>7.4999999999999997E-2</v>
      </c>
      <c r="M284" s="78"/>
      <c r="N284" s="78"/>
      <c r="O284" s="78"/>
      <c r="P284" s="78"/>
      <c r="Q284" s="78"/>
      <c r="R284" s="78"/>
      <c r="S284" s="78"/>
      <c r="T284" s="78"/>
      <c r="U284" s="78"/>
      <c r="V284" s="78"/>
      <c r="W284" s="78"/>
      <c r="X284" s="78"/>
      <c r="Y284" s="78"/>
      <c r="Z284" s="78"/>
      <c r="AA284" s="78"/>
      <c r="AB284" s="78"/>
      <c r="AC284" s="78"/>
      <c r="AD284" s="78"/>
      <c r="AE284" s="78"/>
      <c r="AF284" s="78"/>
      <c r="AG284" s="78"/>
      <c r="AH284" s="78"/>
      <c r="AI284" s="78"/>
      <c r="AJ284" s="78"/>
      <c r="AK284" s="78"/>
      <c r="AL284" s="78"/>
      <c r="AM284" s="78"/>
      <c r="AN284" s="78"/>
      <c r="AO284" s="78"/>
      <c r="AP284" s="78"/>
      <c r="AQ284" s="78"/>
      <c r="AR284" s="78"/>
      <c r="AS284" s="78"/>
      <c r="AT284" s="91"/>
      <c r="AU284" s="78"/>
      <c r="AV284" s="78"/>
      <c r="AW284" s="78"/>
      <c r="AX284" s="78"/>
      <c r="AY284" s="78"/>
      <c r="AZ284" s="78"/>
      <c r="BA284" s="78"/>
      <c r="BB284" s="78"/>
      <c r="BC284" s="78"/>
      <c r="BD284" s="78"/>
      <c r="BE284" s="78"/>
      <c r="BF284" s="78"/>
      <c r="BG284" s="78"/>
      <c r="BH284" s="78"/>
      <c r="BI284" s="78"/>
      <c r="BJ284" s="78"/>
      <c r="BK284" s="78"/>
      <c r="BL284" s="78"/>
      <c r="BM284" s="78"/>
      <c r="BN284" s="78"/>
      <c r="BO284" s="78"/>
      <c r="BP284" s="78"/>
      <c r="BQ284" s="78"/>
      <c r="BR284" s="78"/>
      <c r="BS284" s="78"/>
      <c r="BT284" s="78"/>
      <c r="BU284" s="78"/>
      <c r="BV284" s="78"/>
      <c r="BW284" s="78"/>
      <c r="BX284" s="78"/>
      <c r="BY284" s="78"/>
      <c r="BZ284" s="78"/>
      <c r="CA284" s="78"/>
      <c r="CB284" s="78"/>
      <c r="CC284" s="78"/>
      <c r="CD284" s="78"/>
      <c r="CE284" s="78"/>
      <c r="CF284" s="78"/>
      <c r="CG284" s="78"/>
      <c r="CH284" s="78"/>
      <c r="CI284" s="78"/>
      <c r="CJ284" s="78"/>
      <c r="CK284" s="78"/>
      <c r="CL284" s="78"/>
      <c r="CM284" s="78"/>
      <c r="CN284" s="78"/>
      <c r="CO284" s="78"/>
      <c r="CP284" s="78"/>
      <c r="CQ284" s="78"/>
      <c r="CR284" s="78"/>
      <c r="CS284" s="78"/>
      <c r="CT284" s="78"/>
      <c r="CU284" s="78"/>
      <c r="CV284" s="78"/>
      <c r="CW284" s="78"/>
      <c r="CX284" s="78"/>
      <c r="CY284" s="78"/>
      <c r="CZ284" s="78"/>
      <c r="DA284" s="78"/>
      <c r="DB284" s="78"/>
      <c r="DC284" s="78"/>
      <c r="DD284" s="78"/>
      <c r="DE284" s="78"/>
      <c r="DF284" s="78"/>
      <c r="DG284" s="78"/>
      <c r="DH284" s="78"/>
      <c r="DI284" s="78"/>
      <c r="DJ284" s="78"/>
      <c r="DK284" s="78"/>
      <c r="DL284" s="78"/>
      <c r="DM284" s="78"/>
      <c r="DN284" s="78"/>
      <c r="DO284" s="78"/>
      <c r="DP284" s="78"/>
      <c r="DQ284" s="78"/>
      <c r="DR284" s="78"/>
      <c r="DS284" s="78"/>
      <c r="DT284" s="78"/>
      <c r="DU284" s="78"/>
      <c r="DV284" s="78"/>
      <c r="DW284" s="78"/>
      <c r="DX284" s="78"/>
      <c r="DY284" s="78"/>
      <c r="DZ284" s="78"/>
      <c r="EA284" s="78"/>
      <c r="EB284" s="78"/>
      <c r="EC284" s="78"/>
      <c r="ED284" s="78"/>
      <c r="EE284" s="78"/>
      <c r="EF284" s="78"/>
      <c r="EG284" s="78"/>
      <c r="EH284" s="78"/>
      <c r="EI284" s="91"/>
      <c r="EJ284" s="91"/>
      <c r="EK284" s="91"/>
      <c r="EL284" s="91"/>
      <c r="EM284" s="91"/>
      <c r="EN284" s="91"/>
      <c r="EO284" s="91"/>
      <c r="EP284" s="78"/>
      <c r="EQ284" s="78"/>
      <c r="ER284" s="78"/>
      <c r="ES284" s="78"/>
      <c r="ET284" s="78"/>
      <c r="EU284" s="78"/>
      <c r="EV284" s="78"/>
      <c r="EW284" s="78"/>
      <c r="EX284" s="78"/>
      <c r="EY284" s="78"/>
      <c r="EZ284" s="78"/>
      <c r="FA284" s="78"/>
      <c r="FB284" s="78"/>
      <c r="FC284" s="78"/>
      <c r="FD284" s="78"/>
      <c r="FE284" s="78"/>
      <c r="FF284" s="78"/>
      <c r="FG284" s="78"/>
      <c r="FH284" s="78"/>
      <c r="FI284" s="78"/>
      <c r="FJ284" s="78"/>
      <c r="FK284" s="78"/>
    </row>
    <row r="285" spans="1:167" outlineLevel="1">
      <c r="A285" s="29" t="str">
        <f t="shared" ref="A285:A348" si="29">E285&amp;F285</f>
        <v>modesg_inp_nfrd_alinhamento_taxccm_capex_own_prfrmnce_algnd</v>
      </c>
      <c r="B285" s="67" t="s">
        <v>26</v>
      </c>
      <c r="C285" s="68" t="s">
        <v>181</v>
      </c>
      <c r="D285" s="64" t="s">
        <v>40</v>
      </c>
      <c r="E285" s="66" t="s">
        <v>215</v>
      </c>
      <c r="F285" s="64" t="s">
        <v>258</v>
      </c>
      <c r="G285" s="64" t="str">
        <f>INDEX(Auxiliar!$B$16:$B$24,MATCH(Plano_V1!H285,Auxiliar!$C$16:$C$24,0),1)</f>
        <v>1. Concluído</v>
      </c>
      <c r="H285" s="64">
        <f>VLOOKUP(A285,'Aux - pivots1'!$A:$B,2,0)</f>
        <v>1</v>
      </c>
      <c r="I285" s="84">
        <f>SUMIFS(Table1[Estimação (horas)],Table1[Tabela],Plano_V1!E285,Table1[Campo],Plano_V1!F285)</f>
        <v>0.6</v>
      </c>
      <c r="J285" s="84">
        <f t="shared" si="27"/>
        <v>7.4999999999999997E-2</v>
      </c>
      <c r="K285" s="89" t="s">
        <v>39</v>
      </c>
      <c r="L285" s="90">
        <f t="shared" si="28"/>
        <v>7.4999999999999997E-2</v>
      </c>
      <c r="M285" s="78"/>
      <c r="N285" s="78"/>
      <c r="O285" s="78"/>
      <c r="P285" s="78"/>
      <c r="Q285" s="78"/>
      <c r="R285" s="78"/>
      <c r="S285" s="78"/>
      <c r="T285" s="78"/>
      <c r="U285" s="78"/>
      <c r="V285" s="78"/>
      <c r="W285" s="78"/>
      <c r="X285" s="78"/>
      <c r="Y285" s="78"/>
      <c r="Z285" s="78"/>
      <c r="AA285" s="78"/>
      <c r="AB285" s="78"/>
      <c r="AC285" s="78"/>
      <c r="AD285" s="78"/>
      <c r="AE285" s="78"/>
      <c r="AF285" s="78"/>
      <c r="AG285" s="78"/>
      <c r="AH285" s="78"/>
      <c r="AI285" s="78"/>
      <c r="AJ285" s="78"/>
      <c r="AK285" s="78"/>
      <c r="AL285" s="78"/>
      <c r="AM285" s="78"/>
      <c r="AN285" s="78"/>
      <c r="AO285" s="78"/>
      <c r="AP285" s="78"/>
      <c r="AQ285" s="78"/>
      <c r="AR285" s="78"/>
      <c r="AS285" s="78"/>
      <c r="AT285" s="91"/>
      <c r="AU285" s="78"/>
      <c r="AV285" s="78"/>
      <c r="AW285" s="78"/>
      <c r="AX285" s="78"/>
      <c r="AY285" s="78"/>
      <c r="AZ285" s="78"/>
      <c r="BA285" s="78"/>
      <c r="BB285" s="78"/>
      <c r="BC285" s="78"/>
      <c r="BD285" s="78"/>
      <c r="BE285" s="78"/>
      <c r="BF285" s="78"/>
      <c r="BG285" s="78"/>
      <c r="BH285" s="78"/>
      <c r="BI285" s="78"/>
      <c r="BJ285" s="78"/>
      <c r="BK285" s="78"/>
      <c r="BL285" s="78"/>
      <c r="BM285" s="78"/>
      <c r="BN285" s="78"/>
      <c r="BO285" s="78"/>
      <c r="BP285" s="78"/>
      <c r="BQ285" s="78"/>
      <c r="BR285" s="78"/>
      <c r="BS285" s="78"/>
      <c r="BT285" s="78"/>
      <c r="BU285" s="78"/>
      <c r="BV285" s="78"/>
      <c r="BW285" s="78"/>
      <c r="BX285" s="78"/>
      <c r="BY285" s="78"/>
      <c r="BZ285" s="78"/>
      <c r="CA285" s="78"/>
      <c r="CB285" s="78"/>
      <c r="CC285" s="78"/>
      <c r="CD285" s="78"/>
      <c r="CE285" s="78"/>
      <c r="CF285" s="78"/>
      <c r="CG285" s="78"/>
      <c r="CH285" s="78"/>
      <c r="CI285" s="78"/>
      <c r="CJ285" s="78"/>
      <c r="CK285" s="78"/>
      <c r="CL285" s="78"/>
      <c r="CM285" s="78"/>
      <c r="CN285" s="78"/>
      <c r="CO285" s="78"/>
      <c r="CP285" s="78"/>
      <c r="CQ285" s="78"/>
      <c r="CR285" s="78"/>
      <c r="CS285" s="78"/>
      <c r="CT285" s="78"/>
      <c r="CU285" s="78"/>
      <c r="CV285" s="78"/>
      <c r="CW285" s="78"/>
      <c r="CX285" s="78"/>
      <c r="CY285" s="78"/>
      <c r="CZ285" s="78"/>
      <c r="DA285" s="78"/>
      <c r="DB285" s="78"/>
      <c r="DC285" s="78"/>
      <c r="DD285" s="78"/>
      <c r="DE285" s="78"/>
      <c r="DF285" s="78"/>
      <c r="DG285" s="78"/>
      <c r="DH285" s="78"/>
      <c r="DI285" s="78"/>
      <c r="DJ285" s="78"/>
      <c r="DK285" s="78"/>
      <c r="DL285" s="78"/>
      <c r="DM285" s="78"/>
      <c r="DN285" s="78"/>
      <c r="DO285" s="78"/>
      <c r="DP285" s="78"/>
      <c r="DQ285" s="78"/>
      <c r="DR285" s="78"/>
      <c r="DS285" s="78"/>
      <c r="DT285" s="78"/>
      <c r="DU285" s="78"/>
      <c r="DV285" s="78"/>
      <c r="DW285" s="78"/>
      <c r="DX285" s="78"/>
      <c r="DY285" s="78"/>
      <c r="DZ285" s="78"/>
      <c r="EA285" s="78"/>
      <c r="EB285" s="78"/>
      <c r="EC285" s="78"/>
      <c r="ED285" s="78"/>
      <c r="EE285" s="78"/>
      <c r="EF285" s="78"/>
      <c r="EG285" s="78"/>
      <c r="EH285" s="78"/>
      <c r="EI285" s="91"/>
      <c r="EJ285" s="91"/>
      <c r="EK285" s="91"/>
      <c r="EL285" s="91"/>
      <c r="EM285" s="91"/>
      <c r="EN285" s="91"/>
      <c r="EO285" s="91"/>
      <c r="EP285" s="78"/>
      <c r="EQ285" s="78"/>
      <c r="ER285" s="78"/>
      <c r="ES285" s="78"/>
      <c r="ET285" s="78"/>
      <c r="EU285" s="78"/>
      <c r="EV285" s="78"/>
      <c r="EW285" s="78"/>
      <c r="EX285" s="78"/>
      <c r="EY285" s="78"/>
      <c r="EZ285" s="78"/>
      <c r="FA285" s="78"/>
      <c r="FB285" s="78"/>
      <c r="FC285" s="78"/>
      <c r="FD285" s="78"/>
      <c r="FE285" s="78"/>
      <c r="FF285" s="78"/>
      <c r="FG285" s="78"/>
      <c r="FH285" s="78"/>
      <c r="FI285" s="78"/>
      <c r="FJ285" s="78"/>
      <c r="FK285" s="78"/>
    </row>
    <row r="286" spans="1:167" outlineLevel="1">
      <c r="A286" s="29" t="str">
        <f t="shared" si="29"/>
        <v>modesg_inp_nfrd_alinhamento_taxppc_trnvr_ttl_elgbl</v>
      </c>
      <c r="B286" s="67" t="s">
        <v>26</v>
      </c>
      <c r="C286" s="68" t="s">
        <v>181</v>
      </c>
      <c r="D286" s="64" t="s">
        <v>40</v>
      </c>
      <c r="E286" s="66" t="s">
        <v>215</v>
      </c>
      <c r="F286" s="64" t="s">
        <v>259</v>
      </c>
      <c r="G286" s="64" t="str">
        <f>INDEX(Auxiliar!$B$16:$B$24,MATCH(Plano_V1!H286,Auxiliar!$C$16:$C$24,0),1)</f>
        <v>1. Concluído</v>
      </c>
      <c r="H286" s="64">
        <f>VLOOKUP(A286,'Aux - pivots1'!$A:$B,2,0)</f>
        <v>1</v>
      </c>
      <c r="I286" s="84">
        <f>SUMIFS(Table1[Estimação (horas)],Table1[Tabela],Plano_V1!E286,Table1[Campo],Plano_V1!F286)</f>
        <v>0.6</v>
      </c>
      <c r="J286" s="84">
        <f t="shared" si="27"/>
        <v>7.4999999999999997E-2</v>
      </c>
      <c r="K286" s="89" t="s">
        <v>39</v>
      </c>
      <c r="L286" s="90">
        <f t="shared" si="28"/>
        <v>7.4999999999999997E-2</v>
      </c>
      <c r="M286" s="78"/>
      <c r="N286" s="78"/>
      <c r="O286" s="78"/>
      <c r="P286" s="78"/>
      <c r="Q286" s="78"/>
      <c r="R286" s="78"/>
      <c r="S286" s="78"/>
      <c r="T286" s="78"/>
      <c r="U286" s="78"/>
      <c r="V286" s="78"/>
      <c r="W286" s="78"/>
      <c r="X286" s="78"/>
      <c r="Y286" s="78"/>
      <c r="Z286" s="78"/>
      <c r="AA286" s="78"/>
      <c r="AB286" s="78"/>
      <c r="AC286" s="78"/>
      <c r="AD286" s="78"/>
      <c r="AE286" s="78"/>
      <c r="AF286" s="78"/>
      <c r="AG286" s="78"/>
      <c r="AH286" s="78"/>
      <c r="AI286" s="78"/>
      <c r="AJ286" s="78"/>
      <c r="AK286" s="78"/>
      <c r="AL286" s="78"/>
      <c r="AM286" s="78"/>
      <c r="AN286" s="78"/>
      <c r="AO286" s="78"/>
      <c r="AP286" s="78"/>
      <c r="AQ286" s="78"/>
      <c r="AR286" s="78"/>
      <c r="AS286" s="78"/>
      <c r="AT286" s="91"/>
      <c r="AU286" s="78"/>
      <c r="AV286" s="78"/>
      <c r="AW286" s="78"/>
      <c r="AX286" s="78"/>
      <c r="AY286" s="78"/>
      <c r="AZ286" s="78"/>
      <c r="BA286" s="78"/>
      <c r="BB286" s="78"/>
      <c r="BC286" s="78"/>
      <c r="BD286" s="78"/>
      <c r="BE286" s="78"/>
      <c r="BF286" s="78"/>
      <c r="BG286" s="78"/>
      <c r="BH286" s="78"/>
      <c r="BI286" s="78"/>
      <c r="BJ286" s="78"/>
      <c r="BK286" s="78"/>
      <c r="BL286" s="78"/>
      <c r="BM286" s="78"/>
      <c r="BN286" s="78"/>
      <c r="BO286" s="78"/>
      <c r="BP286" s="78"/>
      <c r="BQ286" s="78"/>
      <c r="BR286" s="78"/>
      <c r="BS286" s="78"/>
      <c r="BT286" s="78"/>
      <c r="BU286" s="78"/>
      <c r="BV286" s="78"/>
      <c r="BW286" s="78"/>
      <c r="BX286" s="78"/>
      <c r="BY286" s="78"/>
      <c r="BZ286" s="78"/>
      <c r="CA286" s="78"/>
      <c r="CB286" s="78"/>
      <c r="CC286" s="78"/>
      <c r="CD286" s="78"/>
      <c r="CE286" s="78"/>
      <c r="CF286" s="78"/>
      <c r="CG286" s="78"/>
      <c r="CH286" s="78"/>
      <c r="CI286" s="78"/>
      <c r="CJ286" s="78"/>
      <c r="CK286" s="78"/>
      <c r="CL286" s="78"/>
      <c r="CM286" s="78"/>
      <c r="CN286" s="78"/>
      <c r="CO286" s="78"/>
      <c r="CP286" s="78"/>
      <c r="CQ286" s="78"/>
      <c r="CR286" s="78"/>
      <c r="CS286" s="78"/>
      <c r="CT286" s="78"/>
      <c r="CU286" s="78"/>
      <c r="CV286" s="78"/>
      <c r="CW286" s="78"/>
      <c r="CX286" s="78"/>
      <c r="CY286" s="78"/>
      <c r="CZ286" s="78"/>
      <c r="DA286" s="78"/>
      <c r="DB286" s="78"/>
      <c r="DC286" s="78"/>
      <c r="DD286" s="78"/>
      <c r="DE286" s="78"/>
      <c r="DF286" s="78"/>
      <c r="DG286" s="78"/>
      <c r="DH286" s="78"/>
      <c r="DI286" s="78"/>
      <c r="DJ286" s="78"/>
      <c r="DK286" s="78"/>
      <c r="DL286" s="78"/>
      <c r="DM286" s="78"/>
      <c r="DN286" s="78"/>
      <c r="DO286" s="78"/>
      <c r="DP286" s="78"/>
      <c r="DQ286" s="78"/>
      <c r="DR286" s="78"/>
      <c r="DS286" s="78"/>
      <c r="DT286" s="78"/>
      <c r="DU286" s="78"/>
      <c r="DV286" s="78"/>
      <c r="DW286" s="78"/>
      <c r="DX286" s="78"/>
      <c r="DY286" s="78"/>
      <c r="DZ286" s="78"/>
      <c r="EA286" s="78"/>
      <c r="EB286" s="78"/>
      <c r="EC286" s="78"/>
      <c r="ED286" s="78"/>
      <c r="EE286" s="78"/>
      <c r="EF286" s="78"/>
      <c r="EG286" s="78"/>
      <c r="EH286" s="78"/>
      <c r="EI286" s="91"/>
      <c r="EJ286" s="91"/>
      <c r="EK286" s="91"/>
      <c r="EL286" s="91"/>
      <c r="EM286" s="91"/>
      <c r="EN286" s="91"/>
      <c r="EO286" s="91"/>
      <c r="EP286" s="78"/>
      <c r="EQ286" s="78"/>
      <c r="ER286" s="78"/>
      <c r="ES286" s="78"/>
      <c r="ET286" s="78"/>
      <c r="EU286" s="78"/>
      <c r="EV286" s="78"/>
      <c r="EW286" s="78"/>
      <c r="EX286" s="78"/>
      <c r="EY286" s="78"/>
      <c r="EZ286" s="78"/>
      <c r="FA286" s="78"/>
      <c r="FB286" s="78"/>
      <c r="FC286" s="78"/>
      <c r="FD286" s="78"/>
      <c r="FE286" s="78"/>
      <c r="FF286" s="78"/>
      <c r="FG286" s="78"/>
      <c r="FH286" s="78"/>
      <c r="FI286" s="78"/>
      <c r="FJ286" s="78"/>
      <c r="FK286" s="78"/>
    </row>
    <row r="287" spans="1:167" outlineLevel="1">
      <c r="A287" s="29" t="str">
        <f t="shared" si="29"/>
        <v>modesg_inp_nfrd_alinhamento_taxppc_turnover_own_prfrmnce_algnd</v>
      </c>
      <c r="B287" s="67" t="s">
        <v>26</v>
      </c>
      <c r="C287" s="68" t="s">
        <v>181</v>
      </c>
      <c r="D287" s="64" t="s">
        <v>40</v>
      </c>
      <c r="E287" s="66" t="s">
        <v>215</v>
      </c>
      <c r="F287" s="64" t="s">
        <v>260</v>
      </c>
      <c r="G287" s="64" t="str">
        <f>INDEX(Auxiliar!$B$16:$B$24,MATCH(Plano_V1!H287,Auxiliar!$C$16:$C$24,0),1)</f>
        <v>1. Concluído</v>
      </c>
      <c r="H287" s="64">
        <f>VLOOKUP(A287,'Aux - pivots1'!$A:$B,2,0)</f>
        <v>1</v>
      </c>
      <c r="I287" s="84">
        <f>SUMIFS(Table1[Estimação (horas)],Table1[Tabela],Plano_V1!E287,Table1[Campo],Plano_V1!F287)</f>
        <v>0.6</v>
      </c>
      <c r="J287" s="84">
        <f t="shared" si="27"/>
        <v>7.4999999999999997E-2</v>
      </c>
      <c r="K287" s="89" t="s">
        <v>39</v>
      </c>
      <c r="L287" s="90">
        <f t="shared" si="28"/>
        <v>7.4999999999999997E-2</v>
      </c>
      <c r="M287" s="78"/>
      <c r="N287" s="78"/>
      <c r="O287" s="78"/>
      <c r="P287" s="78"/>
      <c r="Q287" s="78"/>
      <c r="R287" s="78"/>
      <c r="S287" s="78"/>
      <c r="T287" s="78"/>
      <c r="U287" s="78"/>
      <c r="V287" s="78"/>
      <c r="W287" s="78"/>
      <c r="X287" s="78"/>
      <c r="Y287" s="78"/>
      <c r="Z287" s="78"/>
      <c r="AA287" s="78"/>
      <c r="AB287" s="78"/>
      <c r="AC287" s="78"/>
      <c r="AD287" s="78"/>
      <c r="AE287" s="78"/>
      <c r="AF287" s="78"/>
      <c r="AG287" s="78"/>
      <c r="AH287" s="78"/>
      <c r="AI287" s="78"/>
      <c r="AJ287" s="78"/>
      <c r="AK287" s="78"/>
      <c r="AL287" s="78"/>
      <c r="AM287" s="78"/>
      <c r="AN287" s="78"/>
      <c r="AO287" s="78"/>
      <c r="AP287" s="78"/>
      <c r="AQ287" s="78"/>
      <c r="AR287" s="78"/>
      <c r="AS287" s="78"/>
      <c r="AT287" s="91"/>
      <c r="AU287" s="78"/>
      <c r="AV287" s="78"/>
      <c r="AW287" s="78"/>
      <c r="AX287" s="78"/>
      <c r="AY287" s="78"/>
      <c r="AZ287" s="78"/>
      <c r="BA287" s="78"/>
      <c r="BB287" s="78"/>
      <c r="BC287" s="78"/>
      <c r="BD287" s="78"/>
      <c r="BE287" s="78"/>
      <c r="BF287" s="78"/>
      <c r="BG287" s="78"/>
      <c r="BH287" s="78"/>
      <c r="BI287" s="78"/>
      <c r="BJ287" s="78"/>
      <c r="BK287" s="78"/>
      <c r="BL287" s="78"/>
      <c r="BM287" s="78"/>
      <c r="BN287" s="78"/>
      <c r="BO287" s="78"/>
      <c r="BP287" s="78"/>
      <c r="BQ287" s="78"/>
      <c r="BR287" s="78"/>
      <c r="BS287" s="78"/>
      <c r="BT287" s="78"/>
      <c r="BU287" s="78"/>
      <c r="BV287" s="78"/>
      <c r="BW287" s="78"/>
      <c r="BX287" s="78"/>
      <c r="BY287" s="78"/>
      <c r="BZ287" s="78"/>
      <c r="CA287" s="78"/>
      <c r="CB287" s="78"/>
      <c r="CC287" s="78"/>
      <c r="CD287" s="78"/>
      <c r="CE287" s="78"/>
      <c r="CF287" s="78"/>
      <c r="CG287" s="78"/>
      <c r="CH287" s="78"/>
      <c r="CI287" s="78"/>
      <c r="CJ287" s="78"/>
      <c r="CK287" s="78"/>
      <c r="CL287" s="78"/>
      <c r="CM287" s="78"/>
      <c r="CN287" s="78"/>
      <c r="CO287" s="78"/>
      <c r="CP287" s="78"/>
      <c r="CQ287" s="78"/>
      <c r="CR287" s="78"/>
      <c r="CS287" s="78"/>
      <c r="CT287" s="78"/>
      <c r="CU287" s="78"/>
      <c r="CV287" s="78"/>
      <c r="CW287" s="78"/>
      <c r="CX287" s="78"/>
      <c r="CY287" s="78"/>
      <c r="CZ287" s="78"/>
      <c r="DA287" s="78"/>
      <c r="DB287" s="78"/>
      <c r="DC287" s="78"/>
      <c r="DD287" s="78"/>
      <c r="DE287" s="78"/>
      <c r="DF287" s="78"/>
      <c r="DG287" s="78"/>
      <c r="DH287" s="78"/>
      <c r="DI287" s="78"/>
      <c r="DJ287" s="78"/>
      <c r="DK287" s="78"/>
      <c r="DL287" s="78"/>
      <c r="DM287" s="78"/>
      <c r="DN287" s="78"/>
      <c r="DO287" s="78"/>
      <c r="DP287" s="78"/>
      <c r="DQ287" s="78"/>
      <c r="DR287" s="78"/>
      <c r="DS287" s="78"/>
      <c r="DT287" s="78"/>
      <c r="DU287" s="78"/>
      <c r="DV287" s="78"/>
      <c r="DW287" s="78"/>
      <c r="DX287" s="78"/>
      <c r="DY287" s="78"/>
      <c r="DZ287" s="78"/>
      <c r="EA287" s="78"/>
      <c r="EB287" s="78"/>
      <c r="EC287" s="78"/>
      <c r="ED287" s="78"/>
      <c r="EE287" s="78"/>
      <c r="EF287" s="78"/>
      <c r="EG287" s="78"/>
      <c r="EH287" s="78"/>
      <c r="EI287" s="91"/>
      <c r="EJ287" s="91"/>
      <c r="EK287" s="91"/>
      <c r="EL287" s="91"/>
      <c r="EM287" s="91"/>
      <c r="EN287" s="91"/>
      <c r="EO287" s="91"/>
      <c r="EP287" s="78"/>
      <c r="EQ287" s="78"/>
      <c r="ER287" s="78"/>
      <c r="ES287" s="78"/>
      <c r="ET287" s="78"/>
      <c r="EU287" s="78"/>
      <c r="EV287" s="78"/>
      <c r="EW287" s="78"/>
      <c r="EX287" s="78"/>
      <c r="EY287" s="78"/>
      <c r="EZ287" s="78"/>
      <c r="FA287" s="78"/>
      <c r="FB287" s="78"/>
      <c r="FC287" s="78"/>
      <c r="FD287" s="78"/>
      <c r="FE287" s="78"/>
      <c r="FF287" s="78"/>
      <c r="FG287" s="78"/>
      <c r="FH287" s="78"/>
      <c r="FI287" s="78"/>
      <c r="FJ287" s="78"/>
      <c r="FK287" s="78"/>
    </row>
    <row r="288" spans="1:167" outlineLevel="1">
      <c r="A288" s="29" t="str">
        <f t="shared" si="29"/>
        <v>modesg_inp_nfrd_alinhamento_taxppc_capex_ttl_elgbl</v>
      </c>
      <c r="B288" s="67" t="s">
        <v>26</v>
      </c>
      <c r="C288" s="68" t="s">
        <v>181</v>
      </c>
      <c r="D288" s="64" t="s">
        <v>40</v>
      </c>
      <c r="E288" s="66" t="s">
        <v>215</v>
      </c>
      <c r="F288" s="64" t="s">
        <v>261</v>
      </c>
      <c r="G288" s="64" t="str">
        <f>INDEX(Auxiliar!$B$16:$B$24,MATCH(Plano_V1!H288,Auxiliar!$C$16:$C$24,0),1)</f>
        <v>1. Concluído</v>
      </c>
      <c r="H288" s="64">
        <f>VLOOKUP(A288,'Aux - pivots1'!$A:$B,2,0)</f>
        <v>1</v>
      </c>
      <c r="I288" s="84">
        <f>SUMIFS(Table1[Estimação (horas)],Table1[Tabela],Plano_V1!E288,Table1[Campo],Plano_V1!F288)</f>
        <v>0.6</v>
      </c>
      <c r="J288" s="84">
        <f t="shared" si="27"/>
        <v>7.4999999999999997E-2</v>
      </c>
      <c r="K288" s="89" t="s">
        <v>39</v>
      </c>
      <c r="L288" s="90">
        <f t="shared" si="28"/>
        <v>7.4999999999999997E-2</v>
      </c>
      <c r="M288" s="78"/>
      <c r="N288" s="78"/>
      <c r="O288" s="78"/>
      <c r="P288" s="78"/>
      <c r="Q288" s="78"/>
      <c r="R288" s="78"/>
      <c r="S288" s="78"/>
      <c r="T288" s="78"/>
      <c r="U288" s="78"/>
      <c r="V288" s="78"/>
      <c r="W288" s="78"/>
      <c r="X288" s="78"/>
      <c r="Y288" s="78"/>
      <c r="Z288" s="78"/>
      <c r="AA288" s="78"/>
      <c r="AB288" s="78"/>
      <c r="AC288" s="78"/>
      <c r="AD288" s="78"/>
      <c r="AE288" s="78"/>
      <c r="AF288" s="78"/>
      <c r="AG288" s="78"/>
      <c r="AH288" s="78"/>
      <c r="AI288" s="78"/>
      <c r="AJ288" s="78"/>
      <c r="AK288" s="78"/>
      <c r="AL288" s="78"/>
      <c r="AM288" s="78"/>
      <c r="AN288" s="78"/>
      <c r="AO288" s="78"/>
      <c r="AP288" s="78"/>
      <c r="AQ288" s="78"/>
      <c r="AR288" s="78"/>
      <c r="AS288" s="78"/>
      <c r="AT288" s="91"/>
      <c r="AU288" s="78"/>
      <c r="AV288" s="78"/>
      <c r="AW288" s="78"/>
      <c r="AX288" s="78"/>
      <c r="AY288" s="78"/>
      <c r="AZ288" s="78"/>
      <c r="BA288" s="78"/>
      <c r="BB288" s="78"/>
      <c r="BC288" s="78"/>
      <c r="BD288" s="78"/>
      <c r="BE288" s="78"/>
      <c r="BF288" s="78"/>
      <c r="BG288" s="78"/>
      <c r="BH288" s="78"/>
      <c r="BI288" s="78"/>
      <c r="BJ288" s="78"/>
      <c r="BK288" s="78"/>
      <c r="BL288" s="78"/>
      <c r="BM288" s="78"/>
      <c r="BN288" s="78"/>
      <c r="BO288" s="78"/>
      <c r="BP288" s="78"/>
      <c r="BQ288" s="78"/>
      <c r="BR288" s="78"/>
      <c r="BS288" s="78"/>
      <c r="BT288" s="78"/>
      <c r="BU288" s="78"/>
      <c r="BV288" s="78"/>
      <c r="BW288" s="78"/>
      <c r="BX288" s="78"/>
      <c r="BY288" s="78"/>
      <c r="BZ288" s="78"/>
      <c r="CA288" s="78"/>
      <c r="CB288" s="78"/>
      <c r="CC288" s="78"/>
      <c r="CD288" s="78"/>
      <c r="CE288" s="78"/>
      <c r="CF288" s="78"/>
      <c r="CG288" s="78"/>
      <c r="CH288" s="78"/>
      <c r="CI288" s="78"/>
      <c r="CJ288" s="78"/>
      <c r="CK288" s="78"/>
      <c r="CL288" s="78"/>
      <c r="CM288" s="78"/>
      <c r="CN288" s="78"/>
      <c r="CO288" s="78"/>
      <c r="CP288" s="78"/>
      <c r="CQ288" s="78"/>
      <c r="CR288" s="78"/>
      <c r="CS288" s="78"/>
      <c r="CT288" s="78"/>
      <c r="CU288" s="78"/>
      <c r="CV288" s="78"/>
      <c r="CW288" s="78"/>
      <c r="CX288" s="78"/>
      <c r="CY288" s="78"/>
      <c r="CZ288" s="78"/>
      <c r="DA288" s="78"/>
      <c r="DB288" s="78"/>
      <c r="DC288" s="78"/>
      <c r="DD288" s="78"/>
      <c r="DE288" s="78"/>
      <c r="DF288" s="78"/>
      <c r="DG288" s="78"/>
      <c r="DH288" s="78"/>
      <c r="DI288" s="78"/>
      <c r="DJ288" s="78"/>
      <c r="DK288" s="78"/>
      <c r="DL288" s="78"/>
      <c r="DM288" s="78"/>
      <c r="DN288" s="78"/>
      <c r="DO288" s="78"/>
      <c r="DP288" s="78"/>
      <c r="DQ288" s="78"/>
      <c r="DR288" s="78"/>
      <c r="DS288" s="78"/>
      <c r="DT288" s="78"/>
      <c r="DU288" s="78"/>
      <c r="DV288" s="78"/>
      <c r="DW288" s="78"/>
      <c r="DX288" s="78"/>
      <c r="DY288" s="78"/>
      <c r="DZ288" s="78"/>
      <c r="EA288" s="78"/>
      <c r="EB288" s="78"/>
      <c r="EC288" s="78"/>
      <c r="ED288" s="78"/>
      <c r="EE288" s="78"/>
      <c r="EF288" s="78"/>
      <c r="EG288" s="78"/>
      <c r="EH288" s="78"/>
      <c r="EI288" s="91"/>
      <c r="EJ288" s="91"/>
      <c r="EK288" s="91"/>
      <c r="EL288" s="91"/>
      <c r="EM288" s="91"/>
      <c r="EN288" s="91"/>
      <c r="EO288" s="91"/>
      <c r="EP288" s="78"/>
      <c r="EQ288" s="78"/>
      <c r="ER288" s="78"/>
      <c r="ES288" s="78"/>
      <c r="ET288" s="78"/>
      <c r="EU288" s="78"/>
      <c r="EV288" s="78"/>
      <c r="EW288" s="78"/>
      <c r="EX288" s="78"/>
      <c r="EY288" s="78"/>
      <c r="EZ288" s="78"/>
      <c r="FA288" s="78"/>
      <c r="FB288" s="78"/>
      <c r="FC288" s="78"/>
      <c r="FD288" s="78"/>
      <c r="FE288" s="78"/>
      <c r="FF288" s="78"/>
      <c r="FG288" s="78"/>
      <c r="FH288" s="78"/>
      <c r="FI288" s="78"/>
      <c r="FJ288" s="78"/>
      <c r="FK288" s="78"/>
    </row>
    <row r="289" spans="1:167" outlineLevel="1">
      <c r="A289" s="29" t="str">
        <f t="shared" si="29"/>
        <v>modesg_inp_nfrd_alinhamento_taxppc_capex_own_prfrmnce_algnd</v>
      </c>
      <c r="B289" s="67" t="s">
        <v>26</v>
      </c>
      <c r="C289" s="68" t="s">
        <v>181</v>
      </c>
      <c r="D289" s="64" t="s">
        <v>40</v>
      </c>
      <c r="E289" s="66" t="s">
        <v>215</v>
      </c>
      <c r="F289" s="64" t="s">
        <v>262</v>
      </c>
      <c r="G289" s="64" t="str">
        <f>INDEX(Auxiliar!$B$16:$B$24,MATCH(Plano_V1!H289,Auxiliar!$C$16:$C$24,0),1)</f>
        <v>1. Concluído</v>
      </c>
      <c r="H289" s="64">
        <f>VLOOKUP(A289,'Aux - pivots1'!$A:$B,2,0)</f>
        <v>1</v>
      </c>
      <c r="I289" s="84">
        <f>SUMIFS(Table1[Estimação (horas)],Table1[Tabela],Plano_V1!E289,Table1[Campo],Plano_V1!F289)</f>
        <v>0.6</v>
      </c>
      <c r="J289" s="84">
        <f t="shared" si="27"/>
        <v>7.4999999999999997E-2</v>
      </c>
      <c r="K289" s="89" t="s">
        <v>39</v>
      </c>
      <c r="L289" s="90">
        <f t="shared" si="28"/>
        <v>7.4999999999999997E-2</v>
      </c>
      <c r="M289" s="78"/>
      <c r="N289" s="78"/>
      <c r="O289" s="78"/>
      <c r="P289" s="78"/>
      <c r="Q289" s="78"/>
      <c r="R289" s="78"/>
      <c r="S289" s="78"/>
      <c r="T289" s="78"/>
      <c r="U289" s="78"/>
      <c r="V289" s="78"/>
      <c r="W289" s="78"/>
      <c r="X289" s="78"/>
      <c r="Y289" s="78"/>
      <c r="Z289" s="78"/>
      <c r="AA289" s="78"/>
      <c r="AB289" s="78"/>
      <c r="AC289" s="78"/>
      <c r="AD289" s="78"/>
      <c r="AE289" s="78"/>
      <c r="AF289" s="78"/>
      <c r="AG289" s="78"/>
      <c r="AH289" s="78"/>
      <c r="AI289" s="78"/>
      <c r="AJ289" s="78"/>
      <c r="AK289" s="78"/>
      <c r="AL289" s="78"/>
      <c r="AM289" s="78"/>
      <c r="AN289" s="78"/>
      <c r="AO289" s="78"/>
      <c r="AP289" s="78"/>
      <c r="AQ289" s="78"/>
      <c r="AR289" s="78"/>
      <c r="AS289" s="78"/>
      <c r="AT289" s="91"/>
      <c r="AU289" s="78"/>
      <c r="AV289" s="78"/>
      <c r="AW289" s="78"/>
      <c r="AX289" s="78"/>
      <c r="AY289" s="78"/>
      <c r="AZ289" s="78"/>
      <c r="BA289" s="78"/>
      <c r="BB289" s="78"/>
      <c r="BC289" s="78"/>
      <c r="BD289" s="78"/>
      <c r="BE289" s="78"/>
      <c r="BF289" s="78"/>
      <c r="BG289" s="78"/>
      <c r="BH289" s="78"/>
      <c r="BI289" s="78"/>
      <c r="BJ289" s="78"/>
      <c r="BK289" s="78"/>
      <c r="BL289" s="78"/>
      <c r="BM289" s="78"/>
      <c r="BN289" s="78"/>
      <c r="BO289" s="78"/>
      <c r="BP289" s="78"/>
      <c r="BQ289" s="78"/>
      <c r="BR289" s="78"/>
      <c r="BS289" s="78"/>
      <c r="BT289" s="78"/>
      <c r="BU289" s="78"/>
      <c r="BV289" s="78"/>
      <c r="BW289" s="78"/>
      <c r="BX289" s="78"/>
      <c r="BY289" s="78"/>
      <c r="BZ289" s="78"/>
      <c r="CA289" s="78"/>
      <c r="CB289" s="78"/>
      <c r="CC289" s="78"/>
      <c r="CD289" s="78"/>
      <c r="CE289" s="78"/>
      <c r="CF289" s="78"/>
      <c r="CG289" s="78"/>
      <c r="CH289" s="78"/>
      <c r="CI289" s="78"/>
      <c r="CJ289" s="78"/>
      <c r="CK289" s="78"/>
      <c r="CL289" s="78"/>
      <c r="CM289" s="78"/>
      <c r="CN289" s="78"/>
      <c r="CO289" s="78"/>
      <c r="CP289" s="78"/>
      <c r="CQ289" s="78"/>
      <c r="CR289" s="78"/>
      <c r="CS289" s="78"/>
      <c r="CT289" s="78"/>
      <c r="CU289" s="78"/>
      <c r="CV289" s="78"/>
      <c r="CW289" s="78"/>
      <c r="CX289" s="78"/>
      <c r="CY289" s="78"/>
      <c r="CZ289" s="78"/>
      <c r="DA289" s="78"/>
      <c r="DB289" s="78"/>
      <c r="DC289" s="78"/>
      <c r="DD289" s="78"/>
      <c r="DE289" s="78"/>
      <c r="DF289" s="78"/>
      <c r="DG289" s="78"/>
      <c r="DH289" s="78"/>
      <c r="DI289" s="78"/>
      <c r="DJ289" s="78"/>
      <c r="DK289" s="78"/>
      <c r="DL289" s="78"/>
      <c r="DM289" s="78"/>
      <c r="DN289" s="78"/>
      <c r="DO289" s="78"/>
      <c r="DP289" s="78"/>
      <c r="DQ289" s="78"/>
      <c r="DR289" s="78"/>
      <c r="DS289" s="78"/>
      <c r="DT289" s="78"/>
      <c r="DU289" s="78"/>
      <c r="DV289" s="78"/>
      <c r="DW289" s="78"/>
      <c r="DX289" s="78"/>
      <c r="DY289" s="78"/>
      <c r="DZ289" s="78"/>
      <c r="EA289" s="78"/>
      <c r="EB289" s="78"/>
      <c r="EC289" s="78"/>
      <c r="ED289" s="78"/>
      <c r="EE289" s="78"/>
      <c r="EF289" s="78"/>
      <c r="EG289" s="78"/>
      <c r="EH289" s="78"/>
      <c r="EI289" s="91"/>
      <c r="EJ289" s="91"/>
      <c r="EK289" s="91"/>
      <c r="EL289" s="91"/>
      <c r="EM289" s="91"/>
      <c r="EN289" s="91"/>
      <c r="EO289" s="91"/>
      <c r="EP289" s="78"/>
      <c r="EQ289" s="78"/>
      <c r="ER289" s="78"/>
      <c r="ES289" s="78"/>
      <c r="ET289" s="78"/>
      <c r="EU289" s="78"/>
      <c r="EV289" s="78"/>
      <c r="EW289" s="78"/>
      <c r="EX289" s="78"/>
      <c r="EY289" s="78"/>
      <c r="EZ289" s="78"/>
      <c r="FA289" s="78"/>
      <c r="FB289" s="78"/>
      <c r="FC289" s="78"/>
      <c r="FD289" s="78"/>
      <c r="FE289" s="78"/>
      <c r="FF289" s="78"/>
      <c r="FG289" s="78"/>
      <c r="FH289" s="78"/>
      <c r="FI289" s="78"/>
      <c r="FJ289" s="78"/>
      <c r="FK289" s="78"/>
    </row>
    <row r="290" spans="1:167" outlineLevel="1">
      <c r="A290" s="29" t="str">
        <f t="shared" si="29"/>
        <v>modesg_inp_nfrd_alinhamento_taxbio_trnvr_ttl_elgbl</v>
      </c>
      <c r="B290" s="67" t="s">
        <v>26</v>
      </c>
      <c r="C290" s="68" t="s">
        <v>181</v>
      </c>
      <c r="D290" s="64" t="s">
        <v>40</v>
      </c>
      <c r="E290" s="66" t="s">
        <v>215</v>
      </c>
      <c r="F290" s="64" t="s">
        <v>263</v>
      </c>
      <c r="G290" s="64" t="str">
        <f>INDEX(Auxiliar!$B$16:$B$24,MATCH(Plano_V1!H290,Auxiliar!$C$16:$C$24,0),1)</f>
        <v>1. Concluído</v>
      </c>
      <c r="H290" s="64">
        <f>VLOOKUP(A290,'Aux - pivots1'!$A:$B,2,0)</f>
        <v>1</v>
      </c>
      <c r="I290" s="84">
        <f>SUMIFS(Table1[Estimação (horas)],Table1[Tabela],Plano_V1!E290,Table1[Campo],Plano_V1!F290)</f>
        <v>0.6</v>
      </c>
      <c r="J290" s="84">
        <f t="shared" si="27"/>
        <v>7.4999999999999997E-2</v>
      </c>
      <c r="K290" s="89" t="s">
        <v>39</v>
      </c>
      <c r="L290" s="90">
        <f t="shared" si="28"/>
        <v>7.4999999999999997E-2</v>
      </c>
      <c r="M290" s="78"/>
      <c r="N290" s="78"/>
      <c r="O290" s="78"/>
      <c r="P290" s="78"/>
      <c r="Q290" s="78"/>
      <c r="R290" s="78"/>
      <c r="S290" s="78"/>
      <c r="T290" s="78"/>
      <c r="U290" s="78"/>
      <c r="V290" s="78"/>
      <c r="W290" s="78"/>
      <c r="X290" s="78"/>
      <c r="Y290" s="78"/>
      <c r="Z290" s="78"/>
      <c r="AA290" s="78"/>
      <c r="AB290" s="78"/>
      <c r="AC290" s="78"/>
      <c r="AD290" s="78"/>
      <c r="AE290" s="78"/>
      <c r="AF290" s="78"/>
      <c r="AG290" s="78"/>
      <c r="AH290" s="78"/>
      <c r="AI290" s="78"/>
      <c r="AJ290" s="78"/>
      <c r="AK290" s="78"/>
      <c r="AL290" s="78"/>
      <c r="AM290" s="78"/>
      <c r="AN290" s="78"/>
      <c r="AO290" s="78"/>
      <c r="AP290" s="78"/>
      <c r="AQ290" s="78"/>
      <c r="AR290" s="78"/>
      <c r="AS290" s="78"/>
      <c r="AT290" s="91"/>
      <c r="AU290" s="78"/>
      <c r="AV290" s="78"/>
      <c r="AW290" s="78"/>
      <c r="AX290" s="78"/>
      <c r="AY290" s="78"/>
      <c r="AZ290" s="78"/>
      <c r="BA290" s="78"/>
      <c r="BB290" s="78"/>
      <c r="BC290" s="78"/>
      <c r="BD290" s="78"/>
      <c r="BE290" s="78"/>
      <c r="BF290" s="78"/>
      <c r="BG290" s="78"/>
      <c r="BH290" s="78"/>
      <c r="BI290" s="78"/>
      <c r="BJ290" s="78"/>
      <c r="BK290" s="78"/>
      <c r="BL290" s="78"/>
      <c r="BM290" s="78"/>
      <c r="BN290" s="78"/>
      <c r="BO290" s="78"/>
      <c r="BP290" s="78"/>
      <c r="BQ290" s="78"/>
      <c r="BR290" s="78"/>
      <c r="BS290" s="78"/>
      <c r="BT290" s="78"/>
      <c r="BU290" s="78"/>
      <c r="BV290" s="78"/>
      <c r="BW290" s="78"/>
      <c r="BX290" s="78"/>
      <c r="BY290" s="78"/>
      <c r="BZ290" s="78"/>
      <c r="CA290" s="78"/>
      <c r="CB290" s="78"/>
      <c r="CC290" s="78"/>
      <c r="CD290" s="78"/>
      <c r="CE290" s="78"/>
      <c r="CF290" s="78"/>
      <c r="CG290" s="78"/>
      <c r="CH290" s="78"/>
      <c r="CI290" s="78"/>
      <c r="CJ290" s="78"/>
      <c r="CK290" s="78"/>
      <c r="CL290" s="78"/>
      <c r="CM290" s="78"/>
      <c r="CN290" s="78"/>
      <c r="CO290" s="78"/>
      <c r="CP290" s="78"/>
      <c r="CQ290" s="78"/>
      <c r="CR290" s="78"/>
      <c r="CS290" s="78"/>
      <c r="CT290" s="78"/>
      <c r="CU290" s="78"/>
      <c r="CV290" s="78"/>
      <c r="CW290" s="78"/>
      <c r="CX290" s="78"/>
      <c r="CY290" s="78"/>
      <c r="CZ290" s="78"/>
      <c r="DA290" s="78"/>
      <c r="DB290" s="78"/>
      <c r="DC290" s="78"/>
      <c r="DD290" s="78"/>
      <c r="DE290" s="78"/>
      <c r="DF290" s="78"/>
      <c r="DG290" s="78"/>
      <c r="DH290" s="78"/>
      <c r="DI290" s="78"/>
      <c r="DJ290" s="78"/>
      <c r="DK290" s="78"/>
      <c r="DL290" s="78"/>
      <c r="DM290" s="78"/>
      <c r="DN290" s="78"/>
      <c r="DO290" s="78"/>
      <c r="DP290" s="78"/>
      <c r="DQ290" s="78"/>
      <c r="DR290" s="78"/>
      <c r="DS290" s="78"/>
      <c r="DT290" s="78"/>
      <c r="DU290" s="78"/>
      <c r="DV290" s="78"/>
      <c r="DW290" s="78"/>
      <c r="DX290" s="78"/>
      <c r="DY290" s="78"/>
      <c r="DZ290" s="78"/>
      <c r="EA290" s="78"/>
      <c r="EB290" s="78"/>
      <c r="EC290" s="78"/>
      <c r="ED290" s="78"/>
      <c r="EE290" s="78"/>
      <c r="EF290" s="78"/>
      <c r="EG290" s="78"/>
      <c r="EH290" s="78"/>
      <c r="EI290" s="91"/>
      <c r="EJ290" s="91"/>
      <c r="EK290" s="91"/>
      <c r="EL290" s="91"/>
      <c r="EM290" s="91"/>
      <c r="EN290" s="91"/>
      <c r="EO290" s="91"/>
      <c r="EP290" s="78"/>
      <c r="EQ290" s="78"/>
      <c r="ER290" s="78"/>
      <c r="ES290" s="78"/>
      <c r="ET290" s="78"/>
      <c r="EU290" s="78"/>
      <c r="EV290" s="78"/>
      <c r="EW290" s="78"/>
      <c r="EX290" s="78"/>
      <c r="EY290" s="78"/>
      <c r="EZ290" s="78"/>
      <c r="FA290" s="78"/>
      <c r="FB290" s="78"/>
      <c r="FC290" s="78"/>
      <c r="FD290" s="78"/>
      <c r="FE290" s="78"/>
      <c r="FF290" s="78"/>
      <c r="FG290" s="78"/>
      <c r="FH290" s="78"/>
      <c r="FI290" s="78"/>
      <c r="FJ290" s="78"/>
      <c r="FK290" s="78"/>
    </row>
    <row r="291" spans="1:167" outlineLevel="1">
      <c r="A291" s="29" t="str">
        <f t="shared" si="29"/>
        <v>modesg_inp_nfrd_alinhamento_taxbio_turnover_own_prfrmnce_algnd</v>
      </c>
      <c r="B291" s="67" t="s">
        <v>26</v>
      </c>
      <c r="C291" s="68" t="s">
        <v>181</v>
      </c>
      <c r="D291" s="64" t="s">
        <v>40</v>
      </c>
      <c r="E291" s="66" t="s">
        <v>215</v>
      </c>
      <c r="F291" s="64" t="s">
        <v>264</v>
      </c>
      <c r="G291" s="64" t="str">
        <f>INDEX(Auxiliar!$B$16:$B$24,MATCH(Plano_V1!H291,Auxiliar!$C$16:$C$24,0),1)</f>
        <v>1. Concluído</v>
      </c>
      <c r="H291" s="64">
        <f>VLOOKUP(A291,'Aux - pivots1'!$A:$B,2,0)</f>
        <v>1</v>
      </c>
      <c r="I291" s="84">
        <f>SUMIFS(Table1[Estimação (horas)],Table1[Tabela],Plano_V1!E291,Table1[Campo],Plano_V1!F291)</f>
        <v>0.6</v>
      </c>
      <c r="J291" s="84">
        <f t="shared" si="27"/>
        <v>7.4999999999999997E-2</v>
      </c>
      <c r="K291" s="89" t="s">
        <v>39</v>
      </c>
      <c r="L291" s="90">
        <f t="shared" si="28"/>
        <v>7.4999999999999997E-2</v>
      </c>
      <c r="M291" s="78"/>
      <c r="N291" s="78"/>
      <c r="O291" s="78"/>
      <c r="P291" s="78"/>
      <c r="Q291" s="78"/>
      <c r="R291" s="78"/>
      <c r="S291" s="78"/>
      <c r="T291" s="78"/>
      <c r="U291" s="78"/>
      <c r="V291" s="78"/>
      <c r="W291" s="78"/>
      <c r="X291" s="78"/>
      <c r="Y291" s="78"/>
      <c r="Z291" s="78"/>
      <c r="AA291" s="78"/>
      <c r="AB291" s="78"/>
      <c r="AC291" s="78"/>
      <c r="AD291" s="78"/>
      <c r="AE291" s="78"/>
      <c r="AF291" s="78"/>
      <c r="AG291" s="78"/>
      <c r="AH291" s="78"/>
      <c r="AI291" s="78"/>
      <c r="AJ291" s="78"/>
      <c r="AK291" s="78"/>
      <c r="AL291" s="78"/>
      <c r="AM291" s="78"/>
      <c r="AN291" s="78"/>
      <c r="AO291" s="78"/>
      <c r="AP291" s="78"/>
      <c r="AQ291" s="78"/>
      <c r="AR291" s="78"/>
      <c r="AS291" s="78"/>
      <c r="AT291" s="91"/>
      <c r="AU291" s="78"/>
      <c r="AV291" s="78"/>
      <c r="AW291" s="78"/>
      <c r="AX291" s="78"/>
      <c r="AY291" s="78"/>
      <c r="AZ291" s="78"/>
      <c r="BA291" s="78"/>
      <c r="BB291" s="78"/>
      <c r="BC291" s="78"/>
      <c r="BD291" s="78"/>
      <c r="BE291" s="78"/>
      <c r="BF291" s="78"/>
      <c r="BG291" s="78"/>
      <c r="BH291" s="78"/>
      <c r="BI291" s="78"/>
      <c r="BJ291" s="78"/>
      <c r="BK291" s="78"/>
      <c r="BL291" s="78"/>
      <c r="BM291" s="78"/>
      <c r="BN291" s="78"/>
      <c r="BO291" s="78"/>
      <c r="BP291" s="78"/>
      <c r="BQ291" s="78"/>
      <c r="BR291" s="78"/>
      <c r="BS291" s="78"/>
      <c r="BT291" s="78"/>
      <c r="BU291" s="78"/>
      <c r="BV291" s="78"/>
      <c r="BW291" s="78"/>
      <c r="BX291" s="78"/>
      <c r="BY291" s="78"/>
      <c r="BZ291" s="78"/>
      <c r="CA291" s="78"/>
      <c r="CB291" s="78"/>
      <c r="CC291" s="78"/>
      <c r="CD291" s="78"/>
      <c r="CE291" s="78"/>
      <c r="CF291" s="78"/>
      <c r="CG291" s="78"/>
      <c r="CH291" s="78"/>
      <c r="CI291" s="78"/>
      <c r="CJ291" s="78"/>
      <c r="CK291" s="78"/>
      <c r="CL291" s="78"/>
      <c r="CM291" s="78"/>
      <c r="CN291" s="78"/>
      <c r="CO291" s="78"/>
      <c r="CP291" s="78"/>
      <c r="CQ291" s="78"/>
      <c r="CR291" s="78"/>
      <c r="CS291" s="78"/>
      <c r="CT291" s="78"/>
      <c r="CU291" s="78"/>
      <c r="CV291" s="78"/>
      <c r="CW291" s="78"/>
      <c r="CX291" s="78"/>
      <c r="CY291" s="78"/>
      <c r="CZ291" s="78"/>
      <c r="DA291" s="78"/>
      <c r="DB291" s="78"/>
      <c r="DC291" s="78"/>
      <c r="DD291" s="78"/>
      <c r="DE291" s="78"/>
      <c r="DF291" s="78"/>
      <c r="DG291" s="78"/>
      <c r="DH291" s="78"/>
      <c r="DI291" s="78"/>
      <c r="DJ291" s="78"/>
      <c r="DK291" s="78"/>
      <c r="DL291" s="78"/>
      <c r="DM291" s="78"/>
      <c r="DN291" s="78"/>
      <c r="DO291" s="78"/>
      <c r="DP291" s="78"/>
      <c r="DQ291" s="78"/>
      <c r="DR291" s="78"/>
      <c r="DS291" s="78"/>
      <c r="DT291" s="78"/>
      <c r="DU291" s="78"/>
      <c r="DV291" s="78"/>
      <c r="DW291" s="78"/>
      <c r="DX291" s="78"/>
      <c r="DY291" s="78"/>
      <c r="DZ291" s="78"/>
      <c r="EA291" s="78"/>
      <c r="EB291" s="78"/>
      <c r="EC291" s="78"/>
      <c r="ED291" s="78"/>
      <c r="EE291" s="78"/>
      <c r="EF291" s="78"/>
      <c r="EG291" s="78"/>
      <c r="EH291" s="78"/>
      <c r="EI291" s="91"/>
      <c r="EJ291" s="91"/>
      <c r="EK291" s="91"/>
      <c r="EL291" s="91"/>
      <c r="EM291" s="91"/>
      <c r="EN291" s="91"/>
      <c r="EO291" s="91"/>
      <c r="EP291" s="78"/>
      <c r="EQ291" s="78"/>
      <c r="ER291" s="78"/>
      <c r="ES291" s="78"/>
      <c r="ET291" s="78"/>
      <c r="EU291" s="78"/>
      <c r="EV291" s="78"/>
      <c r="EW291" s="78"/>
      <c r="EX291" s="78"/>
      <c r="EY291" s="78"/>
      <c r="EZ291" s="78"/>
      <c r="FA291" s="78"/>
      <c r="FB291" s="78"/>
      <c r="FC291" s="78"/>
      <c r="FD291" s="78"/>
      <c r="FE291" s="78"/>
      <c r="FF291" s="78"/>
      <c r="FG291" s="78"/>
      <c r="FH291" s="78"/>
      <c r="FI291" s="78"/>
      <c r="FJ291" s="78"/>
      <c r="FK291" s="78"/>
    </row>
    <row r="292" spans="1:167" outlineLevel="1">
      <c r="A292" s="29" t="str">
        <f t="shared" si="29"/>
        <v>modesg_inp_nfrd_alinhamento_taxbio_capex_ttl_elgbl</v>
      </c>
      <c r="B292" s="67" t="s">
        <v>26</v>
      </c>
      <c r="C292" s="68" t="s">
        <v>181</v>
      </c>
      <c r="D292" s="64" t="s">
        <v>40</v>
      </c>
      <c r="E292" s="66" t="s">
        <v>215</v>
      </c>
      <c r="F292" s="64" t="s">
        <v>265</v>
      </c>
      <c r="G292" s="64" t="str">
        <f>INDEX(Auxiliar!$B$16:$B$24,MATCH(Plano_V1!H292,Auxiliar!$C$16:$C$24,0),1)</f>
        <v>1. Concluído</v>
      </c>
      <c r="H292" s="64">
        <f>VLOOKUP(A292,'Aux - pivots1'!$A:$B,2,0)</f>
        <v>1</v>
      </c>
      <c r="I292" s="84">
        <f>SUMIFS(Table1[Estimação (horas)],Table1[Tabela],Plano_V1!E292,Table1[Campo],Plano_V1!F292)</f>
        <v>0.6</v>
      </c>
      <c r="J292" s="84">
        <f t="shared" si="27"/>
        <v>7.4999999999999997E-2</v>
      </c>
      <c r="K292" s="89" t="s">
        <v>39</v>
      </c>
      <c r="L292" s="90">
        <f t="shared" si="28"/>
        <v>7.4999999999999997E-2</v>
      </c>
      <c r="M292" s="78"/>
      <c r="N292" s="78"/>
      <c r="O292" s="78"/>
      <c r="P292" s="78"/>
      <c r="Q292" s="78"/>
      <c r="R292" s="78"/>
      <c r="S292" s="78"/>
      <c r="T292" s="78"/>
      <c r="U292" s="78"/>
      <c r="V292" s="78"/>
      <c r="W292" s="78"/>
      <c r="X292" s="78"/>
      <c r="Y292" s="78"/>
      <c r="Z292" s="78"/>
      <c r="AA292" s="78"/>
      <c r="AB292" s="78"/>
      <c r="AC292" s="78"/>
      <c r="AD292" s="78"/>
      <c r="AE292" s="78"/>
      <c r="AF292" s="78"/>
      <c r="AG292" s="78"/>
      <c r="AH292" s="78"/>
      <c r="AI292" s="78"/>
      <c r="AJ292" s="78"/>
      <c r="AK292" s="78"/>
      <c r="AL292" s="78"/>
      <c r="AM292" s="78"/>
      <c r="AN292" s="78"/>
      <c r="AO292" s="78"/>
      <c r="AP292" s="78"/>
      <c r="AQ292" s="78"/>
      <c r="AR292" s="78"/>
      <c r="AS292" s="78"/>
      <c r="AT292" s="91"/>
      <c r="AU292" s="78"/>
      <c r="AV292" s="78"/>
      <c r="AW292" s="78"/>
      <c r="AX292" s="78"/>
      <c r="AY292" s="78"/>
      <c r="AZ292" s="78"/>
      <c r="BA292" s="78"/>
      <c r="BB292" s="78"/>
      <c r="BC292" s="78"/>
      <c r="BD292" s="78"/>
      <c r="BE292" s="78"/>
      <c r="BF292" s="78"/>
      <c r="BG292" s="78"/>
      <c r="BH292" s="78"/>
      <c r="BI292" s="78"/>
      <c r="BJ292" s="78"/>
      <c r="BK292" s="78"/>
      <c r="BL292" s="78"/>
      <c r="BM292" s="78"/>
      <c r="BN292" s="78"/>
      <c r="BO292" s="78"/>
      <c r="BP292" s="78"/>
      <c r="BQ292" s="78"/>
      <c r="BR292" s="78"/>
      <c r="BS292" s="78"/>
      <c r="BT292" s="78"/>
      <c r="BU292" s="78"/>
      <c r="BV292" s="78"/>
      <c r="BW292" s="78"/>
      <c r="BX292" s="78"/>
      <c r="BY292" s="78"/>
      <c r="BZ292" s="78"/>
      <c r="CA292" s="78"/>
      <c r="CB292" s="78"/>
      <c r="CC292" s="78"/>
      <c r="CD292" s="78"/>
      <c r="CE292" s="78"/>
      <c r="CF292" s="78"/>
      <c r="CG292" s="78"/>
      <c r="CH292" s="78"/>
      <c r="CI292" s="78"/>
      <c r="CJ292" s="78"/>
      <c r="CK292" s="78"/>
      <c r="CL292" s="78"/>
      <c r="CM292" s="78"/>
      <c r="CN292" s="78"/>
      <c r="CO292" s="78"/>
      <c r="CP292" s="78"/>
      <c r="CQ292" s="78"/>
      <c r="CR292" s="78"/>
      <c r="CS292" s="78"/>
      <c r="CT292" s="78"/>
      <c r="CU292" s="78"/>
      <c r="CV292" s="78"/>
      <c r="CW292" s="78"/>
      <c r="CX292" s="78"/>
      <c r="CY292" s="78"/>
      <c r="CZ292" s="78"/>
      <c r="DA292" s="78"/>
      <c r="DB292" s="78"/>
      <c r="DC292" s="78"/>
      <c r="DD292" s="78"/>
      <c r="DE292" s="78"/>
      <c r="DF292" s="78"/>
      <c r="DG292" s="78"/>
      <c r="DH292" s="78"/>
      <c r="DI292" s="78"/>
      <c r="DJ292" s="78"/>
      <c r="DK292" s="78"/>
      <c r="DL292" s="78"/>
      <c r="DM292" s="78"/>
      <c r="DN292" s="78"/>
      <c r="DO292" s="78"/>
      <c r="DP292" s="78"/>
      <c r="DQ292" s="78"/>
      <c r="DR292" s="78"/>
      <c r="DS292" s="78"/>
      <c r="DT292" s="78"/>
      <c r="DU292" s="78"/>
      <c r="DV292" s="78"/>
      <c r="DW292" s="78"/>
      <c r="DX292" s="78"/>
      <c r="DY292" s="78"/>
      <c r="DZ292" s="78"/>
      <c r="EA292" s="78"/>
      <c r="EB292" s="78"/>
      <c r="EC292" s="78"/>
      <c r="ED292" s="78"/>
      <c r="EE292" s="78"/>
      <c r="EF292" s="78"/>
      <c r="EG292" s="78"/>
      <c r="EH292" s="78"/>
      <c r="EI292" s="91"/>
      <c r="EJ292" s="91"/>
      <c r="EK292" s="91"/>
      <c r="EL292" s="91"/>
      <c r="EM292" s="91"/>
      <c r="EN292" s="91"/>
      <c r="EO292" s="91"/>
      <c r="EP292" s="78"/>
      <c r="EQ292" s="78"/>
      <c r="ER292" s="78"/>
      <c r="ES292" s="78"/>
      <c r="ET292" s="78"/>
      <c r="EU292" s="78"/>
      <c r="EV292" s="78"/>
      <c r="EW292" s="78"/>
      <c r="EX292" s="78"/>
      <c r="EY292" s="78"/>
      <c r="EZ292" s="78"/>
      <c r="FA292" s="78"/>
      <c r="FB292" s="78"/>
      <c r="FC292" s="78"/>
      <c r="FD292" s="78"/>
      <c r="FE292" s="78"/>
      <c r="FF292" s="78"/>
      <c r="FG292" s="78"/>
      <c r="FH292" s="78"/>
      <c r="FI292" s="78"/>
      <c r="FJ292" s="78"/>
      <c r="FK292" s="78"/>
    </row>
    <row r="293" spans="1:167" outlineLevel="1">
      <c r="A293" s="29" t="str">
        <f t="shared" si="29"/>
        <v>modesg_inp_nfrd_alinhamento_taxbio_capex_own_prfrmnce_algnd</v>
      </c>
      <c r="B293" s="67" t="s">
        <v>26</v>
      </c>
      <c r="C293" s="68" t="s">
        <v>181</v>
      </c>
      <c r="D293" s="64" t="s">
        <v>40</v>
      </c>
      <c r="E293" s="66" t="s">
        <v>215</v>
      </c>
      <c r="F293" s="64" t="s">
        <v>266</v>
      </c>
      <c r="G293" s="64" t="str">
        <f>INDEX(Auxiliar!$B$16:$B$24,MATCH(Plano_V1!H293,Auxiliar!$C$16:$C$24,0),1)</f>
        <v>1. Concluído</v>
      </c>
      <c r="H293" s="64">
        <f>VLOOKUP(A293,'Aux - pivots1'!$A:$B,2,0)</f>
        <v>1</v>
      </c>
      <c r="I293" s="84">
        <f>SUMIFS(Table1[Estimação (horas)],Table1[Tabela],Plano_V1!E293,Table1[Campo],Plano_V1!F293)</f>
        <v>0.6</v>
      </c>
      <c r="J293" s="84">
        <f t="shared" si="27"/>
        <v>7.4999999999999997E-2</v>
      </c>
      <c r="K293" s="89" t="s">
        <v>39</v>
      </c>
      <c r="L293" s="90">
        <f t="shared" si="28"/>
        <v>7.4999999999999997E-2</v>
      </c>
      <c r="M293" s="78"/>
      <c r="N293" s="78"/>
      <c r="O293" s="78"/>
      <c r="P293" s="78"/>
      <c r="Q293" s="78"/>
      <c r="R293" s="78"/>
      <c r="S293" s="78"/>
      <c r="T293" s="78"/>
      <c r="U293" s="78"/>
      <c r="V293" s="78"/>
      <c r="W293" s="78"/>
      <c r="X293" s="78"/>
      <c r="Y293" s="78"/>
      <c r="Z293" s="78"/>
      <c r="AA293" s="78"/>
      <c r="AB293" s="78"/>
      <c r="AC293" s="78"/>
      <c r="AD293" s="78"/>
      <c r="AE293" s="78"/>
      <c r="AF293" s="78"/>
      <c r="AG293" s="78"/>
      <c r="AH293" s="78"/>
      <c r="AI293" s="78"/>
      <c r="AJ293" s="78"/>
      <c r="AK293" s="78"/>
      <c r="AL293" s="78"/>
      <c r="AM293" s="78"/>
      <c r="AN293" s="78"/>
      <c r="AO293" s="78"/>
      <c r="AP293" s="78"/>
      <c r="AQ293" s="78"/>
      <c r="AR293" s="78"/>
      <c r="AS293" s="78"/>
      <c r="AT293" s="91"/>
      <c r="AU293" s="78"/>
      <c r="AV293" s="78"/>
      <c r="AW293" s="78"/>
      <c r="AX293" s="78"/>
      <c r="AY293" s="78"/>
      <c r="AZ293" s="78"/>
      <c r="BA293" s="78"/>
      <c r="BB293" s="78"/>
      <c r="BC293" s="78"/>
      <c r="BD293" s="78"/>
      <c r="BE293" s="78"/>
      <c r="BF293" s="78"/>
      <c r="BG293" s="78"/>
      <c r="BH293" s="78"/>
      <c r="BI293" s="78"/>
      <c r="BJ293" s="78"/>
      <c r="BK293" s="78"/>
      <c r="BL293" s="78"/>
      <c r="BM293" s="78"/>
      <c r="BN293" s="78"/>
      <c r="BO293" s="78"/>
      <c r="BP293" s="78"/>
      <c r="BQ293" s="78"/>
      <c r="BR293" s="78"/>
      <c r="BS293" s="78"/>
      <c r="BT293" s="78"/>
      <c r="BU293" s="78"/>
      <c r="BV293" s="78"/>
      <c r="BW293" s="78"/>
      <c r="BX293" s="78"/>
      <c r="BY293" s="78"/>
      <c r="BZ293" s="78"/>
      <c r="CA293" s="78"/>
      <c r="CB293" s="78"/>
      <c r="CC293" s="78"/>
      <c r="CD293" s="78"/>
      <c r="CE293" s="78"/>
      <c r="CF293" s="78"/>
      <c r="CG293" s="78"/>
      <c r="CH293" s="78"/>
      <c r="CI293" s="78"/>
      <c r="CJ293" s="78"/>
      <c r="CK293" s="78"/>
      <c r="CL293" s="78"/>
      <c r="CM293" s="78"/>
      <c r="CN293" s="78"/>
      <c r="CO293" s="78"/>
      <c r="CP293" s="78"/>
      <c r="CQ293" s="78"/>
      <c r="CR293" s="78"/>
      <c r="CS293" s="78"/>
      <c r="CT293" s="78"/>
      <c r="CU293" s="78"/>
      <c r="CV293" s="78"/>
      <c r="CW293" s="78"/>
      <c r="CX293" s="78"/>
      <c r="CY293" s="78"/>
      <c r="CZ293" s="78"/>
      <c r="DA293" s="78"/>
      <c r="DB293" s="78"/>
      <c r="DC293" s="78"/>
      <c r="DD293" s="78"/>
      <c r="DE293" s="78"/>
      <c r="DF293" s="78"/>
      <c r="DG293" s="78"/>
      <c r="DH293" s="78"/>
      <c r="DI293" s="78"/>
      <c r="DJ293" s="78"/>
      <c r="DK293" s="78"/>
      <c r="DL293" s="78"/>
      <c r="DM293" s="78"/>
      <c r="DN293" s="78"/>
      <c r="DO293" s="78"/>
      <c r="DP293" s="78"/>
      <c r="DQ293" s="78"/>
      <c r="DR293" s="78"/>
      <c r="DS293" s="78"/>
      <c r="DT293" s="78"/>
      <c r="DU293" s="78"/>
      <c r="DV293" s="78"/>
      <c r="DW293" s="78"/>
      <c r="DX293" s="78"/>
      <c r="DY293" s="78"/>
      <c r="DZ293" s="78"/>
      <c r="EA293" s="78"/>
      <c r="EB293" s="78"/>
      <c r="EC293" s="78"/>
      <c r="ED293" s="78"/>
      <c r="EE293" s="78"/>
      <c r="EF293" s="78"/>
      <c r="EG293" s="78"/>
      <c r="EH293" s="78"/>
      <c r="EI293" s="91"/>
      <c r="EJ293" s="91"/>
      <c r="EK293" s="91"/>
      <c r="EL293" s="91"/>
      <c r="EM293" s="91"/>
      <c r="EN293" s="91"/>
      <c r="EO293" s="91"/>
      <c r="EP293" s="78"/>
      <c r="EQ293" s="78"/>
      <c r="ER293" s="78"/>
      <c r="ES293" s="78"/>
      <c r="ET293" s="78"/>
      <c r="EU293" s="78"/>
      <c r="EV293" s="78"/>
      <c r="EW293" s="78"/>
      <c r="EX293" s="78"/>
      <c r="EY293" s="78"/>
      <c r="EZ293" s="78"/>
      <c r="FA293" s="78"/>
      <c r="FB293" s="78"/>
      <c r="FC293" s="78"/>
      <c r="FD293" s="78"/>
      <c r="FE293" s="78"/>
      <c r="FF293" s="78"/>
      <c r="FG293" s="78"/>
      <c r="FH293" s="78"/>
      <c r="FI293" s="78"/>
      <c r="FJ293" s="78"/>
      <c r="FK293" s="78"/>
    </row>
    <row r="294" spans="1:167" outlineLevel="1">
      <c r="A294" s="29" t="str">
        <f t="shared" si="29"/>
        <v>modesg_inp_nfrd_alinhamento_taxwtr_trnvr_ttl_elgbl</v>
      </c>
      <c r="B294" s="67" t="s">
        <v>26</v>
      </c>
      <c r="C294" s="68" t="s">
        <v>181</v>
      </c>
      <c r="D294" s="64" t="s">
        <v>40</v>
      </c>
      <c r="E294" s="66" t="s">
        <v>215</v>
      </c>
      <c r="F294" s="64" t="s">
        <v>267</v>
      </c>
      <c r="G294" s="64" t="str">
        <f>INDEX(Auxiliar!$B$16:$B$24,MATCH(Plano_V1!H294,Auxiliar!$C$16:$C$24,0),1)</f>
        <v>1. Concluído</v>
      </c>
      <c r="H294" s="64">
        <f>VLOOKUP(A294,'Aux - pivots1'!$A:$B,2,0)</f>
        <v>1</v>
      </c>
      <c r="I294" s="84">
        <f>SUMIFS(Table1[Estimação (horas)],Table1[Tabela],Plano_V1!E294,Table1[Campo],Plano_V1!F294)</f>
        <v>0.6</v>
      </c>
      <c r="J294" s="84">
        <f t="shared" si="27"/>
        <v>7.4999999999999997E-2</v>
      </c>
      <c r="K294" s="89" t="s">
        <v>39</v>
      </c>
      <c r="L294" s="90">
        <f t="shared" si="28"/>
        <v>7.4999999999999997E-2</v>
      </c>
      <c r="M294" s="78"/>
      <c r="N294" s="78"/>
      <c r="O294" s="78"/>
      <c r="P294" s="78"/>
      <c r="Q294" s="78"/>
      <c r="R294" s="78"/>
      <c r="S294" s="78"/>
      <c r="T294" s="78"/>
      <c r="U294" s="78"/>
      <c r="V294" s="78"/>
      <c r="W294" s="78"/>
      <c r="X294" s="78"/>
      <c r="Y294" s="78"/>
      <c r="Z294" s="78"/>
      <c r="AA294" s="78"/>
      <c r="AB294" s="78"/>
      <c r="AC294" s="78"/>
      <c r="AD294" s="78"/>
      <c r="AE294" s="78"/>
      <c r="AF294" s="78"/>
      <c r="AG294" s="78"/>
      <c r="AH294" s="78"/>
      <c r="AI294" s="78"/>
      <c r="AJ294" s="78"/>
      <c r="AK294" s="78"/>
      <c r="AL294" s="78"/>
      <c r="AM294" s="78"/>
      <c r="AN294" s="78"/>
      <c r="AO294" s="78"/>
      <c r="AP294" s="78"/>
      <c r="AQ294" s="78"/>
      <c r="AR294" s="78"/>
      <c r="AS294" s="78"/>
      <c r="AT294" s="91"/>
      <c r="AU294" s="78"/>
      <c r="AV294" s="78"/>
      <c r="AW294" s="78"/>
      <c r="AX294" s="78"/>
      <c r="AY294" s="78"/>
      <c r="AZ294" s="78"/>
      <c r="BA294" s="78"/>
      <c r="BB294" s="78"/>
      <c r="BC294" s="78"/>
      <c r="BD294" s="78"/>
      <c r="BE294" s="78"/>
      <c r="BF294" s="78"/>
      <c r="BG294" s="78"/>
      <c r="BH294" s="78"/>
      <c r="BI294" s="78"/>
      <c r="BJ294" s="78"/>
      <c r="BK294" s="78"/>
      <c r="BL294" s="78"/>
      <c r="BM294" s="78"/>
      <c r="BN294" s="78"/>
      <c r="BO294" s="78"/>
      <c r="BP294" s="78"/>
      <c r="BQ294" s="78"/>
      <c r="BR294" s="78"/>
      <c r="BS294" s="78"/>
      <c r="BT294" s="78"/>
      <c r="BU294" s="78"/>
      <c r="BV294" s="78"/>
      <c r="BW294" s="78"/>
      <c r="BX294" s="78"/>
      <c r="BY294" s="78"/>
      <c r="BZ294" s="78"/>
      <c r="CA294" s="78"/>
      <c r="CB294" s="78"/>
      <c r="CC294" s="78"/>
      <c r="CD294" s="78"/>
      <c r="CE294" s="78"/>
      <c r="CF294" s="78"/>
      <c r="CG294" s="78"/>
      <c r="CH294" s="78"/>
      <c r="CI294" s="78"/>
      <c r="CJ294" s="78"/>
      <c r="CK294" s="78"/>
      <c r="CL294" s="78"/>
      <c r="CM294" s="78"/>
      <c r="CN294" s="78"/>
      <c r="CO294" s="78"/>
      <c r="CP294" s="78"/>
      <c r="CQ294" s="78"/>
      <c r="CR294" s="78"/>
      <c r="CS294" s="78"/>
      <c r="CT294" s="78"/>
      <c r="CU294" s="78"/>
      <c r="CV294" s="78"/>
      <c r="CW294" s="78"/>
      <c r="CX294" s="78"/>
      <c r="CY294" s="78"/>
      <c r="CZ294" s="78"/>
      <c r="DA294" s="78"/>
      <c r="DB294" s="78"/>
      <c r="DC294" s="78"/>
      <c r="DD294" s="78"/>
      <c r="DE294" s="78"/>
      <c r="DF294" s="78"/>
      <c r="DG294" s="78"/>
      <c r="DH294" s="78"/>
      <c r="DI294" s="78"/>
      <c r="DJ294" s="78"/>
      <c r="DK294" s="78"/>
      <c r="DL294" s="78"/>
      <c r="DM294" s="78"/>
      <c r="DN294" s="78"/>
      <c r="DO294" s="78"/>
      <c r="DP294" s="78"/>
      <c r="DQ294" s="78"/>
      <c r="DR294" s="78"/>
      <c r="DS294" s="78"/>
      <c r="DT294" s="78"/>
      <c r="DU294" s="78"/>
      <c r="DV294" s="78"/>
      <c r="DW294" s="78"/>
      <c r="DX294" s="78"/>
      <c r="DY294" s="78"/>
      <c r="DZ294" s="78"/>
      <c r="EA294" s="78"/>
      <c r="EB294" s="78"/>
      <c r="EC294" s="78"/>
      <c r="ED294" s="78"/>
      <c r="EE294" s="78"/>
      <c r="EF294" s="78"/>
      <c r="EG294" s="78"/>
      <c r="EH294" s="78"/>
      <c r="EI294" s="91"/>
      <c r="EJ294" s="91"/>
      <c r="EK294" s="91"/>
      <c r="EL294" s="91"/>
      <c r="EM294" s="91"/>
      <c r="EN294" s="91"/>
      <c r="EO294" s="91"/>
      <c r="EP294" s="78"/>
      <c r="EQ294" s="78"/>
      <c r="ER294" s="78"/>
      <c r="ES294" s="78"/>
      <c r="ET294" s="78"/>
      <c r="EU294" s="78"/>
      <c r="EV294" s="78"/>
      <c r="EW294" s="78"/>
      <c r="EX294" s="78"/>
      <c r="EY294" s="78"/>
      <c r="EZ294" s="78"/>
      <c r="FA294" s="78"/>
      <c r="FB294" s="78"/>
      <c r="FC294" s="78"/>
      <c r="FD294" s="78"/>
      <c r="FE294" s="78"/>
      <c r="FF294" s="78"/>
      <c r="FG294" s="78"/>
      <c r="FH294" s="78"/>
      <c r="FI294" s="78"/>
      <c r="FJ294" s="78"/>
      <c r="FK294" s="78"/>
    </row>
    <row r="295" spans="1:167" outlineLevel="1">
      <c r="A295" s="29" t="str">
        <f t="shared" si="29"/>
        <v>modesg_inp_nfrd_alinhamento_taxwtr_trnvr_enblng_alignd</v>
      </c>
      <c r="B295" s="67" t="s">
        <v>26</v>
      </c>
      <c r="C295" s="68" t="s">
        <v>181</v>
      </c>
      <c r="D295" s="64" t="s">
        <v>40</v>
      </c>
      <c r="E295" s="66" t="s">
        <v>215</v>
      </c>
      <c r="F295" s="64" t="s">
        <v>268</v>
      </c>
      <c r="G295" s="64" t="str">
        <f>INDEX(Auxiliar!$B$16:$B$24,MATCH(Plano_V1!H295,Auxiliar!$C$16:$C$24,0),1)</f>
        <v>1. Concluído</v>
      </c>
      <c r="H295" s="64">
        <f>VLOOKUP(A295,'Aux - pivots1'!$A:$B,2,0)</f>
        <v>1</v>
      </c>
      <c r="I295" s="84">
        <f>SUMIFS(Table1[Estimação (horas)],Table1[Tabela],Plano_V1!E295,Table1[Campo],Plano_V1!F295)</f>
        <v>0.6</v>
      </c>
      <c r="J295" s="84">
        <f t="shared" si="27"/>
        <v>7.4999999999999997E-2</v>
      </c>
      <c r="K295" s="89" t="s">
        <v>39</v>
      </c>
      <c r="L295" s="90">
        <f t="shared" si="28"/>
        <v>7.4999999999999997E-2</v>
      </c>
      <c r="M295" s="78"/>
      <c r="N295" s="78"/>
      <c r="O295" s="78"/>
      <c r="P295" s="78"/>
      <c r="Q295" s="78"/>
      <c r="R295" s="78"/>
      <c r="S295" s="78"/>
      <c r="T295" s="78"/>
      <c r="U295" s="78"/>
      <c r="V295" s="78"/>
      <c r="W295" s="78"/>
      <c r="X295" s="78"/>
      <c r="Y295" s="78"/>
      <c r="Z295" s="78"/>
      <c r="AA295" s="78"/>
      <c r="AB295" s="78"/>
      <c r="AC295" s="78"/>
      <c r="AD295" s="78"/>
      <c r="AE295" s="78"/>
      <c r="AF295" s="78"/>
      <c r="AG295" s="78"/>
      <c r="AH295" s="78"/>
      <c r="AI295" s="78"/>
      <c r="AJ295" s="78"/>
      <c r="AK295" s="78"/>
      <c r="AL295" s="78"/>
      <c r="AM295" s="78"/>
      <c r="AN295" s="78"/>
      <c r="AO295" s="78"/>
      <c r="AP295" s="78"/>
      <c r="AQ295" s="78"/>
      <c r="AR295" s="78"/>
      <c r="AS295" s="78"/>
      <c r="AT295" s="91"/>
      <c r="AU295" s="78"/>
      <c r="AV295" s="78"/>
      <c r="AW295" s="78"/>
      <c r="AX295" s="78"/>
      <c r="AY295" s="78"/>
      <c r="AZ295" s="78"/>
      <c r="BA295" s="78"/>
      <c r="BB295" s="78"/>
      <c r="BC295" s="78"/>
      <c r="BD295" s="78"/>
      <c r="BE295" s="78"/>
      <c r="BF295" s="78"/>
      <c r="BG295" s="78"/>
      <c r="BH295" s="78"/>
      <c r="BI295" s="78"/>
      <c r="BJ295" s="78"/>
      <c r="BK295" s="78"/>
      <c r="BL295" s="78"/>
      <c r="BM295" s="78"/>
      <c r="BN295" s="78"/>
      <c r="BO295" s="78"/>
      <c r="BP295" s="78"/>
      <c r="BQ295" s="78"/>
      <c r="BR295" s="78"/>
      <c r="BS295" s="78"/>
      <c r="BT295" s="78"/>
      <c r="BU295" s="78"/>
      <c r="BV295" s="78"/>
      <c r="BW295" s="78"/>
      <c r="BX295" s="78"/>
      <c r="BY295" s="78"/>
      <c r="BZ295" s="78"/>
      <c r="CA295" s="78"/>
      <c r="CB295" s="78"/>
      <c r="CC295" s="78"/>
      <c r="CD295" s="78"/>
      <c r="CE295" s="78"/>
      <c r="CF295" s="78"/>
      <c r="CG295" s="78"/>
      <c r="CH295" s="78"/>
      <c r="CI295" s="78"/>
      <c r="CJ295" s="78"/>
      <c r="CK295" s="78"/>
      <c r="CL295" s="78"/>
      <c r="CM295" s="78"/>
      <c r="CN295" s="78"/>
      <c r="CO295" s="78"/>
      <c r="CP295" s="78"/>
      <c r="CQ295" s="78"/>
      <c r="CR295" s="78"/>
      <c r="CS295" s="78"/>
      <c r="CT295" s="78"/>
      <c r="CU295" s="78"/>
      <c r="CV295" s="78"/>
      <c r="CW295" s="78"/>
      <c r="CX295" s="78"/>
      <c r="CY295" s="78"/>
      <c r="CZ295" s="78"/>
      <c r="DA295" s="78"/>
      <c r="DB295" s="78"/>
      <c r="DC295" s="78"/>
      <c r="DD295" s="78"/>
      <c r="DE295" s="78"/>
      <c r="DF295" s="78"/>
      <c r="DG295" s="78"/>
      <c r="DH295" s="78"/>
      <c r="DI295" s="78"/>
      <c r="DJ295" s="78"/>
      <c r="DK295" s="78"/>
      <c r="DL295" s="78"/>
      <c r="DM295" s="78"/>
      <c r="DN295" s="78"/>
      <c r="DO295" s="78"/>
      <c r="DP295" s="78"/>
      <c r="DQ295" s="78"/>
      <c r="DR295" s="78"/>
      <c r="DS295" s="78"/>
      <c r="DT295" s="78"/>
      <c r="DU295" s="78"/>
      <c r="DV295" s="78"/>
      <c r="DW295" s="78"/>
      <c r="DX295" s="78"/>
      <c r="DY295" s="78"/>
      <c r="DZ295" s="78"/>
      <c r="EA295" s="78"/>
      <c r="EB295" s="78"/>
      <c r="EC295" s="78"/>
      <c r="ED295" s="78"/>
      <c r="EE295" s="78"/>
      <c r="EF295" s="78"/>
      <c r="EG295" s="78"/>
      <c r="EH295" s="78"/>
      <c r="EI295" s="91"/>
      <c r="EJ295" s="91"/>
      <c r="EK295" s="91"/>
      <c r="EL295" s="91"/>
      <c r="EM295" s="91"/>
      <c r="EN295" s="91"/>
      <c r="EO295" s="91"/>
      <c r="EP295" s="78"/>
      <c r="EQ295" s="78"/>
      <c r="ER295" s="78"/>
      <c r="ES295" s="78"/>
      <c r="ET295" s="78"/>
      <c r="EU295" s="78"/>
      <c r="EV295" s="78"/>
      <c r="EW295" s="78"/>
      <c r="EX295" s="78"/>
      <c r="EY295" s="78"/>
      <c r="EZ295" s="78"/>
      <c r="FA295" s="78"/>
      <c r="FB295" s="78"/>
      <c r="FC295" s="78"/>
      <c r="FD295" s="78"/>
      <c r="FE295" s="78"/>
      <c r="FF295" s="78"/>
      <c r="FG295" s="78"/>
      <c r="FH295" s="78"/>
      <c r="FI295" s="78"/>
      <c r="FJ295" s="78"/>
      <c r="FK295" s="78"/>
    </row>
    <row r="296" spans="1:167" outlineLevel="1">
      <c r="A296" s="29" t="str">
        <f t="shared" si="29"/>
        <v>modesg_inp_nfrd_alinhamento_taxwtr_turnover_own_prfrmnce_algnd</v>
      </c>
      <c r="B296" s="67" t="s">
        <v>26</v>
      </c>
      <c r="C296" s="68" t="s">
        <v>181</v>
      </c>
      <c r="D296" s="64" t="s">
        <v>40</v>
      </c>
      <c r="E296" s="66" t="s">
        <v>215</v>
      </c>
      <c r="F296" s="64" t="s">
        <v>269</v>
      </c>
      <c r="G296" s="64" t="str">
        <f>INDEX(Auxiliar!$B$16:$B$24,MATCH(Plano_V1!H296,Auxiliar!$C$16:$C$24,0),1)</f>
        <v>1. Concluído</v>
      </c>
      <c r="H296" s="64">
        <f>VLOOKUP(A296,'Aux - pivots1'!$A:$B,2,0)</f>
        <v>1</v>
      </c>
      <c r="I296" s="84">
        <f>SUMIFS(Table1[Estimação (horas)],Table1[Tabela],Plano_V1!E296,Table1[Campo],Plano_V1!F296)</f>
        <v>0.6</v>
      </c>
      <c r="J296" s="84">
        <f t="shared" si="27"/>
        <v>7.4999999999999997E-2</v>
      </c>
      <c r="K296" s="89" t="s">
        <v>39</v>
      </c>
      <c r="L296" s="90">
        <f t="shared" si="28"/>
        <v>7.4999999999999997E-2</v>
      </c>
      <c r="M296" s="78"/>
      <c r="N296" s="78"/>
      <c r="O296" s="78"/>
      <c r="P296" s="78"/>
      <c r="Q296" s="78"/>
      <c r="R296" s="78"/>
      <c r="S296" s="78"/>
      <c r="T296" s="78"/>
      <c r="U296" s="78"/>
      <c r="V296" s="78"/>
      <c r="W296" s="78"/>
      <c r="X296" s="78"/>
      <c r="Y296" s="78"/>
      <c r="Z296" s="78"/>
      <c r="AA296" s="78"/>
      <c r="AB296" s="78"/>
      <c r="AC296" s="78"/>
      <c r="AD296" s="78"/>
      <c r="AE296" s="78"/>
      <c r="AF296" s="78"/>
      <c r="AG296" s="78"/>
      <c r="AH296" s="78"/>
      <c r="AI296" s="78"/>
      <c r="AJ296" s="78"/>
      <c r="AK296" s="78"/>
      <c r="AL296" s="78"/>
      <c r="AM296" s="78"/>
      <c r="AN296" s="78"/>
      <c r="AO296" s="78"/>
      <c r="AP296" s="78"/>
      <c r="AQ296" s="78"/>
      <c r="AR296" s="78"/>
      <c r="AS296" s="78"/>
      <c r="AT296" s="91"/>
      <c r="AU296" s="78"/>
      <c r="AV296" s="78"/>
      <c r="AW296" s="78"/>
      <c r="AX296" s="78"/>
      <c r="AY296" s="78"/>
      <c r="AZ296" s="78"/>
      <c r="BA296" s="78"/>
      <c r="BB296" s="78"/>
      <c r="BC296" s="78"/>
      <c r="BD296" s="78"/>
      <c r="BE296" s="78"/>
      <c r="BF296" s="78"/>
      <c r="BG296" s="78"/>
      <c r="BH296" s="78"/>
      <c r="BI296" s="78"/>
      <c r="BJ296" s="78"/>
      <c r="BK296" s="78"/>
      <c r="BL296" s="78"/>
      <c r="BM296" s="78"/>
      <c r="BN296" s="78"/>
      <c r="BO296" s="78"/>
      <c r="BP296" s="78"/>
      <c r="BQ296" s="78"/>
      <c r="BR296" s="78"/>
      <c r="BS296" s="78"/>
      <c r="BT296" s="78"/>
      <c r="BU296" s="78"/>
      <c r="BV296" s="78"/>
      <c r="BW296" s="78"/>
      <c r="BX296" s="78"/>
      <c r="BY296" s="78"/>
      <c r="BZ296" s="78"/>
      <c r="CA296" s="78"/>
      <c r="CB296" s="78"/>
      <c r="CC296" s="78"/>
      <c r="CD296" s="78"/>
      <c r="CE296" s="78"/>
      <c r="CF296" s="78"/>
      <c r="CG296" s="78"/>
      <c r="CH296" s="78"/>
      <c r="CI296" s="78"/>
      <c r="CJ296" s="78"/>
      <c r="CK296" s="78"/>
      <c r="CL296" s="78"/>
      <c r="CM296" s="78"/>
      <c r="CN296" s="78"/>
      <c r="CO296" s="78"/>
      <c r="CP296" s="78"/>
      <c r="CQ296" s="78"/>
      <c r="CR296" s="78"/>
      <c r="CS296" s="78"/>
      <c r="CT296" s="78"/>
      <c r="CU296" s="78"/>
      <c r="CV296" s="78"/>
      <c r="CW296" s="78"/>
      <c r="CX296" s="78"/>
      <c r="CY296" s="78"/>
      <c r="CZ296" s="78"/>
      <c r="DA296" s="78"/>
      <c r="DB296" s="78"/>
      <c r="DC296" s="78"/>
      <c r="DD296" s="78"/>
      <c r="DE296" s="78"/>
      <c r="DF296" s="78"/>
      <c r="DG296" s="78"/>
      <c r="DH296" s="78"/>
      <c r="DI296" s="78"/>
      <c r="DJ296" s="78"/>
      <c r="DK296" s="78"/>
      <c r="DL296" s="78"/>
      <c r="DM296" s="78"/>
      <c r="DN296" s="78"/>
      <c r="DO296" s="78"/>
      <c r="DP296" s="78"/>
      <c r="DQ296" s="78"/>
      <c r="DR296" s="78"/>
      <c r="DS296" s="78"/>
      <c r="DT296" s="78"/>
      <c r="DU296" s="78"/>
      <c r="DV296" s="78"/>
      <c r="DW296" s="78"/>
      <c r="DX296" s="78"/>
      <c r="DY296" s="78"/>
      <c r="DZ296" s="78"/>
      <c r="EA296" s="78"/>
      <c r="EB296" s="78"/>
      <c r="EC296" s="78"/>
      <c r="ED296" s="78"/>
      <c r="EE296" s="78"/>
      <c r="EF296" s="78"/>
      <c r="EG296" s="78"/>
      <c r="EH296" s="78"/>
      <c r="EI296" s="91"/>
      <c r="EJ296" s="91"/>
      <c r="EK296" s="91"/>
      <c r="EL296" s="91"/>
      <c r="EM296" s="91"/>
      <c r="EN296" s="91"/>
      <c r="EO296" s="91"/>
      <c r="EP296" s="78"/>
      <c r="EQ296" s="78"/>
      <c r="ER296" s="78"/>
      <c r="ES296" s="78"/>
      <c r="ET296" s="78"/>
      <c r="EU296" s="78"/>
      <c r="EV296" s="78"/>
      <c r="EW296" s="78"/>
      <c r="EX296" s="78"/>
      <c r="EY296" s="78"/>
      <c r="EZ296" s="78"/>
      <c r="FA296" s="78"/>
      <c r="FB296" s="78"/>
      <c r="FC296" s="78"/>
      <c r="FD296" s="78"/>
      <c r="FE296" s="78"/>
      <c r="FF296" s="78"/>
      <c r="FG296" s="78"/>
      <c r="FH296" s="78"/>
      <c r="FI296" s="78"/>
      <c r="FJ296" s="78"/>
      <c r="FK296" s="78"/>
    </row>
    <row r="297" spans="1:167" outlineLevel="1">
      <c r="A297" s="29" t="str">
        <f t="shared" si="29"/>
        <v>modesg_inp_nfrd_alinhamento_taxwtr_capex_ttl_elgbl</v>
      </c>
      <c r="B297" s="67" t="s">
        <v>26</v>
      </c>
      <c r="C297" s="68" t="s">
        <v>181</v>
      </c>
      <c r="D297" s="64" t="s">
        <v>40</v>
      </c>
      <c r="E297" s="66" t="s">
        <v>215</v>
      </c>
      <c r="F297" s="64" t="s">
        <v>270</v>
      </c>
      <c r="G297" s="64" t="str">
        <f>INDEX(Auxiliar!$B$16:$B$24,MATCH(Plano_V1!H297,Auxiliar!$C$16:$C$24,0),1)</f>
        <v>1. Concluído</v>
      </c>
      <c r="H297" s="64">
        <f>VLOOKUP(A297,'Aux - pivots1'!$A:$B,2,0)</f>
        <v>1</v>
      </c>
      <c r="I297" s="84">
        <f>SUMIFS(Table1[Estimação (horas)],Table1[Tabela],Plano_V1!E297,Table1[Campo],Plano_V1!F297)</f>
        <v>0.6</v>
      </c>
      <c r="J297" s="84">
        <f t="shared" si="27"/>
        <v>7.4999999999999997E-2</v>
      </c>
      <c r="K297" s="89" t="s">
        <v>39</v>
      </c>
      <c r="L297" s="90">
        <f t="shared" si="28"/>
        <v>7.4999999999999997E-2</v>
      </c>
      <c r="M297" s="78"/>
      <c r="N297" s="78"/>
      <c r="O297" s="78"/>
      <c r="P297" s="78"/>
      <c r="Q297" s="78"/>
      <c r="R297" s="78"/>
      <c r="S297" s="78"/>
      <c r="T297" s="78"/>
      <c r="U297" s="78"/>
      <c r="V297" s="78"/>
      <c r="W297" s="78"/>
      <c r="X297" s="78"/>
      <c r="Y297" s="78"/>
      <c r="Z297" s="78"/>
      <c r="AA297" s="78"/>
      <c r="AB297" s="78"/>
      <c r="AC297" s="78"/>
      <c r="AD297" s="78"/>
      <c r="AE297" s="78"/>
      <c r="AF297" s="78"/>
      <c r="AG297" s="78"/>
      <c r="AH297" s="78"/>
      <c r="AI297" s="78"/>
      <c r="AJ297" s="78"/>
      <c r="AK297" s="78"/>
      <c r="AL297" s="78"/>
      <c r="AM297" s="78"/>
      <c r="AN297" s="78"/>
      <c r="AO297" s="78"/>
      <c r="AP297" s="78"/>
      <c r="AQ297" s="78"/>
      <c r="AR297" s="78"/>
      <c r="AS297" s="78"/>
      <c r="AT297" s="91"/>
      <c r="AU297" s="78"/>
      <c r="AV297" s="78"/>
      <c r="AW297" s="78"/>
      <c r="AX297" s="78"/>
      <c r="AY297" s="78"/>
      <c r="AZ297" s="78"/>
      <c r="BA297" s="78"/>
      <c r="BB297" s="78"/>
      <c r="BC297" s="78"/>
      <c r="BD297" s="78"/>
      <c r="BE297" s="78"/>
      <c r="BF297" s="78"/>
      <c r="BG297" s="78"/>
      <c r="BH297" s="78"/>
      <c r="BI297" s="78"/>
      <c r="BJ297" s="78"/>
      <c r="BK297" s="78"/>
      <c r="BL297" s="78"/>
      <c r="BM297" s="78"/>
      <c r="BN297" s="78"/>
      <c r="BO297" s="78"/>
      <c r="BP297" s="78"/>
      <c r="BQ297" s="78"/>
      <c r="BR297" s="78"/>
      <c r="BS297" s="78"/>
      <c r="BT297" s="78"/>
      <c r="BU297" s="78"/>
      <c r="BV297" s="78"/>
      <c r="BW297" s="78"/>
      <c r="BX297" s="78"/>
      <c r="BY297" s="78"/>
      <c r="BZ297" s="78"/>
      <c r="CA297" s="78"/>
      <c r="CB297" s="78"/>
      <c r="CC297" s="78"/>
      <c r="CD297" s="78"/>
      <c r="CE297" s="78"/>
      <c r="CF297" s="78"/>
      <c r="CG297" s="78"/>
      <c r="CH297" s="78"/>
      <c r="CI297" s="78"/>
      <c r="CJ297" s="78"/>
      <c r="CK297" s="78"/>
      <c r="CL297" s="78"/>
      <c r="CM297" s="78"/>
      <c r="CN297" s="78"/>
      <c r="CO297" s="78"/>
      <c r="CP297" s="78"/>
      <c r="CQ297" s="78"/>
      <c r="CR297" s="78"/>
      <c r="CS297" s="78"/>
      <c r="CT297" s="78"/>
      <c r="CU297" s="78"/>
      <c r="CV297" s="78"/>
      <c r="CW297" s="78"/>
      <c r="CX297" s="78"/>
      <c r="CY297" s="78"/>
      <c r="CZ297" s="78"/>
      <c r="DA297" s="78"/>
      <c r="DB297" s="78"/>
      <c r="DC297" s="78"/>
      <c r="DD297" s="78"/>
      <c r="DE297" s="78"/>
      <c r="DF297" s="78"/>
      <c r="DG297" s="78"/>
      <c r="DH297" s="78"/>
      <c r="DI297" s="78"/>
      <c r="DJ297" s="78"/>
      <c r="DK297" s="78"/>
      <c r="DL297" s="78"/>
      <c r="DM297" s="78"/>
      <c r="DN297" s="78"/>
      <c r="DO297" s="78"/>
      <c r="DP297" s="78"/>
      <c r="DQ297" s="78"/>
      <c r="DR297" s="78"/>
      <c r="DS297" s="78"/>
      <c r="DT297" s="78"/>
      <c r="DU297" s="78"/>
      <c r="DV297" s="78"/>
      <c r="DW297" s="78"/>
      <c r="DX297" s="78"/>
      <c r="DY297" s="78"/>
      <c r="DZ297" s="78"/>
      <c r="EA297" s="78"/>
      <c r="EB297" s="78"/>
      <c r="EC297" s="78"/>
      <c r="ED297" s="78"/>
      <c r="EE297" s="78"/>
      <c r="EF297" s="78"/>
      <c r="EG297" s="78"/>
      <c r="EH297" s="78"/>
      <c r="EI297" s="91"/>
      <c r="EJ297" s="91"/>
      <c r="EK297" s="91"/>
      <c r="EL297" s="91"/>
      <c r="EM297" s="91"/>
      <c r="EN297" s="91"/>
      <c r="EO297" s="91"/>
      <c r="EP297" s="78"/>
      <c r="EQ297" s="78"/>
      <c r="ER297" s="78"/>
      <c r="ES297" s="78"/>
      <c r="ET297" s="78"/>
      <c r="EU297" s="78"/>
      <c r="EV297" s="78"/>
      <c r="EW297" s="78"/>
      <c r="EX297" s="78"/>
      <c r="EY297" s="78"/>
      <c r="EZ297" s="78"/>
      <c r="FA297" s="78"/>
      <c r="FB297" s="78"/>
      <c r="FC297" s="78"/>
      <c r="FD297" s="78"/>
      <c r="FE297" s="78"/>
      <c r="FF297" s="78"/>
      <c r="FG297" s="78"/>
      <c r="FH297" s="78"/>
      <c r="FI297" s="78"/>
      <c r="FJ297" s="78"/>
      <c r="FK297" s="78"/>
    </row>
    <row r="298" spans="1:167" outlineLevel="1">
      <c r="A298" s="29" t="str">
        <f t="shared" si="29"/>
        <v>modesg_inp_nfrd_alinhamento_taxwtr_capex_enblng_algnd</v>
      </c>
      <c r="B298" s="67" t="s">
        <v>26</v>
      </c>
      <c r="C298" s="68" t="s">
        <v>181</v>
      </c>
      <c r="D298" s="64" t="s">
        <v>40</v>
      </c>
      <c r="E298" s="66" t="s">
        <v>215</v>
      </c>
      <c r="F298" s="64" t="s">
        <v>271</v>
      </c>
      <c r="G298" s="64" t="str">
        <f>INDEX(Auxiliar!$B$16:$B$24,MATCH(Plano_V1!H298,Auxiliar!$C$16:$C$24,0),1)</f>
        <v>1. Concluído</v>
      </c>
      <c r="H298" s="64">
        <f>VLOOKUP(A298,'Aux - pivots1'!$A:$B,2,0)</f>
        <v>1</v>
      </c>
      <c r="I298" s="84">
        <f>SUMIFS(Table1[Estimação (horas)],Table1[Tabela],Plano_V1!E298,Table1[Campo],Plano_V1!F298)</f>
        <v>0.6</v>
      </c>
      <c r="J298" s="84">
        <f t="shared" si="27"/>
        <v>7.4999999999999997E-2</v>
      </c>
      <c r="K298" s="89" t="s">
        <v>39</v>
      </c>
      <c r="L298" s="90">
        <f t="shared" si="28"/>
        <v>7.4999999999999997E-2</v>
      </c>
      <c r="M298" s="78"/>
      <c r="N298" s="78"/>
      <c r="O298" s="78"/>
      <c r="P298" s="78"/>
      <c r="Q298" s="78"/>
      <c r="R298" s="78"/>
      <c r="S298" s="78"/>
      <c r="T298" s="78"/>
      <c r="U298" s="78"/>
      <c r="V298" s="78"/>
      <c r="W298" s="78"/>
      <c r="X298" s="78"/>
      <c r="Y298" s="78"/>
      <c r="Z298" s="78"/>
      <c r="AA298" s="78"/>
      <c r="AB298" s="78"/>
      <c r="AC298" s="78"/>
      <c r="AD298" s="78"/>
      <c r="AE298" s="78"/>
      <c r="AF298" s="78"/>
      <c r="AG298" s="78"/>
      <c r="AH298" s="78"/>
      <c r="AI298" s="78"/>
      <c r="AJ298" s="78"/>
      <c r="AK298" s="78"/>
      <c r="AL298" s="78"/>
      <c r="AM298" s="78"/>
      <c r="AN298" s="78"/>
      <c r="AO298" s="78"/>
      <c r="AP298" s="78"/>
      <c r="AQ298" s="78"/>
      <c r="AR298" s="78"/>
      <c r="AS298" s="78"/>
      <c r="AT298" s="91"/>
      <c r="AU298" s="78"/>
      <c r="AV298" s="78"/>
      <c r="AW298" s="78"/>
      <c r="AX298" s="78"/>
      <c r="AY298" s="78"/>
      <c r="AZ298" s="78"/>
      <c r="BA298" s="78"/>
      <c r="BB298" s="78"/>
      <c r="BC298" s="78"/>
      <c r="BD298" s="78"/>
      <c r="BE298" s="78"/>
      <c r="BF298" s="78"/>
      <c r="BG298" s="78"/>
      <c r="BH298" s="78"/>
      <c r="BI298" s="78"/>
      <c r="BJ298" s="78"/>
      <c r="BK298" s="78"/>
      <c r="BL298" s="78"/>
      <c r="BM298" s="78"/>
      <c r="BN298" s="78"/>
      <c r="BO298" s="78"/>
      <c r="BP298" s="78"/>
      <c r="BQ298" s="78"/>
      <c r="BR298" s="78"/>
      <c r="BS298" s="78"/>
      <c r="BT298" s="78"/>
      <c r="BU298" s="78"/>
      <c r="BV298" s="78"/>
      <c r="BW298" s="78"/>
      <c r="BX298" s="78"/>
      <c r="BY298" s="78"/>
      <c r="BZ298" s="78"/>
      <c r="CA298" s="78"/>
      <c r="CB298" s="78"/>
      <c r="CC298" s="78"/>
      <c r="CD298" s="78"/>
      <c r="CE298" s="78"/>
      <c r="CF298" s="78"/>
      <c r="CG298" s="78"/>
      <c r="CH298" s="78"/>
      <c r="CI298" s="78"/>
      <c r="CJ298" s="78"/>
      <c r="CK298" s="78"/>
      <c r="CL298" s="78"/>
      <c r="CM298" s="78"/>
      <c r="CN298" s="78"/>
      <c r="CO298" s="78"/>
      <c r="CP298" s="78"/>
      <c r="CQ298" s="78"/>
      <c r="CR298" s="78"/>
      <c r="CS298" s="78"/>
      <c r="CT298" s="78"/>
      <c r="CU298" s="78"/>
      <c r="CV298" s="78"/>
      <c r="CW298" s="78"/>
      <c r="CX298" s="78"/>
      <c r="CY298" s="78"/>
      <c r="CZ298" s="78"/>
      <c r="DA298" s="78"/>
      <c r="DB298" s="78"/>
      <c r="DC298" s="78"/>
      <c r="DD298" s="78"/>
      <c r="DE298" s="78"/>
      <c r="DF298" s="78"/>
      <c r="DG298" s="78"/>
      <c r="DH298" s="78"/>
      <c r="DI298" s="78"/>
      <c r="DJ298" s="78"/>
      <c r="DK298" s="78"/>
      <c r="DL298" s="78"/>
      <c r="DM298" s="78"/>
      <c r="DN298" s="78"/>
      <c r="DO298" s="78"/>
      <c r="DP298" s="78"/>
      <c r="DQ298" s="78"/>
      <c r="DR298" s="78"/>
      <c r="DS298" s="78"/>
      <c r="DT298" s="78"/>
      <c r="DU298" s="78"/>
      <c r="DV298" s="78"/>
      <c r="DW298" s="78"/>
      <c r="DX298" s="78"/>
      <c r="DY298" s="78"/>
      <c r="DZ298" s="78"/>
      <c r="EA298" s="78"/>
      <c r="EB298" s="78"/>
      <c r="EC298" s="78"/>
      <c r="ED298" s="78"/>
      <c r="EE298" s="78"/>
      <c r="EF298" s="78"/>
      <c r="EG298" s="78"/>
      <c r="EH298" s="78"/>
      <c r="EI298" s="91"/>
      <c r="EJ298" s="91"/>
      <c r="EK298" s="91"/>
      <c r="EL298" s="91"/>
      <c r="EM298" s="91"/>
      <c r="EN298" s="91"/>
      <c r="EO298" s="91"/>
      <c r="EP298" s="78"/>
      <c r="EQ298" s="78"/>
      <c r="ER298" s="78"/>
      <c r="ES298" s="78"/>
      <c r="ET298" s="78"/>
      <c r="EU298" s="78"/>
      <c r="EV298" s="78"/>
      <c r="EW298" s="78"/>
      <c r="EX298" s="78"/>
      <c r="EY298" s="78"/>
      <c r="EZ298" s="78"/>
      <c r="FA298" s="78"/>
      <c r="FB298" s="78"/>
      <c r="FC298" s="78"/>
      <c r="FD298" s="78"/>
      <c r="FE298" s="78"/>
      <c r="FF298" s="78"/>
      <c r="FG298" s="78"/>
      <c r="FH298" s="78"/>
      <c r="FI298" s="78"/>
      <c r="FJ298" s="78"/>
      <c r="FK298" s="78"/>
    </row>
    <row r="299" spans="1:167" outlineLevel="1">
      <c r="A299" s="29" t="str">
        <f t="shared" si="29"/>
        <v>modesg_inp_nfrd_alinhamento_taxwtr_capex_own_prfrmnce_algnd</v>
      </c>
      <c r="B299" s="67" t="s">
        <v>26</v>
      </c>
      <c r="C299" s="68" t="s">
        <v>181</v>
      </c>
      <c r="D299" s="64" t="s">
        <v>40</v>
      </c>
      <c r="E299" s="66" t="s">
        <v>215</v>
      </c>
      <c r="F299" s="64" t="s">
        <v>272</v>
      </c>
      <c r="G299" s="64" t="str">
        <f>INDEX(Auxiliar!$B$16:$B$24,MATCH(Plano_V1!H299,Auxiliar!$C$16:$C$24,0),1)</f>
        <v>1. Concluído</v>
      </c>
      <c r="H299" s="64">
        <f>VLOOKUP(A299,'Aux - pivots1'!$A:$B,2,0)</f>
        <v>1</v>
      </c>
      <c r="I299" s="84">
        <f>SUMIFS(Table1[Estimação (horas)],Table1[Tabela],Plano_V1!E299,Table1[Campo],Plano_V1!F299)</f>
        <v>0.6</v>
      </c>
      <c r="J299" s="84">
        <f t="shared" si="27"/>
        <v>7.4999999999999997E-2</v>
      </c>
      <c r="K299" s="89" t="s">
        <v>39</v>
      </c>
      <c r="L299" s="90">
        <f t="shared" si="28"/>
        <v>7.4999999999999997E-2</v>
      </c>
      <c r="M299" s="78"/>
      <c r="N299" s="78"/>
      <c r="O299" s="78"/>
      <c r="P299" s="78"/>
      <c r="Q299" s="78"/>
      <c r="R299" s="78"/>
      <c r="S299" s="78"/>
      <c r="T299" s="78"/>
      <c r="U299" s="78"/>
      <c r="V299" s="78"/>
      <c r="W299" s="78"/>
      <c r="X299" s="78"/>
      <c r="Y299" s="78"/>
      <c r="Z299" s="78"/>
      <c r="AA299" s="78"/>
      <c r="AB299" s="78"/>
      <c r="AC299" s="78"/>
      <c r="AD299" s="78"/>
      <c r="AE299" s="78"/>
      <c r="AF299" s="78"/>
      <c r="AG299" s="78"/>
      <c r="AH299" s="78"/>
      <c r="AI299" s="78"/>
      <c r="AJ299" s="78"/>
      <c r="AK299" s="78"/>
      <c r="AL299" s="78"/>
      <c r="AM299" s="78"/>
      <c r="AN299" s="78"/>
      <c r="AO299" s="78"/>
      <c r="AP299" s="78"/>
      <c r="AQ299" s="78"/>
      <c r="AR299" s="78"/>
      <c r="AS299" s="78"/>
      <c r="AT299" s="91"/>
      <c r="AU299" s="78"/>
      <c r="AV299" s="78"/>
      <c r="AW299" s="78"/>
      <c r="AX299" s="78"/>
      <c r="AY299" s="78"/>
      <c r="AZ299" s="78"/>
      <c r="BA299" s="78"/>
      <c r="BB299" s="78"/>
      <c r="BC299" s="78"/>
      <c r="BD299" s="78"/>
      <c r="BE299" s="78"/>
      <c r="BF299" s="78"/>
      <c r="BG299" s="78"/>
      <c r="BH299" s="78"/>
      <c r="BI299" s="78"/>
      <c r="BJ299" s="78"/>
      <c r="BK299" s="78"/>
      <c r="BL299" s="78"/>
      <c r="BM299" s="78"/>
      <c r="BN299" s="78"/>
      <c r="BO299" s="78"/>
      <c r="BP299" s="78"/>
      <c r="BQ299" s="78"/>
      <c r="BR299" s="78"/>
      <c r="BS299" s="78"/>
      <c r="BT299" s="78"/>
      <c r="BU299" s="78"/>
      <c r="BV299" s="78"/>
      <c r="BW299" s="78"/>
      <c r="BX299" s="78"/>
      <c r="BY299" s="78"/>
      <c r="BZ299" s="78"/>
      <c r="CA299" s="78"/>
      <c r="CB299" s="78"/>
      <c r="CC299" s="78"/>
      <c r="CD299" s="78"/>
      <c r="CE299" s="78"/>
      <c r="CF299" s="78"/>
      <c r="CG299" s="78"/>
      <c r="CH299" s="78"/>
      <c r="CI299" s="78"/>
      <c r="CJ299" s="78"/>
      <c r="CK299" s="78"/>
      <c r="CL299" s="78"/>
      <c r="CM299" s="78"/>
      <c r="CN299" s="78"/>
      <c r="CO299" s="78"/>
      <c r="CP299" s="78"/>
      <c r="CQ299" s="78"/>
      <c r="CR299" s="78"/>
      <c r="CS299" s="78"/>
      <c r="CT299" s="78"/>
      <c r="CU299" s="78"/>
      <c r="CV299" s="78"/>
      <c r="CW299" s="78"/>
      <c r="CX299" s="78"/>
      <c r="CY299" s="78"/>
      <c r="CZ299" s="78"/>
      <c r="DA299" s="78"/>
      <c r="DB299" s="78"/>
      <c r="DC299" s="78"/>
      <c r="DD299" s="78"/>
      <c r="DE299" s="78"/>
      <c r="DF299" s="78"/>
      <c r="DG299" s="78"/>
      <c r="DH299" s="78"/>
      <c r="DI299" s="78"/>
      <c r="DJ299" s="78"/>
      <c r="DK299" s="78"/>
      <c r="DL299" s="78"/>
      <c r="DM299" s="78"/>
      <c r="DN299" s="78"/>
      <c r="DO299" s="78"/>
      <c r="DP299" s="78"/>
      <c r="DQ299" s="78"/>
      <c r="DR299" s="78"/>
      <c r="DS299" s="78"/>
      <c r="DT299" s="78"/>
      <c r="DU299" s="78"/>
      <c r="DV299" s="78"/>
      <c r="DW299" s="78"/>
      <c r="DX299" s="78"/>
      <c r="DY299" s="78"/>
      <c r="DZ299" s="78"/>
      <c r="EA299" s="78"/>
      <c r="EB299" s="78"/>
      <c r="EC299" s="78"/>
      <c r="ED299" s="78"/>
      <c r="EE299" s="78"/>
      <c r="EF299" s="78"/>
      <c r="EG299" s="78"/>
      <c r="EH299" s="78"/>
      <c r="EI299" s="91"/>
      <c r="EJ299" s="91"/>
      <c r="EK299" s="91"/>
      <c r="EL299" s="91"/>
      <c r="EM299" s="91"/>
      <c r="EN299" s="91"/>
      <c r="EO299" s="91"/>
      <c r="EP299" s="78"/>
      <c r="EQ299" s="78"/>
      <c r="ER299" s="78"/>
      <c r="ES299" s="78"/>
      <c r="ET299" s="78"/>
      <c r="EU299" s="78"/>
      <c r="EV299" s="78"/>
      <c r="EW299" s="78"/>
      <c r="EX299" s="78"/>
      <c r="EY299" s="78"/>
      <c r="EZ299" s="78"/>
      <c r="FA299" s="78"/>
      <c r="FB299" s="78"/>
      <c r="FC299" s="78"/>
      <c r="FD299" s="78"/>
      <c r="FE299" s="78"/>
      <c r="FF299" s="78"/>
      <c r="FG299" s="78"/>
      <c r="FH299" s="78"/>
      <c r="FI299" s="78"/>
      <c r="FJ299" s="78"/>
      <c r="FK299" s="78"/>
    </row>
    <row r="300" spans="1:167" outlineLevel="1">
      <c r="A300" s="29" t="str">
        <f t="shared" si="29"/>
        <v>modesg_inp_nfrd_alinhamento_taxce_trnvr_ttl_elgbl</v>
      </c>
      <c r="B300" s="67" t="s">
        <v>26</v>
      </c>
      <c r="C300" s="68" t="s">
        <v>181</v>
      </c>
      <c r="D300" s="64" t="s">
        <v>40</v>
      </c>
      <c r="E300" s="66" t="s">
        <v>215</v>
      </c>
      <c r="F300" s="64" t="s">
        <v>273</v>
      </c>
      <c r="G300" s="64" t="str">
        <f>INDEX(Auxiliar!$B$16:$B$24,MATCH(Plano_V1!H300,Auxiliar!$C$16:$C$24,0),1)</f>
        <v>1. Concluído</v>
      </c>
      <c r="H300" s="64">
        <f>VLOOKUP(A300,'Aux - pivots1'!$A:$B,2,0)</f>
        <v>1</v>
      </c>
      <c r="I300" s="84">
        <f>SUMIFS(Table1[Estimação (horas)],Table1[Tabela],Plano_V1!E300,Table1[Campo],Plano_V1!F300)</f>
        <v>0.6</v>
      </c>
      <c r="J300" s="84">
        <f t="shared" si="27"/>
        <v>7.4999999999999997E-2</v>
      </c>
      <c r="K300" s="89" t="s">
        <v>39</v>
      </c>
      <c r="L300" s="90">
        <f t="shared" si="28"/>
        <v>7.4999999999999997E-2</v>
      </c>
      <c r="M300" s="78"/>
      <c r="N300" s="78"/>
      <c r="O300" s="78"/>
      <c r="P300" s="78"/>
      <c r="Q300" s="78"/>
      <c r="R300" s="78"/>
      <c r="S300" s="78"/>
      <c r="T300" s="78"/>
      <c r="U300" s="78"/>
      <c r="V300" s="78"/>
      <c r="W300" s="78"/>
      <c r="X300" s="78"/>
      <c r="Y300" s="78"/>
      <c r="Z300" s="78"/>
      <c r="AA300" s="78"/>
      <c r="AB300" s="78"/>
      <c r="AC300" s="78"/>
      <c r="AD300" s="78"/>
      <c r="AE300" s="78"/>
      <c r="AF300" s="78"/>
      <c r="AG300" s="78"/>
      <c r="AH300" s="78"/>
      <c r="AI300" s="78"/>
      <c r="AJ300" s="78"/>
      <c r="AK300" s="78"/>
      <c r="AL300" s="78"/>
      <c r="AM300" s="78"/>
      <c r="AN300" s="78"/>
      <c r="AO300" s="78"/>
      <c r="AP300" s="78"/>
      <c r="AQ300" s="78"/>
      <c r="AR300" s="78"/>
      <c r="AS300" s="78"/>
      <c r="AT300" s="91"/>
      <c r="AU300" s="78"/>
      <c r="AV300" s="78"/>
      <c r="AW300" s="78"/>
      <c r="AX300" s="78"/>
      <c r="AY300" s="78"/>
      <c r="AZ300" s="78"/>
      <c r="BA300" s="78"/>
      <c r="BB300" s="78"/>
      <c r="BC300" s="78"/>
      <c r="BD300" s="78"/>
      <c r="BE300" s="78"/>
      <c r="BF300" s="78"/>
      <c r="BG300" s="78"/>
      <c r="BH300" s="78"/>
      <c r="BI300" s="78"/>
      <c r="BJ300" s="78"/>
      <c r="BK300" s="78"/>
      <c r="BL300" s="78"/>
      <c r="BM300" s="78"/>
      <c r="BN300" s="78"/>
      <c r="BO300" s="78"/>
      <c r="BP300" s="78"/>
      <c r="BQ300" s="78"/>
      <c r="BR300" s="78"/>
      <c r="BS300" s="78"/>
      <c r="BT300" s="78"/>
      <c r="BU300" s="78"/>
      <c r="BV300" s="78"/>
      <c r="BW300" s="78"/>
      <c r="BX300" s="78"/>
      <c r="BY300" s="78"/>
      <c r="BZ300" s="78"/>
      <c r="CA300" s="78"/>
      <c r="CB300" s="78"/>
      <c r="CC300" s="78"/>
      <c r="CD300" s="78"/>
      <c r="CE300" s="78"/>
      <c r="CF300" s="78"/>
      <c r="CG300" s="78"/>
      <c r="CH300" s="78"/>
      <c r="CI300" s="78"/>
      <c r="CJ300" s="78"/>
      <c r="CK300" s="78"/>
      <c r="CL300" s="78"/>
      <c r="CM300" s="78"/>
      <c r="CN300" s="78"/>
      <c r="CO300" s="78"/>
      <c r="CP300" s="78"/>
      <c r="CQ300" s="78"/>
      <c r="CR300" s="78"/>
      <c r="CS300" s="78"/>
      <c r="CT300" s="78"/>
      <c r="CU300" s="78"/>
      <c r="CV300" s="78"/>
      <c r="CW300" s="78"/>
      <c r="CX300" s="78"/>
      <c r="CY300" s="78"/>
      <c r="CZ300" s="78"/>
      <c r="DA300" s="78"/>
      <c r="DB300" s="78"/>
      <c r="DC300" s="78"/>
      <c r="DD300" s="78"/>
      <c r="DE300" s="78"/>
      <c r="DF300" s="78"/>
      <c r="DG300" s="78"/>
      <c r="DH300" s="78"/>
      <c r="DI300" s="78"/>
      <c r="DJ300" s="78"/>
      <c r="DK300" s="78"/>
      <c r="DL300" s="78"/>
      <c r="DM300" s="78"/>
      <c r="DN300" s="78"/>
      <c r="DO300" s="78"/>
      <c r="DP300" s="78"/>
      <c r="DQ300" s="78"/>
      <c r="DR300" s="78"/>
      <c r="DS300" s="78"/>
      <c r="DT300" s="78"/>
      <c r="DU300" s="78"/>
      <c r="DV300" s="78"/>
      <c r="DW300" s="78"/>
      <c r="DX300" s="78"/>
      <c r="DY300" s="78"/>
      <c r="DZ300" s="78"/>
      <c r="EA300" s="78"/>
      <c r="EB300" s="78"/>
      <c r="EC300" s="78"/>
      <c r="ED300" s="78"/>
      <c r="EE300" s="78"/>
      <c r="EF300" s="78"/>
      <c r="EG300" s="78"/>
      <c r="EH300" s="78"/>
      <c r="EI300" s="91"/>
      <c r="EJ300" s="91"/>
      <c r="EK300" s="91"/>
      <c r="EL300" s="91"/>
      <c r="EM300" s="91"/>
      <c r="EN300" s="91"/>
      <c r="EO300" s="91"/>
      <c r="EP300" s="78"/>
      <c r="EQ300" s="78"/>
      <c r="ER300" s="78"/>
      <c r="ES300" s="78"/>
      <c r="ET300" s="78"/>
      <c r="EU300" s="78"/>
      <c r="EV300" s="78"/>
      <c r="EW300" s="78"/>
      <c r="EX300" s="78"/>
      <c r="EY300" s="78"/>
      <c r="EZ300" s="78"/>
      <c r="FA300" s="78"/>
      <c r="FB300" s="78"/>
      <c r="FC300" s="78"/>
      <c r="FD300" s="78"/>
      <c r="FE300" s="78"/>
      <c r="FF300" s="78"/>
      <c r="FG300" s="78"/>
      <c r="FH300" s="78"/>
      <c r="FI300" s="78"/>
      <c r="FJ300" s="78"/>
      <c r="FK300" s="78"/>
    </row>
    <row r="301" spans="1:167" outlineLevel="1">
      <c r="A301" s="29" t="str">
        <f t="shared" si="29"/>
        <v>modesg_inp_nfrd_alinhamento_taxce_trnvr_enblng_alignd</v>
      </c>
      <c r="B301" s="67" t="s">
        <v>26</v>
      </c>
      <c r="C301" s="68" t="s">
        <v>181</v>
      </c>
      <c r="D301" s="64" t="s">
        <v>40</v>
      </c>
      <c r="E301" s="66" t="s">
        <v>215</v>
      </c>
      <c r="F301" s="64" t="s">
        <v>274</v>
      </c>
      <c r="G301" s="64" t="str">
        <f>INDEX(Auxiliar!$B$16:$B$24,MATCH(Plano_V1!H301,Auxiliar!$C$16:$C$24,0),1)</f>
        <v>1. Concluído</v>
      </c>
      <c r="H301" s="64">
        <f>VLOOKUP(A301,'Aux - pivots1'!$A:$B,2,0)</f>
        <v>1</v>
      </c>
      <c r="I301" s="84">
        <f>SUMIFS(Table1[Estimação (horas)],Table1[Tabela],Plano_V1!E301,Table1[Campo],Plano_V1!F301)</f>
        <v>0.6</v>
      </c>
      <c r="J301" s="84">
        <f t="shared" si="27"/>
        <v>7.4999999999999997E-2</v>
      </c>
      <c r="K301" s="89" t="s">
        <v>39</v>
      </c>
      <c r="L301" s="90">
        <f t="shared" si="28"/>
        <v>7.4999999999999997E-2</v>
      </c>
      <c r="M301" s="78"/>
      <c r="N301" s="78"/>
      <c r="O301" s="78"/>
      <c r="P301" s="78"/>
      <c r="Q301" s="78"/>
      <c r="R301" s="78"/>
      <c r="S301" s="78"/>
      <c r="T301" s="78"/>
      <c r="U301" s="78"/>
      <c r="V301" s="78"/>
      <c r="W301" s="78"/>
      <c r="X301" s="78"/>
      <c r="Y301" s="78"/>
      <c r="Z301" s="78"/>
      <c r="AA301" s="78"/>
      <c r="AB301" s="78"/>
      <c r="AC301" s="78"/>
      <c r="AD301" s="78"/>
      <c r="AE301" s="78"/>
      <c r="AF301" s="78"/>
      <c r="AG301" s="78"/>
      <c r="AH301" s="78"/>
      <c r="AI301" s="78"/>
      <c r="AJ301" s="78"/>
      <c r="AK301" s="78"/>
      <c r="AL301" s="78"/>
      <c r="AM301" s="78"/>
      <c r="AN301" s="78"/>
      <c r="AO301" s="78"/>
      <c r="AP301" s="78"/>
      <c r="AQ301" s="78"/>
      <c r="AR301" s="78"/>
      <c r="AS301" s="78"/>
      <c r="AT301" s="91"/>
      <c r="AU301" s="78"/>
      <c r="AV301" s="78"/>
      <c r="AW301" s="78"/>
      <c r="AX301" s="78"/>
      <c r="AY301" s="78"/>
      <c r="AZ301" s="78"/>
      <c r="BA301" s="78"/>
      <c r="BB301" s="78"/>
      <c r="BC301" s="78"/>
      <c r="BD301" s="78"/>
      <c r="BE301" s="78"/>
      <c r="BF301" s="78"/>
      <c r="BG301" s="78"/>
      <c r="BH301" s="78"/>
      <c r="BI301" s="78"/>
      <c r="BJ301" s="78"/>
      <c r="BK301" s="78"/>
      <c r="BL301" s="78"/>
      <c r="BM301" s="78"/>
      <c r="BN301" s="78"/>
      <c r="BO301" s="78"/>
      <c r="BP301" s="78"/>
      <c r="BQ301" s="78"/>
      <c r="BR301" s="78"/>
      <c r="BS301" s="78"/>
      <c r="BT301" s="78"/>
      <c r="BU301" s="78"/>
      <c r="BV301" s="78"/>
      <c r="BW301" s="78"/>
      <c r="BX301" s="78"/>
      <c r="BY301" s="78"/>
      <c r="BZ301" s="78"/>
      <c r="CA301" s="78"/>
      <c r="CB301" s="78"/>
      <c r="CC301" s="78"/>
      <c r="CD301" s="78"/>
      <c r="CE301" s="78"/>
      <c r="CF301" s="78"/>
      <c r="CG301" s="78"/>
      <c r="CH301" s="78"/>
      <c r="CI301" s="78"/>
      <c r="CJ301" s="78"/>
      <c r="CK301" s="78"/>
      <c r="CL301" s="78"/>
      <c r="CM301" s="78"/>
      <c r="CN301" s="78"/>
      <c r="CO301" s="78"/>
      <c r="CP301" s="78"/>
      <c r="CQ301" s="78"/>
      <c r="CR301" s="78"/>
      <c r="CS301" s="78"/>
      <c r="CT301" s="78"/>
      <c r="CU301" s="78"/>
      <c r="CV301" s="78"/>
      <c r="CW301" s="78"/>
      <c r="CX301" s="78"/>
      <c r="CY301" s="78"/>
      <c r="CZ301" s="78"/>
      <c r="DA301" s="78"/>
      <c r="DB301" s="78"/>
      <c r="DC301" s="78"/>
      <c r="DD301" s="78"/>
      <c r="DE301" s="78"/>
      <c r="DF301" s="78"/>
      <c r="DG301" s="78"/>
      <c r="DH301" s="78"/>
      <c r="DI301" s="78"/>
      <c r="DJ301" s="78"/>
      <c r="DK301" s="78"/>
      <c r="DL301" s="78"/>
      <c r="DM301" s="78"/>
      <c r="DN301" s="78"/>
      <c r="DO301" s="78"/>
      <c r="DP301" s="78"/>
      <c r="DQ301" s="78"/>
      <c r="DR301" s="78"/>
      <c r="DS301" s="78"/>
      <c r="DT301" s="78"/>
      <c r="DU301" s="78"/>
      <c r="DV301" s="78"/>
      <c r="DW301" s="78"/>
      <c r="DX301" s="78"/>
      <c r="DY301" s="78"/>
      <c r="DZ301" s="78"/>
      <c r="EA301" s="78"/>
      <c r="EB301" s="78"/>
      <c r="EC301" s="78"/>
      <c r="ED301" s="78"/>
      <c r="EE301" s="78"/>
      <c r="EF301" s="78"/>
      <c r="EG301" s="78"/>
      <c r="EH301" s="78"/>
      <c r="EI301" s="91"/>
      <c r="EJ301" s="91"/>
      <c r="EK301" s="91"/>
      <c r="EL301" s="91"/>
      <c r="EM301" s="91"/>
      <c r="EN301" s="91"/>
      <c r="EO301" s="91"/>
      <c r="EP301" s="78"/>
      <c r="EQ301" s="78"/>
      <c r="ER301" s="78"/>
      <c r="ES301" s="78"/>
      <c r="ET301" s="78"/>
      <c r="EU301" s="78"/>
      <c r="EV301" s="78"/>
      <c r="EW301" s="78"/>
      <c r="EX301" s="78"/>
      <c r="EY301" s="78"/>
      <c r="EZ301" s="78"/>
      <c r="FA301" s="78"/>
      <c r="FB301" s="78"/>
      <c r="FC301" s="78"/>
      <c r="FD301" s="78"/>
      <c r="FE301" s="78"/>
      <c r="FF301" s="78"/>
      <c r="FG301" s="78"/>
      <c r="FH301" s="78"/>
      <c r="FI301" s="78"/>
      <c r="FJ301" s="78"/>
      <c r="FK301" s="78"/>
    </row>
    <row r="302" spans="1:167" outlineLevel="1">
      <c r="A302" s="29" t="str">
        <f t="shared" si="29"/>
        <v>modesg_inp_nfrd_alinhamento_taxce_turnover_own_prfrmnce_algnd</v>
      </c>
      <c r="B302" s="67" t="s">
        <v>26</v>
      </c>
      <c r="C302" s="68" t="s">
        <v>181</v>
      </c>
      <c r="D302" s="64" t="s">
        <v>40</v>
      </c>
      <c r="E302" s="66" t="s">
        <v>215</v>
      </c>
      <c r="F302" s="64" t="s">
        <v>275</v>
      </c>
      <c r="G302" s="64" t="str">
        <f>INDEX(Auxiliar!$B$16:$B$24,MATCH(Plano_V1!H302,Auxiliar!$C$16:$C$24,0),1)</f>
        <v>1. Concluído</v>
      </c>
      <c r="H302" s="64">
        <f>VLOOKUP(A302,'Aux - pivots1'!$A:$B,2,0)</f>
        <v>1</v>
      </c>
      <c r="I302" s="84">
        <f>SUMIFS(Table1[Estimação (horas)],Table1[Tabela],Plano_V1!E302,Table1[Campo],Plano_V1!F302)</f>
        <v>0.6</v>
      </c>
      <c r="J302" s="84">
        <f t="shared" si="27"/>
        <v>7.4999999999999997E-2</v>
      </c>
      <c r="K302" s="89" t="s">
        <v>39</v>
      </c>
      <c r="L302" s="90">
        <f t="shared" si="28"/>
        <v>7.4999999999999997E-2</v>
      </c>
      <c r="M302" s="78"/>
      <c r="N302" s="78"/>
      <c r="O302" s="78"/>
      <c r="P302" s="78"/>
      <c r="Q302" s="78"/>
      <c r="R302" s="78"/>
      <c r="S302" s="78"/>
      <c r="T302" s="78"/>
      <c r="U302" s="78"/>
      <c r="V302" s="78"/>
      <c r="W302" s="78"/>
      <c r="X302" s="78"/>
      <c r="Y302" s="78"/>
      <c r="Z302" s="78"/>
      <c r="AA302" s="78"/>
      <c r="AB302" s="78"/>
      <c r="AC302" s="78"/>
      <c r="AD302" s="78"/>
      <c r="AE302" s="78"/>
      <c r="AF302" s="78"/>
      <c r="AG302" s="78"/>
      <c r="AH302" s="78"/>
      <c r="AI302" s="78"/>
      <c r="AJ302" s="78"/>
      <c r="AK302" s="78"/>
      <c r="AL302" s="78"/>
      <c r="AM302" s="78"/>
      <c r="AN302" s="78"/>
      <c r="AO302" s="78"/>
      <c r="AP302" s="78"/>
      <c r="AQ302" s="78"/>
      <c r="AR302" s="78"/>
      <c r="AS302" s="78"/>
      <c r="AT302" s="91"/>
      <c r="AU302" s="78"/>
      <c r="AV302" s="78"/>
      <c r="AW302" s="78"/>
      <c r="AX302" s="78"/>
      <c r="AY302" s="78"/>
      <c r="AZ302" s="78"/>
      <c r="BA302" s="78"/>
      <c r="BB302" s="78"/>
      <c r="BC302" s="78"/>
      <c r="BD302" s="78"/>
      <c r="BE302" s="78"/>
      <c r="BF302" s="78"/>
      <c r="BG302" s="78"/>
      <c r="BH302" s="78"/>
      <c r="BI302" s="78"/>
      <c r="BJ302" s="78"/>
      <c r="BK302" s="78"/>
      <c r="BL302" s="78"/>
      <c r="BM302" s="78"/>
      <c r="BN302" s="78"/>
      <c r="BO302" s="78"/>
      <c r="BP302" s="78"/>
      <c r="BQ302" s="78"/>
      <c r="BR302" s="78"/>
      <c r="BS302" s="78"/>
      <c r="BT302" s="78"/>
      <c r="BU302" s="78"/>
      <c r="BV302" s="78"/>
      <c r="BW302" s="78"/>
      <c r="BX302" s="78"/>
      <c r="BY302" s="78"/>
      <c r="BZ302" s="78"/>
      <c r="CA302" s="78"/>
      <c r="CB302" s="78"/>
      <c r="CC302" s="78"/>
      <c r="CD302" s="78"/>
      <c r="CE302" s="78"/>
      <c r="CF302" s="78"/>
      <c r="CG302" s="78"/>
      <c r="CH302" s="78"/>
      <c r="CI302" s="78"/>
      <c r="CJ302" s="78"/>
      <c r="CK302" s="78"/>
      <c r="CL302" s="78"/>
      <c r="CM302" s="78"/>
      <c r="CN302" s="78"/>
      <c r="CO302" s="78"/>
      <c r="CP302" s="78"/>
      <c r="CQ302" s="78"/>
      <c r="CR302" s="78"/>
      <c r="CS302" s="78"/>
      <c r="CT302" s="78"/>
      <c r="CU302" s="78"/>
      <c r="CV302" s="78"/>
      <c r="CW302" s="78"/>
      <c r="CX302" s="78"/>
      <c r="CY302" s="78"/>
      <c r="CZ302" s="78"/>
      <c r="DA302" s="78"/>
      <c r="DB302" s="78"/>
      <c r="DC302" s="78"/>
      <c r="DD302" s="78"/>
      <c r="DE302" s="78"/>
      <c r="DF302" s="78"/>
      <c r="DG302" s="78"/>
      <c r="DH302" s="78"/>
      <c r="DI302" s="78"/>
      <c r="DJ302" s="78"/>
      <c r="DK302" s="78"/>
      <c r="DL302" s="78"/>
      <c r="DM302" s="78"/>
      <c r="DN302" s="78"/>
      <c r="DO302" s="78"/>
      <c r="DP302" s="78"/>
      <c r="DQ302" s="78"/>
      <c r="DR302" s="78"/>
      <c r="DS302" s="78"/>
      <c r="DT302" s="78"/>
      <c r="DU302" s="78"/>
      <c r="DV302" s="78"/>
      <c r="DW302" s="78"/>
      <c r="DX302" s="78"/>
      <c r="DY302" s="78"/>
      <c r="DZ302" s="78"/>
      <c r="EA302" s="78"/>
      <c r="EB302" s="78"/>
      <c r="EC302" s="78"/>
      <c r="ED302" s="78"/>
      <c r="EE302" s="78"/>
      <c r="EF302" s="78"/>
      <c r="EG302" s="78"/>
      <c r="EH302" s="78"/>
      <c r="EI302" s="91"/>
      <c r="EJ302" s="91"/>
      <c r="EK302" s="91"/>
      <c r="EL302" s="91"/>
      <c r="EM302" s="91"/>
      <c r="EN302" s="91"/>
      <c r="EO302" s="91"/>
      <c r="EP302" s="78"/>
      <c r="EQ302" s="78"/>
      <c r="ER302" s="78"/>
      <c r="ES302" s="78"/>
      <c r="ET302" s="78"/>
      <c r="EU302" s="78"/>
      <c r="EV302" s="78"/>
      <c r="EW302" s="78"/>
      <c r="EX302" s="78"/>
      <c r="EY302" s="78"/>
      <c r="EZ302" s="78"/>
      <c r="FA302" s="78"/>
      <c r="FB302" s="78"/>
      <c r="FC302" s="78"/>
      <c r="FD302" s="78"/>
      <c r="FE302" s="78"/>
      <c r="FF302" s="78"/>
      <c r="FG302" s="78"/>
      <c r="FH302" s="78"/>
      <c r="FI302" s="78"/>
      <c r="FJ302" s="78"/>
      <c r="FK302" s="78"/>
    </row>
    <row r="303" spans="1:167" outlineLevel="1">
      <c r="A303" s="29" t="str">
        <f t="shared" si="29"/>
        <v>modesg_inp_nfrd_alinhamento_taxce_capex_ttl_elgbl</v>
      </c>
      <c r="B303" s="67" t="s">
        <v>26</v>
      </c>
      <c r="C303" s="68" t="s">
        <v>181</v>
      </c>
      <c r="D303" s="64" t="s">
        <v>40</v>
      </c>
      <c r="E303" s="66" t="s">
        <v>215</v>
      </c>
      <c r="F303" s="64" t="s">
        <v>276</v>
      </c>
      <c r="G303" s="64" t="str">
        <f>INDEX(Auxiliar!$B$16:$B$24,MATCH(Plano_V1!H303,Auxiliar!$C$16:$C$24,0),1)</f>
        <v>1. Concluído</v>
      </c>
      <c r="H303" s="64">
        <f>VLOOKUP(A303,'Aux - pivots1'!$A:$B,2,0)</f>
        <v>1</v>
      </c>
      <c r="I303" s="84">
        <f>SUMIFS(Table1[Estimação (horas)],Table1[Tabela],Plano_V1!E303,Table1[Campo],Plano_V1!F303)</f>
        <v>0.6</v>
      </c>
      <c r="J303" s="84">
        <f t="shared" si="27"/>
        <v>7.4999999999999997E-2</v>
      </c>
      <c r="K303" s="89" t="s">
        <v>39</v>
      </c>
      <c r="L303" s="90">
        <f t="shared" si="28"/>
        <v>7.4999999999999997E-2</v>
      </c>
      <c r="M303" s="78"/>
      <c r="N303" s="78"/>
      <c r="O303" s="78"/>
      <c r="P303" s="78"/>
      <c r="Q303" s="78"/>
      <c r="R303" s="78"/>
      <c r="S303" s="78"/>
      <c r="T303" s="78"/>
      <c r="U303" s="78"/>
      <c r="V303" s="78"/>
      <c r="W303" s="78"/>
      <c r="X303" s="78"/>
      <c r="Y303" s="78"/>
      <c r="Z303" s="78"/>
      <c r="AA303" s="78"/>
      <c r="AB303" s="78"/>
      <c r="AC303" s="78"/>
      <c r="AD303" s="78"/>
      <c r="AE303" s="78"/>
      <c r="AF303" s="78"/>
      <c r="AG303" s="78"/>
      <c r="AH303" s="78"/>
      <c r="AI303" s="78"/>
      <c r="AJ303" s="78"/>
      <c r="AK303" s="78"/>
      <c r="AL303" s="78"/>
      <c r="AM303" s="78"/>
      <c r="AN303" s="78"/>
      <c r="AO303" s="78"/>
      <c r="AP303" s="78"/>
      <c r="AQ303" s="78"/>
      <c r="AR303" s="78"/>
      <c r="AS303" s="78"/>
      <c r="AT303" s="91"/>
      <c r="AU303" s="78"/>
      <c r="AV303" s="78"/>
      <c r="AW303" s="78"/>
      <c r="AX303" s="78"/>
      <c r="AY303" s="78"/>
      <c r="AZ303" s="78"/>
      <c r="BA303" s="78"/>
      <c r="BB303" s="78"/>
      <c r="BC303" s="78"/>
      <c r="BD303" s="78"/>
      <c r="BE303" s="78"/>
      <c r="BF303" s="78"/>
      <c r="BG303" s="78"/>
      <c r="BH303" s="78"/>
      <c r="BI303" s="78"/>
      <c r="BJ303" s="78"/>
      <c r="BK303" s="78"/>
      <c r="BL303" s="78"/>
      <c r="BM303" s="78"/>
      <c r="BN303" s="78"/>
      <c r="BO303" s="78"/>
      <c r="BP303" s="78"/>
      <c r="BQ303" s="78"/>
      <c r="BR303" s="78"/>
      <c r="BS303" s="78"/>
      <c r="BT303" s="78"/>
      <c r="BU303" s="78"/>
      <c r="BV303" s="78"/>
      <c r="BW303" s="78"/>
      <c r="BX303" s="78"/>
      <c r="BY303" s="78"/>
      <c r="BZ303" s="78"/>
      <c r="CA303" s="78"/>
      <c r="CB303" s="78"/>
      <c r="CC303" s="78"/>
      <c r="CD303" s="78"/>
      <c r="CE303" s="78"/>
      <c r="CF303" s="78"/>
      <c r="CG303" s="78"/>
      <c r="CH303" s="78"/>
      <c r="CI303" s="78"/>
      <c r="CJ303" s="78"/>
      <c r="CK303" s="78"/>
      <c r="CL303" s="78"/>
      <c r="CM303" s="78"/>
      <c r="CN303" s="78"/>
      <c r="CO303" s="78"/>
      <c r="CP303" s="78"/>
      <c r="CQ303" s="78"/>
      <c r="CR303" s="78"/>
      <c r="CS303" s="78"/>
      <c r="CT303" s="78"/>
      <c r="CU303" s="78"/>
      <c r="CV303" s="78"/>
      <c r="CW303" s="78"/>
      <c r="CX303" s="78"/>
      <c r="CY303" s="78"/>
      <c r="CZ303" s="78"/>
      <c r="DA303" s="78"/>
      <c r="DB303" s="78"/>
      <c r="DC303" s="78"/>
      <c r="DD303" s="78"/>
      <c r="DE303" s="78"/>
      <c r="DF303" s="78"/>
      <c r="DG303" s="78"/>
      <c r="DH303" s="78"/>
      <c r="DI303" s="78"/>
      <c r="DJ303" s="78"/>
      <c r="DK303" s="78"/>
      <c r="DL303" s="78"/>
      <c r="DM303" s="78"/>
      <c r="DN303" s="78"/>
      <c r="DO303" s="78"/>
      <c r="DP303" s="78"/>
      <c r="DQ303" s="78"/>
      <c r="DR303" s="78"/>
      <c r="DS303" s="78"/>
      <c r="DT303" s="78"/>
      <c r="DU303" s="78"/>
      <c r="DV303" s="78"/>
      <c r="DW303" s="78"/>
      <c r="DX303" s="78"/>
      <c r="DY303" s="78"/>
      <c r="DZ303" s="78"/>
      <c r="EA303" s="78"/>
      <c r="EB303" s="78"/>
      <c r="EC303" s="78"/>
      <c r="ED303" s="78"/>
      <c r="EE303" s="78"/>
      <c r="EF303" s="78"/>
      <c r="EG303" s="78"/>
      <c r="EH303" s="78"/>
      <c r="EI303" s="91"/>
      <c r="EJ303" s="91"/>
      <c r="EK303" s="91"/>
      <c r="EL303" s="91"/>
      <c r="EM303" s="91"/>
      <c r="EN303" s="91"/>
      <c r="EO303" s="91"/>
      <c r="EP303" s="78"/>
      <c r="EQ303" s="78"/>
      <c r="ER303" s="78"/>
      <c r="ES303" s="78"/>
      <c r="ET303" s="78"/>
      <c r="EU303" s="78"/>
      <c r="EV303" s="78"/>
      <c r="EW303" s="78"/>
      <c r="EX303" s="78"/>
      <c r="EY303" s="78"/>
      <c r="EZ303" s="78"/>
      <c r="FA303" s="78"/>
      <c r="FB303" s="78"/>
      <c r="FC303" s="78"/>
      <c r="FD303" s="78"/>
      <c r="FE303" s="78"/>
      <c r="FF303" s="78"/>
      <c r="FG303" s="78"/>
      <c r="FH303" s="78"/>
      <c r="FI303" s="78"/>
      <c r="FJ303" s="78"/>
      <c r="FK303" s="78"/>
    </row>
    <row r="304" spans="1:167" outlineLevel="1">
      <c r="A304" s="29" t="str">
        <f t="shared" si="29"/>
        <v>modesg_inp_nfrd_alinhamento_taxce_capex_enblng_algnd</v>
      </c>
      <c r="B304" s="67" t="s">
        <v>26</v>
      </c>
      <c r="C304" s="68" t="s">
        <v>181</v>
      </c>
      <c r="D304" s="64" t="s">
        <v>40</v>
      </c>
      <c r="E304" s="66" t="s">
        <v>215</v>
      </c>
      <c r="F304" s="64" t="s">
        <v>277</v>
      </c>
      <c r="G304" s="64" t="str">
        <f>INDEX(Auxiliar!$B$16:$B$24,MATCH(Plano_V1!H304,Auxiliar!$C$16:$C$24,0),1)</f>
        <v>1. Concluído</v>
      </c>
      <c r="H304" s="64">
        <f>VLOOKUP(A304,'Aux - pivots1'!$A:$B,2,0)</f>
        <v>1</v>
      </c>
      <c r="I304" s="84">
        <f>SUMIFS(Table1[Estimação (horas)],Table1[Tabela],Plano_V1!E304,Table1[Campo],Plano_V1!F304)</f>
        <v>0.6</v>
      </c>
      <c r="J304" s="84">
        <f t="shared" si="27"/>
        <v>7.4999999999999997E-2</v>
      </c>
      <c r="K304" s="89" t="s">
        <v>39</v>
      </c>
      <c r="L304" s="90">
        <f t="shared" si="28"/>
        <v>7.4999999999999997E-2</v>
      </c>
      <c r="M304" s="78"/>
      <c r="N304" s="78"/>
      <c r="O304" s="78"/>
      <c r="P304" s="78"/>
      <c r="Q304" s="78"/>
      <c r="R304" s="78"/>
      <c r="S304" s="78"/>
      <c r="T304" s="78"/>
      <c r="U304" s="78"/>
      <c r="V304" s="78"/>
      <c r="W304" s="78"/>
      <c r="X304" s="78"/>
      <c r="Y304" s="78"/>
      <c r="Z304" s="78"/>
      <c r="AA304" s="78"/>
      <c r="AB304" s="78"/>
      <c r="AC304" s="78"/>
      <c r="AD304" s="78"/>
      <c r="AE304" s="78"/>
      <c r="AF304" s="78"/>
      <c r="AG304" s="78"/>
      <c r="AH304" s="78"/>
      <c r="AI304" s="78"/>
      <c r="AJ304" s="78"/>
      <c r="AK304" s="78"/>
      <c r="AL304" s="78"/>
      <c r="AM304" s="78"/>
      <c r="AN304" s="78"/>
      <c r="AO304" s="78"/>
      <c r="AP304" s="78"/>
      <c r="AQ304" s="78"/>
      <c r="AR304" s="78"/>
      <c r="AS304" s="78"/>
      <c r="AT304" s="91"/>
      <c r="AU304" s="78"/>
      <c r="AV304" s="78"/>
      <c r="AW304" s="78"/>
      <c r="AX304" s="78"/>
      <c r="AY304" s="78"/>
      <c r="AZ304" s="78"/>
      <c r="BA304" s="78"/>
      <c r="BB304" s="78"/>
      <c r="BC304" s="78"/>
      <c r="BD304" s="78"/>
      <c r="BE304" s="78"/>
      <c r="BF304" s="78"/>
      <c r="BG304" s="78"/>
      <c r="BH304" s="78"/>
      <c r="BI304" s="78"/>
      <c r="BJ304" s="78"/>
      <c r="BK304" s="78"/>
      <c r="BL304" s="78"/>
      <c r="BM304" s="78"/>
      <c r="BN304" s="78"/>
      <c r="BO304" s="78"/>
      <c r="BP304" s="78"/>
      <c r="BQ304" s="78"/>
      <c r="BR304" s="78"/>
      <c r="BS304" s="78"/>
      <c r="BT304" s="78"/>
      <c r="BU304" s="78"/>
      <c r="BV304" s="78"/>
      <c r="BW304" s="78"/>
      <c r="BX304" s="78"/>
      <c r="BY304" s="78"/>
      <c r="BZ304" s="78"/>
      <c r="CA304" s="78"/>
      <c r="CB304" s="78"/>
      <c r="CC304" s="78"/>
      <c r="CD304" s="78"/>
      <c r="CE304" s="78"/>
      <c r="CF304" s="78"/>
      <c r="CG304" s="78"/>
      <c r="CH304" s="78"/>
      <c r="CI304" s="78"/>
      <c r="CJ304" s="78"/>
      <c r="CK304" s="78"/>
      <c r="CL304" s="78"/>
      <c r="CM304" s="78"/>
      <c r="CN304" s="78"/>
      <c r="CO304" s="78"/>
      <c r="CP304" s="78"/>
      <c r="CQ304" s="78"/>
      <c r="CR304" s="78"/>
      <c r="CS304" s="78"/>
      <c r="CT304" s="78"/>
      <c r="CU304" s="78"/>
      <c r="CV304" s="78"/>
      <c r="CW304" s="78"/>
      <c r="CX304" s="78"/>
      <c r="CY304" s="78"/>
      <c r="CZ304" s="78"/>
      <c r="DA304" s="78"/>
      <c r="DB304" s="78"/>
      <c r="DC304" s="78"/>
      <c r="DD304" s="78"/>
      <c r="DE304" s="78"/>
      <c r="DF304" s="78"/>
      <c r="DG304" s="78"/>
      <c r="DH304" s="78"/>
      <c r="DI304" s="78"/>
      <c r="DJ304" s="78"/>
      <c r="DK304" s="78"/>
      <c r="DL304" s="78"/>
      <c r="DM304" s="78"/>
      <c r="DN304" s="78"/>
      <c r="DO304" s="78"/>
      <c r="DP304" s="78"/>
      <c r="DQ304" s="78"/>
      <c r="DR304" s="78"/>
      <c r="DS304" s="78"/>
      <c r="DT304" s="78"/>
      <c r="DU304" s="78"/>
      <c r="DV304" s="78"/>
      <c r="DW304" s="78"/>
      <c r="DX304" s="78"/>
      <c r="DY304" s="78"/>
      <c r="DZ304" s="78"/>
      <c r="EA304" s="78"/>
      <c r="EB304" s="78"/>
      <c r="EC304" s="78"/>
      <c r="ED304" s="78"/>
      <c r="EE304" s="78"/>
      <c r="EF304" s="78"/>
      <c r="EG304" s="78"/>
      <c r="EH304" s="78"/>
      <c r="EI304" s="91"/>
      <c r="EJ304" s="91"/>
      <c r="EK304" s="91"/>
      <c r="EL304" s="91"/>
      <c r="EM304" s="91"/>
      <c r="EN304" s="91"/>
      <c r="EO304" s="91"/>
      <c r="EP304" s="78"/>
      <c r="EQ304" s="78"/>
      <c r="ER304" s="78"/>
      <c r="ES304" s="78"/>
      <c r="ET304" s="78"/>
      <c r="EU304" s="78"/>
      <c r="EV304" s="78"/>
      <c r="EW304" s="78"/>
      <c r="EX304" s="78"/>
      <c r="EY304" s="78"/>
      <c r="EZ304" s="78"/>
      <c r="FA304" s="78"/>
      <c r="FB304" s="78"/>
      <c r="FC304" s="78"/>
      <c r="FD304" s="78"/>
      <c r="FE304" s="78"/>
      <c r="FF304" s="78"/>
      <c r="FG304" s="78"/>
      <c r="FH304" s="78"/>
      <c r="FI304" s="78"/>
      <c r="FJ304" s="78"/>
      <c r="FK304" s="78"/>
    </row>
    <row r="305" spans="1:167" outlineLevel="1">
      <c r="A305" s="29" t="str">
        <f t="shared" si="29"/>
        <v>modesg_inp_nfrd_alinhamento_taxce_capex_own_prfrmnce_algnd</v>
      </c>
      <c r="B305" s="67" t="s">
        <v>26</v>
      </c>
      <c r="C305" s="68" t="s">
        <v>181</v>
      </c>
      <c r="D305" s="64" t="s">
        <v>40</v>
      </c>
      <c r="E305" s="66" t="s">
        <v>215</v>
      </c>
      <c r="F305" s="64" t="s">
        <v>278</v>
      </c>
      <c r="G305" s="64" t="str">
        <f>INDEX(Auxiliar!$B$16:$B$24,MATCH(Plano_V1!H305,Auxiliar!$C$16:$C$24,0),1)</f>
        <v>1. Concluído</v>
      </c>
      <c r="H305" s="64">
        <f>VLOOKUP(A305,'Aux - pivots1'!$A:$B,2,0)</f>
        <v>1</v>
      </c>
      <c r="I305" s="84">
        <f>SUMIFS(Table1[Estimação (horas)],Table1[Tabela],Plano_V1!E305,Table1[Campo],Plano_V1!F305)</f>
        <v>0.6</v>
      </c>
      <c r="J305" s="84">
        <f t="shared" si="27"/>
        <v>7.4999999999999997E-2</v>
      </c>
      <c r="K305" s="89" t="s">
        <v>39</v>
      </c>
      <c r="L305" s="90">
        <f t="shared" si="28"/>
        <v>7.4999999999999997E-2</v>
      </c>
      <c r="M305" s="78"/>
      <c r="N305" s="78"/>
      <c r="O305" s="78"/>
      <c r="P305" s="78"/>
      <c r="Q305" s="78"/>
      <c r="R305" s="78"/>
      <c r="S305" s="78"/>
      <c r="T305" s="78"/>
      <c r="U305" s="78"/>
      <c r="V305" s="78"/>
      <c r="W305" s="78"/>
      <c r="X305" s="78"/>
      <c r="Y305" s="78"/>
      <c r="Z305" s="78"/>
      <c r="AA305" s="78"/>
      <c r="AB305" s="78"/>
      <c r="AC305" s="78"/>
      <c r="AD305" s="78"/>
      <c r="AE305" s="78"/>
      <c r="AF305" s="78"/>
      <c r="AG305" s="78"/>
      <c r="AH305" s="78"/>
      <c r="AI305" s="78"/>
      <c r="AJ305" s="78"/>
      <c r="AK305" s="78"/>
      <c r="AL305" s="78"/>
      <c r="AM305" s="78"/>
      <c r="AN305" s="78"/>
      <c r="AO305" s="78"/>
      <c r="AP305" s="78"/>
      <c r="AQ305" s="78"/>
      <c r="AR305" s="78"/>
      <c r="AS305" s="78"/>
      <c r="AT305" s="91"/>
      <c r="AU305" s="78"/>
      <c r="AV305" s="78"/>
      <c r="AW305" s="78"/>
      <c r="AX305" s="78"/>
      <c r="AY305" s="78"/>
      <c r="AZ305" s="78"/>
      <c r="BA305" s="78"/>
      <c r="BB305" s="78"/>
      <c r="BC305" s="78"/>
      <c r="BD305" s="78"/>
      <c r="BE305" s="78"/>
      <c r="BF305" s="78"/>
      <c r="BG305" s="78"/>
      <c r="BH305" s="78"/>
      <c r="BI305" s="78"/>
      <c r="BJ305" s="78"/>
      <c r="BK305" s="78"/>
      <c r="BL305" s="78"/>
      <c r="BM305" s="78"/>
      <c r="BN305" s="78"/>
      <c r="BO305" s="78"/>
      <c r="BP305" s="78"/>
      <c r="BQ305" s="78"/>
      <c r="BR305" s="78"/>
      <c r="BS305" s="78"/>
      <c r="BT305" s="78"/>
      <c r="BU305" s="78"/>
      <c r="BV305" s="78"/>
      <c r="BW305" s="78"/>
      <c r="BX305" s="78"/>
      <c r="BY305" s="78"/>
      <c r="BZ305" s="78"/>
      <c r="CA305" s="78"/>
      <c r="CB305" s="78"/>
      <c r="CC305" s="78"/>
      <c r="CD305" s="78"/>
      <c r="CE305" s="78"/>
      <c r="CF305" s="78"/>
      <c r="CG305" s="78"/>
      <c r="CH305" s="78"/>
      <c r="CI305" s="78"/>
      <c r="CJ305" s="78"/>
      <c r="CK305" s="78"/>
      <c r="CL305" s="78"/>
      <c r="CM305" s="78"/>
      <c r="CN305" s="78"/>
      <c r="CO305" s="78"/>
      <c r="CP305" s="78"/>
      <c r="CQ305" s="78"/>
      <c r="CR305" s="78"/>
      <c r="CS305" s="78"/>
      <c r="CT305" s="78"/>
      <c r="CU305" s="78"/>
      <c r="CV305" s="78"/>
      <c r="CW305" s="78"/>
      <c r="CX305" s="78"/>
      <c r="CY305" s="78"/>
      <c r="CZ305" s="78"/>
      <c r="DA305" s="78"/>
      <c r="DB305" s="78"/>
      <c r="DC305" s="78"/>
      <c r="DD305" s="78"/>
      <c r="DE305" s="78"/>
      <c r="DF305" s="78"/>
      <c r="DG305" s="78"/>
      <c r="DH305" s="78"/>
      <c r="DI305" s="78"/>
      <c r="DJ305" s="78"/>
      <c r="DK305" s="78"/>
      <c r="DL305" s="78"/>
      <c r="DM305" s="78"/>
      <c r="DN305" s="78"/>
      <c r="DO305" s="78"/>
      <c r="DP305" s="78"/>
      <c r="DQ305" s="78"/>
      <c r="DR305" s="78"/>
      <c r="DS305" s="78"/>
      <c r="DT305" s="78"/>
      <c r="DU305" s="78"/>
      <c r="DV305" s="78"/>
      <c r="DW305" s="78"/>
      <c r="DX305" s="78"/>
      <c r="DY305" s="78"/>
      <c r="DZ305" s="78"/>
      <c r="EA305" s="78"/>
      <c r="EB305" s="78"/>
      <c r="EC305" s="78"/>
      <c r="ED305" s="78"/>
      <c r="EE305" s="78"/>
      <c r="EF305" s="78"/>
      <c r="EG305" s="78"/>
      <c r="EH305" s="78"/>
      <c r="EI305" s="91"/>
      <c r="EJ305" s="91"/>
      <c r="EK305" s="91"/>
      <c r="EL305" s="91"/>
      <c r="EM305" s="91"/>
      <c r="EN305" s="91"/>
      <c r="EO305" s="91"/>
      <c r="EP305" s="78"/>
      <c r="EQ305" s="78"/>
      <c r="ER305" s="78"/>
      <c r="ES305" s="78"/>
      <c r="ET305" s="78"/>
      <c r="EU305" s="78"/>
      <c r="EV305" s="78"/>
      <c r="EW305" s="78"/>
      <c r="EX305" s="78"/>
      <c r="EY305" s="78"/>
      <c r="EZ305" s="78"/>
      <c r="FA305" s="78"/>
      <c r="FB305" s="78"/>
      <c r="FC305" s="78"/>
      <c r="FD305" s="78"/>
      <c r="FE305" s="78"/>
      <c r="FF305" s="78"/>
      <c r="FG305" s="78"/>
      <c r="FH305" s="78"/>
      <c r="FI305" s="78"/>
      <c r="FJ305" s="78"/>
      <c r="FK305" s="78"/>
    </row>
    <row r="306" spans="1:167" outlineLevel="1">
      <c r="A306" s="29" t="str">
        <f t="shared" si="29"/>
        <v>modesg_inp_risco_fisicoref_date</v>
      </c>
      <c r="B306" s="67" t="s">
        <v>26</v>
      </c>
      <c r="C306" s="68" t="s">
        <v>181</v>
      </c>
      <c r="D306" s="64" t="s">
        <v>40</v>
      </c>
      <c r="E306" s="66" t="s">
        <v>216</v>
      </c>
      <c r="F306" s="64" t="s">
        <v>208</v>
      </c>
      <c r="G306" s="64" t="str">
        <f>INDEX(Auxiliar!$B$16:$B$24,MATCH(Plano_V1!H306,Auxiliar!$C$16:$C$24,0),1)</f>
        <v>1. Concluído</v>
      </c>
      <c r="H306" s="64">
        <f>VLOOKUP(A306,'Aux - pivots1'!$A:$B,2,0)</f>
        <v>1</v>
      </c>
      <c r="I306" s="84">
        <f>SUMIFS(Table1[Estimação (horas)],Table1[Tabela],Plano_V1!E306,Table1[Campo],Plano_V1!F306)</f>
        <v>0.5</v>
      </c>
      <c r="J306" s="84">
        <f t="shared" si="27"/>
        <v>6.25E-2</v>
      </c>
      <c r="K306" s="89" t="s">
        <v>39</v>
      </c>
      <c r="L306" s="90">
        <f t="shared" si="28"/>
        <v>6.25E-2</v>
      </c>
      <c r="M306" s="78"/>
      <c r="N306" s="78"/>
      <c r="O306" s="78"/>
      <c r="P306" s="78"/>
      <c r="Q306" s="78"/>
      <c r="R306" s="78"/>
      <c r="S306" s="78"/>
      <c r="T306" s="78"/>
      <c r="U306" s="78"/>
      <c r="V306" s="78"/>
      <c r="W306" s="78"/>
      <c r="X306" s="78"/>
      <c r="Y306" s="78"/>
      <c r="Z306" s="78"/>
      <c r="AA306" s="78"/>
      <c r="AB306" s="78"/>
      <c r="AC306" s="78"/>
      <c r="AD306" s="78"/>
      <c r="AE306" s="78"/>
      <c r="AF306" s="78"/>
      <c r="AG306" s="78"/>
      <c r="AH306" s="78"/>
      <c r="AI306" s="78"/>
      <c r="AJ306" s="78"/>
      <c r="AK306" s="78"/>
      <c r="AL306" s="78"/>
      <c r="AM306" s="78"/>
      <c r="AN306" s="78"/>
      <c r="AO306" s="78"/>
      <c r="AP306" s="78"/>
      <c r="AQ306" s="78"/>
      <c r="AR306" s="78"/>
      <c r="AS306" s="78"/>
      <c r="AT306" s="91"/>
      <c r="AU306" s="78"/>
      <c r="AV306" s="78"/>
      <c r="AW306" s="78"/>
      <c r="AX306" s="78"/>
      <c r="AY306" s="78"/>
      <c r="AZ306" s="78"/>
      <c r="BA306" s="78"/>
      <c r="BB306" s="78"/>
      <c r="BC306" s="78"/>
      <c r="BD306" s="78"/>
      <c r="BE306" s="78"/>
      <c r="BF306" s="78"/>
      <c r="BG306" s="78"/>
      <c r="BH306" s="78"/>
      <c r="BI306" s="78"/>
      <c r="BJ306" s="78"/>
      <c r="BK306" s="78"/>
      <c r="BL306" s="78"/>
      <c r="BM306" s="78"/>
      <c r="BN306" s="78"/>
      <c r="BO306" s="78"/>
      <c r="BP306" s="78"/>
      <c r="BQ306" s="78"/>
      <c r="BR306" s="78"/>
      <c r="BS306" s="78"/>
      <c r="BT306" s="78"/>
      <c r="BU306" s="78"/>
      <c r="BV306" s="78"/>
      <c r="BW306" s="78"/>
      <c r="BX306" s="78"/>
      <c r="BY306" s="78"/>
      <c r="BZ306" s="78"/>
      <c r="CA306" s="78"/>
      <c r="CB306" s="78"/>
      <c r="CC306" s="78"/>
      <c r="CD306" s="78"/>
      <c r="CE306" s="78"/>
      <c r="CF306" s="78"/>
      <c r="CG306" s="78"/>
      <c r="CH306" s="78"/>
      <c r="CI306" s="78"/>
      <c r="CJ306" s="78"/>
      <c r="CK306" s="78"/>
      <c r="CL306" s="78"/>
      <c r="CM306" s="78"/>
      <c r="CN306" s="78"/>
      <c r="CO306" s="78"/>
      <c r="CP306" s="78"/>
      <c r="CQ306" s="78"/>
      <c r="CR306" s="78"/>
      <c r="CS306" s="78"/>
      <c r="CT306" s="78"/>
      <c r="CU306" s="78"/>
      <c r="CV306" s="78"/>
      <c r="CW306" s="78"/>
      <c r="CX306" s="78"/>
      <c r="CY306" s="78"/>
      <c r="CZ306" s="78"/>
      <c r="DA306" s="78"/>
      <c r="DB306" s="78"/>
      <c r="DC306" s="78"/>
      <c r="DD306" s="78"/>
      <c r="DE306" s="78"/>
      <c r="DF306" s="78"/>
      <c r="DG306" s="78"/>
      <c r="DH306" s="78"/>
      <c r="DI306" s="78"/>
      <c r="DJ306" s="78"/>
      <c r="DK306" s="78"/>
      <c r="DL306" s="78"/>
      <c r="DM306" s="78"/>
      <c r="DN306" s="78"/>
      <c r="DO306" s="78"/>
      <c r="DP306" s="78"/>
      <c r="DQ306" s="78"/>
      <c r="DR306" s="78"/>
      <c r="DS306" s="78"/>
      <c r="DT306" s="78"/>
      <c r="DU306" s="78"/>
      <c r="DV306" s="78"/>
      <c r="DW306" s="78"/>
      <c r="DX306" s="78"/>
      <c r="DY306" s="78"/>
      <c r="DZ306" s="78"/>
      <c r="EA306" s="78"/>
      <c r="EB306" s="78"/>
      <c r="EC306" s="78"/>
      <c r="ED306" s="78"/>
      <c r="EE306" s="78"/>
      <c r="EF306" s="78"/>
      <c r="EG306" s="78"/>
      <c r="EH306" s="78"/>
      <c r="EI306" s="91"/>
      <c r="EJ306" s="91"/>
      <c r="EK306" s="91"/>
      <c r="EL306" s="91"/>
      <c r="EM306" s="91"/>
      <c r="EN306" s="91"/>
      <c r="EO306" s="91"/>
      <c r="EP306" s="78"/>
      <c r="EQ306" s="78"/>
      <c r="ER306" s="78"/>
      <c r="ES306" s="78"/>
      <c r="ET306" s="78"/>
      <c r="EU306" s="78"/>
      <c r="EV306" s="78"/>
      <c r="EW306" s="78"/>
      <c r="EX306" s="78"/>
      <c r="EY306" s="78"/>
      <c r="EZ306" s="78"/>
      <c r="FA306" s="78"/>
      <c r="FB306" s="78"/>
      <c r="FC306" s="78"/>
      <c r="FD306" s="78"/>
      <c r="FE306" s="78"/>
      <c r="FF306" s="78"/>
      <c r="FG306" s="78"/>
      <c r="FH306" s="78"/>
      <c r="FI306" s="78"/>
      <c r="FJ306" s="78"/>
      <c r="FK306" s="78"/>
    </row>
    <row r="307" spans="1:167" outlineLevel="1">
      <c r="A307" s="29" t="str">
        <f t="shared" si="29"/>
        <v>modesg_inp_risco_fisicocod_pais</v>
      </c>
      <c r="B307" s="67" t="s">
        <v>26</v>
      </c>
      <c r="C307" s="68" t="s">
        <v>181</v>
      </c>
      <c r="D307" s="64" t="s">
        <v>40</v>
      </c>
      <c r="E307" s="66" t="s">
        <v>216</v>
      </c>
      <c r="F307" s="64" t="s">
        <v>279</v>
      </c>
      <c r="G307" s="64" t="str">
        <f>INDEX(Auxiliar!$B$16:$B$24,MATCH(Plano_V1!H307,Auxiliar!$C$16:$C$24,0),1)</f>
        <v>1. Concluído</v>
      </c>
      <c r="H307" s="64">
        <f>VLOOKUP(A307,'Aux - pivots1'!$A:$B,2,0)</f>
        <v>1</v>
      </c>
      <c r="I307" s="84">
        <f>SUMIFS(Table1[Estimação (horas)],Table1[Tabela],Plano_V1!E307,Table1[Campo],Plano_V1!F307)</f>
        <v>0.6</v>
      </c>
      <c r="J307" s="84">
        <f t="shared" si="27"/>
        <v>7.4999999999999997E-2</v>
      </c>
      <c r="K307" s="89" t="s">
        <v>39</v>
      </c>
      <c r="L307" s="90">
        <f t="shared" si="28"/>
        <v>7.4999999999999997E-2</v>
      </c>
      <c r="M307" s="78"/>
      <c r="N307" s="78"/>
      <c r="O307" s="78"/>
      <c r="P307" s="78"/>
      <c r="Q307" s="78"/>
      <c r="R307" s="78"/>
      <c r="S307" s="78"/>
      <c r="T307" s="78"/>
      <c r="U307" s="78"/>
      <c r="V307" s="78"/>
      <c r="W307" s="78"/>
      <c r="X307" s="78"/>
      <c r="Y307" s="78"/>
      <c r="Z307" s="78"/>
      <c r="AA307" s="78"/>
      <c r="AB307" s="78"/>
      <c r="AC307" s="78"/>
      <c r="AD307" s="78"/>
      <c r="AE307" s="78"/>
      <c r="AF307" s="78"/>
      <c r="AG307" s="78"/>
      <c r="AH307" s="78"/>
      <c r="AI307" s="78"/>
      <c r="AJ307" s="78"/>
      <c r="AK307" s="78"/>
      <c r="AL307" s="78"/>
      <c r="AM307" s="78"/>
      <c r="AN307" s="78"/>
      <c r="AO307" s="78"/>
      <c r="AP307" s="78"/>
      <c r="AQ307" s="78"/>
      <c r="AR307" s="78"/>
      <c r="AS307" s="78"/>
      <c r="AT307" s="91"/>
      <c r="AU307" s="78"/>
      <c r="AV307" s="78"/>
      <c r="AW307" s="78"/>
      <c r="AX307" s="78"/>
      <c r="AY307" s="78"/>
      <c r="AZ307" s="78"/>
      <c r="BA307" s="78"/>
      <c r="BB307" s="78"/>
      <c r="BC307" s="78"/>
      <c r="BD307" s="78"/>
      <c r="BE307" s="78"/>
      <c r="BF307" s="78"/>
      <c r="BG307" s="78"/>
      <c r="BH307" s="78"/>
      <c r="BI307" s="78"/>
      <c r="BJ307" s="78"/>
      <c r="BK307" s="78"/>
      <c r="BL307" s="78"/>
      <c r="BM307" s="78"/>
      <c r="BN307" s="78"/>
      <c r="BO307" s="78"/>
      <c r="BP307" s="78"/>
      <c r="BQ307" s="78"/>
      <c r="BR307" s="78"/>
      <c r="BS307" s="78"/>
      <c r="BT307" s="78"/>
      <c r="BU307" s="78"/>
      <c r="BV307" s="78"/>
      <c r="BW307" s="78"/>
      <c r="BX307" s="78"/>
      <c r="BY307" s="78"/>
      <c r="BZ307" s="78"/>
      <c r="CA307" s="78"/>
      <c r="CB307" s="78"/>
      <c r="CC307" s="78"/>
      <c r="CD307" s="78"/>
      <c r="CE307" s="78"/>
      <c r="CF307" s="78"/>
      <c r="CG307" s="78"/>
      <c r="CH307" s="78"/>
      <c r="CI307" s="78"/>
      <c r="CJ307" s="78"/>
      <c r="CK307" s="78"/>
      <c r="CL307" s="78"/>
      <c r="CM307" s="78"/>
      <c r="CN307" s="78"/>
      <c r="CO307" s="78"/>
      <c r="CP307" s="78"/>
      <c r="CQ307" s="78"/>
      <c r="CR307" s="78"/>
      <c r="CS307" s="78"/>
      <c r="CT307" s="78"/>
      <c r="CU307" s="78"/>
      <c r="CV307" s="78"/>
      <c r="CW307" s="78"/>
      <c r="CX307" s="78"/>
      <c r="CY307" s="78"/>
      <c r="CZ307" s="78"/>
      <c r="DA307" s="78"/>
      <c r="DB307" s="78"/>
      <c r="DC307" s="78"/>
      <c r="DD307" s="78"/>
      <c r="DE307" s="78"/>
      <c r="DF307" s="78"/>
      <c r="DG307" s="78"/>
      <c r="DH307" s="78"/>
      <c r="DI307" s="78"/>
      <c r="DJ307" s="78"/>
      <c r="DK307" s="78"/>
      <c r="DL307" s="78"/>
      <c r="DM307" s="78"/>
      <c r="DN307" s="78"/>
      <c r="DO307" s="78"/>
      <c r="DP307" s="78"/>
      <c r="DQ307" s="78"/>
      <c r="DR307" s="78"/>
      <c r="DS307" s="78"/>
      <c r="DT307" s="78"/>
      <c r="DU307" s="78"/>
      <c r="DV307" s="78"/>
      <c r="DW307" s="78"/>
      <c r="DX307" s="78"/>
      <c r="DY307" s="78"/>
      <c r="DZ307" s="78"/>
      <c r="EA307" s="78"/>
      <c r="EB307" s="78"/>
      <c r="EC307" s="78"/>
      <c r="ED307" s="78"/>
      <c r="EE307" s="78"/>
      <c r="EF307" s="78"/>
      <c r="EG307" s="78"/>
      <c r="EH307" s="78"/>
      <c r="EI307" s="91"/>
      <c r="EJ307" s="91"/>
      <c r="EK307" s="91"/>
      <c r="EL307" s="91"/>
      <c r="EM307" s="91"/>
      <c r="EN307" s="91"/>
      <c r="EO307" s="91"/>
      <c r="EP307" s="78"/>
      <c r="EQ307" s="78"/>
      <c r="ER307" s="78"/>
      <c r="ES307" s="78"/>
      <c r="ET307" s="78"/>
      <c r="EU307" s="78"/>
      <c r="EV307" s="78"/>
      <c r="EW307" s="78"/>
      <c r="EX307" s="78"/>
      <c r="EY307" s="78"/>
      <c r="EZ307" s="78"/>
      <c r="FA307" s="78"/>
      <c r="FB307" s="78"/>
      <c r="FC307" s="78"/>
      <c r="FD307" s="78"/>
      <c r="FE307" s="78"/>
      <c r="FF307" s="78"/>
      <c r="FG307" s="78"/>
      <c r="FH307" s="78"/>
      <c r="FI307" s="78"/>
      <c r="FJ307" s="78"/>
      <c r="FK307" s="78"/>
    </row>
    <row r="308" spans="1:167" outlineLevel="1">
      <c r="A308" s="29" t="str">
        <f t="shared" si="29"/>
        <v>modesg_inp_risco_fisicocod_nutiii</v>
      </c>
      <c r="B308" s="67" t="s">
        <v>26</v>
      </c>
      <c r="C308" s="68" t="s">
        <v>181</v>
      </c>
      <c r="D308" s="64" t="s">
        <v>40</v>
      </c>
      <c r="E308" s="66" t="s">
        <v>216</v>
      </c>
      <c r="F308" s="64" t="s">
        <v>280</v>
      </c>
      <c r="G308" s="64" t="str">
        <f>INDEX(Auxiliar!$B$16:$B$24,MATCH(Plano_V1!H308,Auxiliar!$C$16:$C$24,0),1)</f>
        <v>1. Concluído</v>
      </c>
      <c r="H308" s="64">
        <f>VLOOKUP(A308,'Aux - pivots1'!$A:$B,2,0)</f>
        <v>1</v>
      </c>
      <c r="I308" s="84">
        <f>SUMIFS(Table1[Estimação (horas)],Table1[Tabela],Plano_V1!E308,Table1[Campo],Plano_V1!F308)</f>
        <v>0.5</v>
      </c>
      <c r="J308" s="84">
        <f t="shared" si="27"/>
        <v>6.25E-2</v>
      </c>
      <c r="K308" s="89" t="s">
        <v>39</v>
      </c>
      <c r="L308" s="90">
        <f t="shared" si="28"/>
        <v>6.25E-2</v>
      </c>
      <c r="M308" s="78"/>
      <c r="N308" s="78"/>
      <c r="O308" s="78"/>
      <c r="P308" s="78"/>
      <c r="Q308" s="78"/>
      <c r="R308" s="78"/>
      <c r="S308" s="78"/>
      <c r="T308" s="78"/>
      <c r="U308" s="78"/>
      <c r="V308" s="78"/>
      <c r="W308" s="78"/>
      <c r="X308" s="78"/>
      <c r="Y308" s="78"/>
      <c r="Z308" s="78"/>
      <c r="AA308" s="78"/>
      <c r="AB308" s="78"/>
      <c r="AC308" s="78"/>
      <c r="AD308" s="78"/>
      <c r="AE308" s="78"/>
      <c r="AF308" s="78"/>
      <c r="AG308" s="78"/>
      <c r="AH308" s="78"/>
      <c r="AI308" s="78"/>
      <c r="AJ308" s="78"/>
      <c r="AK308" s="78"/>
      <c r="AL308" s="78"/>
      <c r="AM308" s="78"/>
      <c r="AN308" s="78"/>
      <c r="AO308" s="78"/>
      <c r="AP308" s="78"/>
      <c r="AQ308" s="78"/>
      <c r="AR308" s="78"/>
      <c r="AS308" s="78"/>
      <c r="AT308" s="91"/>
      <c r="AU308" s="78"/>
      <c r="AV308" s="78"/>
      <c r="AW308" s="78"/>
      <c r="AX308" s="78"/>
      <c r="AY308" s="78"/>
      <c r="AZ308" s="78"/>
      <c r="BA308" s="78"/>
      <c r="BB308" s="78"/>
      <c r="BC308" s="78"/>
      <c r="BD308" s="78"/>
      <c r="BE308" s="78"/>
      <c r="BF308" s="78"/>
      <c r="BG308" s="78"/>
      <c r="BH308" s="78"/>
      <c r="BI308" s="78"/>
      <c r="BJ308" s="78"/>
      <c r="BK308" s="78"/>
      <c r="BL308" s="78"/>
      <c r="BM308" s="78"/>
      <c r="BN308" s="78"/>
      <c r="BO308" s="78"/>
      <c r="BP308" s="78"/>
      <c r="BQ308" s="78"/>
      <c r="BR308" s="78"/>
      <c r="BS308" s="78"/>
      <c r="BT308" s="78"/>
      <c r="BU308" s="78"/>
      <c r="BV308" s="78"/>
      <c r="BW308" s="78"/>
      <c r="BX308" s="78"/>
      <c r="BY308" s="78"/>
      <c r="BZ308" s="78"/>
      <c r="CA308" s="78"/>
      <c r="CB308" s="78"/>
      <c r="CC308" s="78"/>
      <c r="CD308" s="78"/>
      <c r="CE308" s="78"/>
      <c r="CF308" s="78"/>
      <c r="CG308" s="78"/>
      <c r="CH308" s="78"/>
      <c r="CI308" s="78"/>
      <c r="CJ308" s="78"/>
      <c r="CK308" s="78"/>
      <c r="CL308" s="78"/>
      <c r="CM308" s="78"/>
      <c r="CN308" s="78"/>
      <c r="CO308" s="78"/>
      <c r="CP308" s="78"/>
      <c r="CQ308" s="78"/>
      <c r="CR308" s="78"/>
      <c r="CS308" s="78"/>
      <c r="CT308" s="78"/>
      <c r="CU308" s="78"/>
      <c r="CV308" s="78"/>
      <c r="CW308" s="78"/>
      <c r="CX308" s="78"/>
      <c r="CY308" s="78"/>
      <c r="CZ308" s="78"/>
      <c r="DA308" s="78"/>
      <c r="DB308" s="78"/>
      <c r="DC308" s="78"/>
      <c r="DD308" s="78"/>
      <c r="DE308" s="78"/>
      <c r="DF308" s="78"/>
      <c r="DG308" s="78"/>
      <c r="DH308" s="78"/>
      <c r="DI308" s="78"/>
      <c r="DJ308" s="78"/>
      <c r="DK308" s="78"/>
      <c r="DL308" s="78"/>
      <c r="DM308" s="78"/>
      <c r="DN308" s="78"/>
      <c r="DO308" s="78"/>
      <c r="DP308" s="78"/>
      <c r="DQ308" s="78"/>
      <c r="DR308" s="78"/>
      <c r="DS308" s="78"/>
      <c r="DT308" s="78"/>
      <c r="DU308" s="78"/>
      <c r="DV308" s="78"/>
      <c r="DW308" s="78"/>
      <c r="DX308" s="78"/>
      <c r="DY308" s="78"/>
      <c r="DZ308" s="78"/>
      <c r="EA308" s="78"/>
      <c r="EB308" s="78"/>
      <c r="EC308" s="78"/>
      <c r="ED308" s="78"/>
      <c r="EE308" s="78"/>
      <c r="EF308" s="78"/>
      <c r="EG308" s="78"/>
      <c r="EH308" s="78"/>
      <c r="EI308" s="91"/>
      <c r="EJ308" s="91"/>
      <c r="EK308" s="91"/>
      <c r="EL308" s="91"/>
      <c r="EM308" s="91"/>
      <c r="EN308" s="91"/>
      <c r="EO308" s="91"/>
      <c r="EP308" s="78"/>
      <c r="EQ308" s="78"/>
      <c r="ER308" s="78"/>
      <c r="ES308" s="78"/>
      <c r="ET308" s="78"/>
      <c r="EU308" s="78"/>
      <c r="EV308" s="78"/>
      <c r="EW308" s="78"/>
      <c r="EX308" s="78"/>
      <c r="EY308" s="78"/>
      <c r="EZ308" s="78"/>
      <c r="FA308" s="78"/>
      <c r="FB308" s="78"/>
      <c r="FC308" s="78"/>
      <c r="FD308" s="78"/>
      <c r="FE308" s="78"/>
      <c r="FF308" s="78"/>
      <c r="FG308" s="78"/>
      <c r="FH308" s="78"/>
      <c r="FI308" s="78"/>
      <c r="FJ308" s="78"/>
      <c r="FK308" s="78"/>
    </row>
    <row r="309" spans="1:167" outlineLevel="1">
      <c r="A309" s="29" t="str">
        <f t="shared" si="29"/>
        <v>modesg_inp_risco_fisicocod_nace_esg</v>
      </c>
      <c r="B309" s="67" t="s">
        <v>26</v>
      </c>
      <c r="C309" s="68" t="s">
        <v>181</v>
      </c>
      <c r="D309" s="64" t="s">
        <v>40</v>
      </c>
      <c r="E309" s="66" t="s">
        <v>216</v>
      </c>
      <c r="F309" s="64" t="s">
        <v>281</v>
      </c>
      <c r="G309" s="64" t="str">
        <f>INDEX(Auxiliar!$B$16:$B$24,MATCH(Plano_V1!H309,Auxiliar!$C$16:$C$24,0),1)</f>
        <v>1. Concluído</v>
      </c>
      <c r="H309" s="64">
        <f>VLOOKUP(A309,'Aux - pivots1'!$A:$B,2,0)</f>
        <v>1</v>
      </c>
      <c r="I309" s="84">
        <f>SUMIFS(Table1[Estimação (horas)],Table1[Tabela],Plano_V1!E309,Table1[Campo],Plano_V1!F309)</f>
        <v>0.6</v>
      </c>
      <c r="J309" s="84">
        <f t="shared" si="27"/>
        <v>7.4999999999999997E-2</v>
      </c>
      <c r="K309" s="89" t="s">
        <v>39</v>
      </c>
      <c r="L309" s="90">
        <f t="shared" si="28"/>
        <v>7.4999999999999997E-2</v>
      </c>
      <c r="M309" s="78"/>
      <c r="N309" s="78"/>
      <c r="O309" s="78"/>
      <c r="P309" s="78"/>
      <c r="Q309" s="78"/>
      <c r="R309" s="78"/>
      <c r="S309" s="78"/>
      <c r="T309" s="78"/>
      <c r="U309" s="78"/>
      <c r="V309" s="78"/>
      <c r="W309" s="78"/>
      <c r="X309" s="78"/>
      <c r="Y309" s="78"/>
      <c r="Z309" s="78"/>
      <c r="AA309" s="78"/>
      <c r="AB309" s="78"/>
      <c r="AC309" s="78"/>
      <c r="AD309" s="78"/>
      <c r="AE309" s="78"/>
      <c r="AF309" s="78"/>
      <c r="AG309" s="78"/>
      <c r="AH309" s="78"/>
      <c r="AI309" s="78"/>
      <c r="AJ309" s="78"/>
      <c r="AK309" s="78"/>
      <c r="AL309" s="78"/>
      <c r="AM309" s="78"/>
      <c r="AN309" s="78"/>
      <c r="AO309" s="78"/>
      <c r="AP309" s="78"/>
      <c r="AQ309" s="78"/>
      <c r="AR309" s="78"/>
      <c r="AS309" s="78"/>
      <c r="AT309" s="91"/>
      <c r="AU309" s="78"/>
      <c r="AV309" s="78"/>
      <c r="AW309" s="78"/>
      <c r="AX309" s="78"/>
      <c r="AY309" s="78"/>
      <c r="AZ309" s="78"/>
      <c r="BA309" s="78"/>
      <c r="BB309" s="78"/>
      <c r="BC309" s="78"/>
      <c r="BD309" s="78"/>
      <c r="BE309" s="78"/>
      <c r="BF309" s="78"/>
      <c r="BG309" s="78"/>
      <c r="BH309" s="78"/>
      <c r="BI309" s="78"/>
      <c r="BJ309" s="78"/>
      <c r="BK309" s="78"/>
      <c r="BL309" s="78"/>
      <c r="BM309" s="78"/>
      <c r="BN309" s="78"/>
      <c r="BO309" s="78"/>
      <c r="BP309" s="78"/>
      <c r="BQ309" s="78"/>
      <c r="BR309" s="78"/>
      <c r="BS309" s="78"/>
      <c r="BT309" s="78"/>
      <c r="BU309" s="78"/>
      <c r="BV309" s="78"/>
      <c r="BW309" s="78"/>
      <c r="BX309" s="78"/>
      <c r="BY309" s="78"/>
      <c r="BZ309" s="78"/>
      <c r="CA309" s="78"/>
      <c r="CB309" s="78"/>
      <c r="CC309" s="78"/>
      <c r="CD309" s="78"/>
      <c r="CE309" s="78"/>
      <c r="CF309" s="78"/>
      <c r="CG309" s="78"/>
      <c r="CH309" s="78"/>
      <c r="CI309" s="78"/>
      <c r="CJ309" s="78"/>
      <c r="CK309" s="78"/>
      <c r="CL309" s="78"/>
      <c r="CM309" s="78"/>
      <c r="CN309" s="78"/>
      <c r="CO309" s="78"/>
      <c r="CP309" s="78"/>
      <c r="CQ309" s="78"/>
      <c r="CR309" s="78"/>
      <c r="CS309" s="78"/>
      <c r="CT309" s="78"/>
      <c r="CU309" s="78"/>
      <c r="CV309" s="78"/>
      <c r="CW309" s="78"/>
      <c r="CX309" s="78"/>
      <c r="CY309" s="78"/>
      <c r="CZ309" s="78"/>
      <c r="DA309" s="78"/>
      <c r="DB309" s="78"/>
      <c r="DC309" s="78"/>
      <c r="DD309" s="78"/>
      <c r="DE309" s="78"/>
      <c r="DF309" s="78"/>
      <c r="DG309" s="78"/>
      <c r="DH309" s="78"/>
      <c r="DI309" s="78"/>
      <c r="DJ309" s="78"/>
      <c r="DK309" s="78"/>
      <c r="DL309" s="78"/>
      <c r="DM309" s="78"/>
      <c r="DN309" s="78"/>
      <c r="DO309" s="78"/>
      <c r="DP309" s="78"/>
      <c r="DQ309" s="78"/>
      <c r="DR309" s="78"/>
      <c r="DS309" s="78"/>
      <c r="DT309" s="78"/>
      <c r="DU309" s="78"/>
      <c r="DV309" s="78"/>
      <c r="DW309" s="78"/>
      <c r="DX309" s="78"/>
      <c r="DY309" s="78"/>
      <c r="DZ309" s="78"/>
      <c r="EA309" s="78"/>
      <c r="EB309" s="78"/>
      <c r="EC309" s="78"/>
      <c r="ED309" s="78"/>
      <c r="EE309" s="78"/>
      <c r="EF309" s="78"/>
      <c r="EG309" s="78"/>
      <c r="EH309" s="78"/>
      <c r="EI309" s="91"/>
      <c r="EJ309" s="91"/>
      <c r="EK309" s="91"/>
      <c r="EL309" s="91"/>
      <c r="EM309" s="91"/>
      <c r="EN309" s="91"/>
      <c r="EO309" s="91"/>
      <c r="EP309" s="78"/>
      <c r="EQ309" s="78"/>
      <c r="ER309" s="78"/>
      <c r="ES309" s="78"/>
      <c r="ET309" s="78"/>
      <c r="EU309" s="78"/>
      <c r="EV309" s="78"/>
      <c r="EW309" s="78"/>
      <c r="EX309" s="78"/>
      <c r="EY309" s="78"/>
      <c r="EZ309" s="78"/>
      <c r="FA309" s="78"/>
      <c r="FB309" s="78"/>
      <c r="FC309" s="78"/>
      <c r="FD309" s="78"/>
      <c r="FE309" s="78"/>
      <c r="FF309" s="78"/>
      <c r="FG309" s="78"/>
      <c r="FH309" s="78"/>
      <c r="FI309" s="78"/>
      <c r="FJ309" s="78"/>
      <c r="FK309" s="78"/>
    </row>
    <row r="310" spans="1:167" outlineLevel="1">
      <c r="A310" s="29" t="str">
        <f t="shared" si="29"/>
        <v>modesg_inp_risco_fisicoflg_rsc_fsc_agd</v>
      </c>
      <c r="B310" s="67" t="s">
        <v>26</v>
      </c>
      <c r="C310" s="68" t="s">
        <v>181</v>
      </c>
      <c r="D310" s="64" t="s">
        <v>40</v>
      </c>
      <c r="E310" s="66" t="s">
        <v>216</v>
      </c>
      <c r="F310" s="64" t="s">
        <v>282</v>
      </c>
      <c r="G310" s="64" t="str">
        <f>INDEX(Auxiliar!$B$16:$B$24,MATCH(Plano_V1!H310,Auxiliar!$C$16:$C$24,0),1)</f>
        <v>1. Concluído</v>
      </c>
      <c r="H310" s="64">
        <f>VLOOKUP(A310,'Aux - pivots1'!$A:$B,2,0)</f>
        <v>1</v>
      </c>
      <c r="I310" s="84">
        <f>SUMIFS(Table1[Estimação (horas)],Table1[Tabela],Plano_V1!E310,Table1[Campo],Plano_V1!F310)</f>
        <v>0.6</v>
      </c>
      <c r="J310" s="84">
        <f t="shared" si="27"/>
        <v>7.4999999999999997E-2</v>
      </c>
      <c r="K310" s="89" t="s">
        <v>39</v>
      </c>
      <c r="L310" s="90">
        <f t="shared" si="28"/>
        <v>7.4999999999999997E-2</v>
      </c>
      <c r="M310" s="78"/>
      <c r="N310" s="78"/>
      <c r="O310" s="78"/>
      <c r="P310" s="78"/>
      <c r="Q310" s="78"/>
      <c r="R310" s="78"/>
      <c r="S310" s="78"/>
      <c r="T310" s="78"/>
      <c r="U310" s="78"/>
      <c r="V310" s="78"/>
      <c r="W310" s="78"/>
      <c r="X310" s="78"/>
      <c r="Y310" s="78"/>
      <c r="Z310" s="78"/>
      <c r="AA310" s="78"/>
      <c r="AB310" s="78"/>
      <c r="AC310" s="78"/>
      <c r="AD310" s="78"/>
      <c r="AE310" s="78"/>
      <c r="AF310" s="78"/>
      <c r="AG310" s="78"/>
      <c r="AH310" s="78"/>
      <c r="AI310" s="78"/>
      <c r="AJ310" s="78"/>
      <c r="AK310" s="78"/>
      <c r="AL310" s="78"/>
      <c r="AM310" s="78"/>
      <c r="AN310" s="78"/>
      <c r="AO310" s="78"/>
      <c r="AP310" s="78"/>
      <c r="AQ310" s="78"/>
      <c r="AR310" s="78"/>
      <c r="AS310" s="78"/>
      <c r="AT310" s="91"/>
      <c r="AU310" s="78"/>
      <c r="AV310" s="78"/>
      <c r="AW310" s="78"/>
      <c r="AX310" s="78"/>
      <c r="AY310" s="78"/>
      <c r="AZ310" s="78"/>
      <c r="BA310" s="78"/>
      <c r="BB310" s="78"/>
      <c r="BC310" s="78"/>
      <c r="BD310" s="78"/>
      <c r="BE310" s="78"/>
      <c r="BF310" s="78"/>
      <c r="BG310" s="78"/>
      <c r="BH310" s="78"/>
      <c r="BI310" s="78"/>
      <c r="BJ310" s="78"/>
      <c r="BK310" s="78"/>
      <c r="BL310" s="78"/>
      <c r="BM310" s="78"/>
      <c r="BN310" s="78"/>
      <c r="BO310" s="78"/>
      <c r="BP310" s="78"/>
      <c r="BQ310" s="78"/>
      <c r="BR310" s="78"/>
      <c r="BS310" s="78"/>
      <c r="BT310" s="78"/>
      <c r="BU310" s="78"/>
      <c r="BV310" s="78"/>
      <c r="BW310" s="78"/>
      <c r="BX310" s="78"/>
      <c r="BY310" s="78"/>
      <c r="BZ310" s="78"/>
      <c r="CA310" s="78"/>
      <c r="CB310" s="78"/>
      <c r="CC310" s="78"/>
      <c r="CD310" s="78"/>
      <c r="CE310" s="78"/>
      <c r="CF310" s="78"/>
      <c r="CG310" s="78"/>
      <c r="CH310" s="78"/>
      <c r="CI310" s="78"/>
      <c r="CJ310" s="78"/>
      <c r="CK310" s="78"/>
      <c r="CL310" s="78"/>
      <c r="CM310" s="78"/>
      <c r="CN310" s="78"/>
      <c r="CO310" s="78"/>
      <c r="CP310" s="78"/>
      <c r="CQ310" s="78"/>
      <c r="CR310" s="78"/>
      <c r="CS310" s="78"/>
      <c r="CT310" s="78"/>
      <c r="CU310" s="78"/>
      <c r="CV310" s="78"/>
      <c r="CW310" s="78"/>
      <c r="CX310" s="78"/>
      <c r="CY310" s="78"/>
      <c r="CZ310" s="78"/>
      <c r="DA310" s="78"/>
      <c r="DB310" s="78"/>
      <c r="DC310" s="78"/>
      <c r="DD310" s="78"/>
      <c r="DE310" s="78"/>
      <c r="DF310" s="78"/>
      <c r="DG310" s="78"/>
      <c r="DH310" s="78"/>
      <c r="DI310" s="78"/>
      <c r="DJ310" s="78"/>
      <c r="DK310" s="78"/>
      <c r="DL310" s="78"/>
      <c r="DM310" s="78"/>
      <c r="DN310" s="78"/>
      <c r="DO310" s="78"/>
      <c r="DP310" s="78"/>
      <c r="DQ310" s="78"/>
      <c r="DR310" s="78"/>
      <c r="DS310" s="78"/>
      <c r="DT310" s="78"/>
      <c r="DU310" s="78"/>
      <c r="DV310" s="78"/>
      <c r="DW310" s="78"/>
      <c r="DX310" s="78"/>
      <c r="DY310" s="78"/>
      <c r="DZ310" s="78"/>
      <c r="EA310" s="78"/>
      <c r="EB310" s="78"/>
      <c r="EC310" s="78"/>
      <c r="ED310" s="78"/>
      <c r="EE310" s="78"/>
      <c r="EF310" s="78"/>
      <c r="EG310" s="78"/>
      <c r="EH310" s="78"/>
      <c r="EI310" s="91"/>
      <c r="EJ310" s="91"/>
      <c r="EK310" s="91"/>
      <c r="EL310" s="91"/>
      <c r="EM310" s="91"/>
      <c r="EN310" s="91"/>
      <c r="EO310" s="91"/>
      <c r="EP310" s="78"/>
      <c r="EQ310" s="78"/>
      <c r="ER310" s="78"/>
      <c r="ES310" s="78"/>
      <c r="ET310" s="78"/>
      <c r="EU310" s="78"/>
      <c r="EV310" s="78"/>
      <c r="EW310" s="78"/>
      <c r="EX310" s="78"/>
      <c r="EY310" s="78"/>
      <c r="EZ310" s="78"/>
      <c r="FA310" s="78"/>
      <c r="FB310" s="78"/>
      <c r="FC310" s="78"/>
      <c r="FD310" s="78"/>
      <c r="FE310" s="78"/>
      <c r="FF310" s="78"/>
      <c r="FG310" s="78"/>
      <c r="FH310" s="78"/>
      <c r="FI310" s="78"/>
      <c r="FJ310" s="78"/>
      <c r="FK310" s="78"/>
    </row>
    <row r="311" spans="1:167" outlineLevel="1">
      <c r="A311" s="29" t="str">
        <f t="shared" si="29"/>
        <v>modesg_inp_risco_fisicoflg_rsc_fsc_crnc</v>
      </c>
      <c r="B311" s="67" t="s">
        <v>26</v>
      </c>
      <c r="C311" s="68" t="s">
        <v>181</v>
      </c>
      <c r="D311" s="64" t="s">
        <v>40</v>
      </c>
      <c r="E311" s="66" t="s">
        <v>216</v>
      </c>
      <c r="F311" s="64" t="s">
        <v>283</v>
      </c>
      <c r="G311" s="64" t="str">
        <f>INDEX(Auxiliar!$B$16:$B$24,MATCH(Plano_V1!H311,Auxiliar!$C$16:$C$24,0),1)</f>
        <v>1. Concluído</v>
      </c>
      <c r="H311" s="64">
        <f>VLOOKUP(A311,'Aux - pivots1'!$A:$B,2,0)</f>
        <v>1</v>
      </c>
      <c r="I311" s="84">
        <f>SUMIFS(Table1[Estimação (horas)],Table1[Tabela],Plano_V1!E311,Table1[Campo],Plano_V1!F311)</f>
        <v>0.6</v>
      </c>
      <c r="J311" s="84">
        <f t="shared" si="27"/>
        <v>7.4999999999999997E-2</v>
      </c>
      <c r="K311" s="89" t="s">
        <v>39</v>
      </c>
      <c r="L311" s="90">
        <f t="shared" si="28"/>
        <v>7.4999999999999997E-2</v>
      </c>
      <c r="M311" s="78"/>
      <c r="N311" s="78"/>
      <c r="O311" s="78"/>
      <c r="P311" s="78"/>
      <c r="Q311" s="78"/>
      <c r="R311" s="78"/>
      <c r="S311" s="78"/>
      <c r="T311" s="78"/>
      <c r="U311" s="78"/>
      <c r="V311" s="78"/>
      <c r="W311" s="78"/>
      <c r="X311" s="78"/>
      <c r="Y311" s="78"/>
      <c r="Z311" s="78"/>
      <c r="AA311" s="78"/>
      <c r="AB311" s="78"/>
      <c r="AC311" s="78"/>
      <c r="AD311" s="78"/>
      <c r="AE311" s="78"/>
      <c r="AF311" s="78"/>
      <c r="AG311" s="78"/>
      <c r="AH311" s="78"/>
      <c r="AI311" s="78"/>
      <c r="AJ311" s="78"/>
      <c r="AK311" s="78"/>
      <c r="AL311" s="78"/>
      <c r="AM311" s="78"/>
      <c r="AN311" s="78"/>
      <c r="AO311" s="78"/>
      <c r="AP311" s="78"/>
      <c r="AQ311" s="78"/>
      <c r="AR311" s="78"/>
      <c r="AS311" s="78"/>
      <c r="AT311" s="91"/>
      <c r="AU311" s="78"/>
      <c r="AV311" s="78"/>
      <c r="AW311" s="78"/>
      <c r="AX311" s="78"/>
      <c r="AY311" s="78"/>
      <c r="AZ311" s="78"/>
      <c r="BA311" s="78"/>
      <c r="BB311" s="78"/>
      <c r="BC311" s="78"/>
      <c r="BD311" s="78"/>
      <c r="BE311" s="78"/>
      <c r="BF311" s="78"/>
      <c r="BG311" s="78"/>
      <c r="BH311" s="78"/>
      <c r="BI311" s="78"/>
      <c r="BJ311" s="78"/>
      <c r="BK311" s="78"/>
      <c r="BL311" s="78"/>
      <c r="BM311" s="78"/>
      <c r="BN311" s="78"/>
      <c r="BO311" s="78"/>
      <c r="BP311" s="78"/>
      <c r="BQ311" s="78"/>
      <c r="BR311" s="78"/>
      <c r="BS311" s="78"/>
      <c r="BT311" s="78"/>
      <c r="BU311" s="78"/>
      <c r="BV311" s="78"/>
      <c r="BW311" s="78"/>
      <c r="BX311" s="78"/>
      <c r="BY311" s="78"/>
      <c r="BZ311" s="78"/>
      <c r="CA311" s="78"/>
      <c r="CB311" s="78"/>
      <c r="CC311" s="78"/>
      <c r="CD311" s="78"/>
      <c r="CE311" s="78"/>
      <c r="CF311" s="78"/>
      <c r="CG311" s="78"/>
      <c r="CH311" s="78"/>
      <c r="CI311" s="78"/>
      <c r="CJ311" s="78"/>
      <c r="CK311" s="78"/>
      <c r="CL311" s="78"/>
      <c r="CM311" s="78"/>
      <c r="CN311" s="78"/>
      <c r="CO311" s="78"/>
      <c r="CP311" s="78"/>
      <c r="CQ311" s="78"/>
      <c r="CR311" s="78"/>
      <c r="CS311" s="78"/>
      <c r="CT311" s="78"/>
      <c r="CU311" s="78"/>
      <c r="CV311" s="78"/>
      <c r="CW311" s="78"/>
      <c r="CX311" s="78"/>
      <c r="CY311" s="78"/>
      <c r="CZ311" s="78"/>
      <c r="DA311" s="78"/>
      <c r="DB311" s="78"/>
      <c r="DC311" s="78"/>
      <c r="DD311" s="78"/>
      <c r="DE311" s="78"/>
      <c r="DF311" s="78"/>
      <c r="DG311" s="78"/>
      <c r="DH311" s="78"/>
      <c r="DI311" s="78"/>
      <c r="DJ311" s="78"/>
      <c r="DK311" s="78"/>
      <c r="DL311" s="78"/>
      <c r="DM311" s="78"/>
      <c r="DN311" s="78"/>
      <c r="DO311" s="78"/>
      <c r="DP311" s="78"/>
      <c r="DQ311" s="78"/>
      <c r="DR311" s="78"/>
      <c r="DS311" s="78"/>
      <c r="DT311" s="78"/>
      <c r="DU311" s="78"/>
      <c r="DV311" s="78"/>
      <c r="DW311" s="78"/>
      <c r="DX311" s="78"/>
      <c r="DY311" s="78"/>
      <c r="DZ311" s="78"/>
      <c r="EA311" s="78"/>
      <c r="EB311" s="78"/>
      <c r="EC311" s="78"/>
      <c r="ED311" s="78"/>
      <c r="EE311" s="78"/>
      <c r="EF311" s="78"/>
      <c r="EG311" s="78"/>
      <c r="EH311" s="78"/>
      <c r="EI311" s="91"/>
      <c r="EJ311" s="91"/>
      <c r="EK311" s="91"/>
      <c r="EL311" s="91"/>
      <c r="EM311" s="91"/>
      <c r="EN311" s="91"/>
      <c r="EO311" s="91"/>
      <c r="EP311" s="78"/>
      <c r="EQ311" s="78"/>
      <c r="ER311" s="78"/>
      <c r="ES311" s="78"/>
      <c r="ET311" s="78"/>
      <c r="EU311" s="78"/>
      <c r="EV311" s="78"/>
      <c r="EW311" s="78"/>
      <c r="EX311" s="78"/>
      <c r="EY311" s="78"/>
      <c r="EZ311" s="78"/>
      <c r="FA311" s="78"/>
      <c r="FB311" s="78"/>
      <c r="FC311" s="78"/>
      <c r="FD311" s="78"/>
      <c r="FE311" s="78"/>
      <c r="FF311" s="78"/>
      <c r="FG311" s="78"/>
      <c r="FH311" s="78"/>
      <c r="FI311" s="78"/>
      <c r="FJ311" s="78"/>
      <c r="FK311" s="78"/>
    </row>
    <row r="312" spans="1:167" outlineLevel="1">
      <c r="A312" s="29" t="str">
        <f t="shared" si="29"/>
        <v>modesg_inp_emss_scibref_date</v>
      </c>
      <c r="B312" s="67" t="s">
        <v>26</v>
      </c>
      <c r="C312" s="68" t="s">
        <v>181</v>
      </c>
      <c r="D312" s="64" t="s">
        <v>40</v>
      </c>
      <c r="E312" s="66" t="s">
        <v>217</v>
      </c>
      <c r="F312" s="64" t="s">
        <v>208</v>
      </c>
      <c r="G312" s="64" t="str">
        <f>INDEX(Auxiliar!$B$16:$B$24,MATCH(Plano_V1!H312,Auxiliar!$C$16:$C$24,0),1)</f>
        <v>1. Concluído</v>
      </c>
      <c r="H312" s="64">
        <f>VLOOKUP(A312,'Aux - pivots1'!$A:$B,2,0)</f>
        <v>1</v>
      </c>
      <c r="I312" s="84">
        <f>SUMIFS(Table1[Estimação (horas)],Table1[Tabela],Plano_V1!E312,Table1[Campo],Plano_V1!F312)</f>
        <v>0.5</v>
      </c>
      <c r="J312" s="84">
        <f t="shared" si="27"/>
        <v>6.25E-2</v>
      </c>
      <c r="K312" s="89" t="s">
        <v>39</v>
      </c>
      <c r="L312" s="90">
        <f t="shared" si="28"/>
        <v>6.25E-2</v>
      </c>
      <c r="M312" s="78"/>
      <c r="N312" s="78"/>
      <c r="O312" s="78"/>
      <c r="P312" s="78"/>
      <c r="Q312" s="78"/>
      <c r="R312" s="78"/>
      <c r="S312" s="78"/>
      <c r="T312" s="78"/>
      <c r="U312" s="78"/>
      <c r="V312" s="78"/>
      <c r="W312" s="78"/>
      <c r="X312" s="78"/>
      <c r="Y312" s="78"/>
      <c r="Z312" s="78"/>
      <c r="AA312" s="78"/>
      <c r="AB312" s="78"/>
      <c r="AC312" s="78"/>
      <c r="AD312" s="78"/>
      <c r="AE312" s="78"/>
      <c r="AF312" s="78"/>
      <c r="AG312" s="78"/>
      <c r="AH312" s="78"/>
      <c r="AI312" s="78"/>
      <c r="AJ312" s="78"/>
      <c r="AK312" s="78"/>
      <c r="AL312" s="78"/>
      <c r="AM312" s="78"/>
      <c r="AN312" s="78"/>
      <c r="AO312" s="78"/>
      <c r="AP312" s="78"/>
      <c r="AQ312" s="78"/>
      <c r="AR312" s="78"/>
      <c r="AS312" s="78"/>
      <c r="AT312" s="91"/>
      <c r="AU312" s="78"/>
      <c r="AV312" s="78"/>
      <c r="AW312" s="78"/>
      <c r="AX312" s="78"/>
      <c r="AY312" s="78"/>
      <c r="AZ312" s="78"/>
      <c r="BA312" s="78"/>
      <c r="BB312" s="78"/>
      <c r="BC312" s="78"/>
      <c r="BD312" s="78"/>
      <c r="BE312" s="78"/>
      <c r="BF312" s="78"/>
      <c r="BG312" s="78"/>
      <c r="BH312" s="78"/>
      <c r="BI312" s="78"/>
      <c r="BJ312" s="78"/>
      <c r="BK312" s="78"/>
      <c r="BL312" s="78"/>
      <c r="BM312" s="78"/>
      <c r="BN312" s="78"/>
      <c r="BO312" s="78"/>
      <c r="BP312" s="78"/>
      <c r="BQ312" s="78"/>
      <c r="BR312" s="78"/>
      <c r="BS312" s="78"/>
      <c r="BT312" s="78"/>
      <c r="BU312" s="78"/>
      <c r="BV312" s="78"/>
      <c r="BW312" s="78"/>
      <c r="BX312" s="78"/>
      <c r="BY312" s="78"/>
      <c r="BZ312" s="78"/>
      <c r="CA312" s="78"/>
      <c r="CB312" s="78"/>
      <c r="CC312" s="78"/>
      <c r="CD312" s="78"/>
      <c r="CE312" s="78"/>
      <c r="CF312" s="78"/>
      <c r="CG312" s="78"/>
      <c r="CH312" s="78"/>
      <c r="CI312" s="78"/>
      <c r="CJ312" s="78"/>
      <c r="CK312" s="78"/>
      <c r="CL312" s="78"/>
      <c r="CM312" s="78"/>
      <c r="CN312" s="78"/>
      <c r="CO312" s="78"/>
      <c r="CP312" s="78"/>
      <c r="CQ312" s="78"/>
      <c r="CR312" s="78"/>
      <c r="CS312" s="78"/>
      <c r="CT312" s="78"/>
      <c r="CU312" s="78"/>
      <c r="CV312" s="78"/>
      <c r="CW312" s="78"/>
      <c r="CX312" s="78"/>
      <c r="CY312" s="78"/>
      <c r="CZ312" s="78"/>
      <c r="DA312" s="78"/>
      <c r="DB312" s="78"/>
      <c r="DC312" s="78"/>
      <c r="DD312" s="78"/>
      <c r="DE312" s="78"/>
      <c r="DF312" s="78"/>
      <c r="DG312" s="78"/>
      <c r="DH312" s="78"/>
      <c r="DI312" s="78"/>
      <c r="DJ312" s="78"/>
      <c r="DK312" s="78"/>
      <c r="DL312" s="78"/>
      <c r="DM312" s="78"/>
      <c r="DN312" s="78"/>
      <c r="DO312" s="78"/>
      <c r="DP312" s="78"/>
      <c r="DQ312" s="78"/>
      <c r="DR312" s="78"/>
      <c r="DS312" s="78"/>
      <c r="DT312" s="78"/>
      <c r="DU312" s="78"/>
      <c r="DV312" s="78"/>
      <c r="DW312" s="78"/>
      <c r="DX312" s="78"/>
      <c r="DY312" s="78"/>
      <c r="DZ312" s="78"/>
      <c r="EA312" s="78"/>
      <c r="EB312" s="78"/>
      <c r="EC312" s="78"/>
      <c r="ED312" s="78"/>
      <c r="EE312" s="78"/>
      <c r="EF312" s="78"/>
      <c r="EG312" s="78"/>
      <c r="EH312" s="78"/>
      <c r="EI312" s="91"/>
      <c r="EJ312" s="91"/>
      <c r="EK312" s="91"/>
      <c r="EL312" s="91"/>
      <c r="EM312" s="91"/>
      <c r="EN312" s="91"/>
      <c r="EO312" s="91"/>
      <c r="EP312" s="78"/>
      <c r="EQ312" s="78"/>
      <c r="ER312" s="78"/>
      <c r="ES312" s="78"/>
      <c r="ET312" s="78"/>
      <c r="EU312" s="78"/>
      <c r="EV312" s="78"/>
      <c r="EW312" s="78"/>
      <c r="EX312" s="78"/>
      <c r="EY312" s="78"/>
      <c r="EZ312" s="78"/>
      <c r="FA312" s="78"/>
      <c r="FB312" s="78"/>
      <c r="FC312" s="78"/>
      <c r="FD312" s="78"/>
      <c r="FE312" s="78"/>
      <c r="FF312" s="78"/>
      <c r="FG312" s="78"/>
      <c r="FH312" s="78"/>
      <c r="FI312" s="78"/>
      <c r="FJ312" s="78"/>
      <c r="FK312" s="78"/>
    </row>
    <row r="313" spans="1:167" outlineLevel="1">
      <c r="A313" s="29" t="str">
        <f t="shared" si="29"/>
        <v>modesg_inp_emss_scibccli_kgl</v>
      </c>
      <c r="B313" s="67" t="s">
        <v>26</v>
      </c>
      <c r="C313" s="68" t="s">
        <v>181</v>
      </c>
      <c r="D313" s="64" t="s">
        <v>40</v>
      </c>
      <c r="E313" s="66" t="s">
        <v>217</v>
      </c>
      <c r="F313" s="64" t="s">
        <v>240</v>
      </c>
      <c r="G313" s="64" t="str">
        <f>INDEX(Auxiliar!$B$16:$B$24,MATCH(Plano_V1!H313,Auxiliar!$C$16:$C$24,0),1)</f>
        <v>1. Concluído</v>
      </c>
      <c r="H313" s="64">
        <f>VLOOKUP(A313,'Aux - pivots1'!$A:$B,2,0)</f>
        <v>1</v>
      </c>
      <c r="I313" s="84">
        <f>SUMIFS(Table1[Estimação (horas)],Table1[Tabela],Plano_V1!E313,Table1[Campo],Plano_V1!F313)</f>
        <v>0.6</v>
      </c>
      <c r="J313" s="84">
        <f t="shared" si="27"/>
        <v>7.4999999999999997E-2</v>
      </c>
      <c r="K313" s="89" t="s">
        <v>39</v>
      </c>
      <c r="L313" s="90">
        <f t="shared" si="28"/>
        <v>7.4999999999999997E-2</v>
      </c>
      <c r="M313" s="78"/>
      <c r="N313" s="78"/>
      <c r="O313" s="78"/>
      <c r="P313" s="78"/>
      <c r="Q313" s="78"/>
      <c r="R313" s="78"/>
      <c r="S313" s="78"/>
      <c r="T313" s="78"/>
      <c r="U313" s="78"/>
      <c r="V313" s="78"/>
      <c r="W313" s="78"/>
      <c r="X313" s="78"/>
      <c r="Y313" s="78"/>
      <c r="Z313" s="78"/>
      <c r="AA313" s="78"/>
      <c r="AB313" s="78"/>
      <c r="AC313" s="78"/>
      <c r="AD313" s="78"/>
      <c r="AE313" s="78"/>
      <c r="AF313" s="78"/>
      <c r="AG313" s="78"/>
      <c r="AH313" s="78"/>
      <c r="AI313" s="78"/>
      <c r="AJ313" s="78"/>
      <c r="AK313" s="78"/>
      <c r="AL313" s="78"/>
      <c r="AM313" s="78"/>
      <c r="AN313" s="78"/>
      <c r="AO313" s="78"/>
      <c r="AP313" s="78"/>
      <c r="AQ313" s="78"/>
      <c r="AR313" s="78"/>
      <c r="AS313" s="78"/>
      <c r="AT313" s="91"/>
      <c r="AU313" s="78"/>
      <c r="AV313" s="78"/>
      <c r="AW313" s="78"/>
      <c r="AX313" s="78"/>
      <c r="AY313" s="78"/>
      <c r="AZ313" s="78"/>
      <c r="BA313" s="78"/>
      <c r="BB313" s="78"/>
      <c r="BC313" s="78"/>
      <c r="BD313" s="78"/>
      <c r="BE313" s="78"/>
      <c r="BF313" s="78"/>
      <c r="BG313" s="78"/>
      <c r="BH313" s="78"/>
      <c r="BI313" s="78"/>
      <c r="BJ313" s="78"/>
      <c r="BK313" s="78"/>
      <c r="BL313" s="78"/>
      <c r="BM313" s="78"/>
      <c r="BN313" s="78"/>
      <c r="BO313" s="78"/>
      <c r="BP313" s="78"/>
      <c r="BQ313" s="78"/>
      <c r="BR313" s="78"/>
      <c r="BS313" s="78"/>
      <c r="BT313" s="78"/>
      <c r="BU313" s="78"/>
      <c r="BV313" s="78"/>
      <c r="BW313" s="78"/>
      <c r="BX313" s="78"/>
      <c r="BY313" s="78"/>
      <c r="BZ313" s="78"/>
      <c r="CA313" s="78"/>
      <c r="CB313" s="78"/>
      <c r="CC313" s="78"/>
      <c r="CD313" s="78"/>
      <c r="CE313" s="78"/>
      <c r="CF313" s="78"/>
      <c r="CG313" s="78"/>
      <c r="CH313" s="78"/>
      <c r="CI313" s="78"/>
      <c r="CJ313" s="78"/>
      <c r="CK313" s="78"/>
      <c r="CL313" s="78"/>
      <c r="CM313" s="78"/>
      <c r="CN313" s="78"/>
      <c r="CO313" s="78"/>
      <c r="CP313" s="78"/>
      <c r="CQ313" s="78"/>
      <c r="CR313" s="78"/>
      <c r="CS313" s="78"/>
      <c r="CT313" s="78"/>
      <c r="CU313" s="78"/>
      <c r="CV313" s="78"/>
      <c r="CW313" s="78"/>
      <c r="CX313" s="78"/>
      <c r="CY313" s="78"/>
      <c r="CZ313" s="78"/>
      <c r="DA313" s="78"/>
      <c r="DB313" s="78"/>
      <c r="DC313" s="78"/>
      <c r="DD313" s="78"/>
      <c r="DE313" s="78"/>
      <c r="DF313" s="78"/>
      <c r="DG313" s="78"/>
      <c r="DH313" s="78"/>
      <c r="DI313" s="78"/>
      <c r="DJ313" s="78"/>
      <c r="DK313" s="78"/>
      <c r="DL313" s="78"/>
      <c r="DM313" s="78"/>
      <c r="DN313" s="78"/>
      <c r="DO313" s="78"/>
      <c r="DP313" s="78"/>
      <c r="DQ313" s="78"/>
      <c r="DR313" s="78"/>
      <c r="DS313" s="78"/>
      <c r="DT313" s="78"/>
      <c r="DU313" s="78"/>
      <c r="DV313" s="78"/>
      <c r="DW313" s="78"/>
      <c r="DX313" s="78"/>
      <c r="DY313" s="78"/>
      <c r="DZ313" s="78"/>
      <c r="EA313" s="78"/>
      <c r="EB313" s="78"/>
      <c r="EC313" s="78"/>
      <c r="ED313" s="78"/>
      <c r="EE313" s="78"/>
      <c r="EF313" s="78"/>
      <c r="EG313" s="78"/>
      <c r="EH313" s="78"/>
      <c r="EI313" s="91"/>
      <c r="EJ313" s="91"/>
      <c r="EK313" s="91"/>
      <c r="EL313" s="91"/>
      <c r="EM313" s="91"/>
      <c r="EN313" s="91"/>
      <c r="EO313" s="91"/>
      <c r="EP313" s="78"/>
      <c r="EQ313" s="78"/>
      <c r="ER313" s="78"/>
      <c r="ES313" s="78"/>
      <c r="ET313" s="78"/>
      <c r="EU313" s="78"/>
      <c r="EV313" s="78"/>
      <c r="EW313" s="78"/>
      <c r="EX313" s="78"/>
      <c r="EY313" s="78"/>
      <c r="EZ313" s="78"/>
      <c r="FA313" s="78"/>
      <c r="FB313" s="78"/>
      <c r="FC313" s="78"/>
      <c r="FD313" s="78"/>
      <c r="FE313" s="78"/>
      <c r="FF313" s="78"/>
      <c r="FG313" s="78"/>
      <c r="FH313" s="78"/>
      <c r="FI313" s="78"/>
      <c r="FJ313" s="78"/>
      <c r="FK313" s="78"/>
    </row>
    <row r="314" spans="1:167" outlineLevel="1">
      <c r="A314" s="29" t="str">
        <f t="shared" si="29"/>
        <v>modesg_inp_emss_scibnome_grupo</v>
      </c>
      <c r="B314" s="67" t="s">
        <v>26</v>
      </c>
      <c r="C314" s="68" t="s">
        <v>181</v>
      </c>
      <c r="D314" s="64" t="s">
        <v>40</v>
      </c>
      <c r="E314" s="66" t="s">
        <v>217</v>
      </c>
      <c r="F314" s="64" t="s">
        <v>284</v>
      </c>
      <c r="G314" s="64" t="str">
        <f>INDEX(Auxiliar!$B$16:$B$24,MATCH(Plano_V1!H314,Auxiliar!$C$16:$C$24,0),1)</f>
        <v>1. Concluído</v>
      </c>
      <c r="H314" s="64">
        <f>VLOOKUP(A314,'Aux - pivots1'!$A:$B,2,0)</f>
        <v>1</v>
      </c>
      <c r="I314" s="84">
        <f>SUMIFS(Table1[Estimação (horas)],Table1[Tabela],Plano_V1!E314,Table1[Campo],Plano_V1!F314)</f>
        <v>0.5</v>
      </c>
      <c r="J314" s="84">
        <f t="shared" si="27"/>
        <v>6.25E-2</v>
      </c>
      <c r="K314" s="89" t="s">
        <v>39</v>
      </c>
      <c r="L314" s="90">
        <f t="shared" si="28"/>
        <v>6.25E-2</v>
      </c>
      <c r="M314" s="78"/>
      <c r="N314" s="78"/>
      <c r="O314" s="78"/>
      <c r="P314" s="78"/>
      <c r="Q314" s="78"/>
      <c r="R314" s="78"/>
      <c r="S314" s="78"/>
      <c r="T314" s="78"/>
      <c r="U314" s="78"/>
      <c r="V314" s="78"/>
      <c r="W314" s="78"/>
      <c r="X314" s="78"/>
      <c r="Y314" s="78"/>
      <c r="Z314" s="78"/>
      <c r="AA314" s="78"/>
      <c r="AB314" s="78"/>
      <c r="AC314" s="78"/>
      <c r="AD314" s="78"/>
      <c r="AE314" s="78"/>
      <c r="AF314" s="78"/>
      <c r="AG314" s="78"/>
      <c r="AH314" s="78"/>
      <c r="AI314" s="78"/>
      <c r="AJ314" s="78"/>
      <c r="AK314" s="78"/>
      <c r="AL314" s="78"/>
      <c r="AM314" s="78"/>
      <c r="AN314" s="78"/>
      <c r="AO314" s="78"/>
      <c r="AP314" s="78"/>
      <c r="AQ314" s="78"/>
      <c r="AR314" s="78"/>
      <c r="AS314" s="78"/>
      <c r="AT314" s="91"/>
      <c r="AU314" s="78"/>
      <c r="AV314" s="78"/>
      <c r="AW314" s="78"/>
      <c r="AX314" s="78"/>
      <c r="AY314" s="78"/>
      <c r="AZ314" s="78"/>
      <c r="BA314" s="78"/>
      <c r="BB314" s="78"/>
      <c r="BC314" s="78"/>
      <c r="BD314" s="78"/>
      <c r="BE314" s="78"/>
      <c r="BF314" s="78"/>
      <c r="BG314" s="78"/>
      <c r="BH314" s="78"/>
      <c r="BI314" s="78"/>
      <c r="BJ314" s="78"/>
      <c r="BK314" s="78"/>
      <c r="BL314" s="78"/>
      <c r="BM314" s="78"/>
      <c r="BN314" s="78"/>
      <c r="BO314" s="78"/>
      <c r="BP314" s="78"/>
      <c r="BQ314" s="78"/>
      <c r="BR314" s="78"/>
      <c r="BS314" s="78"/>
      <c r="BT314" s="78"/>
      <c r="BU314" s="78"/>
      <c r="BV314" s="78"/>
      <c r="BW314" s="78"/>
      <c r="BX314" s="78"/>
      <c r="BY314" s="78"/>
      <c r="BZ314" s="78"/>
      <c r="CA314" s="78"/>
      <c r="CB314" s="78"/>
      <c r="CC314" s="78"/>
      <c r="CD314" s="78"/>
      <c r="CE314" s="78"/>
      <c r="CF314" s="78"/>
      <c r="CG314" s="78"/>
      <c r="CH314" s="78"/>
      <c r="CI314" s="78"/>
      <c r="CJ314" s="78"/>
      <c r="CK314" s="78"/>
      <c r="CL314" s="78"/>
      <c r="CM314" s="78"/>
      <c r="CN314" s="78"/>
      <c r="CO314" s="78"/>
      <c r="CP314" s="78"/>
      <c r="CQ314" s="78"/>
      <c r="CR314" s="78"/>
      <c r="CS314" s="78"/>
      <c r="CT314" s="78"/>
      <c r="CU314" s="78"/>
      <c r="CV314" s="78"/>
      <c r="CW314" s="78"/>
      <c r="CX314" s="78"/>
      <c r="CY314" s="78"/>
      <c r="CZ314" s="78"/>
      <c r="DA314" s="78"/>
      <c r="DB314" s="78"/>
      <c r="DC314" s="78"/>
      <c r="DD314" s="78"/>
      <c r="DE314" s="78"/>
      <c r="DF314" s="78"/>
      <c r="DG314" s="78"/>
      <c r="DH314" s="78"/>
      <c r="DI314" s="78"/>
      <c r="DJ314" s="78"/>
      <c r="DK314" s="78"/>
      <c r="DL314" s="78"/>
      <c r="DM314" s="78"/>
      <c r="DN314" s="78"/>
      <c r="DO314" s="78"/>
      <c r="DP314" s="78"/>
      <c r="DQ314" s="78"/>
      <c r="DR314" s="78"/>
      <c r="DS314" s="78"/>
      <c r="DT314" s="78"/>
      <c r="DU314" s="78"/>
      <c r="DV314" s="78"/>
      <c r="DW314" s="78"/>
      <c r="DX314" s="78"/>
      <c r="DY314" s="78"/>
      <c r="DZ314" s="78"/>
      <c r="EA314" s="78"/>
      <c r="EB314" s="78"/>
      <c r="EC314" s="78"/>
      <c r="ED314" s="78"/>
      <c r="EE314" s="78"/>
      <c r="EF314" s="78"/>
      <c r="EG314" s="78"/>
      <c r="EH314" s="78"/>
      <c r="EI314" s="91"/>
      <c r="EJ314" s="91"/>
      <c r="EK314" s="91"/>
      <c r="EL314" s="91"/>
      <c r="EM314" s="91"/>
      <c r="EN314" s="91"/>
      <c r="EO314" s="91"/>
      <c r="EP314" s="78"/>
      <c r="EQ314" s="78"/>
      <c r="ER314" s="78"/>
      <c r="ES314" s="78"/>
      <c r="ET314" s="78"/>
      <c r="EU314" s="78"/>
      <c r="EV314" s="78"/>
      <c r="EW314" s="78"/>
      <c r="EX314" s="78"/>
      <c r="EY314" s="78"/>
      <c r="EZ314" s="78"/>
      <c r="FA314" s="78"/>
      <c r="FB314" s="78"/>
      <c r="FC314" s="78"/>
      <c r="FD314" s="78"/>
      <c r="FE314" s="78"/>
      <c r="FF314" s="78"/>
      <c r="FG314" s="78"/>
      <c r="FH314" s="78"/>
      <c r="FI314" s="78"/>
      <c r="FJ314" s="78"/>
      <c r="FK314" s="78"/>
    </row>
    <row r="315" spans="1:167" outlineLevel="1">
      <c r="A315" s="29" t="str">
        <f t="shared" si="29"/>
        <v>modesg_inp_emss_scibisin</v>
      </c>
      <c r="B315" s="67" t="s">
        <v>26</v>
      </c>
      <c r="C315" s="68" t="s">
        <v>181</v>
      </c>
      <c r="D315" s="64" t="s">
        <v>40</v>
      </c>
      <c r="E315" s="66" t="s">
        <v>217</v>
      </c>
      <c r="F315" s="64" t="s">
        <v>238</v>
      </c>
      <c r="G315" s="64" t="str">
        <f>INDEX(Auxiliar!$B$16:$B$24,MATCH(Plano_V1!H315,Auxiliar!$C$16:$C$24,0),1)</f>
        <v>1. Concluído</v>
      </c>
      <c r="H315" s="64">
        <f>VLOOKUP(A315,'Aux - pivots1'!$A:$B,2,0)</f>
        <v>1</v>
      </c>
      <c r="I315" s="84">
        <f>SUMIFS(Table1[Estimação (horas)],Table1[Tabela],Plano_V1!E315,Table1[Campo],Plano_V1!F315)</f>
        <v>0.6</v>
      </c>
      <c r="J315" s="84">
        <f t="shared" si="27"/>
        <v>7.4999999999999997E-2</v>
      </c>
      <c r="K315" s="89" t="s">
        <v>39</v>
      </c>
      <c r="L315" s="90">
        <f t="shared" si="28"/>
        <v>7.4999999999999997E-2</v>
      </c>
      <c r="M315" s="78"/>
      <c r="N315" s="78"/>
      <c r="O315" s="78"/>
      <c r="P315" s="78"/>
      <c r="Q315" s="78"/>
      <c r="R315" s="78"/>
      <c r="S315" s="78"/>
      <c r="T315" s="78"/>
      <c r="U315" s="78"/>
      <c r="V315" s="78"/>
      <c r="W315" s="78"/>
      <c r="X315" s="78"/>
      <c r="Y315" s="78"/>
      <c r="Z315" s="78"/>
      <c r="AA315" s="78"/>
      <c r="AB315" s="78"/>
      <c r="AC315" s="78"/>
      <c r="AD315" s="78"/>
      <c r="AE315" s="78"/>
      <c r="AF315" s="78"/>
      <c r="AG315" s="78"/>
      <c r="AH315" s="78"/>
      <c r="AI315" s="78"/>
      <c r="AJ315" s="78"/>
      <c r="AK315" s="78"/>
      <c r="AL315" s="78"/>
      <c r="AM315" s="78"/>
      <c r="AN315" s="78"/>
      <c r="AO315" s="78"/>
      <c r="AP315" s="78"/>
      <c r="AQ315" s="78"/>
      <c r="AR315" s="78"/>
      <c r="AS315" s="78"/>
      <c r="AT315" s="91"/>
      <c r="AU315" s="78"/>
      <c r="AV315" s="78"/>
      <c r="AW315" s="78"/>
      <c r="AX315" s="78"/>
      <c r="AY315" s="78"/>
      <c r="AZ315" s="78"/>
      <c r="BA315" s="78"/>
      <c r="BB315" s="78"/>
      <c r="BC315" s="78"/>
      <c r="BD315" s="78"/>
      <c r="BE315" s="78"/>
      <c r="BF315" s="78"/>
      <c r="BG315" s="78"/>
      <c r="BH315" s="78"/>
      <c r="BI315" s="78"/>
      <c r="BJ315" s="78"/>
      <c r="BK315" s="78"/>
      <c r="BL315" s="78"/>
      <c r="BM315" s="78"/>
      <c r="BN315" s="78"/>
      <c r="BO315" s="78"/>
      <c r="BP315" s="78"/>
      <c r="BQ315" s="78"/>
      <c r="BR315" s="78"/>
      <c r="BS315" s="78"/>
      <c r="BT315" s="78"/>
      <c r="BU315" s="78"/>
      <c r="BV315" s="78"/>
      <c r="BW315" s="78"/>
      <c r="BX315" s="78"/>
      <c r="BY315" s="78"/>
      <c r="BZ315" s="78"/>
      <c r="CA315" s="78"/>
      <c r="CB315" s="78"/>
      <c r="CC315" s="78"/>
      <c r="CD315" s="78"/>
      <c r="CE315" s="78"/>
      <c r="CF315" s="78"/>
      <c r="CG315" s="78"/>
      <c r="CH315" s="78"/>
      <c r="CI315" s="78"/>
      <c r="CJ315" s="78"/>
      <c r="CK315" s="78"/>
      <c r="CL315" s="78"/>
      <c r="CM315" s="78"/>
      <c r="CN315" s="78"/>
      <c r="CO315" s="78"/>
      <c r="CP315" s="78"/>
      <c r="CQ315" s="78"/>
      <c r="CR315" s="78"/>
      <c r="CS315" s="78"/>
      <c r="CT315" s="78"/>
      <c r="CU315" s="78"/>
      <c r="CV315" s="78"/>
      <c r="CW315" s="78"/>
      <c r="CX315" s="78"/>
      <c r="CY315" s="78"/>
      <c r="CZ315" s="78"/>
      <c r="DA315" s="78"/>
      <c r="DB315" s="78"/>
      <c r="DC315" s="78"/>
      <c r="DD315" s="78"/>
      <c r="DE315" s="78"/>
      <c r="DF315" s="78"/>
      <c r="DG315" s="78"/>
      <c r="DH315" s="78"/>
      <c r="DI315" s="78"/>
      <c r="DJ315" s="78"/>
      <c r="DK315" s="78"/>
      <c r="DL315" s="78"/>
      <c r="DM315" s="78"/>
      <c r="DN315" s="78"/>
      <c r="DO315" s="78"/>
      <c r="DP315" s="78"/>
      <c r="DQ315" s="78"/>
      <c r="DR315" s="78"/>
      <c r="DS315" s="78"/>
      <c r="DT315" s="78"/>
      <c r="DU315" s="78"/>
      <c r="DV315" s="78"/>
      <c r="DW315" s="78"/>
      <c r="DX315" s="78"/>
      <c r="DY315" s="78"/>
      <c r="DZ315" s="78"/>
      <c r="EA315" s="78"/>
      <c r="EB315" s="78"/>
      <c r="EC315" s="78"/>
      <c r="ED315" s="78"/>
      <c r="EE315" s="78"/>
      <c r="EF315" s="78"/>
      <c r="EG315" s="78"/>
      <c r="EH315" s="78"/>
      <c r="EI315" s="91"/>
      <c r="EJ315" s="91"/>
      <c r="EK315" s="91"/>
      <c r="EL315" s="91"/>
      <c r="EM315" s="91"/>
      <c r="EN315" s="91"/>
      <c r="EO315" s="91"/>
      <c r="EP315" s="78"/>
      <c r="EQ315" s="78"/>
      <c r="ER315" s="78"/>
      <c r="ES315" s="78"/>
      <c r="ET315" s="78"/>
      <c r="EU315" s="78"/>
      <c r="EV315" s="78"/>
      <c r="EW315" s="78"/>
      <c r="EX315" s="78"/>
      <c r="EY315" s="78"/>
      <c r="EZ315" s="78"/>
      <c r="FA315" s="78"/>
      <c r="FB315" s="78"/>
      <c r="FC315" s="78"/>
      <c r="FD315" s="78"/>
      <c r="FE315" s="78"/>
      <c r="FF315" s="78"/>
      <c r="FG315" s="78"/>
      <c r="FH315" s="78"/>
      <c r="FI315" s="78"/>
      <c r="FJ315" s="78"/>
      <c r="FK315" s="78"/>
    </row>
    <row r="316" spans="1:167" outlineLevel="1">
      <c r="A316" s="29" t="str">
        <f t="shared" si="29"/>
        <v>modesg_inp_emss_scibclei</v>
      </c>
      <c r="B316" s="67" t="s">
        <v>26</v>
      </c>
      <c r="C316" s="68" t="s">
        <v>181</v>
      </c>
      <c r="D316" s="64" t="s">
        <v>40</v>
      </c>
      <c r="E316" s="66" t="s">
        <v>217</v>
      </c>
      <c r="F316" s="64" t="s">
        <v>239</v>
      </c>
      <c r="G316" s="64" t="str">
        <f>INDEX(Auxiliar!$B$16:$B$24,MATCH(Plano_V1!H316,Auxiliar!$C$16:$C$24,0),1)</f>
        <v>1. Concluído</v>
      </c>
      <c r="H316" s="64">
        <f>VLOOKUP(A316,'Aux - pivots1'!$A:$B,2,0)</f>
        <v>1</v>
      </c>
      <c r="I316" s="84">
        <f>SUMIFS(Table1[Estimação (horas)],Table1[Tabela],Plano_V1!E316,Table1[Campo],Plano_V1!F316)</f>
        <v>0.6</v>
      </c>
      <c r="J316" s="84">
        <f t="shared" si="27"/>
        <v>7.4999999999999997E-2</v>
      </c>
      <c r="K316" s="89" t="s">
        <v>39</v>
      </c>
      <c r="L316" s="90">
        <f t="shared" si="28"/>
        <v>7.4999999999999997E-2</v>
      </c>
      <c r="M316" s="78"/>
      <c r="N316" s="78"/>
      <c r="O316" s="78"/>
      <c r="P316" s="78"/>
      <c r="Q316" s="78"/>
      <c r="R316" s="78"/>
      <c r="S316" s="78"/>
      <c r="T316" s="78"/>
      <c r="U316" s="78"/>
      <c r="V316" s="78"/>
      <c r="W316" s="78"/>
      <c r="X316" s="78"/>
      <c r="Y316" s="78"/>
      <c r="Z316" s="78"/>
      <c r="AA316" s="78"/>
      <c r="AB316" s="78"/>
      <c r="AC316" s="78"/>
      <c r="AD316" s="78"/>
      <c r="AE316" s="78"/>
      <c r="AF316" s="78"/>
      <c r="AG316" s="78"/>
      <c r="AH316" s="78"/>
      <c r="AI316" s="78"/>
      <c r="AJ316" s="78"/>
      <c r="AK316" s="78"/>
      <c r="AL316" s="78"/>
      <c r="AM316" s="78"/>
      <c r="AN316" s="78"/>
      <c r="AO316" s="78"/>
      <c r="AP316" s="78"/>
      <c r="AQ316" s="78"/>
      <c r="AR316" s="78"/>
      <c r="AS316" s="78"/>
      <c r="AT316" s="91"/>
      <c r="AU316" s="78"/>
      <c r="AV316" s="78"/>
      <c r="AW316" s="78"/>
      <c r="AX316" s="78"/>
      <c r="AY316" s="78"/>
      <c r="AZ316" s="78"/>
      <c r="BA316" s="78"/>
      <c r="BB316" s="78"/>
      <c r="BC316" s="78"/>
      <c r="BD316" s="78"/>
      <c r="BE316" s="78"/>
      <c r="BF316" s="78"/>
      <c r="BG316" s="78"/>
      <c r="BH316" s="78"/>
      <c r="BI316" s="78"/>
      <c r="BJ316" s="78"/>
      <c r="BK316" s="78"/>
      <c r="BL316" s="78"/>
      <c r="BM316" s="78"/>
      <c r="BN316" s="78"/>
      <c r="BO316" s="78"/>
      <c r="BP316" s="78"/>
      <c r="BQ316" s="78"/>
      <c r="BR316" s="78"/>
      <c r="BS316" s="78"/>
      <c r="BT316" s="78"/>
      <c r="BU316" s="78"/>
      <c r="BV316" s="78"/>
      <c r="BW316" s="78"/>
      <c r="BX316" s="78"/>
      <c r="BY316" s="78"/>
      <c r="BZ316" s="78"/>
      <c r="CA316" s="78"/>
      <c r="CB316" s="78"/>
      <c r="CC316" s="78"/>
      <c r="CD316" s="78"/>
      <c r="CE316" s="78"/>
      <c r="CF316" s="78"/>
      <c r="CG316" s="78"/>
      <c r="CH316" s="78"/>
      <c r="CI316" s="78"/>
      <c r="CJ316" s="78"/>
      <c r="CK316" s="78"/>
      <c r="CL316" s="78"/>
      <c r="CM316" s="78"/>
      <c r="CN316" s="78"/>
      <c r="CO316" s="78"/>
      <c r="CP316" s="78"/>
      <c r="CQ316" s="78"/>
      <c r="CR316" s="78"/>
      <c r="CS316" s="78"/>
      <c r="CT316" s="78"/>
      <c r="CU316" s="78"/>
      <c r="CV316" s="78"/>
      <c r="CW316" s="78"/>
      <c r="CX316" s="78"/>
      <c r="CY316" s="78"/>
      <c r="CZ316" s="78"/>
      <c r="DA316" s="78"/>
      <c r="DB316" s="78"/>
      <c r="DC316" s="78"/>
      <c r="DD316" s="78"/>
      <c r="DE316" s="78"/>
      <c r="DF316" s="78"/>
      <c r="DG316" s="78"/>
      <c r="DH316" s="78"/>
      <c r="DI316" s="78"/>
      <c r="DJ316" s="78"/>
      <c r="DK316" s="78"/>
      <c r="DL316" s="78"/>
      <c r="DM316" s="78"/>
      <c r="DN316" s="78"/>
      <c r="DO316" s="78"/>
      <c r="DP316" s="78"/>
      <c r="DQ316" s="78"/>
      <c r="DR316" s="78"/>
      <c r="DS316" s="78"/>
      <c r="DT316" s="78"/>
      <c r="DU316" s="78"/>
      <c r="DV316" s="78"/>
      <c r="DW316" s="78"/>
      <c r="DX316" s="78"/>
      <c r="DY316" s="78"/>
      <c r="DZ316" s="78"/>
      <c r="EA316" s="78"/>
      <c r="EB316" s="78"/>
      <c r="EC316" s="78"/>
      <c r="ED316" s="78"/>
      <c r="EE316" s="78"/>
      <c r="EF316" s="78"/>
      <c r="EG316" s="78"/>
      <c r="EH316" s="78"/>
      <c r="EI316" s="91"/>
      <c r="EJ316" s="91"/>
      <c r="EK316" s="91"/>
      <c r="EL316" s="91"/>
      <c r="EM316" s="91"/>
      <c r="EN316" s="91"/>
      <c r="EO316" s="91"/>
      <c r="EP316" s="78"/>
      <c r="EQ316" s="78"/>
      <c r="ER316" s="78"/>
      <c r="ES316" s="78"/>
      <c r="ET316" s="78"/>
      <c r="EU316" s="78"/>
      <c r="EV316" s="78"/>
      <c r="EW316" s="78"/>
      <c r="EX316" s="78"/>
      <c r="EY316" s="78"/>
      <c r="EZ316" s="78"/>
      <c r="FA316" s="78"/>
      <c r="FB316" s="78"/>
      <c r="FC316" s="78"/>
      <c r="FD316" s="78"/>
      <c r="FE316" s="78"/>
      <c r="FF316" s="78"/>
      <c r="FG316" s="78"/>
      <c r="FH316" s="78"/>
      <c r="FI316" s="78"/>
      <c r="FJ316" s="78"/>
      <c r="FK316" s="78"/>
    </row>
    <row r="317" spans="1:167" outlineLevel="1">
      <c r="A317" s="29" t="str">
        <f t="shared" si="29"/>
        <v>modesg_inp_emss_scibscp1_emss</v>
      </c>
      <c r="B317" s="67" t="s">
        <v>26</v>
      </c>
      <c r="C317" s="68" t="s">
        <v>181</v>
      </c>
      <c r="D317" s="64" t="s">
        <v>40</v>
      </c>
      <c r="E317" s="66" t="s">
        <v>217</v>
      </c>
      <c r="F317" s="64" t="s">
        <v>285</v>
      </c>
      <c r="G317" s="64" t="str">
        <f>INDEX(Auxiliar!$B$16:$B$24,MATCH(Plano_V1!H317,Auxiliar!$C$16:$C$24,0),1)</f>
        <v>1. Concluído</v>
      </c>
      <c r="H317" s="64">
        <f>VLOOKUP(A317,'Aux - pivots1'!$A:$B,2,0)</f>
        <v>1</v>
      </c>
      <c r="I317" s="84">
        <f>SUMIFS(Table1[Estimação (horas)],Table1[Tabela],Plano_V1!E317,Table1[Campo],Plano_V1!F317)</f>
        <v>0.6</v>
      </c>
      <c r="J317" s="84">
        <f t="shared" si="27"/>
        <v>7.4999999999999997E-2</v>
      </c>
      <c r="K317" s="89" t="s">
        <v>39</v>
      </c>
      <c r="L317" s="90">
        <f t="shared" si="28"/>
        <v>7.4999999999999997E-2</v>
      </c>
      <c r="M317" s="78"/>
      <c r="N317" s="78"/>
      <c r="O317" s="78"/>
      <c r="P317" s="78"/>
      <c r="Q317" s="78"/>
      <c r="R317" s="78"/>
      <c r="S317" s="78"/>
      <c r="T317" s="78"/>
      <c r="U317" s="78"/>
      <c r="V317" s="78"/>
      <c r="W317" s="78"/>
      <c r="X317" s="78"/>
      <c r="Y317" s="78"/>
      <c r="Z317" s="78"/>
      <c r="AA317" s="78"/>
      <c r="AB317" s="78"/>
      <c r="AC317" s="78"/>
      <c r="AD317" s="78"/>
      <c r="AE317" s="78"/>
      <c r="AF317" s="78"/>
      <c r="AG317" s="78"/>
      <c r="AH317" s="78"/>
      <c r="AI317" s="78"/>
      <c r="AJ317" s="78"/>
      <c r="AK317" s="78"/>
      <c r="AL317" s="78"/>
      <c r="AM317" s="78"/>
      <c r="AN317" s="78"/>
      <c r="AO317" s="78"/>
      <c r="AP317" s="78"/>
      <c r="AQ317" s="78"/>
      <c r="AR317" s="78"/>
      <c r="AS317" s="78"/>
      <c r="AT317" s="91"/>
      <c r="AU317" s="78"/>
      <c r="AV317" s="78"/>
      <c r="AW317" s="78"/>
      <c r="AX317" s="78"/>
      <c r="AY317" s="78"/>
      <c r="AZ317" s="78"/>
      <c r="BA317" s="78"/>
      <c r="BB317" s="78"/>
      <c r="BC317" s="78"/>
      <c r="BD317" s="78"/>
      <c r="BE317" s="78"/>
      <c r="BF317" s="78"/>
      <c r="BG317" s="78"/>
      <c r="BH317" s="78"/>
      <c r="BI317" s="78"/>
      <c r="BJ317" s="78"/>
      <c r="BK317" s="78"/>
      <c r="BL317" s="78"/>
      <c r="BM317" s="78"/>
      <c r="BN317" s="78"/>
      <c r="BO317" s="78"/>
      <c r="BP317" s="78"/>
      <c r="BQ317" s="78"/>
      <c r="BR317" s="78"/>
      <c r="BS317" s="78"/>
      <c r="BT317" s="78"/>
      <c r="BU317" s="78"/>
      <c r="BV317" s="78"/>
      <c r="BW317" s="78"/>
      <c r="BX317" s="78"/>
      <c r="BY317" s="78"/>
      <c r="BZ317" s="78"/>
      <c r="CA317" s="78"/>
      <c r="CB317" s="78"/>
      <c r="CC317" s="78"/>
      <c r="CD317" s="78"/>
      <c r="CE317" s="78"/>
      <c r="CF317" s="78"/>
      <c r="CG317" s="78"/>
      <c r="CH317" s="78"/>
      <c r="CI317" s="78"/>
      <c r="CJ317" s="78"/>
      <c r="CK317" s="78"/>
      <c r="CL317" s="78"/>
      <c r="CM317" s="78"/>
      <c r="CN317" s="78"/>
      <c r="CO317" s="78"/>
      <c r="CP317" s="78"/>
      <c r="CQ317" s="78"/>
      <c r="CR317" s="78"/>
      <c r="CS317" s="78"/>
      <c r="CT317" s="78"/>
      <c r="CU317" s="78"/>
      <c r="CV317" s="78"/>
      <c r="CW317" s="78"/>
      <c r="CX317" s="78"/>
      <c r="CY317" s="78"/>
      <c r="CZ317" s="78"/>
      <c r="DA317" s="78"/>
      <c r="DB317" s="78"/>
      <c r="DC317" s="78"/>
      <c r="DD317" s="78"/>
      <c r="DE317" s="78"/>
      <c r="DF317" s="78"/>
      <c r="DG317" s="78"/>
      <c r="DH317" s="78"/>
      <c r="DI317" s="78"/>
      <c r="DJ317" s="78"/>
      <c r="DK317" s="78"/>
      <c r="DL317" s="78"/>
      <c r="DM317" s="78"/>
      <c r="DN317" s="78"/>
      <c r="DO317" s="78"/>
      <c r="DP317" s="78"/>
      <c r="DQ317" s="78"/>
      <c r="DR317" s="78"/>
      <c r="DS317" s="78"/>
      <c r="DT317" s="78"/>
      <c r="DU317" s="78"/>
      <c r="DV317" s="78"/>
      <c r="DW317" s="78"/>
      <c r="DX317" s="78"/>
      <c r="DY317" s="78"/>
      <c r="DZ317" s="78"/>
      <c r="EA317" s="78"/>
      <c r="EB317" s="78"/>
      <c r="EC317" s="78"/>
      <c r="ED317" s="78"/>
      <c r="EE317" s="78"/>
      <c r="EF317" s="78"/>
      <c r="EG317" s="78"/>
      <c r="EH317" s="78"/>
      <c r="EI317" s="91"/>
      <c r="EJ317" s="91"/>
      <c r="EK317" s="91"/>
      <c r="EL317" s="91"/>
      <c r="EM317" s="91"/>
      <c r="EN317" s="91"/>
      <c r="EO317" s="91"/>
      <c r="EP317" s="78"/>
      <c r="EQ317" s="78"/>
      <c r="ER317" s="78"/>
      <c r="ES317" s="78"/>
      <c r="ET317" s="78"/>
      <c r="EU317" s="78"/>
      <c r="EV317" s="78"/>
      <c r="EW317" s="78"/>
      <c r="EX317" s="78"/>
      <c r="EY317" s="78"/>
      <c r="EZ317" s="78"/>
      <c r="FA317" s="78"/>
      <c r="FB317" s="78"/>
      <c r="FC317" s="78"/>
      <c r="FD317" s="78"/>
      <c r="FE317" s="78"/>
      <c r="FF317" s="78"/>
      <c r="FG317" s="78"/>
      <c r="FH317" s="78"/>
      <c r="FI317" s="78"/>
      <c r="FJ317" s="78"/>
      <c r="FK317" s="78"/>
    </row>
    <row r="318" spans="1:167" outlineLevel="1">
      <c r="A318" s="29" t="str">
        <f t="shared" si="29"/>
        <v>modesg_inp_emss_scibscp2_emss</v>
      </c>
      <c r="B318" s="67" t="s">
        <v>26</v>
      </c>
      <c r="C318" s="68" t="s">
        <v>181</v>
      </c>
      <c r="D318" s="64" t="s">
        <v>40</v>
      </c>
      <c r="E318" s="66" t="s">
        <v>217</v>
      </c>
      <c r="F318" s="64" t="s">
        <v>286</v>
      </c>
      <c r="G318" s="64" t="str">
        <f>INDEX(Auxiliar!$B$16:$B$24,MATCH(Plano_V1!H318,Auxiliar!$C$16:$C$24,0),1)</f>
        <v>1. Concluído</v>
      </c>
      <c r="H318" s="64">
        <f>VLOOKUP(A318,'Aux - pivots1'!$A:$B,2,0)</f>
        <v>1</v>
      </c>
      <c r="I318" s="84">
        <f>SUMIFS(Table1[Estimação (horas)],Table1[Tabela],Plano_V1!E318,Table1[Campo],Plano_V1!F318)</f>
        <v>0.6</v>
      </c>
      <c r="J318" s="84">
        <f t="shared" si="27"/>
        <v>7.4999999999999997E-2</v>
      </c>
      <c r="K318" s="89" t="s">
        <v>39</v>
      </c>
      <c r="L318" s="90">
        <f t="shared" si="28"/>
        <v>7.4999999999999997E-2</v>
      </c>
      <c r="M318" s="78"/>
      <c r="N318" s="78"/>
      <c r="O318" s="78"/>
      <c r="P318" s="78"/>
      <c r="Q318" s="78"/>
      <c r="R318" s="78"/>
      <c r="S318" s="78"/>
      <c r="T318" s="78"/>
      <c r="U318" s="78"/>
      <c r="V318" s="78"/>
      <c r="W318" s="78"/>
      <c r="X318" s="78"/>
      <c r="Y318" s="78"/>
      <c r="Z318" s="78"/>
      <c r="AA318" s="78"/>
      <c r="AB318" s="78"/>
      <c r="AC318" s="78"/>
      <c r="AD318" s="78"/>
      <c r="AE318" s="78"/>
      <c r="AF318" s="78"/>
      <c r="AG318" s="78"/>
      <c r="AH318" s="78"/>
      <c r="AI318" s="78"/>
      <c r="AJ318" s="78"/>
      <c r="AK318" s="78"/>
      <c r="AL318" s="78"/>
      <c r="AM318" s="78"/>
      <c r="AN318" s="78"/>
      <c r="AO318" s="78"/>
      <c r="AP318" s="78"/>
      <c r="AQ318" s="78"/>
      <c r="AR318" s="78"/>
      <c r="AS318" s="78"/>
      <c r="AT318" s="91"/>
      <c r="AU318" s="78"/>
      <c r="AV318" s="78"/>
      <c r="AW318" s="78"/>
      <c r="AX318" s="78"/>
      <c r="AY318" s="78"/>
      <c r="AZ318" s="78"/>
      <c r="BA318" s="78"/>
      <c r="BB318" s="78"/>
      <c r="BC318" s="78"/>
      <c r="BD318" s="78"/>
      <c r="BE318" s="78"/>
      <c r="BF318" s="78"/>
      <c r="BG318" s="78"/>
      <c r="BH318" s="78"/>
      <c r="BI318" s="78"/>
      <c r="BJ318" s="78"/>
      <c r="BK318" s="78"/>
      <c r="BL318" s="78"/>
      <c r="BM318" s="78"/>
      <c r="BN318" s="78"/>
      <c r="BO318" s="78"/>
      <c r="BP318" s="78"/>
      <c r="BQ318" s="78"/>
      <c r="BR318" s="78"/>
      <c r="BS318" s="78"/>
      <c r="BT318" s="78"/>
      <c r="BU318" s="78"/>
      <c r="BV318" s="78"/>
      <c r="BW318" s="78"/>
      <c r="BX318" s="78"/>
      <c r="BY318" s="78"/>
      <c r="BZ318" s="78"/>
      <c r="CA318" s="78"/>
      <c r="CB318" s="78"/>
      <c r="CC318" s="78"/>
      <c r="CD318" s="78"/>
      <c r="CE318" s="78"/>
      <c r="CF318" s="78"/>
      <c r="CG318" s="78"/>
      <c r="CH318" s="78"/>
      <c r="CI318" s="78"/>
      <c r="CJ318" s="78"/>
      <c r="CK318" s="78"/>
      <c r="CL318" s="78"/>
      <c r="CM318" s="78"/>
      <c r="CN318" s="78"/>
      <c r="CO318" s="78"/>
      <c r="CP318" s="78"/>
      <c r="CQ318" s="78"/>
      <c r="CR318" s="78"/>
      <c r="CS318" s="78"/>
      <c r="CT318" s="78"/>
      <c r="CU318" s="78"/>
      <c r="CV318" s="78"/>
      <c r="CW318" s="78"/>
      <c r="CX318" s="78"/>
      <c r="CY318" s="78"/>
      <c r="CZ318" s="78"/>
      <c r="DA318" s="78"/>
      <c r="DB318" s="78"/>
      <c r="DC318" s="78"/>
      <c r="DD318" s="78"/>
      <c r="DE318" s="78"/>
      <c r="DF318" s="78"/>
      <c r="DG318" s="78"/>
      <c r="DH318" s="78"/>
      <c r="DI318" s="78"/>
      <c r="DJ318" s="78"/>
      <c r="DK318" s="78"/>
      <c r="DL318" s="78"/>
      <c r="DM318" s="78"/>
      <c r="DN318" s="78"/>
      <c r="DO318" s="78"/>
      <c r="DP318" s="78"/>
      <c r="DQ318" s="78"/>
      <c r="DR318" s="78"/>
      <c r="DS318" s="78"/>
      <c r="DT318" s="78"/>
      <c r="DU318" s="78"/>
      <c r="DV318" s="78"/>
      <c r="DW318" s="78"/>
      <c r="DX318" s="78"/>
      <c r="DY318" s="78"/>
      <c r="DZ318" s="78"/>
      <c r="EA318" s="78"/>
      <c r="EB318" s="78"/>
      <c r="EC318" s="78"/>
      <c r="ED318" s="78"/>
      <c r="EE318" s="78"/>
      <c r="EF318" s="78"/>
      <c r="EG318" s="78"/>
      <c r="EH318" s="78"/>
      <c r="EI318" s="91"/>
      <c r="EJ318" s="91"/>
      <c r="EK318" s="91"/>
      <c r="EL318" s="91"/>
      <c r="EM318" s="91"/>
      <c r="EN318" s="91"/>
      <c r="EO318" s="91"/>
      <c r="EP318" s="78"/>
      <c r="EQ318" s="78"/>
      <c r="ER318" s="78"/>
      <c r="ES318" s="78"/>
      <c r="ET318" s="78"/>
      <c r="EU318" s="78"/>
      <c r="EV318" s="78"/>
      <c r="EW318" s="78"/>
      <c r="EX318" s="78"/>
      <c r="EY318" s="78"/>
      <c r="EZ318" s="78"/>
      <c r="FA318" s="78"/>
      <c r="FB318" s="78"/>
      <c r="FC318" s="78"/>
      <c r="FD318" s="78"/>
      <c r="FE318" s="78"/>
      <c r="FF318" s="78"/>
      <c r="FG318" s="78"/>
      <c r="FH318" s="78"/>
      <c r="FI318" s="78"/>
      <c r="FJ318" s="78"/>
      <c r="FK318" s="78"/>
    </row>
    <row r="319" spans="1:167" outlineLevel="1">
      <c r="A319" s="29" t="str">
        <f t="shared" si="29"/>
        <v>modesg_inp_emss_scibscp3_emss</v>
      </c>
      <c r="B319" s="67" t="s">
        <v>26</v>
      </c>
      <c r="C319" s="68" t="s">
        <v>181</v>
      </c>
      <c r="D319" s="64" t="s">
        <v>40</v>
      </c>
      <c r="E319" s="66" t="s">
        <v>217</v>
      </c>
      <c r="F319" s="64" t="s">
        <v>287</v>
      </c>
      <c r="G319" s="64" t="str">
        <f>INDEX(Auxiliar!$B$16:$B$24,MATCH(Plano_V1!H319,Auxiliar!$C$16:$C$24,0),1)</f>
        <v>1. Concluído</v>
      </c>
      <c r="H319" s="64">
        <f>VLOOKUP(A319,'Aux - pivots1'!$A:$B,2,0)</f>
        <v>1</v>
      </c>
      <c r="I319" s="84">
        <f>SUMIFS(Table1[Estimação (horas)],Table1[Tabela],Plano_V1!E319,Table1[Campo],Plano_V1!F319)</f>
        <v>0.6</v>
      </c>
      <c r="J319" s="84">
        <f t="shared" si="27"/>
        <v>7.4999999999999997E-2</v>
      </c>
      <c r="K319" s="89" t="s">
        <v>39</v>
      </c>
      <c r="L319" s="90">
        <f t="shared" si="28"/>
        <v>7.4999999999999997E-2</v>
      </c>
      <c r="M319" s="78"/>
      <c r="N319" s="78"/>
      <c r="O319" s="78"/>
      <c r="P319" s="78"/>
      <c r="Q319" s="78"/>
      <c r="R319" s="78"/>
      <c r="S319" s="78"/>
      <c r="T319" s="78"/>
      <c r="U319" s="78"/>
      <c r="V319" s="78"/>
      <c r="W319" s="78"/>
      <c r="X319" s="78"/>
      <c r="Y319" s="78"/>
      <c r="Z319" s="78"/>
      <c r="AA319" s="78"/>
      <c r="AB319" s="78"/>
      <c r="AC319" s="78"/>
      <c r="AD319" s="78"/>
      <c r="AE319" s="78"/>
      <c r="AF319" s="78"/>
      <c r="AG319" s="78"/>
      <c r="AH319" s="78"/>
      <c r="AI319" s="78"/>
      <c r="AJ319" s="78"/>
      <c r="AK319" s="78"/>
      <c r="AL319" s="78"/>
      <c r="AM319" s="78"/>
      <c r="AN319" s="78"/>
      <c r="AO319" s="78"/>
      <c r="AP319" s="78"/>
      <c r="AQ319" s="78"/>
      <c r="AR319" s="78"/>
      <c r="AS319" s="78"/>
      <c r="AT319" s="91"/>
      <c r="AU319" s="78"/>
      <c r="AV319" s="78"/>
      <c r="AW319" s="78"/>
      <c r="AX319" s="78"/>
      <c r="AY319" s="78"/>
      <c r="AZ319" s="78"/>
      <c r="BA319" s="78"/>
      <c r="BB319" s="78"/>
      <c r="BC319" s="78"/>
      <c r="BD319" s="78"/>
      <c r="BE319" s="78"/>
      <c r="BF319" s="78"/>
      <c r="BG319" s="78"/>
      <c r="BH319" s="78"/>
      <c r="BI319" s="78"/>
      <c r="BJ319" s="78"/>
      <c r="BK319" s="78"/>
      <c r="BL319" s="78"/>
      <c r="BM319" s="78"/>
      <c r="BN319" s="78"/>
      <c r="BO319" s="78"/>
      <c r="BP319" s="78"/>
      <c r="BQ319" s="78"/>
      <c r="BR319" s="78"/>
      <c r="BS319" s="78"/>
      <c r="BT319" s="78"/>
      <c r="BU319" s="78"/>
      <c r="BV319" s="78"/>
      <c r="BW319" s="78"/>
      <c r="BX319" s="78"/>
      <c r="BY319" s="78"/>
      <c r="BZ319" s="78"/>
      <c r="CA319" s="78"/>
      <c r="CB319" s="78"/>
      <c r="CC319" s="78"/>
      <c r="CD319" s="78"/>
      <c r="CE319" s="78"/>
      <c r="CF319" s="78"/>
      <c r="CG319" s="78"/>
      <c r="CH319" s="78"/>
      <c r="CI319" s="78"/>
      <c r="CJ319" s="78"/>
      <c r="CK319" s="78"/>
      <c r="CL319" s="78"/>
      <c r="CM319" s="78"/>
      <c r="CN319" s="78"/>
      <c r="CO319" s="78"/>
      <c r="CP319" s="78"/>
      <c r="CQ319" s="78"/>
      <c r="CR319" s="78"/>
      <c r="CS319" s="78"/>
      <c r="CT319" s="78"/>
      <c r="CU319" s="78"/>
      <c r="CV319" s="78"/>
      <c r="CW319" s="78"/>
      <c r="CX319" s="78"/>
      <c r="CY319" s="78"/>
      <c r="CZ319" s="78"/>
      <c r="DA319" s="78"/>
      <c r="DB319" s="78"/>
      <c r="DC319" s="78"/>
      <c r="DD319" s="78"/>
      <c r="DE319" s="78"/>
      <c r="DF319" s="78"/>
      <c r="DG319" s="78"/>
      <c r="DH319" s="78"/>
      <c r="DI319" s="78"/>
      <c r="DJ319" s="78"/>
      <c r="DK319" s="78"/>
      <c r="DL319" s="78"/>
      <c r="DM319" s="78"/>
      <c r="DN319" s="78"/>
      <c r="DO319" s="78"/>
      <c r="DP319" s="78"/>
      <c r="DQ319" s="78"/>
      <c r="DR319" s="78"/>
      <c r="DS319" s="78"/>
      <c r="DT319" s="78"/>
      <c r="DU319" s="78"/>
      <c r="DV319" s="78"/>
      <c r="DW319" s="78"/>
      <c r="DX319" s="78"/>
      <c r="DY319" s="78"/>
      <c r="DZ319" s="78"/>
      <c r="EA319" s="78"/>
      <c r="EB319" s="78"/>
      <c r="EC319" s="78"/>
      <c r="ED319" s="78"/>
      <c r="EE319" s="78"/>
      <c r="EF319" s="78"/>
      <c r="EG319" s="78"/>
      <c r="EH319" s="78"/>
      <c r="EI319" s="91"/>
      <c r="EJ319" s="91"/>
      <c r="EK319" s="91"/>
      <c r="EL319" s="91"/>
      <c r="EM319" s="91"/>
      <c r="EN319" s="91"/>
      <c r="EO319" s="91"/>
      <c r="EP319" s="78"/>
      <c r="EQ319" s="78"/>
      <c r="ER319" s="78"/>
      <c r="ES319" s="78"/>
      <c r="ET319" s="78"/>
      <c r="EU319" s="78"/>
      <c r="EV319" s="78"/>
      <c r="EW319" s="78"/>
      <c r="EX319" s="78"/>
      <c r="EY319" s="78"/>
      <c r="EZ319" s="78"/>
      <c r="FA319" s="78"/>
      <c r="FB319" s="78"/>
      <c r="FC319" s="78"/>
      <c r="FD319" s="78"/>
      <c r="FE319" s="78"/>
      <c r="FF319" s="78"/>
      <c r="FG319" s="78"/>
      <c r="FH319" s="78"/>
      <c r="FI319" s="78"/>
      <c r="FJ319" s="78"/>
      <c r="FK319" s="78"/>
    </row>
    <row r="320" spans="1:167" outlineLevel="1">
      <c r="A320" s="29" t="str">
        <f t="shared" si="29"/>
        <v>modesg_inp_emss_scibscore_scp1</v>
      </c>
      <c r="B320" s="67" t="s">
        <v>26</v>
      </c>
      <c r="C320" s="68" t="s">
        <v>181</v>
      </c>
      <c r="D320" s="64" t="s">
        <v>40</v>
      </c>
      <c r="E320" s="66" t="s">
        <v>217</v>
      </c>
      <c r="F320" s="64" t="s">
        <v>288</v>
      </c>
      <c r="G320" s="64" t="str">
        <f>INDEX(Auxiliar!$B$16:$B$24,MATCH(Plano_V1!H320,Auxiliar!$C$16:$C$24,0),1)</f>
        <v>1. Concluído</v>
      </c>
      <c r="H320" s="64">
        <f>VLOOKUP(A320,'Aux - pivots1'!$A:$B,2,0)</f>
        <v>1</v>
      </c>
      <c r="I320" s="84">
        <f>SUMIFS(Table1[Estimação (horas)],Table1[Tabela],Plano_V1!E320,Table1[Campo],Plano_V1!F320)</f>
        <v>0.5</v>
      </c>
      <c r="J320" s="84">
        <f t="shared" si="27"/>
        <v>6.25E-2</v>
      </c>
      <c r="K320" s="89" t="s">
        <v>39</v>
      </c>
      <c r="L320" s="90">
        <f t="shared" si="28"/>
        <v>6.25E-2</v>
      </c>
      <c r="M320" s="78"/>
      <c r="N320" s="78"/>
      <c r="O320" s="78"/>
      <c r="P320" s="78"/>
      <c r="Q320" s="78"/>
      <c r="R320" s="78"/>
      <c r="S320" s="78"/>
      <c r="T320" s="78"/>
      <c r="U320" s="78"/>
      <c r="V320" s="78"/>
      <c r="W320" s="78"/>
      <c r="X320" s="78"/>
      <c r="Y320" s="78"/>
      <c r="Z320" s="78"/>
      <c r="AA320" s="78"/>
      <c r="AB320" s="78"/>
      <c r="AC320" s="78"/>
      <c r="AD320" s="78"/>
      <c r="AE320" s="78"/>
      <c r="AF320" s="78"/>
      <c r="AG320" s="78"/>
      <c r="AH320" s="78"/>
      <c r="AI320" s="78"/>
      <c r="AJ320" s="78"/>
      <c r="AK320" s="78"/>
      <c r="AL320" s="78"/>
      <c r="AM320" s="78"/>
      <c r="AN320" s="78"/>
      <c r="AO320" s="78"/>
      <c r="AP320" s="78"/>
      <c r="AQ320" s="78"/>
      <c r="AR320" s="78"/>
      <c r="AS320" s="78"/>
      <c r="AT320" s="91"/>
      <c r="AU320" s="78"/>
      <c r="AV320" s="78"/>
      <c r="AW320" s="78"/>
      <c r="AX320" s="78"/>
      <c r="AY320" s="78"/>
      <c r="AZ320" s="78"/>
      <c r="BA320" s="78"/>
      <c r="BB320" s="78"/>
      <c r="BC320" s="78"/>
      <c r="BD320" s="78"/>
      <c r="BE320" s="78"/>
      <c r="BF320" s="78"/>
      <c r="BG320" s="78"/>
      <c r="BH320" s="78"/>
      <c r="BI320" s="78"/>
      <c r="BJ320" s="78"/>
      <c r="BK320" s="78"/>
      <c r="BL320" s="78"/>
      <c r="BM320" s="78"/>
      <c r="BN320" s="78"/>
      <c r="BO320" s="78"/>
      <c r="BP320" s="78"/>
      <c r="BQ320" s="78"/>
      <c r="BR320" s="78"/>
      <c r="BS320" s="78"/>
      <c r="BT320" s="78"/>
      <c r="BU320" s="78"/>
      <c r="BV320" s="78"/>
      <c r="BW320" s="78"/>
      <c r="BX320" s="78"/>
      <c r="BY320" s="78"/>
      <c r="BZ320" s="78"/>
      <c r="CA320" s="78"/>
      <c r="CB320" s="78"/>
      <c r="CC320" s="78"/>
      <c r="CD320" s="78"/>
      <c r="CE320" s="78"/>
      <c r="CF320" s="78"/>
      <c r="CG320" s="78"/>
      <c r="CH320" s="78"/>
      <c r="CI320" s="78"/>
      <c r="CJ320" s="78"/>
      <c r="CK320" s="78"/>
      <c r="CL320" s="78"/>
      <c r="CM320" s="78"/>
      <c r="CN320" s="78"/>
      <c r="CO320" s="78"/>
      <c r="CP320" s="78"/>
      <c r="CQ320" s="78"/>
      <c r="CR320" s="78"/>
      <c r="CS320" s="78"/>
      <c r="CT320" s="78"/>
      <c r="CU320" s="78"/>
      <c r="CV320" s="78"/>
      <c r="CW320" s="78"/>
      <c r="CX320" s="78"/>
      <c r="CY320" s="78"/>
      <c r="CZ320" s="78"/>
      <c r="DA320" s="78"/>
      <c r="DB320" s="78"/>
      <c r="DC320" s="78"/>
      <c r="DD320" s="78"/>
      <c r="DE320" s="78"/>
      <c r="DF320" s="78"/>
      <c r="DG320" s="78"/>
      <c r="DH320" s="78"/>
      <c r="DI320" s="78"/>
      <c r="DJ320" s="78"/>
      <c r="DK320" s="78"/>
      <c r="DL320" s="78"/>
      <c r="DM320" s="78"/>
      <c r="DN320" s="78"/>
      <c r="DO320" s="78"/>
      <c r="DP320" s="78"/>
      <c r="DQ320" s="78"/>
      <c r="DR320" s="78"/>
      <c r="DS320" s="78"/>
      <c r="DT320" s="78"/>
      <c r="DU320" s="78"/>
      <c r="DV320" s="78"/>
      <c r="DW320" s="78"/>
      <c r="DX320" s="78"/>
      <c r="DY320" s="78"/>
      <c r="DZ320" s="78"/>
      <c r="EA320" s="78"/>
      <c r="EB320" s="78"/>
      <c r="EC320" s="78"/>
      <c r="ED320" s="78"/>
      <c r="EE320" s="78"/>
      <c r="EF320" s="78"/>
      <c r="EG320" s="78"/>
      <c r="EH320" s="78"/>
      <c r="EI320" s="91"/>
      <c r="EJ320" s="91"/>
      <c r="EK320" s="91"/>
      <c r="EL320" s="91"/>
      <c r="EM320" s="91"/>
      <c r="EN320" s="91"/>
      <c r="EO320" s="91"/>
      <c r="EP320" s="78"/>
      <c r="EQ320" s="78"/>
      <c r="ER320" s="78"/>
      <c r="ES320" s="78"/>
      <c r="ET320" s="78"/>
      <c r="EU320" s="78"/>
      <c r="EV320" s="78"/>
      <c r="EW320" s="78"/>
      <c r="EX320" s="78"/>
      <c r="EY320" s="78"/>
      <c r="EZ320" s="78"/>
      <c r="FA320" s="78"/>
      <c r="FB320" s="78"/>
      <c r="FC320" s="78"/>
      <c r="FD320" s="78"/>
      <c r="FE320" s="78"/>
      <c r="FF320" s="78"/>
      <c r="FG320" s="78"/>
      <c r="FH320" s="78"/>
      <c r="FI320" s="78"/>
      <c r="FJ320" s="78"/>
      <c r="FK320" s="78"/>
    </row>
    <row r="321" spans="1:167" outlineLevel="1">
      <c r="A321" s="29" t="str">
        <f t="shared" si="29"/>
        <v>modesg_inp_emss_scibscore_scp2</v>
      </c>
      <c r="B321" s="67" t="s">
        <v>26</v>
      </c>
      <c r="C321" s="68" t="s">
        <v>181</v>
      </c>
      <c r="D321" s="64" t="s">
        <v>40</v>
      </c>
      <c r="E321" s="66" t="s">
        <v>217</v>
      </c>
      <c r="F321" s="64" t="s">
        <v>289</v>
      </c>
      <c r="G321" s="64" t="str">
        <f>INDEX(Auxiliar!$B$16:$B$24,MATCH(Plano_V1!H321,Auxiliar!$C$16:$C$24,0),1)</f>
        <v>1. Concluído</v>
      </c>
      <c r="H321" s="64">
        <f>VLOOKUP(A321,'Aux - pivots1'!$A:$B,2,0)</f>
        <v>1</v>
      </c>
      <c r="I321" s="84">
        <f>SUMIFS(Table1[Estimação (horas)],Table1[Tabela],Plano_V1!E321,Table1[Campo],Plano_V1!F321)</f>
        <v>0.5</v>
      </c>
      <c r="J321" s="84">
        <f t="shared" si="27"/>
        <v>6.25E-2</v>
      </c>
      <c r="K321" s="89" t="s">
        <v>39</v>
      </c>
      <c r="L321" s="90">
        <f t="shared" si="28"/>
        <v>6.25E-2</v>
      </c>
      <c r="M321" s="78"/>
      <c r="N321" s="78"/>
      <c r="O321" s="78"/>
      <c r="P321" s="78"/>
      <c r="Q321" s="78"/>
      <c r="R321" s="78"/>
      <c r="S321" s="78"/>
      <c r="T321" s="78"/>
      <c r="U321" s="78"/>
      <c r="V321" s="78"/>
      <c r="W321" s="78"/>
      <c r="X321" s="78"/>
      <c r="Y321" s="78"/>
      <c r="Z321" s="78"/>
      <c r="AA321" s="78"/>
      <c r="AB321" s="78"/>
      <c r="AC321" s="78"/>
      <c r="AD321" s="78"/>
      <c r="AE321" s="78"/>
      <c r="AF321" s="78"/>
      <c r="AG321" s="78"/>
      <c r="AH321" s="78"/>
      <c r="AI321" s="78"/>
      <c r="AJ321" s="78"/>
      <c r="AK321" s="78"/>
      <c r="AL321" s="78"/>
      <c r="AM321" s="78"/>
      <c r="AN321" s="78"/>
      <c r="AO321" s="78"/>
      <c r="AP321" s="78"/>
      <c r="AQ321" s="78"/>
      <c r="AR321" s="78"/>
      <c r="AS321" s="78"/>
      <c r="AT321" s="91"/>
      <c r="AU321" s="78"/>
      <c r="AV321" s="78"/>
      <c r="AW321" s="78"/>
      <c r="AX321" s="78"/>
      <c r="AY321" s="78"/>
      <c r="AZ321" s="78"/>
      <c r="BA321" s="78"/>
      <c r="BB321" s="78"/>
      <c r="BC321" s="78"/>
      <c r="BD321" s="78"/>
      <c r="BE321" s="78"/>
      <c r="BF321" s="78"/>
      <c r="BG321" s="78"/>
      <c r="BH321" s="78"/>
      <c r="BI321" s="78"/>
      <c r="BJ321" s="78"/>
      <c r="BK321" s="78"/>
      <c r="BL321" s="78"/>
      <c r="BM321" s="78"/>
      <c r="BN321" s="78"/>
      <c r="BO321" s="78"/>
      <c r="BP321" s="78"/>
      <c r="BQ321" s="78"/>
      <c r="BR321" s="78"/>
      <c r="BS321" s="78"/>
      <c r="BT321" s="78"/>
      <c r="BU321" s="78"/>
      <c r="BV321" s="78"/>
      <c r="BW321" s="78"/>
      <c r="BX321" s="78"/>
      <c r="BY321" s="78"/>
      <c r="BZ321" s="78"/>
      <c r="CA321" s="78"/>
      <c r="CB321" s="78"/>
      <c r="CC321" s="78"/>
      <c r="CD321" s="78"/>
      <c r="CE321" s="78"/>
      <c r="CF321" s="78"/>
      <c r="CG321" s="78"/>
      <c r="CH321" s="78"/>
      <c r="CI321" s="78"/>
      <c r="CJ321" s="78"/>
      <c r="CK321" s="78"/>
      <c r="CL321" s="78"/>
      <c r="CM321" s="78"/>
      <c r="CN321" s="78"/>
      <c r="CO321" s="78"/>
      <c r="CP321" s="78"/>
      <c r="CQ321" s="78"/>
      <c r="CR321" s="78"/>
      <c r="CS321" s="78"/>
      <c r="CT321" s="78"/>
      <c r="CU321" s="78"/>
      <c r="CV321" s="78"/>
      <c r="CW321" s="78"/>
      <c r="CX321" s="78"/>
      <c r="CY321" s="78"/>
      <c r="CZ321" s="78"/>
      <c r="DA321" s="78"/>
      <c r="DB321" s="78"/>
      <c r="DC321" s="78"/>
      <c r="DD321" s="78"/>
      <c r="DE321" s="78"/>
      <c r="DF321" s="78"/>
      <c r="DG321" s="78"/>
      <c r="DH321" s="78"/>
      <c r="DI321" s="78"/>
      <c r="DJ321" s="78"/>
      <c r="DK321" s="78"/>
      <c r="DL321" s="78"/>
      <c r="DM321" s="78"/>
      <c r="DN321" s="78"/>
      <c r="DO321" s="78"/>
      <c r="DP321" s="78"/>
      <c r="DQ321" s="78"/>
      <c r="DR321" s="78"/>
      <c r="DS321" s="78"/>
      <c r="DT321" s="78"/>
      <c r="DU321" s="78"/>
      <c r="DV321" s="78"/>
      <c r="DW321" s="78"/>
      <c r="DX321" s="78"/>
      <c r="DY321" s="78"/>
      <c r="DZ321" s="78"/>
      <c r="EA321" s="78"/>
      <c r="EB321" s="78"/>
      <c r="EC321" s="78"/>
      <c r="ED321" s="78"/>
      <c r="EE321" s="78"/>
      <c r="EF321" s="78"/>
      <c r="EG321" s="78"/>
      <c r="EH321" s="78"/>
      <c r="EI321" s="91"/>
      <c r="EJ321" s="91"/>
      <c r="EK321" s="91"/>
      <c r="EL321" s="91"/>
      <c r="EM321" s="91"/>
      <c r="EN321" s="91"/>
      <c r="EO321" s="91"/>
      <c r="EP321" s="78"/>
      <c r="EQ321" s="78"/>
      <c r="ER321" s="78"/>
      <c r="ES321" s="78"/>
      <c r="ET321" s="78"/>
      <c r="EU321" s="78"/>
      <c r="EV321" s="78"/>
      <c r="EW321" s="78"/>
      <c r="EX321" s="78"/>
      <c r="EY321" s="78"/>
      <c r="EZ321" s="78"/>
      <c r="FA321" s="78"/>
      <c r="FB321" s="78"/>
      <c r="FC321" s="78"/>
      <c r="FD321" s="78"/>
      <c r="FE321" s="78"/>
      <c r="FF321" s="78"/>
      <c r="FG321" s="78"/>
      <c r="FH321" s="78"/>
      <c r="FI321" s="78"/>
      <c r="FJ321" s="78"/>
      <c r="FK321" s="78"/>
    </row>
    <row r="322" spans="1:167" outlineLevel="1">
      <c r="A322" s="29" t="str">
        <f t="shared" si="29"/>
        <v>modesg_inp_emss_scibscore_scp3</v>
      </c>
      <c r="B322" s="67" t="s">
        <v>26</v>
      </c>
      <c r="C322" s="68" t="s">
        <v>181</v>
      </c>
      <c r="D322" s="64" t="s">
        <v>40</v>
      </c>
      <c r="E322" s="66" t="s">
        <v>217</v>
      </c>
      <c r="F322" s="64" t="s">
        <v>290</v>
      </c>
      <c r="G322" s="64" t="str">
        <f>INDEX(Auxiliar!$B$16:$B$24,MATCH(Plano_V1!H322,Auxiliar!$C$16:$C$24,0),1)</f>
        <v>1. Concluído</v>
      </c>
      <c r="H322" s="64">
        <f>VLOOKUP(A322,'Aux - pivots1'!$A:$B,2,0)</f>
        <v>1</v>
      </c>
      <c r="I322" s="84">
        <f>SUMIFS(Table1[Estimação (horas)],Table1[Tabela],Plano_V1!E322,Table1[Campo],Plano_V1!F322)</f>
        <v>0.5</v>
      </c>
      <c r="J322" s="84">
        <f t="shared" si="27"/>
        <v>6.25E-2</v>
      </c>
      <c r="K322" s="89" t="s">
        <v>39</v>
      </c>
      <c r="L322" s="90">
        <f t="shared" si="28"/>
        <v>6.25E-2</v>
      </c>
      <c r="M322" s="78"/>
      <c r="N322" s="78"/>
      <c r="O322" s="78"/>
      <c r="P322" s="78"/>
      <c r="Q322" s="78"/>
      <c r="R322" s="78"/>
      <c r="S322" s="78"/>
      <c r="T322" s="78"/>
      <c r="U322" s="78"/>
      <c r="V322" s="78"/>
      <c r="W322" s="78"/>
      <c r="X322" s="78"/>
      <c r="Y322" s="78"/>
      <c r="Z322" s="78"/>
      <c r="AA322" s="78"/>
      <c r="AB322" s="78"/>
      <c r="AC322" s="78"/>
      <c r="AD322" s="78"/>
      <c r="AE322" s="78"/>
      <c r="AF322" s="78"/>
      <c r="AG322" s="78"/>
      <c r="AH322" s="78"/>
      <c r="AI322" s="78"/>
      <c r="AJ322" s="78"/>
      <c r="AK322" s="78"/>
      <c r="AL322" s="78"/>
      <c r="AM322" s="78"/>
      <c r="AN322" s="78"/>
      <c r="AO322" s="78"/>
      <c r="AP322" s="78"/>
      <c r="AQ322" s="78"/>
      <c r="AR322" s="78"/>
      <c r="AS322" s="78"/>
      <c r="AT322" s="91"/>
      <c r="AU322" s="78"/>
      <c r="AV322" s="78"/>
      <c r="AW322" s="78"/>
      <c r="AX322" s="78"/>
      <c r="AY322" s="78"/>
      <c r="AZ322" s="78"/>
      <c r="BA322" s="78"/>
      <c r="BB322" s="78"/>
      <c r="BC322" s="78"/>
      <c r="BD322" s="78"/>
      <c r="BE322" s="78"/>
      <c r="BF322" s="78"/>
      <c r="BG322" s="78"/>
      <c r="BH322" s="78"/>
      <c r="BI322" s="78"/>
      <c r="BJ322" s="78"/>
      <c r="BK322" s="78"/>
      <c r="BL322" s="78"/>
      <c r="BM322" s="78"/>
      <c r="BN322" s="78"/>
      <c r="BO322" s="78"/>
      <c r="BP322" s="78"/>
      <c r="BQ322" s="78"/>
      <c r="BR322" s="78"/>
      <c r="BS322" s="78"/>
      <c r="BT322" s="78"/>
      <c r="BU322" s="78"/>
      <c r="BV322" s="78"/>
      <c r="BW322" s="78"/>
      <c r="BX322" s="78"/>
      <c r="BY322" s="78"/>
      <c r="BZ322" s="78"/>
      <c r="CA322" s="78"/>
      <c r="CB322" s="78"/>
      <c r="CC322" s="78"/>
      <c r="CD322" s="78"/>
      <c r="CE322" s="78"/>
      <c r="CF322" s="78"/>
      <c r="CG322" s="78"/>
      <c r="CH322" s="78"/>
      <c r="CI322" s="78"/>
      <c r="CJ322" s="78"/>
      <c r="CK322" s="78"/>
      <c r="CL322" s="78"/>
      <c r="CM322" s="78"/>
      <c r="CN322" s="78"/>
      <c r="CO322" s="78"/>
      <c r="CP322" s="78"/>
      <c r="CQ322" s="78"/>
      <c r="CR322" s="78"/>
      <c r="CS322" s="78"/>
      <c r="CT322" s="78"/>
      <c r="CU322" s="78"/>
      <c r="CV322" s="78"/>
      <c r="CW322" s="78"/>
      <c r="CX322" s="78"/>
      <c r="CY322" s="78"/>
      <c r="CZ322" s="78"/>
      <c r="DA322" s="78"/>
      <c r="DB322" s="78"/>
      <c r="DC322" s="78"/>
      <c r="DD322" s="78"/>
      <c r="DE322" s="78"/>
      <c r="DF322" s="78"/>
      <c r="DG322" s="78"/>
      <c r="DH322" s="78"/>
      <c r="DI322" s="78"/>
      <c r="DJ322" s="78"/>
      <c r="DK322" s="78"/>
      <c r="DL322" s="78"/>
      <c r="DM322" s="78"/>
      <c r="DN322" s="78"/>
      <c r="DO322" s="78"/>
      <c r="DP322" s="78"/>
      <c r="DQ322" s="78"/>
      <c r="DR322" s="78"/>
      <c r="DS322" s="78"/>
      <c r="DT322" s="78"/>
      <c r="DU322" s="78"/>
      <c r="DV322" s="78"/>
      <c r="DW322" s="78"/>
      <c r="DX322" s="78"/>
      <c r="DY322" s="78"/>
      <c r="DZ322" s="78"/>
      <c r="EA322" s="78"/>
      <c r="EB322" s="78"/>
      <c r="EC322" s="78"/>
      <c r="ED322" s="78"/>
      <c r="EE322" s="78"/>
      <c r="EF322" s="78"/>
      <c r="EG322" s="78"/>
      <c r="EH322" s="78"/>
      <c r="EI322" s="91"/>
      <c r="EJ322" s="91"/>
      <c r="EK322" s="91"/>
      <c r="EL322" s="91"/>
      <c r="EM322" s="91"/>
      <c r="EN322" s="91"/>
      <c r="EO322" s="91"/>
      <c r="EP322" s="78"/>
      <c r="EQ322" s="78"/>
      <c r="ER322" s="78"/>
      <c r="ES322" s="78"/>
      <c r="ET322" s="78"/>
      <c r="EU322" s="78"/>
      <c r="EV322" s="78"/>
      <c r="EW322" s="78"/>
      <c r="EX322" s="78"/>
      <c r="EY322" s="78"/>
      <c r="EZ322" s="78"/>
      <c r="FA322" s="78"/>
      <c r="FB322" s="78"/>
      <c r="FC322" s="78"/>
      <c r="FD322" s="78"/>
      <c r="FE322" s="78"/>
      <c r="FF322" s="78"/>
      <c r="FG322" s="78"/>
      <c r="FH322" s="78"/>
      <c r="FI322" s="78"/>
      <c r="FJ322" s="78"/>
      <c r="FK322" s="78"/>
    </row>
    <row r="323" spans="1:167" outlineLevel="1">
      <c r="A323" s="29" t="str">
        <f t="shared" si="29"/>
        <v>modesg_inp_emss_sciborigem_scp1</v>
      </c>
      <c r="B323" s="67" t="s">
        <v>26</v>
      </c>
      <c r="C323" s="68" t="s">
        <v>181</v>
      </c>
      <c r="D323" s="64" t="s">
        <v>40</v>
      </c>
      <c r="E323" s="66" t="s">
        <v>217</v>
      </c>
      <c r="F323" s="64" t="s">
        <v>291</v>
      </c>
      <c r="G323" s="64" t="str">
        <f>INDEX(Auxiliar!$B$16:$B$24,MATCH(Plano_V1!H323,Auxiliar!$C$16:$C$24,0),1)</f>
        <v>1. Concluído</v>
      </c>
      <c r="H323" s="64">
        <f>VLOOKUP(A323,'Aux - pivots1'!$A:$B,2,0)</f>
        <v>1</v>
      </c>
      <c r="I323" s="84">
        <f>SUMIFS(Table1[Estimação (horas)],Table1[Tabela],Plano_V1!E323,Table1[Campo],Plano_V1!F323)</f>
        <v>0.5</v>
      </c>
      <c r="J323" s="84">
        <f t="shared" si="27"/>
        <v>6.25E-2</v>
      </c>
      <c r="K323" s="89" t="s">
        <v>39</v>
      </c>
      <c r="L323" s="90">
        <f t="shared" si="28"/>
        <v>6.25E-2</v>
      </c>
      <c r="M323" s="78"/>
      <c r="N323" s="78"/>
      <c r="O323" s="78"/>
      <c r="P323" s="78"/>
      <c r="Q323" s="78"/>
      <c r="R323" s="78"/>
      <c r="S323" s="78"/>
      <c r="T323" s="78"/>
      <c r="U323" s="78"/>
      <c r="V323" s="78"/>
      <c r="W323" s="78"/>
      <c r="X323" s="78"/>
      <c r="Y323" s="78"/>
      <c r="Z323" s="78"/>
      <c r="AA323" s="78"/>
      <c r="AB323" s="78"/>
      <c r="AC323" s="78"/>
      <c r="AD323" s="78"/>
      <c r="AE323" s="78"/>
      <c r="AF323" s="78"/>
      <c r="AG323" s="78"/>
      <c r="AH323" s="78"/>
      <c r="AI323" s="78"/>
      <c r="AJ323" s="78"/>
      <c r="AK323" s="78"/>
      <c r="AL323" s="78"/>
      <c r="AM323" s="78"/>
      <c r="AN323" s="78"/>
      <c r="AO323" s="78"/>
      <c r="AP323" s="78"/>
      <c r="AQ323" s="78"/>
      <c r="AR323" s="78"/>
      <c r="AS323" s="78"/>
      <c r="AT323" s="91"/>
      <c r="AU323" s="78"/>
      <c r="AV323" s="78"/>
      <c r="AW323" s="78"/>
      <c r="AX323" s="78"/>
      <c r="AY323" s="78"/>
      <c r="AZ323" s="78"/>
      <c r="BA323" s="78"/>
      <c r="BB323" s="78"/>
      <c r="BC323" s="78"/>
      <c r="BD323" s="78"/>
      <c r="BE323" s="78"/>
      <c r="BF323" s="78"/>
      <c r="BG323" s="78"/>
      <c r="BH323" s="78"/>
      <c r="BI323" s="78"/>
      <c r="BJ323" s="78"/>
      <c r="BK323" s="78"/>
      <c r="BL323" s="78"/>
      <c r="BM323" s="78"/>
      <c r="BN323" s="78"/>
      <c r="BO323" s="78"/>
      <c r="BP323" s="78"/>
      <c r="BQ323" s="78"/>
      <c r="BR323" s="78"/>
      <c r="BS323" s="78"/>
      <c r="BT323" s="78"/>
      <c r="BU323" s="78"/>
      <c r="BV323" s="78"/>
      <c r="BW323" s="78"/>
      <c r="BX323" s="78"/>
      <c r="BY323" s="78"/>
      <c r="BZ323" s="78"/>
      <c r="CA323" s="78"/>
      <c r="CB323" s="78"/>
      <c r="CC323" s="78"/>
      <c r="CD323" s="78"/>
      <c r="CE323" s="78"/>
      <c r="CF323" s="78"/>
      <c r="CG323" s="78"/>
      <c r="CH323" s="78"/>
      <c r="CI323" s="78"/>
      <c r="CJ323" s="78"/>
      <c r="CK323" s="78"/>
      <c r="CL323" s="78"/>
      <c r="CM323" s="78"/>
      <c r="CN323" s="78"/>
      <c r="CO323" s="78"/>
      <c r="CP323" s="78"/>
      <c r="CQ323" s="78"/>
      <c r="CR323" s="78"/>
      <c r="CS323" s="78"/>
      <c r="CT323" s="78"/>
      <c r="CU323" s="78"/>
      <c r="CV323" s="78"/>
      <c r="CW323" s="78"/>
      <c r="CX323" s="78"/>
      <c r="CY323" s="78"/>
      <c r="CZ323" s="78"/>
      <c r="DA323" s="78"/>
      <c r="DB323" s="78"/>
      <c r="DC323" s="78"/>
      <c r="DD323" s="78"/>
      <c r="DE323" s="78"/>
      <c r="DF323" s="78"/>
      <c r="DG323" s="78"/>
      <c r="DH323" s="78"/>
      <c r="DI323" s="78"/>
      <c r="DJ323" s="78"/>
      <c r="DK323" s="78"/>
      <c r="DL323" s="78"/>
      <c r="DM323" s="78"/>
      <c r="DN323" s="78"/>
      <c r="DO323" s="78"/>
      <c r="DP323" s="78"/>
      <c r="DQ323" s="78"/>
      <c r="DR323" s="78"/>
      <c r="DS323" s="78"/>
      <c r="DT323" s="78"/>
      <c r="DU323" s="78"/>
      <c r="DV323" s="78"/>
      <c r="DW323" s="78"/>
      <c r="DX323" s="78"/>
      <c r="DY323" s="78"/>
      <c r="DZ323" s="78"/>
      <c r="EA323" s="78"/>
      <c r="EB323" s="78"/>
      <c r="EC323" s="78"/>
      <c r="ED323" s="78"/>
      <c r="EE323" s="78"/>
      <c r="EF323" s="78"/>
      <c r="EG323" s="78"/>
      <c r="EH323" s="78"/>
      <c r="EI323" s="91"/>
      <c r="EJ323" s="91"/>
      <c r="EK323" s="91"/>
      <c r="EL323" s="91"/>
      <c r="EM323" s="91"/>
      <c r="EN323" s="91"/>
      <c r="EO323" s="91"/>
      <c r="EP323" s="78"/>
      <c r="EQ323" s="78"/>
      <c r="ER323" s="78"/>
      <c r="ES323" s="78"/>
      <c r="ET323" s="78"/>
      <c r="EU323" s="78"/>
      <c r="EV323" s="78"/>
      <c r="EW323" s="78"/>
      <c r="EX323" s="78"/>
      <c r="EY323" s="78"/>
      <c r="EZ323" s="78"/>
      <c r="FA323" s="78"/>
      <c r="FB323" s="78"/>
      <c r="FC323" s="78"/>
      <c r="FD323" s="78"/>
      <c r="FE323" s="78"/>
      <c r="FF323" s="78"/>
      <c r="FG323" s="78"/>
      <c r="FH323" s="78"/>
      <c r="FI323" s="78"/>
      <c r="FJ323" s="78"/>
      <c r="FK323" s="78"/>
    </row>
    <row r="324" spans="1:167" outlineLevel="1">
      <c r="A324" s="29" t="str">
        <f t="shared" si="29"/>
        <v>modesg_inp_emss_sciborigem_scp2</v>
      </c>
      <c r="B324" s="67" t="s">
        <v>26</v>
      </c>
      <c r="C324" s="68" t="s">
        <v>181</v>
      </c>
      <c r="D324" s="64" t="s">
        <v>40</v>
      </c>
      <c r="E324" s="66" t="s">
        <v>217</v>
      </c>
      <c r="F324" s="64" t="s">
        <v>292</v>
      </c>
      <c r="G324" s="64" t="str">
        <f>INDEX(Auxiliar!$B$16:$B$24,MATCH(Plano_V1!H324,Auxiliar!$C$16:$C$24,0),1)</f>
        <v>1. Concluído</v>
      </c>
      <c r="H324" s="64">
        <f>VLOOKUP(A324,'Aux - pivots1'!$A:$B,2,0)</f>
        <v>1</v>
      </c>
      <c r="I324" s="84">
        <f>SUMIFS(Table1[Estimação (horas)],Table1[Tabela],Plano_V1!E324,Table1[Campo],Plano_V1!F324)</f>
        <v>0.5</v>
      </c>
      <c r="J324" s="84">
        <f t="shared" si="27"/>
        <v>6.25E-2</v>
      </c>
      <c r="K324" s="89" t="s">
        <v>39</v>
      </c>
      <c r="L324" s="90">
        <f t="shared" si="28"/>
        <v>6.25E-2</v>
      </c>
      <c r="M324" s="78"/>
      <c r="N324" s="78"/>
      <c r="O324" s="78"/>
      <c r="P324" s="78"/>
      <c r="Q324" s="78"/>
      <c r="R324" s="78"/>
      <c r="S324" s="78"/>
      <c r="T324" s="78"/>
      <c r="U324" s="78"/>
      <c r="V324" s="78"/>
      <c r="W324" s="78"/>
      <c r="X324" s="78"/>
      <c r="Y324" s="78"/>
      <c r="Z324" s="78"/>
      <c r="AA324" s="78"/>
      <c r="AB324" s="78"/>
      <c r="AC324" s="78"/>
      <c r="AD324" s="78"/>
      <c r="AE324" s="78"/>
      <c r="AF324" s="78"/>
      <c r="AG324" s="78"/>
      <c r="AH324" s="78"/>
      <c r="AI324" s="78"/>
      <c r="AJ324" s="78"/>
      <c r="AK324" s="78"/>
      <c r="AL324" s="78"/>
      <c r="AM324" s="78"/>
      <c r="AN324" s="78"/>
      <c r="AO324" s="78"/>
      <c r="AP324" s="78"/>
      <c r="AQ324" s="78"/>
      <c r="AR324" s="78"/>
      <c r="AS324" s="78"/>
      <c r="AT324" s="91"/>
      <c r="AU324" s="78"/>
      <c r="AV324" s="78"/>
      <c r="AW324" s="78"/>
      <c r="AX324" s="78"/>
      <c r="AY324" s="78"/>
      <c r="AZ324" s="78"/>
      <c r="BA324" s="78"/>
      <c r="BB324" s="78"/>
      <c r="BC324" s="78"/>
      <c r="BD324" s="78"/>
      <c r="BE324" s="78"/>
      <c r="BF324" s="78"/>
      <c r="BG324" s="78"/>
      <c r="BH324" s="78"/>
      <c r="BI324" s="78"/>
      <c r="BJ324" s="78"/>
      <c r="BK324" s="78"/>
      <c r="BL324" s="78"/>
      <c r="BM324" s="78"/>
      <c r="BN324" s="78"/>
      <c r="BO324" s="78"/>
      <c r="BP324" s="78"/>
      <c r="BQ324" s="78"/>
      <c r="BR324" s="78"/>
      <c r="BS324" s="78"/>
      <c r="BT324" s="78"/>
      <c r="BU324" s="78"/>
      <c r="BV324" s="78"/>
      <c r="BW324" s="78"/>
      <c r="BX324" s="78"/>
      <c r="BY324" s="78"/>
      <c r="BZ324" s="78"/>
      <c r="CA324" s="78"/>
      <c r="CB324" s="78"/>
      <c r="CC324" s="78"/>
      <c r="CD324" s="78"/>
      <c r="CE324" s="78"/>
      <c r="CF324" s="78"/>
      <c r="CG324" s="78"/>
      <c r="CH324" s="78"/>
      <c r="CI324" s="78"/>
      <c r="CJ324" s="78"/>
      <c r="CK324" s="78"/>
      <c r="CL324" s="78"/>
      <c r="CM324" s="78"/>
      <c r="CN324" s="78"/>
      <c r="CO324" s="78"/>
      <c r="CP324" s="78"/>
      <c r="CQ324" s="78"/>
      <c r="CR324" s="78"/>
      <c r="CS324" s="78"/>
      <c r="CT324" s="78"/>
      <c r="CU324" s="78"/>
      <c r="CV324" s="78"/>
      <c r="CW324" s="78"/>
      <c r="CX324" s="78"/>
      <c r="CY324" s="78"/>
      <c r="CZ324" s="78"/>
      <c r="DA324" s="78"/>
      <c r="DB324" s="78"/>
      <c r="DC324" s="78"/>
      <c r="DD324" s="78"/>
      <c r="DE324" s="78"/>
      <c r="DF324" s="78"/>
      <c r="DG324" s="78"/>
      <c r="DH324" s="78"/>
      <c r="DI324" s="78"/>
      <c r="DJ324" s="78"/>
      <c r="DK324" s="78"/>
      <c r="DL324" s="78"/>
      <c r="DM324" s="78"/>
      <c r="DN324" s="78"/>
      <c r="DO324" s="78"/>
      <c r="DP324" s="78"/>
      <c r="DQ324" s="78"/>
      <c r="DR324" s="78"/>
      <c r="DS324" s="78"/>
      <c r="DT324" s="78"/>
      <c r="DU324" s="78"/>
      <c r="DV324" s="78"/>
      <c r="DW324" s="78"/>
      <c r="DX324" s="78"/>
      <c r="DY324" s="78"/>
      <c r="DZ324" s="78"/>
      <c r="EA324" s="78"/>
      <c r="EB324" s="78"/>
      <c r="EC324" s="78"/>
      <c r="ED324" s="78"/>
      <c r="EE324" s="78"/>
      <c r="EF324" s="78"/>
      <c r="EG324" s="78"/>
      <c r="EH324" s="78"/>
      <c r="EI324" s="91"/>
      <c r="EJ324" s="91"/>
      <c r="EK324" s="91"/>
      <c r="EL324" s="91"/>
      <c r="EM324" s="91"/>
      <c r="EN324" s="91"/>
      <c r="EO324" s="91"/>
      <c r="EP324" s="78"/>
      <c r="EQ324" s="78"/>
      <c r="ER324" s="78"/>
      <c r="ES324" s="78"/>
      <c r="ET324" s="78"/>
      <c r="EU324" s="78"/>
      <c r="EV324" s="78"/>
      <c r="EW324" s="78"/>
      <c r="EX324" s="78"/>
      <c r="EY324" s="78"/>
      <c r="EZ324" s="78"/>
      <c r="FA324" s="78"/>
      <c r="FB324" s="78"/>
      <c r="FC324" s="78"/>
      <c r="FD324" s="78"/>
      <c r="FE324" s="78"/>
      <c r="FF324" s="78"/>
      <c r="FG324" s="78"/>
      <c r="FH324" s="78"/>
      <c r="FI324" s="78"/>
      <c r="FJ324" s="78"/>
      <c r="FK324" s="78"/>
    </row>
    <row r="325" spans="1:167" outlineLevel="1">
      <c r="A325" s="29" t="str">
        <f t="shared" si="29"/>
        <v>modesg_inp_emss_sciborigem_scp3</v>
      </c>
      <c r="B325" s="67" t="s">
        <v>26</v>
      </c>
      <c r="C325" s="68" t="s">
        <v>181</v>
      </c>
      <c r="D325" s="64" t="s">
        <v>40</v>
      </c>
      <c r="E325" s="66" t="s">
        <v>217</v>
      </c>
      <c r="F325" s="64" t="s">
        <v>293</v>
      </c>
      <c r="G325" s="64" t="str">
        <f>INDEX(Auxiliar!$B$16:$B$24,MATCH(Plano_V1!H325,Auxiliar!$C$16:$C$24,0),1)</f>
        <v>1. Concluído</v>
      </c>
      <c r="H325" s="64">
        <f>VLOOKUP(A325,'Aux - pivots1'!$A:$B,2,0)</f>
        <v>1</v>
      </c>
      <c r="I325" s="84">
        <f>SUMIFS(Table1[Estimação (horas)],Table1[Tabela],Plano_V1!E325,Table1[Campo],Plano_V1!F325)</f>
        <v>0.5</v>
      </c>
      <c r="J325" s="84">
        <f t="shared" si="27"/>
        <v>6.25E-2</v>
      </c>
      <c r="K325" s="89" t="s">
        <v>39</v>
      </c>
      <c r="L325" s="90">
        <f t="shared" si="28"/>
        <v>6.25E-2</v>
      </c>
      <c r="M325" s="78"/>
      <c r="N325" s="78"/>
      <c r="O325" s="78"/>
      <c r="P325" s="78"/>
      <c r="Q325" s="78"/>
      <c r="R325" s="78"/>
      <c r="S325" s="78"/>
      <c r="T325" s="78"/>
      <c r="U325" s="78"/>
      <c r="V325" s="78"/>
      <c r="W325" s="78"/>
      <c r="X325" s="78"/>
      <c r="Y325" s="78"/>
      <c r="Z325" s="78"/>
      <c r="AA325" s="78"/>
      <c r="AB325" s="78"/>
      <c r="AC325" s="78"/>
      <c r="AD325" s="78"/>
      <c r="AE325" s="78"/>
      <c r="AF325" s="78"/>
      <c r="AG325" s="78"/>
      <c r="AH325" s="78"/>
      <c r="AI325" s="78"/>
      <c r="AJ325" s="78"/>
      <c r="AK325" s="78"/>
      <c r="AL325" s="78"/>
      <c r="AM325" s="78"/>
      <c r="AN325" s="78"/>
      <c r="AO325" s="78"/>
      <c r="AP325" s="78"/>
      <c r="AQ325" s="78"/>
      <c r="AR325" s="78"/>
      <c r="AS325" s="78"/>
      <c r="AT325" s="91"/>
      <c r="AU325" s="78"/>
      <c r="AV325" s="78"/>
      <c r="AW325" s="78"/>
      <c r="AX325" s="78"/>
      <c r="AY325" s="78"/>
      <c r="AZ325" s="78"/>
      <c r="BA325" s="78"/>
      <c r="BB325" s="78"/>
      <c r="BC325" s="78"/>
      <c r="BD325" s="78"/>
      <c r="BE325" s="78"/>
      <c r="BF325" s="78"/>
      <c r="BG325" s="78"/>
      <c r="BH325" s="78"/>
      <c r="BI325" s="78"/>
      <c r="BJ325" s="78"/>
      <c r="BK325" s="78"/>
      <c r="BL325" s="78"/>
      <c r="BM325" s="78"/>
      <c r="BN325" s="78"/>
      <c r="BO325" s="78"/>
      <c r="BP325" s="78"/>
      <c r="BQ325" s="78"/>
      <c r="BR325" s="78"/>
      <c r="BS325" s="78"/>
      <c r="BT325" s="78"/>
      <c r="BU325" s="78"/>
      <c r="BV325" s="78"/>
      <c r="BW325" s="78"/>
      <c r="BX325" s="78"/>
      <c r="BY325" s="78"/>
      <c r="BZ325" s="78"/>
      <c r="CA325" s="78"/>
      <c r="CB325" s="78"/>
      <c r="CC325" s="78"/>
      <c r="CD325" s="78"/>
      <c r="CE325" s="78"/>
      <c r="CF325" s="78"/>
      <c r="CG325" s="78"/>
      <c r="CH325" s="78"/>
      <c r="CI325" s="78"/>
      <c r="CJ325" s="78"/>
      <c r="CK325" s="78"/>
      <c r="CL325" s="78"/>
      <c r="CM325" s="78"/>
      <c r="CN325" s="78"/>
      <c r="CO325" s="78"/>
      <c r="CP325" s="78"/>
      <c r="CQ325" s="78"/>
      <c r="CR325" s="78"/>
      <c r="CS325" s="78"/>
      <c r="CT325" s="78"/>
      <c r="CU325" s="78"/>
      <c r="CV325" s="78"/>
      <c r="CW325" s="78"/>
      <c r="CX325" s="78"/>
      <c r="CY325" s="78"/>
      <c r="CZ325" s="78"/>
      <c r="DA325" s="78"/>
      <c r="DB325" s="78"/>
      <c r="DC325" s="78"/>
      <c r="DD325" s="78"/>
      <c r="DE325" s="78"/>
      <c r="DF325" s="78"/>
      <c r="DG325" s="78"/>
      <c r="DH325" s="78"/>
      <c r="DI325" s="78"/>
      <c r="DJ325" s="78"/>
      <c r="DK325" s="78"/>
      <c r="DL325" s="78"/>
      <c r="DM325" s="78"/>
      <c r="DN325" s="78"/>
      <c r="DO325" s="78"/>
      <c r="DP325" s="78"/>
      <c r="DQ325" s="78"/>
      <c r="DR325" s="78"/>
      <c r="DS325" s="78"/>
      <c r="DT325" s="78"/>
      <c r="DU325" s="78"/>
      <c r="DV325" s="78"/>
      <c r="DW325" s="78"/>
      <c r="DX325" s="78"/>
      <c r="DY325" s="78"/>
      <c r="DZ325" s="78"/>
      <c r="EA325" s="78"/>
      <c r="EB325" s="78"/>
      <c r="EC325" s="78"/>
      <c r="ED325" s="78"/>
      <c r="EE325" s="78"/>
      <c r="EF325" s="78"/>
      <c r="EG325" s="78"/>
      <c r="EH325" s="78"/>
      <c r="EI325" s="91"/>
      <c r="EJ325" s="91"/>
      <c r="EK325" s="91"/>
      <c r="EL325" s="91"/>
      <c r="EM325" s="91"/>
      <c r="EN325" s="91"/>
      <c r="EO325" s="91"/>
      <c r="EP325" s="78"/>
      <c r="EQ325" s="78"/>
      <c r="ER325" s="78"/>
      <c r="ES325" s="78"/>
      <c r="ET325" s="78"/>
      <c r="EU325" s="78"/>
      <c r="EV325" s="78"/>
      <c r="EW325" s="78"/>
      <c r="EX325" s="78"/>
      <c r="EY325" s="78"/>
      <c r="EZ325" s="78"/>
      <c r="FA325" s="78"/>
      <c r="FB325" s="78"/>
      <c r="FC325" s="78"/>
      <c r="FD325" s="78"/>
      <c r="FE325" s="78"/>
      <c r="FF325" s="78"/>
      <c r="FG325" s="78"/>
      <c r="FH325" s="78"/>
      <c r="FI325" s="78"/>
      <c r="FJ325" s="78"/>
      <c r="FK325" s="78"/>
    </row>
    <row r="326" spans="1:167" outlineLevel="1">
      <c r="A326" s="29" t="str">
        <f t="shared" si="29"/>
        <v>modesg_inp_emss_scibano_info</v>
      </c>
      <c r="B326" s="67" t="s">
        <v>26</v>
      </c>
      <c r="C326" s="68" t="s">
        <v>181</v>
      </c>
      <c r="D326" s="64" t="s">
        <v>40</v>
      </c>
      <c r="E326" s="66" t="s">
        <v>217</v>
      </c>
      <c r="F326" s="64" t="s">
        <v>294</v>
      </c>
      <c r="G326" s="64" t="str">
        <f>INDEX(Auxiliar!$B$16:$B$24,MATCH(Plano_V1!H326,Auxiliar!$C$16:$C$24,0),1)</f>
        <v>1. Concluído</v>
      </c>
      <c r="H326" s="64">
        <f>VLOOKUP(A326,'Aux - pivots1'!$A:$B,2,0)</f>
        <v>1</v>
      </c>
      <c r="I326" s="84">
        <f>SUMIFS(Table1[Estimação (horas)],Table1[Tabela],Plano_V1!E326,Table1[Campo],Plano_V1!F326)</f>
        <v>0.5</v>
      </c>
      <c r="J326" s="84">
        <f t="shared" si="27"/>
        <v>6.25E-2</v>
      </c>
      <c r="K326" s="89" t="s">
        <v>39</v>
      </c>
      <c r="L326" s="90">
        <f t="shared" si="28"/>
        <v>6.25E-2</v>
      </c>
      <c r="M326" s="78"/>
      <c r="N326" s="78"/>
      <c r="O326" s="78"/>
      <c r="P326" s="78"/>
      <c r="Q326" s="78"/>
      <c r="R326" s="78"/>
      <c r="S326" s="78"/>
      <c r="T326" s="78"/>
      <c r="U326" s="78"/>
      <c r="V326" s="78"/>
      <c r="W326" s="78"/>
      <c r="X326" s="78"/>
      <c r="Y326" s="78"/>
      <c r="Z326" s="78"/>
      <c r="AA326" s="78"/>
      <c r="AB326" s="78"/>
      <c r="AC326" s="78"/>
      <c r="AD326" s="78"/>
      <c r="AE326" s="78"/>
      <c r="AF326" s="78"/>
      <c r="AG326" s="78"/>
      <c r="AH326" s="78"/>
      <c r="AI326" s="78"/>
      <c r="AJ326" s="78"/>
      <c r="AK326" s="78"/>
      <c r="AL326" s="78"/>
      <c r="AM326" s="78"/>
      <c r="AN326" s="78"/>
      <c r="AO326" s="78"/>
      <c r="AP326" s="78"/>
      <c r="AQ326" s="78"/>
      <c r="AR326" s="78"/>
      <c r="AS326" s="78"/>
      <c r="AT326" s="91"/>
      <c r="AU326" s="78"/>
      <c r="AV326" s="78"/>
      <c r="AW326" s="78"/>
      <c r="AX326" s="78"/>
      <c r="AY326" s="78"/>
      <c r="AZ326" s="78"/>
      <c r="BA326" s="78"/>
      <c r="BB326" s="78"/>
      <c r="BC326" s="78"/>
      <c r="BD326" s="78"/>
      <c r="BE326" s="78"/>
      <c r="BF326" s="78"/>
      <c r="BG326" s="78"/>
      <c r="BH326" s="78"/>
      <c r="BI326" s="78"/>
      <c r="BJ326" s="78"/>
      <c r="BK326" s="78"/>
      <c r="BL326" s="78"/>
      <c r="BM326" s="78"/>
      <c r="BN326" s="78"/>
      <c r="BO326" s="78"/>
      <c r="BP326" s="78"/>
      <c r="BQ326" s="78"/>
      <c r="BR326" s="78"/>
      <c r="BS326" s="78"/>
      <c r="BT326" s="78"/>
      <c r="BU326" s="78"/>
      <c r="BV326" s="78"/>
      <c r="BW326" s="78"/>
      <c r="BX326" s="78"/>
      <c r="BY326" s="78"/>
      <c r="BZ326" s="78"/>
      <c r="CA326" s="78"/>
      <c r="CB326" s="78"/>
      <c r="CC326" s="78"/>
      <c r="CD326" s="78"/>
      <c r="CE326" s="78"/>
      <c r="CF326" s="78"/>
      <c r="CG326" s="78"/>
      <c r="CH326" s="78"/>
      <c r="CI326" s="78"/>
      <c r="CJ326" s="78"/>
      <c r="CK326" s="78"/>
      <c r="CL326" s="78"/>
      <c r="CM326" s="78"/>
      <c r="CN326" s="78"/>
      <c r="CO326" s="78"/>
      <c r="CP326" s="78"/>
      <c r="CQ326" s="78"/>
      <c r="CR326" s="78"/>
      <c r="CS326" s="78"/>
      <c r="CT326" s="78"/>
      <c r="CU326" s="78"/>
      <c r="CV326" s="78"/>
      <c r="CW326" s="78"/>
      <c r="CX326" s="78"/>
      <c r="CY326" s="78"/>
      <c r="CZ326" s="78"/>
      <c r="DA326" s="78"/>
      <c r="DB326" s="78"/>
      <c r="DC326" s="78"/>
      <c r="DD326" s="78"/>
      <c r="DE326" s="78"/>
      <c r="DF326" s="78"/>
      <c r="DG326" s="78"/>
      <c r="DH326" s="78"/>
      <c r="DI326" s="78"/>
      <c r="DJ326" s="78"/>
      <c r="DK326" s="78"/>
      <c r="DL326" s="78"/>
      <c r="DM326" s="78"/>
      <c r="DN326" s="78"/>
      <c r="DO326" s="78"/>
      <c r="DP326" s="78"/>
      <c r="DQ326" s="78"/>
      <c r="DR326" s="78"/>
      <c r="DS326" s="78"/>
      <c r="DT326" s="78"/>
      <c r="DU326" s="78"/>
      <c r="DV326" s="78"/>
      <c r="DW326" s="78"/>
      <c r="DX326" s="78"/>
      <c r="DY326" s="78"/>
      <c r="DZ326" s="78"/>
      <c r="EA326" s="78"/>
      <c r="EB326" s="78"/>
      <c r="EC326" s="78"/>
      <c r="ED326" s="78"/>
      <c r="EE326" s="78"/>
      <c r="EF326" s="78"/>
      <c r="EG326" s="78"/>
      <c r="EH326" s="78"/>
      <c r="EI326" s="91"/>
      <c r="EJ326" s="91"/>
      <c r="EK326" s="91"/>
      <c r="EL326" s="91"/>
      <c r="EM326" s="91"/>
      <c r="EN326" s="91"/>
      <c r="EO326" s="91"/>
      <c r="EP326" s="78"/>
      <c r="EQ326" s="78"/>
      <c r="ER326" s="78"/>
      <c r="ES326" s="78"/>
      <c r="ET326" s="78"/>
      <c r="EU326" s="78"/>
      <c r="EV326" s="78"/>
      <c r="EW326" s="78"/>
      <c r="EX326" s="78"/>
      <c r="EY326" s="78"/>
      <c r="EZ326" s="78"/>
      <c r="FA326" s="78"/>
      <c r="FB326" s="78"/>
      <c r="FC326" s="78"/>
      <c r="FD326" s="78"/>
      <c r="FE326" s="78"/>
      <c r="FF326" s="78"/>
      <c r="FG326" s="78"/>
      <c r="FH326" s="78"/>
      <c r="FI326" s="78"/>
      <c r="FJ326" s="78"/>
      <c r="FK326" s="78"/>
    </row>
    <row r="327" spans="1:167" outlineLevel="1">
      <c r="A327" s="29" t="str">
        <f t="shared" si="29"/>
        <v>modesg_inp_emss_scibdivida_total</v>
      </c>
      <c r="B327" s="67" t="s">
        <v>26</v>
      </c>
      <c r="C327" s="68" t="s">
        <v>181</v>
      </c>
      <c r="D327" s="64" t="s">
        <v>40</v>
      </c>
      <c r="E327" s="66" t="s">
        <v>217</v>
      </c>
      <c r="F327" s="64" t="s">
        <v>295</v>
      </c>
      <c r="G327" s="64" t="str">
        <f>INDEX(Auxiliar!$B$16:$B$24,MATCH(Plano_V1!H327,Auxiliar!$C$16:$C$24,0),1)</f>
        <v>1. Concluído</v>
      </c>
      <c r="H327" s="64">
        <f>VLOOKUP(A327,'Aux - pivots1'!$A:$B,2,0)</f>
        <v>1</v>
      </c>
      <c r="I327" s="84">
        <f>SUMIFS(Table1[Estimação (horas)],Table1[Tabela],Plano_V1!E327,Table1[Campo],Plano_V1!F327)</f>
        <v>0.5</v>
      </c>
      <c r="J327" s="84">
        <f t="shared" ref="J327:J360" si="30">I327/8</f>
        <v>6.25E-2</v>
      </c>
      <c r="K327" s="89" t="s">
        <v>39</v>
      </c>
      <c r="L327" s="90">
        <f t="shared" si="28"/>
        <v>6.25E-2</v>
      </c>
      <c r="M327" s="78"/>
      <c r="N327" s="78"/>
      <c r="O327" s="78"/>
      <c r="P327" s="78"/>
      <c r="Q327" s="78"/>
      <c r="R327" s="78"/>
      <c r="S327" s="78"/>
      <c r="T327" s="78"/>
      <c r="U327" s="78"/>
      <c r="V327" s="78"/>
      <c r="W327" s="78"/>
      <c r="X327" s="78"/>
      <c r="Y327" s="78"/>
      <c r="Z327" s="78"/>
      <c r="AA327" s="78"/>
      <c r="AB327" s="78"/>
      <c r="AC327" s="78"/>
      <c r="AD327" s="78"/>
      <c r="AE327" s="78"/>
      <c r="AF327" s="78"/>
      <c r="AG327" s="78"/>
      <c r="AH327" s="78"/>
      <c r="AI327" s="78"/>
      <c r="AJ327" s="78"/>
      <c r="AK327" s="78"/>
      <c r="AL327" s="78"/>
      <c r="AM327" s="78"/>
      <c r="AN327" s="78"/>
      <c r="AO327" s="78"/>
      <c r="AP327" s="78"/>
      <c r="AQ327" s="78"/>
      <c r="AR327" s="78"/>
      <c r="AS327" s="78"/>
      <c r="AT327" s="91"/>
      <c r="AU327" s="78"/>
      <c r="AV327" s="78"/>
      <c r="AW327" s="78"/>
      <c r="AX327" s="78"/>
      <c r="AY327" s="78"/>
      <c r="AZ327" s="78"/>
      <c r="BA327" s="78"/>
      <c r="BB327" s="78"/>
      <c r="BC327" s="78"/>
      <c r="BD327" s="78"/>
      <c r="BE327" s="78"/>
      <c r="BF327" s="78"/>
      <c r="BG327" s="78"/>
      <c r="BH327" s="78"/>
      <c r="BI327" s="78"/>
      <c r="BJ327" s="78"/>
      <c r="BK327" s="78"/>
      <c r="BL327" s="78"/>
      <c r="BM327" s="78"/>
      <c r="BN327" s="78"/>
      <c r="BO327" s="78"/>
      <c r="BP327" s="78"/>
      <c r="BQ327" s="78"/>
      <c r="BR327" s="78"/>
      <c r="BS327" s="78"/>
      <c r="BT327" s="78"/>
      <c r="BU327" s="78"/>
      <c r="BV327" s="78"/>
      <c r="BW327" s="78"/>
      <c r="BX327" s="78"/>
      <c r="BY327" s="78"/>
      <c r="BZ327" s="78"/>
      <c r="CA327" s="78"/>
      <c r="CB327" s="78"/>
      <c r="CC327" s="78"/>
      <c r="CD327" s="78"/>
      <c r="CE327" s="78"/>
      <c r="CF327" s="78"/>
      <c r="CG327" s="78"/>
      <c r="CH327" s="78"/>
      <c r="CI327" s="78"/>
      <c r="CJ327" s="78"/>
      <c r="CK327" s="78"/>
      <c r="CL327" s="78"/>
      <c r="CM327" s="78"/>
      <c r="CN327" s="78"/>
      <c r="CO327" s="78"/>
      <c r="CP327" s="78"/>
      <c r="CQ327" s="78"/>
      <c r="CR327" s="78"/>
      <c r="CS327" s="78"/>
      <c r="CT327" s="78"/>
      <c r="CU327" s="78"/>
      <c r="CV327" s="78"/>
      <c r="CW327" s="78"/>
      <c r="CX327" s="78"/>
      <c r="CY327" s="78"/>
      <c r="CZ327" s="78"/>
      <c r="DA327" s="78"/>
      <c r="DB327" s="78"/>
      <c r="DC327" s="78"/>
      <c r="DD327" s="78"/>
      <c r="DE327" s="78"/>
      <c r="DF327" s="78"/>
      <c r="DG327" s="78"/>
      <c r="DH327" s="78"/>
      <c r="DI327" s="78"/>
      <c r="DJ327" s="78"/>
      <c r="DK327" s="78"/>
      <c r="DL327" s="78"/>
      <c r="DM327" s="78"/>
      <c r="DN327" s="78"/>
      <c r="DO327" s="78"/>
      <c r="DP327" s="78"/>
      <c r="DQ327" s="78"/>
      <c r="DR327" s="78"/>
      <c r="DS327" s="78"/>
      <c r="DT327" s="78"/>
      <c r="DU327" s="78"/>
      <c r="DV327" s="78"/>
      <c r="DW327" s="78"/>
      <c r="DX327" s="78"/>
      <c r="DY327" s="78"/>
      <c r="DZ327" s="78"/>
      <c r="EA327" s="78"/>
      <c r="EB327" s="78"/>
      <c r="EC327" s="78"/>
      <c r="ED327" s="78"/>
      <c r="EE327" s="78"/>
      <c r="EF327" s="78"/>
      <c r="EG327" s="78"/>
      <c r="EH327" s="78"/>
      <c r="EI327" s="91"/>
      <c r="EJ327" s="91"/>
      <c r="EK327" s="91"/>
      <c r="EL327" s="91"/>
      <c r="EM327" s="91"/>
      <c r="EN327" s="91"/>
      <c r="EO327" s="91"/>
      <c r="EP327" s="78"/>
      <c r="EQ327" s="78"/>
      <c r="ER327" s="78"/>
      <c r="ES327" s="78"/>
      <c r="ET327" s="78"/>
      <c r="EU327" s="78"/>
      <c r="EV327" s="78"/>
      <c r="EW327" s="78"/>
      <c r="EX327" s="78"/>
      <c r="EY327" s="78"/>
      <c r="EZ327" s="78"/>
      <c r="FA327" s="78"/>
      <c r="FB327" s="78"/>
      <c r="FC327" s="78"/>
      <c r="FD327" s="78"/>
      <c r="FE327" s="78"/>
      <c r="FF327" s="78"/>
      <c r="FG327" s="78"/>
      <c r="FH327" s="78"/>
      <c r="FI327" s="78"/>
      <c r="FJ327" s="78"/>
      <c r="FK327" s="78"/>
    </row>
    <row r="328" spans="1:167" outlineLevel="1">
      <c r="A328" s="29" t="str">
        <f t="shared" si="29"/>
        <v>modesg_inp_emss_scibcapital_proprio</v>
      </c>
      <c r="B328" s="67" t="s">
        <v>26</v>
      </c>
      <c r="C328" s="68" t="s">
        <v>181</v>
      </c>
      <c r="D328" s="64" t="s">
        <v>40</v>
      </c>
      <c r="E328" s="66" t="s">
        <v>217</v>
      </c>
      <c r="F328" s="64" t="s">
        <v>296</v>
      </c>
      <c r="G328" s="64" t="str">
        <f>INDEX(Auxiliar!$B$16:$B$24,MATCH(Plano_V1!H328,Auxiliar!$C$16:$C$24,0),1)</f>
        <v>1. Concluído</v>
      </c>
      <c r="H328" s="64">
        <f>VLOOKUP(A328,'Aux - pivots1'!$A:$B,2,0)</f>
        <v>1</v>
      </c>
      <c r="I328" s="84">
        <f>SUMIFS(Table1[Estimação (horas)],Table1[Tabela],Plano_V1!E328,Table1[Campo],Plano_V1!F328)</f>
        <v>0.5</v>
      </c>
      <c r="J328" s="84">
        <f t="shared" si="30"/>
        <v>6.25E-2</v>
      </c>
      <c r="K328" s="89" t="s">
        <v>39</v>
      </c>
      <c r="L328" s="90">
        <f t="shared" si="28"/>
        <v>6.25E-2</v>
      </c>
      <c r="M328" s="78"/>
      <c r="N328" s="78"/>
      <c r="O328" s="78"/>
      <c r="P328" s="78"/>
      <c r="Q328" s="78"/>
      <c r="R328" s="78"/>
      <c r="S328" s="78"/>
      <c r="T328" s="78"/>
      <c r="U328" s="78"/>
      <c r="V328" s="78"/>
      <c r="W328" s="78"/>
      <c r="X328" s="78"/>
      <c r="Y328" s="78"/>
      <c r="Z328" s="78"/>
      <c r="AA328" s="78"/>
      <c r="AB328" s="78"/>
      <c r="AC328" s="78"/>
      <c r="AD328" s="78"/>
      <c r="AE328" s="78"/>
      <c r="AF328" s="78"/>
      <c r="AG328" s="78"/>
      <c r="AH328" s="78"/>
      <c r="AI328" s="78"/>
      <c r="AJ328" s="78"/>
      <c r="AK328" s="78"/>
      <c r="AL328" s="78"/>
      <c r="AM328" s="78"/>
      <c r="AN328" s="78"/>
      <c r="AO328" s="78"/>
      <c r="AP328" s="78"/>
      <c r="AQ328" s="78"/>
      <c r="AR328" s="78"/>
      <c r="AS328" s="78"/>
      <c r="AT328" s="91"/>
      <c r="AU328" s="78"/>
      <c r="AV328" s="78"/>
      <c r="AW328" s="78"/>
      <c r="AX328" s="78"/>
      <c r="AY328" s="78"/>
      <c r="AZ328" s="78"/>
      <c r="BA328" s="78"/>
      <c r="BB328" s="78"/>
      <c r="BC328" s="78"/>
      <c r="BD328" s="78"/>
      <c r="BE328" s="78"/>
      <c r="BF328" s="78"/>
      <c r="BG328" s="78"/>
      <c r="BH328" s="78"/>
      <c r="BI328" s="78"/>
      <c r="BJ328" s="78"/>
      <c r="BK328" s="78"/>
      <c r="BL328" s="78"/>
      <c r="BM328" s="78"/>
      <c r="BN328" s="78"/>
      <c r="BO328" s="78"/>
      <c r="BP328" s="78"/>
      <c r="BQ328" s="78"/>
      <c r="BR328" s="78"/>
      <c r="BS328" s="78"/>
      <c r="BT328" s="78"/>
      <c r="BU328" s="78"/>
      <c r="BV328" s="78"/>
      <c r="BW328" s="78"/>
      <c r="BX328" s="78"/>
      <c r="BY328" s="78"/>
      <c r="BZ328" s="78"/>
      <c r="CA328" s="78"/>
      <c r="CB328" s="78"/>
      <c r="CC328" s="78"/>
      <c r="CD328" s="78"/>
      <c r="CE328" s="78"/>
      <c r="CF328" s="78"/>
      <c r="CG328" s="78"/>
      <c r="CH328" s="78"/>
      <c r="CI328" s="78"/>
      <c r="CJ328" s="78"/>
      <c r="CK328" s="78"/>
      <c r="CL328" s="78"/>
      <c r="CM328" s="78"/>
      <c r="CN328" s="78"/>
      <c r="CO328" s="78"/>
      <c r="CP328" s="78"/>
      <c r="CQ328" s="78"/>
      <c r="CR328" s="78"/>
      <c r="CS328" s="78"/>
      <c r="CT328" s="78"/>
      <c r="CU328" s="78"/>
      <c r="CV328" s="78"/>
      <c r="CW328" s="78"/>
      <c r="CX328" s="78"/>
      <c r="CY328" s="78"/>
      <c r="CZ328" s="78"/>
      <c r="DA328" s="78"/>
      <c r="DB328" s="78"/>
      <c r="DC328" s="78"/>
      <c r="DD328" s="78"/>
      <c r="DE328" s="78"/>
      <c r="DF328" s="78"/>
      <c r="DG328" s="78"/>
      <c r="DH328" s="78"/>
      <c r="DI328" s="78"/>
      <c r="DJ328" s="78"/>
      <c r="DK328" s="78"/>
      <c r="DL328" s="78"/>
      <c r="DM328" s="78"/>
      <c r="DN328" s="78"/>
      <c r="DO328" s="78"/>
      <c r="DP328" s="78"/>
      <c r="DQ328" s="78"/>
      <c r="DR328" s="78"/>
      <c r="DS328" s="78"/>
      <c r="DT328" s="78"/>
      <c r="DU328" s="78"/>
      <c r="DV328" s="78"/>
      <c r="DW328" s="78"/>
      <c r="DX328" s="78"/>
      <c r="DY328" s="78"/>
      <c r="DZ328" s="78"/>
      <c r="EA328" s="78"/>
      <c r="EB328" s="78"/>
      <c r="EC328" s="78"/>
      <c r="ED328" s="78"/>
      <c r="EE328" s="78"/>
      <c r="EF328" s="78"/>
      <c r="EG328" s="78"/>
      <c r="EH328" s="78"/>
      <c r="EI328" s="91"/>
      <c r="EJ328" s="91"/>
      <c r="EK328" s="91"/>
      <c r="EL328" s="91"/>
      <c r="EM328" s="91"/>
      <c r="EN328" s="91"/>
      <c r="EO328" s="91"/>
      <c r="EP328" s="78"/>
      <c r="EQ328" s="78"/>
      <c r="ER328" s="78"/>
      <c r="ES328" s="78"/>
      <c r="ET328" s="78"/>
      <c r="EU328" s="78"/>
      <c r="EV328" s="78"/>
      <c r="EW328" s="78"/>
      <c r="EX328" s="78"/>
      <c r="EY328" s="78"/>
      <c r="EZ328" s="78"/>
      <c r="FA328" s="78"/>
      <c r="FB328" s="78"/>
      <c r="FC328" s="78"/>
      <c r="FD328" s="78"/>
      <c r="FE328" s="78"/>
      <c r="FF328" s="78"/>
      <c r="FG328" s="78"/>
      <c r="FH328" s="78"/>
      <c r="FI328" s="78"/>
      <c r="FJ328" s="78"/>
      <c r="FK328" s="78"/>
    </row>
    <row r="329" spans="1:167" outlineLevel="1">
      <c r="A329" s="29" t="str">
        <f t="shared" si="29"/>
        <v>modesg_inp_emss_naceref_date</v>
      </c>
      <c r="B329" s="67" t="s">
        <v>26</v>
      </c>
      <c r="C329" s="68" t="s">
        <v>181</v>
      </c>
      <c r="D329" s="64" t="s">
        <v>40</v>
      </c>
      <c r="E329" s="66" t="s">
        <v>218</v>
      </c>
      <c r="F329" s="64" t="s">
        <v>208</v>
      </c>
      <c r="G329" s="64" t="str">
        <f>INDEX(Auxiliar!$B$16:$B$24,MATCH(Plano_V1!H329,Auxiliar!$C$16:$C$24,0),1)</f>
        <v>1. Concluído</v>
      </c>
      <c r="H329" s="64">
        <f>VLOOKUP(A329,'Aux - pivots1'!$A:$B,2,0)</f>
        <v>1</v>
      </c>
      <c r="I329" s="84">
        <f>SUMIFS(Table1[Estimação (horas)],Table1[Tabela],Plano_V1!E329,Table1[Campo],Plano_V1!F329)</f>
        <v>0.5</v>
      </c>
      <c r="J329" s="84">
        <f t="shared" si="30"/>
        <v>6.25E-2</v>
      </c>
      <c r="K329" s="89" t="s">
        <v>39</v>
      </c>
      <c r="L329" s="90">
        <f t="shared" si="28"/>
        <v>6.25E-2</v>
      </c>
      <c r="M329" s="78"/>
      <c r="N329" s="78"/>
      <c r="O329" s="78"/>
      <c r="P329" s="78"/>
      <c r="Q329" s="78"/>
      <c r="R329" s="78"/>
      <c r="S329" s="78"/>
      <c r="T329" s="78"/>
      <c r="U329" s="78"/>
      <c r="V329" s="78"/>
      <c r="W329" s="78"/>
      <c r="X329" s="78"/>
      <c r="Y329" s="78"/>
      <c r="Z329" s="78"/>
      <c r="AA329" s="78"/>
      <c r="AB329" s="78"/>
      <c r="AC329" s="78"/>
      <c r="AD329" s="78"/>
      <c r="AE329" s="78"/>
      <c r="AF329" s="78"/>
      <c r="AG329" s="78"/>
      <c r="AH329" s="78"/>
      <c r="AI329" s="78"/>
      <c r="AJ329" s="78"/>
      <c r="AK329" s="78"/>
      <c r="AL329" s="78"/>
      <c r="AM329" s="78"/>
      <c r="AN329" s="78"/>
      <c r="AO329" s="78"/>
      <c r="AP329" s="78"/>
      <c r="AQ329" s="78"/>
      <c r="AR329" s="78"/>
      <c r="AS329" s="78"/>
      <c r="AT329" s="91"/>
      <c r="AU329" s="78"/>
      <c r="AV329" s="78"/>
      <c r="AW329" s="78"/>
      <c r="AX329" s="78"/>
      <c r="AY329" s="78"/>
      <c r="AZ329" s="78"/>
      <c r="BA329" s="78"/>
      <c r="BB329" s="78"/>
      <c r="BC329" s="78"/>
      <c r="BD329" s="78"/>
      <c r="BE329" s="78"/>
      <c r="BF329" s="78"/>
      <c r="BG329" s="78"/>
      <c r="BH329" s="78"/>
      <c r="BI329" s="78"/>
      <c r="BJ329" s="78"/>
      <c r="BK329" s="78"/>
      <c r="BL329" s="78"/>
      <c r="BM329" s="78"/>
      <c r="BN329" s="78"/>
      <c r="BO329" s="78"/>
      <c r="BP329" s="78"/>
      <c r="BQ329" s="78"/>
      <c r="BR329" s="78"/>
      <c r="BS329" s="78"/>
      <c r="BT329" s="78"/>
      <c r="BU329" s="78"/>
      <c r="BV329" s="78"/>
      <c r="BW329" s="78"/>
      <c r="BX329" s="78"/>
      <c r="BY329" s="78"/>
      <c r="BZ329" s="78"/>
      <c r="CA329" s="78"/>
      <c r="CB329" s="78"/>
      <c r="CC329" s="78"/>
      <c r="CD329" s="78"/>
      <c r="CE329" s="78"/>
      <c r="CF329" s="78"/>
      <c r="CG329" s="78"/>
      <c r="CH329" s="78"/>
      <c r="CI329" s="78"/>
      <c r="CJ329" s="78"/>
      <c r="CK329" s="78"/>
      <c r="CL329" s="78"/>
      <c r="CM329" s="78"/>
      <c r="CN329" s="78"/>
      <c r="CO329" s="78"/>
      <c r="CP329" s="78"/>
      <c r="CQ329" s="78"/>
      <c r="CR329" s="78"/>
      <c r="CS329" s="78"/>
      <c r="CT329" s="78"/>
      <c r="CU329" s="78"/>
      <c r="CV329" s="78"/>
      <c r="CW329" s="78"/>
      <c r="CX329" s="78"/>
      <c r="CY329" s="78"/>
      <c r="CZ329" s="78"/>
      <c r="DA329" s="78"/>
      <c r="DB329" s="78"/>
      <c r="DC329" s="78"/>
      <c r="DD329" s="78"/>
      <c r="DE329" s="78"/>
      <c r="DF329" s="78"/>
      <c r="DG329" s="78"/>
      <c r="DH329" s="78"/>
      <c r="DI329" s="78"/>
      <c r="DJ329" s="78"/>
      <c r="DK329" s="78"/>
      <c r="DL329" s="78"/>
      <c r="DM329" s="78"/>
      <c r="DN329" s="78"/>
      <c r="DO329" s="78"/>
      <c r="DP329" s="78"/>
      <c r="DQ329" s="78"/>
      <c r="DR329" s="78"/>
      <c r="DS329" s="78"/>
      <c r="DT329" s="78"/>
      <c r="DU329" s="78"/>
      <c r="DV329" s="78"/>
      <c r="DW329" s="78"/>
      <c r="DX329" s="78"/>
      <c r="DY329" s="78"/>
      <c r="DZ329" s="78"/>
      <c r="EA329" s="78"/>
      <c r="EB329" s="78"/>
      <c r="EC329" s="78"/>
      <c r="ED329" s="78"/>
      <c r="EE329" s="78"/>
      <c r="EF329" s="78"/>
      <c r="EG329" s="78"/>
      <c r="EH329" s="78"/>
      <c r="EI329" s="91"/>
      <c r="EJ329" s="91"/>
      <c r="EK329" s="91"/>
      <c r="EL329" s="91"/>
      <c r="EM329" s="91"/>
      <c r="EN329" s="91"/>
      <c r="EO329" s="91"/>
      <c r="EP329" s="78"/>
      <c r="EQ329" s="78"/>
      <c r="ER329" s="78"/>
      <c r="ES329" s="78"/>
      <c r="ET329" s="78"/>
      <c r="EU329" s="78"/>
      <c r="EV329" s="78"/>
      <c r="EW329" s="78"/>
      <c r="EX329" s="78"/>
      <c r="EY329" s="78"/>
      <c r="EZ329" s="78"/>
      <c r="FA329" s="78"/>
      <c r="FB329" s="78"/>
      <c r="FC329" s="78"/>
      <c r="FD329" s="78"/>
      <c r="FE329" s="78"/>
      <c r="FF329" s="78"/>
      <c r="FG329" s="78"/>
      <c r="FH329" s="78"/>
      <c r="FI329" s="78"/>
      <c r="FJ329" s="78"/>
      <c r="FK329" s="78"/>
    </row>
    <row r="330" spans="1:167" outlineLevel="1">
      <c r="A330" s="29" t="str">
        <f t="shared" si="29"/>
        <v>modesg_inp_emss_naceano</v>
      </c>
      <c r="B330" s="67" t="s">
        <v>26</v>
      </c>
      <c r="C330" s="68" t="s">
        <v>181</v>
      </c>
      <c r="D330" s="64" t="s">
        <v>40</v>
      </c>
      <c r="E330" s="66" t="s">
        <v>218</v>
      </c>
      <c r="F330" s="64" t="s">
        <v>297</v>
      </c>
      <c r="G330" s="64" t="str">
        <f>INDEX(Auxiliar!$B$16:$B$24,MATCH(Plano_V1!H330,Auxiliar!$C$16:$C$24,0),1)</f>
        <v>1. Concluído</v>
      </c>
      <c r="H330" s="64">
        <f>VLOOKUP(A330,'Aux - pivots1'!$A:$B,2,0)</f>
        <v>1</v>
      </c>
      <c r="I330" s="84">
        <f>SUMIFS(Table1[Estimação (horas)],Table1[Tabela],Plano_V1!E330,Table1[Campo],Plano_V1!F330)</f>
        <v>0.5</v>
      </c>
      <c r="J330" s="84">
        <f t="shared" si="30"/>
        <v>6.25E-2</v>
      </c>
      <c r="K330" s="89" t="s">
        <v>39</v>
      </c>
      <c r="L330" s="90">
        <f t="shared" si="28"/>
        <v>6.25E-2</v>
      </c>
      <c r="M330" s="78"/>
      <c r="N330" s="78"/>
      <c r="O330" s="78"/>
      <c r="P330" s="78"/>
      <c r="Q330" s="78"/>
      <c r="R330" s="78"/>
      <c r="S330" s="78"/>
      <c r="T330" s="78"/>
      <c r="U330" s="78"/>
      <c r="V330" s="78"/>
      <c r="W330" s="78"/>
      <c r="X330" s="78"/>
      <c r="Y330" s="78"/>
      <c r="Z330" s="78"/>
      <c r="AA330" s="78"/>
      <c r="AB330" s="78"/>
      <c r="AC330" s="78"/>
      <c r="AD330" s="78"/>
      <c r="AE330" s="78"/>
      <c r="AF330" s="78"/>
      <c r="AG330" s="78"/>
      <c r="AH330" s="78"/>
      <c r="AI330" s="78"/>
      <c r="AJ330" s="78"/>
      <c r="AK330" s="78"/>
      <c r="AL330" s="78"/>
      <c r="AM330" s="78"/>
      <c r="AN330" s="78"/>
      <c r="AO330" s="78"/>
      <c r="AP330" s="78"/>
      <c r="AQ330" s="78"/>
      <c r="AR330" s="78"/>
      <c r="AS330" s="78"/>
      <c r="AT330" s="91"/>
      <c r="AU330" s="78"/>
      <c r="AV330" s="78"/>
      <c r="AW330" s="78"/>
      <c r="AX330" s="78"/>
      <c r="AY330" s="78"/>
      <c r="AZ330" s="78"/>
      <c r="BA330" s="78"/>
      <c r="BB330" s="78"/>
      <c r="BC330" s="78"/>
      <c r="BD330" s="78"/>
      <c r="BE330" s="78"/>
      <c r="BF330" s="78"/>
      <c r="BG330" s="78"/>
      <c r="BH330" s="78"/>
      <c r="BI330" s="78"/>
      <c r="BJ330" s="78"/>
      <c r="BK330" s="78"/>
      <c r="BL330" s="78"/>
      <c r="BM330" s="78"/>
      <c r="BN330" s="78"/>
      <c r="BO330" s="78"/>
      <c r="BP330" s="78"/>
      <c r="BQ330" s="78"/>
      <c r="BR330" s="78"/>
      <c r="BS330" s="78"/>
      <c r="BT330" s="78"/>
      <c r="BU330" s="78"/>
      <c r="BV330" s="78"/>
      <c r="BW330" s="78"/>
      <c r="BX330" s="78"/>
      <c r="BY330" s="78"/>
      <c r="BZ330" s="78"/>
      <c r="CA330" s="78"/>
      <c r="CB330" s="78"/>
      <c r="CC330" s="78"/>
      <c r="CD330" s="78"/>
      <c r="CE330" s="78"/>
      <c r="CF330" s="78"/>
      <c r="CG330" s="78"/>
      <c r="CH330" s="78"/>
      <c r="CI330" s="78"/>
      <c r="CJ330" s="78"/>
      <c r="CK330" s="78"/>
      <c r="CL330" s="78"/>
      <c r="CM330" s="78"/>
      <c r="CN330" s="78"/>
      <c r="CO330" s="78"/>
      <c r="CP330" s="78"/>
      <c r="CQ330" s="78"/>
      <c r="CR330" s="78"/>
      <c r="CS330" s="78"/>
      <c r="CT330" s="78"/>
      <c r="CU330" s="78"/>
      <c r="CV330" s="78"/>
      <c r="CW330" s="78"/>
      <c r="CX330" s="78"/>
      <c r="CY330" s="78"/>
      <c r="CZ330" s="78"/>
      <c r="DA330" s="78"/>
      <c r="DB330" s="78"/>
      <c r="DC330" s="78"/>
      <c r="DD330" s="78"/>
      <c r="DE330" s="78"/>
      <c r="DF330" s="78"/>
      <c r="DG330" s="78"/>
      <c r="DH330" s="78"/>
      <c r="DI330" s="78"/>
      <c r="DJ330" s="78"/>
      <c r="DK330" s="78"/>
      <c r="DL330" s="78"/>
      <c r="DM330" s="78"/>
      <c r="DN330" s="78"/>
      <c r="DO330" s="78"/>
      <c r="DP330" s="78"/>
      <c r="DQ330" s="78"/>
      <c r="DR330" s="78"/>
      <c r="DS330" s="78"/>
      <c r="DT330" s="78"/>
      <c r="DU330" s="78"/>
      <c r="DV330" s="78"/>
      <c r="DW330" s="78"/>
      <c r="DX330" s="78"/>
      <c r="DY330" s="78"/>
      <c r="DZ330" s="78"/>
      <c r="EA330" s="78"/>
      <c r="EB330" s="78"/>
      <c r="EC330" s="78"/>
      <c r="ED330" s="78"/>
      <c r="EE330" s="78"/>
      <c r="EF330" s="78"/>
      <c r="EG330" s="78"/>
      <c r="EH330" s="78"/>
      <c r="EI330" s="91"/>
      <c r="EJ330" s="91"/>
      <c r="EK330" s="91"/>
      <c r="EL330" s="91"/>
      <c r="EM330" s="91"/>
      <c r="EN330" s="91"/>
      <c r="EO330" s="91"/>
      <c r="EP330" s="78"/>
      <c r="EQ330" s="78"/>
      <c r="ER330" s="78"/>
      <c r="ES330" s="78"/>
      <c r="ET330" s="78"/>
      <c r="EU330" s="78"/>
      <c r="EV330" s="78"/>
      <c r="EW330" s="78"/>
      <c r="EX330" s="78"/>
      <c r="EY330" s="78"/>
      <c r="EZ330" s="78"/>
      <c r="FA330" s="78"/>
      <c r="FB330" s="78"/>
      <c r="FC330" s="78"/>
      <c r="FD330" s="78"/>
      <c r="FE330" s="78"/>
      <c r="FF330" s="78"/>
      <c r="FG330" s="78"/>
      <c r="FH330" s="78"/>
      <c r="FI330" s="78"/>
      <c r="FJ330" s="78"/>
      <c r="FK330" s="78"/>
    </row>
    <row r="331" spans="1:167" outlineLevel="1">
      <c r="A331" s="29" t="str">
        <f t="shared" si="29"/>
        <v>modesg_inp_emss_nacenome_regiao</v>
      </c>
      <c r="B331" s="67" t="s">
        <v>26</v>
      </c>
      <c r="C331" s="68" t="s">
        <v>181</v>
      </c>
      <c r="D331" s="64" t="s">
        <v>40</v>
      </c>
      <c r="E331" s="66" t="s">
        <v>218</v>
      </c>
      <c r="F331" s="64" t="s">
        <v>220</v>
      </c>
      <c r="G331" s="64" t="str">
        <f>INDEX(Auxiliar!$B$16:$B$24,MATCH(Plano_V1!H331,Auxiliar!$C$16:$C$24,0),1)</f>
        <v>0. Cancelado</v>
      </c>
      <c r="H331" s="64">
        <f>VLOOKUP(A331,'Aux - pivots1'!$A:$B,2,0)</f>
        <v>0</v>
      </c>
      <c r="I331" s="84">
        <f>SUMIFS(Table1[Estimação (horas)],Table1[Tabela],Plano_V1!E331,Table1[Campo],Plano_V1!F331)</f>
        <v>0.5</v>
      </c>
      <c r="J331" s="84">
        <f t="shared" si="30"/>
        <v>6.25E-2</v>
      </c>
      <c r="K331" s="89" t="s">
        <v>39</v>
      </c>
      <c r="L331" s="90">
        <f t="shared" si="28"/>
        <v>6.25E-2</v>
      </c>
      <c r="M331" s="78"/>
      <c r="N331" s="78"/>
      <c r="O331" s="78"/>
      <c r="P331" s="78"/>
      <c r="Q331" s="78"/>
      <c r="R331" s="78"/>
      <c r="S331" s="78"/>
      <c r="T331" s="78"/>
      <c r="U331" s="78"/>
      <c r="V331" s="78"/>
      <c r="W331" s="78"/>
      <c r="X331" s="78"/>
      <c r="Y331" s="78"/>
      <c r="Z331" s="78"/>
      <c r="AA331" s="78"/>
      <c r="AB331" s="78"/>
      <c r="AC331" s="78"/>
      <c r="AD331" s="78"/>
      <c r="AE331" s="78"/>
      <c r="AF331" s="78"/>
      <c r="AG331" s="78"/>
      <c r="AH331" s="78"/>
      <c r="AI331" s="78"/>
      <c r="AJ331" s="78"/>
      <c r="AK331" s="78"/>
      <c r="AL331" s="78"/>
      <c r="AM331" s="78"/>
      <c r="AN331" s="78"/>
      <c r="AO331" s="78"/>
      <c r="AP331" s="78"/>
      <c r="AQ331" s="78"/>
      <c r="AR331" s="78"/>
      <c r="AS331" s="78"/>
      <c r="AT331" s="91"/>
      <c r="AU331" s="78"/>
      <c r="AV331" s="78"/>
      <c r="AW331" s="78"/>
      <c r="AX331" s="78"/>
      <c r="AY331" s="78"/>
      <c r="AZ331" s="78"/>
      <c r="BA331" s="78"/>
      <c r="BB331" s="78"/>
      <c r="BC331" s="78"/>
      <c r="BD331" s="78"/>
      <c r="BE331" s="78"/>
      <c r="BF331" s="78"/>
      <c r="BG331" s="78"/>
      <c r="BH331" s="78"/>
      <c r="BI331" s="78"/>
      <c r="BJ331" s="78"/>
      <c r="BK331" s="78"/>
      <c r="BL331" s="78"/>
      <c r="BM331" s="78"/>
      <c r="BN331" s="78"/>
      <c r="BO331" s="78"/>
      <c r="BP331" s="78"/>
      <c r="BQ331" s="78"/>
      <c r="BR331" s="78"/>
      <c r="BS331" s="78"/>
      <c r="BT331" s="78"/>
      <c r="BU331" s="78"/>
      <c r="BV331" s="78"/>
      <c r="BW331" s="78"/>
      <c r="BX331" s="78"/>
      <c r="BY331" s="78"/>
      <c r="BZ331" s="78"/>
      <c r="CA331" s="78"/>
      <c r="CB331" s="78"/>
      <c r="CC331" s="78"/>
      <c r="CD331" s="78"/>
      <c r="CE331" s="78"/>
      <c r="CF331" s="78"/>
      <c r="CG331" s="78"/>
      <c r="CH331" s="78"/>
      <c r="CI331" s="78"/>
      <c r="CJ331" s="78"/>
      <c r="CK331" s="78"/>
      <c r="CL331" s="78"/>
      <c r="CM331" s="78"/>
      <c r="CN331" s="78"/>
      <c r="CO331" s="78"/>
      <c r="CP331" s="78"/>
      <c r="CQ331" s="78"/>
      <c r="CR331" s="78"/>
      <c r="CS331" s="78"/>
      <c r="CT331" s="78"/>
      <c r="CU331" s="78"/>
      <c r="CV331" s="78"/>
      <c r="CW331" s="78"/>
      <c r="CX331" s="78"/>
      <c r="CY331" s="78"/>
      <c r="CZ331" s="78"/>
      <c r="DA331" s="78"/>
      <c r="DB331" s="78"/>
      <c r="DC331" s="78"/>
      <c r="DD331" s="78"/>
      <c r="DE331" s="78"/>
      <c r="DF331" s="78"/>
      <c r="DG331" s="78"/>
      <c r="DH331" s="78"/>
      <c r="DI331" s="78"/>
      <c r="DJ331" s="78"/>
      <c r="DK331" s="78"/>
      <c r="DL331" s="78"/>
      <c r="DM331" s="78"/>
      <c r="DN331" s="78"/>
      <c r="DO331" s="78"/>
      <c r="DP331" s="78"/>
      <c r="DQ331" s="78"/>
      <c r="DR331" s="78"/>
      <c r="DS331" s="78"/>
      <c r="DT331" s="78"/>
      <c r="DU331" s="78"/>
      <c r="DV331" s="78"/>
      <c r="DW331" s="78"/>
      <c r="DX331" s="78"/>
      <c r="DY331" s="78"/>
      <c r="DZ331" s="78"/>
      <c r="EA331" s="78"/>
      <c r="EB331" s="78"/>
      <c r="EC331" s="78"/>
      <c r="ED331" s="78"/>
      <c r="EE331" s="78"/>
      <c r="EF331" s="78"/>
      <c r="EG331" s="78"/>
      <c r="EH331" s="78"/>
      <c r="EI331" s="91"/>
      <c r="EJ331" s="91"/>
      <c r="EK331" s="91"/>
      <c r="EL331" s="91"/>
      <c r="EM331" s="91"/>
      <c r="EN331" s="91"/>
      <c r="EO331" s="91"/>
      <c r="EP331" s="78"/>
      <c r="EQ331" s="78"/>
      <c r="ER331" s="78"/>
      <c r="ES331" s="78"/>
      <c r="ET331" s="78"/>
      <c r="EU331" s="78"/>
      <c r="EV331" s="78"/>
      <c r="EW331" s="78"/>
      <c r="EX331" s="78"/>
      <c r="EY331" s="78"/>
      <c r="EZ331" s="78"/>
      <c r="FA331" s="78"/>
      <c r="FB331" s="78"/>
      <c r="FC331" s="78"/>
      <c r="FD331" s="78"/>
      <c r="FE331" s="78"/>
      <c r="FF331" s="78"/>
      <c r="FG331" s="78"/>
      <c r="FH331" s="78"/>
      <c r="FI331" s="78"/>
      <c r="FJ331" s="78"/>
      <c r="FK331" s="78"/>
    </row>
    <row r="332" spans="1:167" outlineLevel="1">
      <c r="A332" s="29" t="str">
        <f t="shared" si="29"/>
        <v>modesg_inp_emss_nacecod_nace_esg</v>
      </c>
      <c r="B332" s="67" t="s">
        <v>26</v>
      </c>
      <c r="C332" s="68" t="s">
        <v>181</v>
      </c>
      <c r="D332" s="64" t="s">
        <v>40</v>
      </c>
      <c r="E332" s="66" t="s">
        <v>218</v>
      </c>
      <c r="F332" s="64" t="s">
        <v>281</v>
      </c>
      <c r="G332" s="64" t="str">
        <f>INDEX(Auxiliar!$B$16:$B$24,MATCH(Plano_V1!H332,Auxiliar!$C$16:$C$24,0),1)</f>
        <v>1. Concluído</v>
      </c>
      <c r="H332" s="64">
        <f>VLOOKUP(A332,'Aux - pivots1'!$A:$B,2,0)</f>
        <v>1</v>
      </c>
      <c r="I332" s="84">
        <f>SUMIFS(Table1[Estimação (horas)],Table1[Tabela],Plano_V1!E332,Table1[Campo],Plano_V1!F332)</f>
        <v>0.6</v>
      </c>
      <c r="J332" s="84">
        <f t="shared" si="30"/>
        <v>7.4999999999999997E-2</v>
      </c>
      <c r="K332" s="89" t="s">
        <v>39</v>
      </c>
      <c r="L332" s="90">
        <f t="shared" si="28"/>
        <v>7.4999999999999997E-2</v>
      </c>
      <c r="M332" s="78"/>
      <c r="N332" s="78"/>
      <c r="O332" s="78"/>
      <c r="P332" s="78"/>
      <c r="Q332" s="78"/>
      <c r="R332" s="78"/>
      <c r="S332" s="78"/>
      <c r="T332" s="78"/>
      <c r="U332" s="78"/>
      <c r="V332" s="78"/>
      <c r="W332" s="78"/>
      <c r="X332" s="78"/>
      <c r="Y332" s="78"/>
      <c r="Z332" s="78"/>
      <c r="AA332" s="78"/>
      <c r="AB332" s="78"/>
      <c r="AC332" s="78"/>
      <c r="AD332" s="78"/>
      <c r="AE332" s="78"/>
      <c r="AF332" s="78"/>
      <c r="AG332" s="78"/>
      <c r="AH332" s="78"/>
      <c r="AI332" s="78"/>
      <c r="AJ332" s="78"/>
      <c r="AK332" s="78"/>
      <c r="AL332" s="78"/>
      <c r="AM332" s="78"/>
      <c r="AN332" s="78"/>
      <c r="AO332" s="78"/>
      <c r="AP332" s="78"/>
      <c r="AQ332" s="78"/>
      <c r="AR332" s="78"/>
      <c r="AS332" s="78"/>
      <c r="AT332" s="91"/>
      <c r="AU332" s="78"/>
      <c r="AV332" s="78"/>
      <c r="AW332" s="78"/>
      <c r="AX332" s="78"/>
      <c r="AY332" s="78"/>
      <c r="AZ332" s="78"/>
      <c r="BA332" s="78"/>
      <c r="BB332" s="78"/>
      <c r="BC332" s="78"/>
      <c r="BD332" s="78"/>
      <c r="BE332" s="78"/>
      <c r="BF332" s="78"/>
      <c r="BG332" s="78"/>
      <c r="BH332" s="78"/>
      <c r="BI332" s="78"/>
      <c r="BJ332" s="78"/>
      <c r="BK332" s="78"/>
      <c r="BL332" s="78"/>
      <c r="BM332" s="78"/>
      <c r="BN332" s="78"/>
      <c r="BO332" s="78"/>
      <c r="BP332" s="78"/>
      <c r="BQ332" s="78"/>
      <c r="BR332" s="78"/>
      <c r="BS332" s="78"/>
      <c r="BT332" s="78"/>
      <c r="BU332" s="78"/>
      <c r="BV332" s="78"/>
      <c r="BW332" s="78"/>
      <c r="BX332" s="78"/>
      <c r="BY332" s="78"/>
      <c r="BZ332" s="78"/>
      <c r="CA332" s="78"/>
      <c r="CB332" s="78"/>
      <c r="CC332" s="78"/>
      <c r="CD332" s="78"/>
      <c r="CE332" s="78"/>
      <c r="CF332" s="78"/>
      <c r="CG332" s="78"/>
      <c r="CH332" s="78"/>
      <c r="CI332" s="78"/>
      <c r="CJ332" s="78"/>
      <c r="CK332" s="78"/>
      <c r="CL332" s="78"/>
      <c r="CM332" s="78"/>
      <c r="CN332" s="78"/>
      <c r="CO332" s="78"/>
      <c r="CP332" s="78"/>
      <c r="CQ332" s="78"/>
      <c r="CR332" s="78"/>
      <c r="CS332" s="78"/>
      <c r="CT332" s="78"/>
      <c r="CU332" s="78"/>
      <c r="CV332" s="78"/>
      <c r="CW332" s="78"/>
      <c r="CX332" s="78"/>
      <c r="CY332" s="78"/>
      <c r="CZ332" s="78"/>
      <c r="DA332" s="78"/>
      <c r="DB332" s="78"/>
      <c r="DC332" s="78"/>
      <c r="DD332" s="78"/>
      <c r="DE332" s="78"/>
      <c r="DF332" s="78"/>
      <c r="DG332" s="78"/>
      <c r="DH332" s="78"/>
      <c r="DI332" s="78"/>
      <c r="DJ332" s="78"/>
      <c r="DK332" s="78"/>
      <c r="DL332" s="78"/>
      <c r="DM332" s="78"/>
      <c r="DN332" s="78"/>
      <c r="DO332" s="78"/>
      <c r="DP332" s="78"/>
      <c r="DQ332" s="78"/>
      <c r="DR332" s="78"/>
      <c r="DS332" s="78"/>
      <c r="DT332" s="78"/>
      <c r="DU332" s="78"/>
      <c r="DV332" s="78"/>
      <c r="DW332" s="78"/>
      <c r="DX332" s="78"/>
      <c r="DY332" s="78"/>
      <c r="DZ332" s="78"/>
      <c r="EA332" s="78"/>
      <c r="EB332" s="78"/>
      <c r="EC332" s="78"/>
      <c r="ED332" s="78"/>
      <c r="EE332" s="78"/>
      <c r="EF332" s="78"/>
      <c r="EG332" s="78"/>
      <c r="EH332" s="78"/>
      <c r="EI332" s="91"/>
      <c r="EJ332" s="91"/>
      <c r="EK332" s="91"/>
      <c r="EL332" s="91"/>
      <c r="EM332" s="91"/>
      <c r="EN332" s="91"/>
      <c r="EO332" s="91"/>
      <c r="EP332" s="78"/>
      <c r="EQ332" s="78"/>
      <c r="ER332" s="78"/>
      <c r="ES332" s="78"/>
      <c r="ET332" s="78"/>
      <c r="EU332" s="78"/>
      <c r="EV332" s="78"/>
      <c r="EW332" s="78"/>
      <c r="EX332" s="78"/>
      <c r="EY332" s="78"/>
      <c r="EZ332" s="78"/>
      <c r="FA332" s="78"/>
      <c r="FB332" s="78"/>
      <c r="FC332" s="78"/>
      <c r="FD332" s="78"/>
      <c r="FE332" s="78"/>
      <c r="FF332" s="78"/>
      <c r="FG332" s="78"/>
      <c r="FH332" s="78"/>
      <c r="FI332" s="78"/>
      <c r="FJ332" s="78"/>
      <c r="FK332" s="78"/>
    </row>
    <row r="333" spans="1:167" outlineLevel="1">
      <c r="A333" s="29" t="str">
        <f t="shared" si="29"/>
        <v>modesg_inp_emss_nacecod_class_indust</v>
      </c>
      <c r="B333" s="67" t="s">
        <v>26</v>
      </c>
      <c r="C333" s="68" t="s">
        <v>181</v>
      </c>
      <c r="D333" s="64" t="s">
        <v>40</v>
      </c>
      <c r="E333" s="66" t="s">
        <v>218</v>
      </c>
      <c r="F333" s="64" t="s">
        <v>298</v>
      </c>
      <c r="G333" s="64" t="str">
        <f>INDEX(Auxiliar!$B$16:$B$24,MATCH(Plano_V1!H333,Auxiliar!$C$16:$C$24,0),1)</f>
        <v>1. Concluído</v>
      </c>
      <c r="H333" s="64">
        <f>VLOOKUP(A333,'Aux - pivots1'!$A:$B,2,0)</f>
        <v>1</v>
      </c>
      <c r="I333" s="84">
        <f>SUMIFS(Table1[Estimação (horas)],Table1[Tabela],Plano_V1!E333,Table1[Campo],Plano_V1!F333)</f>
        <v>0.5</v>
      </c>
      <c r="J333" s="84">
        <f t="shared" si="30"/>
        <v>6.25E-2</v>
      </c>
      <c r="K333" s="89" t="s">
        <v>39</v>
      </c>
      <c r="L333" s="90">
        <f t="shared" si="28"/>
        <v>6.25E-2</v>
      </c>
      <c r="M333" s="78"/>
      <c r="N333" s="78"/>
      <c r="O333" s="78"/>
      <c r="P333" s="78"/>
      <c r="Q333" s="78"/>
      <c r="R333" s="78"/>
      <c r="S333" s="78"/>
      <c r="T333" s="78"/>
      <c r="U333" s="78"/>
      <c r="V333" s="78"/>
      <c r="W333" s="78"/>
      <c r="X333" s="78"/>
      <c r="Y333" s="78"/>
      <c r="Z333" s="78"/>
      <c r="AA333" s="78"/>
      <c r="AB333" s="78"/>
      <c r="AC333" s="78"/>
      <c r="AD333" s="78"/>
      <c r="AE333" s="78"/>
      <c r="AF333" s="78"/>
      <c r="AG333" s="78"/>
      <c r="AH333" s="78"/>
      <c r="AI333" s="78"/>
      <c r="AJ333" s="78"/>
      <c r="AK333" s="78"/>
      <c r="AL333" s="78"/>
      <c r="AM333" s="78"/>
      <c r="AN333" s="78"/>
      <c r="AO333" s="78"/>
      <c r="AP333" s="78"/>
      <c r="AQ333" s="78"/>
      <c r="AR333" s="78"/>
      <c r="AS333" s="78"/>
      <c r="AT333" s="91"/>
      <c r="AU333" s="78"/>
      <c r="AV333" s="78"/>
      <c r="AW333" s="78"/>
      <c r="AX333" s="78"/>
      <c r="AY333" s="78"/>
      <c r="AZ333" s="78"/>
      <c r="BA333" s="78"/>
      <c r="BB333" s="78"/>
      <c r="BC333" s="78"/>
      <c r="BD333" s="78"/>
      <c r="BE333" s="78"/>
      <c r="BF333" s="78"/>
      <c r="BG333" s="78"/>
      <c r="BH333" s="78"/>
      <c r="BI333" s="78"/>
      <c r="BJ333" s="78"/>
      <c r="BK333" s="78"/>
      <c r="BL333" s="78"/>
      <c r="BM333" s="78"/>
      <c r="BN333" s="78"/>
      <c r="BO333" s="78"/>
      <c r="BP333" s="78"/>
      <c r="BQ333" s="78"/>
      <c r="BR333" s="78"/>
      <c r="BS333" s="78"/>
      <c r="BT333" s="78"/>
      <c r="BU333" s="78"/>
      <c r="BV333" s="78"/>
      <c r="BW333" s="78"/>
      <c r="BX333" s="78"/>
      <c r="BY333" s="78"/>
      <c r="BZ333" s="78"/>
      <c r="CA333" s="78"/>
      <c r="CB333" s="78"/>
      <c r="CC333" s="78"/>
      <c r="CD333" s="78"/>
      <c r="CE333" s="78"/>
      <c r="CF333" s="78"/>
      <c r="CG333" s="78"/>
      <c r="CH333" s="78"/>
      <c r="CI333" s="78"/>
      <c r="CJ333" s="78"/>
      <c r="CK333" s="78"/>
      <c r="CL333" s="78"/>
      <c r="CM333" s="78"/>
      <c r="CN333" s="78"/>
      <c r="CO333" s="78"/>
      <c r="CP333" s="78"/>
      <c r="CQ333" s="78"/>
      <c r="CR333" s="78"/>
      <c r="CS333" s="78"/>
      <c r="CT333" s="78"/>
      <c r="CU333" s="78"/>
      <c r="CV333" s="78"/>
      <c r="CW333" s="78"/>
      <c r="CX333" s="78"/>
      <c r="CY333" s="78"/>
      <c r="CZ333" s="78"/>
      <c r="DA333" s="78"/>
      <c r="DB333" s="78"/>
      <c r="DC333" s="78"/>
      <c r="DD333" s="78"/>
      <c r="DE333" s="78"/>
      <c r="DF333" s="78"/>
      <c r="DG333" s="78"/>
      <c r="DH333" s="78"/>
      <c r="DI333" s="78"/>
      <c r="DJ333" s="78"/>
      <c r="DK333" s="78"/>
      <c r="DL333" s="78"/>
      <c r="DM333" s="78"/>
      <c r="DN333" s="78"/>
      <c r="DO333" s="78"/>
      <c r="DP333" s="78"/>
      <c r="DQ333" s="78"/>
      <c r="DR333" s="78"/>
      <c r="DS333" s="78"/>
      <c r="DT333" s="78"/>
      <c r="DU333" s="78"/>
      <c r="DV333" s="78"/>
      <c r="DW333" s="78"/>
      <c r="DX333" s="78"/>
      <c r="DY333" s="78"/>
      <c r="DZ333" s="78"/>
      <c r="EA333" s="78"/>
      <c r="EB333" s="78"/>
      <c r="EC333" s="78"/>
      <c r="ED333" s="78"/>
      <c r="EE333" s="78"/>
      <c r="EF333" s="78"/>
      <c r="EG333" s="78"/>
      <c r="EH333" s="78"/>
      <c r="EI333" s="91"/>
      <c r="EJ333" s="91"/>
      <c r="EK333" s="91"/>
      <c r="EL333" s="91"/>
      <c r="EM333" s="91"/>
      <c r="EN333" s="91"/>
      <c r="EO333" s="91"/>
      <c r="EP333" s="78"/>
      <c r="EQ333" s="78"/>
      <c r="ER333" s="78"/>
      <c r="ES333" s="78"/>
      <c r="ET333" s="78"/>
      <c r="EU333" s="78"/>
      <c r="EV333" s="78"/>
      <c r="EW333" s="78"/>
      <c r="EX333" s="78"/>
      <c r="EY333" s="78"/>
      <c r="EZ333" s="78"/>
      <c r="FA333" s="78"/>
      <c r="FB333" s="78"/>
      <c r="FC333" s="78"/>
      <c r="FD333" s="78"/>
      <c r="FE333" s="78"/>
      <c r="FF333" s="78"/>
      <c r="FG333" s="78"/>
      <c r="FH333" s="78"/>
      <c r="FI333" s="78"/>
      <c r="FJ333" s="78"/>
      <c r="FK333" s="78"/>
    </row>
    <row r="334" spans="1:167" outlineLevel="1">
      <c r="A334" s="29" t="str">
        <f t="shared" si="29"/>
        <v>modesg_inp_emss_naceclassification_level_1</v>
      </c>
      <c r="B334" s="67" t="s">
        <v>26</v>
      </c>
      <c r="C334" s="68" t="s">
        <v>181</v>
      </c>
      <c r="D334" s="64" t="s">
        <v>40</v>
      </c>
      <c r="E334" s="66" t="s">
        <v>218</v>
      </c>
      <c r="F334" s="64" t="s">
        <v>564</v>
      </c>
      <c r="G334" s="64" t="e">
        <f>INDEX(Auxiliar!$B$16:$B$24,MATCH(Plano_V1!H334,Auxiliar!$C$16:$C$24,0),1)</f>
        <v>#N/A</v>
      </c>
      <c r="H334" s="64" t="e">
        <f>VLOOKUP(A334,'Aux - pivots1'!$A:$B,2,0)</f>
        <v>#N/A</v>
      </c>
      <c r="I334" s="84">
        <f>SUMIFS(Table1[Estimação (horas)],Table1[Tabela],Plano_V1!E334,Table1[Campo],Plano_V1!F334)</f>
        <v>0</v>
      </c>
      <c r="J334" s="84">
        <f t="shared" si="30"/>
        <v>0</v>
      </c>
      <c r="K334" s="89" t="s">
        <v>39</v>
      </c>
      <c r="L334" s="90">
        <f t="shared" si="28"/>
        <v>0</v>
      </c>
      <c r="M334" s="78"/>
      <c r="N334" s="78"/>
      <c r="O334" s="78"/>
      <c r="P334" s="78"/>
      <c r="Q334" s="78"/>
      <c r="R334" s="78"/>
      <c r="S334" s="78"/>
      <c r="T334" s="78"/>
      <c r="U334" s="78"/>
      <c r="V334" s="78"/>
      <c r="W334" s="78"/>
      <c r="X334" s="78"/>
      <c r="Y334" s="78"/>
      <c r="Z334" s="78"/>
      <c r="AA334" s="78"/>
      <c r="AB334" s="78"/>
      <c r="AC334" s="78"/>
      <c r="AD334" s="78"/>
      <c r="AE334" s="78"/>
      <c r="AF334" s="78"/>
      <c r="AG334" s="78"/>
      <c r="AH334" s="78"/>
      <c r="AI334" s="78"/>
      <c r="AJ334" s="78"/>
      <c r="AK334" s="78"/>
      <c r="AL334" s="78"/>
      <c r="AM334" s="78"/>
      <c r="AN334" s="78"/>
      <c r="AO334" s="78"/>
      <c r="AP334" s="78"/>
      <c r="AQ334" s="78"/>
      <c r="AR334" s="78"/>
      <c r="AS334" s="78"/>
      <c r="AT334" s="91"/>
      <c r="AU334" s="78"/>
      <c r="AV334" s="78"/>
      <c r="AW334" s="78"/>
      <c r="AX334" s="78"/>
      <c r="AY334" s="78"/>
      <c r="AZ334" s="78"/>
      <c r="BA334" s="78"/>
      <c r="BB334" s="78"/>
      <c r="BC334" s="78"/>
      <c r="BD334" s="78"/>
      <c r="BE334" s="78"/>
      <c r="BF334" s="78"/>
      <c r="BG334" s="78"/>
      <c r="BH334" s="78"/>
      <c r="BI334" s="78"/>
      <c r="BJ334" s="78"/>
      <c r="BK334" s="78"/>
      <c r="BL334" s="78"/>
      <c r="BM334" s="78"/>
      <c r="BN334" s="78"/>
      <c r="BO334" s="78"/>
      <c r="BP334" s="78"/>
      <c r="BQ334" s="78"/>
      <c r="BR334" s="78"/>
      <c r="BS334" s="78"/>
      <c r="BT334" s="78"/>
      <c r="BU334" s="78"/>
      <c r="BV334" s="78"/>
      <c r="BW334" s="78"/>
      <c r="BX334" s="78"/>
      <c r="BY334" s="78"/>
      <c r="BZ334" s="78"/>
      <c r="CA334" s="78"/>
      <c r="CB334" s="78"/>
      <c r="CC334" s="78"/>
      <c r="CD334" s="78"/>
      <c r="CE334" s="78"/>
      <c r="CF334" s="78"/>
      <c r="CG334" s="78"/>
      <c r="CH334" s="78"/>
      <c r="CI334" s="78"/>
      <c r="CJ334" s="78"/>
      <c r="CK334" s="78"/>
      <c r="CL334" s="78"/>
      <c r="CM334" s="78"/>
      <c r="CN334" s="78"/>
      <c r="CO334" s="78"/>
      <c r="CP334" s="78"/>
      <c r="CQ334" s="78"/>
      <c r="CR334" s="78"/>
      <c r="CS334" s="78"/>
      <c r="CT334" s="78"/>
      <c r="CU334" s="78"/>
      <c r="CV334" s="78"/>
      <c r="CW334" s="78"/>
      <c r="CX334" s="78"/>
      <c r="CY334" s="78"/>
      <c r="CZ334" s="78"/>
      <c r="DA334" s="78"/>
      <c r="DB334" s="78"/>
      <c r="DC334" s="78"/>
      <c r="DD334" s="78"/>
      <c r="DE334" s="78"/>
      <c r="DF334" s="78"/>
      <c r="DG334" s="78"/>
      <c r="DH334" s="78"/>
      <c r="DI334" s="78"/>
      <c r="DJ334" s="78"/>
      <c r="DK334" s="78"/>
      <c r="DL334" s="78"/>
      <c r="DM334" s="78"/>
      <c r="DN334" s="78"/>
      <c r="DO334" s="78"/>
      <c r="DP334" s="78"/>
      <c r="DQ334" s="78"/>
      <c r="DR334" s="78"/>
      <c r="DS334" s="78"/>
      <c r="DT334" s="78"/>
      <c r="DU334" s="78"/>
      <c r="DV334" s="78"/>
      <c r="DW334" s="78"/>
      <c r="DX334" s="78"/>
      <c r="DY334" s="78"/>
      <c r="DZ334" s="78"/>
      <c r="EA334" s="78"/>
      <c r="EB334" s="78"/>
      <c r="EC334" s="78"/>
      <c r="ED334" s="78"/>
      <c r="EE334" s="78"/>
      <c r="EF334" s="78"/>
      <c r="EG334" s="78"/>
      <c r="EH334" s="78"/>
      <c r="EI334" s="91"/>
      <c r="EJ334" s="91"/>
      <c r="EK334" s="91"/>
      <c r="EL334" s="91"/>
      <c r="EM334" s="91"/>
      <c r="EN334" s="91"/>
      <c r="EO334" s="91"/>
      <c r="EP334" s="78"/>
      <c r="EQ334" s="78"/>
      <c r="ER334" s="78"/>
      <c r="ES334" s="78"/>
      <c r="ET334" s="78"/>
      <c r="EU334" s="78"/>
      <c r="EV334" s="78"/>
      <c r="EW334" s="78"/>
      <c r="EX334" s="78"/>
      <c r="EY334" s="78"/>
      <c r="EZ334" s="78"/>
      <c r="FA334" s="78"/>
      <c r="FB334" s="78"/>
      <c r="FC334" s="78"/>
      <c r="FD334" s="78"/>
      <c r="FE334" s="78"/>
      <c r="FF334" s="78"/>
      <c r="FG334" s="78"/>
      <c r="FH334" s="78"/>
      <c r="FI334" s="78"/>
      <c r="FJ334" s="78"/>
      <c r="FK334" s="78"/>
    </row>
    <row r="335" spans="1:167" outlineLevel="1">
      <c r="A335" s="29" t="str">
        <f t="shared" si="29"/>
        <v>modesg_inp_emss_naceasset_class</v>
      </c>
      <c r="B335" s="67" t="s">
        <v>26</v>
      </c>
      <c r="C335" s="68" t="s">
        <v>181</v>
      </c>
      <c r="D335" s="64" t="s">
        <v>40</v>
      </c>
      <c r="E335" s="66" t="s">
        <v>218</v>
      </c>
      <c r="F335" s="64" t="s">
        <v>565</v>
      </c>
      <c r="G335" s="64" t="e">
        <f>INDEX(Auxiliar!$B$16:$B$24,MATCH(Plano_V1!H335,Auxiliar!$C$16:$C$24,0),1)</f>
        <v>#N/A</v>
      </c>
      <c r="H335" s="64" t="e">
        <f>VLOOKUP(A335,'Aux - pivots1'!$A:$B,2,0)</f>
        <v>#N/A</v>
      </c>
      <c r="I335" s="84">
        <f>SUMIFS(Table1[Estimação (horas)],Table1[Tabela],Plano_V1!E335,Table1[Campo],Plano_V1!F335)</f>
        <v>0</v>
      </c>
      <c r="J335" s="84">
        <f t="shared" si="30"/>
        <v>0</v>
      </c>
      <c r="K335" s="89" t="s">
        <v>39</v>
      </c>
      <c r="L335" s="90">
        <f t="shared" si="28"/>
        <v>0</v>
      </c>
      <c r="M335" s="78"/>
      <c r="N335" s="78"/>
      <c r="O335" s="78"/>
      <c r="P335" s="78"/>
      <c r="Q335" s="78"/>
      <c r="R335" s="78"/>
      <c r="S335" s="78"/>
      <c r="T335" s="78"/>
      <c r="U335" s="78"/>
      <c r="V335" s="78"/>
      <c r="W335" s="78"/>
      <c r="X335" s="78"/>
      <c r="Y335" s="78"/>
      <c r="Z335" s="78"/>
      <c r="AA335" s="78"/>
      <c r="AB335" s="78"/>
      <c r="AC335" s="78"/>
      <c r="AD335" s="78"/>
      <c r="AE335" s="78"/>
      <c r="AF335" s="78"/>
      <c r="AG335" s="78"/>
      <c r="AH335" s="78"/>
      <c r="AI335" s="78"/>
      <c r="AJ335" s="78"/>
      <c r="AK335" s="78"/>
      <c r="AL335" s="78"/>
      <c r="AM335" s="78"/>
      <c r="AN335" s="78"/>
      <c r="AO335" s="78"/>
      <c r="AP335" s="78"/>
      <c r="AQ335" s="78"/>
      <c r="AR335" s="78"/>
      <c r="AS335" s="78"/>
      <c r="AT335" s="91"/>
      <c r="AU335" s="78"/>
      <c r="AV335" s="78"/>
      <c r="AW335" s="78"/>
      <c r="AX335" s="78"/>
      <c r="AY335" s="78"/>
      <c r="AZ335" s="78"/>
      <c r="BA335" s="78"/>
      <c r="BB335" s="78"/>
      <c r="BC335" s="78"/>
      <c r="BD335" s="78"/>
      <c r="BE335" s="78"/>
      <c r="BF335" s="78"/>
      <c r="BG335" s="78"/>
      <c r="BH335" s="78"/>
      <c r="BI335" s="78"/>
      <c r="BJ335" s="78"/>
      <c r="BK335" s="78"/>
      <c r="BL335" s="78"/>
      <c r="BM335" s="78"/>
      <c r="BN335" s="78"/>
      <c r="BO335" s="78"/>
      <c r="BP335" s="78"/>
      <c r="BQ335" s="78"/>
      <c r="BR335" s="78"/>
      <c r="BS335" s="78"/>
      <c r="BT335" s="78"/>
      <c r="BU335" s="78"/>
      <c r="BV335" s="78"/>
      <c r="BW335" s="78"/>
      <c r="BX335" s="78"/>
      <c r="BY335" s="78"/>
      <c r="BZ335" s="78"/>
      <c r="CA335" s="78"/>
      <c r="CB335" s="78"/>
      <c r="CC335" s="78"/>
      <c r="CD335" s="78"/>
      <c r="CE335" s="78"/>
      <c r="CF335" s="78"/>
      <c r="CG335" s="78"/>
      <c r="CH335" s="78"/>
      <c r="CI335" s="78"/>
      <c r="CJ335" s="78"/>
      <c r="CK335" s="78"/>
      <c r="CL335" s="78"/>
      <c r="CM335" s="78"/>
      <c r="CN335" s="78"/>
      <c r="CO335" s="78"/>
      <c r="CP335" s="78"/>
      <c r="CQ335" s="78"/>
      <c r="CR335" s="78"/>
      <c r="CS335" s="78"/>
      <c r="CT335" s="78"/>
      <c r="CU335" s="78"/>
      <c r="CV335" s="78"/>
      <c r="CW335" s="78"/>
      <c r="CX335" s="78"/>
      <c r="CY335" s="78"/>
      <c r="CZ335" s="78"/>
      <c r="DA335" s="78"/>
      <c r="DB335" s="78"/>
      <c r="DC335" s="78"/>
      <c r="DD335" s="78"/>
      <c r="DE335" s="78"/>
      <c r="DF335" s="78"/>
      <c r="DG335" s="78"/>
      <c r="DH335" s="78"/>
      <c r="DI335" s="78"/>
      <c r="DJ335" s="78"/>
      <c r="DK335" s="78"/>
      <c r="DL335" s="78"/>
      <c r="DM335" s="78"/>
      <c r="DN335" s="78"/>
      <c r="DO335" s="78"/>
      <c r="DP335" s="78"/>
      <c r="DQ335" s="78"/>
      <c r="DR335" s="78"/>
      <c r="DS335" s="78"/>
      <c r="DT335" s="78"/>
      <c r="DU335" s="78"/>
      <c r="DV335" s="78"/>
      <c r="DW335" s="78"/>
      <c r="DX335" s="78"/>
      <c r="DY335" s="78"/>
      <c r="DZ335" s="78"/>
      <c r="EA335" s="78"/>
      <c r="EB335" s="78"/>
      <c r="EC335" s="78"/>
      <c r="ED335" s="78"/>
      <c r="EE335" s="78"/>
      <c r="EF335" s="78"/>
      <c r="EG335" s="78"/>
      <c r="EH335" s="78"/>
      <c r="EI335" s="91"/>
      <c r="EJ335" s="91"/>
      <c r="EK335" s="91"/>
      <c r="EL335" s="91"/>
      <c r="EM335" s="91"/>
      <c r="EN335" s="91"/>
      <c r="EO335" s="91"/>
      <c r="EP335" s="78"/>
      <c r="EQ335" s="78"/>
      <c r="ER335" s="78"/>
      <c r="ES335" s="78"/>
      <c r="ET335" s="78"/>
      <c r="EU335" s="78"/>
      <c r="EV335" s="78"/>
      <c r="EW335" s="78"/>
      <c r="EX335" s="78"/>
      <c r="EY335" s="78"/>
      <c r="EZ335" s="78"/>
      <c r="FA335" s="78"/>
      <c r="FB335" s="78"/>
      <c r="FC335" s="78"/>
      <c r="FD335" s="78"/>
      <c r="FE335" s="78"/>
      <c r="FF335" s="78"/>
      <c r="FG335" s="78"/>
      <c r="FH335" s="78"/>
      <c r="FI335" s="78"/>
      <c r="FJ335" s="78"/>
      <c r="FK335" s="78"/>
    </row>
    <row r="336" spans="1:167" outlineLevel="1">
      <c r="A336" s="29" t="str">
        <f t="shared" si="29"/>
        <v>modesg_inp_emss_nacemethodology_option</v>
      </c>
      <c r="B336" s="67" t="s">
        <v>26</v>
      </c>
      <c r="C336" s="68" t="s">
        <v>181</v>
      </c>
      <c r="D336" s="64" t="s">
        <v>40</v>
      </c>
      <c r="E336" s="66" t="s">
        <v>218</v>
      </c>
      <c r="F336" s="64" t="s">
        <v>566</v>
      </c>
      <c r="G336" s="64" t="e">
        <f>INDEX(Auxiliar!$B$16:$B$24,MATCH(Plano_V1!H336,Auxiliar!$C$16:$C$24,0),1)</f>
        <v>#N/A</v>
      </c>
      <c r="H336" s="64" t="e">
        <f>VLOOKUP(A336,'Aux - pivots1'!$A:$B,2,0)</f>
        <v>#N/A</v>
      </c>
      <c r="I336" s="84">
        <f>SUMIFS(Table1[Estimação (horas)],Table1[Tabela],Plano_V1!E336,Table1[Campo],Plano_V1!F336)</f>
        <v>0</v>
      </c>
      <c r="J336" s="84">
        <f t="shared" si="30"/>
        <v>0</v>
      </c>
      <c r="K336" s="89" t="s">
        <v>39</v>
      </c>
      <c r="L336" s="90">
        <f t="shared" si="28"/>
        <v>0</v>
      </c>
      <c r="M336" s="78"/>
      <c r="N336" s="78"/>
      <c r="O336" s="78"/>
      <c r="P336" s="78"/>
      <c r="Q336" s="78"/>
      <c r="R336" s="78"/>
      <c r="S336" s="78"/>
      <c r="T336" s="78"/>
      <c r="U336" s="78"/>
      <c r="V336" s="78"/>
      <c r="W336" s="78"/>
      <c r="X336" s="78"/>
      <c r="Y336" s="78"/>
      <c r="Z336" s="78"/>
      <c r="AA336" s="78"/>
      <c r="AB336" s="78"/>
      <c r="AC336" s="78"/>
      <c r="AD336" s="78"/>
      <c r="AE336" s="78"/>
      <c r="AF336" s="78"/>
      <c r="AG336" s="78"/>
      <c r="AH336" s="78"/>
      <c r="AI336" s="78"/>
      <c r="AJ336" s="78"/>
      <c r="AK336" s="78"/>
      <c r="AL336" s="78"/>
      <c r="AM336" s="78"/>
      <c r="AN336" s="78"/>
      <c r="AO336" s="78"/>
      <c r="AP336" s="78"/>
      <c r="AQ336" s="78"/>
      <c r="AR336" s="78"/>
      <c r="AS336" s="78"/>
      <c r="AT336" s="91"/>
      <c r="AU336" s="78"/>
      <c r="AV336" s="78"/>
      <c r="AW336" s="78"/>
      <c r="AX336" s="78"/>
      <c r="AY336" s="78"/>
      <c r="AZ336" s="78"/>
      <c r="BA336" s="78"/>
      <c r="BB336" s="78"/>
      <c r="BC336" s="78"/>
      <c r="BD336" s="78"/>
      <c r="BE336" s="78"/>
      <c r="BF336" s="78"/>
      <c r="BG336" s="78"/>
      <c r="BH336" s="78"/>
      <c r="BI336" s="78"/>
      <c r="BJ336" s="78"/>
      <c r="BK336" s="78"/>
      <c r="BL336" s="78"/>
      <c r="BM336" s="78"/>
      <c r="BN336" s="78"/>
      <c r="BO336" s="78"/>
      <c r="BP336" s="78"/>
      <c r="BQ336" s="78"/>
      <c r="BR336" s="78"/>
      <c r="BS336" s="78"/>
      <c r="BT336" s="78"/>
      <c r="BU336" s="78"/>
      <c r="BV336" s="78"/>
      <c r="BW336" s="78"/>
      <c r="BX336" s="78"/>
      <c r="BY336" s="78"/>
      <c r="BZ336" s="78"/>
      <c r="CA336" s="78"/>
      <c r="CB336" s="78"/>
      <c r="CC336" s="78"/>
      <c r="CD336" s="78"/>
      <c r="CE336" s="78"/>
      <c r="CF336" s="78"/>
      <c r="CG336" s="78"/>
      <c r="CH336" s="78"/>
      <c r="CI336" s="78"/>
      <c r="CJ336" s="78"/>
      <c r="CK336" s="78"/>
      <c r="CL336" s="78"/>
      <c r="CM336" s="78"/>
      <c r="CN336" s="78"/>
      <c r="CO336" s="78"/>
      <c r="CP336" s="78"/>
      <c r="CQ336" s="78"/>
      <c r="CR336" s="78"/>
      <c r="CS336" s="78"/>
      <c r="CT336" s="78"/>
      <c r="CU336" s="78"/>
      <c r="CV336" s="78"/>
      <c r="CW336" s="78"/>
      <c r="CX336" s="78"/>
      <c r="CY336" s="78"/>
      <c r="CZ336" s="78"/>
      <c r="DA336" s="78"/>
      <c r="DB336" s="78"/>
      <c r="DC336" s="78"/>
      <c r="DD336" s="78"/>
      <c r="DE336" s="78"/>
      <c r="DF336" s="78"/>
      <c r="DG336" s="78"/>
      <c r="DH336" s="78"/>
      <c r="DI336" s="78"/>
      <c r="DJ336" s="78"/>
      <c r="DK336" s="78"/>
      <c r="DL336" s="78"/>
      <c r="DM336" s="78"/>
      <c r="DN336" s="78"/>
      <c r="DO336" s="78"/>
      <c r="DP336" s="78"/>
      <c r="DQ336" s="78"/>
      <c r="DR336" s="78"/>
      <c r="DS336" s="78"/>
      <c r="DT336" s="78"/>
      <c r="DU336" s="78"/>
      <c r="DV336" s="78"/>
      <c r="DW336" s="78"/>
      <c r="DX336" s="78"/>
      <c r="DY336" s="78"/>
      <c r="DZ336" s="78"/>
      <c r="EA336" s="78"/>
      <c r="EB336" s="78"/>
      <c r="EC336" s="78"/>
      <c r="ED336" s="78"/>
      <c r="EE336" s="78"/>
      <c r="EF336" s="78"/>
      <c r="EG336" s="78"/>
      <c r="EH336" s="78"/>
      <c r="EI336" s="91"/>
      <c r="EJ336" s="91"/>
      <c r="EK336" s="91"/>
      <c r="EL336" s="91"/>
      <c r="EM336" s="91"/>
      <c r="EN336" s="91"/>
      <c r="EO336" s="91"/>
      <c r="EP336" s="78"/>
      <c r="EQ336" s="78"/>
      <c r="ER336" s="78"/>
      <c r="ES336" s="78"/>
      <c r="ET336" s="78"/>
      <c r="EU336" s="78"/>
      <c r="EV336" s="78"/>
      <c r="EW336" s="78"/>
      <c r="EX336" s="78"/>
      <c r="EY336" s="78"/>
      <c r="EZ336" s="78"/>
      <c r="FA336" s="78"/>
      <c r="FB336" s="78"/>
      <c r="FC336" s="78"/>
      <c r="FD336" s="78"/>
      <c r="FE336" s="78"/>
      <c r="FF336" s="78"/>
      <c r="FG336" s="78"/>
      <c r="FH336" s="78"/>
      <c r="FI336" s="78"/>
      <c r="FJ336" s="78"/>
      <c r="FK336" s="78"/>
    </row>
    <row r="337" spans="1:167" outlineLevel="1">
      <c r="A337" s="29" t="str">
        <f t="shared" si="29"/>
        <v>modesg_inp_emss_naceunidade_funcional</v>
      </c>
      <c r="B337" s="67" t="s">
        <v>26</v>
      </c>
      <c r="C337" s="68" t="s">
        <v>181</v>
      </c>
      <c r="D337" s="64" t="s">
        <v>40</v>
      </c>
      <c r="E337" s="66" t="s">
        <v>218</v>
      </c>
      <c r="F337" s="64" t="s">
        <v>229</v>
      </c>
      <c r="G337" s="64" t="str">
        <f>INDEX(Auxiliar!$B$16:$B$24,MATCH(Plano_V1!H337,Auxiliar!$C$16:$C$24,0),1)</f>
        <v>1. Concluído</v>
      </c>
      <c r="H337" s="64">
        <f>VLOOKUP(A337,'Aux - pivots1'!$A:$B,2,0)</f>
        <v>1</v>
      </c>
      <c r="I337" s="84">
        <f>SUMIFS(Table1[Estimação (horas)],Table1[Tabela],Plano_V1!E337,Table1[Campo],Plano_V1!F337)</f>
        <v>0.6</v>
      </c>
      <c r="J337" s="84">
        <f t="shared" si="30"/>
        <v>7.4999999999999997E-2</v>
      </c>
      <c r="K337" s="89" t="s">
        <v>39</v>
      </c>
      <c r="L337" s="90">
        <f t="shared" si="28"/>
        <v>7.4999999999999997E-2</v>
      </c>
      <c r="M337" s="78"/>
      <c r="N337" s="78"/>
      <c r="O337" s="78"/>
      <c r="P337" s="78"/>
      <c r="Q337" s="78"/>
      <c r="R337" s="78"/>
      <c r="S337" s="78"/>
      <c r="T337" s="78"/>
      <c r="U337" s="78"/>
      <c r="V337" s="78"/>
      <c r="W337" s="78"/>
      <c r="X337" s="78"/>
      <c r="Y337" s="78"/>
      <c r="Z337" s="78"/>
      <c r="AA337" s="78"/>
      <c r="AB337" s="78"/>
      <c r="AC337" s="78"/>
      <c r="AD337" s="78"/>
      <c r="AE337" s="78"/>
      <c r="AF337" s="78"/>
      <c r="AG337" s="78"/>
      <c r="AH337" s="78"/>
      <c r="AI337" s="78"/>
      <c r="AJ337" s="78"/>
      <c r="AK337" s="78"/>
      <c r="AL337" s="78"/>
      <c r="AM337" s="78"/>
      <c r="AN337" s="78"/>
      <c r="AO337" s="78"/>
      <c r="AP337" s="78"/>
      <c r="AQ337" s="78"/>
      <c r="AR337" s="78"/>
      <c r="AS337" s="78"/>
      <c r="AT337" s="91"/>
      <c r="AU337" s="78"/>
      <c r="AV337" s="78"/>
      <c r="AW337" s="78"/>
      <c r="AX337" s="78"/>
      <c r="AY337" s="78"/>
      <c r="AZ337" s="78"/>
      <c r="BA337" s="78"/>
      <c r="BB337" s="78"/>
      <c r="BC337" s="78"/>
      <c r="BD337" s="78"/>
      <c r="BE337" s="78"/>
      <c r="BF337" s="78"/>
      <c r="BG337" s="78"/>
      <c r="BH337" s="78"/>
      <c r="BI337" s="78"/>
      <c r="BJ337" s="78"/>
      <c r="BK337" s="78"/>
      <c r="BL337" s="78"/>
      <c r="BM337" s="78"/>
      <c r="BN337" s="78"/>
      <c r="BO337" s="78"/>
      <c r="BP337" s="78"/>
      <c r="BQ337" s="78"/>
      <c r="BR337" s="78"/>
      <c r="BS337" s="78"/>
      <c r="BT337" s="78"/>
      <c r="BU337" s="78"/>
      <c r="BV337" s="78"/>
      <c r="BW337" s="78"/>
      <c r="BX337" s="78"/>
      <c r="BY337" s="78"/>
      <c r="BZ337" s="78"/>
      <c r="CA337" s="78"/>
      <c r="CB337" s="78"/>
      <c r="CC337" s="78"/>
      <c r="CD337" s="78"/>
      <c r="CE337" s="78"/>
      <c r="CF337" s="78"/>
      <c r="CG337" s="78"/>
      <c r="CH337" s="78"/>
      <c r="CI337" s="78"/>
      <c r="CJ337" s="78"/>
      <c r="CK337" s="78"/>
      <c r="CL337" s="78"/>
      <c r="CM337" s="78"/>
      <c r="CN337" s="78"/>
      <c r="CO337" s="78"/>
      <c r="CP337" s="78"/>
      <c r="CQ337" s="78"/>
      <c r="CR337" s="78"/>
      <c r="CS337" s="78"/>
      <c r="CT337" s="78"/>
      <c r="CU337" s="78"/>
      <c r="CV337" s="78"/>
      <c r="CW337" s="78"/>
      <c r="CX337" s="78"/>
      <c r="CY337" s="78"/>
      <c r="CZ337" s="78"/>
      <c r="DA337" s="78"/>
      <c r="DB337" s="78"/>
      <c r="DC337" s="78"/>
      <c r="DD337" s="78"/>
      <c r="DE337" s="78"/>
      <c r="DF337" s="78"/>
      <c r="DG337" s="78"/>
      <c r="DH337" s="78"/>
      <c r="DI337" s="78"/>
      <c r="DJ337" s="78"/>
      <c r="DK337" s="78"/>
      <c r="DL337" s="78"/>
      <c r="DM337" s="78"/>
      <c r="DN337" s="78"/>
      <c r="DO337" s="78"/>
      <c r="DP337" s="78"/>
      <c r="DQ337" s="78"/>
      <c r="DR337" s="78"/>
      <c r="DS337" s="78"/>
      <c r="DT337" s="78"/>
      <c r="DU337" s="78"/>
      <c r="DV337" s="78"/>
      <c r="DW337" s="78"/>
      <c r="DX337" s="78"/>
      <c r="DY337" s="78"/>
      <c r="DZ337" s="78"/>
      <c r="EA337" s="78"/>
      <c r="EB337" s="78"/>
      <c r="EC337" s="78"/>
      <c r="ED337" s="78"/>
      <c r="EE337" s="78"/>
      <c r="EF337" s="78"/>
      <c r="EG337" s="78"/>
      <c r="EH337" s="78"/>
      <c r="EI337" s="91"/>
      <c r="EJ337" s="91"/>
      <c r="EK337" s="91"/>
      <c r="EL337" s="91"/>
      <c r="EM337" s="91"/>
      <c r="EN337" s="91"/>
      <c r="EO337" s="91"/>
      <c r="EP337" s="78"/>
      <c r="EQ337" s="78"/>
      <c r="ER337" s="78"/>
      <c r="ES337" s="78"/>
      <c r="ET337" s="78"/>
      <c r="EU337" s="78"/>
      <c r="EV337" s="78"/>
      <c r="EW337" s="78"/>
      <c r="EX337" s="78"/>
      <c r="EY337" s="78"/>
      <c r="EZ337" s="78"/>
      <c r="FA337" s="78"/>
      <c r="FB337" s="78"/>
      <c r="FC337" s="78"/>
      <c r="FD337" s="78"/>
      <c r="FE337" s="78"/>
      <c r="FF337" s="78"/>
      <c r="FG337" s="78"/>
      <c r="FH337" s="78"/>
      <c r="FI337" s="78"/>
      <c r="FJ337" s="78"/>
      <c r="FK337" s="78"/>
    </row>
    <row r="338" spans="1:167" outlineLevel="1">
      <c r="A338" s="29" t="str">
        <f t="shared" si="29"/>
        <v>modesg_inp_emss_naceunidades_fator_de_emissao</v>
      </c>
      <c r="B338" s="67" t="s">
        <v>26</v>
      </c>
      <c r="C338" s="68" t="s">
        <v>181</v>
      </c>
      <c r="D338" s="64" t="s">
        <v>40</v>
      </c>
      <c r="E338" s="66" t="s">
        <v>218</v>
      </c>
      <c r="F338" s="64" t="s">
        <v>302</v>
      </c>
      <c r="G338" s="64" t="str">
        <f>INDEX(Auxiliar!$B$16:$B$24,MATCH(Plano_V1!H338,Auxiliar!$C$16:$C$24,0),1)</f>
        <v>1. Concluído</v>
      </c>
      <c r="H338" s="64">
        <f>VLOOKUP(A338,'Aux - pivots1'!$A:$B,2,0)</f>
        <v>1</v>
      </c>
      <c r="I338" s="84">
        <f>SUMIFS(Table1[Estimação (horas)],Table1[Tabela],Plano_V1!E338,Table1[Campo],Plano_V1!F338)</f>
        <v>0.5</v>
      </c>
      <c r="J338" s="84">
        <f t="shared" si="30"/>
        <v>6.25E-2</v>
      </c>
      <c r="K338" s="89" t="s">
        <v>39</v>
      </c>
      <c r="L338" s="90">
        <f t="shared" si="28"/>
        <v>6.25E-2</v>
      </c>
      <c r="M338" s="78"/>
      <c r="N338" s="78"/>
      <c r="O338" s="78"/>
      <c r="P338" s="78"/>
      <c r="Q338" s="78"/>
      <c r="R338" s="78"/>
      <c r="S338" s="78"/>
      <c r="T338" s="78"/>
      <c r="U338" s="78"/>
      <c r="V338" s="78"/>
      <c r="W338" s="78"/>
      <c r="X338" s="78"/>
      <c r="Y338" s="78"/>
      <c r="Z338" s="78"/>
      <c r="AA338" s="78"/>
      <c r="AB338" s="78"/>
      <c r="AC338" s="78"/>
      <c r="AD338" s="78"/>
      <c r="AE338" s="78"/>
      <c r="AF338" s="78"/>
      <c r="AG338" s="78"/>
      <c r="AH338" s="78"/>
      <c r="AI338" s="78"/>
      <c r="AJ338" s="78"/>
      <c r="AK338" s="78"/>
      <c r="AL338" s="78"/>
      <c r="AM338" s="78"/>
      <c r="AN338" s="78"/>
      <c r="AO338" s="78"/>
      <c r="AP338" s="78"/>
      <c r="AQ338" s="78"/>
      <c r="AR338" s="78"/>
      <c r="AS338" s="78"/>
      <c r="AT338" s="91"/>
      <c r="AU338" s="78"/>
      <c r="AV338" s="78"/>
      <c r="AW338" s="78"/>
      <c r="AX338" s="78"/>
      <c r="AY338" s="78"/>
      <c r="AZ338" s="78"/>
      <c r="BA338" s="78"/>
      <c r="BB338" s="78"/>
      <c r="BC338" s="78"/>
      <c r="BD338" s="78"/>
      <c r="BE338" s="78"/>
      <c r="BF338" s="78"/>
      <c r="BG338" s="78"/>
      <c r="BH338" s="78"/>
      <c r="BI338" s="78"/>
      <c r="BJ338" s="78"/>
      <c r="BK338" s="78"/>
      <c r="BL338" s="78"/>
      <c r="BM338" s="78"/>
      <c r="BN338" s="78"/>
      <c r="BO338" s="78"/>
      <c r="BP338" s="78"/>
      <c r="BQ338" s="78"/>
      <c r="BR338" s="78"/>
      <c r="BS338" s="78"/>
      <c r="BT338" s="78"/>
      <c r="BU338" s="78"/>
      <c r="BV338" s="78"/>
      <c r="BW338" s="78"/>
      <c r="BX338" s="78"/>
      <c r="BY338" s="78"/>
      <c r="BZ338" s="78"/>
      <c r="CA338" s="78"/>
      <c r="CB338" s="78"/>
      <c r="CC338" s="78"/>
      <c r="CD338" s="78"/>
      <c r="CE338" s="78"/>
      <c r="CF338" s="78"/>
      <c r="CG338" s="78"/>
      <c r="CH338" s="78"/>
      <c r="CI338" s="78"/>
      <c r="CJ338" s="78"/>
      <c r="CK338" s="78"/>
      <c r="CL338" s="78"/>
      <c r="CM338" s="78"/>
      <c r="CN338" s="78"/>
      <c r="CO338" s="78"/>
      <c r="CP338" s="78"/>
      <c r="CQ338" s="78"/>
      <c r="CR338" s="78"/>
      <c r="CS338" s="78"/>
      <c r="CT338" s="78"/>
      <c r="CU338" s="78"/>
      <c r="CV338" s="78"/>
      <c r="CW338" s="78"/>
      <c r="CX338" s="78"/>
      <c r="CY338" s="78"/>
      <c r="CZ338" s="78"/>
      <c r="DA338" s="78"/>
      <c r="DB338" s="78"/>
      <c r="DC338" s="78"/>
      <c r="DD338" s="78"/>
      <c r="DE338" s="78"/>
      <c r="DF338" s="78"/>
      <c r="DG338" s="78"/>
      <c r="DH338" s="78"/>
      <c r="DI338" s="78"/>
      <c r="DJ338" s="78"/>
      <c r="DK338" s="78"/>
      <c r="DL338" s="78"/>
      <c r="DM338" s="78"/>
      <c r="DN338" s="78"/>
      <c r="DO338" s="78"/>
      <c r="DP338" s="78"/>
      <c r="DQ338" s="78"/>
      <c r="DR338" s="78"/>
      <c r="DS338" s="78"/>
      <c r="DT338" s="78"/>
      <c r="DU338" s="78"/>
      <c r="DV338" s="78"/>
      <c r="DW338" s="78"/>
      <c r="DX338" s="78"/>
      <c r="DY338" s="78"/>
      <c r="DZ338" s="78"/>
      <c r="EA338" s="78"/>
      <c r="EB338" s="78"/>
      <c r="EC338" s="78"/>
      <c r="ED338" s="78"/>
      <c r="EE338" s="78"/>
      <c r="EF338" s="78"/>
      <c r="EG338" s="78"/>
      <c r="EH338" s="78"/>
      <c r="EI338" s="91"/>
      <c r="EJ338" s="91"/>
      <c r="EK338" s="91"/>
      <c r="EL338" s="91"/>
      <c r="EM338" s="91"/>
      <c r="EN338" s="91"/>
      <c r="EO338" s="91"/>
      <c r="EP338" s="78"/>
      <c r="EQ338" s="78"/>
      <c r="ER338" s="78"/>
      <c r="ES338" s="78"/>
      <c r="ET338" s="78"/>
      <c r="EU338" s="78"/>
      <c r="EV338" s="78"/>
      <c r="EW338" s="78"/>
      <c r="EX338" s="78"/>
      <c r="EY338" s="78"/>
      <c r="EZ338" s="78"/>
      <c r="FA338" s="78"/>
      <c r="FB338" s="78"/>
      <c r="FC338" s="78"/>
      <c r="FD338" s="78"/>
      <c r="FE338" s="78"/>
      <c r="FF338" s="78"/>
      <c r="FG338" s="78"/>
      <c r="FH338" s="78"/>
      <c r="FI338" s="78"/>
      <c r="FJ338" s="78"/>
      <c r="FK338" s="78"/>
    </row>
    <row r="339" spans="1:167" outlineLevel="1">
      <c r="A339" s="29" t="str">
        <f t="shared" si="29"/>
        <v>modesg_inp_emss_nacescore_qualidade</v>
      </c>
      <c r="B339" s="67" t="s">
        <v>26</v>
      </c>
      <c r="C339" s="68" t="s">
        <v>181</v>
      </c>
      <c r="D339" s="64" t="s">
        <v>40</v>
      </c>
      <c r="E339" s="66" t="s">
        <v>218</v>
      </c>
      <c r="F339" s="64" t="s">
        <v>232</v>
      </c>
      <c r="G339" s="64" t="str">
        <f>INDEX(Auxiliar!$B$16:$B$24,MATCH(Plano_V1!H339,Auxiliar!$C$16:$C$24,0),1)</f>
        <v>1. Concluído</v>
      </c>
      <c r="H339" s="64">
        <f>VLOOKUP(A339,'Aux - pivots1'!$A:$B,2,0)</f>
        <v>1</v>
      </c>
      <c r="I339" s="84">
        <f>SUMIFS(Table1[Estimação (horas)],Table1[Tabela],Plano_V1!E339,Table1[Campo],Plano_V1!F339)</f>
        <v>0.5</v>
      </c>
      <c r="J339" s="84">
        <f t="shared" si="30"/>
        <v>6.25E-2</v>
      </c>
      <c r="K339" s="89" t="s">
        <v>39</v>
      </c>
      <c r="L339" s="90">
        <f t="shared" si="28"/>
        <v>6.25E-2</v>
      </c>
      <c r="M339" s="78"/>
      <c r="N339" s="78"/>
      <c r="O339" s="78"/>
      <c r="P339" s="78"/>
      <c r="Q339" s="78"/>
      <c r="R339" s="78"/>
      <c r="S339" s="78"/>
      <c r="T339" s="78"/>
      <c r="U339" s="78"/>
      <c r="V339" s="78"/>
      <c r="W339" s="78"/>
      <c r="X339" s="78"/>
      <c r="Y339" s="78"/>
      <c r="Z339" s="78"/>
      <c r="AA339" s="78"/>
      <c r="AB339" s="78"/>
      <c r="AC339" s="78"/>
      <c r="AD339" s="78"/>
      <c r="AE339" s="78"/>
      <c r="AF339" s="78"/>
      <c r="AG339" s="78"/>
      <c r="AH339" s="78"/>
      <c r="AI339" s="78"/>
      <c r="AJ339" s="78"/>
      <c r="AK339" s="78"/>
      <c r="AL339" s="78"/>
      <c r="AM339" s="78"/>
      <c r="AN339" s="78"/>
      <c r="AO339" s="78"/>
      <c r="AP339" s="78"/>
      <c r="AQ339" s="78"/>
      <c r="AR339" s="78"/>
      <c r="AS339" s="78"/>
      <c r="AT339" s="91"/>
      <c r="AU339" s="78"/>
      <c r="AV339" s="78"/>
      <c r="AW339" s="78"/>
      <c r="AX339" s="78"/>
      <c r="AY339" s="78"/>
      <c r="AZ339" s="78"/>
      <c r="BA339" s="78"/>
      <c r="BB339" s="78"/>
      <c r="BC339" s="78"/>
      <c r="BD339" s="78"/>
      <c r="BE339" s="78"/>
      <c r="BF339" s="78"/>
      <c r="BG339" s="78"/>
      <c r="BH339" s="78"/>
      <c r="BI339" s="78"/>
      <c r="BJ339" s="78"/>
      <c r="BK339" s="78"/>
      <c r="BL339" s="78"/>
      <c r="BM339" s="78"/>
      <c r="BN339" s="78"/>
      <c r="BO339" s="78"/>
      <c r="BP339" s="78"/>
      <c r="BQ339" s="78"/>
      <c r="BR339" s="78"/>
      <c r="BS339" s="78"/>
      <c r="BT339" s="78"/>
      <c r="BU339" s="78"/>
      <c r="BV339" s="78"/>
      <c r="BW339" s="78"/>
      <c r="BX339" s="78"/>
      <c r="BY339" s="78"/>
      <c r="BZ339" s="78"/>
      <c r="CA339" s="78"/>
      <c r="CB339" s="78"/>
      <c r="CC339" s="78"/>
      <c r="CD339" s="78"/>
      <c r="CE339" s="78"/>
      <c r="CF339" s="78"/>
      <c r="CG339" s="78"/>
      <c r="CH339" s="78"/>
      <c r="CI339" s="78"/>
      <c r="CJ339" s="78"/>
      <c r="CK339" s="78"/>
      <c r="CL339" s="78"/>
      <c r="CM339" s="78"/>
      <c r="CN339" s="78"/>
      <c r="CO339" s="78"/>
      <c r="CP339" s="78"/>
      <c r="CQ339" s="78"/>
      <c r="CR339" s="78"/>
      <c r="CS339" s="78"/>
      <c r="CT339" s="78"/>
      <c r="CU339" s="78"/>
      <c r="CV339" s="78"/>
      <c r="CW339" s="78"/>
      <c r="CX339" s="78"/>
      <c r="CY339" s="78"/>
      <c r="CZ339" s="78"/>
      <c r="DA339" s="78"/>
      <c r="DB339" s="78"/>
      <c r="DC339" s="78"/>
      <c r="DD339" s="78"/>
      <c r="DE339" s="78"/>
      <c r="DF339" s="78"/>
      <c r="DG339" s="78"/>
      <c r="DH339" s="78"/>
      <c r="DI339" s="78"/>
      <c r="DJ339" s="78"/>
      <c r="DK339" s="78"/>
      <c r="DL339" s="78"/>
      <c r="DM339" s="78"/>
      <c r="DN339" s="78"/>
      <c r="DO339" s="78"/>
      <c r="DP339" s="78"/>
      <c r="DQ339" s="78"/>
      <c r="DR339" s="78"/>
      <c r="DS339" s="78"/>
      <c r="DT339" s="78"/>
      <c r="DU339" s="78"/>
      <c r="DV339" s="78"/>
      <c r="DW339" s="78"/>
      <c r="DX339" s="78"/>
      <c r="DY339" s="78"/>
      <c r="DZ339" s="78"/>
      <c r="EA339" s="78"/>
      <c r="EB339" s="78"/>
      <c r="EC339" s="78"/>
      <c r="ED339" s="78"/>
      <c r="EE339" s="78"/>
      <c r="EF339" s="78"/>
      <c r="EG339" s="78"/>
      <c r="EH339" s="78"/>
      <c r="EI339" s="91"/>
      <c r="EJ339" s="91"/>
      <c r="EK339" s="91"/>
      <c r="EL339" s="91"/>
      <c r="EM339" s="91"/>
      <c r="EN339" s="91"/>
      <c r="EO339" s="91"/>
      <c r="EP339" s="78"/>
      <c r="EQ339" s="78"/>
      <c r="ER339" s="78"/>
      <c r="ES339" s="78"/>
      <c r="ET339" s="78"/>
      <c r="EU339" s="78"/>
      <c r="EV339" s="78"/>
      <c r="EW339" s="78"/>
      <c r="EX339" s="78"/>
      <c r="EY339" s="78"/>
      <c r="EZ339" s="78"/>
      <c r="FA339" s="78"/>
      <c r="FB339" s="78"/>
      <c r="FC339" s="78"/>
      <c r="FD339" s="78"/>
      <c r="FE339" s="78"/>
      <c r="FF339" s="78"/>
      <c r="FG339" s="78"/>
      <c r="FH339" s="78"/>
      <c r="FI339" s="78"/>
      <c r="FJ339" s="78"/>
      <c r="FK339" s="78"/>
    </row>
    <row r="340" spans="1:167" outlineLevel="1">
      <c r="A340" s="29" t="str">
        <f t="shared" si="29"/>
        <v>modesg_inp_emss_nacescp1_ftr_emss</v>
      </c>
      <c r="B340" s="67" t="s">
        <v>26</v>
      </c>
      <c r="C340" s="68" t="s">
        <v>181</v>
      </c>
      <c r="D340" s="64" t="s">
        <v>40</v>
      </c>
      <c r="E340" s="66" t="s">
        <v>218</v>
      </c>
      <c r="F340" s="64" t="s">
        <v>233</v>
      </c>
      <c r="G340" s="64" t="str">
        <f>INDEX(Auxiliar!$B$16:$B$24,MATCH(Plano_V1!H340,Auxiliar!$C$16:$C$24,0),1)</f>
        <v>1. Concluído</v>
      </c>
      <c r="H340" s="64">
        <f>VLOOKUP(A340,'Aux - pivots1'!$A:$B,2,0)</f>
        <v>1</v>
      </c>
      <c r="I340" s="84">
        <f>SUMIFS(Table1[Estimação (horas)],Table1[Tabela],Plano_V1!E340,Table1[Campo],Plano_V1!F340)</f>
        <v>0.6</v>
      </c>
      <c r="J340" s="84">
        <f t="shared" si="30"/>
        <v>7.4999999999999997E-2</v>
      </c>
      <c r="K340" s="89" t="s">
        <v>39</v>
      </c>
      <c r="L340" s="90">
        <f t="shared" si="28"/>
        <v>7.4999999999999997E-2</v>
      </c>
      <c r="M340" s="78"/>
      <c r="N340" s="78"/>
      <c r="O340" s="78"/>
      <c r="P340" s="78"/>
      <c r="Q340" s="78"/>
      <c r="R340" s="78"/>
      <c r="S340" s="78"/>
      <c r="T340" s="78"/>
      <c r="U340" s="78"/>
      <c r="V340" s="78"/>
      <c r="W340" s="78"/>
      <c r="X340" s="78"/>
      <c r="Y340" s="78"/>
      <c r="Z340" s="78"/>
      <c r="AA340" s="78"/>
      <c r="AB340" s="78"/>
      <c r="AC340" s="78"/>
      <c r="AD340" s="78"/>
      <c r="AE340" s="78"/>
      <c r="AF340" s="78"/>
      <c r="AG340" s="78"/>
      <c r="AH340" s="78"/>
      <c r="AI340" s="78"/>
      <c r="AJ340" s="78"/>
      <c r="AK340" s="78"/>
      <c r="AL340" s="78"/>
      <c r="AM340" s="78"/>
      <c r="AN340" s="78"/>
      <c r="AO340" s="78"/>
      <c r="AP340" s="78"/>
      <c r="AQ340" s="78"/>
      <c r="AR340" s="78"/>
      <c r="AS340" s="78"/>
      <c r="AT340" s="91"/>
      <c r="AU340" s="78"/>
      <c r="AV340" s="78"/>
      <c r="AW340" s="78"/>
      <c r="AX340" s="78"/>
      <c r="AY340" s="78"/>
      <c r="AZ340" s="78"/>
      <c r="BA340" s="78"/>
      <c r="BB340" s="78"/>
      <c r="BC340" s="78"/>
      <c r="BD340" s="78"/>
      <c r="BE340" s="78"/>
      <c r="BF340" s="78"/>
      <c r="BG340" s="78"/>
      <c r="BH340" s="78"/>
      <c r="BI340" s="78"/>
      <c r="BJ340" s="78"/>
      <c r="BK340" s="78"/>
      <c r="BL340" s="78"/>
      <c r="BM340" s="78"/>
      <c r="BN340" s="78"/>
      <c r="BO340" s="78"/>
      <c r="BP340" s="78"/>
      <c r="BQ340" s="78"/>
      <c r="BR340" s="78"/>
      <c r="BS340" s="78"/>
      <c r="BT340" s="78"/>
      <c r="BU340" s="78"/>
      <c r="BV340" s="78"/>
      <c r="BW340" s="78"/>
      <c r="BX340" s="78"/>
      <c r="BY340" s="78"/>
      <c r="BZ340" s="78"/>
      <c r="CA340" s="78"/>
      <c r="CB340" s="78"/>
      <c r="CC340" s="78"/>
      <c r="CD340" s="78"/>
      <c r="CE340" s="78"/>
      <c r="CF340" s="78"/>
      <c r="CG340" s="78"/>
      <c r="CH340" s="78"/>
      <c r="CI340" s="78"/>
      <c r="CJ340" s="78"/>
      <c r="CK340" s="78"/>
      <c r="CL340" s="78"/>
      <c r="CM340" s="78"/>
      <c r="CN340" s="78"/>
      <c r="CO340" s="78"/>
      <c r="CP340" s="78"/>
      <c r="CQ340" s="78"/>
      <c r="CR340" s="78"/>
      <c r="CS340" s="78"/>
      <c r="CT340" s="78"/>
      <c r="CU340" s="78"/>
      <c r="CV340" s="78"/>
      <c r="CW340" s="78"/>
      <c r="CX340" s="78"/>
      <c r="CY340" s="78"/>
      <c r="CZ340" s="78"/>
      <c r="DA340" s="78"/>
      <c r="DB340" s="78"/>
      <c r="DC340" s="78"/>
      <c r="DD340" s="78"/>
      <c r="DE340" s="78"/>
      <c r="DF340" s="78"/>
      <c r="DG340" s="78"/>
      <c r="DH340" s="78"/>
      <c r="DI340" s="78"/>
      <c r="DJ340" s="78"/>
      <c r="DK340" s="78"/>
      <c r="DL340" s="78"/>
      <c r="DM340" s="78"/>
      <c r="DN340" s="78"/>
      <c r="DO340" s="78"/>
      <c r="DP340" s="78"/>
      <c r="DQ340" s="78"/>
      <c r="DR340" s="78"/>
      <c r="DS340" s="78"/>
      <c r="DT340" s="78"/>
      <c r="DU340" s="78"/>
      <c r="DV340" s="78"/>
      <c r="DW340" s="78"/>
      <c r="DX340" s="78"/>
      <c r="DY340" s="78"/>
      <c r="DZ340" s="78"/>
      <c r="EA340" s="78"/>
      <c r="EB340" s="78"/>
      <c r="EC340" s="78"/>
      <c r="ED340" s="78"/>
      <c r="EE340" s="78"/>
      <c r="EF340" s="78"/>
      <c r="EG340" s="78"/>
      <c r="EH340" s="78"/>
      <c r="EI340" s="91"/>
      <c r="EJ340" s="91"/>
      <c r="EK340" s="91"/>
      <c r="EL340" s="91"/>
      <c r="EM340" s="91"/>
      <c r="EN340" s="91"/>
      <c r="EO340" s="91"/>
      <c r="EP340" s="78"/>
      <c r="EQ340" s="78"/>
      <c r="ER340" s="78"/>
      <c r="ES340" s="78"/>
      <c r="ET340" s="78"/>
      <c r="EU340" s="78"/>
      <c r="EV340" s="78"/>
      <c r="EW340" s="78"/>
      <c r="EX340" s="78"/>
      <c r="EY340" s="78"/>
      <c r="EZ340" s="78"/>
      <c r="FA340" s="78"/>
      <c r="FB340" s="78"/>
      <c r="FC340" s="78"/>
      <c r="FD340" s="78"/>
      <c r="FE340" s="78"/>
      <c r="FF340" s="78"/>
      <c r="FG340" s="78"/>
      <c r="FH340" s="78"/>
      <c r="FI340" s="78"/>
      <c r="FJ340" s="78"/>
      <c r="FK340" s="78"/>
    </row>
    <row r="341" spans="1:167" outlineLevel="1">
      <c r="A341" s="29" t="str">
        <f t="shared" si="29"/>
        <v>modesg_inp_emss_nacescp2_ftr_emss</v>
      </c>
      <c r="B341" s="67" t="s">
        <v>26</v>
      </c>
      <c r="C341" s="68" t="s">
        <v>181</v>
      </c>
      <c r="D341" s="64" t="s">
        <v>40</v>
      </c>
      <c r="E341" s="66" t="s">
        <v>218</v>
      </c>
      <c r="F341" s="64" t="s">
        <v>234</v>
      </c>
      <c r="G341" s="64" t="str">
        <f>INDEX(Auxiliar!$B$16:$B$24,MATCH(Plano_V1!H341,Auxiliar!$C$16:$C$24,0),1)</f>
        <v>1. Concluído</v>
      </c>
      <c r="H341" s="64">
        <f>VLOOKUP(A341,'Aux - pivots1'!$A:$B,2,0)</f>
        <v>1</v>
      </c>
      <c r="I341" s="84">
        <f>SUMIFS(Table1[Estimação (horas)],Table1[Tabela],Plano_V1!E341,Table1[Campo],Plano_V1!F341)</f>
        <v>0.6</v>
      </c>
      <c r="J341" s="84">
        <f t="shared" si="30"/>
        <v>7.4999999999999997E-2</v>
      </c>
      <c r="K341" s="89" t="s">
        <v>39</v>
      </c>
      <c r="L341" s="90">
        <f t="shared" si="28"/>
        <v>7.4999999999999997E-2</v>
      </c>
      <c r="M341" s="78"/>
      <c r="N341" s="78"/>
      <c r="O341" s="78"/>
      <c r="P341" s="78"/>
      <c r="Q341" s="78"/>
      <c r="R341" s="78"/>
      <c r="S341" s="78"/>
      <c r="T341" s="78"/>
      <c r="U341" s="78"/>
      <c r="V341" s="78"/>
      <c r="W341" s="78"/>
      <c r="X341" s="78"/>
      <c r="Y341" s="78"/>
      <c r="Z341" s="78"/>
      <c r="AA341" s="78"/>
      <c r="AB341" s="78"/>
      <c r="AC341" s="78"/>
      <c r="AD341" s="78"/>
      <c r="AE341" s="78"/>
      <c r="AF341" s="78"/>
      <c r="AG341" s="78"/>
      <c r="AH341" s="78"/>
      <c r="AI341" s="78"/>
      <c r="AJ341" s="78"/>
      <c r="AK341" s="78"/>
      <c r="AL341" s="78"/>
      <c r="AM341" s="78"/>
      <c r="AN341" s="78"/>
      <c r="AO341" s="78"/>
      <c r="AP341" s="78"/>
      <c r="AQ341" s="78"/>
      <c r="AR341" s="78"/>
      <c r="AS341" s="78"/>
      <c r="AT341" s="91"/>
      <c r="AU341" s="78"/>
      <c r="AV341" s="78"/>
      <c r="AW341" s="78"/>
      <c r="AX341" s="78"/>
      <c r="AY341" s="78"/>
      <c r="AZ341" s="78"/>
      <c r="BA341" s="78"/>
      <c r="BB341" s="78"/>
      <c r="BC341" s="78"/>
      <c r="BD341" s="78"/>
      <c r="BE341" s="78"/>
      <c r="BF341" s="78"/>
      <c r="BG341" s="78"/>
      <c r="BH341" s="78"/>
      <c r="BI341" s="78"/>
      <c r="BJ341" s="78"/>
      <c r="BK341" s="78"/>
      <c r="BL341" s="78"/>
      <c r="BM341" s="78"/>
      <c r="BN341" s="78"/>
      <c r="BO341" s="78"/>
      <c r="BP341" s="78"/>
      <c r="BQ341" s="78"/>
      <c r="BR341" s="78"/>
      <c r="BS341" s="78"/>
      <c r="BT341" s="78"/>
      <c r="BU341" s="78"/>
      <c r="BV341" s="78"/>
      <c r="BW341" s="78"/>
      <c r="BX341" s="78"/>
      <c r="BY341" s="78"/>
      <c r="BZ341" s="78"/>
      <c r="CA341" s="78"/>
      <c r="CB341" s="78"/>
      <c r="CC341" s="78"/>
      <c r="CD341" s="78"/>
      <c r="CE341" s="78"/>
      <c r="CF341" s="78"/>
      <c r="CG341" s="78"/>
      <c r="CH341" s="78"/>
      <c r="CI341" s="78"/>
      <c r="CJ341" s="78"/>
      <c r="CK341" s="78"/>
      <c r="CL341" s="78"/>
      <c r="CM341" s="78"/>
      <c r="CN341" s="78"/>
      <c r="CO341" s="78"/>
      <c r="CP341" s="78"/>
      <c r="CQ341" s="78"/>
      <c r="CR341" s="78"/>
      <c r="CS341" s="78"/>
      <c r="CT341" s="78"/>
      <c r="CU341" s="78"/>
      <c r="CV341" s="78"/>
      <c r="CW341" s="78"/>
      <c r="CX341" s="78"/>
      <c r="CY341" s="78"/>
      <c r="CZ341" s="78"/>
      <c r="DA341" s="78"/>
      <c r="DB341" s="78"/>
      <c r="DC341" s="78"/>
      <c r="DD341" s="78"/>
      <c r="DE341" s="78"/>
      <c r="DF341" s="78"/>
      <c r="DG341" s="78"/>
      <c r="DH341" s="78"/>
      <c r="DI341" s="78"/>
      <c r="DJ341" s="78"/>
      <c r="DK341" s="78"/>
      <c r="DL341" s="78"/>
      <c r="DM341" s="78"/>
      <c r="DN341" s="78"/>
      <c r="DO341" s="78"/>
      <c r="DP341" s="78"/>
      <c r="DQ341" s="78"/>
      <c r="DR341" s="78"/>
      <c r="DS341" s="78"/>
      <c r="DT341" s="78"/>
      <c r="DU341" s="78"/>
      <c r="DV341" s="78"/>
      <c r="DW341" s="78"/>
      <c r="DX341" s="78"/>
      <c r="DY341" s="78"/>
      <c r="DZ341" s="78"/>
      <c r="EA341" s="78"/>
      <c r="EB341" s="78"/>
      <c r="EC341" s="78"/>
      <c r="ED341" s="78"/>
      <c r="EE341" s="78"/>
      <c r="EF341" s="78"/>
      <c r="EG341" s="78"/>
      <c r="EH341" s="78"/>
      <c r="EI341" s="91"/>
      <c r="EJ341" s="91"/>
      <c r="EK341" s="91"/>
      <c r="EL341" s="91"/>
      <c r="EM341" s="91"/>
      <c r="EN341" s="91"/>
      <c r="EO341" s="91"/>
      <c r="EP341" s="78"/>
      <c r="EQ341" s="78"/>
      <c r="ER341" s="78"/>
      <c r="ES341" s="78"/>
      <c r="ET341" s="78"/>
      <c r="EU341" s="78"/>
      <c r="EV341" s="78"/>
      <c r="EW341" s="78"/>
      <c r="EX341" s="78"/>
      <c r="EY341" s="78"/>
      <c r="EZ341" s="78"/>
      <c r="FA341" s="78"/>
      <c r="FB341" s="78"/>
      <c r="FC341" s="78"/>
      <c r="FD341" s="78"/>
      <c r="FE341" s="78"/>
      <c r="FF341" s="78"/>
      <c r="FG341" s="78"/>
      <c r="FH341" s="78"/>
      <c r="FI341" s="78"/>
      <c r="FJ341" s="78"/>
      <c r="FK341" s="78"/>
    </row>
    <row r="342" spans="1:167" outlineLevel="1">
      <c r="A342" s="29" t="str">
        <f t="shared" si="29"/>
        <v>modesg_inp_emss_nacescp3_ftr_emss</v>
      </c>
      <c r="B342" s="67" t="s">
        <v>26</v>
      </c>
      <c r="C342" s="68" t="s">
        <v>181</v>
      </c>
      <c r="D342" s="64" t="s">
        <v>40</v>
      </c>
      <c r="E342" s="66" t="s">
        <v>218</v>
      </c>
      <c r="F342" s="64" t="s">
        <v>235</v>
      </c>
      <c r="G342" s="64" t="str">
        <f>INDEX(Auxiliar!$B$16:$B$24,MATCH(Plano_V1!H342,Auxiliar!$C$16:$C$24,0),1)</f>
        <v>1. Concluído</v>
      </c>
      <c r="H342" s="64">
        <f>VLOOKUP(A342,'Aux - pivots1'!$A:$B,2,0)</f>
        <v>1</v>
      </c>
      <c r="I342" s="84">
        <f>SUMIFS(Table1[Estimação (horas)],Table1[Tabela],Plano_V1!E342,Table1[Campo],Plano_V1!F342)</f>
        <v>0.6</v>
      </c>
      <c r="J342" s="84">
        <f t="shared" si="30"/>
        <v>7.4999999999999997E-2</v>
      </c>
      <c r="K342" s="89" t="s">
        <v>39</v>
      </c>
      <c r="L342" s="90">
        <f t="shared" si="28"/>
        <v>7.4999999999999997E-2</v>
      </c>
      <c r="M342" s="78"/>
      <c r="N342" s="78"/>
      <c r="O342" s="78"/>
      <c r="P342" s="78"/>
      <c r="Q342" s="78"/>
      <c r="R342" s="78"/>
      <c r="S342" s="78"/>
      <c r="T342" s="78"/>
      <c r="U342" s="78"/>
      <c r="V342" s="78"/>
      <c r="W342" s="78"/>
      <c r="X342" s="78"/>
      <c r="Y342" s="78"/>
      <c r="Z342" s="78"/>
      <c r="AA342" s="78"/>
      <c r="AB342" s="78"/>
      <c r="AC342" s="78"/>
      <c r="AD342" s="78"/>
      <c r="AE342" s="78"/>
      <c r="AF342" s="78"/>
      <c r="AG342" s="78"/>
      <c r="AH342" s="78"/>
      <c r="AI342" s="78"/>
      <c r="AJ342" s="78"/>
      <c r="AK342" s="78"/>
      <c r="AL342" s="78"/>
      <c r="AM342" s="78"/>
      <c r="AN342" s="78"/>
      <c r="AO342" s="78"/>
      <c r="AP342" s="78"/>
      <c r="AQ342" s="78"/>
      <c r="AR342" s="78"/>
      <c r="AS342" s="78"/>
      <c r="AT342" s="91"/>
      <c r="AU342" s="78"/>
      <c r="AV342" s="78"/>
      <c r="AW342" s="78"/>
      <c r="AX342" s="78"/>
      <c r="AY342" s="78"/>
      <c r="AZ342" s="78"/>
      <c r="BA342" s="78"/>
      <c r="BB342" s="78"/>
      <c r="BC342" s="78"/>
      <c r="BD342" s="78"/>
      <c r="BE342" s="78"/>
      <c r="BF342" s="78"/>
      <c r="BG342" s="78"/>
      <c r="BH342" s="78"/>
      <c r="BI342" s="78"/>
      <c r="BJ342" s="78"/>
      <c r="BK342" s="78"/>
      <c r="BL342" s="78"/>
      <c r="BM342" s="78"/>
      <c r="BN342" s="78"/>
      <c r="BO342" s="78"/>
      <c r="BP342" s="78"/>
      <c r="BQ342" s="78"/>
      <c r="BR342" s="78"/>
      <c r="BS342" s="78"/>
      <c r="BT342" s="78"/>
      <c r="BU342" s="78"/>
      <c r="BV342" s="78"/>
      <c r="BW342" s="78"/>
      <c r="BX342" s="78"/>
      <c r="BY342" s="78"/>
      <c r="BZ342" s="78"/>
      <c r="CA342" s="78"/>
      <c r="CB342" s="78"/>
      <c r="CC342" s="78"/>
      <c r="CD342" s="78"/>
      <c r="CE342" s="78"/>
      <c r="CF342" s="78"/>
      <c r="CG342" s="78"/>
      <c r="CH342" s="78"/>
      <c r="CI342" s="78"/>
      <c r="CJ342" s="78"/>
      <c r="CK342" s="78"/>
      <c r="CL342" s="78"/>
      <c r="CM342" s="78"/>
      <c r="CN342" s="78"/>
      <c r="CO342" s="78"/>
      <c r="CP342" s="78"/>
      <c r="CQ342" s="78"/>
      <c r="CR342" s="78"/>
      <c r="CS342" s="78"/>
      <c r="CT342" s="78"/>
      <c r="CU342" s="78"/>
      <c r="CV342" s="78"/>
      <c r="CW342" s="78"/>
      <c r="CX342" s="78"/>
      <c r="CY342" s="78"/>
      <c r="CZ342" s="78"/>
      <c r="DA342" s="78"/>
      <c r="DB342" s="78"/>
      <c r="DC342" s="78"/>
      <c r="DD342" s="78"/>
      <c r="DE342" s="78"/>
      <c r="DF342" s="78"/>
      <c r="DG342" s="78"/>
      <c r="DH342" s="78"/>
      <c r="DI342" s="78"/>
      <c r="DJ342" s="78"/>
      <c r="DK342" s="78"/>
      <c r="DL342" s="78"/>
      <c r="DM342" s="78"/>
      <c r="DN342" s="78"/>
      <c r="DO342" s="78"/>
      <c r="DP342" s="78"/>
      <c r="DQ342" s="78"/>
      <c r="DR342" s="78"/>
      <c r="DS342" s="78"/>
      <c r="DT342" s="78"/>
      <c r="DU342" s="78"/>
      <c r="DV342" s="78"/>
      <c r="DW342" s="78"/>
      <c r="DX342" s="78"/>
      <c r="DY342" s="78"/>
      <c r="DZ342" s="78"/>
      <c r="EA342" s="78"/>
      <c r="EB342" s="78"/>
      <c r="EC342" s="78"/>
      <c r="ED342" s="78"/>
      <c r="EE342" s="78"/>
      <c r="EF342" s="78"/>
      <c r="EG342" s="78"/>
      <c r="EH342" s="78"/>
      <c r="EI342" s="91"/>
      <c r="EJ342" s="91"/>
      <c r="EK342" s="91"/>
      <c r="EL342" s="91"/>
      <c r="EM342" s="91"/>
      <c r="EN342" s="91"/>
      <c r="EO342" s="91"/>
      <c r="EP342" s="78"/>
      <c r="EQ342" s="78"/>
      <c r="ER342" s="78"/>
      <c r="ES342" s="78"/>
      <c r="ET342" s="78"/>
      <c r="EU342" s="78"/>
      <c r="EV342" s="78"/>
      <c r="EW342" s="78"/>
      <c r="EX342" s="78"/>
      <c r="EY342" s="78"/>
      <c r="EZ342" s="78"/>
      <c r="FA342" s="78"/>
      <c r="FB342" s="78"/>
      <c r="FC342" s="78"/>
      <c r="FD342" s="78"/>
      <c r="FE342" s="78"/>
      <c r="FF342" s="78"/>
      <c r="FG342" s="78"/>
      <c r="FH342" s="78"/>
      <c r="FI342" s="78"/>
      <c r="FJ342" s="78"/>
      <c r="FK342" s="78"/>
    </row>
    <row r="343" spans="1:167" outlineLevel="1">
      <c r="A343" s="29" t="str">
        <f t="shared" si="29"/>
        <v>modesg_inp_emss_bens_imoveisref_date</v>
      </c>
      <c r="B343" s="67" t="s">
        <v>26</v>
      </c>
      <c r="C343" s="68" t="s">
        <v>181</v>
      </c>
      <c r="D343" s="64" t="s">
        <v>40</v>
      </c>
      <c r="E343" s="66" t="s">
        <v>219</v>
      </c>
      <c r="F343" s="64" t="s">
        <v>208</v>
      </c>
      <c r="G343" s="64" t="str">
        <f>INDEX(Auxiliar!$B$16:$B$24,MATCH(Plano_V1!H343,Auxiliar!$C$16:$C$24,0),1)</f>
        <v>1. Concluído</v>
      </c>
      <c r="H343" s="64">
        <f>VLOOKUP(A343,'Aux - pivots1'!$A:$B,2,0)</f>
        <v>1</v>
      </c>
      <c r="I343" s="84">
        <f>SUMIFS(Table1[Estimação (horas)],Table1[Tabela],Plano_V1!E343,Table1[Campo],Plano_V1!F343)</f>
        <v>0.5</v>
      </c>
      <c r="J343" s="84">
        <f t="shared" si="30"/>
        <v>6.25E-2</v>
      </c>
      <c r="K343" s="89" t="s">
        <v>39</v>
      </c>
      <c r="L343" s="90">
        <f t="shared" si="28"/>
        <v>6.25E-2</v>
      </c>
      <c r="M343" s="78"/>
      <c r="N343" s="78"/>
      <c r="O343" s="78"/>
      <c r="P343" s="78"/>
      <c r="Q343" s="78"/>
      <c r="R343" s="78"/>
      <c r="S343" s="78"/>
      <c r="T343" s="78"/>
      <c r="U343" s="78"/>
      <c r="V343" s="78"/>
      <c r="W343" s="78"/>
      <c r="X343" s="78"/>
      <c r="Y343" s="78"/>
      <c r="Z343" s="78"/>
      <c r="AA343" s="78"/>
      <c r="AB343" s="78"/>
      <c r="AC343" s="78"/>
      <c r="AD343" s="78"/>
      <c r="AE343" s="78"/>
      <c r="AF343" s="78"/>
      <c r="AG343" s="78"/>
      <c r="AH343" s="78"/>
      <c r="AI343" s="78"/>
      <c r="AJ343" s="78"/>
      <c r="AK343" s="78"/>
      <c r="AL343" s="78"/>
      <c r="AM343" s="78"/>
      <c r="AN343" s="78"/>
      <c r="AO343" s="78"/>
      <c r="AP343" s="78"/>
      <c r="AQ343" s="78"/>
      <c r="AR343" s="78"/>
      <c r="AS343" s="78"/>
      <c r="AT343" s="91"/>
      <c r="AU343" s="78"/>
      <c r="AV343" s="78"/>
      <c r="AW343" s="78"/>
      <c r="AX343" s="78"/>
      <c r="AY343" s="78"/>
      <c r="AZ343" s="78"/>
      <c r="BA343" s="78"/>
      <c r="BB343" s="78"/>
      <c r="BC343" s="78"/>
      <c r="BD343" s="78"/>
      <c r="BE343" s="78"/>
      <c r="BF343" s="78"/>
      <c r="BG343" s="78"/>
      <c r="BH343" s="78"/>
      <c r="BI343" s="78"/>
      <c r="BJ343" s="78"/>
      <c r="BK343" s="78"/>
      <c r="BL343" s="78"/>
      <c r="BM343" s="78"/>
      <c r="BN343" s="78"/>
      <c r="BO343" s="78"/>
      <c r="BP343" s="78"/>
      <c r="BQ343" s="78"/>
      <c r="BR343" s="78"/>
      <c r="BS343" s="78"/>
      <c r="BT343" s="78"/>
      <c r="BU343" s="78"/>
      <c r="BV343" s="78"/>
      <c r="BW343" s="78"/>
      <c r="BX343" s="78"/>
      <c r="BY343" s="78"/>
      <c r="BZ343" s="78"/>
      <c r="CA343" s="78"/>
      <c r="CB343" s="78"/>
      <c r="CC343" s="78"/>
      <c r="CD343" s="78"/>
      <c r="CE343" s="78"/>
      <c r="CF343" s="78"/>
      <c r="CG343" s="78"/>
      <c r="CH343" s="78"/>
      <c r="CI343" s="78"/>
      <c r="CJ343" s="78"/>
      <c r="CK343" s="78"/>
      <c r="CL343" s="78"/>
      <c r="CM343" s="78"/>
      <c r="CN343" s="78"/>
      <c r="CO343" s="78"/>
      <c r="CP343" s="78"/>
      <c r="CQ343" s="78"/>
      <c r="CR343" s="78"/>
      <c r="CS343" s="78"/>
      <c r="CT343" s="78"/>
      <c r="CU343" s="78"/>
      <c r="CV343" s="78"/>
      <c r="CW343" s="78"/>
      <c r="CX343" s="78"/>
      <c r="CY343" s="78"/>
      <c r="CZ343" s="78"/>
      <c r="DA343" s="78"/>
      <c r="DB343" s="78"/>
      <c r="DC343" s="78"/>
      <c r="DD343" s="78"/>
      <c r="DE343" s="78"/>
      <c r="DF343" s="78"/>
      <c r="DG343" s="78"/>
      <c r="DH343" s="78"/>
      <c r="DI343" s="78"/>
      <c r="DJ343" s="78"/>
      <c r="DK343" s="78"/>
      <c r="DL343" s="78"/>
      <c r="DM343" s="78"/>
      <c r="DN343" s="78"/>
      <c r="DO343" s="78"/>
      <c r="DP343" s="78"/>
      <c r="DQ343" s="78"/>
      <c r="DR343" s="78"/>
      <c r="DS343" s="78"/>
      <c r="DT343" s="78"/>
      <c r="DU343" s="78"/>
      <c r="DV343" s="78"/>
      <c r="DW343" s="78"/>
      <c r="DX343" s="78"/>
      <c r="DY343" s="78"/>
      <c r="DZ343" s="78"/>
      <c r="EA343" s="78"/>
      <c r="EB343" s="78"/>
      <c r="EC343" s="78"/>
      <c r="ED343" s="78"/>
      <c r="EE343" s="78"/>
      <c r="EF343" s="78"/>
      <c r="EG343" s="78"/>
      <c r="EH343" s="78"/>
      <c r="EI343" s="91"/>
      <c r="EJ343" s="91"/>
      <c r="EK343" s="91"/>
      <c r="EL343" s="91"/>
      <c r="EM343" s="91"/>
      <c r="EN343" s="91"/>
      <c r="EO343" s="91"/>
      <c r="EP343" s="78"/>
      <c r="EQ343" s="78"/>
      <c r="ER343" s="78"/>
      <c r="ES343" s="78"/>
      <c r="ET343" s="78"/>
      <c r="EU343" s="78"/>
      <c r="EV343" s="78"/>
      <c r="EW343" s="78"/>
      <c r="EX343" s="78"/>
      <c r="EY343" s="78"/>
      <c r="EZ343" s="78"/>
      <c r="FA343" s="78"/>
      <c r="FB343" s="78"/>
      <c r="FC343" s="78"/>
      <c r="FD343" s="78"/>
      <c r="FE343" s="78"/>
      <c r="FF343" s="78"/>
      <c r="FG343" s="78"/>
      <c r="FH343" s="78"/>
      <c r="FI343" s="78"/>
      <c r="FJ343" s="78"/>
      <c r="FK343" s="78"/>
    </row>
    <row r="344" spans="1:167" outlineLevel="1">
      <c r="A344" s="29" t="str">
        <f t="shared" si="29"/>
        <v>modesg_inp_emss_bens_imoveisnome_pais</v>
      </c>
      <c r="B344" s="67" t="s">
        <v>26</v>
      </c>
      <c r="C344" s="68" t="s">
        <v>181</v>
      </c>
      <c r="D344" s="64" t="s">
        <v>40</v>
      </c>
      <c r="E344" s="66" t="s">
        <v>219</v>
      </c>
      <c r="F344" s="64" t="s">
        <v>221</v>
      </c>
      <c r="G344" s="64" t="str">
        <f>INDEX(Auxiliar!$B$16:$B$24,MATCH(Plano_V1!H344,Auxiliar!$C$16:$C$24,0),1)</f>
        <v>1. Concluído</v>
      </c>
      <c r="H344" s="64">
        <f>VLOOKUP(A344,'Aux - pivots1'!$A:$B,2,0)</f>
        <v>1</v>
      </c>
      <c r="I344" s="84">
        <f>SUMIFS(Table1[Estimação (horas)],Table1[Tabela],Plano_V1!E344,Table1[Campo],Plano_V1!F344)</f>
        <v>0.5</v>
      </c>
      <c r="J344" s="84">
        <f t="shared" si="30"/>
        <v>6.25E-2</v>
      </c>
      <c r="K344" s="89" t="s">
        <v>39</v>
      </c>
      <c r="L344" s="90">
        <f t="shared" si="28"/>
        <v>6.25E-2</v>
      </c>
      <c r="M344" s="78"/>
      <c r="N344" s="78"/>
      <c r="O344" s="78"/>
      <c r="P344" s="78"/>
      <c r="Q344" s="78"/>
      <c r="R344" s="78"/>
      <c r="S344" s="78"/>
      <c r="T344" s="78"/>
      <c r="U344" s="78"/>
      <c r="V344" s="78"/>
      <c r="W344" s="78"/>
      <c r="X344" s="78"/>
      <c r="Y344" s="78"/>
      <c r="Z344" s="78"/>
      <c r="AA344" s="78"/>
      <c r="AB344" s="78"/>
      <c r="AC344" s="78"/>
      <c r="AD344" s="78"/>
      <c r="AE344" s="78"/>
      <c r="AF344" s="78"/>
      <c r="AG344" s="78"/>
      <c r="AH344" s="78"/>
      <c r="AI344" s="78"/>
      <c r="AJ344" s="78"/>
      <c r="AK344" s="78"/>
      <c r="AL344" s="78"/>
      <c r="AM344" s="78"/>
      <c r="AN344" s="78"/>
      <c r="AO344" s="78"/>
      <c r="AP344" s="78"/>
      <c r="AQ344" s="78"/>
      <c r="AR344" s="78"/>
      <c r="AS344" s="78"/>
      <c r="AT344" s="91"/>
      <c r="AU344" s="78"/>
      <c r="AV344" s="78"/>
      <c r="AW344" s="78"/>
      <c r="AX344" s="78"/>
      <c r="AY344" s="78"/>
      <c r="AZ344" s="78"/>
      <c r="BA344" s="78"/>
      <c r="BB344" s="78"/>
      <c r="BC344" s="78"/>
      <c r="BD344" s="78"/>
      <c r="BE344" s="78"/>
      <c r="BF344" s="78"/>
      <c r="BG344" s="78"/>
      <c r="BH344" s="78"/>
      <c r="BI344" s="78"/>
      <c r="BJ344" s="78"/>
      <c r="BK344" s="78"/>
      <c r="BL344" s="78"/>
      <c r="BM344" s="78"/>
      <c r="BN344" s="78"/>
      <c r="BO344" s="78"/>
      <c r="BP344" s="78"/>
      <c r="BQ344" s="78"/>
      <c r="BR344" s="78"/>
      <c r="BS344" s="78"/>
      <c r="BT344" s="78"/>
      <c r="BU344" s="78"/>
      <c r="BV344" s="78"/>
      <c r="BW344" s="78"/>
      <c r="BX344" s="78"/>
      <c r="BY344" s="78"/>
      <c r="BZ344" s="78"/>
      <c r="CA344" s="78"/>
      <c r="CB344" s="78"/>
      <c r="CC344" s="78"/>
      <c r="CD344" s="78"/>
      <c r="CE344" s="78"/>
      <c r="CF344" s="78"/>
      <c r="CG344" s="78"/>
      <c r="CH344" s="78"/>
      <c r="CI344" s="78"/>
      <c r="CJ344" s="78"/>
      <c r="CK344" s="78"/>
      <c r="CL344" s="78"/>
      <c r="CM344" s="78"/>
      <c r="CN344" s="78"/>
      <c r="CO344" s="78"/>
      <c r="CP344" s="78"/>
      <c r="CQ344" s="78"/>
      <c r="CR344" s="78"/>
      <c r="CS344" s="78"/>
      <c r="CT344" s="78"/>
      <c r="CU344" s="78"/>
      <c r="CV344" s="78"/>
      <c r="CW344" s="78"/>
      <c r="CX344" s="78"/>
      <c r="CY344" s="78"/>
      <c r="CZ344" s="78"/>
      <c r="DA344" s="78"/>
      <c r="DB344" s="78"/>
      <c r="DC344" s="78"/>
      <c r="DD344" s="78"/>
      <c r="DE344" s="78"/>
      <c r="DF344" s="78"/>
      <c r="DG344" s="78"/>
      <c r="DH344" s="78"/>
      <c r="DI344" s="78"/>
      <c r="DJ344" s="78"/>
      <c r="DK344" s="78"/>
      <c r="DL344" s="78"/>
      <c r="DM344" s="78"/>
      <c r="DN344" s="78"/>
      <c r="DO344" s="78"/>
      <c r="DP344" s="78"/>
      <c r="DQ344" s="78"/>
      <c r="DR344" s="78"/>
      <c r="DS344" s="78"/>
      <c r="DT344" s="78"/>
      <c r="DU344" s="78"/>
      <c r="DV344" s="78"/>
      <c r="DW344" s="78"/>
      <c r="DX344" s="78"/>
      <c r="DY344" s="78"/>
      <c r="DZ344" s="78"/>
      <c r="EA344" s="78"/>
      <c r="EB344" s="78"/>
      <c r="EC344" s="78"/>
      <c r="ED344" s="78"/>
      <c r="EE344" s="78"/>
      <c r="EF344" s="78"/>
      <c r="EG344" s="78"/>
      <c r="EH344" s="78"/>
      <c r="EI344" s="91"/>
      <c r="EJ344" s="91"/>
      <c r="EK344" s="91"/>
      <c r="EL344" s="91"/>
      <c r="EM344" s="91"/>
      <c r="EN344" s="91"/>
      <c r="EO344" s="91"/>
      <c r="EP344" s="78"/>
      <c r="EQ344" s="78"/>
      <c r="ER344" s="78"/>
      <c r="ES344" s="78"/>
      <c r="ET344" s="78"/>
      <c r="EU344" s="78"/>
      <c r="EV344" s="78"/>
      <c r="EW344" s="78"/>
      <c r="EX344" s="78"/>
      <c r="EY344" s="78"/>
      <c r="EZ344" s="78"/>
      <c r="FA344" s="78"/>
      <c r="FB344" s="78"/>
      <c r="FC344" s="78"/>
      <c r="FD344" s="78"/>
      <c r="FE344" s="78"/>
      <c r="FF344" s="78"/>
      <c r="FG344" s="78"/>
      <c r="FH344" s="78"/>
      <c r="FI344" s="78"/>
      <c r="FJ344" s="78"/>
      <c r="FK344" s="78"/>
    </row>
    <row r="345" spans="1:167" outlineLevel="1">
      <c r="A345" s="29" t="str">
        <f t="shared" si="29"/>
        <v>modesg_inp_emss_bens_imoveisnome_estado</v>
      </c>
      <c r="B345" s="67" t="s">
        <v>26</v>
      </c>
      <c r="C345" s="68" t="s">
        <v>181</v>
      </c>
      <c r="D345" s="64" t="s">
        <v>40</v>
      </c>
      <c r="E345" s="66" t="s">
        <v>219</v>
      </c>
      <c r="F345" s="64" t="s">
        <v>222</v>
      </c>
      <c r="G345" s="64" t="str">
        <f>INDEX(Auxiliar!$B$16:$B$24,MATCH(Plano_V1!H345,Auxiliar!$C$16:$C$24,0),1)</f>
        <v>1. Concluído</v>
      </c>
      <c r="H345" s="64">
        <f>VLOOKUP(A345,'Aux - pivots1'!$A:$B,2,0)</f>
        <v>1</v>
      </c>
      <c r="I345" s="84">
        <f>SUMIFS(Table1[Estimação (horas)],Table1[Tabela],Plano_V1!E345,Table1[Campo],Plano_V1!F345)</f>
        <v>0.5</v>
      </c>
      <c r="J345" s="84">
        <f t="shared" si="30"/>
        <v>6.25E-2</v>
      </c>
      <c r="K345" s="89" t="s">
        <v>39</v>
      </c>
      <c r="L345" s="90">
        <f t="shared" si="28"/>
        <v>6.25E-2</v>
      </c>
      <c r="M345" s="78"/>
      <c r="N345" s="78"/>
      <c r="O345" s="78"/>
      <c r="P345" s="78"/>
      <c r="Q345" s="78"/>
      <c r="R345" s="78"/>
      <c r="S345" s="78"/>
      <c r="T345" s="78"/>
      <c r="U345" s="78"/>
      <c r="V345" s="78"/>
      <c r="W345" s="78"/>
      <c r="X345" s="78"/>
      <c r="Y345" s="78"/>
      <c r="Z345" s="78"/>
      <c r="AA345" s="78"/>
      <c r="AB345" s="78"/>
      <c r="AC345" s="78"/>
      <c r="AD345" s="78"/>
      <c r="AE345" s="78"/>
      <c r="AF345" s="78"/>
      <c r="AG345" s="78"/>
      <c r="AH345" s="78"/>
      <c r="AI345" s="78"/>
      <c r="AJ345" s="78"/>
      <c r="AK345" s="78"/>
      <c r="AL345" s="78"/>
      <c r="AM345" s="78"/>
      <c r="AN345" s="78"/>
      <c r="AO345" s="78"/>
      <c r="AP345" s="78"/>
      <c r="AQ345" s="78"/>
      <c r="AR345" s="78"/>
      <c r="AS345" s="78"/>
      <c r="AT345" s="91"/>
      <c r="AU345" s="78"/>
      <c r="AV345" s="78"/>
      <c r="AW345" s="78"/>
      <c r="AX345" s="78"/>
      <c r="AY345" s="78"/>
      <c r="AZ345" s="78"/>
      <c r="BA345" s="78"/>
      <c r="BB345" s="78"/>
      <c r="BC345" s="78"/>
      <c r="BD345" s="78"/>
      <c r="BE345" s="78"/>
      <c r="BF345" s="78"/>
      <c r="BG345" s="78"/>
      <c r="BH345" s="78"/>
      <c r="BI345" s="78"/>
      <c r="BJ345" s="78"/>
      <c r="BK345" s="78"/>
      <c r="BL345" s="78"/>
      <c r="BM345" s="78"/>
      <c r="BN345" s="78"/>
      <c r="BO345" s="78"/>
      <c r="BP345" s="78"/>
      <c r="BQ345" s="78"/>
      <c r="BR345" s="78"/>
      <c r="BS345" s="78"/>
      <c r="BT345" s="78"/>
      <c r="BU345" s="78"/>
      <c r="BV345" s="78"/>
      <c r="BW345" s="78"/>
      <c r="BX345" s="78"/>
      <c r="BY345" s="78"/>
      <c r="BZ345" s="78"/>
      <c r="CA345" s="78"/>
      <c r="CB345" s="78"/>
      <c r="CC345" s="78"/>
      <c r="CD345" s="78"/>
      <c r="CE345" s="78"/>
      <c r="CF345" s="78"/>
      <c r="CG345" s="78"/>
      <c r="CH345" s="78"/>
      <c r="CI345" s="78"/>
      <c r="CJ345" s="78"/>
      <c r="CK345" s="78"/>
      <c r="CL345" s="78"/>
      <c r="CM345" s="78"/>
      <c r="CN345" s="78"/>
      <c r="CO345" s="78"/>
      <c r="CP345" s="78"/>
      <c r="CQ345" s="78"/>
      <c r="CR345" s="78"/>
      <c r="CS345" s="78"/>
      <c r="CT345" s="78"/>
      <c r="CU345" s="78"/>
      <c r="CV345" s="78"/>
      <c r="CW345" s="78"/>
      <c r="CX345" s="78"/>
      <c r="CY345" s="78"/>
      <c r="CZ345" s="78"/>
      <c r="DA345" s="78"/>
      <c r="DB345" s="78"/>
      <c r="DC345" s="78"/>
      <c r="DD345" s="78"/>
      <c r="DE345" s="78"/>
      <c r="DF345" s="78"/>
      <c r="DG345" s="78"/>
      <c r="DH345" s="78"/>
      <c r="DI345" s="78"/>
      <c r="DJ345" s="78"/>
      <c r="DK345" s="78"/>
      <c r="DL345" s="78"/>
      <c r="DM345" s="78"/>
      <c r="DN345" s="78"/>
      <c r="DO345" s="78"/>
      <c r="DP345" s="78"/>
      <c r="DQ345" s="78"/>
      <c r="DR345" s="78"/>
      <c r="DS345" s="78"/>
      <c r="DT345" s="78"/>
      <c r="DU345" s="78"/>
      <c r="DV345" s="78"/>
      <c r="DW345" s="78"/>
      <c r="DX345" s="78"/>
      <c r="DY345" s="78"/>
      <c r="DZ345" s="78"/>
      <c r="EA345" s="78"/>
      <c r="EB345" s="78"/>
      <c r="EC345" s="78"/>
      <c r="ED345" s="78"/>
      <c r="EE345" s="78"/>
      <c r="EF345" s="78"/>
      <c r="EG345" s="78"/>
      <c r="EH345" s="78"/>
      <c r="EI345" s="91"/>
      <c r="EJ345" s="91"/>
      <c r="EK345" s="91"/>
      <c r="EL345" s="91"/>
      <c r="EM345" s="91"/>
      <c r="EN345" s="91"/>
      <c r="EO345" s="91"/>
      <c r="EP345" s="78"/>
      <c r="EQ345" s="78"/>
      <c r="ER345" s="78"/>
      <c r="ES345" s="78"/>
      <c r="ET345" s="78"/>
      <c r="EU345" s="78"/>
      <c r="EV345" s="78"/>
      <c r="EW345" s="78"/>
      <c r="EX345" s="78"/>
      <c r="EY345" s="78"/>
      <c r="EZ345" s="78"/>
      <c r="FA345" s="78"/>
      <c r="FB345" s="78"/>
      <c r="FC345" s="78"/>
      <c r="FD345" s="78"/>
      <c r="FE345" s="78"/>
      <c r="FF345" s="78"/>
      <c r="FG345" s="78"/>
      <c r="FH345" s="78"/>
      <c r="FI345" s="78"/>
      <c r="FJ345" s="78"/>
      <c r="FK345" s="78"/>
    </row>
    <row r="346" spans="1:167" outlineLevel="1">
      <c r="A346" s="29" t="str">
        <f t="shared" si="29"/>
        <v>modesg_inp_emss_bens_imoveisasset_class</v>
      </c>
      <c r="B346" s="67" t="s">
        <v>26</v>
      </c>
      <c r="C346" s="68" t="s">
        <v>181</v>
      </c>
      <c r="D346" s="64" t="s">
        <v>40</v>
      </c>
      <c r="E346" s="66" t="s">
        <v>219</v>
      </c>
      <c r="F346" s="64" t="s">
        <v>565</v>
      </c>
      <c r="G346" s="64" t="e">
        <f>INDEX(Auxiliar!$B$16:$B$24,MATCH(Plano_V1!H346,Auxiliar!$C$16:$C$24,0),1)</f>
        <v>#N/A</v>
      </c>
      <c r="H346" s="64" t="e">
        <f>VLOOKUP(A346,'Aux - pivots1'!$A:$B,2,0)</f>
        <v>#N/A</v>
      </c>
      <c r="I346" s="84">
        <f>SUMIFS(Table1[Estimação (horas)],Table1[Tabela],Plano_V1!E346,Table1[Campo],Plano_V1!F346)</f>
        <v>0</v>
      </c>
      <c r="J346" s="84">
        <f t="shared" si="30"/>
        <v>0</v>
      </c>
      <c r="K346" s="89" t="s">
        <v>39</v>
      </c>
      <c r="L346" s="90">
        <f t="shared" ref="L346:L409" si="31">J346-SUM(M346:FK346)</f>
        <v>0</v>
      </c>
      <c r="M346" s="78"/>
      <c r="N346" s="78"/>
      <c r="O346" s="78"/>
      <c r="P346" s="78"/>
      <c r="Q346" s="78"/>
      <c r="R346" s="78"/>
      <c r="S346" s="78"/>
      <c r="T346" s="78"/>
      <c r="U346" s="78"/>
      <c r="V346" s="78"/>
      <c r="W346" s="78"/>
      <c r="X346" s="78"/>
      <c r="Y346" s="78"/>
      <c r="Z346" s="78"/>
      <c r="AA346" s="78"/>
      <c r="AB346" s="78"/>
      <c r="AC346" s="78"/>
      <c r="AD346" s="78"/>
      <c r="AE346" s="78"/>
      <c r="AF346" s="78"/>
      <c r="AG346" s="78"/>
      <c r="AH346" s="78"/>
      <c r="AI346" s="78"/>
      <c r="AJ346" s="78"/>
      <c r="AK346" s="78"/>
      <c r="AL346" s="78"/>
      <c r="AM346" s="78"/>
      <c r="AN346" s="78"/>
      <c r="AO346" s="78"/>
      <c r="AP346" s="78"/>
      <c r="AQ346" s="78"/>
      <c r="AR346" s="78"/>
      <c r="AS346" s="78"/>
      <c r="AT346" s="91"/>
      <c r="AU346" s="78"/>
      <c r="AV346" s="78"/>
      <c r="AW346" s="78"/>
      <c r="AX346" s="78"/>
      <c r="AY346" s="78"/>
      <c r="AZ346" s="78"/>
      <c r="BA346" s="78"/>
      <c r="BB346" s="78"/>
      <c r="BC346" s="78"/>
      <c r="BD346" s="78"/>
      <c r="BE346" s="78"/>
      <c r="BF346" s="78"/>
      <c r="BG346" s="78"/>
      <c r="BH346" s="78"/>
      <c r="BI346" s="78"/>
      <c r="BJ346" s="78"/>
      <c r="BK346" s="78"/>
      <c r="BL346" s="78"/>
      <c r="BM346" s="78"/>
      <c r="BN346" s="78"/>
      <c r="BO346" s="78"/>
      <c r="BP346" s="78"/>
      <c r="BQ346" s="78"/>
      <c r="BR346" s="78"/>
      <c r="BS346" s="78"/>
      <c r="BT346" s="78"/>
      <c r="BU346" s="78"/>
      <c r="BV346" s="78"/>
      <c r="BW346" s="78"/>
      <c r="BX346" s="78"/>
      <c r="BY346" s="78"/>
      <c r="BZ346" s="78"/>
      <c r="CA346" s="78"/>
      <c r="CB346" s="78"/>
      <c r="CC346" s="78"/>
      <c r="CD346" s="78"/>
      <c r="CE346" s="78"/>
      <c r="CF346" s="78"/>
      <c r="CG346" s="78"/>
      <c r="CH346" s="78"/>
      <c r="CI346" s="78"/>
      <c r="CJ346" s="78"/>
      <c r="CK346" s="78"/>
      <c r="CL346" s="78"/>
      <c r="CM346" s="78"/>
      <c r="CN346" s="78"/>
      <c r="CO346" s="78"/>
      <c r="CP346" s="78"/>
      <c r="CQ346" s="78"/>
      <c r="CR346" s="78"/>
      <c r="CS346" s="78"/>
      <c r="CT346" s="78"/>
      <c r="CU346" s="78"/>
      <c r="CV346" s="78"/>
      <c r="CW346" s="78"/>
      <c r="CX346" s="78"/>
      <c r="CY346" s="78"/>
      <c r="CZ346" s="78"/>
      <c r="DA346" s="78"/>
      <c r="DB346" s="78"/>
      <c r="DC346" s="78"/>
      <c r="DD346" s="78"/>
      <c r="DE346" s="78"/>
      <c r="DF346" s="78"/>
      <c r="DG346" s="78"/>
      <c r="DH346" s="78"/>
      <c r="DI346" s="78"/>
      <c r="DJ346" s="78"/>
      <c r="DK346" s="78"/>
      <c r="DL346" s="78"/>
      <c r="DM346" s="78"/>
      <c r="DN346" s="78"/>
      <c r="DO346" s="78"/>
      <c r="DP346" s="78"/>
      <c r="DQ346" s="78"/>
      <c r="DR346" s="78"/>
      <c r="DS346" s="78"/>
      <c r="DT346" s="78"/>
      <c r="DU346" s="78"/>
      <c r="DV346" s="78"/>
      <c r="DW346" s="78"/>
      <c r="DX346" s="78"/>
      <c r="DY346" s="78"/>
      <c r="DZ346" s="78"/>
      <c r="EA346" s="78"/>
      <c r="EB346" s="78"/>
      <c r="EC346" s="78"/>
      <c r="ED346" s="78"/>
      <c r="EE346" s="78"/>
      <c r="EF346" s="78"/>
      <c r="EG346" s="78"/>
      <c r="EH346" s="78"/>
      <c r="EI346" s="91"/>
      <c r="EJ346" s="91"/>
      <c r="EK346" s="91"/>
      <c r="EL346" s="91"/>
      <c r="EM346" s="91"/>
      <c r="EN346" s="91"/>
      <c r="EO346" s="91"/>
      <c r="EP346" s="78"/>
      <c r="EQ346" s="78"/>
      <c r="ER346" s="78"/>
      <c r="ES346" s="78"/>
      <c r="ET346" s="78"/>
      <c r="EU346" s="78"/>
      <c r="EV346" s="78"/>
      <c r="EW346" s="78"/>
      <c r="EX346" s="78"/>
      <c r="EY346" s="78"/>
      <c r="EZ346" s="78"/>
      <c r="FA346" s="78"/>
      <c r="FB346" s="78"/>
      <c r="FC346" s="78"/>
      <c r="FD346" s="78"/>
      <c r="FE346" s="78"/>
      <c r="FF346" s="78"/>
      <c r="FG346" s="78"/>
      <c r="FH346" s="78"/>
      <c r="FI346" s="78"/>
      <c r="FJ346" s="78"/>
      <c r="FK346" s="78"/>
    </row>
    <row r="347" spans="1:167" outlineLevel="1">
      <c r="A347" s="29" t="str">
        <f t="shared" si="29"/>
        <v>modesg_inp_emss_bens_imoveisemission_factor_type</v>
      </c>
      <c r="B347" s="67" t="s">
        <v>26</v>
      </c>
      <c r="C347" s="68" t="s">
        <v>181</v>
      </c>
      <c r="D347" s="64" t="s">
        <v>40</v>
      </c>
      <c r="E347" s="66" t="s">
        <v>219</v>
      </c>
      <c r="F347" s="64" t="s">
        <v>567</v>
      </c>
      <c r="G347" s="64" t="e">
        <f>INDEX(Auxiliar!$B$16:$B$24,MATCH(Plano_V1!H347,Auxiliar!$C$16:$C$24,0),1)</f>
        <v>#N/A</v>
      </c>
      <c r="H347" s="64" t="e">
        <f>VLOOKUP(A347,'Aux - pivots1'!$A:$B,2,0)</f>
        <v>#N/A</v>
      </c>
      <c r="I347" s="84">
        <f>SUMIFS(Table1[Estimação (horas)],Table1[Tabela],Plano_V1!E347,Table1[Campo],Plano_V1!F347)</f>
        <v>0</v>
      </c>
      <c r="J347" s="84">
        <f t="shared" si="30"/>
        <v>0</v>
      </c>
      <c r="K347" s="89" t="s">
        <v>39</v>
      </c>
      <c r="L347" s="90">
        <f t="shared" si="31"/>
        <v>0</v>
      </c>
      <c r="M347" s="78"/>
      <c r="N347" s="78"/>
      <c r="O347" s="78"/>
      <c r="P347" s="78"/>
      <c r="Q347" s="78"/>
      <c r="R347" s="78"/>
      <c r="S347" s="78"/>
      <c r="T347" s="78"/>
      <c r="U347" s="78"/>
      <c r="V347" s="78"/>
      <c r="W347" s="78"/>
      <c r="X347" s="78"/>
      <c r="Y347" s="78"/>
      <c r="Z347" s="78"/>
      <c r="AA347" s="78"/>
      <c r="AB347" s="78"/>
      <c r="AC347" s="78"/>
      <c r="AD347" s="78"/>
      <c r="AE347" s="78"/>
      <c r="AF347" s="78"/>
      <c r="AG347" s="78"/>
      <c r="AH347" s="78"/>
      <c r="AI347" s="78"/>
      <c r="AJ347" s="78"/>
      <c r="AK347" s="78"/>
      <c r="AL347" s="78"/>
      <c r="AM347" s="78"/>
      <c r="AN347" s="78"/>
      <c r="AO347" s="78"/>
      <c r="AP347" s="78"/>
      <c r="AQ347" s="78"/>
      <c r="AR347" s="78"/>
      <c r="AS347" s="78"/>
      <c r="AT347" s="91"/>
      <c r="AU347" s="78"/>
      <c r="AV347" s="78"/>
      <c r="AW347" s="78"/>
      <c r="AX347" s="78"/>
      <c r="AY347" s="78"/>
      <c r="AZ347" s="78"/>
      <c r="BA347" s="78"/>
      <c r="BB347" s="78"/>
      <c r="BC347" s="78"/>
      <c r="BD347" s="78"/>
      <c r="BE347" s="78"/>
      <c r="BF347" s="78"/>
      <c r="BG347" s="78"/>
      <c r="BH347" s="78"/>
      <c r="BI347" s="78"/>
      <c r="BJ347" s="78"/>
      <c r="BK347" s="78"/>
      <c r="BL347" s="78"/>
      <c r="BM347" s="78"/>
      <c r="BN347" s="78"/>
      <c r="BO347" s="78"/>
      <c r="BP347" s="78"/>
      <c r="BQ347" s="78"/>
      <c r="BR347" s="78"/>
      <c r="BS347" s="78"/>
      <c r="BT347" s="78"/>
      <c r="BU347" s="78"/>
      <c r="BV347" s="78"/>
      <c r="BW347" s="78"/>
      <c r="BX347" s="78"/>
      <c r="BY347" s="78"/>
      <c r="BZ347" s="78"/>
      <c r="CA347" s="78"/>
      <c r="CB347" s="78"/>
      <c r="CC347" s="78"/>
      <c r="CD347" s="78"/>
      <c r="CE347" s="78"/>
      <c r="CF347" s="78"/>
      <c r="CG347" s="78"/>
      <c r="CH347" s="78"/>
      <c r="CI347" s="78"/>
      <c r="CJ347" s="78"/>
      <c r="CK347" s="78"/>
      <c r="CL347" s="78"/>
      <c r="CM347" s="78"/>
      <c r="CN347" s="78"/>
      <c r="CO347" s="78"/>
      <c r="CP347" s="78"/>
      <c r="CQ347" s="78"/>
      <c r="CR347" s="78"/>
      <c r="CS347" s="78"/>
      <c r="CT347" s="78"/>
      <c r="CU347" s="78"/>
      <c r="CV347" s="78"/>
      <c r="CW347" s="78"/>
      <c r="CX347" s="78"/>
      <c r="CY347" s="78"/>
      <c r="CZ347" s="78"/>
      <c r="DA347" s="78"/>
      <c r="DB347" s="78"/>
      <c r="DC347" s="78"/>
      <c r="DD347" s="78"/>
      <c r="DE347" s="78"/>
      <c r="DF347" s="78"/>
      <c r="DG347" s="78"/>
      <c r="DH347" s="78"/>
      <c r="DI347" s="78"/>
      <c r="DJ347" s="78"/>
      <c r="DK347" s="78"/>
      <c r="DL347" s="78"/>
      <c r="DM347" s="78"/>
      <c r="DN347" s="78"/>
      <c r="DO347" s="78"/>
      <c r="DP347" s="78"/>
      <c r="DQ347" s="78"/>
      <c r="DR347" s="78"/>
      <c r="DS347" s="78"/>
      <c r="DT347" s="78"/>
      <c r="DU347" s="78"/>
      <c r="DV347" s="78"/>
      <c r="DW347" s="78"/>
      <c r="DX347" s="78"/>
      <c r="DY347" s="78"/>
      <c r="DZ347" s="78"/>
      <c r="EA347" s="78"/>
      <c r="EB347" s="78"/>
      <c r="EC347" s="78"/>
      <c r="ED347" s="78"/>
      <c r="EE347" s="78"/>
      <c r="EF347" s="78"/>
      <c r="EG347" s="78"/>
      <c r="EH347" s="78"/>
      <c r="EI347" s="91"/>
      <c r="EJ347" s="91"/>
      <c r="EK347" s="91"/>
      <c r="EL347" s="91"/>
      <c r="EM347" s="91"/>
      <c r="EN347" s="91"/>
      <c r="EO347" s="91"/>
      <c r="EP347" s="78"/>
      <c r="EQ347" s="78"/>
      <c r="ER347" s="78"/>
      <c r="ES347" s="78"/>
      <c r="ET347" s="78"/>
      <c r="EU347" s="78"/>
      <c r="EV347" s="78"/>
      <c r="EW347" s="78"/>
      <c r="EX347" s="78"/>
      <c r="EY347" s="78"/>
      <c r="EZ347" s="78"/>
      <c r="FA347" s="78"/>
      <c r="FB347" s="78"/>
      <c r="FC347" s="78"/>
      <c r="FD347" s="78"/>
      <c r="FE347" s="78"/>
      <c r="FF347" s="78"/>
      <c r="FG347" s="78"/>
      <c r="FH347" s="78"/>
      <c r="FI347" s="78"/>
      <c r="FJ347" s="78"/>
      <c r="FK347" s="78"/>
    </row>
    <row r="348" spans="1:167" outlineLevel="1">
      <c r="A348" s="29" t="str">
        <f t="shared" si="29"/>
        <v>modesg_inp_emss_bens_imoveisnome_regiao</v>
      </c>
      <c r="B348" s="67" t="s">
        <v>26</v>
      </c>
      <c r="C348" s="68" t="s">
        <v>181</v>
      </c>
      <c r="D348" s="64" t="s">
        <v>40</v>
      </c>
      <c r="E348" s="66" t="s">
        <v>219</v>
      </c>
      <c r="F348" s="64" t="s">
        <v>220</v>
      </c>
      <c r="G348" s="64" t="e">
        <f>INDEX(Auxiliar!$B$16:$B$24,MATCH(Plano_V1!H348,Auxiliar!$C$16:$C$24,0),1)</f>
        <v>#N/A</v>
      </c>
      <c r="H348" s="64" t="e">
        <f>VLOOKUP(A348,'Aux - pivots1'!$A:$B,2,0)</f>
        <v>#N/A</v>
      </c>
      <c r="I348" s="84">
        <f>SUMIFS(Table1[Estimação (horas)],Table1[Tabela],Plano_V1!E348,Table1[Campo],Plano_V1!F348)</f>
        <v>0</v>
      </c>
      <c r="J348" s="84">
        <f t="shared" si="30"/>
        <v>0</v>
      </c>
      <c r="K348" s="89" t="s">
        <v>39</v>
      </c>
      <c r="L348" s="90">
        <f t="shared" si="31"/>
        <v>0</v>
      </c>
      <c r="M348" s="78"/>
      <c r="N348" s="78"/>
      <c r="O348" s="78"/>
      <c r="P348" s="78"/>
      <c r="Q348" s="78"/>
      <c r="R348" s="78"/>
      <c r="S348" s="78"/>
      <c r="T348" s="78"/>
      <c r="U348" s="78"/>
      <c r="V348" s="78"/>
      <c r="W348" s="78"/>
      <c r="X348" s="78"/>
      <c r="Y348" s="78"/>
      <c r="Z348" s="78"/>
      <c r="AA348" s="78"/>
      <c r="AB348" s="78"/>
      <c r="AC348" s="78"/>
      <c r="AD348" s="78"/>
      <c r="AE348" s="78"/>
      <c r="AF348" s="78"/>
      <c r="AG348" s="78"/>
      <c r="AH348" s="78"/>
      <c r="AI348" s="78"/>
      <c r="AJ348" s="78"/>
      <c r="AK348" s="78"/>
      <c r="AL348" s="78"/>
      <c r="AM348" s="78"/>
      <c r="AN348" s="78"/>
      <c r="AO348" s="78"/>
      <c r="AP348" s="78"/>
      <c r="AQ348" s="78"/>
      <c r="AR348" s="78"/>
      <c r="AS348" s="78"/>
      <c r="AT348" s="91"/>
      <c r="AU348" s="78"/>
      <c r="AV348" s="78"/>
      <c r="AW348" s="78"/>
      <c r="AX348" s="78"/>
      <c r="AY348" s="78"/>
      <c r="AZ348" s="78"/>
      <c r="BA348" s="78"/>
      <c r="BB348" s="78"/>
      <c r="BC348" s="78"/>
      <c r="BD348" s="78"/>
      <c r="BE348" s="78"/>
      <c r="BF348" s="78"/>
      <c r="BG348" s="78"/>
      <c r="BH348" s="78"/>
      <c r="BI348" s="78"/>
      <c r="BJ348" s="78"/>
      <c r="BK348" s="78"/>
      <c r="BL348" s="78"/>
      <c r="BM348" s="78"/>
      <c r="BN348" s="78"/>
      <c r="BO348" s="78"/>
      <c r="BP348" s="78"/>
      <c r="BQ348" s="78"/>
      <c r="BR348" s="78"/>
      <c r="BS348" s="78"/>
      <c r="BT348" s="78"/>
      <c r="BU348" s="78"/>
      <c r="BV348" s="78"/>
      <c r="BW348" s="78"/>
      <c r="BX348" s="78"/>
      <c r="BY348" s="78"/>
      <c r="BZ348" s="78"/>
      <c r="CA348" s="78"/>
      <c r="CB348" s="78"/>
      <c r="CC348" s="78"/>
      <c r="CD348" s="78"/>
      <c r="CE348" s="78"/>
      <c r="CF348" s="78"/>
      <c r="CG348" s="78"/>
      <c r="CH348" s="78"/>
      <c r="CI348" s="78"/>
      <c r="CJ348" s="78"/>
      <c r="CK348" s="78"/>
      <c r="CL348" s="78"/>
      <c r="CM348" s="78"/>
      <c r="CN348" s="78"/>
      <c r="CO348" s="78"/>
      <c r="CP348" s="78"/>
      <c r="CQ348" s="78"/>
      <c r="CR348" s="78"/>
      <c r="CS348" s="78"/>
      <c r="CT348" s="78"/>
      <c r="CU348" s="78"/>
      <c r="CV348" s="78"/>
      <c r="CW348" s="78"/>
      <c r="CX348" s="78"/>
      <c r="CY348" s="78"/>
      <c r="CZ348" s="78"/>
      <c r="DA348" s="78"/>
      <c r="DB348" s="78"/>
      <c r="DC348" s="78"/>
      <c r="DD348" s="78"/>
      <c r="DE348" s="78"/>
      <c r="DF348" s="78"/>
      <c r="DG348" s="78"/>
      <c r="DH348" s="78"/>
      <c r="DI348" s="78"/>
      <c r="DJ348" s="78"/>
      <c r="DK348" s="78"/>
      <c r="DL348" s="78"/>
      <c r="DM348" s="78"/>
      <c r="DN348" s="78"/>
      <c r="DO348" s="78"/>
      <c r="DP348" s="78"/>
      <c r="DQ348" s="78"/>
      <c r="DR348" s="78"/>
      <c r="DS348" s="78"/>
      <c r="DT348" s="78"/>
      <c r="DU348" s="78"/>
      <c r="DV348" s="78"/>
      <c r="DW348" s="78"/>
      <c r="DX348" s="78"/>
      <c r="DY348" s="78"/>
      <c r="DZ348" s="78"/>
      <c r="EA348" s="78"/>
      <c r="EB348" s="78"/>
      <c r="EC348" s="78"/>
      <c r="ED348" s="78"/>
      <c r="EE348" s="78"/>
      <c r="EF348" s="78"/>
      <c r="EG348" s="78"/>
      <c r="EH348" s="78"/>
      <c r="EI348" s="91"/>
      <c r="EJ348" s="91"/>
      <c r="EK348" s="91"/>
      <c r="EL348" s="91"/>
      <c r="EM348" s="91"/>
      <c r="EN348" s="91"/>
      <c r="EO348" s="91"/>
      <c r="EP348" s="78"/>
      <c r="EQ348" s="78"/>
      <c r="ER348" s="78"/>
      <c r="ES348" s="78"/>
      <c r="ET348" s="78"/>
      <c r="EU348" s="78"/>
      <c r="EV348" s="78"/>
      <c r="EW348" s="78"/>
      <c r="EX348" s="78"/>
      <c r="EY348" s="78"/>
      <c r="EZ348" s="78"/>
      <c r="FA348" s="78"/>
      <c r="FB348" s="78"/>
      <c r="FC348" s="78"/>
      <c r="FD348" s="78"/>
      <c r="FE348" s="78"/>
      <c r="FF348" s="78"/>
      <c r="FG348" s="78"/>
      <c r="FH348" s="78"/>
      <c r="FI348" s="78"/>
      <c r="FJ348" s="78"/>
      <c r="FK348" s="78"/>
    </row>
    <row r="349" spans="1:167" outlineLevel="1">
      <c r="A349" s="29" t="str">
        <f t="shared" ref="A349:A412" si="32">E349&amp;F349</f>
        <v>modesg_inp_emss_bens_imoveistipo_bem</v>
      </c>
      <c r="B349" s="67" t="s">
        <v>26</v>
      </c>
      <c r="C349" s="68" t="s">
        <v>181</v>
      </c>
      <c r="D349" s="64" t="s">
        <v>40</v>
      </c>
      <c r="E349" s="66" t="s">
        <v>219</v>
      </c>
      <c r="F349" s="64" t="s">
        <v>305</v>
      </c>
      <c r="G349" s="64" t="str">
        <f>INDEX(Auxiliar!$B$16:$B$24,MATCH(Plano_V1!H349,Auxiliar!$C$16:$C$24,0),1)</f>
        <v>1. Concluído</v>
      </c>
      <c r="H349" s="64">
        <f>VLOOKUP(A349,'Aux - pivots1'!$A:$B,2,0)</f>
        <v>1</v>
      </c>
      <c r="I349" s="84">
        <f>SUMIFS(Table1[Estimação (horas)],Table1[Tabela],Plano_V1!E349,Table1[Campo],Plano_V1!F349)</f>
        <v>0.5</v>
      </c>
      <c r="J349" s="84">
        <f t="shared" si="30"/>
        <v>6.25E-2</v>
      </c>
      <c r="K349" s="89" t="s">
        <v>39</v>
      </c>
      <c r="L349" s="90">
        <f t="shared" si="31"/>
        <v>6.25E-2</v>
      </c>
      <c r="M349" s="78"/>
      <c r="N349" s="78"/>
      <c r="O349" s="78"/>
      <c r="P349" s="78"/>
      <c r="Q349" s="78"/>
      <c r="R349" s="78"/>
      <c r="S349" s="78"/>
      <c r="T349" s="78"/>
      <c r="U349" s="78"/>
      <c r="V349" s="78"/>
      <c r="W349" s="78"/>
      <c r="X349" s="78"/>
      <c r="Y349" s="78"/>
      <c r="Z349" s="78"/>
      <c r="AA349" s="78"/>
      <c r="AB349" s="78"/>
      <c r="AC349" s="78"/>
      <c r="AD349" s="78"/>
      <c r="AE349" s="78"/>
      <c r="AF349" s="78"/>
      <c r="AG349" s="78"/>
      <c r="AH349" s="78"/>
      <c r="AI349" s="78"/>
      <c r="AJ349" s="78"/>
      <c r="AK349" s="78"/>
      <c r="AL349" s="78"/>
      <c r="AM349" s="78"/>
      <c r="AN349" s="78"/>
      <c r="AO349" s="78"/>
      <c r="AP349" s="78"/>
      <c r="AQ349" s="78"/>
      <c r="AR349" s="78"/>
      <c r="AS349" s="78"/>
      <c r="AT349" s="91"/>
      <c r="AU349" s="78"/>
      <c r="AV349" s="78"/>
      <c r="AW349" s="78"/>
      <c r="AX349" s="78"/>
      <c r="AY349" s="78"/>
      <c r="AZ349" s="78"/>
      <c r="BA349" s="78"/>
      <c r="BB349" s="78"/>
      <c r="BC349" s="78"/>
      <c r="BD349" s="78"/>
      <c r="BE349" s="78"/>
      <c r="BF349" s="78"/>
      <c r="BG349" s="78"/>
      <c r="BH349" s="78"/>
      <c r="BI349" s="78"/>
      <c r="BJ349" s="78"/>
      <c r="BK349" s="78"/>
      <c r="BL349" s="78"/>
      <c r="BM349" s="78"/>
      <c r="BN349" s="78"/>
      <c r="BO349" s="78"/>
      <c r="BP349" s="78"/>
      <c r="BQ349" s="78"/>
      <c r="BR349" s="78"/>
      <c r="BS349" s="78"/>
      <c r="BT349" s="78"/>
      <c r="BU349" s="78"/>
      <c r="BV349" s="78"/>
      <c r="BW349" s="78"/>
      <c r="BX349" s="78"/>
      <c r="BY349" s="78"/>
      <c r="BZ349" s="78"/>
      <c r="CA349" s="78"/>
      <c r="CB349" s="78"/>
      <c r="CC349" s="78"/>
      <c r="CD349" s="78"/>
      <c r="CE349" s="78"/>
      <c r="CF349" s="78"/>
      <c r="CG349" s="78"/>
      <c r="CH349" s="78"/>
      <c r="CI349" s="78"/>
      <c r="CJ349" s="78"/>
      <c r="CK349" s="78"/>
      <c r="CL349" s="78"/>
      <c r="CM349" s="78"/>
      <c r="CN349" s="78"/>
      <c r="CO349" s="78"/>
      <c r="CP349" s="78"/>
      <c r="CQ349" s="78"/>
      <c r="CR349" s="78"/>
      <c r="CS349" s="78"/>
      <c r="CT349" s="78"/>
      <c r="CU349" s="78"/>
      <c r="CV349" s="78"/>
      <c r="CW349" s="78"/>
      <c r="CX349" s="78"/>
      <c r="CY349" s="78"/>
      <c r="CZ349" s="78"/>
      <c r="DA349" s="78"/>
      <c r="DB349" s="78"/>
      <c r="DC349" s="78"/>
      <c r="DD349" s="78"/>
      <c r="DE349" s="78"/>
      <c r="DF349" s="78"/>
      <c r="DG349" s="78"/>
      <c r="DH349" s="78"/>
      <c r="DI349" s="78"/>
      <c r="DJ349" s="78"/>
      <c r="DK349" s="78"/>
      <c r="DL349" s="78"/>
      <c r="DM349" s="78"/>
      <c r="DN349" s="78"/>
      <c r="DO349" s="78"/>
      <c r="DP349" s="78"/>
      <c r="DQ349" s="78"/>
      <c r="DR349" s="78"/>
      <c r="DS349" s="78"/>
      <c r="DT349" s="78"/>
      <c r="DU349" s="78"/>
      <c r="DV349" s="78"/>
      <c r="DW349" s="78"/>
      <c r="DX349" s="78"/>
      <c r="DY349" s="78"/>
      <c r="DZ349" s="78"/>
      <c r="EA349" s="78"/>
      <c r="EB349" s="78"/>
      <c r="EC349" s="78"/>
      <c r="ED349" s="78"/>
      <c r="EE349" s="78"/>
      <c r="EF349" s="78"/>
      <c r="EG349" s="78"/>
      <c r="EH349" s="78"/>
      <c r="EI349" s="91"/>
      <c r="EJ349" s="91"/>
      <c r="EK349" s="91"/>
      <c r="EL349" s="91"/>
      <c r="EM349" s="91"/>
      <c r="EN349" s="91"/>
      <c r="EO349" s="91"/>
      <c r="EP349" s="78"/>
      <c r="EQ349" s="78"/>
      <c r="ER349" s="78"/>
      <c r="ES349" s="78"/>
      <c r="ET349" s="78"/>
      <c r="EU349" s="78"/>
      <c r="EV349" s="78"/>
      <c r="EW349" s="78"/>
      <c r="EX349" s="78"/>
      <c r="EY349" s="78"/>
      <c r="EZ349" s="78"/>
      <c r="FA349" s="78"/>
      <c r="FB349" s="78"/>
      <c r="FC349" s="78"/>
      <c r="FD349" s="78"/>
      <c r="FE349" s="78"/>
      <c r="FF349" s="78"/>
      <c r="FG349" s="78"/>
      <c r="FH349" s="78"/>
      <c r="FI349" s="78"/>
      <c r="FJ349" s="78"/>
      <c r="FK349" s="78"/>
    </row>
    <row r="350" spans="1:167" outlineLevel="1">
      <c r="A350" s="29" t="str">
        <f t="shared" si="32"/>
        <v>modesg_inp_emss_bens_imoveistipo_finalidade_bem</v>
      </c>
      <c r="B350" s="67" t="s">
        <v>26</v>
      </c>
      <c r="C350" s="68" t="s">
        <v>181</v>
      </c>
      <c r="D350" s="64" t="s">
        <v>40</v>
      </c>
      <c r="E350" s="66" t="s">
        <v>219</v>
      </c>
      <c r="F350" s="64" t="s">
        <v>306</v>
      </c>
      <c r="G350" s="64" t="str">
        <f>INDEX(Auxiliar!$B$16:$B$24,MATCH(Plano_V1!H350,Auxiliar!$C$16:$C$24,0),1)</f>
        <v>1. Concluído</v>
      </c>
      <c r="H350" s="64">
        <f>VLOOKUP(A350,'Aux - pivots1'!$A:$B,2,0)</f>
        <v>1</v>
      </c>
      <c r="I350" s="84">
        <f>SUMIFS(Table1[Estimação (horas)],Table1[Tabela],Plano_V1!E350,Table1[Campo],Plano_V1!F350)</f>
        <v>0.5</v>
      </c>
      <c r="J350" s="84">
        <f t="shared" si="30"/>
        <v>6.25E-2</v>
      </c>
      <c r="K350" s="89" t="s">
        <v>39</v>
      </c>
      <c r="L350" s="90">
        <f t="shared" si="31"/>
        <v>6.25E-2</v>
      </c>
      <c r="M350" s="78"/>
      <c r="N350" s="78"/>
      <c r="O350" s="78"/>
      <c r="P350" s="78"/>
      <c r="Q350" s="78"/>
      <c r="R350" s="78"/>
      <c r="S350" s="78"/>
      <c r="T350" s="78"/>
      <c r="U350" s="78"/>
      <c r="V350" s="78"/>
      <c r="W350" s="78"/>
      <c r="X350" s="78"/>
      <c r="Y350" s="78"/>
      <c r="Z350" s="78"/>
      <c r="AA350" s="78"/>
      <c r="AB350" s="78"/>
      <c r="AC350" s="78"/>
      <c r="AD350" s="78"/>
      <c r="AE350" s="78"/>
      <c r="AF350" s="78"/>
      <c r="AG350" s="78"/>
      <c r="AH350" s="78"/>
      <c r="AI350" s="78"/>
      <c r="AJ350" s="78"/>
      <c r="AK350" s="78"/>
      <c r="AL350" s="78"/>
      <c r="AM350" s="78"/>
      <c r="AN350" s="78"/>
      <c r="AO350" s="78"/>
      <c r="AP350" s="78"/>
      <c r="AQ350" s="78"/>
      <c r="AR350" s="78"/>
      <c r="AS350" s="78"/>
      <c r="AT350" s="91"/>
      <c r="AU350" s="78"/>
      <c r="AV350" s="78"/>
      <c r="AW350" s="78"/>
      <c r="AX350" s="78"/>
      <c r="AY350" s="78"/>
      <c r="AZ350" s="78"/>
      <c r="BA350" s="78"/>
      <c r="BB350" s="78"/>
      <c r="BC350" s="78"/>
      <c r="BD350" s="78"/>
      <c r="BE350" s="78"/>
      <c r="BF350" s="78"/>
      <c r="BG350" s="78"/>
      <c r="BH350" s="78"/>
      <c r="BI350" s="78"/>
      <c r="BJ350" s="78"/>
      <c r="BK350" s="78"/>
      <c r="BL350" s="78"/>
      <c r="BM350" s="78"/>
      <c r="BN350" s="78"/>
      <c r="BO350" s="78"/>
      <c r="BP350" s="78"/>
      <c r="BQ350" s="78"/>
      <c r="BR350" s="78"/>
      <c r="BS350" s="78"/>
      <c r="BT350" s="78"/>
      <c r="BU350" s="78"/>
      <c r="BV350" s="78"/>
      <c r="BW350" s="78"/>
      <c r="BX350" s="78"/>
      <c r="BY350" s="78"/>
      <c r="BZ350" s="78"/>
      <c r="CA350" s="78"/>
      <c r="CB350" s="78"/>
      <c r="CC350" s="78"/>
      <c r="CD350" s="78"/>
      <c r="CE350" s="78"/>
      <c r="CF350" s="78"/>
      <c r="CG350" s="78"/>
      <c r="CH350" s="78"/>
      <c r="CI350" s="78"/>
      <c r="CJ350" s="78"/>
      <c r="CK350" s="78"/>
      <c r="CL350" s="78"/>
      <c r="CM350" s="78"/>
      <c r="CN350" s="78"/>
      <c r="CO350" s="78"/>
      <c r="CP350" s="78"/>
      <c r="CQ350" s="78"/>
      <c r="CR350" s="78"/>
      <c r="CS350" s="78"/>
      <c r="CT350" s="78"/>
      <c r="CU350" s="78"/>
      <c r="CV350" s="78"/>
      <c r="CW350" s="78"/>
      <c r="CX350" s="78"/>
      <c r="CY350" s="78"/>
      <c r="CZ350" s="78"/>
      <c r="DA350" s="78"/>
      <c r="DB350" s="78"/>
      <c r="DC350" s="78"/>
      <c r="DD350" s="78"/>
      <c r="DE350" s="78"/>
      <c r="DF350" s="78"/>
      <c r="DG350" s="78"/>
      <c r="DH350" s="78"/>
      <c r="DI350" s="78"/>
      <c r="DJ350" s="78"/>
      <c r="DK350" s="78"/>
      <c r="DL350" s="78"/>
      <c r="DM350" s="78"/>
      <c r="DN350" s="78"/>
      <c r="DO350" s="78"/>
      <c r="DP350" s="78"/>
      <c r="DQ350" s="78"/>
      <c r="DR350" s="78"/>
      <c r="DS350" s="78"/>
      <c r="DT350" s="78"/>
      <c r="DU350" s="78"/>
      <c r="DV350" s="78"/>
      <c r="DW350" s="78"/>
      <c r="DX350" s="78"/>
      <c r="DY350" s="78"/>
      <c r="DZ350" s="78"/>
      <c r="EA350" s="78"/>
      <c r="EB350" s="78"/>
      <c r="EC350" s="78"/>
      <c r="ED350" s="78"/>
      <c r="EE350" s="78"/>
      <c r="EF350" s="78"/>
      <c r="EG350" s="78"/>
      <c r="EH350" s="78"/>
      <c r="EI350" s="91"/>
      <c r="EJ350" s="91"/>
      <c r="EK350" s="91"/>
      <c r="EL350" s="91"/>
      <c r="EM350" s="91"/>
      <c r="EN350" s="91"/>
      <c r="EO350" s="91"/>
      <c r="EP350" s="78"/>
      <c r="EQ350" s="78"/>
      <c r="ER350" s="78"/>
      <c r="ES350" s="78"/>
      <c r="ET350" s="78"/>
      <c r="EU350" s="78"/>
      <c r="EV350" s="78"/>
      <c r="EW350" s="78"/>
      <c r="EX350" s="78"/>
      <c r="EY350" s="78"/>
      <c r="EZ350" s="78"/>
      <c r="FA350" s="78"/>
      <c r="FB350" s="78"/>
      <c r="FC350" s="78"/>
      <c r="FD350" s="78"/>
      <c r="FE350" s="78"/>
      <c r="FF350" s="78"/>
      <c r="FG350" s="78"/>
      <c r="FH350" s="78"/>
      <c r="FI350" s="78"/>
      <c r="FJ350" s="78"/>
      <c r="FK350" s="78"/>
    </row>
    <row r="351" spans="1:167" outlineLevel="1">
      <c r="A351" s="29" t="str">
        <f t="shared" si="32"/>
        <v>modesg_inp_emss_bens_imoveisepc</v>
      </c>
      <c r="B351" s="67" t="s">
        <v>26</v>
      </c>
      <c r="C351" s="68" t="s">
        <v>181</v>
      </c>
      <c r="D351" s="64" t="s">
        <v>40</v>
      </c>
      <c r="E351" s="66" t="s">
        <v>219</v>
      </c>
      <c r="F351" s="64" t="s">
        <v>198</v>
      </c>
      <c r="G351" s="64" t="str">
        <f>INDEX(Auxiliar!$B$16:$B$24,MATCH(Plano_V1!H351,Auxiliar!$C$16:$C$24,0),1)</f>
        <v>1. Concluído</v>
      </c>
      <c r="H351" s="64">
        <f>VLOOKUP(A351,'Aux - pivots1'!$A:$B,2,0)</f>
        <v>1</v>
      </c>
      <c r="I351" s="84">
        <f>SUMIFS(Table1[Estimação (horas)],Table1[Tabela],Plano_V1!E351,Table1[Campo],Plano_V1!F351)</f>
        <v>0.5</v>
      </c>
      <c r="J351" s="84">
        <f t="shared" si="30"/>
        <v>6.25E-2</v>
      </c>
      <c r="K351" s="89" t="s">
        <v>39</v>
      </c>
      <c r="L351" s="90">
        <f t="shared" si="31"/>
        <v>6.25E-2</v>
      </c>
      <c r="M351" s="78"/>
      <c r="N351" s="78"/>
      <c r="O351" s="78"/>
      <c r="P351" s="78"/>
      <c r="Q351" s="78"/>
      <c r="R351" s="78"/>
      <c r="S351" s="78"/>
      <c r="T351" s="78"/>
      <c r="U351" s="78"/>
      <c r="V351" s="78"/>
      <c r="W351" s="78"/>
      <c r="X351" s="78"/>
      <c r="Y351" s="78"/>
      <c r="Z351" s="78"/>
      <c r="AA351" s="78"/>
      <c r="AB351" s="78"/>
      <c r="AC351" s="78"/>
      <c r="AD351" s="78"/>
      <c r="AE351" s="78"/>
      <c r="AF351" s="78"/>
      <c r="AG351" s="78"/>
      <c r="AH351" s="78"/>
      <c r="AI351" s="78"/>
      <c r="AJ351" s="78"/>
      <c r="AK351" s="78"/>
      <c r="AL351" s="78"/>
      <c r="AM351" s="78"/>
      <c r="AN351" s="78"/>
      <c r="AO351" s="78"/>
      <c r="AP351" s="78"/>
      <c r="AQ351" s="78"/>
      <c r="AR351" s="78"/>
      <c r="AS351" s="78"/>
      <c r="AT351" s="91"/>
      <c r="AU351" s="78"/>
      <c r="AV351" s="78"/>
      <c r="AW351" s="78"/>
      <c r="AX351" s="78"/>
      <c r="AY351" s="78"/>
      <c r="AZ351" s="78"/>
      <c r="BA351" s="78"/>
      <c r="BB351" s="78"/>
      <c r="BC351" s="78"/>
      <c r="BD351" s="78"/>
      <c r="BE351" s="78"/>
      <c r="BF351" s="78"/>
      <c r="BG351" s="78"/>
      <c r="BH351" s="78"/>
      <c r="BI351" s="78"/>
      <c r="BJ351" s="78"/>
      <c r="BK351" s="78"/>
      <c r="BL351" s="78"/>
      <c r="BM351" s="78"/>
      <c r="BN351" s="78"/>
      <c r="BO351" s="78"/>
      <c r="BP351" s="78"/>
      <c r="BQ351" s="78"/>
      <c r="BR351" s="78"/>
      <c r="BS351" s="78"/>
      <c r="BT351" s="78"/>
      <c r="BU351" s="78"/>
      <c r="BV351" s="78"/>
      <c r="BW351" s="78"/>
      <c r="BX351" s="78"/>
      <c r="BY351" s="78"/>
      <c r="BZ351" s="78"/>
      <c r="CA351" s="78"/>
      <c r="CB351" s="78"/>
      <c r="CC351" s="78"/>
      <c r="CD351" s="78"/>
      <c r="CE351" s="78"/>
      <c r="CF351" s="78"/>
      <c r="CG351" s="78"/>
      <c r="CH351" s="78"/>
      <c r="CI351" s="78"/>
      <c r="CJ351" s="78"/>
      <c r="CK351" s="78"/>
      <c r="CL351" s="78"/>
      <c r="CM351" s="78"/>
      <c r="CN351" s="78"/>
      <c r="CO351" s="78"/>
      <c r="CP351" s="78"/>
      <c r="CQ351" s="78"/>
      <c r="CR351" s="78"/>
      <c r="CS351" s="78"/>
      <c r="CT351" s="78"/>
      <c r="CU351" s="78"/>
      <c r="CV351" s="78"/>
      <c r="CW351" s="78"/>
      <c r="CX351" s="78"/>
      <c r="CY351" s="78"/>
      <c r="CZ351" s="78"/>
      <c r="DA351" s="78"/>
      <c r="DB351" s="78"/>
      <c r="DC351" s="78"/>
      <c r="DD351" s="78"/>
      <c r="DE351" s="78"/>
      <c r="DF351" s="78"/>
      <c r="DG351" s="78"/>
      <c r="DH351" s="78"/>
      <c r="DI351" s="78"/>
      <c r="DJ351" s="78"/>
      <c r="DK351" s="78"/>
      <c r="DL351" s="78"/>
      <c r="DM351" s="78"/>
      <c r="DN351" s="78"/>
      <c r="DO351" s="78"/>
      <c r="DP351" s="78"/>
      <c r="DQ351" s="78"/>
      <c r="DR351" s="78"/>
      <c r="DS351" s="78"/>
      <c r="DT351" s="78"/>
      <c r="DU351" s="78"/>
      <c r="DV351" s="78"/>
      <c r="DW351" s="78"/>
      <c r="DX351" s="78"/>
      <c r="DY351" s="78"/>
      <c r="DZ351" s="78"/>
      <c r="EA351" s="78"/>
      <c r="EB351" s="78"/>
      <c r="EC351" s="78"/>
      <c r="ED351" s="78"/>
      <c r="EE351" s="78"/>
      <c r="EF351" s="78"/>
      <c r="EG351" s="78"/>
      <c r="EH351" s="78"/>
      <c r="EI351" s="91"/>
      <c r="EJ351" s="91"/>
      <c r="EK351" s="91"/>
      <c r="EL351" s="91"/>
      <c r="EM351" s="91"/>
      <c r="EN351" s="91"/>
      <c r="EO351" s="91"/>
      <c r="EP351" s="78"/>
      <c r="EQ351" s="78"/>
      <c r="ER351" s="78"/>
      <c r="ES351" s="78"/>
      <c r="ET351" s="78"/>
      <c r="EU351" s="78"/>
      <c r="EV351" s="78"/>
      <c r="EW351" s="78"/>
      <c r="EX351" s="78"/>
      <c r="EY351" s="78"/>
      <c r="EZ351" s="78"/>
      <c r="FA351" s="78"/>
      <c r="FB351" s="78"/>
      <c r="FC351" s="78"/>
      <c r="FD351" s="78"/>
      <c r="FE351" s="78"/>
      <c r="FF351" s="78"/>
      <c r="FG351" s="78"/>
      <c r="FH351" s="78"/>
      <c r="FI351" s="78"/>
      <c r="FJ351" s="78"/>
      <c r="FK351" s="78"/>
    </row>
    <row r="352" spans="1:167" outlineLevel="1">
      <c r="A352" s="29" t="str">
        <f t="shared" si="32"/>
        <v>modesg_inp_emss_bens_imoveisflg_ftr_emss_area</v>
      </c>
      <c r="B352" s="67" t="s">
        <v>26</v>
      </c>
      <c r="C352" s="68" t="s">
        <v>181</v>
      </c>
      <c r="D352" s="64" t="s">
        <v>40</v>
      </c>
      <c r="E352" s="66" t="s">
        <v>219</v>
      </c>
      <c r="F352" s="64" t="s">
        <v>307</v>
      </c>
      <c r="G352" s="64" t="str">
        <f>INDEX(Auxiliar!$B$16:$B$24,MATCH(Plano_V1!H352,Auxiliar!$C$16:$C$24,0),1)</f>
        <v>0. Cancelado</v>
      </c>
      <c r="H352" s="64">
        <f>VLOOKUP(A352,'Aux - pivots1'!$A:$B,2,0)</f>
        <v>0</v>
      </c>
      <c r="I352" s="84">
        <f>SUMIFS(Table1[Estimação (horas)],Table1[Tabela],Plano_V1!E352,Table1[Campo],Plano_V1!F352)</f>
        <v>0.5</v>
      </c>
      <c r="J352" s="84">
        <f t="shared" si="30"/>
        <v>6.25E-2</v>
      </c>
      <c r="K352" s="89" t="s">
        <v>39</v>
      </c>
      <c r="L352" s="90">
        <f t="shared" si="31"/>
        <v>6.25E-2</v>
      </c>
      <c r="M352" s="78"/>
      <c r="N352" s="78"/>
      <c r="O352" s="78"/>
      <c r="P352" s="78"/>
      <c r="Q352" s="78"/>
      <c r="R352" s="78"/>
      <c r="S352" s="78"/>
      <c r="T352" s="78"/>
      <c r="U352" s="78"/>
      <c r="V352" s="78"/>
      <c r="W352" s="78"/>
      <c r="X352" s="78"/>
      <c r="Y352" s="78"/>
      <c r="Z352" s="78"/>
      <c r="AA352" s="78"/>
      <c r="AB352" s="78"/>
      <c r="AC352" s="78"/>
      <c r="AD352" s="78"/>
      <c r="AE352" s="78"/>
      <c r="AF352" s="78"/>
      <c r="AG352" s="78"/>
      <c r="AH352" s="78"/>
      <c r="AI352" s="78"/>
      <c r="AJ352" s="78"/>
      <c r="AK352" s="78"/>
      <c r="AL352" s="78"/>
      <c r="AM352" s="78"/>
      <c r="AN352" s="78"/>
      <c r="AO352" s="78"/>
      <c r="AP352" s="78"/>
      <c r="AQ352" s="78"/>
      <c r="AR352" s="78"/>
      <c r="AS352" s="78"/>
      <c r="AT352" s="91"/>
      <c r="AU352" s="78"/>
      <c r="AV352" s="78"/>
      <c r="AW352" s="78"/>
      <c r="AX352" s="78"/>
      <c r="AY352" s="78"/>
      <c r="AZ352" s="78"/>
      <c r="BA352" s="78"/>
      <c r="BB352" s="78"/>
      <c r="BC352" s="78"/>
      <c r="BD352" s="78"/>
      <c r="BE352" s="78"/>
      <c r="BF352" s="78"/>
      <c r="BG352" s="78"/>
      <c r="BH352" s="78"/>
      <c r="BI352" s="78"/>
      <c r="BJ352" s="78"/>
      <c r="BK352" s="78"/>
      <c r="BL352" s="78"/>
      <c r="BM352" s="78"/>
      <c r="BN352" s="78"/>
      <c r="BO352" s="78"/>
      <c r="BP352" s="78"/>
      <c r="BQ352" s="78"/>
      <c r="BR352" s="78"/>
      <c r="BS352" s="78"/>
      <c r="BT352" s="78"/>
      <c r="BU352" s="78"/>
      <c r="BV352" s="78"/>
      <c r="BW352" s="78"/>
      <c r="BX352" s="78"/>
      <c r="BY352" s="78"/>
      <c r="BZ352" s="78"/>
      <c r="CA352" s="78"/>
      <c r="CB352" s="78"/>
      <c r="CC352" s="78"/>
      <c r="CD352" s="78"/>
      <c r="CE352" s="78"/>
      <c r="CF352" s="78"/>
      <c r="CG352" s="78"/>
      <c r="CH352" s="78"/>
      <c r="CI352" s="78"/>
      <c r="CJ352" s="78"/>
      <c r="CK352" s="78"/>
      <c r="CL352" s="78"/>
      <c r="CM352" s="78"/>
      <c r="CN352" s="78"/>
      <c r="CO352" s="78"/>
      <c r="CP352" s="78"/>
      <c r="CQ352" s="78"/>
      <c r="CR352" s="78"/>
      <c r="CS352" s="78"/>
      <c r="CT352" s="78"/>
      <c r="CU352" s="78"/>
      <c r="CV352" s="78"/>
      <c r="CW352" s="78"/>
      <c r="CX352" s="78"/>
      <c r="CY352" s="78"/>
      <c r="CZ352" s="78"/>
      <c r="DA352" s="78"/>
      <c r="DB352" s="78"/>
      <c r="DC352" s="78"/>
      <c r="DD352" s="78"/>
      <c r="DE352" s="78"/>
      <c r="DF352" s="78"/>
      <c r="DG352" s="78"/>
      <c r="DH352" s="78"/>
      <c r="DI352" s="78"/>
      <c r="DJ352" s="78"/>
      <c r="DK352" s="78"/>
      <c r="DL352" s="78"/>
      <c r="DM352" s="78"/>
      <c r="DN352" s="78"/>
      <c r="DO352" s="78"/>
      <c r="DP352" s="78"/>
      <c r="DQ352" s="78"/>
      <c r="DR352" s="78"/>
      <c r="DS352" s="78"/>
      <c r="DT352" s="78"/>
      <c r="DU352" s="78"/>
      <c r="DV352" s="78"/>
      <c r="DW352" s="78"/>
      <c r="DX352" s="78"/>
      <c r="DY352" s="78"/>
      <c r="DZ352" s="78"/>
      <c r="EA352" s="78"/>
      <c r="EB352" s="78"/>
      <c r="EC352" s="78"/>
      <c r="ED352" s="78"/>
      <c r="EE352" s="78"/>
      <c r="EF352" s="78"/>
      <c r="EG352" s="78"/>
      <c r="EH352" s="78"/>
      <c r="EI352" s="91"/>
      <c r="EJ352" s="91"/>
      <c r="EK352" s="91"/>
      <c r="EL352" s="91"/>
      <c r="EM352" s="91"/>
      <c r="EN352" s="91"/>
      <c r="EO352" s="91"/>
      <c r="EP352" s="78"/>
      <c r="EQ352" s="78"/>
      <c r="ER352" s="78"/>
      <c r="ES352" s="78"/>
      <c r="ET352" s="78"/>
      <c r="EU352" s="78"/>
      <c r="EV352" s="78"/>
      <c r="EW352" s="78"/>
      <c r="EX352" s="78"/>
      <c r="EY352" s="78"/>
      <c r="EZ352" s="78"/>
      <c r="FA352" s="78"/>
      <c r="FB352" s="78"/>
      <c r="FC352" s="78"/>
      <c r="FD352" s="78"/>
      <c r="FE352" s="78"/>
      <c r="FF352" s="78"/>
      <c r="FG352" s="78"/>
      <c r="FH352" s="78"/>
      <c r="FI352" s="78"/>
      <c r="FJ352" s="78"/>
      <c r="FK352" s="78"/>
    </row>
    <row r="353" spans="1:167" outlineLevel="1">
      <c r="A353" s="29" t="str">
        <f t="shared" si="32"/>
        <v>modesg_inp_emss_bens_imoveisnome_unidade_funcional</v>
      </c>
      <c r="B353" s="67" t="s">
        <v>26</v>
      </c>
      <c r="C353" s="68" t="s">
        <v>181</v>
      </c>
      <c r="D353" s="64" t="s">
        <v>40</v>
      </c>
      <c r="E353" s="66" t="s">
        <v>219</v>
      </c>
      <c r="F353" s="64" t="s">
        <v>228</v>
      </c>
      <c r="G353" s="64" t="str">
        <f>INDEX(Auxiliar!$B$16:$B$24,MATCH(Plano_V1!H353,Auxiliar!$C$16:$C$24,0),1)</f>
        <v>1. Concluído</v>
      </c>
      <c r="H353" s="64">
        <f>VLOOKUP(A353,'Aux - pivots1'!$A:$B,2,0)</f>
        <v>1</v>
      </c>
      <c r="I353" s="84">
        <f>SUMIFS(Table1[Estimação (horas)],Table1[Tabela],Plano_V1!E353,Table1[Campo],Plano_V1!F353)</f>
        <v>0.5</v>
      </c>
      <c r="J353" s="84">
        <f t="shared" si="30"/>
        <v>6.25E-2</v>
      </c>
      <c r="K353" s="89" t="s">
        <v>39</v>
      </c>
      <c r="L353" s="90">
        <f t="shared" si="31"/>
        <v>6.25E-2</v>
      </c>
      <c r="M353" s="78"/>
      <c r="N353" s="78"/>
      <c r="O353" s="78"/>
      <c r="P353" s="78"/>
      <c r="Q353" s="78"/>
      <c r="R353" s="78"/>
      <c r="S353" s="78"/>
      <c r="T353" s="78"/>
      <c r="U353" s="78"/>
      <c r="V353" s="78"/>
      <c r="W353" s="78"/>
      <c r="X353" s="78"/>
      <c r="Y353" s="78"/>
      <c r="Z353" s="78"/>
      <c r="AA353" s="78"/>
      <c r="AB353" s="78"/>
      <c r="AC353" s="78"/>
      <c r="AD353" s="78"/>
      <c r="AE353" s="78"/>
      <c r="AF353" s="78"/>
      <c r="AG353" s="78"/>
      <c r="AH353" s="78"/>
      <c r="AI353" s="78"/>
      <c r="AJ353" s="78"/>
      <c r="AK353" s="78"/>
      <c r="AL353" s="78"/>
      <c r="AM353" s="78"/>
      <c r="AN353" s="78"/>
      <c r="AO353" s="78"/>
      <c r="AP353" s="78"/>
      <c r="AQ353" s="78"/>
      <c r="AR353" s="78"/>
      <c r="AS353" s="78"/>
      <c r="AT353" s="91"/>
      <c r="AU353" s="78"/>
      <c r="AV353" s="78"/>
      <c r="AW353" s="78"/>
      <c r="AX353" s="78"/>
      <c r="AY353" s="78"/>
      <c r="AZ353" s="78"/>
      <c r="BA353" s="78"/>
      <c r="BB353" s="78"/>
      <c r="BC353" s="78"/>
      <c r="BD353" s="78"/>
      <c r="BE353" s="78"/>
      <c r="BF353" s="78"/>
      <c r="BG353" s="78"/>
      <c r="BH353" s="78"/>
      <c r="BI353" s="78"/>
      <c r="BJ353" s="78"/>
      <c r="BK353" s="78"/>
      <c r="BL353" s="78"/>
      <c r="BM353" s="78"/>
      <c r="BN353" s="78"/>
      <c r="BO353" s="78"/>
      <c r="BP353" s="78"/>
      <c r="BQ353" s="78"/>
      <c r="BR353" s="78"/>
      <c r="BS353" s="78"/>
      <c r="BT353" s="78"/>
      <c r="BU353" s="78"/>
      <c r="BV353" s="78"/>
      <c r="BW353" s="78"/>
      <c r="BX353" s="78"/>
      <c r="BY353" s="78"/>
      <c r="BZ353" s="78"/>
      <c r="CA353" s="78"/>
      <c r="CB353" s="78"/>
      <c r="CC353" s="78"/>
      <c r="CD353" s="78"/>
      <c r="CE353" s="78"/>
      <c r="CF353" s="78"/>
      <c r="CG353" s="78"/>
      <c r="CH353" s="78"/>
      <c r="CI353" s="78"/>
      <c r="CJ353" s="78"/>
      <c r="CK353" s="78"/>
      <c r="CL353" s="78"/>
      <c r="CM353" s="78"/>
      <c r="CN353" s="78"/>
      <c r="CO353" s="78"/>
      <c r="CP353" s="78"/>
      <c r="CQ353" s="78"/>
      <c r="CR353" s="78"/>
      <c r="CS353" s="78"/>
      <c r="CT353" s="78"/>
      <c r="CU353" s="78"/>
      <c r="CV353" s="78"/>
      <c r="CW353" s="78"/>
      <c r="CX353" s="78"/>
      <c r="CY353" s="78"/>
      <c r="CZ353" s="78"/>
      <c r="DA353" s="78"/>
      <c r="DB353" s="78"/>
      <c r="DC353" s="78"/>
      <c r="DD353" s="78"/>
      <c r="DE353" s="78"/>
      <c r="DF353" s="78"/>
      <c r="DG353" s="78"/>
      <c r="DH353" s="78"/>
      <c r="DI353" s="78"/>
      <c r="DJ353" s="78"/>
      <c r="DK353" s="78"/>
      <c r="DL353" s="78"/>
      <c r="DM353" s="78"/>
      <c r="DN353" s="78"/>
      <c r="DO353" s="78"/>
      <c r="DP353" s="78"/>
      <c r="DQ353" s="78"/>
      <c r="DR353" s="78"/>
      <c r="DS353" s="78"/>
      <c r="DT353" s="78"/>
      <c r="DU353" s="78"/>
      <c r="DV353" s="78"/>
      <c r="DW353" s="78"/>
      <c r="DX353" s="78"/>
      <c r="DY353" s="78"/>
      <c r="DZ353" s="78"/>
      <c r="EA353" s="78"/>
      <c r="EB353" s="78"/>
      <c r="EC353" s="78"/>
      <c r="ED353" s="78"/>
      <c r="EE353" s="78"/>
      <c r="EF353" s="78"/>
      <c r="EG353" s="78"/>
      <c r="EH353" s="78"/>
      <c r="EI353" s="91"/>
      <c r="EJ353" s="91"/>
      <c r="EK353" s="91"/>
      <c r="EL353" s="91"/>
      <c r="EM353" s="91"/>
      <c r="EN353" s="91"/>
      <c r="EO353" s="91"/>
      <c r="EP353" s="78"/>
      <c r="EQ353" s="78"/>
      <c r="ER353" s="78"/>
      <c r="ES353" s="78"/>
      <c r="ET353" s="78"/>
      <c r="EU353" s="78"/>
      <c r="EV353" s="78"/>
      <c r="EW353" s="78"/>
      <c r="EX353" s="78"/>
      <c r="EY353" s="78"/>
      <c r="EZ353" s="78"/>
      <c r="FA353" s="78"/>
      <c r="FB353" s="78"/>
      <c r="FC353" s="78"/>
      <c r="FD353" s="78"/>
      <c r="FE353" s="78"/>
      <c r="FF353" s="78"/>
      <c r="FG353" s="78"/>
      <c r="FH353" s="78"/>
      <c r="FI353" s="78"/>
      <c r="FJ353" s="78"/>
      <c r="FK353" s="78"/>
    </row>
    <row r="354" spans="1:167" outlineLevel="1">
      <c r="A354" s="29" t="str">
        <f t="shared" si="32"/>
        <v>modesg_inp_emss_bens_imoveisunidade_funcional</v>
      </c>
      <c r="B354" s="67" t="s">
        <v>26</v>
      </c>
      <c r="C354" s="68" t="s">
        <v>181</v>
      </c>
      <c r="D354" s="64" t="s">
        <v>40</v>
      </c>
      <c r="E354" s="66" t="s">
        <v>219</v>
      </c>
      <c r="F354" s="64" t="s">
        <v>229</v>
      </c>
      <c r="G354" s="64" t="str">
        <f>INDEX(Auxiliar!$B$16:$B$24,MATCH(Plano_V1!H354,Auxiliar!$C$16:$C$24,0),1)</f>
        <v>1. Concluído</v>
      </c>
      <c r="H354" s="64">
        <f>VLOOKUP(A354,'Aux - pivots1'!$A:$B,2,0)</f>
        <v>1</v>
      </c>
      <c r="I354" s="84">
        <f>SUMIFS(Table1[Estimação (horas)],Table1[Tabela],Plano_V1!E354,Table1[Campo],Plano_V1!F354)</f>
        <v>0.5</v>
      </c>
      <c r="J354" s="84">
        <f t="shared" si="30"/>
        <v>6.25E-2</v>
      </c>
      <c r="K354" s="89" t="s">
        <v>39</v>
      </c>
      <c r="L354" s="90">
        <f t="shared" si="31"/>
        <v>6.25E-2</v>
      </c>
      <c r="M354" s="78"/>
      <c r="N354" s="78"/>
      <c r="O354" s="78"/>
      <c r="P354" s="78"/>
      <c r="Q354" s="78"/>
      <c r="R354" s="78"/>
      <c r="S354" s="78"/>
      <c r="T354" s="78"/>
      <c r="U354" s="78"/>
      <c r="V354" s="78"/>
      <c r="W354" s="78"/>
      <c r="X354" s="78"/>
      <c r="Y354" s="78"/>
      <c r="Z354" s="78"/>
      <c r="AA354" s="78"/>
      <c r="AB354" s="78"/>
      <c r="AC354" s="78"/>
      <c r="AD354" s="78"/>
      <c r="AE354" s="78"/>
      <c r="AF354" s="78"/>
      <c r="AG354" s="78"/>
      <c r="AH354" s="78"/>
      <c r="AI354" s="78"/>
      <c r="AJ354" s="78"/>
      <c r="AK354" s="78"/>
      <c r="AL354" s="78"/>
      <c r="AM354" s="78"/>
      <c r="AN354" s="78"/>
      <c r="AO354" s="78"/>
      <c r="AP354" s="78"/>
      <c r="AQ354" s="78"/>
      <c r="AR354" s="78"/>
      <c r="AS354" s="78"/>
      <c r="AT354" s="91"/>
      <c r="AU354" s="78"/>
      <c r="AV354" s="78"/>
      <c r="AW354" s="78"/>
      <c r="AX354" s="78"/>
      <c r="AY354" s="78"/>
      <c r="AZ354" s="78"/>
      <c r="BA354" s="78"/>
      <c r="BB354" s="78"/>
      <c r="BC354" s="78"/>
      <c r="BD354" s="78"/>
      <c r="BE354" s="78"/>
      <c r="BF354" s="78"/>
      <c r="BG354" s="78"/>
      <c r="BH354" s="78"/>
      <c r="BI354" s="78"/>
      <c r="BJ354" s="78"/>
      <c r="BK354" s="78"/>
      <c r="BL354" s="78"/>
      <c r="BM354" s="78"/>
      <c r="BN354" s="78"/>
      <c r="BO354" s="78"/>
      <c r="BP354" s="78"/>
      <c r="BQ354" s="78"/>
      <c r="BR354" s="78"/>
      <c r="BS354" s="78"/>
      <c r="BT354" s="78"/>
      <c r="BU354" s="78"/>
      <c r="BV354" s="78"/>
      <c r="BW354" s="78"/>
      <c r="BX354" s="78"/>
      <c r="BY354" s="78"/>
      <c r="BZ354" s="78"/>
      <c r="CA354" s="78"/>
      <c r="CB354" s="78"/>
      <c r="CC354" s="78"/>
      <c r="CD354" s="78"/>
      <c r="CE354" s="78"/>
      <c r="CF354" s="78"/>
      <c r="CG354" s="78"/>
      <c r="CH354" s="78"/>
      <c r="CI354" s="78"/>
      <c r="CJ354" s="78"/>
      <c r="CK354" s="78"/>
      <c r="CL354" s="78"/>
      <c r="CM354" s="78"/>
      <c r="CN354" s="78"/>
      <c r="CO354" s="78"/>
      <c r="CP354" s="78"/>
      <c r="CQ354" s="78"/>
      <c r="CR354" s="78"/>
      <c r="CS354" s="78"/>
      <c r="CT354" s="78"/>
      <c r="CU354" s="78"/>
      <c r="CV354" s="78"/>
      <c r="CW354" s="78"/>
      <c r="CX354" s="78"/>
      <c r="CY354" s="78"/>
      <c r="CZ354" s="78"/>
      <c r="DA354" s="78"/>
      <c r="DB354" s="78"/>
      <c r="DC354" s="78"/>
      <c r="DD354" s="78"/>
      <c r="DE354" s="78"/>
      <c r="DF354" s="78"/>
      <c r="DG354" s="78"/>
      <c r="DH354" s="78"/>
      <c r="DI354" s="78"/>
      <c r="DJ354" s="78"/>
      <c r="DK354" s="78"/>
      <c r="DL354" s="78"/>
      <c r="DM354" s="78"/>
      <c r="DN354" s="78"/>
      <c r="DO354" s="78"/>
      <c r="DP354" s="78"/>
      <c r="DQ354" s="78"/>
      <c r="DR354" s="78"/>
      <c r="DS354" s="78"/>
      <c r="DT354" s="78"/>
      <c r="DU354" s="78"/>
      <c r="DV354" s="78"/>
      <c r="DW354" s="78"/>
      <c r="DX354" s="78"/>
      <c r="DY354" s="78"/>
      <c r="DZ354" s="78"/>
      <c r="EA354" s="78"/>
      <c r="EB354" s="78"/>
      <c r="EC354" s="78"/>
      <c r="ED354" s="78"/>
      <c r="EE354" s="78"/>
      <c r="EF354" s="78"/>
      <c r="EG354" s="78"/>
      <c r="EH354" s="78"/>
      <c r="EI354" s="91"/>
      <c r="EJ354" s="91"/>
      <c r="EK354" s="91"/>
      <c r="EL354" s="91"/>
      <c r="EM354" s="91"/>
      <c r="EN354" s="91"/>
      <c r="EO354" s="91"/>
      <c r="EP354" s="78"/>
      <c r="EQ354" s="78"/>
      <c r="ER354" s="78"/>
      <c r="ES354" s="78"/>
      <c r="ET354" s="78"/>
      <c r="EU354" s="78"/>
      <c r="EV354" s="78"/>
      <c r="EW354" s="78"/>
      <c r="EX354" s="78"/>
      <c r="EY354" s="78"/>
      <c r="EZ354" s="78"/>
      <c r="FA354" s="78"/>
      <c r="FB354" s="78"/>
      <c r="FC354" s="78"/>
      <c r="FD354" s="78"/>
      <c r="FE354" s="78"/>
      <c r="FF354" s="78"/>
      <c r="FG354" s="78"/>
      <c r="FH354" s="78"/>
      <c r="FI354" s="78"/>
      <c r="FJ354" s="78"/>
      <c r="FK354" s="78"/>
    </row>
    <row r="355" spans="1:167" outlineLevel="1">
      <c r="A355" s="29" t="str">
        <f t="shared" si="32"/>
        <v>modesg_inp_emss_bens_imoveisnome_fator_emissao</v>
      </c>
      <c r="B355" s="67" t="s">
        <v>26</v>
      </c>
      <c r="C355" s="68" t="s">
        <v>181</v>
      </c>
      <c r="D355" s="64" t="s">
        <v>40</v>
      </c>
      <c r="E355" s="66" t="s">
        <v>219</v>
      </c>
      <c r="F355" s="64" t="s">
        <v>230</v>
      </c>
      <c r="G355" s="64" t="str">
        <f>INDEX(Auxiliar!$B$16:$B$24,MATCH(Plano_V1!H355,Auxiliar!$C$16:$C$24,0),1)</f>
        <v>1. Concluído</v>
      </c>
      <c r="H355" s="64">
        <f>VLOOKUP(A355,'Aux - pivots1'!$A:$B,2,0)</f>
        <v>1</v>
      </c>
      <c r="I355" s="84">
        <f>SUMIFS(Table1[Estimação (horas)],Table1[Tabela],Plano_V1!E355,Table1[Campo],Plano_V1!F355)</f>
        <v>0.5</v>
      </c>
      <c r="J355" s="84">
        <f t="shared" si="30"/>
        <v>6.25E-2</v>
      </c>
      <c r="K355" s="89" t="s">
        <v>39</v>
      </c>
      <c r="L355" s="90">
        <f t="shared" si="31"/>
        <v>6.25E-2</v>
      </c>
      <c r="M355" s="78"/>
      <c r="N355" s="78"/>
      <c r="O355" s="78"/>
      <c r="P355" s="78"/>
      <c r="Q355" s="78"/>
      <c r="R355" s="78"/>
      <c r="S355" s="78"/>
      <c r="T355" s="78"/>
      <c r="U355" s="78"/>
      <c r="V355" s="78"/>
      <c r="W355" s="78"/>
      <c r="X355" s="78"/>
      <c r="Y355" s="78"/>
      <c r="Z355" s="78"/>
      <c r="AA355" s="78"/>
      <c r="AB355" s="78"/>
      <c r="AC355" s="78"/>
      <c r="AD355" s="78"/>
      <c r="AE355" s="78"/>
      <c r="AF355" s="78"/>
      <c r="AG355" s="78"/>
      <c r="AH355" s="78"/>
      <c r="AI355" s="78"/>
      <c r="AJ355" s="78"/>
      <c r="AK355" s="78"/>
      <c r="AL355" s="78"/>
      <c r="AM355" s="78"/>
      <c r="AN355" s="78"/>
      <c r="AO355" s="78"/>
      <c r="AP355" s="78"/>
      <c r="AQ355" s="78"/>
      <c r="AR355" s="78"/>
      <c r="AS355" s="78"/>
      <c r="AT355" s="91"/>
      <c r="AU355" s="78"/>
      <c r="AV355" s="78"/>
      <c r="AW355" s="78"/>
      <c r="AX355" s="78"/>
      <c r="AY355" s="78"/>
      <c r="AZ355" s="78"/>
      <c r="BA355" s="78"/>
      <c r="BB355" s="78"/>
      <c r="BC355" s="78"/>
      <c r="BD355" s="78"/>
      <c r="BE355" s="78"/>
      <c r="BF355" s="78"/>
      <c r="BG355" s="78"/>
      <c r="BH355" s="78"/>
      <c r="BI355" s="78"/>
      <c r="BJ355" s="78"/>
      <c r="BK355" s="78"/>
      <c r="BL355" s="78"/>
      <c r="BM355" s="78"/>
      <c r="BN355" s="78"/>
      <c r="BO355" s="78"/>
      <c r="BP355" s="78"/>
      <c r="BQ355" s="78"/>
      <c r="BR355" s="78"/>
      <c r="BS355" s="78"/>
      <c r="BT355" s="78"/>
      <c r="BU355" s="78"/>
      <c r="BV355" s="78"/>
      <c r="BW355" s="78"/>
      <c r="BX355" s="78"/>
      <c r="BY355" s="78"/>
      <c r="BZ355" s="78"/>
      <c r="CA355" s="78"/>
      <c r="CB355" s="78"/>
      <c r="CC355" s="78"/>
      <c r="CD355" s="78"/>
      <c r="CE355" s="78"/>
      <c r="CF355" s="78"/>
      <c r="CG355" s="78"/>
      <c r="CH355" s="78"/>
      <c r="CI355" s="78"/>
      <c r="CJ355" s="78"/>
      <c r="CK355" s="78"/>
      <c r="CL355" s="78"/>
      <c r="CM355" s="78"/>
      <c r="CN355" s="78"/>
      <c r="CO355" s="78"/>
      <c r="CP355" s="78"/>
      <c r="CQ355" s="78"/>
      <c r="CR355" s="78"/>
      <c r="CS355" s="78"/>
      <c r="CT355" s="78"/>
      <c r="CU355" s="78"/>
      <c r="CV355" s="78"/>
      <c r="CW355" s="78"/>
      <c r="CX355" s="78"/>
      <c r="CY355" s="78"/>
      <c r="CZ355" s="78"/>
      <c r="DA355" s="78"/>
      <c r="DB355" s="78"/>
      <c r="DC355" s="78"/>
      <c r="DD355" s="78"/>
      <c r="DE355" s="78"/>
      <c r="DF355" s="78"/>
      <c r="DG355" s="78"/>
      <c r="DH355" s="78"/>
      <c r="DI355" s="78"/>
      <c r="DJ355" s="78"/>
      <c r="DK355" s="78"/>
      <c r="DL355" s="78"/>
      <c r="DM355" s="78"/>
      <c r="DN355" s="78"/>
      <c r="DO355" s="78"/>
      <c r="DP355" s="78"/>
      <c r="DQ355" s="78"/>
      <c r="DR355" s="78"/>
      <c r="DS355" s="78"/>
      <c r="DT355" s="78"/>
      <c r="DU355" s="78"/>
      <c r="DV355" s="78"/>
      <c r="DW355" s="78"/>
      <c r="DX355" s="78"/>
      <c r="DY355" s="78"/>
      <c r="DZ355" s="78"/>
      <c r="EA355" s="78"/>
      <c r="EB355" s="78"/>
      <c r="EC355" s="78"/>
      <c r="ED355" s="78"/>
      <c r="EE355" s="78"/>
      <c r="EF355" s="78"/>
      <c r="EG355" s="78"/>
      <c r="EH355" s="78"/>
      <c r="EI355" s="91"/>
      <c r="EJ355" s="91"/>
      <c r="EK355" s="91"/>
      <c r="EL355" s="91"/>
      <c r="EM355" s="91"/>
      <c r="EN355" s="91"/>
      <c r="EO355" s="91"/>
      <c r="EP355" s="78"/>
      <c r="EQ355" s="78"/>
      <c r="ER355" s="78"/>
      <c r="ES355" s="78"/>
      <c r="ET355" s="78"/>
      <c r="EU355" s="78"/>
      <c r="EV355" s="78"/>
      <c r="EW355" s="78"/>
      <c r="EX355" s="78"/>
      <c r="EY355" s="78"/>
      <c r="EZ355" s="78"/>
      <c r="FA355" s="78"/>
      <c r="FB355" s="78"/>
      <c r="FC355" s="78"/>
      <c r="FD355" s="78"/>
      <c r="FE355" s="78"/>
      <c r="FF355" s="78"/>
      <c r="FG355" s="78"/>
      <c r="FH355" s="78"/>
      <c r="FI355" s="78"/>
      <c r="FJ355" s="78"/>
      <c r="FK355" s="78"/>
    </row>
    <row r="356" spans="1:167" outlineLevel="1">
      <c r="A356" s="29" t="str">
        <f t="shared" si="32"/>
        <v>modesg_inp_emss_bens_imoveisunidade_fator_emissao</v>
      </c>
      <c r="B356" s="67" t="s">
        <v>26</v>
      </c>
      <c r="C356" s="68" t="s">
        <v>181</v>
      </c>
      <c r="D356" s="64" t="s">
        <v>40</v>
      </c>
      <c r="E356" s="66" t="s">
        <v>219</v>
      </c>
      <c r="F356" s="64" t="s">
        <v>568</v>
      </c>
      <c r="G356" s="64" t="e">
        <f>INDEX(Auxiliar!$B$16:$B$24,MATCH(Plano_V1!H356,Auxiliar!$C$16:$C$24,0),1)</f>
        <v>#N/A</v>
      </c>
      <c r="H356" s="64" t="e">
        <f>VLOOKUP(A356,'Aux - pivots1'!$A:$B,2,0)</f>
        <v>#N/A</v>
      </c>
      <c r="I356" s="84">
        <f>SUMIFS(Table1[Estimação (horas)],Table1[Tabela],Plano_V1!E356,Table1[Campo],Plano_V1!F356)</f>
        <v>0</v>
      </c>
      <c r="J356" s="84">
        <f t="shared" si="30"/>
        <v>0</v>
      </c>
      <c r="K356" s="89" t="s">
        <v>39</v>
      </c>
      <c r="L356" s="90">
        <f t="shared" si="31"/>
        <v>0</v>
      </c>
      <c r="M356" s="78"/>
      <c r="N356" s="78"/>
      <c r="O356" s="78"/>
      <c r="P356" s="78"/>
      <c r="Q356" s="78"/>
      <c r="R356" s="78"/>
      <c r="S356" s="78"/>
      <c r="T356" s="78"/>
      <c r="U356" s="78"/>
      <c r="V356" s="78"/>
      <c r="W356" s="78"/>
      <c r="X356" s="78"/>
      <c r="Y356" s="78"/>
      <c r="Z356" s="78"/>
      <c r="AA356" s="78"/>
      <c r="AB356" s="78"/>
      <c r="AC356" s="78"/>
      <c r="AD356" s="78"/>
      <c r="AE356" s="78"/>
      <c r="AF356" s="78"/>
      <c r="AG356" s="78"/>
      <c r="AH356" s="78"/>
      <c r="AI356" s="78"/>
      <c r="AJ356" s="78"/>
      <c r="AK356" s="78"/>
      <c r="AL356" s="78"/>
      <c r="AM356" s="78"/>
      <c r="AN356" s="78"/>
      <c r="AO356" s="78"/>
      <c r="AP356" s="78"/>
      <c r="AQ356" s="78"/>
      <c r="AR356" s="78"/>
      <c r="AS356" s="78"/>
      <c r="AT356" s="91"/>
      <c r="AU356" s="78"/>
      <c r="AV356" s="78"/>
      <c r="AW356" s="78"/>
      <c r="AX356" s="78"/>
      <c r="AY356" s="78"/>
      <c r="AZ356" s="78"/>
      <c r="BA356" s="78"/>
      <c r="BB356" s="78"/>
      <c r="BC356" s="78"/>
      <c r="BD356" s="78"/>
      <c r="BE356" s="78"/>
      <c r="BF356" s="78"/>
      <c r="BG356" s="78"/>
      <c r="BH356" s="78"/>
      <c r="BI356" s="78"/>
      <c r="BJ356" s="78"/>
      <c r="BK356" s="78"/>
      <c r="BL356" s="78"/>
      <c r="BM356" s="78"/>
      <c r="BN356" s="78"/>
      <c r="BO356" s="78"/>
      <c r="BP356" s="78"/>
      <c r="BQ356" s="78"/>
      <c r="BR356" s="78"/>
      <c r="BS356" s="78"/>
      <c r="BT356" s="78"/>
      <c r="BU356" s="78"/>
      <c r="BV356" s="78"/>
      <c r="BW356" s="78"/>
      <c r="BX356" s="78"/>
      <c r="BY356" s="78"/>
      <c r="BZ356" s="78"/>
      <c r="CA356" s="78"/>
      <c r="CB356" s="78"/>
      <c r="CC356" s="78"/>
      <c r="CD356" s="78"/>
      <c r="CE356" s="78"/>
      <c r="CF356" s="78"/>
      <c r="CG356" s="78"/>
      <c r="CH356" s="78"/>
      <c r="CI356" s="78"/>
      <c r="CJ356" s="78"/>
      <c r="CK356" s="78"/>
      <c r="CL356" s="78"/>
      <c r="CM356" s="78"/>
      <c r="CN356" s="78"/>
      <c r="CO356" s="78"/>
      <c r="CP356" s="78"/>
      <c r="CQ356" s="78"/>
      <c r="CR356" s="78"/>
      <c r="CS356" s="78"/>
      <c r="CT356" s="78"/>
      <c r="CU356" s="78"/>
      <c r="CV356" s="78"/>
      <c r="CW356" s="78"/>
      <c r="CX356" s="78"/>
      <c r="CY356" s="78"/>
      <c r="CZ356" s="78"/>
      <c r="DA356" s="78"/>
      <c r="DB356" s="78"/>
      <c r="DC356" s="78"/>
      <c r="DD356" s="78"/>
      <c r="DE356" s="78"/>
      <c r="DF356" s="78"/>
      <c r="DG356" s="78"/>
      <c r="DH356" s="78"/>
      <c r="DI356" s="78"/>
      <c r="DJ356" s="78"/>
      <c r="DK356" s="78"/>
      <c r="DL356" s="78"/>
      <c r="DM356" s="78"/>
      <c r="DN356" s="78"/>
      <c r="DO356" s="78"/>
      <c r="DP356" s="78"/>
      <c r="DQ356" s="78"/>
      <c r="DR356" s="78"/>
      <c r="DS356" s="78"/>
      <c r="DT356" s="78"/>
      <c r="DU356" s="78"/>
      <c r="DV356" s="78"/>
      <c r="DW356" s="78"/>
      <c r="DX356" s="78"/>
      <c r="DY356" s="78"/>
      <c r="DZ356" s="78"/>
      <c r="EA356" s="78"/>
      <c r="EB356" s="78"/>
      <c r="EC356" s="78"/>
      <c r="ED356" s="78"/>
      <c r="EE356" s="78"/>
      <c r="EF356" s="78"/>
      <c r="EG356" s="78"/>
      <c r="EH356" s="78"/>
      <c r="EI356" s="91"/>
      <c r="EJ356" s="91"/>
      <c r="EK356" s="91"/>
      <c r="EL356" s="91"/>
      <c r="EM356" s="91"/>
      <c r="EN356" s="91"/>
      <c r="EO356" s="91"/>
      <c r="EP356" s="78"/>
      <c r="EQ356" s="78"/>
      <c r="ER356" s="78"/>
      <c r="ES356" s="78"/>
      <c r="ET356" s="78"/>
      <c r="EU356" s="78"/>
      <c r="EV356" s="78"/>
      <c r="EW356" s="78"/>
      <c r="EX356" s="78"/>
      <c r="EY356" s="78"/>
      <c r="EZ356" s="78"/>
      <c r="FA356" s="78"/>
      <c r="FB356" s="78"/>
      <c r="FC356" s="78"/>
      <c r="FD356" s="78"/>
      <c r="FE356" s="78"/>
      <c r="FF356" s="78"/>
      <c r="FG356" s="78"/>
      <c r="FH356" s="78"/>
      <c r="FI356" s="78"/>
      <c r="FJ356" s="78"/>
      <c r="FK356" s="78"/>
    </row>
    <row r="357" spans="1:167" outlineLevel="1">
      <c r="A357" s="29" t="str">
        <f t="shared" si="32"/>
        <v>modesg_inp_emss_bens_imoveisscore_qualidade</v>
      </c>
      <c r="B357" s="67" t="s">
        <v>26</v>
      </c>
      <c r="C357" s="68" t="s">
        <v>181</v>
      </c>
      <c r="D357" s="64" t="s">
        <v>40</v>
      </c>
      <c r="E357" s="66" t="s">
        <v>219</v>
      </c>
      <c r="F357" s="64" t="s">
        <v>232</v>
      </c>
      <c r="G357" s="64" t="str">
        <f>INDEX(Auxiliar!$B$16:$B$24,MATCH(Plano_V1!H357,Auxiliar!$C$16:$C$24,0),1)</f>
        <v>1. Concluído</v>
      </c>
      <c r="H357" s="64">
        <f>VLOOKUP(A357,'Aux - pivots1'!$A:$B,2,0)</f>
        <v>1</v>
      </c>
      <c r="I357" s="84">
        <f>SUMIFS(Table1[Estimação (horas)],Table1[Tabela],Plano_V1!E357,Table1[Campo],Plano_V1!F357)</f>
        <v>0.5</v>
      </c>
      <c r="J357" s="84">
        <f t="shared" si="30"/>
        <v>6.25E-2</v>
      </c>
      <c r="K357" s="89" t="s">
        <v>39</v>
      </c>
      <c r="L357" s="90">
        <f t="shared" si="31"/>
        <v>6.25E-2</v>
      </c>
      <c r="M357" s="78"/>
      <c r="N357" s="78"/>
      <c r="O357" s="78"/>
      <c r="P357" s="78"/>
      <c r="Q357" s="78"/>
      <c r="R357" s="78"/>
      <c r="S357" s="78"/>
      <c r="T357" s="78"/>
      <c r="U357" s="78"/>
      <c r="V357" s="78"/>
      <c r="W357" s="78"/>
      <c r="X357" s="78"/>
      <c r="Y357" s="78"/>
      <c r="Z357" s="78"/>
      <c r="AA357" s="78"/>
      <c r="AB357" s="78"/>
      <c r="AC357" s="78"/>
      <c r="AD357" s="78"/>
      <c r="AE357" s="78"/>
      <c r="AF357" s="78"/>
      <c r="AG357" s="78"/>
      <c r="AH357" s="78"/>
      <c r="AI357" s="78"/>
      <c r="AJ357" s="78"/>
      <c r="AK357" s="78"/>
      <c r="AL357" s="78"/>
      <c r="AM357" s="78"/>
      <c r="AN357" s="78"/>
      <c r="AO357" s="78"/>
      <c r="AP357" s="78"/>
      <c r="AQ357" s="78"/>
      <c r="AR357" s="78"/>
      <c r="AS357" s="78"/>
      <c r="AT357" s="91"/>
      <c r="AU357" s="78"/>
      <c r="AV357" s="78"/>
      <c r="AW357" s="78"/>
      <c r="AX357" s="78"/>
      <c r="AY357" s="78"/>
      <c r="AZ357" s="78"/>
      <c r="BA357" s="78"/>
      <c r="BB357" s="78"/>
      <c r="BC357" s="78"/>
      <c r="BD357" s="78"/>
      <c r="BE357" s="78"/>
      <c r="BF357" s="78"/>
      <c r="BG357" s="78"/>
      <c r="BH357" s="78"/>
      <c r="BI357" s="78"/>
      <c r="BJ357" s="78"/>
      <c r="BK357" s="78"/>
      <c r="BL357" s="78"/>
      <c r="BM357" s="78"/>
      <c r="BN357" s="78"/>
      <c r="BO357" s="78"/>
      <c r="BP357" s="78"/>
      <c r="BQ357" s="78"/>
      <c r="BR357" s="78"/>
      <c r="BS357" s="78"/>
      <c r="BT357" s="78"/>
      <c r="BU357" s="78"/>
      <c r="BV357" s="78"/>
      <c r="BW357" s="78"/>
      <c r="BX357" s="78"/>
      <c r="BY357" s="78"/>
      <c r="BZ357" s="78"/>
      <c r="CA357" s="78"/>
      <c r="CB357" s="78"/>
      <c r="CC357" s="78"/>
      <c r="CD357" s="78"/>
      <c r="CE357" s="78"/>
      <c r="CF357" s="78"/>
      <c r="CG357" s="78"/>
      <c r="CH357" s="78"/>
      <c r="CI357" s="78"/>
      <c r="CJ357" s="78"/>
      <c r="CK357" s="78"/>
      <c r="CL357" s="78"/>
      <c r="CM357" s="78"/>
      <c r="CN357" s="78"/>
      <c r="CO357" s="78"/>
      <c r="CP357" s="78"/>
      <c r="CQ357" s="78"/>
      <c r="CR357" s="78"/>
      <c r="CS357" s="78"/>
      <c r="CT357" s="78"/>
      <c r="CU357" s="78"/>
      <c r="CV357" s="78"/>
      <c r="CW357" s="78"/>
      <c r="CX357" s="78"/>
      <c r="CY357" s="78"/>
      <c r="CZ357" s="78"/>
      <c r="DA357" s="78"/>
      <c r="DB357" s="78"/>
      <c r="DC357" s="78"/>
      <c r="DD357" s="78"/>
      <c r="DE357" s="78"/>
      <c r="DF357" s="78"/>
      <c r="DG357" s="78"/>
      <c r="DH357" s="78"/>
      <c r="DI357" s="78"/>
      <c r="DJ357" s="78"/>
      <c r="DK357" s="78"/>
      <c r="DL357" s="78"/>
      <c r="DM357" s="78"/>
      <c r="DN357" s="78"/>
      <c r="DO357" s="78"/>
      <c r="DP357" s="78"/>
      <c r="DQ357" s="78"/>
      <c r="DR357" s="78"/>
      <c r="DS357" s="78"/>
      <c r="DT357" s="78"/>
      <c r="DU357" s="78"/>
      <c r="DV357" s="78"/>
      <c r="DW357" s="78"/>
      <c r="DX357" s="78"/>
      <c r="DY357" s="78"/>
      <c r="DZ357" s="78"/>
      <c r="EA357" s="78"/>
      <c r="EB357" s="78"/>
      <c r="EC357" s="78"/>
      <c r="ED357" s="78"/>
      <c r="EE357" s="78"/>
      <c r="EF357" s="78"/>
      <c r="EG357" s="78"/>
      <c r="EH357" s="78"/>
      <c r="EI357" s="91"/>
      <c r="EJ357" s="91"/>
      <c r="EK357" s="91"/>
      <c r="EL357" s="91"/>
      <c r="EM357" s="91"/>
      <c r="EN357" s="91"/>
      <c r="EO357" s="91"/>
      <c r="EP357" s="78"/>
      <c r="EQ357" s="78"/>
      <c r="ER357" s="78"/>
      <c r="ES357" s="78"/>
      <c r="ET357" s="78"/>
      <c r="EU357" s="78"/>
      <c r="EV357" s="78"/>
      <c r="EW357" s="78"/>
      <c r="EX357" s="78"/>
      <c r="EY357" s="78"/>
      <c r="EZ357" s="78"/>
      <c r="FA357" s="78"/>
      <c r="FB357" s="78"/>
      <c r="FC357" s="78"/>
      <c r="FD357" s="78"/>
      <c r="FE357" s="78"/>
      <c r="FF357" s="78"/>
      <c r="FG357" s="78"/>
      <c r="FH357" s="78"/>
      <c r="FI357" s="78"/>
      <c r="FJ357" s="78"/>
      <c r="FK357" s="78"/>
    </row>
    <row r="358" spans="1:167" outlineLevel="1">
      <c r="A358" s="29" t="str">
        <f t="shared" si="32"/>
        <v>modesg_inp_emss_bens_imoveisscp_ftr_emss_ano1</v>
      </c>
      <c r="B358" s="67" t="s">
        <v>26</v>
      </c>
      <c r="C358" s="68" t="s">
        <v>181</v>
      </c>
      <c r="D358" s="64" t="s">
        <v>40</v>
      </c>
      <c r="E358" s="66" t="s">
        <v>219</v>
      </c>
      <c r="F358" s="64" t="s">
        <v>569</v>
      </c>
      <c r="G358" s="64" t="e">
        <f>INDEX(Auxiliar!$B$16:$B$24,MATCH(Plano_V1!H358,Auxiliar!$C$16:$C$24,0),1)</f>
        <v>#N/A</v>
      </c>
      <c r="H358" s="64" t="e">
        <f>VLOOKUP(A358,'Aux - pivots1'!$A:$B,2,0)</f>
        <v>#N/A</v>
      </c>
      <c r="I358" s="84">
        <f>SUMIFS(Table1[Estimação (horas)],Table1[Tabela],Plano_V1!E358,Table1[Campo],Plano_V1!F358)</f>
        <v>0</v>
      </c>
      <c r="J358" s="84">
        <f t="shared" si="30"/>
        <v>0</v>
      </c>
      <c r="K358" s="89" t="s">
        <v>39</v>
      </c>
      <c r="L358" s="90">
        <f t="shared" si="31"/>
        <v>0</v>
      </c>
      <c r="M358" s="78"/>
      <c r="N358" s="78"/>
      <c r="O358" s="78"/>
      <c r="P358" s="78"/>
      <c r="Q358" s="78"/>
      <c r="R358" s="78"/>
      <c r="S358" s="78"/>
      <c r="T358" s="78"/>
      <c r="U358" s="78"/>
      <c r="V358" s="78"/>
      <c r="W358" s="78"/>
      <c r="X358" s="78"/>
      <c r="Y358" s="78"/>
      <c r="Z358" s="78"/>
      <c r="AA358" s="78"/>
      <c r="AB358" s="78"/>
      <c r="AC358" s="78"/>
      <c r="AD358" s="78"/>
      <c r="AE358" s="78"/>
      <c r="AF358" s="78"/>
      <c r="AG358" s="78"/>
      <c r="AH358" s="78"/>
      <c r="AI358" s="78"/>
      <c r="AJ358" s="78"/>
      <c r="AK358" s="78"/>
      <c r="AL358" s="78"/>
      <c r="AM358" s="78"/>
      <c r="AN358" s="78"/>
      <c r="AO358" s="78"/>
      <c r="AP358" s="78"/>
      <c r="AQ358" s="78"/>
      <c r="AR358" s="78"/>
      <c r="AS358" s="78"/>
      <c r="AT358" s="91"/>
      <c r="AU358" s="78"/>
      <c r="AV358" s="78"/>
      <c r="AW358" s="78"/>
      <c r="AX358" s="78"/>
      <c r="AY358" s="78"/>
      <c r="AZ358" s="78"/>
      <c r="BA358" s="78"/>
      <c r="BB358" s="78"/>
      <c r="BC358" s="78"/>
      <c r="BD358" s="78"/>
      <c r="BE358" s="78"/>
      <c r="BF358" s="78"/>
      <c r="BG358" s="78"/>
      <c r="BH358" s="78"/>
      <c r="BI358" s="78"/>
      <c r="BJ358" s="78"/>
      <c r="BK358" s="78"/>
      <c r="BL358" s="78"/>
      <c r="BM358" s="78"/>
      <c r="BN358" s="78"/>
      <c r="BO358" s="78"/>
      <c r="BP358" s="78"/>
      <c r="BQ358" s="78"/>
      <c r="BR358" s="78"/>
      <c r="BS358" s="78"/>
      <c r="BT358" s="78"/>
      <c r="BU358" s="78"/>
      <c r="BV358" s="78"/>
      <c r="BW358" s="78"/>
      <c r="BX358" s="78"/>
      <c r="BY358" s="78"/>
      <c r="BZ358" s="78"/>
      <c r="CA358" s="78"/>
      <c r="CB358" s="78"/>
      <c r="CC358" s="78"/>
      <c r="CD358" s="78"/>
      <c r="CE358" s="78"/>
      <c r="CF358" s="78"/>
      <c r="CG358" s="78"/>
      <c r="CH358" s="78"/>
      <c r="CI358" s="78"/>
      <c r="CJ358" s="78"/>
      <c r="CK358" s="78"/>
      <c r="CL358" s="78"/>
      <c r="CM358" s="78"/>
      <c r="CN358" s="78"/>
      <c r="CO358" s="78"/>
      <c r="CP358" s="78"/>
      <c r="CQ358" s="78"/>
      <c r="CR358" s="78"/>
      <c r="CS358" s="78"/>
      <c r="CT358" s="78"/>
      <c r="CU358" s="78"/>
      <c r="CV358" s="78"/>
      <c r="CW358" s="78"/>
      <c r="CX358" s="78"/>
      <c r="CY358" s="78"/>
      <c r="CZ358" s="78"/>
      <c r="DA358" s="78"/>
      <c r="DB358" s="78"/>
      <c r="DC358" s="78"/>
      <c r="DD358" s="78"/>
      <c r="DE358" s="78"/>
      <c r="DF358" s="78"/>
      <c r="DG358" s="78"/>
      <c r="DH358" s="78"/>
      <c r="DI358" s="78"/>
      <c r="DJ358" s="78"/>
      <c r="DK358" s="78"/>
      <c r="DL358" s="78"/>
      <c r="DM358" s="78"/>
      <c r="DN358" s="78"/>
      <c r="DO358" s="78"/>
      <c r="DP358" s="78"/>
      <c r="DQ358" s="78"/>
      <c r="DR358" s="78"/>
      <c r="DS358" s="78"/>
      <c r="DT358" s="78"/>
      <c r="DU358" s="78"/>
      <c r="DV358" s="78"/>
      <c r="DW358" s="78"/>
      <c r="DX358" s="78"/>
      <c r="DY358" s="78"/>
      <c r="DZ358" s="78"/>
      <c r="EA358" s="78"/>
      <c r="EB358" s="78"/>
      <c r="EC358" s="78"/>
      <c r="ED358" s="78"/>
      <c r="EE358" s="78"/>
      <c r="EF358" s="78"/>
      <c r="EG358" s="78"/>
      <c r="EH358" s="78"/>
      <c r="EI358" s="91"/>
      <c r="EJ358" s="91"/>
      <c r="EK358" s="91"/>
      <c r="EL358" s="91"/>
      <c r="EM358" s="91"/>
      <c r="EN358" s="91"/>
      <c r="EO358" s="91"/>
      <c r="EP358" s="78"/>
      <c r="EQ358" s="78"/>
      <c r="ER358" s="78"/>
      <c r="ES358" s="78"/>
      <c r="ET358" s="78"/>
      <c r="EU358" s="78"/>
      <c r="EV358" s="78"/>
      <c r="EW358" s="78"/>
      <c r="EX358" s="78"/>
      <c r="EY358" s="78"/>
      <c r="EZ358" s="78"/>
      <c r="FA358" s="78"/>
      <c r="FB358" s="78"/>
      <c r="FC358" s="78"/>
      <c r="FD358" s="78"/>
      <c r="FE358" s="78"/>
      <c r="FF358" s="78"/>
      <c r="FG358" s="78"/>
      <c r="FH358" s="78"/>
      <c r="FI358" s="78"/>
      <c r="FJ358" s="78"/>
      <c r="FK358" s="78"/>
    </row>
    <row r="359" spans="1:167" outlineLevel="1">
      <c r="A359" s="29" t="str">
        <f t="shared" si="32"/>
        <v>modesg_inp_emss_bens_imoveisscp1_ftr_emss</v>
      </c>
      <c r="B359" s="67" t="s">
        <v>26</v>
      </c>
      <c r="C359" s="68" t="s">
        <v>181</v>
      </c>
      <c r="D359" s="64" t="s">
        <v>40</v>
      </c>
      <c r="E359" s="66" t="s">
        <v>219</v>
      </c>
      <c r="F359" s="64" t="s">
        <v>233</v>
      </c>
      <c r="G359" s="64" t="str">
        <f>INDEX(Auxiliar!$B$16:$B$24,MATCH(Plano_V1!H359,Auxiliar!$C$16:$C$24,0),1)</f>
        <v>1. Concluído</v>
      </c>
      <c r="H359" s="64">
        <f>VLOOKUP(A359,'Aux - pivots1'!$A:$B,2,0)</f>
        <v>1</v>
      </c>
      <c r="I359" s="84">
        <f>SUMIFS(Table1[Estimação (horas)],Table1[Tabela],Plano_V1!E359,Table1[Campo],Plano_V1!F359)</f>
        <v>0.6</v>
      </c>
      <c r="J359" s="84">
        <f t="shared" si="30"/>
        <v>7.4999999999999997E-2</v>
      </c>
      <c r="K359" s="89" t="s">
        <v>39</v>
      </c>
      <c r="L359" s="90">
        <f t="shared" si="31"/>
        <v>7.4999999999999997E-2</v>
      </c>
      <c r="M359" s="78"/>
      <c r="N359" s="78"/>
      <c r="O359" s="78"/>
      <c r="P359" s="78"/>
      <c r="Q359" s="78"/>
      <c r="R359" s="78"/>
      <c r="S359" s="78"/>
      <c r="T359" s="78"/>
      <c r="U359" s="78"/>
      <c r="V359" s="78"/>
      <c r="W359" s="78"/>
      <c r="X359" s="78"/>
      <c r="Y359" s="78"/>
      <c r="Z359" s="78"/>
      <c r="AA359" s="78"/>
      <c r="AB359" s="78"/>
      <c r="AC359" s="78"/>
      <c r="AD359" s="78"/>
      <c r="AE359" s="78"/>
      <c r="AF359" s="78"/>
      <c r="AG359" s="78"/>
      <c r="AH359" s="78"/>
      <c r="AI359" s="78"/>
      <c r="AJ359" s="78"/>
      <c r="AK359" s="78"/>
      <c r="AL359" s="78"/>
      <c r="AM359" s="78"/>
      <c r="AN359" s="78"/>
      <c r="AO359" s="78"/>
      <c r="AP359" s="78"/>
      <c r="AQ359" s="78"/>
      <c r="AR359" s="78"/>
      <c r="AS359" s="78"/>
      <c r="AT359" s="91"/>
      <c r="AU359" s="78"/>
      <c r="AV359" s="78"/>
      <c r="AW359" s="78"/>
      <c r="AX359" s="78"/>
      <c r="AY359" s="78"/>
      <c r="AZ359" s="78"/>
      <c r="BA359" s="78"/>
      <c r="BB359" s="78"/>
      <c r="BC359" s="78"/>
      <c r="BD359" s="78"/>
      <c r="BE359" s="78"/>
      <c r="BF359" s="78"/>
      <c r="BG359" s="78"/>
      <c r="BH359" s="78"/>
      <c r="BI359" s="78"/>
      <c r="BJ359" s="78"/>
      <c r="BK359" s="78"/>
      <c r="BL359" s="78"/>
      <c r="BM359" s="78"/>
      <c r="BN359" s="78"/>
      <c r="BO359" s="78"/>
      <c r="BP359" s="78"/>
      <c r="BQ359" s="78"/>
      <c r="BR359" s="78"/>
      <c r="BS359" s="78"/>
      <c r="BT359" s="78"/>
      <c r="BU359" s="78"/>
      <c r="BV359" s="78"/>
      <c r="BW359" s="78"/>
      <c r="BX359" s="78"/>
      <c r="BY359" s="78"/>
      <c r="BZ359" s="78"/>
      <c r="CA359" s="78"/>
      <c r="CB359" s="78"/>
      <c r="CC359" s="78"/>
      <c r="CD359" s="78"/>
      <c r="CE359" s="78"/>
      <c r="CF359" s="78"/>
      <c r="CG359" s="78"/>
      <c r="CH359" s="78"/>
      <c r="CI359" s="78"/>
      <c r="CJ359" s="78"/>
      <c r="CK359" s="78"/>
      <c r="CL359" s="78"/>
      <c r="CM359" s="78"/>
      <c r="CN359" s="78"/>
      <c r="CO359" s="78"/>
      <c r="CP359" s="78"/>
      <c r="CQ359" s="78"/>
      <c r="CR359" s="78"/>
      <c r="CS359" s="78"/>
      <c r="CT359" s="78"/>
      <c r="CU359" s="78"/>
      <c r="CV359" s="78"/>
      <c r="CW359" s="78"/>
      <c r="CX359" s="78"/>
      <c r="CY359" s="78"/>
      <c r="CZ359" s="78"/>
      <c r="DA359" s="78"/>
      <c r="DB359" s="78"/>
      <c r="DC359" s="78"/>
      <c r="DD359" s="78"/>
      <c r="DE359" s="78"/>
      <c r="DF359" s="78"/>
      <c r="DG359" s="78"/>
      <c r="DH359" s="78"/>
      <c r="DI359" s="78"/>
      <c r="DJ359" s="78"/>
      <c r="DK359" s="78"/>
      <c r="DL359" s="78"/>
      <c r="DM359" s="78"/>
      <c r="DN359" s="78"/>
      <c r="DO359" s="78"/>
      <c r="DP359" s="78"/>
      <c r="DQ359" s="78"/>
      <c r="DR359" s="78"/>
      <c r="DS359" s="78"/>
      <c r="DT359" s="78"/>
      <c r="DU359" s="78"/>
      <c r="DV359" s="78"/>
      <c r="DW359" s="78"/>
      <c r="DX359" s="78"/>
      <c r="DY359" s="78"/>
      <c r="DZ359" s="78"/>
      <c r="EA359" s="78"/>
      <c r="EB359" s="78"/>
      <c r="EC359" s="78"/>
      <c r="ED359" s="78"/>
      <c r="EE359" s="78"/>
      <c r="EF359" s="78"/>
      <c r="EG359" s="78"/>
      <c r="EH359" s="78"/>
      <c r="EI359" s="91"/>
      <c r="EJ359" s="91"/>
      <c r="EK359" s="91"/>
      <c r="EL359" s="91"/>
      <c r="EM359" s="91"/>
      <c r="EN359" s="91"/>
      <c r="EO359" s="91"/>
      <c r="EP359" s="78"/>
      <c r="EQ359" s="78"/>
      <c r="ER359" s="78"/>
      <c r="ES359" s="78"/>
      <c r="ET359" s="78"/>
      <c r="EU359" s="78"/>
      <c r="EV359" s="78"/>
      <c r="EW359" s="78"/>
      <c r="EX359" s="78"/>
      <c r="EY359" s="78"/>
      <c r="EZ359" s="78"/>
      <c r="FA359" s="78"/>
      <c r="FB359" s="78"/>
      <c r="FC359" s="78"/>
      <c r="FD359" s="78"/>
      <c r="FE359" s="78"/>
      <c r="FF359" s="78"/>
      <c r="FG359" s="78"/>
      <c r="FH359" s="78"/>
      <c r="FI359" s="78"/>
      <c r="FJ359" s="78"/>
      <c r="FK359" s="78"/>
    </row>
    <row r="360" spans="1:167" outlineLevel="1">
      <c r="A360" s="29" t="str">
        <f t="shared" si="32"/>
        <v>modesg_inp_emss_bens_imoveisscp2_ftr_emss</v>
      </c>
      <c r="B360" s="67" t="s">
        <v>26</v>
      </c>
      <c r="C360" s="68" t="s">
        <v>181</v>
      </c>
      <c r="D360" s="64" t="s">
        <v>40</v>
      </c>
      <c r="E360" s="66" t="s">
        <v>219</v>
      </c>
      <c r="F360" s="64" t="s">
        <v>234</v>
      </c>
      <c r="G360" s="64" t="str">
        <f>INDEX(Auxiliar!$B$16:$B$24,MATCH(Plano_V1!H360,Auxiliar!$C$16:$C$24,0),1)</f>
        <v>1. Concluído</v>
      </c>
      <c r="H360" s="64">
        <f>VLOOKUP(A360,'Aux - pivots1'!$A:$B,2,0)</f>
        <v>1</v>
      </c>
      <c r="I360" s="84">
        <f>SUMIFS(Table1[Estimação (horas)],Table1[Tabela],Plano_V1!E360,Table1[Campo],Plano_V1!F360)</f>
        <v>0.6</v>
      </c>
      <c r="J360" s="84">
        <f t="shared" si="30"/>
        <v>7.4999999999999997E-2</v>
      </c>
      <c r="K360" s="89" t="s">
        <v>39</v>
      </c>
      <c r="L360" s="90">
        <f t="shared" si="31"/>
        <v>7.4999999999999997E-2</v>
      </c>
      <c r="M360" s="78"/>
      <c r="N360" s="78"/>
      <c r="O360" s="78"/>
      <c r="P360" s="78"/>
      <c r="Q360" s="78"/>
      <c r="R360" s="78"/>
      <c r="S360" s="78"/>
      <c r="T360" s="78"/>
      <c r="U360" s="78"/>
      <c r="V360" s="78"/>
      <c r="W360" s="78"/>
      <c r="X360" s="78"/>
      <c r="Y360" s="78"/>
      <c r="Z360" s="78"/>
      <c r="AA360" s="78"/>
      <c r="AB360" s="78"/>
      <c r="AC360" s="78"/>
      <c r="AD360" s="78"/>
      <c r="AE360" s="78"/>
      <c r="AF360" s="78"/>
      <c r="AG360" s="78"/>
      <c r="AH360" s="78"/>
      <c r="AI360" s="78"/>
      <c r="AJ360" s="78"/>
      <c r="AK360" s="78"/>
      <c r="AL360" s="78"/>
      <c r="AM360" s="78"/>
      <c r="AN360" s="78"/>
      <c r="AO360" s="78"/>
      <c r="AP360" s="78"/>
      <c r="AQ360" s="78"/>
      <c r="AR360" s="78"/>
      <c r="AS360" s="78"/>
      <c r="AT360" s="91"/>
      <c r="AU360" s="78"/>
      <c r="AV360" s="78"/>
      <c r="AW360" s="78"/>
      <c r="AX360" s="78"/>
      <c r="AY360" s="78"/>
      <c r="AZ360" s="78"/>
      <c r="BA360" s="78"/>
      <c r="BB360" s="78"/>
      <c r="BC360" s="78"/>
      <c r="BD360" s="78"/>
      <c r="BE360" s="78"/>
      <c r="BF360" s="78"/>
      <c r="BG360" s="78"/>
      <c r="BH360" s="78"/>
      <c r="BI360" s="78"/>
      <c r="BJ360" s="78"/>
      <c r="BK360" s="78"/>
      <c r="BL360" s="78"/>
      <c r="BM360" s="78"/>
      <c r="BN360" s="78"/>
      <c r="BO360" s="78"/>
      <c r="BP360" s="78"/>
      <c r="BQ360" s="78"/>
      <c r="BR360" s="78"/>
      <c r="BS360" s="78"/>
      <c r="BT360" s="78"/>
      <c r="BU360" s="78"/>
      <c r="BV360" s="78"/>
      <c r="BW360" s="78"/>
      <c r="BX360" s="78"/>
      <c r="BY360" s="78"/>
      <c r="BZ360" s="78"/>
      <c r="CA360" s="78"/>
      <c r="CB360" s="78"/>
      <c r="CC360" s="78"/>
      <c r="CD360" s="78"/>
      <c r="CE360" s="78"/>
      <c r="CF360" s="78"/>
      <c r="CG360" s="78"/>
      <c r="CH360" s="78"/>
      <c r="CI360" s="78"/>
      <c r="CJ360" s="78"/>
      <c r="CK360" s="78"/>
      <c r="CL360" s="78"/>
      <c r="CM360" s="78"/>
      <c r="CN360" s="78"/>
      <c r="CO360" s="78"/>
      <c r="CP360" s="78"/>
      <c r="CQ360" s="78"/>
      <c r="CR360" s="78"/>
      <c r="CS360" s="78"/>
      <c r="CT360" s="78"/>
      <c r="CU360" s="78"/>
      <c r="CV360" s="78"/>
      <c r="CW360" s="78"/>
      <c r="CX360" s="78"/>
      <c r="CY360" s="78"/>
      <c r="CZ360" s="78"/>
      <c r="DA360" s="78"/>
      <c r="DB360" s="78"/>
      <c r="DC360" s="78"/>
      <c r="DD360" s="78"/>
      <c r="DE360" s="78"/>
      <c r="DF360" s="78"/>
      <c r="DG360" s="78"/>
      <c r="DH360" s="78"/>
      <c r="DI360" s="78"/>
      <c r="DJ360" s="78"/>
      <c r="DK360" s="78"/>
      <c r="DL360" s="78"/>
      <c r="DM360" s="78"/>
      <c r="DN360" s="78"/>
      <c r="DO360" s="78"/>
      <c r="DP360" s="78"/>
      <c r="DQ360" s="78"/>
      <c r="DR360" s="78"/>
      <c r="DS360" s="78"/>
      <c r="DT360" s="78"/>
      <c r="DU360" s="78"/>
      <c r="DV360" s="78"/>
      <c r="DW360" s="78"/>
      <c r="DX360" s="78"/>
      <c r="DY360" s="78"/>
      <c r="DZ360" s="78"/>
      <c r="EA360" s="78"/>
      <c r="EB360" s="78"/>
      <c r="EC360" s="78"/>
      <c r="ED360" s="78"/>
      <c r="EE360" s="78"/>
      <c r="EF360" s="78"/>
      <c r="EG360" s="78"/>
      <c r="EH360" s="78"/>
      <c r="EI360" s="91"/>
      <c r="EJ360" s="91"/>
      <c r="EK360" s="91"/>
      <c r="EL360" s="91"/>
      <c r="EM360" s="91"/>
      <c r="EN360" s="91"/>
      <c r="EO360" s="91"/>
      <c r="EP360" s="78"/>
      <c r="EQ360" s="78"/>
      <c r="ER360" s="78"/>
      <c r="ES360" s="78"/>
      <c r="ET360" s="78"/>
      <c r="EU360" s="78"/>
      <c r="EV360" s="78"/>
      <c r="EW360" s="78"/>
      <c r="EX360" s="78"/>
      <c r="EY360" s="78"/>
      <c r="EZ360" s="78"/>
      <c r="FA360" s="78"/>
      <c r="FB360" s="78"/>
      <c r="FC360" s="78"/>
      <c r="FD360" s="78"/>
      <c r="FE360" s="78"/>
      <c r="FF360" s="78"/>
      <c r="FG360" s="78"/>
      <c r="FH360" s="78"/>
      <c r="FI360" s="78"/>
      <c r="FJ360" s="78"/>
      <c r="FK360" s="78"/>
    </row>
    <row r="361" spans="1:167" outlineLevel="1">
      <c r="A361" s="29" t="str">
        <f t="shared" si="32"/>
        <v>Re-testesn.a.</v>
      </c>
      <c r="B361" s="67" t="s">
        <v>26</v>
      </c>
      <c r="C361" s="68" t="s">
        <v>181</v>
      </c>
      <c r="D361" s="64" t="s">
        <v>40</v>
      </c>
      <c r="E361" s="66" t="s">
        <v>53</v>
      </c>
      <c r="F361" s="64" t="s">
        <v>38</v>
      </c>
      <c r="G361" s="64" t="s">
        <v>309</v>
      </c>
      <c r="H361" s="64"/>
      <c r="I361" s="84">
        <f>J361*8</f>
        <v>16</v>
      </c>
      <c r="J361" s="84">
        <v>2</v>
      </c>
      <c r="K361" s="87"/>
      <c r="L361" s="90">
        <f t="shared" si="31"/>
        <v>2</v>
      </c>
      <c r="M361" s="78"/>
      <c r="N361" s="78"/>
      <c r="O361" s="78"/>
      <c r="P361" s="78"/>
      <c r="Q361" s="78"/>
      <c r="R361" s="78"/>
      <c r="S361" s="78"/>
      <c r="T361" s="78"/>
      <c r="U361" s="78"/>
      <c r="V361" s="78"/>
      <c r="W361" s="78"/>
      <c r="X361" s="78"/>
      <c r="Y361" s="78"/>
      <c r="Z361" s="78"/>
      <c r="AA361" s="78"/>
      <c r="AB361" s="78"/>
      <c r="AC361" s="78"/>
      <c r="AD361" s="78"/>
      <c r="AE361" s="78"/>
      <c r="AF361" s="78"/>
      <c r="AG361" s="78"/>
      <c r="AH361" s="78"/>
      <c r="AI361" s="78"/>
      <c r="AJ361" s="78"/>
      <c r="AK361" s="78"/>
      <c r="AL361" s="78"/>
      <c r="AM361" s="78"/>
      <c r="AN361" s="78"/>
      <c r="AO361" s="78"/>
      <c r="AP361" s="78"/>
      <c r="AQ361" s="78"/>
      <c r="AR361" s="78"/>
      <c r="AS361" s="78"/>
      <c r="AT361" s="91"/>
      <c r="AU361" s="78"/>
      <c r="AV361" s="78"/>
      <c r="AW361" s="78"/>
      <c r="AX361" s="78"/>
      <c r="AY361" s="78"/>
      <c r="AZ361" s="78"/>
      <c r="BA361" s="78"/>
      <c r="BB361" s="78"/>
      <c r="BC361" s="78"/>
      <c r="BD361" s="78"/>
      <c r="BE361" s="78"/>
      <c r="BF361" s="78"/>
      <c r="BG361" s="78"/>
      <c r="BH361" s="78"/>
      <c r="BI361" s="78"/>
      <c r="BJ361" s="78"/>
      <c r="BK361" s="78"/>
      <c r="BL361" s="78"/>
      <c r="BM361" s="78"/>
      <c r="BN361" s="78"/>
      <c r="BO361" s="78"/>
      <c r="BP361" s="78"/>
      <c r="BQ361" s="78"/>
      <c r="BR361" s="78"/>
      <c r="BS361" s="78"/>
      <c r="BT361" s="78"/>
      <c r="BU361" s="78"/>
      <c r="BV361" s="78"/>
      <c r="BW361" s="78"/>
      <c r="BX361" s="78"/>
      <c r="BY361" s="78"/>
      <c r="BZ361" s="78"/>
      <c r="CA361" s="78"/>
      <c r="CB361" s="78"/>
      <c r="CC361" s="78"/>
      <c r="CD361" s="78"/>
      <c r="CE361" s="78"/>
      <c r="CF361" s="78"/>
      <c r="CG361" s="78"/>
      <c r="CH361" s="78"/>
      <c r="CI361" s="78"/>
      <c r="CJ361" s="78"/>
      <c r="CK361" s="78"/>
      <c r="CL361" s="78"/>
      <c r="CM361" s="78"/>
      <c r="CN361" s="78"/>
      <c r="CO361" s="78"/>
      <c r="CP361" s="78"/>
      <c r="CQ361" s="78"/>
      <c r="CR361" s="78"/>
      <c r="CS361" s="78"/>
      <c r="CT361" s="78"/>
      <c r="CU361" s="78"/>
      <c r="CV361" s="78"/>
      <c r="CW361" s="78"/>
      <c r="CX361" s="78"/>
      <c r="CY361" s="78"/>
      <c r="CZ361" s="78"/>
      <c r="DA361" s="78"/>
      <c r="DB361" s="78"/>
      <c r="DC361" s="78"/>
      <c r="DD361" s="78"/>
      <c r="DE361" s="78"/>
      <c r="DF361" s="78"/>
      <c r="DG361" s="78"/>
      <c r="DH361" s="78"/>
      <c r="DI361" s="78"/>
      <c r="DJ361" s="78"/>
      <c r="DK361" s="78"/>
      <c r="DL361" s="78"/>
      <c r="DM361" s="78"/>
      <c r="DN361" s="78"/>
      <c r="DO361" s="78"/>
      <c r="DP361" s="78"/>
      <c r="DQ361" s="78"/>
      <c r="DR361" s="78"/>
      <c r="DS361" s="78"/>
      <c r="DT361" s="78"/>
      <c r="DU361" s="78"/>
      <c r="DV361" s="78"/>
      <c r="DW361" s="78"/>
      <c r="DX361" s="78"/>
      <c r="DY361" s="78"/>
      <c r="DZ361" s="78"/>
      <c r="EA361" s="78"/>
      <c r="EB361" s="78"/>
      <c r="EC361" s="78"/>
      <c r="ED361" s="78"/>
      <c r="EE361" s="78"/>
      <c r="EF361" s="78"/>
      <c r="EG361" s="78"/>
      <c r="EH361" s="78"/>
      <c r="EI361" s="91"/>
      <c r="EJ361" s="91"/>
      <c r="EK361" s="91"/>
      <c r="EL361" s="91"/>
      <c r="EM361" s="91"/>
      <c r="EN361" s="91"/>
      <c r="EO361" s="91"/>
      <c r="EP361" s="78"/>
      <c r="EQ361" s="78"/>
      <c r="ER361" s="78"/>
      <c r="ES361" s="78"/>
      <c r="ET361" s="78"/>
      <c r="EU361" s="78"/>
      <c r="EV361" s="78"/>
      <c r="EW361" s="78"/>
      <c r="EX361" s="78"/>
      <c r="EY361" s="78"/>
      <c r="EZ361" s="78"/>
      <c r="FA361" s="78"/>
      <c r="FB361" s="78"/>
      <c r="FC361" s="78"/>
      <c r="FD361" s="78"/>
      <c r="FE361" s="78"/>
      <c r="FF361" s="78"/>
      <c r="FG361" s="78"/>
      <c r="FH361" s="78"/>
      <c r="FI361" s="78"/>
      <c r="FJ361" s="78"/>
      <c r="FK361" s="78"/>
    </row>
    <row r="362" spans="1:167">
      <c r="A362" s="104" t="str">
        <f t="shared" si="32"/>
        <v/>
      </c>
      <c r="B362" s="63" t="s">
        <v>26</v>
      </c>
      <c r="C362" s="96" t="s">
        <v>310</v>
      </c>
      <c r="D362" s="96"/>
      <c r="E362" s="103"/>
      <c r="F362" s="96"/>
      <c r="G362" s="96"/>
      <c r="H362" s="96"/>
      <c r="I362" s="99">
        <f>SUM(I363:I446)</f>
        <v>673.31250000000091</v>
      </c>
      <c r="J362" s="99">
        <f>ROUNDUP(I362/8,0)</f>
        <v>85</v>
      </c>
      <c r="K362" s="87"/>
      <c r="L362" s="90">
        <f t="shared" si="31"/>
        <v>-15</v>
      </c>
      <c r="M362" s="78"/>
      <c r="N362" s="78"/>
      <c r="O362" s="78"/>
      <c r="P362" s="78"/>
      <c r="Q362" s="78"/>
      <c r="R362" s="78"/>
      <c r="S362" s="78"/>
      <c r="T362" s="78"/>
      <c r="U362" s="78"/>
      <c r="V362" s="78"/>
      <c r="W362" s="78"/>
      <c r="X362" s="78"/>
      <c r="Y362" s="78"/>
      <c r="Z362" s="78"/>
      <c r="AA362" s="78"/>
      <c r="AB362" s="78"/>
      <c r="AC362" s="78"/>
      <c r="AD362" s="78"/>
      <c r="AE362" s="78"/>
      <c r="AF362" s="78"/>
      <c r="AG362" s="78"/>
      <c r="AH362" s="78"/>
      <c r="AI362" s="78"/>
      <c r="AJ362" s="78"/>
      <c r="AK362" s="78"/>
      <c r="AL362" s="78"/>
      <c r="AM362" s="78"/>
      <c r="AN362" s="78"/>
      <c r="AO362" s="78"/>
      <c r="AP362" s="78"/>
      <c r="AQ362" s="78"/>
      <c r="AR362" s="78"/>
      <c r="AS362" s="78"/>
      <c r="AT362" s="91"/>
      <c r="AU362" s="78"/>
      <c r="AV362" s="78"/>
      <c r="AW362" s="78"/>
      <c r="AX362" s="78"/>
      <c r="AY362" s="78"/>
      <c r="AZ362" s="78"/>
      <c r="BA362" s="78"/>
      <c r="BB362" s="78"/>
      <c r="BC362" s="78"/>
      <c r="BD362" s="78"/>
      <c r="BE362" s="78"/>
      <c r="BF362" s="78"/>
      <c r="BG362" s="78"/>
      <c r="BH362" s="78"/>
      <c r="BI362" s="78"/>
      <c r="BJ362" s="78"/>
      <c r="BK362" s="78"/>
      <c r="BL362" s="78"/>
      <c r="BM362" s="78"/>
      <c r="BN362" s="78"/>
      <c r="BO362" s="78"/>
      <c r="BP362" s="78"/>
      <c r="BQ362" s="78">
        <v>1</v>
      </c>
      <c r="BR362" s="78">
        <v>1</v>
      </c>
      <c r="BS362" s="78">
        <v>1</v>
      </c>
      <c r="BT362" s="78">
        <v>0.5</v>
      </c>
      <c r="BU362" s="78">
        <v>0.5</v>
      </c>
      <c r="BV362" s="78">
        <v>1</v>
      </c>
      <c r="BW362" s="78">
        <v>1</v>
      </c>
      <c r="BX362" s="78">
        <v>1</v>
      </c>
      <c r="BY362" s="78">
        <v>0.5</v>
      </c>
      <c r="BZ362" s="78">
        <v>0.5</v>
      </c>
      <c r="CA362" s="78">
        <v>1</v>
      </c>
      <c r="CB362" s="78">
        <v>1</v>
      </c>
      <c r="CC362" s="78">
        <v>1</v>
      </c>
      <c r="CD362" s="78">
        <v>0.5</v>
      </c>
      <c r="CE362" s="78">
        <v>0.5</v>
      </c>
      <c r="CF362" s="78">
        <v>1</v>
      </c>
      <c r="CG362" s="78">
        <v>1</v>
      </c>
      <c r="CH362" s="78">
        <v>1</v>
      </c>
      <c r="CI362" s="78">
        <v>0.5</v>
      </c>
      <c r="CJ362" s="78">
        <v>0.5</v>
      </c>
      <c r="CK362" s="78">
        <v>1</v>
      </c>
      <c r="CL362" s="78">
        <v>1</v>
      </c>
      <c r="CM362" s="78">
        <v>1</v>
      </c>
      <c r="CN362" s="78">
        <v>0.5</v>
      </c>
      <c r="CO362" s="78">
        <v>0.5</v>
      </c>
      <c r="CP362" s="78">
        <v>1</v>
      </c>
      <c r="CQ362" s="78">
        <v>1</v>
      </c>
      <c r="CR362" s="78">
        <v>1</v>
      </c>
      <c r="CS362" s="78">
        <v>0.5</v>
      </c>
      <c r="CT362" s="78">
        <v>0.5</v>
      </c>
      <c r="CU362" s="78">
        <v>1</v>
      </c>
      <c r="CV362" s="78">
        <v>3</v>
      </c>
      <c r="CW362" s="78">
        <v>3</v>
      </c>
      <c r="CX362" s="78">
        <v>2.5</v>
      </c>
      <c r="CY362" s="78">
        <v>2.5</v>
      </c>
      <c r="CZ362" s="78">
        <v>3</v>
      </c>
      <c r="DA362" s="78">
        <v>3</v>
      </c>
      <c r="DB362" s="78">
        <v>3</v>
      </c>
      <c r="DC362" s="78">
        <v>2.5</v>
      </c>
      <c r="DD362" s="78">
        <v>3</v>
      </c>
      <c r="DE362" s="78">
        <v>3</v>
      </c>
      <c r="DF362" s="78">
        <v>3</v>
      </c>
      <c r="DG362" s="78">
        <v>3</v>
      </c>
      <c r="DH362" s="78">
        <v>2.5</v>
      </c>
      <c r="DI362" s="78">
        <v>3</v>
      </c>
      <c r="DJ362" s="78">
        <v>3</v>
      </c>
      <c r="DK362" s="78">
        <v>3</v>
      </c>
      <c r="DL362" s="78">
        <v>3</v>
      </c>
      <c r="DM362" s="78">
        <v>2.5</v>
      </c>
      <c r="DN362" s="78">
        <v>2</v>
      </c>
      <c r="DO362" s="78">
        <v>3</v>
      </c>
      <c r="DP362" s="78">
        <v>3</v>
      </c>
      <c r="DQ362" s="78">
        <v>3</v>
      </c>
      <c r="DR362" s="78">
        <v>2.5</v>
      </c>
      <c r="DS362" s="78">
        <v>2</v>
      </c>
      <c r="DT362" s="78">
        <v>2</v>
      </c>
      <c r="DU362" s="78">
        <v>2</v>
      </c>
      <c r="DV362" s="78">
        <v>2</v>
      </c>
      <c r="DW362" s="78">
        <v>2</v>
      </c>
      <c r="DX362" s="78"/>
      <c r="DY362" s="78"/>
      <c r="DZ362" s="78"/>
      <c r="EA362" s="78"/>
      <c r="EB362" s="78"/>
      <c r="EC362" s="78"/>
      <c r="ED362" s="78"/>
      <c r="EE362" s="78"/>
      <c r="EF362" s="78"/>
      <c r="EG362" s="78"/>
      <c r="EH362" s="78"/>
      <c r="EI362" s="91"/>
      <c r="EJ362" s="91"/>
      <c r="EK362" s="91"/>
      <c r="EL362" s="91"/>
      <c r="EM362" s="91"/>
      <c r="EN362" s="91"/>
      <c r="EO362" s="91"/>
      <c r="EP362" s="78"/>
      <c r="EQ362" s="78"/>
      <c r="ER362" s="78"/>
      <c r="ES362" s="78"/>
      <c r="ET362" s="78"/>
      <c r="EU362" s="78"/>
      <c r="EV362" s="78"/>
      <c r="EW362" s="78"/>
      <c r="EX362" s="78"/>
      <c r="EY362" s="78"/>
      <c r="EZ362" s="78"/>
      <c r="FA362" s="78"/>
      <c r="FB362" s="78"/>
      <c r="FC362" s="78"/>
      <c r="FD362" s="78"/>
      <c r="FE362" s="78"/>
      <c r="FF362" s="78"/>
      <c r="FG362" s="78"/>
      <c r="FH362" s="78"/>
      <c r="FI362" s="78"/>
      <c r="FJ362" s="78"/>
      <c r="FK362" s="78"/>
    </row>
    <row r="363" spans="1:167" hidden="1" outlineLevel="1">
      <c r="A363" s="29" t="str">
        <f t="shared" si="32"/>
        <v>modesg_out_bens_imoveisn.a.</v>
      </c>
      <c r="B363" s="67" t="s">
        <v>26</v>
      </c>
      <c r="C363" s="68" t="s">
        <v>310</v>
      </c>
      <c r="D363" s="64" t="s">
        <v>36</v>
      </c>
      <c r="E363" s="66" t="s">
        <v>311</v>
      </c>
      <c r="F363" s="64" t="s">
        <v>38</v>
      </c>
      <c r="G363" s="64" t="str">
        <f>INDEX(Auxiliar!$B$16:$B$24,MATCH(Plano_V1!H363,Auxiliar!$C$16:$C$24,0),1)</f>
        <v>1. Concluído</v>
      </c>
      <c r="H363" s="64">
        <f>VLOOKUP(A363,'Aux - pivots1'!$A:$B,2,0)</f>
        <v>1</v>
      </c>
      <c r="I363" s="84">
        <f>SUMIFS(Table1[Estimação (horas)],Table1[Tabela],Plano_V1!E363,Table1[Campo],Plano_V1!F363)</f>
        <v>8</v>
      </c>
      <c r="J363" s="84">
        <f t="shared" ref="J363:J426" si="33">I363/8</f>
        <v>1</v>
      </c>
      <c r="K363" s="87" t="s">
        <v>312</v>
      </c>
      <c r="L363" s="90">
        <f t="shared" si="31"/>
        <v>1</v>
      </c>
      <c r="M363" s="78"/>
      <c r="N363" s="78"/>
      <c r="O363" s="78"/>
      <c r="P363" s="78"/>
      <c r="Q363" s="78"/>
      <c r="R363" s="78"/>
      <c r="S363" s="78"/>
      <c r="T363" s="78"/>
      <c r="U363" s="78"/>
      <c r="V363" s="78"/>
      <c r="W363" s="78"/>
      <c r="X363" s="78"/>
      <c r="Y363" s="78"/>
      <c r="Z363" s="78"/>
      <c r="AA363" s="78"/>
      <c r="AB363" s="78"/>
      <c r="AC363" s="78"/>
      <c r="AD363" s="78"/>
      <c r="AE363" s="78"/>
      <c r="AF363" s="78"/>
      <c r="AG363" s="78"/>
      <c r="AH363" s="78"/>
      <c r="AI363" s="78"/>
      <c r="AJ363" s="78"/>
      <c r="AK363" s="78"/>
      <c r="AL363" s="78"/>
      <c r="AM363" s="78"/>
      <c r="AN363" s="78"/>
      <c r="AO363" s="78"/>
      <c r="AP363" s="78"/>
      <c r="AQ363" s="78"/>
      <c r="AR363" s="78"/>
      <c r="AS363" s="78"/>
      <c r="AT363" s="91"/>
      <c r="AU363" s="78"/>
      <c r="AV363" s="78"/>
      <c r="AW363" s="78"/>
      <c r="AX363" s="78"/>
      <c r="AY363" s="78"/>
      <c r="AZ363" s="78"/>
      <c r="BA363" s="78"/>
      <c r="BB363" s="78"/>
      <c r="BC363" s="78"/>
      <c r="BD363" s="78"/>
      <c r="BE363" s="78"/>
      <c r="BF363" s="78"/>
      <c r="BG363" s="78"/>
      <c r="BH363" s="78"/>
      <c r="BI363" s="78"/>
      <c r="BJ363" s="78"/>
      <c r="BK363" s="78"/>
      <c r="BL363" s="78"/>
      <c r="BM363" s="78"/>
      <c r="BN363" s="78"/>
      <c r="BO363" s="78"/>
      <c r="BP363" s="78"/>
      <c r="BQ363" s="78"/>
      <c r="BR363" s="78"/>
      <c r="BS363" s="78"/>
      <c r="BT363" s="78"/>
      <c r="BU363" s="78"/>
      <c r="BV363" s="78"/>
      <c r="BW363" s="78"/>
      <c r="BX363" s="78"/>
      <c r="BY363" s="78"/>
      <c r="BZ363" s="78"/>
      <c r="CA363" s="78"/>
      <c r="CB363" s="78"/>
      <c r="CC363" s="78"/>
      <c r="CD363" s="78"/>
      <c r="CE363" s="78"/>
      <c r="CF363" s="78"/>
      <c r="CG363" s="78"/>
      <c r="CH363" s="78"/>
      <c r="CI363" s="78"/>
      <c r="CJ363" s="78"/>
      <c r="CK363" s="78"/>
      <c r="CL363" s="78"/>
      <c r="CM363" s="78"/>
      <c r="CN363" s="78"/>
      <c r="CO363" s="78"/>
      <c r="CP363" s="78"/>
      <c r="CQ363" s="78"/>
      <c r="CR363" s="78"/>
      <c r="CS363" s="78"/>
      <c r="CT363" s="78"/>
      <c r="CU363" s="78"/>
      <c r="CV363" s="78"/>
      <c r="CW363" s="78"/>
      <c r="CX363" s="78"/>
      <c r="CY363" s="78"/>
      <c r="CZ363" s="78"/>
      <c r="DA363" s="78"/>
      <c r="DB363" s="78"/>
      <c r="DC363" s="78"/>
      <c r="DD363" s="78"/>
      <c r="DE363" s="78"/>
      <c r="DF363" s="78"/>
      <c r="DG363" s="78"/>
      <c r="DH363" s="78"/>
      <c r="DI363" s="78"/>
      <c r="DJ363" s="78"/>
      <c r="DK363" s="78"/>
      <c r="DL363" s="78"/>
      <c r="DM363" s="78"/>
      <c r="DN363" s="78"/>
      <c r="DO363" s="78"/>
      <c r="DP363" s="78"/>
      <c r="DQ363" s="78"/>
      <c r="DR363" s="78"/>
      <c r="DS363" s="78"/>
      <c r="DT363" s="78"/>
      <c r="DU363" s="78"/>
      <c r="DV363" s="78"/>
      <c r="DW363" s="78"/>
      <c r="DX363" s="78"/>
      <c r="DY363" s="78"/>
      <c r="DZ363" s="78"/>
      <c r="EA363" s="78"/>
      <c r="EB363" s="78"/>
      <c r="EC363" s="78"/>
      <c r="ED363" s="78"/>
      <c r="EE363" s="78"/>
      <c r="EF363" s="78"/>
      <c r="EG363" s="78"/>
      <c r="EH363" s="78"/>
      <c r="EI363" s="91"/>
      <c r="EJ363" s="91"/>
      <c r="EK363" s="91"/>
      <c r="EL363" s="91"/>
      <c r="EM363" s="91"/>
      <c r="EN363" s="91"/>
      <c r="EO363" s="91"/>
      <c r="EP363" s="78"/>
      <c r="EQ363" s="78"/>
      <c r="ER363" s="78"/>
      <c r="ES363" s="78"/>
      <c r="ET363" s="78"/>
      <c r="EU363" s="78"/>
      <c r="EV363" s="78"/>
      <c r="EW363" s="78"/>
      <c r="EX363" s="78"/>
      <c r="EY363" s="78"/>
      <c r="EZ363" s="78"/>
      <c r="FA363" s="78"/>
      <c r="FB363" s="78"/>
      <c r="FC363" s="78"/>
      <c r="FD363" s="78"/>
      <c r="FE363" s="78"/>
      <c r="FF363" s="78"/>
      <c r="FG363" s="78"/>
      <c r="FH363" s="78"/>
      <c r="FI363" s="78"/>
      <c r="FJ363" s="78"/>
      <c r="FK363" s="78"/>
    </row>
    <row r="364" spans="1:167" hidden="1" outlineLevel="1">
      <c r="A364" s="29" t="str">
        <f t="shared" si="32"/>
        <v>modesg_out_bens_imoveiscempbem</v>
      </c>
      <c r="B364" s="67" t="s">
        <v>26</v>
      </c>
      <c r="C364" s="68" t="s">
        <v>310</v>
      </c>
      <c r="D364" s="64" t="s">
        <v>40</v>
      </c>
      <c r="E364" s="66" t="s">
        <v>311</v>
      </c>
      <c r="F364" s="64" t="s">
        <v>313</v>
      </c>
      <c r="G364" s="64" t="str">
        <f>INDEX(Auxiliar!$B$16:$B$24,MATCH(Plano_V1!H364,Auxiliar!$C$16:$C$24,0),1)</f>
        <v>1. Concluído</v>
      </c>
      <c r="H364" s="64">
        <f>VLOOKUP(A364,'Aux - pivots1'!$A:$B,2,0)</f>
        <v>1</v>
      </c>
      <c r="I364" s="84">
        <f>SUMIFS(Table1[Estimação (horas)],Table1[Tabela],Plano_V1!E364,Table1[Campo],Plano_V1!F364)</f>
        <v>4.0999999999999996</v>
      </c>
      <c r="J364" s="84">
        <f t="shared" si="33"/>
        <v>0.51249999999999996</v>
      </c>
      <c r="K364" s="87" t="s">
        <v>312</v>
      </c>
      <c r="L364" s="90">
        <f t="shared" si="31"/>
        <v>0.51249999999999996</v>
      </c>
      <c r="M364" s="78"/>
      <c r="N364" s="78"/>
      <c r="O364" s="78"/>
      <c r="P364" s="78"/>
      <c r="Q364" s="78"/>
      <c r="R364" s="78"/>
      <c r="S364" s="78"/>
      <c r="T364" s="78"/>
      <c r="U364" s="78"/>
      <c r="V364" s="78"/>
      <c r="W364" s="78"/>
      <c r="X364" s="78"/>
      <c r="Y364" s="78"/>
      <c r="Z364" s="78"/>
      <c r="AA364" s="78"/>
      <c r="AB364" s="78"/>
      <c r="AC364" s="78"/>
      <c r="AD364" s="78"/>
      <c r="AE364" s="78"/>
      <c r="AF364" s="78"/>
      <c r="AG364" s="78"/>
      <c r="AH364" s="78"/>
      <c r="AI364" s="78"/>
      <c r="AJ364" s="78"/>
      <c r="AK364" s="78"/>
      <c r="AL364" s="78"/>
      <c r="AM364" s="78"/>
      <c r="AN364" s="78"/>
      <c r="AO364" s="78"/>
      <c r="AP364" s="78"/>
      <c r="AQ364" s="78"/>
      <c r="AR364" s="78"/>
      <c r="AS364" s="78"/>
      <c r="AT364" s="91"/>
      <c r="AU364" s="78"/>
      <c r="AV364" s="78"/>
      <c r="AW364" s="78"/>
      <c r="AX364" s="78"/>
      <c r="AY364" s="78"/>
      <c r="AZ364" s="78"/>
      <c r="BA364" s="78"/>
      <c r="BB364" s="78"/>
      <c r="BC364" s="78"/>
      <c r="BD364" s="78"/>
      <c r="BE364" s="78"/>
      <c r="BF364" s="78"/>
      <c r="BG364" s="78"/>
      <c r="BH364" s="78"/>
      <c r="BI364" s="78"/>
      <c r="BJ364" s="78"/>
      <c r="BK364" s="78"/>
      <c r="BL364" s="78"/>
      <c r="BM364" s="78"/>
      <c r="BN364" s="78"/>
      <c r="BO364" s="78"/>
      <c r="BP364" s="78"/>
      <c r="BQ364" s="78"/>
      <c r="BR364" s="78"/>
      <c r="BS364" s="78"/>
      <c r="BT364" s="78"/>
      <c r="BU364" s="78"/>
      <c r="BV364" s="78"/>
      <c r="BW364" s="78"/>
      <c r="BX364" s="78"/>
      <c r="BY364" s="78"/>
      <c r="BZ364" s="78"/>
      <c r="CA364" s="78"/>
      <c r="CB364" s="78"/>
      <c r="CC364" s="78"/>
      <c r="CD364" s="78"/>
      <c r="CE364" s="78"/>
      <c r="CF364" s="78"/>
      <c r="CG364" s="78"/>
      <c r="CH364" s="78"/>
      <c r="CI364" s="78"/>
      <c r="CJ364" s="78"/>
      <c r="CK364" s="78"/>
      <c r="CL364" s="78"/>
      <c r="CM364" s="78"/>
      <c r="CN364" s="78"/>
      <c r="CO364" s="78"/>
      <c r="CP364" s="78"/>
      <c r="CQ364" s="78"/>
      <c r="CR364" s="78"/>
      <c r="CS364" s="78"/>
      <c r="CT364" s="78"/>
      <c r="CU364" s="78"/>
      <c r="CV364" s="78"/>
      <c r="CW364" s="78"/>
      <c r="CX364" s="78"/>
      <c r="CY364" s="78"/>
      <c r="CZ364" s="78"/>
      <c r="DA364" s="78"/>
      <c r="DB364" s="78"/>
      <c r="DC364" s="78"/>
      <c r="DD364" s="78"/>
      <c r="DE364" s="78"/>
      <c r="DF364" s="78"/>
      <c r="DG364" s="78"/>
      <c r="DH364" s="78"/>
      <c r="DI364" s="78"/>
      <c r="DJ364" s="78"/>
      <c r="DK364" s="78"/>
      <c r="DL364" s="78"/>
      <c r="DM364" s="78"/>
      <c r="DN364" s="78"/>
      <c r="DO364" s="78"/>
      <c r="DP364" s="78"/>
      <c r="DQ364" s="78"/>
      <c r="DR364" s="78"/>
      <c r="DS364" s="78"/>
      <c r="DT364" s="78"/>
      <c r="DU364" s="78"/>
      <c r="DV364" s="78"/>
      <c r="DW364" s="78"/>
      <c r="DX364" s="78"/>
      <c r="DY364" s="78"/>
      <c r="DZ364" s="78"/>
      <c r="EA364" s="78"/>
      <c r="EB364" s="78"/>
      <c r="EC364" s="78"/>
      <c r="ED364" s="78"/>
      <c r="EE364" s="78"/>
      <c r="EF364" s="78"/>
      <c r="EG364" s="78"/>
      <c r="EH364" s="78"/>
      <c r="EI364" s="91"/>
      <c r="EJ364" s="91"/>
      <c r="EK364" s="91"/>
      <c r="EL364" s="91"/>
      <c r="EM364" s="91"/>
      <c r="EN364" s="91"/>
      <c r="EO364" s="91"/>
      <c r="EP364" s="78"/>
      <c r="EQ364" s="78"/>
      <c r="ER364" s="78"/>
      <c r="ES364" s="78"/>
      <c r="ET364" s="78"/>
      <c r="EU364" s="78"/>
      <c r="EV364" s="78"/>
      <c r="EW364" s="78"/>
      <c r="EX364" s="78"/>
      <c r="EY364" s="78"/>
      <c r="EZ364" s="78"/>
      <c r="FA364" s="78"/>
      <c r="FB364" s="78"/>
      <c r="FC364" s="78"/>
      <c r="FD364" s="78"/>
      <c r="FE364" s="78"/>
      <c r="FF364" s="78"/>
      <c r="FG364" s="78"/>
      <c r="FH364" s="78"/>
      <c r="FI364" s="78"/>
      <c r="FJ364" s="78"/>
      <c r="FK364" s="78"/>
    </row>
    <row r="365" spans="1:167" hidden="1" outlineLevel="1">
      <c r="A365" s="29" t="str">
        <f t="shared" si="32"/>
        <v>modesg_out_bens_imoveisckbalbem</v>
      </c>
      <c r="B365" s="67" t="s">
        <v>26</v>
      </c>
      <c r="C365" s="68" t="s">
        <v>310</v>
      </c>
      <c r="D365" s="64" t="s">
        <v>40</v>
      </c>
      <c r="E365" s="66" t="s">
        <v>311</v>
      </c>
      <c r="F365" s="64" t="s">
        <v>314</v>
      </c>
      <c r="G365" s="64" t="str">
        <f>INDEX(Auxiliar!$B$16:$B$24,MATCH(Plano_V1!H365,Auxiliar!$C$16:$C$24,0),1)</f>
        <v>1. Concluído</v>
      </c>
      <c r="H365" s="64">
        <f>VLOOKUP(A365,'Aux - pivots1'!$A:$B,2,0)</f>
        <v>1</v>
      </c>
      <c r="I365" s="84">
        <f>SUMIFS(Table1[Estimação (horas)],Table1[Tabela],Plano_V1!E365,Table1[Campo],Plano_V1!F365)</f>
        <v>4.0999999999999996</v>
      </c>
      <c r="J365" s="84">
        <f t="shared" si="33"/>
        <v>0.51249999999999996</v>
      </c>
      <c r="K365" s="87" t="s">
        <v>312</v>
      </c>
      <c r="L365" s="90">
        <f t="shared" si="31"/>
        <v>0.51249999999999996</v>
      </c>
      <c r="M365" s="78"/>
      <c r="N365" s="78"/>
      <c r="O365" s="78"/>
      <c r="P365" s="78"/>
      <c r="Q365" s="78"/>
      <c r="R365" s="78"/>
      <c r="S365" s="78"/>
      <c r="T365" s="78"/>
      <c r="U365" s="78"/>
      <c r="V365" s="78"/>
      <c r="W365" s="78"/>
      <c r="X365" s="78"/>
      <c r="Y365" s="78"/>
      <c r="Z365" s="78"/>
      <c r="AA365" s="78"/>
      <c r="AB365" s="78"/>
      <c r="AC365" s="78"/>
      <c r="AD365" s="78"/>
      <c r="AE365" s="78"/>
      <c r="AF365" s="78"/>
      <c r="AG365" s="78"/>
      <c r="AH365" s="78"/>
      <c r="AI365" s="78"/>
      <c r="AJ365" s="78"/>
      <c r="AK365" s="78"/>
      <c r="AL365" s="78"/>
      <c r="AM365" s="78"/>
      <c r="AN365" s="78"/>
      <c r="AO365" s="78"/>
      <c r="AP365" s="78"/>
      <c r="AQ365" s="78"/>
      <c r="AR365" s="78"/>
      <c r="AS365" s="78"/>
      <c r="AT365" s="91"/>
      <c r="AU365" s="78"/>
      <c r="AV365" s="78"/>
      <c r="AW365" s="78"/>
      <c r="AX365" s="78"/>
      <c r="AY365" s="78"/>
      <c r="AZ365" s="78"/>
      <c r="BA365" s="78"/>
      <c r="BB365" s="78"/>
      <c r="BC365" s="78"/>
      <c r="BD365" s="78"/>
      <c r="BE365" s="78"/>
      <c r="BF365" s="78"/>
      <c r="BG365" s="78"/>
      <c r="BH365" s="78"/>
      <c r="BI365" s="78"/>
      <c r="BJ365" s="78"/>
      <c r="BK365" s="78"/>
      <c r="BL365" s="78"/>
      <c r="BM365" s="78"/>
      <c r="BN365" s="78"/>
      <c r="BO365" s="78"/>
      <c r="BP365" s="78"/>
      <c r="BQ365" s="78"/>
      <c r="BR365" s="78"/>
      <c r="BS365" s="78"/>
      <c r="BT365" s="78"/>
      <c r="BU365" s="78"/>
      <c r="BV365" s="78"/>
      <c r="BW365" s="78"/>
      <c r="BX365" s="78"/>
      <c r="BY365" s="78"/>
      <c r="BZ365" s="78"/>
      <c r="CA365" s="78"/>
      <c r="CB365" s="78"/>
      <c r="CC365" s="78"/>
      <c r="CD365" s="78"/>
      <c r="CE365" s="78"/>
      <c r="CF365" s="78"/>
      <c r="CG365" s="78"/>
      <c r="CH365" s="78"/>
      <c r="CI365" s="78"/>
      <c r="CJ365" s="78"/>
      <c r="CK365" s="78"/>
      <c r="CL365" s="78"/>
      <c r="CM365" s="78"/>
      <c r="CN365" s="78"/>
      <c r="CO365" s="78"/>
      <c r="CP365" s="78"/>
      <c r="CQ365" s="78"/>
      <c r="CR365" s="78"/>
      <c r="CS365" s="78"/>
      <c r="CT365" s="78"/>
      <c r="CU365" s="78"/>
      <c r="CV365" s="78"/>
      <c r="CW365" s="78"/>
      <c r="CX365" s="78"/>
      <c r="CY365" s="78"/>
      <c r="CZ365" s="78"/>
      <c r="DA365" s="78"/>
      <c r="DB365" s="78"/>
      <c r="DC365" s="78"/>
      <c r="DD365" s="78"/>
      <c r="DE365" s="78"/>
      <c r="DF365" s="78"/>
      <c r="DG365" s="78"/>
      <c r="DH365" s="78"/>
      <c r="DI365" s="78"/>
      <c r="DJ365" s="78"/>
      <c r="DK365" s="78"/>
      <c r="DL365" s="78"/>
      <c r="DM365" s="78"/>
      <c r="DN365" s="78"/>
      <c r="DO365" s="78"/>
      <c r="DP365" s="78"/>
      <c r="DQ365" s="78"/>
      <c r="DR365" s="78"/>
      <c r="DS365" s="78"/>
      <c r="DT365" s="78"/>
      <c r="DU365" s="78"/>
      <c r="DV365" s="78"/>
      <c r="DW365" s="78"/>
      <c r="DX365" s="78"/>
      <c r="DY365" s="78"/>
      <c r="DZ365" s="78"/>
      <c r="EA365" s="78"/>
      <c r="EB365" s="78"/>
      <c r="EC365" s="78"/>
      <c r="ED365" s="78"/>
      <c r="EE365" s="78"/>
      <c r="EF365" s="78"/>
      <c r="EG365" s="78"/>
      <c r="EH365" s="78"/>
      <c r="EI365" s="91"/>
      <c r="EJ365" s="91"/>
      <c r="EK365" s="91"/>
      <c r="EL365" s="91"/>
      <c r="EM365" s="91"/>
      <c r="EN365" s="91"/>
      <c r="EO365" s="91"/>
      <c r="EP365" s="78"/>
      <c r="EQ365" s="78"/>
      <c r="ER365" s="78"/>
      <c r="ES365" s="78"/>
      <c r="ET365" s="78"/>
      <c r="EU365" s="78"/>
      <c r="EV365" s="78"/>
      <c r="EW365" s="78"/>
      <c r="EX365" s="78"/>
      <c r="EY365" s="78"/>
      <c r="EZ365" s="78"/>
      <c r="FA365" s="78"/>
      <c r="FB365" s="78"/>
      <c r="FC365" s="78"/>
      <c r="FD365" s="78"/>
      <c r="FE365" s="78"/>
      <c r="FF365" s="78"/>
      <c r="FG365" s="78"/>
      <c r="FH365" s="78"/>
      <c r="FI365" s="78"/>
      <c r="FJ365" s="78"/>
      <c r="FK365" s="78"/>
    </row>
    <row r="366" spans="1:167" hidden="1" outlineLevel="1">
      <c r="A366" s="29" t="str">
        <f t="shared" si="32"/>
        <v>modesg_out_bens_imoveisckctabem</v>
      </c>
      <c r="B366" s="67" t="s">
        <v>26</v>
      </c>
      <c r="C366" s="68" t="s">
        <v>310</v>
      </c>
      <c r="D366" s="64" t="s">
        <v>40</v>
      </c>
      <c r="E366" s="66" t="s">
        <v>311</v>
      </c>
      <c r="F366" s="64" t="s">
        <v>315</v>
      </c>
      <c r="G366" s="64" t="str">
        <f>INDEX(Auxiliar!$B$16:$B$24,MATCH(Plano_V1!H366,Auxiliar!$C$16:$C$24,0),1)</f>
        <v>1. Concluído</v>
      </c>
      <c r="H366" s="64">
        <f>VLOOKUP(A366,'Aux - pivots1'!$A:$B,2,0)</f>
        <v>1</v>
      </c>
      <c r="I366" s="84">
        <f>SUMIFS(Table1[Estimação (horas)],Table1[Tabela],Plano_V1!E366,Table1[Campo],Plano_V1!F366)</f>
        <v>4.0999999999999996</v>
      </c>
      <c r="J366" s="84">
        <f t="shared" si="33"/>
        <v>0.51249999999999996</v>
      </c>
      <c r="K366" s="87" t="s">
        <v>312</v>
      </c>
      <c r="L366" s="90">
        <f t="shared" si="31"/>
        <v>0.51249999999999996</v>
      </c>
      <c r="M366" s="78"/>
      <c r="N366" s="78"/>
      <c r="O366" s="78"/>
      <c r="P366" s="78"/>
      <c r="Q366" s="78"/>
      <c r="R366" s="78"/>
      <c r="S366" s="78"/>
      <c r="T366" s="78"/>
      <c r="U366" s="78"/>
      <c r="V366" s="78"/>
      <c r="W366" s="78"/>
      <c r="X366" s="78"/>
      <c r="Y366" s="78"/>
      <c r="Z366" s="78"/>
      <c r="AA366" s="78"/>
      <c r="AB366" s="78"/>
      <c r="AC366" s="78"/>
      <c r="AD366" s="78"/>
      <c r="AE366" s="78"/>
      <c r="AF366" s="78"/>
      <c r="AG366" s="78"/>
      <c r="AH366" s="78"/>
      <c r="AI366" s="78"/>
      <c r="AJ366" s="78"/>
      <c r="AK366" s="78"/>
      <c r="AL366" s="78"/>
      <c r="AM366" s="78"/>
      <c r="AN366" s="78"/>
      <c r="AO366" s="78"/>
      <c r="AP366" s="78"/>
      <c r="AQ366" s="78"/>
      <c r="AR366" s="78"/>
      <c r="AS366" s="78"/>
      <c r="AT366" s="91"/>
      <c r="AU366" s="78"/>
      <c r="AV366" s="78"/>
      <c r="AW366" s="78"/>
      <c r="AX366" s="78"/>
      <c r="AY366" s="78"/>
      <c r="AZ366" s="78"/>
      <c r="BA366" s="78"/>
      <c r="BB366" s="78"/>
      <c r="BC366" s="78"/>
      <c r="BD366" s="78"/>
      <c r="BE366" s="78"/>
      <c r="BF366" s="78"/>
      <c r="BG366" s="78"/>
      <c r="BH366" s="78"/>
      <c r="BI366" s="78"/>
      <c r="BJ366" s="78"/>
      <c r="BK366" s="78"/>
      <c r="BL366" s="78"/>
      <c r="BM366" s="78"/>
      <c r="BN366" s="78"/>
      <c r="BO366" s="78"/>
      <c r="BP366" s="78"/>
      <c r="BQ366" s="78"/>
      <c r="BR366" s="78"/>
      <c r="BS366" s="78"/>
      <c r="BT366" s="78"/>
      <c r="BU366" s="78"/>
      <c r="BV366" s="78"/>
      <c r="BW366" s="78"/>
      <c r="BX366" s="78"/>
      <c r="BY366" s="78"/>
      <c r="BZ366" s="78"/>
      <c r="CA366" s="78"/>
      <c r="CB366" s="78"/>
      <c r="CC366" s="78"/>
      <c r="CD366" s="78"/>
      <c r="CE366" s="78"/>
      <c r="CF366" s="78"/>
      <c r="CG366" s="78"/>
      <c r="CH366" s="78"/>
      <c r="CI366" s="78"/>
      <c r="CJ366" s="78"/>
      <c r="CK366" s="78"/>
      <c r="CL366" s="78"/>
      <c r="CM366" s="78"/>
      <c r="CN366" s="78"/>
      <c r="CO366" s="78"/>
      <c r="CP366" s="78"/>
      <c r="CQ366" s="78"/>
      <c r="CR366" s="78"/>
      <c r="CS366" s="78"/>
      <c r="CT366" s="78"/>
      <c r="CU366" s="78"/>
      <c r="CV366" s="78"/>
      <c r="CW366" s="78"/>
      <c r="CX366" s="78"/>
      <c r="CY366" s="78"/>
      <c r="CZ366" s="78"/>
      <c r="DA366" s="78"/>
      <c r="DB366" s="78"/>
      <c r="DC366" s="78"/>
      <c r="DD366" s="78"/>
      <c r="DE366" s="78"/>
      <c r="DF366" s="78"/>
      <c r="DG366" s="78"/>
      <c r="DH366" s="78"/>
      <c r="DI366" s="78"/>
      <c r="DJ366" s="78"/>
      <c r="DK366" s="78"/>
      <c r="DL366" s="78"/>
      <c r="DM366" s="78"/>
      <c r="DN366" s="78"/>
      <c r="DO366" s="78"/>
      <c r="DP366" s="78"/>
      <c r="DQ366" s="78"/>
      <c r="DR366" s="78"/>
      <c r="DS366" s="78"/>
      <c r="DT366" s="78"/>
      <c r="DU366" s="78"/>
      <c r="DV366" s="78"/>
      <c r="DW366" s="78"/>
      <c r="DX366" s="78"/>
      <c r="DY366" s="78"/>
      <c r="DZ366" s="78"/>
      <c r="EA366" s="78"/>
      <c r="EB366" s="78"/>
      <c r="EC366" s="78"/>
      <c r="ED366" s="78"/>
      <c r="EE366" s="78"/>
      <c r="EF366" s="78"/>
      <c r="EG366" s="78"/>
      <c r="EH366" s="78"/>
      <c r="EI366" s="91"/>
      <c r="EJ366" s="91"/>
      <c r="EK366" s="91"/>
      <c r="EL366" s="91"/>
      <c r="EM366" s="91"/>
      <c r="EN366" s="91"/>
      <c r="EO366" s="91"/>
      <c r="EP366" s="78"/>
      <c r="EQ366" s="78"/>
      <c r="ER366" s="78"/>
      <c r="ES366" s="78"/>
      <c r="ET366" s="78"/>
      <c r="EU366" s="78"/>
      <c r="EV366" s="78"/>
      <c r="EW366" s="78"/>
      <c r="EX366" s="78"/>
      <c r="EY366" s="78"/>
      <c r="EZ366" s="78"/>
      <c r="FA366" s="78"/>
      <c r="FB366" s="78"/>
      <c r="FC366" s="78"/>
      <c r="FD366" s="78"/>
      <c r="FE366" s="78"/>
      <c r="FF366" s="78"/>
      <c r="FG366" s="78"/>
      <c r="FH366" s="78"/>
      <c r="FI366" s="78"/>
      <c r="FJ366" s="78"/>
      <c r="FK366" s="78"/>
    </row>
    <row r="367" spans="1:167" hidden="1" outlineLevel="1">
      <c r="A367" s="29" t="str">
        <f t="shared" si="32"/>
        <v>modesg_out_bens_imoveisckrefbem</v>
      </c>
      <c r="B367" s="67" t="s">
        <v>26</v>
      </c>
      <c r="C367" s="68" t="s">
        <v>310</v>
      </c>
      <c r="D367" s="64" t="s">
        <v>40</v>
      </c>
      <c r="E367" s="66" t="s">
        <v>311</v>
      </c>
      <c r="F367" s="64" t="s">
        <v>316</v>
      </c>
      <c r="G367" s="64" t="str">
        <f>INDEX(Auxiliar!$B$16:$B$24,MATCH(Plano_V1!H367,Auxiliar!$C$16:$C$24,0),1)</f>
        <v>1. Concluído</v>
      </c>
      <c r="H367" s="64">
        <f>VLOOKUP(A367,'Aux - pivots1'!$A:$B,2,0)</f>
        <v>1</v>
      </c>
      <c r="I367" s="84">
        <f>SUMIFS(Table1[Estimação (horas)],Table1[Tabela],Plano_V1!E367,Table1[Campo],Plano_V1!F367)</f>
        <v>4.0999999999999996</v>
      </c>
      <c r="J367" s="84">
        <f t="shared" si="33"/>
        <v>0.51249999999999996</v>
      </c>
      <c r="K367" s="87" t="s">
        <v>312</v>
      </c>
      <c r="L367" s="90">
        <f t="shared" si="31"/>
        <v>0.51249999999999996</v>
      </c>
      <c r="M367" s="78"/>
      <c r="N367" s="78"/>
      <c r="O367" s="78"/>
      <c r="P367" s="78"/>
      <c r="Q367" s="78"/>
      <c r="R367" s="78"/>
      <c r="S367" s="78"/>
      <c r="T367" s="78"/>
      <c r="U367" s="78"/>
      <c r="V367" s="78"/>
      <c r="W367" s="78"/>
      <c r="X367" s="78"/>
      <c r="Y367" s="78"/>
      <c r="Z367" s="78"/>
      <c r="AA367" s="78"/>
      <c r="AB367" s="78"/>
      <c r="AC367" s="78"/>
      <c r="AD367" s="78"/>
      <c r="AE367" s="78"/>
      <c r="AF367" s="78"/>
      <c r="AG367" s="78"/>
      <c r="AH367" s="78"/>
      <c r="AI367" s="78"/>
      <c r="AJ367" s="78"/>
      <c r="AK367" s="78"/>
      <c r="AL367" s="78"/>
      <c r="AM367" s="78"/>
      <c r="AN367" s="78"/>
      <c r="AO367" s="78"/>
      <c r="AP367" s="78"/>
      <c r="AQ367" s="78"/>
      <c r="AR367" s="78"/>
      <c r="AS367" s="78"/>
      <c r="AT367" s="91"/>
      <c r="AU367" s="78"/>
      <c r="AV367" s="78"/>
      <c r="AW367" s="78"/>
      <c r="AX367" s="78"/>
      <c r="AY367" s="78"/>
      <c r="AZ367" s="78"/>
      <c r="BA367" s="78"/>
      <c r="BB367" s="78"/>
      <c r="BC367" s="78"/>
      <c r="BD367" s="78"/>
      <c r="BE367" s="78"/>
      <c r="BF367" s="78"/>
      <c r="BG367" s="78"/>
      <c r="BH367" s="78"/>
      <c r="BI367" s="78"/>
      <c r="BJ367" s="78"/>
      <c r="BK367" s="78"/>
      <c r="BL367" s="78"/>
      <c r="BM367" s="78"/>
      <c r="BN367" s="78"/>
      <c r="BO367" s="78"/>
      <c r="BP367" s="78"/>
      <c r="BQ367" s="78"/>
      <c r="BR367" s="78"/>
      <c r="BS367" s="78"/>
      <c r="BT367" s="78"/>
      <c r="BU367" s="78"/>
      <c r="BV367" s="78"/>
      <c r="BW367" s="78"/>
      <c r="BX367" s="78"/>
      <c r="BY367" s="78"/>
      <c r="BZ367" s="78"/>
      <c r="CA367" s="78"/>
      <c r="CB367" s="78"/>
      <c r="CC367" s="78"/>
      <c r="CD367" s="78"/>
      <c r="CE367" s="78"/>
      <c r="CF367" s="78"/>
      <c r="CG367" s="78"/>
      <c r="CH367" s="78"/>
      <c r="CI367" s="78"/>
      <c r="CJ367" s="78"/>
      <c r="CK367" s="78"/>
      <c r="CL367" s="78"/>
      <c r="CM367" s="78"/>
      <c r="CN367" s="78"/>
      <c r="CO367" s="78"/>
      <c r="CP367" s="78"/>
      <c r="CQ367" s="78"/>
      <c r="CR367" s="78"/>
      <c r="CS367" s="78"/>
      <c r="CT367" s="78"/>
      <c r="CU367" s="78"/>
      <c r="CV367" s="78"/>
      <c r="CW367" s="78"/>
      <c r="CX367" s="78"/>
      <c r="CY367" s="78"/>
      <c r="CZ367" s="78"/>
      <c r="DA367" s="78"/>
      <c r="DB367" s="78"/>
      <c r="DC367" s="78"/>
      <c r="DD367" s="78"/>
      <c r="DE367" s="78"/>
      <c r="DF367" s="78"/>
      <c r="DG367" s="78"/>
      <c r="DH367" s="78"/>
      <c r="DI367" s="78"/>
      <c r="DJ367" s="78"/>
      <c r="DK367" s="78"/>
      <c r="DL367" s="78"/>
      <c r="DM367" s="78"/>
      <c r="DN367" s="78"/>
      <c r="DO367" s="78"/>
      <c r="DP367" s="78"/>
      <c r="DQ367" s="78"/>
      <c r="DR367" s="78"/>
      <c r="DS367" s="78"/>
      <c r="DT367" s="78"/>
      <c r="DU367" s="78"/>
      <c r="DV367" s="78"/>
      <c r="DW367" s="78"/>
      <c r="DX367" s="78"/>
      <c r="DY367" s="78"/>
      <c r="DZ367" s="78"/>
      <c r="EA367" s="78"/>
      <c r="EB367" s="78"/>
      <c r="EC367" s="78"/>
      <c r="ED367" s="78"/>
      <c r="EE367" s="78"/>
      <c r="EF367" s="78"/>
      <c r="EG367" s="78"/>
      <c r="EH367" s="78"/>
      <c r="EI367" s="91"/>
      <c r="EJ367" s="91"/>
      <c r="EK367" s="91"/>
      <c r="EL367" s="91"/>
      <c r="EM367" s="91"/>
      <c r="EN367" s="91"/>
      <c r="EO367" s="91"/>
      <c r="EP367" s="78"/>
      <c r="EQ367" s="78"/>
      <c r="ER367" s="78"/>
      <c r="ES367" s="78"/>
      <c r="ET367" s="78"/>
      <c r="EU367" s="78"/>
      <c r="EV367" s="78"/>
      <c r="EW367" s="78"/>
      <c r="EX367" s="78"/>
      <c r="EY367" s="78"/>
      <c r="EZ367" s="78"/>
      <c r="FA367" s="78"/>
      <c r="FB367" s="78"/>
      <c r="FC367" s="78"/>
      <c r="FD367" s="78"/>
      <c r="FE367" s="78"/>
      <c r="FF367" s="78"/>
      <c r="FG367" s="78"/>
      <c r="FH367" s="78"/>
      <c r="FI367" s="78"/>
      <c r="FJ367" s="78"/>
      <c r="FK367" s="78"/>
    </row>
    <row r="368" spans="1:167" hidden="1" outlineLevel="1">
      <c r="A368" s="29" t="str">
        <f t="shared" si="32"/>
        <v>modesg_out_bens_imoveisflg_rsc_fsc_agd</v>
      </c>
      <c r="B368" s="67" t="s">
        <v>26</v>
      </c>
      <c r="C368" s="68" t="s">
        <v>310</v>
      </c>
      <c r="D368" s="64" t="s">
        <v>40</v>
      </c>
      <c r="E368" s="66" t="s">
        <v>311</v>
      </c>
      <c r="F368" s="64" t="s">
        <v>282</v>
      </c>
      <c r="G368" s="64" t="str">
        <f>INDEX(Auxiliar!$B$16:$B$24,MATCH(Plano_V1!H368,Auxiliar!$C$16:$C$24,0),1)</f>
        <v>1. Concluído</v>
      </c>
      <c r="H368" s="64">
        <f>VLOOKUP(A368,'Aux - pivots1'!$A:$B,2,0)</f>
        <v>1</v>
      </c>
      <c r="I368" s="84">
        <f>SUMIFS(Table1[Estimação (horas)],Table1[Tabela],Plano_V1!E368,Table1[Campo],Plano_V1!F368)</f>
        <v>16.100000000000001</v>
      </c>
      <c r="J368" s="84">
        <f t="shared" si="33"/>
        <v>2.0125000000000002</v>
      </c>
      <c r="K368" s="87" t="s">
        <v>312</v>
      </c>
      <c r="L368" s="90">
        <f t="shared" si="31"/>
        <v>2.0125000000000002</v>
      </c>
      <c r="M368" s="78"/>
      <c r="N368" s="78"/>
      <c r="O368" s="78"/>
      <c r="P368" s="78"/>
      <c r="Q368" s="78"/>
      <c r="R368" s="78"/>
      <c r="S368" s="78"/>
      <c r="T368" s="78"/>
      <c r="U368" s="78"/>
      <c r="V368" s="78"/>
      <c r="W368" s="78"/>
      <c r="X368" s="78"/>
      <c r="Y368" s="78"/>
      <c r="Z368" s="78"/>
      <c r="AA368" s="78"/>
      <c r="AB368" s="78"/>
      <c r="AC368" s="78"/>
      <c r="AD368" s="78"/>
      <c r="AE368" s="78"/>
      <c r="AF368" s="78"/>
      <c r="AG368" s="78"/>
      <c r="AH368" s="78"/>
      <c r="AI368" s="78"/>
      <c r="AJ368" s="78"/>
      <c r="AK368" s="78"/>
      <c r="AL368" s="78"/>
      <c r="AM368" s="78"/>
      <c r="AN368" s="78"/>
      <c r="AO368" s="78"/>
      <c r="AP368" s="78"/>
      <c r="AQ368" s="78"/>
      <c r="AR368" s="78"/>
      <c r="AS368" s="78"/>
      <c r="AT368" s="91"/>
      <c r="AU368" s="78"/>
      <c r="AV368" s="78"/>
      <c r="AW368" s="78"/>
      <c r="AX368" s="78"/>
      <c r="AY368" s="78"/>
      <c r="AZ368" s="78"/>
      <c r="BA368" s="78"/>
      <c r="BB368" s="78"/>
      <c r="BC368" s="78"/>
      <c r="BD368" s="78"/>
      <c r="BE368" s="78"/>
      <c r="BF368" s="78"/>
      <c r="BG368" s="78"/>
      <c r="BH368" s="78"/>
      <c r="BI368" s="78"/>
      <c r="BJ368" s="78"/>
      <c r="BK368" s="78"/>
      <c r="BL368" s="78"/>
      <c r="BM368" s="78"/>
      <c r="BN368" s="78"/>
      <c r="BO368" s="78"/>
      <c r="BP368" s="78"/>
      <c r="BQ368" s="78"/>
      <c r="BR368" s="78"/>
      <c r="BS368" s="78"/>
      <c r="BT368" s="78"/>
      <c r="BU368" s="78"/>
      <c r="BV368" s="78"/>
      <c r="BW368" s="78"/>
      <c r="BX368" s="78"/>
      <c r="BY368" s="78"/>
      <c r="BZ368" s="78"/>
      <c r="CA368" s="78"/>
      <c r="CB368" s="78"/>
      <c r="CC368" s="78"/>
      <c r="CD368" s="78"/>
      <c r="CE368" s="78"/>
      <c r="CF368" s="78"/>
      <c r="CG368" s="78"/>
      <c r="CH368" s="78"/>
      <c r="CI368" s="78"/>
      <c r="CJ368" s="78"/>
      <c r="CK368" s="78"/>
      <c r="CL368" s="78"/>
      <c r="CM368" s="78"/>
      <c r="CN368" s="78"/>
      <c r="CO368" s="78"/>
      <c r="CP368" s="78"/>
      <c r="CQ368" s="78"/>
      <c r="CR368" s="78"/>
      <c r="CS368" s="78"/>
      <c r="CT368" s="78"/>
      <c r="CU368" s="78"/>
      <c r="CV368" s="78"/>
      <c r="CW368" s="78"/>
      <c r="CX368" s="78"/>
      <c r="CY368" s="78"/>
      <c r="CZ368" s="78"/>
      <c r="DA368" s="78"/>
      <c r="DB368" s="78"/>
      <c r="DC368" s="78"/>
      <c r="DD368" s="78"/>
      <c r="DE368" s="78"/>
      <c r="DF368" s="78"/>
      <c r="DG368" s="78"/>
      <c r="DH368" s="78"/>
      <c r="DI368" s="78"/>
      <c r="DJ368" s="78"/>
      <c r="DK368" s="78"/>
      <c r="DL368" s="78"/>
      <c r="DM368" s="78"/>
      <c r="DN368" s="78"/>
      <c r="DO368" s="78"/>
      <c r="DP368" s="78"/>
      <c r="DQ368" s="78"/>
      <c r="DR368" s="78"/>
      <c r="DS368" s="78"/>
      <c r="DT368" s="78"/>
      <c r="DU368" s="78"/>
      <c r="DV368" s="78"/>
      <c r="DW368" s="78"/>
      <c r="DX368" s="78"/>
      <c r="DY368" s="78"/>
      <c r="DZ368" s="78"/>
      <c r="EA368" s="78"/>
      <c r="EB368" s="78"/>
      <c r="EC368" s="78"/>
      <c r="ED368" s="78"/>
      <c r="EE368" s="78"/>
      <c r="EF368" s="78"/>
      <c r="EG368" s="78"/>
      <c r="EH368" s="78"/>
      <c r="EI368" s="91"/>
      <c r="EJ368" s="91"/>
      <c r="EK368" s="91"/>
      <c r="EL368" s="91"/>
      <c r="EM368" s="91"/>
      <c r="EN368" s="91"/>
      <c r="EO368" s="91"/>
      <c r="EP368" s="78"/>
      <c r="EQ368" s="78"/>
      <c r="ER368" s="78"/>
      <c r="ES368" s="78"/>
      <c r="ET368" s="78"/>
      <c r="EU368" s="78"/>
      <c r="EV368" s="78"/>
      <c r="EW368" s="78"/>
      <c r="EX368" s="78"/>
      <c r="EY368" s="78"/>
      <c r="EZ368" s="78"/>
      <c r="FA368" s="78"/>
      <c r="FB368" s="78"/>
      <c r="FC368" s="78"/>
      <c r="FD368" s="78"/>
      <c r="FE368" s="78"/>
      <c r="FF368" s="78"/>
      <c r="FG368" s="78"/>
      <c r="FH368" s="78"/>
      <c r="FI368" s="78"/>
      <c r="FJ368" s="78"/>
      <c r="FK368" s="78"/>
    </row>
    <row r="369" spans="1:167" hidden="1" outlineLevel="1">
      <c r="A369" s="29" t="str">
        <f t="shared" si="32"/>
        <v>modesg_out_bens_imoveisflg_rsc_fsc_crnc</v>
      </c>
      <c r="B369" s="67" t="s">
        <v>26</v>
      </c>
      <c r="C369" s="68" t="s">
        <v>310</v>
      </c>
      <c r="D369" s="64" t="s">
        <v>40</v>
      </c>
      <c r="E369" s="66" t="s">
        <v>311</v>
      </c>
      <c r="F369" s="64" t="s">
        <v>283</v>
      </c>
      <c r="G369" s="64" t="str">
        <f>INDEX(Auxiliar!$B$16:$B$24,MATCH(Plano_V1!H369,Auxiliar!$C$16:$C$24,0),1)</f>
        <v>1. Concluído</v>
      </c>
      <c r="H369" s="64">
        <f>VLOOKUP(A369,'Aux - pivots1'!$A:$B,2,0)</f>
        <v>1</v>
      </c>
      <c r="I369" s="84">
        <f>SUMIFS(Table1[Estimação (horas)],Table1[Tabela],Plano_V1!E369,Table1[Campo],Plano_V1!F369)</f>
        <v>16.100000000000001</v>
      </c>
      <c r="J369" s="84">
        <f t="shared" si="33"/>
        <v>2.0125000000000002</v>
      </c>
      <c r="K369" s="87" t="s">
        <v>312</v>
      </c>
      <c r="L369" s="90">
        <f t="shared" si="31"/>
        <v>2.0125000000000002</v>
      </c>
      <c r="M369" s="78"/>
      <c r="N369" s="78"/>
      <c r="O369" s="78"/>
      <c r="P369" s="78"/>
      <c r="Q369" s="78"/>
      <c r="R369" s="78"/>
      <c r="S369" s="78"/>
      <c r="T369" s="78"/>
      <c r="U369" s="78"/>
      <c r="V369" s="78"/>
      <c r="W369" s="78"/>
      <c r="X369" s="78"/>
      <c r="Y369" s="78"/>
      <c r="Z369" s="78"/>
      <c r="AA369" s="78"/>
      <c r="AB369" s="78"/>
      <c r="AC369" s="78"/>
      <c r="AD369" s="78"/>
      <c r="AE369" s="78"/>
      <c r="AF369" s="78"/>
      <c r="AG369" s="78"/>
      <c r="AH369" s="78"/>
      <c r="AI369" s="78"/>
      <c r="AJ369" s="78"/>
      <c r="AK369" s="78"/>
      <c r="AL369" s="78"/>
      <c r="AM369" s="78"/>
      <c r="AN369" s="78"/>
      <c r="AO369" s="78"/>
      <c r="AP369" s="78"/>
      <c r="AQ369" s="78"/>
      <c r="AR369" s="78"/>
      <c r="AS369" s="78"/>
      <c r="AT369" s="91"/>
      <c r="AU369" s="78"/>
      <c r="AV369" s="78"/>
      <c r="AW369" s="78"/>
      <c r="AX369" s="78"/>
      <c r="AY369" s="78"/>
      <c r="AZ369" s="78"/>
      <c r="BA369" s="78"/>
      <c r="BB369" s="78"/>
      <c r="BC369" s="78"/>
      <c r="BD369" s="78"/>
      <c r="BE369" s="78"/>
      <c r="BF369" s="78"/>
      <c r="BG369" s="78"/>
      <c r="BH369" s="78"/>
      <c r="BI369" s="78"/>
      <c r="BJ369" s="78"/>
      <c r="BK369" s="78"/>
      <c r="BL369" s="78"/>
      <c r="BM369" s="78"/>
      <c r="BN369" s="78"/>
      <c r="BO369" s="78"/>
      <c r="BP369" s="78"/>
      <c r="BQ369" s="78"/>
      <c r="BR369" s="78"/>
      <c r="BS369" s="78"/>
      <c r="BT369" s="78"/>
      <c r="BU369" s="78"/>
      <c r="BV369" s="78"/>
      <c r="BW369" s="78"/>
      <c r="BX369" s="78"/>
      <c r="BY369" s="78"/>
      <c r="BZ369" s="78"/>
      <c r="CA369" s="78"/>
      <c r="CB369" s="78"/>
      <c r="CC369" s="78"/>
      <c r="CD369" s="78"/>
      <c r="CE369" s="78"/>
      <c r="CF369" s="78"/>
      <c r="CG369" s="78"/>
      <c r="CH369" s="78"/>
      <c r="CI369" s="78"/>
      <c r="CJ369" s="78"/>
      <c r="CK369" s="78"/>
      <c r="CL369" s="78"/>
      <c r="CM369" s="78"/>
      <c r="CN369" s="78"/>
      <c r="CO369" s="78"/>
      <c r="CP369" s="78"/>
      <c r="CQ369" s="78"/>
      <c r="CR369" s="78"/>
      <c r="CS369" s="78"/>
      <c r="CT369" s="78"/>
      <c r="CU369" s="78"/>
      <c r="CV369" s="78"/>
      <c r="CW369" s="78"/>
      <c r="CX369" s="78"/>
      <c r="CY369" s="78"/>
      <c r="CZ369" s="78"/>
      <c r="DA369" s="78"/>
      <c r="DB369" s="78"/>
      <c r="DC369" s="78"/>
      <c r="DD369" s="78"/>
      <c r="DE369" s="78"/>
      <c r="DF369" s="78"/>
      <c r="DG369" s="78"/>
      <c r="DH369" s="78"/>
      <c r="DI369" s="78"/>
      <c r="DJ369" s="78"/>
      <c r="DK369" s="78"/>
      <c r="DL369" s="78"/>
      <c r="DM369" s="78"/>
      <c r="DN369" s="78"/>
      <c r="DO369" s="78"/>
      <c r="DP369" s="78"/>
      <c r="DQ369" s="78"/>
      <c r="DR369" s="78"/>
      <c r="DS369" s="78"/>
      <c r="DT369" s="78"/>
      <c r="DU369" s="78"/>
      <c r="DV369" s="78"/>
      <c r="DW369" s="78"/>
      <c r="DX369" s="78"/>
      <c r="DY369" s="78"/>
      <c r="DZ369" s="78"/>
      <c r="EA369" s="78"/>
      <c r="EB369" s="78"/>
      <c r="EC369" s="78"/>
      <c r="ED369" s="78"/>
      <c r="EE369" s="78"/>
      <c r="EF369" s="78"/>
      <c r="EG369" s="78"/>
      <c r="EH369" s="78"/>
      <c r="EI369" s="91"/>
      <c r="EJ369" s="91"/>
      <c r="EK369" s="91"/>
      <c r="EL369" s="91"/>
      <c r="EM369" s="91"/>
      <c r="EN369" s="91"/>
      <c r="EO369" s="91"/>
      <c r="EP369" s="78"/>
      <c r="EQ369" s="78"/>
      <c r="ER369" s="78"/>
      <c r="ES369" s="78"/>
      <c r="ET369" s="78"/>
      <c r="EU369" s="78"/>
      <c r="EV369" s="78"/>
      <c r="EW369" s="78"/>
      <c r="EX369" s="78"/>
      <c r="EY369" s="78"/>
      <c r="EZ369" s="78"/>
      <c r="FA369" s="78"/>
      <c r="FB369" s="78"/>
      <c r="FC369" s="78"/>
      <c r="FD369" s="78"/>
      <c r="FE369" s="78"/>
      <c r="FF369" s="78"/>
      <c r="FG369" s="78"/>
      <c r="FH369" s="78"/>
      <c r="FI369" s="78"/>
      <c r="FJ369" s="78"/>
      <c r="FK369" s="78"/>
    </row>
    <row r="370" spans="1:167" hidden="1" outlineLevel="1">
      <c r="A370" s="29" t="str">
        <f t="shared" si="32"/>
        <v>modesg_out_bens_imoveisorigem_flg_rsc_fsc_agd</v>
      </c>
      <c r="B370" s="67" t="s">
        <v>26</v>
      </c>
      <c r="C370" s="68" t="s">
        <v>310</v>
      </c>
      <c r="D370" s="64" t="s">
        <v>40</v>
      </c>
      <c r="E370" s="66" t="s">
        <v>311</v>
      </c>
      <c r="F370" s="64" t="s">
        <v>317</v>
      </c>
      <c r="G370" s="64" t="str">
        <f>INDEX(Auxiliar!$B$16:$B$24,MATCH(Plano_V1!H370,Auxiliar!$C$16:$C$24,0),1)</f>
        <v>1. Concluído</v>
      </c>
      <c r="H370" s="64">
        <f>VLOOKUP(A370,'Aux - pivots1'!$A:$B,2,0)</f>
        <v>1</v>
      </c>
      <c r="I370" s="84">
        <f>SUMIFS(Table1[Estimação (horas)],Table1[Tabela],Plano_V1!E370,Table1[Campo],Plano_V1!F370)</f>
        <v>4.0999999999999996</v>
      </c>
      <c r="J370" s="84">
        <f t="shared" si="33"/>
        <v>0.51249999999999996</v>
      </c>
      <c r="K370" s="87" t="s">
        <v>312</v>
      </c>
      <c r="L370" s="90">
        <f t="shared" si="31"/>
        <v>0.51249999999999996</v>
      </c>
      <c r="M370" s="78"/>
      <c r="N370" s="78"/>
      <c r="O370" s="78"/>
      <c r="P370" s="78"/>
      <c r="Q370" s="78"/>
      <c r="R370" s="78"/>
      <c r="S370" s="78"/>
      <c r="T370" s="78"/>
      <c r="U370" s="78"/>
      <c r="V370" s="78"/>
      <c r="W370" s="78"/>
      <c r="X370" s="78"/>
      <c r="Y370" s="78"/>
      <c r="Z370" s="78"/>
      <c r="AA370" s="78"/>
      <c r="AB370" s="78"/>
      <c r="AC370" s="78"/>
      <c r="AD370" s="78"/>
      <c r="AE370" s="78"/>
      <c r="AF370" s="78"/>
      <c r="AG370" s="78"/>
      <c r="AH370" s="78"/>
      <c r="AI370" s="78"/>
      <c r="AJ370" s="78"/>
      <c r="AK370" s="78"/>
      <c r="AL370" s="78"/>
      <c r="AM370" s="78"/>
      <c r="AN370" s="78"/>
      <c r="AO370" s="78"/>
      <c r="AP370" s="78"/>
      <c r="AQ370" s="78"/>
      <c r="AR370" s="78"/>
      <c r="AS370" s="78"/>
      <c r="AT370" s="91"/>
      <c r="AU370" s="78"/>
      <c r="AV370" s="78"/>
      <c r="AW370" s="78"/>
      <c r="AX370" s="78"/>
      <c r="AY370" s="78"/>
      <c r="AZ370" s="78"/>
      <c r="BA370" s="78"/>
      <c r="BB370" s="78"/>
      <c r="BC370" s="78"/>
      <c r="BD370" s="78"/>
      <c r="BE370" s="78"/>
      <c r="BF370" s="78"/>
      <c r="BG370" s="78"/>
      <c r="BH370" s="78"/>
      <c r="BI370" s="78"/>
      <c r="BJ370" s="78"/>
      <c r="BK370" s="78"/>
      <c r="BL370" s="78"/>
      <c r="BM370" s="78"/>
      <c r="BN370" s="78"/>
      <c r="BO370" s="78"/>
      <c r="BP370" s="78"/>
      <c r="BQ370" s="78"/>
      <c r="BR370" s="78"/>
      <c r="BS370" s="78"/>
      <c r="BT370" s="78"/>
      <c r="BU370" s="78"/>
      <c r="BV370" s="78"/>
      <c r="BW370" s="78"/>
      <c r="BX370" s="78"/>
      <c r="BY370" s="78"/>
      <c r="BZ370" s="78"/>
      <c r="CA370" s="78"/>
      <c r="CB370" s="78"/>
      <c r="CC370" s="78"/>
      <c r="CD370" s="78"/>
      <c r="CE370" s="78"/>
      <c r="CF370" s="78"/>
      <c r="CG370" s="78"/>
      <c r="CH370" s="78"/>
      <c r="CI370" s="78"/>
      <c r="CJ370" s="78"/>
      <c r="CK370" s="78"/>
      <c r="CL370" s="78"/>
      <c r="CM370" s="78"/>
      <c r="CN370" s="78"/>
      <c r="CO370" s="78"/>
      <c r="CP370" s="78"/>
      <c r="CQ370" s="78"/>
      <c r="CR370" s="78"/>
      <c r="CS370" s="78"/>
      <c r="CT370" s="78"/>
      <c r="CU370" s="78"/>
      <c r="CV370" s="78"/>
      <c r="CW370" s="78"/>
      <c r="CX370" s="78"/>
      <c r="CY370" s="78"/>
      <c r="CZ370" s="78"/>
      <c r="DA370" s="78"/>
      <c r="DB370" s="78"/>
      <c r="DC370" s="78"/>
      <c r="DD370" s="78"/>
      <c r="DE370" s="78"/>
      <c r="DF370" s="78"/>
      <c r="DG370" s="78"/>
      <c r="DH370" s="78"/>
      <c r="DI370" s="78"/>
      <c r="DJ370" s="78"/>
      <c r="DK370" s="78"/>
      <c r="DL370" s="78"/>
      <c r="DM370" s="78"/>
      <c r="DN370" s="78"/>
      <c r="DO370" s="78"/>
      <c r="DP370" s="78"/>
      <c r="DQ370" s="78"/>
      <c r="DR370" s="78"/>
      <c r="DS370" s="78"/>
      <c r="DT370" s="78"/>
      <c r="DU370" s="78"/>
      <c r="DV370" s="78"/>
      <c r="DW370" s="78"/>
      <c r="DX370" s="78"/>
      <c r="DY370" s="78"/>
      <c r="DZ370" s="78"/>
      <c r="EA370" s="78"/>
      <c r="EB370" s="78"/>
      <c r="EC370" s="78"/>
      <c r="ED370" s="78"/>
      <c r="EE370" s="78"/>
      <c r="EF370" s="78"/>
      <c r="EG370" s="78"/>
      <c r="EH370" s="78"/>
      <c r="EI370" s="91"/>
      <c r="EJ370" s="91"/>
      <c r="EK370" s="91"/>
      <c r="EL370" s="91"/>
      <c r="EM370" s="91"/>
      <c r="EN370" s="91"/>
      <c r="EO370" s="91"/>
      <c r="EP370" s="78"/>
      <c r="EQ370" s="78"/>
      <c r="ER370" s="78"/>
      <c r="ES370" s="78"/>
      <c r="ET370" s="78"/>
      <c r="EU370" s="78"/>
      <c r="EV370" s="78"/>
      <c r="EW370" s="78"/>
      <c r="EX370" s="78"/>
      <c r="EY370" s="78"/>
      <c r="EZ370" s="78"/>
      <c r="FA370" s="78"/>
      <c r="FB370" s="78"/>
      <c r="FC370" s="78"/>
      <c r="FD370" s="78"/>
      <c r="FE370" s="78"/>
      <c r="FF370" s="78"/>
      <c r="FG370" s="78"/>
      <c r="FH370" s="78"/>
      <c r="FI370" s="78"/>
      <c r="FJ370" s="78"/>
      <c r="FK370" s="78"/>
    </row>
    <row r="371" spans="1:167" hidden="1" outlineLevel="1">
      <c r="A371" s="29" t="str">
        <f t="shared" si="32"/>
        <v>modesg_out_bens_imoveisorigem_flg_rsc_fsc_crnc</v>
      </c>
      <c r="B371" s="67" t="s">
        <v>26</v>
      </c>
      <c r="C371" s="68" t="s">
        <v>310</v>
      </c>
      <c r="D371" s="64" t="s">
        <v>40</v>
      </c>
      <c r="E371" s="66" t="s">
        <v>311</v>
      </c>
      <c r="F371" s="64" t="s">
        <v>318</v>
      </c>
      <c r="G371" s="64" t="str">
        <f>INDEX(Auxiliar!$B$16:$B$24,MATCH(Plano_V1!H371,Auxiliar!$C$16:$C$24,0),1)</f>
        <v>1. Concluído</v>
      </c>
      <c r="H371" s="64">
        <f>VLOOKUP(A371,'Aux - pivots1'!$A:$B,2,0)</f>
        <v>1</v>
      </c>
      <c r="I371" s="84">
        <f>SUMIFS(Table1[Estimação (horas)],Table1[Tabela],Plano_V1!E371,Table1[Campo],Plano_V1!F371)</f>
        <v>4.0999999999999996</v>
      </c>
      <c r="J371" s="84">
        <f t="shared" si="33"/>
        <v>0.51249999999999996</v>
      </c>
      <c r="K371" s="87" t="s">
        <v>312</v>
      </c>
      <c r="L371" s="90">
        <f t="shared" si="31"/>
        <v>0.51249999999999996</v>
      </c>
      <c r="M371" s="78"/>
      <c r="N371" s="78"/>
      <c r="O371" s="78"/>
      <c r="P371" s="78"/>
      <c r="Q371" s="78"/>
      <c r="R371" s="78"/>
      <c r="S371" s="78"/>
      <c r="T371" s="78"/>
      <c r="U371" s="78"/>
      <c r="V371" s="78"/>
      <c r="W371" s="78"/>
      <c r="X371" s="78"/>
      <c r="Y371" s="78"/>
      <c r="Z371" s="78"/>
      <c r="AA371" s="78"/>
      <c r="AB371" s="78"/>
      <c r="AC371" s="78"/>
      <c r="AD371" s="78"/>
      <c r="AE371" s="78"/>
      <c r="AF371" s="78"/>
      <c r="AG371" s="78"/>
      <c r="AH371" s="78"/>
      <c r="AI371" s="78"/>
      <c r="AJ371" s="78"/>
      <c r="AK371" s="78"/>
      <c r="AL371" s="78"/>
      <c r="AM371" s="78"/>
      <c r="AN371" s="78"/>
      <c r="AO371" s="78"/>
      <c r="AP371" s="78"/>
      <c r="AQ371" s="78"/>
      <c r="AR371" s="78"/>
      <c r="AS371" s="78"/>
      <c r="AT371" s="91"/>
      <c r="AU371" s="78"/>
      <c r="AV371" s="78"/>
      <c r="AW371" s="78"/>
      <c r="AX371" s="78"/>
      <c r="AY371" s="78"/>
      <c r="AZ371" s="78"/>
      <c r="BA371" s="78"/>
      <c r="BB371" s="78"/>
      <c r="BC371" s="78"/>
      <c r="BD371" s="78"/>
      <c r="BE371" s="78"/>
      <c r="BF371" s="78"/>
      <c r="BG371" s="78"/>
      <c r="BH371" s="78"/>
      <c r="BI371" s="78"/>
      <c r="BJ371" s="78"/>
      <c r="BK371" s="78"/>
      <c r="BL371" s="78"/>
      <c r="BM371" s="78"/>
      <c r="BN371" s="78"/>
      <c r="BO371" s="78"/>
      <c r="BP371" s="78"/>
      <c r="BQ371" s="78"/>
      <c r="BR371" s="78"/>
      <c r="BS371" s="78"/>
      <c r="BT371" s="78"/>
      <c r="BU371" s="78"/>
      <c r="BV371" s="78"/>
      <c r="BW371" s="78"/>
      <c r="BX371" s="78"/>
      <c r="BY371" s="78"/>
      <c r="BZ371" s="78"/>
      <c r="CA371" s="78"/>
      <c r="CB371" s="78"/>
      <c r="CC371" s="78"/>
      <c r="CD371" s="78"/>
      <c r="CE371" s="78"/>
      <c r="CF371" s="78"/>
      <c r="CG371" s="78"/>
      <c r="CH371" s="78"/>
      <c r="CI371" s="78"/>
      <c r="CJ371" s="78"/>
      <c r="CK371" s="78"/>
      <c r="CL371" s="78"/>
      <c r="CM371" s="78"/>
      <c r="CN371" s="78"/>
      <c r="CO371" s="78"/>
      <c r="CP371" s="78"/>
      <c r="CQ371" s="78"/>
      <c r="CR371" s="78"/>
      <c r="CS371" s="78"/>
      <c r="CT371" s="78"/>
      <c r="CU371" s="78"/>
      <c r="CV371" s="78"/>
      <c r="CW371" s="78"/>
      <c r="CX371" s="78"/>
      <c r="CY371" s="78"/>
      <c r="CZ371" s="78"/>
      <c r="DA371" s="78"/>
      <c r="DB371" s="78"/>
      <c r="DC371" s="78"/>
      <c r="DD371" s="78"/>
      <c r="DE371" s="78"/>
      <c r="DF371" s="78"/>
      <c r="DG371" s="78"/>
      <c r="DH371" s="78"/>
      <c r="DI371" s="78"/>
      <c r="DJ371" s="78"/>
      <c r="DK371" s="78"/>
      <c r="DL371" s="78"/>
      <c r="DM371" s="78"/>
      <c r="DN371" s="78"/>
      <c r="DO371" s="78"/>
      <c r="DP371" s="78"/>
      <c r="DQ371" s="78"/>
      <c r="DR371" s="78"/>
      <c r="DS371" s="78"/>
      <c r="DT371" s="78"/>
      <c r="DU371" s="78"/>
      <c r="DV371" s="78"/>
      <c r="DW371" s="78"/>
      <c r="DX371" s="78"/>
      <c r="DY371" s="78"/>
      <c r="DZ371" s="78"/>
      <c r="EA371" s="78"/>
      <c r="EB371" s="78"/>
      <c r="EC371" s="78"/>
      <c r="ED371" s="78"/>
      <c r="EE371" s="78"/>
      <c r="EF371" s="78"/>
      <c r="EG371" s="78"/>
      <c r="EH371" s="78"/>
      <c r="EI371" s="91"/>
      <c r="EJ371" s="91"/>
      <c r="EK371" s="91"/>
      <c r="EL371" s="91"/>
      <c r="EM371" s="91"/>
      <c r="EN371" s="91"/>
      <c r="EO371" s="91"/>
      <c r="EP371" s="78"/>
      <c r="EQ371" s="78"/>
      <c r="ER371" s="78"/>
      <c r="ES371" s="78"/>
      <c r="ET371" s="78"/>
      <c r="EU371" s="78"/>
      <c r="EV371" s="78"/>
      <c r="EW371" s="78"/>
      <c r="EX371" s="78"/>
      <c r="EY371" s="78"/>
      <c r="EZ371" s="78"/>
      <c r="FA371" s="78"/>
      <c r="FB371" s="78"/>
      <c r="FC371" s="78"/>
      <c r="FD371" s="78"/>
      <c r="FE371" s="78"/>
      <c r="FF371" s="78"/>
      <c r="FG371" s="78"/>
      <c r="FH371" s="78"/>
      <c r="FI371" s="78"/>
      <c r="FJ371" s="78"/>
      <c r="FK371" s="78"/>
    </row>
    <row r="372" spans="1:167" hidden="1" outlineLevel="1">
      <c r="A372" s="29" t="str">
        <f t="shared" si="32"/>
        <v>modesg_out_bens_imoveisorigem_scp1_emss</v>
      </c>
      <c r="B372" s="67" t="s">
        <v>26</v>
      </c>
      <c r="C372" s="68" t="s">
        <v>310</v>
      </c>
      <c r="D372" s="64" t="s">
        <v>40</v>
      </c>
      <c r="E372" s="66" t="s">
        <v>311</v>
      </c>
      <c r="F372" s="64" t="s">
        <v>319</v>
      </c>
      <c r="G372" s="64" t="str">
        <f>INDEX(Auxiliar!$B$16:$B$24,MATCH(Plano_V1!H372,Auxiliar!$C$16:$C$24,0),1)</f>
        <v>1. Concluído</v>
      </c>
      <c r="H372" s="64">
        <f>VLOOKUP(A372,'Aux - pivots1'!$A:$B,2,0)</f>
        <v>1</v>
      </c>
      <c r="I372" s="84">
        <f>SUMIFS(Table1[Estimação (horas)],Table1[Tabela],Plano_V1!E372,Table1[Campo],Plano_V1!F372)</f>
        <v>4.0999999999999996</v>
      </c>
      <c r="J372" s="84">
        <f t="shared" si="33"/>
        <v>0.51249999999999996</v>
      </c>
      <c r="K372" s="87" t="s">
        <v>312</v>
      </c>
      <c r="L372" s="90">
        <f t="shared" si="31"/>
        <v>0.51249999999999996</v>
      </c>
      <c r="M372" s="78"/>
      <c r="N372" s="78"/>
      <c r="O372" s="78"/>
      <c r="P372" s="78"/>
      <c r="Q372" s="78"/>
      <c r="R372" s="78"/>
      <c r="S372" s="78"/>
      <c r="T372" s="78"/>
      <c r="U372" s="78"/>
      <c r="V372" s="78"/>
      <c r="W372" s="78"/>
      <c r="X372" s="78"/>
      <c r="Y372" s="78"/>
      <c r="Z372" s="78"/>
      <c r="AA372" s="78"/>
      <c r="AB372" s="78"/>
      <c r="AC372" s="78"/>
      <c r="AD372" s="78"/>
      <c r="AE372" s="78"/>
      <c r="AF372" s="78"/>
      <c r="AG372" s="78"/>
      <c r="AH372" s="78"/>
      <c r="AI372" s="78"/>
      <c r="AJ372" s="78"/>
      <c r="AK372" s="78"/>
      <c r="AL372" s="78"/>
      <c r="AM372" s="78"/>
      <c r="AN372" s="78"/>
      <c r="AO372" s="78"/>
      <c r="AP372" s="78"/>
      <c r="AQ372" s="78"/>
      <c r="AR372" s="78"/>
      <c r="AS372" s="78"/>
      <c r="AT372" s="91"/>
      <c r="AU372" s="78"/>
      <c r="AV372" s="78"/>
      <c r="AW372" s="78"/>
      <c r="AX372" s="78"/>
      <c r="AY372" s="78"/>
      <c r="AZ372" s="78"/>
      <c r="BA372" s="78"/>
      <c r="BB372" s="78"/>
      <c r="BC372" s="78"/>
      <c r="BD372" s="78"/>
      <c r="BE372" s="78"/>
      <c r="BF372" s="78"/>
      <c r="BG372" s="78"/>
      <c r="BH372" s="78"/>
      <c r="BI372" s="78"/>
      <c r="BJ372" s="78"/>
      <c r="BK372" s="78"/>
      <c r="BL372" s="78"/>
      <c r="BM372" s="78"/>
      <c r="BN372" s="78"/>
      <c r="BO372" s="78"/>
      <c r="BP372" s="78"/>
      <c r="BQ372" s="78"/>
      <c r="BR372" s="78"/>
      <c r="BS372" s="78"/>
      <c r="BT372" s="78"/>
      <c r="BU372" s="78"/>
      <c r="BV372" s="78"/>
      <c r="BW372" s="78"/>
      <c r="BX372" s="78"/>
      <c r="BY372" s="78"/>
      <c r="BZ372" s="78"/>
      <c r="CA372" s="78"/>
      <c r="CB372" s="78"/>
      <c r="CC372" s="78"/>
      <c r="CD372" s="78"/>
      <c r="CE372" s="78"/>
      <c r="CF372" s="78"/>
      <c r="CG372" s="78"/>
      <c r="CH372" s="78"/>
      <c r="CI372" s="78"/>
      <c r="CJ372" s="78"/>
      <c r="CK372" s="78"/>
      <c r="CL372" s="78"/>
      <c r="CM372" s="78"/>
      <c r="CN372" s="78"/>
      <c r="CO372" s="78"/>
      <c r="CP372" s="78"/>
      <c r="CQ372" s="78"/>
      <c r="CR372" s="78"/>
      <c r="CS372" s="78"/>
      <c r="CT372" s="78"/>
      <c r="CU372" s="78"/>
      <c r="CV372" s="78"/>
      <c r="CW372" s="78"/>
      <c r="CX372" s="78"/>
      <c r="CY372" s="78"/>
      <c r="CZ372" s="78"/>
      <c r="DA372" s="78"/>
      <c r="DB372" s="78"/>
      <c r="DC372" s="78"/>
      <c r="DD372" s="78"/>
      <c r="DE372" s="78"/>
      <c r="DF372" s="78"/>
      <c r="DG372" s="78"/>
      <c r="DH372" s="78"/>
      <c r="DI372" s="78"/>
      <c r="DJ372" s="78"/>
      <c r="DK372" s="78"/>
      <c r="DL372" s="78"/>
      <c r="DM372" s="78"/>
      <c r="DN372" s="78"/>
      <c r="DO372" s="78"/>
      <c r="DP372" s="78"/>
      <c r="DQ372" s="78"/>
      <c r="DR372" s="78"/>
      <c r="DS372" s="78"/>
      <c r="DT372" s="78"/>
      <c r="DU372" s="78"/>
      <c r="DV372" s="78"/>
      <c r="DW372" s="78"/>
      <c r="DX372" s="78"/>
      <c r="DY372" s="78"/>
      <c r="DZ372" s="78"/>
      <c r="EA372" s="78"/>
      <c r="EB372" s="78"/>
      <c r="EC372" s="78"/>
      <c r="ED372" s="78"/>
      <c r="EE372" s="78"/>
      <c r="EF372" s="78"/>
      <c r="EG372" s="78"/>
      <c r="EH372" s="78"/>
      <c r="EI372" s="91"/>
      <c r="EJ372" s="91"/>
      <c r="EK372" s="91"/>
      <c r="EL372" s="91"/>
      <c r="EM372" s="91"/>
      <c r="EN372" s="91"/>
      <c r="EO372" s="91"/>
      <c r="EP372" s="78"/>
      <c r="EQ372" s="78"/>
      <c r="ER372" s="78"/>
      <c r="ES372" s="78"/>
      <c r="ET372" s="78"/>
      <c r="EU372" s="78"/>
      <c r="EV372" s="78"/>
      <c r="EW372" s="78"/>
      <c r="EX372" s="78"/>
      <c r="EY372" s="78"/>
      <c r="EZ372" s="78"/>
      <c r="FA372" s="78"/>
      <c r="FB372" s="78"/>
      <c r="FC372" s="78"/>
      <c r="FD372" s="78"/>
      <c r="FE372" s="78"/>
      <c r="FF372" s="78"/>
      <c r="FG372" s="78"/>
      <c r="FH372" s="78"/>
      <c r="FI372" s="78"/>
      <c r="FJ372" s="78"/>
      <c r="FK372" s="78"/>
    </row>
    <row r="373" spans="1:167" hidden="1" outlineLevel="1">
      <c r="A373" s="29" t="str">
        <f t="shared" si="32"/>
        <v>modesg_out_bens_imoveisorigem_scp2_emss</v>
      </c>
      <c r="B373" s="67" t="s">
        <v>26</v>
      </c>
      <c r="C373" s="68" t="s">
        <v>310</v>
      </c>
      <c r="D373" s="64" t="s">
        <v>40</v>
      </c>
      <c r="E373" s="66" t="s">
        <v>311</v>
      </c>
      <c r="F373" s="64" t="s">
        <v>320</v>
      </c>
      <c r="G373" s="64" t="str">
        <f>INDEX(Auxiliar!$B$16:$B$24,MATCH(Plano_V1!H373,Auxiliar!$C$16:$C$24,0),1)</f>
        <v>1. Concluído</v>
      </c>
      <c r="H373" s="64">
        <f>VLOOKUP(A373,'Aux - pivots1'!$A:$B,2,0)</f>
        <v>1</v>
      </c>
      <c r="I373" s="84">
        <f>SUMIFS(Table1[Estimação (horas)],Table1[Tabela],Plano_V1!E373,Table1[Campo],Plano_V1!F373)</f>
        <v>4.0999999999999996</v>
      </c>
      <c r="J373" s="84">
        <f t="shared" si="33"/>
        <v>0.51249999999999996</v>
      </c>
      <c r="K373" s="87" t="s">
        <v>312</v>
      </c>
      <c r="L373" s="90">
        <f t="shared" si="31"/>
        <v>0.51249999999999996</v>
      </c>
      <c r="M373" s="78"/>
      <c r="N373" s="78"/>
      <c r="O373" s="78"/>
      <c r="P373" s="78"/>
      <c r="Q373" s="78"/>
      <c r="R373" s="78"/>
      <c r="S373" s="78"/>
      <c r="T373" s="78"/>
      <c r="U373" s="78"/>
      <c r="V373" s="78"/>
      <c r="W373" s="78"/>
      <c r="X373" s="78"/>
      <c r="Y373" s="78"/>
      <c r="Z373" s="78"/>
      <c r="AA373" s="78"/>
      <c r="AB373" s="78"/>
      <c r="AC373" s="78"/>
      <c r="AD373" s="78"/>
      <c r="AE373" s="78"/>
      <c r="AF373" s="78"/>
      <c r="AG373" s="78"/>
      <c r="AH373" s="78"/>
      <c r="AI373" s="78"/>
      <c r="AJ373" s="78"/>
      <c r="AK373" s="78"/>
      <c r="AL373" s="78"/>
      <c r="AM373" s="78"/>
      <c r="AN373" s="78"/>
      <c r="AO373" s="78"/>
      <c r="AP373" s="78"/>
      <c r="AQ373" s="78"/>
      <c r="AR373" s="78"/>
      <c r="AS373" s="78"/>
      <c r="AT373" s="91"/>
      <c r="AU373" s="78"/>
      <c r="AV373" s="78"/>
      <c r="AW373" s="78"/>
      <c r="AX373" s="78"/>
      <c r="AY373" s="78"/>
      <c r="AZ373" s="78"/>
      <c r="BA373" s="78"/>
      <c r="BB373" s="78"/>
      <c r="BC373" s="78"/>
      <c r="BD373" s="78"/>
      <c r="BE373" s="78"/>
      <c r="BF373" s="78"/>
      <c r="BG373" s="78"/>
      <c r="BH373" s="78"/>
      <c r="BI373" s="78"/>
      <c r="BJ373" s="78"/>
      <c r="BK373" s="78"/>
      <c r="BL373" s="78"/>
      <c r="BM373" s="78"/>
      <c r="BN373" s="78"/>
      <c r="BO373" s="78"/>
      <c r="BP373" s="78"/>
      <c r="BQ373" s="78"/>
      <c r="BR373" s="78"/>
      <c r="BS373" s="78"/>
      <c r="BT373" s="78"/>
      <c r="BU373" s="78"/>
      <c r="BV373" s="78"/>
      <c r="BW373" s="78"/>
      <c r="BX373" s="78"/>
      <c r="BY373" s="78"/>
      <c r="BZ373" s="78"/>
      <c r="CA373" s="78"/>
      <c r="CB373" s="78"/>
      <c r="CC373" s="78"/>
      <c r="CD373" s="78"/>
      <c r="CE373" s="78"/>
      <c r="CF373" s="78"/>
      <c r="CG373" s="78"/>
      <c r="CH373" s="78"/>
      <c r="CI373" s="78"/>
      <c r="CJ373" s="78"/>
      <c r="CK373" s="78"/>
      <c r="CL373" s="78"/>
      <c r="CM373" s="78"/>
      <c r="CN373" s="78"/>
      <c r="CO373" s="78"/>
      <c r="CP373" s="78"/>
      <c r="CQ373" s="78"/>
      <c r="CR373" s="78"/>
      <c r="CS373" s="78"/>
      <c r="CT373" s="78"/>
      <c r="CU373" s="78"/>
      <c r="CV373" s="78"/>
      <c r="CW373" s="78"/>
      <c r="CX373" s="78"/>
      <c r="CY373" s="78"/>
      <c r="CZ373" s="78"/>
      <c r="DA373" s="78"/>
      <c r="DB373" s="78"/>
      <c r="DC373" s="78"/>
      <c r="DD373" s="78"/>
      <c r="DE373" s="78"/>
      <c r="DF373" s="78"/>
      <c r="DG373" s="78"/>
      <c r="DH373" s="78"/>
      <c r="DI373" s="78"/>
      <c r="DJ373" s="78"/>
      <c r="DK373" s="78"/>
      <c r="DL373" s="78"/>
      <c r="DM373" s="78"/>
      <c r="DN373" s="78"/>
      <c r="DO373" s="78"/>
      <c r="DP373" s="78"/>
      <c r="DQ373" s="78"/>
      <c r="DR373" s="78"/>
      <c r="DS373" s="78"/>
      <c r="DT373" s="78"/>
      <c r="DU373" s="78"/>
      <c r="DV373" s="78"/>
      <c r="DW373" s="78"/>
      <c r="DX373" s="78"/>
      <c r="DY373" s="78"/>
      <c r="DZ373" s="78"/>
      <c r="EA373" s="78"/>
      <c r="EB373" s="78"/>
      <c r="EC373" s="78"/>
      <c r="ED373" s="78"/>
      <c r="EE373" s="78"/>
      <c r="EF373" s="78"/>
      <c r="EG373" s="78"/>
      <c r="EH373" s="78"/>
      <c r="EI373" s="91"/>
      <c r="EJ373" s="91"/>
      <c r="EK373" s="91"/>
      <c r="EL373" s="91"/>
      <c r="EM373" s="91"/>
      <c r="EN373" s="91"/>
      <c r="EO373" s="91"/>
      <c r="EP373" s="78"/>
      <c r="EQ373" s="78"/>
      <c r="ER373" s="78"/>
      <c r="ES373" s="78"/>
      <c r="ET373" s="78"/>
      <c r="EU373" s="78"/>
      <c r="EV373" s="78"/>
      <c r="EW373" s="78"/>
      <c r="EX373" s="78"/>
      <c r="EY373" s="78"/>
      <c r="EZ373" s="78"/>
      <c r="FA373" s="78"/>
      <c r="FB373" s="78"/>
      <c r="FC373" s="78"/>
      <c r="FD373" s="78"/>
      <c r="FE373" s="78"/>
      <c r="FF373" s="78"/>
      <c r="FG373" s="78"/>
      <c r="FH373" s="78"/>
      <c r="FI373" s="78"/>
      <c r="FJ373" s="78"/>
      <c r="FK373" s="78"/>
    </row>
    <row r="374" spans="1:167" hidden="1" outlineLevel="1">
      <c r="A374" s="29" t="str">
        <f t="shared" si="32"/>
        <v>modesg_out_bens_imoveisorigem_scp3_emss</v>
      </c>
      <c r="B374" s="67" t="s">
        <v>26</v>
      </c>
      <c r="C374" s="68" t="s">
        <v>310</v>
      </c>
      <c r="D374" s="64" t="s">
        <v>40</v>
      </c>
      <c r="E374" s="66" t="s">
        <v>311</v>
      </c>
      <c r="F374" s="64" t="s">
        <v>321</v>
      </c>
      <c r="G374" s="64" t="str">
        <f>INDEX(Auxiliar!$B$16:$B$24,MATCH(Plano_V1!H374,Auxiliar!$C$16:$C$24,0),1)</f>
        <v>1. Concluído</v>
      </c>
      <c r="H374" s="64">
        <f>VLOOKUP(A374,'Aux - pivots1'!$A:$B,2,0)</f>
        <v>1</v>
      </c>
      <c r="I374" s="84">
        <f>SUMIFS(Table1[Estimação (horas)],Table1[Tabela],Plano_V1!E374,Table1[Campo],Plano_V1!F374)</f>
        <v>4.0999999999999996</v>
      </c>
      <c r="J374" s="84">
        <f t="shared" si="33"/>
        <v>0.51249999999999996</v>
      </c>
      <c r="K374" s="87" t="s">
        <v>312</v>
      </c>
      <c r="L374" s="90">
        <f t="shared" si="31"/>
        <v>0.51249999999999996</v>
      </c>
      <c r="M374" s="78"/>
      <c r="N374" s="78"/>
      <c r="O374" s="78"/>
      <c r="P374" s="78"/>
      <c r="Q374" s="78"/>
      <c r="R374" s="78"/>
      <c r="S374" s="78"/>
      <c r="T374" s="78"/>
      <c r="U374" s="78"/>
      <c r="V374" s="78"/>
      <c r="W374" s="78"/>
      <c r="X374" s="78"/>
      <c r="Y374" s="78"/>
      <c r="Z374" s="78"/>
      <c r="AA374" s="78"/>
      <c r="AB374" s="78"/>
      <c r="AC374" s="78"/>
      <c r="AD374" s="78"/>
      <c r="AE374" s="78"/>
      <c r="AF374" s="78"/>
      <c r="AG374" s="78"/>
      <c r="AH374" s="78"/>
      <c r="AI374" s="78"/>
      <c r="AJ374" s="78"/>
      <c r="AK374" s="78"/>
      <c r="AL374" s="78"/>
      <c r="AM374" s="78"/>
      <c r="AN374" s="78"/>
      <c r="AO374" s="78"/>
      <c r="AP374" s="78"/>
      <c r="AQ374" s="78"/>
      <c r="AR374" s="78"/>
      <c r="AS374" s="78"/>
      <c r="AT374" s="91"/>
      <c r="AU374" s="78"/>
      <c r="AV374" s="78"/>
      <c r="AW374" s="78"/>
      <c r="AX374" s="78"/>
      <c r="AY374" s="78"/>
      <c r="AZ374" s="78"/>
      <c r="BA374" s="78"/>
      <c r="BB374" s="78"/>
      <c r="BC374" s="78"/>
      <c r="BD374" s="78"/>
      <c r="BE374" s="78"/>
      <c r="BF374" s="78"/>
      <c r="BG374" s="78"/>
      <c r="BH374" s="78"/>
      <c r="BI374" s="78"/>
      <c r="BJ374" s="78"/>
      <c r="BK374" s="78"/>
      <c r="BL374" s="78"/>
      <c r="BM374" s="78"/>
      <c r="BN374" s="78"/>
      <c r="BO374" s="78"/>
      <c r="BP374" s="78"/>
      <c r="BQ374" s="78"/>
      <c r="BR374" s="78"/>
      <c r="BS374" s="78"/>
      <c r="BT374" s="78"/>
      <c r="BU374" s="78"/>
      <c r="BV374" s="78"/>
      <c r="BW374" s="78"/>
      <c r="BX374" s="78"/>
      <c r="BY374" s="78"/>
      <c r="BZ374" s="78"/>
      <c r="CA374" s="78"/>
      <c r="CB374" s="78"/>
      <c r="CC374" s="78"/>
      <c r="CD374" s="78"/>
      <c r="CE374" s="78"/>
      <c r="CF374" s="78"/>
      <c r="CG374" s="78"/>
      <c r="CH374" s="78"/>
      <c r="CI374" s="78"/>
      <c r="CJ374" s="78"/>
      <c r="CK374" s="78"/>
      <c r="CL374" s="78"/>
      <c r="CM374" s="78"/>
      <c r="CN374" s="78"/>
      <c r="CO374" s="78"/>
      <c r="CP374" s="78"/>
      <c r="CQ374" s="78"/>
      <c r="CR374" s="78"/>
      <c r="CS374" s="78"/>
      <c r="CT374" s="78"/>
      <c r="CU374" s="78"/>
      <c r="CV374" s="78"/>
      <c r="CW374" s="78"/>
      <c r="CX374" s="78"/>
      <c r="CY374" s="78"/>
      <c r="CZ374" s="78"/>
      <c r="DA374" s="78"/>
      <c r="DB374" s="78"/>
      <c r="DC374" s="78"/>
      <c r="DD374" s="78"/>
      <c r="DE374" s="78"/>
      <c r="DF374" s="78"/>
      <c r="DG374" s="78"/>
      <c r="DH374" s="78"/>
      <c r="DI374" s="78"/>
      <c r="DJ374" s="78"/>
      <c r="DK374" s="78"/>
      <c r="DL374" s="78"/>
      <c r="DM374" s="78"/>
      <c r="DN374" s="78"/>
      <c r="DO374" s="78"/>
      <c r="DP374" s="78"/>
      <c r="DQ374" s="78"/>
      <c r="DR374" s="78"/>
      <c r="DS374" s="78"/>
      <c r="DT374" s="78"/>
      <c r="DU374" s="78"/>
      <c r="DV374" s="78"/>
      <c r="DW374" s="78"/>
      <c r="DX374" s="78"/>
      <c r="DY374" s="78"/>
      <c r="DZ374" s="78"/>
      <c r="EA374" s="78"/>
      <c r="EB374" s="78"/>
      <c r="EC374" s="78"/>
      <c r="ED374" s="78"/>
      <c r="EE374" s="78"/>
      <c r="EF374" s="78"/>
      <c r="EG374" s="78"/>
      <c r="EH374" s="78"/>
      <c r="EI374" s="91"/>
      <c r="EJ374" s="91"/>
      <c r="EK374" s="91"/>
      <c r="EL374" s="91"/>
      <c r="EM374" s="91"/>
      <c r="EN374" s="91"/>
      <c r="EO374" s="91"/>
      <c r="EP374" s="78"/>
      <c r="EQ374" s="78"/>
      <c r="ER374" s="78"/>
      <c r="ES374" s="78"/>
      <c r="ET374" s="78"/>
      <c r="EU374" s="78"/>
      <c r="EV374" s="78"/>
      <c r="EW374" s="78"/>
      <c r="EX374" s="78"/>
      <c r="EY374" s="78"/>
      <c r="EZ374" s="78"/>
      <c r="FA374" s="78"/>
      <c r="FB374" s="78"/>
      <c r="FC374" s="78"/>
      <c r="FD374" s="78"/>
      <c r="FE374" s="78"/>
      <c r="FF374" s="78"/>
      <c r="FG374" s="78"/>
      <c r="FH374" s="78"/>
      <c r="FI374" s="78"/>
      <c r="FJ374" s="78"/>
      <c r="FK374" s="78"/>
    </row>
    <row r="375" spans="1:167" hidden="1" outlineLevel="1">
      <c r="A375" s="29" t="str">
        <f t="shared" si="32"/>
        <v>modesg_out_bens_imoveisref_date</v>
      </c>
      <c r="B375" s="67" t="s">
        <v>26</v>
      </c>
      <c r="C375" s="68" t="s">
        <v>310</v>
      </c>
      <c r="D375" s="64" t="s">
        <v>40</v>
      </c>
      <c r="E375" s="66" t="s">
        <v>311</v>
      </c>
      <c r="F375" s="64" t="s">
        <v>208</v>
      </c>
      <c r="G375" s="64" t="str">
        <f>INDEX(Auxiliar!$B$16:$B$24,MATCH(Plano_V1!H375,Auxiliar!$C$16:$C$24,0),1)</f>
        <v>1. Concluído</v>
      </c>
      <c r="H375" s="64">
        <f>VLOOKUP(A375,'Aux - pivots1'!$A:$B,2,0)</f>
        <v>1</v>
      </c>
      <c r="I375" s="84">
        <f>SUMIFS(Table1[Estimação (horas)],Table1[Tabela],Plano_V1!E375,Table1[Campo],Plano_V1!F375)</f>
        <v>4.0999999999999996</v>
      </c>
      <c r="J375" s="84">
        <f t="shared" si="33"/>
        <v>0.51249999999999996</v>
      </c>
      <c r="K375" s="87" t="s">
        <v>312</v>
      </c>
      <c r="L375" s="90">
        <f t="shared" si="31"/>
        <v>0.51249999999999996</v>
      </c>
      <c r="M375" s="78"/>
      <c r="N375" s="78"/>
      <c r="O375" s="78"/>
      <c r="P375" s="78"/>
      <c r="Q375" s="78"/>
      <c r="R375" s="78"/>
      <c r="S375" s="78"/>
      <c r="T375" s="78"/>
      <c r="U375" s="78"/>
      <c r="V375" s="78"/>
      <c r="W375" s="78"/>
      <c r="X375" s="78"/>
      <c r="Y375" s="78"/>
      <c r="Z375" s="78"/>
      <c r="AA375" s="78"/>
      <c r="AB375" s="78"/>
      <c r="AC375" s="78"/>
      <c r="AD375" s="78"/>
      <c r="AE375" s="78"/>
      <c r="AF375" s="78"/>
      <c r="AG375" s="78"/>
      <c r="AH375" s="78"/>
      <c r="AI375" s="78"/>
      <c r="AJ375" s="78"/>
      <c r="AK375" s="78"/>
      <c r="AL375" s="78"/>
      <c r="AM375" s="78"/>
      <c r="AN375" s="78"/>
      <c r="AO375" s="78"/>
      <c r="AP375" s="78"/>
      <c r="AQ375" s="78"/>
      <c r="AR375" s="78"/>
      <c r="AS375" s="78"/>
      <c r="AT375" s="91"/>
      <c r="AU375" s="78"/>
      <c r="AV375" s="78"/>
      <c r="AW375" s="78"/>
      <c r="AX375" s="78"/>
      <c r="AY375" s="78"/>
      <c r="AZ375" s="78"/>
      <c r="BA375" s="78"/>
      <c r="BB375" s="78"/>
      <c r="BC375" s="78"/>
      <c r="BD375" s="78"/>
      <c r="BE375" s="78"/>
      <c r="BF375" s="78"/>
      <c r="BG375" s="78"/>
      <c r="BH375" s="78"/>
      <c r="BI375" s="78"/>
      <c r="BJ375" s="78"/>
      <c r="BK375" s="78"/>
      <c r="BL375" s="78"/>
      <c r="BM375" s="78"/>
      <c r="BN375" s="78"/>
      <c r="BO375" s="78"/>
      <c r="BP375" s="78"/>
      <c r="BQ375" s="78"/>
      <c r="BR375" s="78"/>
      <c r="BS375" s="78"/>
      <c r="BT375" s="78"/>
      <c r="BU375" s="78"/>
      <c r="BV375" s="78"/>
      <c r="BW375" s="78"/>
      <c r="BX375" s="78"/>
      <c r="BY375" s="78"/>
      <c r="BZ375" s="78"/>
      <c r="CA375" s="78"/>
      <c r="CB375" s="78"/>
      <c r="CC375" s="78"/>
      <c r="CD375" s="78"/>
      <c r="CE375" s="78"/>
      <c r="CF375" s="78"/>
      <c r="CG375" s="78"/>
      <c r="CH375" s="78"/>
      <c r="CI375" s="78"/>
      <c r="CJ375" s="78"/>
      <c r="CK375" s="78"/>
      <c r="CL375" s="78"/>
      <c r="CM375" s="78"/>
      <c r="CN375" s="78"/>
      <c r="CO375" s="78"/>
      <c r="CP375" s="78"/>
      <c r="CQ375" s="78"/>
      <c r="CR375" s="78"/>
      <c r="CS375" s="78"/>
      <c r="CT375" s="78"/>
      <c r="CU375" s="78"/>
      <c r="CV375" s="78"/>
      <c r="CW375" s="78"/>
      <c r="CX375" s="78"/>
      <c r="CY375" s="78"/>
      <c r="CZ375" s="78"/>
      <c r="DA375" s="78"/>
      <c r="DB375" s="78"/>
      <c r="DC375" s="78"/>
      <c r="DD375" s="78"/>
      <c r="DE375" s="78"/>
      <c r="DF375" s="78"/>
      <c r="DG375" s="78"/>
      <c r="DH375" s="78"/>
      <c r="DI375" s="78"/>
      <c r="DJ375" s="78"/>
      <c r="DK375" s="78"/>
      <c r="DL375" s="78"/>
      <c r="DM375" s="78"/>
      <c r="DN375" s="78"/>
      <c r="DO375" s="78"/>
      <c r="DP375" s="78"/>
      <c r="DQ375" s="78"/>
      <c r="DR375" s="78"/>
      <c r="DS375" s="78"/>
      <c r="DT375" s="78"/>
      <c r="DU375" s="78"/>
      <c r="DV375" s="78"/>
      <c r="DW375" s="78"/>
      <c r="DX375" s="78"/>
      <c r="DY375" s="78"/>
      <c r="DZ375" s="78"/>
      <c r="EA375" s="78"/>
      <c r="EB375" s="78"/>
      <c r="EC375" s="78"/>
      <c r="ED375" s="78"/>
      <c r="EE375" s="78"/>
      <c r="EF375" s="78"/>
      <c r="EG375" s="78"/>
      <c r="EH375" s="78"/>
      <c r="EI375" s="91"/>
      <c r="EJ375" s="91"/>
      <c r="EK375" s="91"/>
      <c r="EL375" s="91"/>
      <c r="EM375" s="91"/>
      <c r="EN375" s="91"/>
      <c r="EO375" s="91"/>
      <c r="EP375" s="78"/>
      <c r="EQ375" s="78"/>
      <c r="ER375" s="78"/>
      <c r="ES375" s="78"/>
      <c r="ET375" s="78"/>
      <c r="EU375" s="78"/>
      <c r="EV375" s="78"/>
      <c r="EW375" s="78"/>
      <c r="EX375" s="78"/>
      <c r="EY375" s="78"/>
      <c r="EZ375" s="78"/>
      <c r="FA375" s="78"/>
      <c r="FB375" s="78"/>
      <c r="FC375" s="78"/>
      <c r="FD375" s="78"/>
      <c r="FE375" s="78"/>
      <c r="FF375" s="78"/>
      <c r="FG375" s="78"/>
      <c r="FH375" s="78"/>
      <c r="FI375" s="78"/>
      <c r="FJ375" s="78"/>
      <c r="FK375" s="78"/>
    </row>
    <row r="376" spans="1:167" hidden="1" outlineLevel="1">
      <c r="A376" s="29" t="str">
        <f t="shared" si="32"/>
        <v>modesg_out_bens_imoveisscp1_emss</v>
      </c>
      <c r="B376" s="67" t="s">
        <v>26</v>
      </c>
      <c r="C376" s="68" t="s">
        <v>310</v>
      </c>
      <c r="D376" s="64" t="s">
        <v>40</v>
      </c>
      <c r="E376" s="66" t="s">
        <v>311</v>
      </c>
      <c r="F376" s="64" t="s">
        <v>285</v>
      </c>
      <c r="G376" s="64" t="str">
        <f>INDEX(Auxiliar!$B$16:$B$24,MATCH(Plano_V1!H376,Auxiliar!$C$16:$C$24,0),1)</f>
        <v>1. Concluído</v>
      </c>
      <c r="H376" s="64">
        <f>VLOOKUP(A376,'Aux - pivots1'!$A:$B,2,0)</f>
        <v>1</v>
      </c>
      <c r="I376" s="84">
        <f>SUMIFS(Table1[Estimação (horas)],Table1[Tabela],Plano_V1!E376,Table1[Campo],Plano_V1!F376)</f>
        <v>8.1</v>
      </c>
      <c r="J376" s="84">
        <f t="shared" si="33"/>
        <v>1.0125</v>
      </c>
      <c r="K376" s="87" t="s">
        <v>312</v>
      </c>
      <c r="L376" s="90">
        <f t="shared" si="31"/>
        <v>1.0125</v>
      </c>
      <c r="M376" s="78"/>
      <c r="N376" s="78"/>
      <c r="O376" s="78"/>
      <c r="P376" s="78"/>
      <c r="Q376" s="78"/>
      <c r="R376" s="78"/>
      <c r="S376" s="78"/>
      <c r="T376" s="78"/>
      <c r="U376" s="78"/>
      <c r="V376" s="78"/>
      <c r="W376" s="78"/>
      <c r="X376" s="78"/>
      <c r="Y376" s="78"/>
      <c r="Z376" s="78"/>
      <c r="AA376" s="78"/>
      <c r="AB376" s="78"/>
      <c r="AC376" s="78"/>
      <c r="AD376" s="78"/>
      <c r="AE376" s="78"/>
      <c r="AF376" s="78"/>
      <c r="AG376" s="78"/>
      <c r="AH376" s="78"/>
      <c r="AI376" s="78"/>
      <c r="AJ376" s="78"/>
      <c r="AK376" s="78"/>
      <c r="AL376" s="78"/>
      <c r="AM376" s="78"/>
      <c r="AN376" s="78"/>
      <c r="AO376" s="78"/>
      <c r="AP376" s="78"/>
      <c r="AQ376" s="78"/>
      <c r="AR376" s="78"/>
      <c r="AS376" s="78"/>
      <c r="AT376" s="91"/>
      <c r="AU376" s="78"/>
      <c r="AV376" s="78"/>
      <c r="AW376" s="78"/>
      <c r="AX376" s="78"/>
      <c r="AY376" s="78"/>
      <c r="AZ376" s="78"/>
      <c r="BA376" s="78"/>
      <c r="BB376" s="78"/>
      <c r="BC376" s="78"/>
      <c r="BD376" s="78"/>
      <c r="BE376" s="78"/>
      <c r="BF376" s="78"/>
      <c r="BG376" s="78"/>
      <c r="BH376" s="78"/>
      <c r="BI376" s="78"/>
      <c r="BJ376" s="78"/>
      <c r="BK376" s="78"/>
      <c r="BL376" s="78"/>
      <c r="BM376" s="78"/>
      <c r="BN376" s="78"/>
      <c r="BO376" s="78"/>
      <c r="BP376" s="78"/>
      <c r="BQ376" s="78"/>
      <c r="BR376" s="78"/>
      <c r="BS376" s="78"/>
      <c r="BT376" s="78"/>
      <c r="BU376" s="78"/>
      <c r="BV376" s="78"/>
      <c r="BW376" s="78"/>
      <c r="BX376" s="78"/>
      <c r="BY376" s="78"/>
      <c r="BZ376" s="78"/>
      <c r="CA376" s="78"/>
      <c r="CB376" s="78"/>
      <c r="CC376" s="78"/>
      <c r="CD376" s="78"/>
      <c r="CE376" s="78"/>
      <c r="CF376" s="78"/>
      <c r="CG376" s="78"/>
      <c r="CH376" s="78"/>
      <c r="CI376" s="78"/>
      <c r="CJ376" s="78"/>
      <c r="CK376" s="78"/>
      <c r="CL376" s="78"/>
      <c r="CM376" s="78"/>
      <c r="CN376" s="78"/>
      <c r="CO376" s="78"/>
      <c r="CP376" s="78"/>
      <c r="CQ376" s="78"/>
      <c r="CR376" s="78"/>
      <c r="CS376" s="78"/>
      <c r="CT376" s="78"/>
      <c r="CU376" s="78"/>
      <c r="CV376" s="78"/>
      <c r="CW376" s="78"/>
      <c r="CX376" s="78"/>
      <c r="CY376" s="78"/>
      <c r="CZ376" s="78"/>
      <c r="DA376" s="78"/>
      <c r="DB376" s="78"/>
      <c r="DC376" s="78"/>
      <c r="DD376" s="78"/>
      <c r="DE376" s="78"/>
      <c r="DF376" s="78"/>
      <c r="DG376" s="78"/>
      <c r="DH376" s="78"/>
      <c r="DI376" s="78"/>
      <c r="DJ376" s="78"/>
      <c r="DK376" s="78"/>
      <c r="DL376" s="78"/>
      <c r="DM376" s="78"/>
      <c r="DN376" s="78"/>
      <c r="DO376" s="78"/>
      <c r="DP376" s="78"/>
      <c r="DQ376" s="78"/>
      <c r="DR376" s="78"/>
      <c r="DS376" s="78"/>
      <c r="DT376" s="78"/>
      <c r="DU376" s="78"/>
      <c r="DV376" s="78"/>
      <c r="DW376" s="78"/>
      <c r="DX376" s="78"/>
      <c r="DY376" s="78"/>
      <c r="DZ376" s="78"/>
      <c r="EA376" s="78"/>
      <c r="EB376" s="78"/>
      <c r="EC376" s="78"/>
      <c r="ED376" s="78"/>
      <c r="EE376" s="78"/>
      <c r="EF376" s="78"/>
      <c r="EG376" s="78"/>
      <c r="EH376" s="78"/>
      <c r="EI376" s="91"/>
      <c r="EJ376" s="91"/>
      <c r="EK376" s="91"/>
      <c r="EL376" s="91"/>
      <c r="EM376" s="91"/>
      <c r="EN376" s="91"/>
      <c r="EO376" s="91"/>
      <c r="EP376" s="78"/>
      <c r="EQ376" s="78"/>
      <c r="ER376" s="78"/>
      <c r="ES376" s="78"/>
      <c r="ET376" s="78"/>
      <c r="EU376" s="78"/>
      <c r="EV376" s="78"/>
      <c r="EW376" s="78"/>
      <c r="EX376" s="78"/>
      <c r="EY376" s="78"/>
      <c r="EZ376" s="78"/>
      <c r="FA376" s="78"/>
      <c r="FB376" s="78"/>
      <c r="FC376" s="78"/>
      <c r="FD376" s="78"/>
      <c r="FE376" s="78"/>
      <c r="FF376" s="78"/>
      <c r="FG376" s="78"/>
      <c r="FH376" s="78"/>
      <c r="FI376" s="78"/>
      <c r="FJ376" s="78"/>
      <c r="FK376" s="78"/>
    </row>
    <row r="377" spans="1:167" hidden="1" outlineLevel="1">
      <c r="A377" s="29" t="str">
        <f t="shared" si="32"/>
        <v>modesg_out_bens_imoveisscp2_emss</v>
      </c>
      <c r="B377" s="67" t="s">
        <v>26</v>
      </c>
      <c r="C377" s="68" t="s">
        <v>310</v>
      </c>
      <c r="D377" s="64" t="s">
        <v>40</v>
      </c>
      <c r="E377" s="66" t="s">
        <v>311</v>
      </c>
      <c r="F377" s="64" t="s">
        <v>286</v>
      </c>
      <c r="G377" s="64" t="str">
        <f>INDEX(Auxiliar!$B$16:$B$24,MATCH(Plano_V1!H377,Auxiliar!$C$16:$C$24,0),1)</f>
        <v>1. Concluído</v>
      </c>
      <c r="H377" s="64">
        <f>VLOOKUP(A377,'Aux - pivots1'!$A:$B,2,0)</f>
        <v>1</v>
      </c>
      <c r="I377" s="84">
        <f>SUMIFS(Table1[Estimação (horas)],Table1[Tabela],Plano_V1!E377,Table1[Campo],Plano_V1!F377)</f>
        <v>8.1</v>
      </c>
      <c r="J377" s="84">
        <f t="shared" si="33"/>
        <v>1.0125</v>
      </c>
      <c r="K377" s="87" t="s">
        <v>312</v>
      </c>
      <c r="L377" s="90">
        <f t="shared" si="31"/>
        <v>1.0125</v>
      </c>
      <c r="M377" s="78"/>
      <c r="N377" s="78"/>
      <c r="O377" s="78"/>
      <c r="P377" s="78"/>
      <c r="Q377" s="78"/>
      <c r="R377" s="78"/>
      <c r="S377" s="78"/>
      <c r="T377" s="78"/>
      <c r="U377" s="78"/>
      <c r="V377" s="78"/>
      <c r="W377" s="78"/>
      <c r="X377" s="78"/>
      <c r="Y377" s="78"/>
      <c r="Z377" s="78"/>
      <c r="AA377" s="78"/>
      <c r="AB377" s="78"/>
      <c r="AC377" s="78"/>
      <c r="AD377" s="78"/>
      <c r="AE377" s="78"/>
      <c r="AF377" s="78"/>
      <c r="AG377" s="78"/>
      <c r="AH377" s="78"/>
      <c r="AI377" s="78"/>
      <c r="AJ377" s="78"/>
      <c r="AK377" s="78"/>
      <c r="AL377" s="78"/>
      <c r="AM377" s="78"/>
      <c r="AN377" s="78"/>
      <c r="AO377" s="78"/>
      <c r="AP377" s="78"/>
      <c r="AQ377" s="78"/>
      <c r="AR377" s="78"/>
      <c r="AS377" s="78"/>
      <c r="AT377" s="91"/>
      <c r="AU377" s="78"/>
      <c r="AV377" s="78"/>
      <c r="AW377" s="78"/>
      <c r="AX377" s="78"/>
      <c r="AY377" s="78"/>
      <c r="AZ377" s="78"/>
      <c r="BA377" s="78"/>
      <c r="BB377" s="78"/>
      <c r="BC377" s="78"/>
      <c r="BD377" s="78"/>
      <c r="BE377" s="78"/>
      <c r="BF377" s="78"/>
      <c r="BG377" s="78"/>
      <c r="BH377" s="78"/>
      <c r="BI377" s="78"/>
      <c r="BJ377" s="78"/>
      <c r="BK377" s="78"/>
      <c r="BL377" s="78"/>
      <c r="BM377" s="78"/>
      <c r="BN377" s="78"/>
      <c r="BO377" s="78"/>
      <c r="BP377" s="78"/>
      <c r="BQ377" s="78"/>
      <c r="BR377" s="78"/>
      <c r="BS377" s="78"/>
      <c r="BT377" s="78"/>
      <c r="BU377" s="78"/>
      <c r="BV377" s="78"/>
      <c r="BW377" s="78"/>
      <c r="BX377" s="78"/>
      <c r="BY377" s="78"/>
      <c r="BZ377" s="78"/>
      <c r="CA377" s="78"/>
      <c r="CB377" s="78"/>
      <c r="CC377" s="78"/>
      <c r="CD377" s="78"/>
      <c r="CE377" s="78"/>
      <c r="CF377" s="78"/>
      <c r="CG377" s="78"/>
      <c r="CH377" s="78"/>
      <c r="CI377" s="78"/>
      <c r="CJ377" s="78"/>
      <c r="CK377" s="78"/>
      <c r="CL377" s="78"/>
      <c r="CM377" s="78"/>
      <c r="CN377" s="78"/>
      <c r="CO377" s="78"/>
      <c r="CP377" s="78"/>
      <c r="CQ377" s="78"/>
      <c r="CR377" s="78"/>
      <c r="CS377" s="78"/>
      <c r="CT377" s="78"/>
      <c r="CU377" s="78"/>
      <c r="CV377" s="78"/>
      <c r="CW377" s="78"/>
      <c r="CX377" s="78"/>
      <c r="CY377" s="78"/>
      <c r="CZ377" s="78"/>
      <c r="DA377" s="78"/>
      <c r="DB377" s="78"/>
      <c r="DC377" s="78"/>
      <c r="DD377" s="78"/>
      <c r="DE377" s="78"/>
      <c r="DF377" s="78"/>
      <c r="DG377" s="78"/>
      <c r="DH377" s="78"/>
      <c r="DI377" s="78"/>
      <c r="DJ377" s="78"/>
      <c r="DK377" s="78"/>
      <c r="DL377" s="78"/>
      <c r="DM377" s="78"/>
      <c r="DN377" s="78"/>
      <c r="DO377" s="78"/>
      <c r="DP377" s="78"/>
      <c r="DQ377" s="78"/>
      <c r="DR377" s="78"/>
      <c r="DS377" s="78"/>
      <c r="DT377" s="78"/>
      <c r="DU377" s="78"/>
      <c r="DV377" s="78"/>
      <c r="DW377" s="78"/>
      <c r="DX377" s="78"/>
      <c r="DY377" s="78"/>
      <c r="DZ377" s="78"/>
      <c r="EA377" s="78"/>
      <c r="EB377" s="78"/>
      <c r="EC377" s="78"/>
      <c r="ED377" s="78"/>
      <c r="EE377" s="78"/>
      <c r="EF377" s="78"/>
      <c r="EG377" s="78"/>
      <c r="EH377" s="78"/>
      <c r="EI377" s="91"/>
      <c r="EJ377" s="91"/>
      <c r="EK377" s="91"/>
      <c r="EL377" s="91"/>
      <c r="EM377" s="91"/>
      <c r="EN377" s="91"/>
      <c r="EO377" s="91"/>
      <c r="EP377" s="78"/>
      <c r="EQ377" s="78"/>
      <c r="ER377" s="78"/>
      <c r="ES377" s="78"/>
      <c r="ET377" s="78"/>
      <c r="EU377" s="78"/>
      <c r="EV377" s="78"/>
      <c r="EW377" s="78"/>
      <c r="EX377" s="78"/>
      <c r="EY377" s="78"/>
      <c r="EZ377" s="78"/>
      <c r="FA377" s="78"/>
      <c r="FB377" s="78"/>
      <c r="FC377" s="78"/>
      <c r="FD377" s="78"/>
      <c r="FE377" s="78"/>
      <c r="FF377" s="78"/>
      <c r="FG377" s="78"/>
      <c r="FH377" s="78"/>
      <c r="FI377" s="78"/>
      <c r="FJ377" s="78"/>
      <c r="FK377" s="78"/>
    </row>
    <row r="378" spans="1:167" hidden="1" outlineLevel="1">
      <c r="A378" s="29" t="str">
        <f t="shared" si="32"/>
        <v>modesg_out_bens_imoveisscp3_emss</v>
      </c>
      <c r="B378" s="67" t="s">
        <v>26</v>
      </c>
      <c r="C378" s="68" t="s">
        <v>310</v>
      </c>
      <c r="D378" s="64" t="s">
        <v>40</v>
      </c>
      <c r="E378" s="66" t="s">
        <v>311</v>
      </c>
      <c r="F378" s="64" t="s">
        <v>287</v>
      </c>
      <c r="G378" s="64" t="str">
        <f>INDEX(Auxiliar!$B$16:$B$24,MATCH(Plano_V1!H378,Auxiliar!$C$16:$C$24,0),1)</f>
        <v>1. Concluído</v>
      </c>
      <c r="H378" s="64">
        <f>VLOOKUP(A378,'Aux - pivots1'!$A:$B,2,0)</f>
        <v>1</v>
      </c>
      <c r="I378" s="84">
        <f>SUMIFS(Table1[Estimação (horas)],Table1[Tabela],Plano_V1!E378,Table1[Campo],Plano_V1!F378)</f>
        <v>4.0999999999999996</v>
      </c>
      <c r="J378" s="84">
        <f t="shared" si="33"/>
        <v>0.51249999999999996</v>
      </c>
      <c r="K378" s="87" t="s">
        <v>312</v>
      </c>
      <c r="L378" s="90">
        <f t="shared" si="31"/>
        <v>0.51249999999999996</v>
      </c>
      <c r="M378" s="78"/>
      <c r="N378" s="78"/>
      <c r="O378" s="78"/>
      <c r="P378" s="78"/>
      <c r="Q378" s="78"/>
      <c r="R378" s="78"/>
      <c r="S378" s="78"/>
      <c r="T378" s="78"/>
      <c r="U378" s="78"/>
      <c r="V378" s="78"/>
      <c r="W378" s="78"/>
      <c r="X378" s="78"/>
      <c r="Y378" s="78"/>
      <c r="Z378" s="78"/>
      <c r="AA378" s="78"/>
      <c r="AB378" s="78"/>
      <c r="AC378" s="78"/>
      <c r="AD378" s="78"/>
      <c r="AE378" s="78"/>
      <c r="AF378" s="78"/>
      <c r="AG378" s="78"/>
      <c r="AH378" s="78"/>
      <c r="AI378" s="78"/>
      <c r="AJ378" s="78"/>
      <c r="AK378" s="78"/>
      <c r="AL378" s="78"/>
      <c r="AM378" s="78"/>
      <c r="AN378" s="78"/>
      <c r="AO378" s="78"/>
      <c r="AP378" s="78"/>
      <c r="AQ378" s="78"/>
      <c r="AR378" s="78"/>
      <c r="AS378" s="78"/>
      <c r="AT378" s="91"/>
      <c r="AU378" s="78"/>
      <c r="AV378" s="78"/>
      <c r="AW378" s="78"/>
      <c r="AX378" s="78"/>
      <c r="AY378" s="78"/>
      <c r="AZ378" s="78"/>
      <c r="BA378" s="78"/>
      <c r="BB378" s="78"/>
      <c r="BC378" s="78"/>
      <c r="BD378" s="78"/>
      <c r="BE378" s="78"/>
      <c r="BF378" s="78"/>
      <c r="BG378" s="78"/>
      <c r="BH378" s="78"/>
      <c r="BI378" s="78"/>
      <c r="BJ378" s="78"/>
      <c r="BK378" s="78"/>
      <c r="BL378" s="78"/>
      <c r="BM378" s="78"/>
      <c r="BN378" s="78"/>
      <c r="BO378" s="78"/>
      <c r="BP378" s="78"/>
      <c r="BQ378" s="78"/>
      <c r="BR378" s="78"/>
      <c r="BS378" s="78"/>
      <c r="BT378" s="78"/>
      <c r="BU378" s="78"/>
      <c r="BV378" s="78"/>
      <c r="BW378" s="78"/>
      <c r="BX378" s="78"/>
      <c r="BY378" s="78"/>
      <c r="BZ378" s="78"/>
      <c r="CA378" s="78"/>
      <c r="CB378" s="78"/>
      <c r="CC378" s="78"/>
      <c r="CD378" s="78"/>
      <c r="CE378" s="78"/>
      <c r="CF378" s="78"/>
      <c r="CG378" s="78"/>
      <c r="CH378" s="78"/>
      <c r="CI378" s="78"/>
      <c r="CJ378" s="78"/>
      <c r="CK378" s="78"/>
      <c r="CL378" s="78"/>
      <c r="CM378" s="78"/>
      <c r="CN378" s="78"/>
      <c r="CO378" s="78"/>
      <c r="CP378" s="78"/>
      <c r="CQ378" s="78"/>
      <c r="CR378" s="78"/>
      <c r="CS378" s="78"/>
      <c r="CT378" s="78"/>
      <c r="CU378" s="78"/>
      <c r="CV378" s="78"/>
      <c r="CW378" s="78"/>
      <c r="CX378" s="78"/>
      <c r="CY378" s="78"/>
      <c r="CZ378" s="78"/>
      <c r="DA378" s="78"/>
      <c r="DB378" s="78"/>
      <c r="DC378" s="78"/>
      <c r="DD378" s="78"/>
      <c r="DE378" s="78"/>
      <c r="DF378" s="78"/>
      <c r="DG378" s="78"/>
      <c r="DH378" s="78"/>
      <c r="DI378" s="78"/>
      <c r="DJ378" s="78"/>
      <c r="DK378" s="78"/>
      <c r="DL378" s="78"/>
      <c r="DM378" s="78"/>
      <c r="DN378" s="78"/>
      <c r="DO378" s="78"/>
      <c r="DP378" s="78"/>
      <c r="DQ378" s="78"/>
      <c r="DR378" s="78"/>
      <c r="DS378" s="78"/>
      <c r="DT378" s="78"/>
      <c r="DU378" s="78"/>
      <c r="DV378" s="78"/>
      <c r="DW378" s="78"/>
      <c r="DX378" s="78"/>
      <c r="DY378" s="78"/>
      <c r="DZ378" s="78"/>
      <c r="EA378" s="78"/>
      <c r="EB378" s="78"/>
      <c r="EC378" s="78"/>
      <c r="ED378" s="78"/>
      <c r="EE378" s="78"/>
      <c r="EF378" s="78"/>
      <c r="EG378" s="78"/>
      <c r="EH378" s="78"/>
      <c r="EI378" s="91"/>
      <c r="EJ378" s="91"/>
      <c r="EK378" s="91"/>
      <c r="EL378" s="91"/>
      <c r="EM378" s="91"/>
      <c r="EN378" s="91"/>
      <c r="EO378" s="91"/>
      <c r="EP378" s="78"/>
      <c r="EQ378" s="78"/>
      <c r="ER378" s="78"/>
      <c r="ES378" s="78"/>
      <c r="ET378" s="78"/>
      <c r="EU378" s="78"/>
      <c r="EV378" s="78"/>
      <c r="EW378" s="78"/>
      <c r="EX378" s="78"/>
      <c r="EY378" s="78"/>
      <c r="EZ378" s="78"/>
      <c r="FA378" s="78"/>
      <c r="FB378" s="78"/>
      <c r="FC378" s="78"/>
      <c r="FD378" s="78"/>
      <c r="FE378" s="78"/>
      <c r="FF378" s="78"/>
      <c r="FG378" s="78"/>
      <c r="FH378" s="78"/>
      <c r="FI378" s="78"/>
      <c r="FJ378" s="78"/>
      <c r="FK378" s="78"/>
    </row>
    <row r="379" spans="1:167" hidden="1" outlineLevel="1">
      <c r="A379" s="29" t="str">
        <f t="shared" si="32"/>
        <v>modesg_out_bens_imoveisunidade_funcional_scp1_emss</v>
      </c>
      <c r="B379" s="67" t="s">
        <v>26</v>
      </c>
      <c r="C379" s="68" t="s">
        <v>310</v>
      </c>
      <c r="D379" s="64" t="s">
        <v>40</v>
      </c>
      <c r="E379" s="66" t="s">
        <v>311</v>
      </c>
      <c r="F379" s="64" t="s">
        <v>322</v>
      </c>
      <c r="G379" s="64" t="str">
        <f>INDEX(Auxiliar!$B$16:$B$24,MATCH(Plano_V1!H379,Auxiliar!$C$16:$C$24,0),1)</f>
        <v>1. Concluído</v>
      </c>
      <c r="H379" s="64">
        <f>VLOOKUP(A379,'Aux - pivots1'!$A:$B,2,0)</f>
        <v>1</v>
      </c>
      <c r="I379" s="84">
        <f>SUMIFS(Table1[Estimação (horas)],Table1[Tabela],Plano_V1!E379,Table1[Campo],Plano_V1!F379)</f>
        <v>4.0999999999999996</v>
      </c>
      <c r="J379" s="84">
        <f t="shared" si="33"/>
        <v>0.51249999999999996</v>
      </c>
      <c r="K379" s="87" t="s">
        <v>312</v>
      </c>
      <c r="L379" s="90">
        <f t="shared" si="31"/>
        <v>0.51249999999999996</v>
      </c>
      <c r="M379" s="78"/>
      <c r="N379" s="78"/>
      <c r="O379" s="78"/>
      <c r="P379" s="78"/>
      <c r="Q379" s="78"/>
      <c r="R379" s="78"/>
      <c r="S379" s="78"/>
      <c r="T379" s="78"/>
      <c r="U379" s="78"/>
      <c r="V379" s="78"/>
      <c r="W379" s="78"/>
      <c r="X379" s="78"/>
      <c r="Y379" s="78"/>
      <c r="Z379" s="78"/>
      <c r="AA379" s="78"/>
      <c r="AB379" s="78"/>
      <c r="AC379" s="78"/>
      <c r="AD379" s="78"/>
      <c r="AE379" s="78"/>
      <c r="AF379" s="78"/>
      <c r="AG379" s="78"/>
      <c r="AH379" s="78"/>
      <c r="AI379" s="78"/>
      <c r="AJ379" s="78"/>
      <c r="AK379" s="78"/>
      <c r="AL379" s="78"/>
      <c r="AM379" s="78"/>
      <c r="AN379" s="78"/>
      <c r="AO379" s="78"/>
      <c r="AP379" s="78"/>
      <c r="AQ379" s="78"/>
      <c r="AR379" s="78"/>
      <c r="AS379" s="78"/>
      <c r="AT379" s="91"/>
      <c r="AU379" s="78"/>
      <c r="AV379" s="78"/>
      <c r="AW379" s="78"/>
      <c r="AX379" s="78"/>
      <c r="AY379" s="78"/>
      <c r="AZ379" s="78"/>
      <c r="BA379" s="78"/>
      <c r="BB379" s="78"/>
      <c r="BC379" s="78"/>
      <c r="BD379" s="78"/>
      <c r="BE379" s="78"/>
      <c r="BF379" s="78"/>
      <c r="BG379" s="78"/>
      <c r="BH379" s="78"/>
      <c r="BI379" s="78"/>
      <c r="BJ379" s="78"/>
      <c r="BK379" s="78"/>
      <c r="BL379" s="78"/>
      <c r="BM379" s="78"/>
      <c r="BN379" s="78"/>
      <c r="BO379" s="78"/>
      <c r="BP379" s="78"/>
      <c r="BQ379" s="78"/>
      <c r="BR379" s="78"/>
      <c r="BS379" s="78"/>
      <c r="BT379" s="78"/>
      <c r="BU379" s="78"/>
      <c r="BV379" s="78"/>
      <c r="BW379" s="78"/>
      <c r="BX379" s="78"/>
      <c r="BY379" s="78"/>
      <c r="BZ379" s="78"/>
      <c r="CA379" s="78"/>
      <c r="CB379" s="78"/>
      <c r="CC379" s="78"/>
      <c r="CD379" s="78"/>
      <c r="CE379" s="78"/>
      <c r="CF379" s="78"/>
      <c r="CG379" s="78"/>
      <c r="CH379" s="78"/>
      <c r="CI379" s="78"/>
      <c r="CJ379" s="78"/>
      <c r="CK379" s="78"/>
      <c r="CL379" s="78"/>
      <c r="CM379" s="78"/>
      <c r="CN379" s="78"/>
      <c r="CO379" s="78"/>
      <c r="CP379" s="78"/>
      <c r="CQ379" s="78"/>
      <c r="CR379" s="78"/>
      <c r="CS379" s="78"/>
      <c r="CT379" s="78"/>
      <c r="CU379" s="78"/>
      <c r="CV379" s="78"/>
      <c r="CW379" s="78"/>
      <c r="CX379" s="78"/>
      <c r="CY379" s="78"/>
      <c r="CZ379" s="78"/>
      <c r="DA379" s="78"/>
      <c r="DB379" s="78"/>
      <c r="DC379" s="78"/>
      <c r="DD379" s="78"/>
      <c r="DE379" s="78"/>
      <c r="DF379" s="78"/>
      <c r="DG379" s="78"/>
      <c r="DH379" s="78"/>
      <c r="DI379" s="78"/>
      <c r="DJ379" s="78"/>
      <c r="DK379" s="78"/>
      <c r="DL379" s="78"/>
      <c r="DM379" s="78"/>
      <c r="DN379" s="78"/>
      <c r="DO379" s="78"/>
      <c r="DP379" s="78"/>
      <c r="DQ379" s="78"/>
      <c r="DR379" s="78"/>
      <c r="DS379" s="78"/>
      <c r="DT379" s="78"/>
      <c r="DU379" s="78"/>
      <c r="DV379" s="78"/>
      <c r="DW379" s="78"/>
      <c r="DX379" s="78"/>
      <c r="DY379" s="78"/>
      <c r="DZ379" s="78"/>
      <c r="EA379" s="78"/>
      <c r="EB379" s="78"/>
      <c r="EC379" s="78"/>
      <c r="ED379" s="78"/>
      <c r="EE379" s="78"/>
      <c r="EF379" s="78"/>
      <c r="EG379" s="78"/>
      <c r="EH379" s="78"/>
      <c r="EI379" s="91"/>
      <c r="EJ379" s="91"/>
      <c r="EK379" s="91"/>
      <c r="EL379" s="91"/>
      <c r="EM379" s="91"/>
      <c r="EN379" s="91"/>
      <c r="EO379" s="91"/>
      <c r="EP379" s="78"/>
      <c r="EQ379" s="78"/>
      <c r="ER379" s="78"/>
      <c r="ES379" s="78"/>
      <c r="ET379" s="78"/>
      <c r="EU379" s="78"/>
      <c r="EV379" s="78"/>
      <c r="EW379" s="78"/>
      <c r="EX379" s="78"/>
      <c r="EY379" s="78"/>
      <c r="EZ379" s="78"/>
      <c r="FA379" s="78"/>
      <c r="FB379" s="78"/>
      <c r="FC379" s="78"/>
      <c r="FD379" s="78"/>
      <c r="FE379" s="78"/>
      <c r="FF379" s="78"/>
      <c r="FG379" s="78"/>
      <c r="FH379" s="78"/>
      <c r="FI379" s="78"/>
      <c r="FJ379" s="78"/>
      <c r="FK379" s="78"/>
    </row>
    <row r="380" spans="1:167" hidden="1" outlineLevel="1">
      <c r="A380" s="29" t="str">
        <f t="shared" si="32"/>
        <v>modesg_out_bens_imoveisunidade_funcional_scp2_emss</v>
      </c>
      <c r="B380" s="67" t="s">
        <v>26</v>
      </c>
      <c r="C380" s="68" t="s">
        <v>310</v>
      </c>
      <c r="D380" s="64" t="s">
        <v>40</v>
      </c>
      <c r="E380" s="66" t="s">
        <v>311</v>
      </c>
      <c r="F380" s="64" t="s">
        <v>323</v>
      </c>
      <c r="G380" s="64" t="str">
        <f>INDEX(Auxiliar!$B$16:$B$24,MATCH(Plano_V1!H380,Auxiliar!$C$16:$C$24,0),1)</f>
        <v>1. Concluído</v>
      </c>
      <c r="H380" s="64">
        <f>VLOOKUP(A380,'Aux - pivots1'!$A:$B,2,0)</f>
        <v>1</v>
      </c>
      <c r="I380" s="84">
        <f>SUMIFS(Table1[Estimação (horas)],Table1[Tabela],Plano_V1!E380,Table1[Campo],Plano_V1!F380)</f>
        <v>4.0999999999999996</v>
      </c>
      <c r="J380" s="84">
        <f t="shared" si="33"/>
        <v>0.51249999999999996</v>
      </c>
      <c r="K380" s="87" t="s">
        <v>312</v>
      </c>
      <c r="L380" s="90">
        <f t="shared" si="31"/>
        <v>0.51249999999999996</v>
      </c>
      <c r="M380" s="78"/>
      <c r="N380" s="78"/>
      <c r="O380" s="78"/>
      <c r="P380" s="78"/>
      <c r="Q380" s="78"/>
      <c r="R380" s="78"/>
      <c r="S380" s="78"/>
      <c r="T380" s="78"/>
      <c r="U380" s="78"/>
      <c r="V380" s="78"/>
      <c r="W380" s="78"/>
      <c r="X380" s="78"/>
      <c r="Y380" s="78"/>
      <c r="Z380" s="78"/>
      <c r="AA380" s="78"/>
      <c r="AB380" s="78"/>
      <c r="AC380" s="78"/>
      <c r="AD380" s="78"/>
      <c r="AE380" s="78"/>
      <c r="AF380" s="78"/>
      <c r="AG380" s="78"/>
      <c r="AH380" s="78"/>
      <c r="AI380" s="78"/>
      <c r="AJ380" s="78"/>
      <c r="AK380" s="78"/>
      <c r="AL380" s="78"/>
      <c r="AM380" s="78"/>
      <c r="AN380" s="78"/>
      <c r="AO380" s="78"/>
      <c r="AP380" s="78"/>
      <c r="AQ380" s="78"/>
      <c r="AR380" s="78"/>
      <c r="AS380" s="78"/>
      <c r="AT380" s="91"/>
      <c r="AU380" s="78"/>
      <c r="AV380" s="78"/>
      <c r="AW380" s="78"/>
      <c r="AX380" s="78"/>
      <c r="AY380" s="78"/>
      <c r="AZ380" s="78"/>
      <c r="BA380" s="78"/>
      <c r="BB380" s="78"/>
      <c r="BC380" s="78"/>
      <c r="BD380" s="78"/>
      <c r="BE380" s="78"/>
      <c r="BF380" s="78"/>
      <c r="BG380" s="78"/>
      <c r="BH380" s="78"/>
      <c r="BI380" s="78"/>
      <c r="BJ380" s="78"/>
      <c r="BK380" s="78"/>
      <c r="BL380" s="78"/>
      <c r="BM380" s="78"/>
      <c r="BN380" s="78"/>
      <c r="BO380" s="78"/>
      <c r="BP380" s="78"/>
      <c r="BQ380" s="78"/>
      <c r="BR380" s="78"/>
      <c r="BS380" s="78"/>
      <c r="BT380" s="78"/>
      <c r="BU380" s="78"/>
      <c r="BV380" s="78"/>
      <c r="BW380" s="78"/>
      <c r="BX380" s="78"/>
      <c r="BY380" s="78"/>
      <c r="BZ380" s="78"/>
      <c r="CA380" s="78"/>
      <c r="CB380" s="78"/>
      <c r="CC380" s="78"/>
      <c r="CD380" s="78"/>
      <c r="CE380" s="78"/>
      <c r="CF380" s="78"/>
      <c r="CG380" s="78"/>
      <c r="CH380" s="78"/>
      <c r="CI380" s="78"/>
      <c r="CJ380" s="78"/>
      <c r="CK380" s="78"/>
      <c r="CL380" s="78"/>
      <c r="CM380" s="78"/>
      <c r="CN380" s="78"/>
      <c r="CO380" s="78"/>
      <c r="CP380" s="78"/>
      <c r="CQ380" s="78"/>
      <c r="CR380" s="78"/>
      <c r="CS380" s="78"/>
      <c r="CT380" s="78"/>
      <c r="CU380" s="78"/>
      <c r="CV380" s="78"/>
      <c r="CW380" s="78"/>
      <c r="CX380" s="78"/>
      <c r="CY380" s="78"/>
      <c r="CZ380" s="78"/>
      <c r="DA380" s="78"/>
      <c r="DB380" s="78"/>
      <c r="DC380" s="78"/>
      <c r="DD380" s="78"/>
      <c r="DE380" s="78"/>
      <c r="DF380" s="78"/>
      <c r="DG380" s="78"/>
      <c r="DH380" s="78"/>
      <c r="DI380" s="78"/>
      <c r="DJ380" s="78"/>
      <c r="DK380" s="78"/>
      <c r="DL380" s="78"/>
      <c r="DM380" s="78"/>
      <c r="DN380" s="78"/>
      <c r="DO380" s="78"/>
      <c r="DP380" s="78"/>
      <c r="DQ380" s="78"/>
      <c r="DR380" s="78"/>
      <c r="DS380" s="78"/>
      <c r="DT380" s="78"/>
      <c r="DU380" s="78"/>
      <c r="DV380" s="78"/>
      <c r="DW380" s="78"/>
      <c r="DX380" s="78"/>
      <c r="DY380" s="78"/>
      <c r="DZ380" s="78"/>
      <c r="EA380" s="78"/>
      <c r="EB380" s="78"/>
      <c r="EC380" s="78"/>
      <c r="ED380" s="78"/>
      <c r="EE380" s="78"/>
      <c r="EF380" s="78"/>
      <c r="EG380" s="78"/>
      <c r="EH380" s="78"/>
      <c r="EI380" s="91"/>
      <c r="EJ380" s="91"/>
      <c r="EK380" s="91"/>
      <c r="EL380" s="91"/>
      <c r="EM380" s="91"/>
      <c r="EN380" s="91"/>
      <c r="EO380" s="91"/>
      <c r="EP380" s="78"/>
      <c r="EQ380" s="78"/>
      <c r="ER380" s="78"/>
      <c r="ES380" s="78"/>
      <c r="ET380" s="78"/>
      <c r="EU380" s="78"/>
      <c r="EV380" s="78"/>
      <c r="EW380" s="78"/>
      <c r="EX380" s="78"/>
      <c r="EY380" s="78"/>
      <c r="EZ380" s="78"/>
      <c r="FA380" s="78"/>
      <c r="FB380" s="78"/>
      <c r="FC380" s="78"/>
      <c r="FD380" s="78"/>
      <c r="FE380" s="78"/>
      <c r="FF380" s="78"/>
      <c r="FG380" s="78"/>
      <c r="FH380" s="78"/>
      <c r="FI380" s="78"/>
      <c r="FJ380" s="78"/>
      <c r="FK380" s="78"/>
    </row>
    <row r="381" spans="1:167" hidden="1" outlineLevel="1">
      <c r="A381" s="29" t="str">
        <f t="shared" si="32"/>
        <v>modesg_out_bens_imoveisunidade_funcional_scp3_emss</v>
      </c>
      <c r="B381" s="67" t="s">
        <v>26</v>
      </c>
      <c r="C381" s="68" t="s">
        <v>310</v>
      </c>
      <c r="D381" s="64" t="s">
        <v>40</v>
      </c>
      <c r="E381" s="66" t="s">
        <v>311</v>
      </c>
      <c r="F381" s="64" t="s">
        <v>324</v>
      </c>
      <c r="G381" s="64" t="str">
        <f>INDEX(Auxiliar!$B$16:$B$24,MATCH(Plano_V1!H381,Auxiliar!$C$16:$C$24,0),1)</f>
        <v>1. Concluído</v>
      </c>
      <c r="H381" s="64">
        <f>VLOOKUP(A381,'Aux - pivots1'!$A:$B,2,0)</f>
        <v>1</v>
      </c>
      <c r="I381" s="84">
        <f>SUMIFS(Table1[Estimação (horas)],Table1[Tabela],Plano_V1!E381,Table1[Campo],Plano_V1!F381)</f>
        <v>4.0999999999999996</v>
      </c>
      <c r="J381" s="84">
        <f t="shared" si="33"/>
        <v>0.51249999999999996</v>
      </c>
      <c r="K381" s="87" t="s">
        <v>312</v>
      </c>
      <c r="L381" s="90">
        <f t="shared" si="31"/>
        <v>0.51249999999999996</v>
      </c>
      <c r="M381" s="78"/>
      <c r="N381" s="78"/>
      <c r="O381" s="78"/>
      <c r="P381" s="78"/>
      <c r="Q381" s="78"/>
      <c r="R381" s="78"/>
      <c r="S381" s="78"/>
      <c r="T381" s="78"/>
      <c r="U381" s="78"/>
      <c r="V381" s="78"/>
      <c r="W381" s="78"/>
      <c r="X381" s="78"/>
      <c r="Y381" s="78"/>
      <c r="Z381" s="78"/>
      <c r="AA381" s="78"/>
      <c r="AB381" s="78"/>
      <c r="AC381" s="78"/>
      <c r="AD381" s="78"/>
      <c r="AE381" s="78"/>
      <c r="AF381" s="78"/>
      <c r="AG381" s="78"/>
      <c r="AH381" s="78"/>
      <c r="AI381" s="78"/>
      <c r="AJ381" s="78"/>
      <c r="AK381" s="78"/>
      <c r="AL381" s="78"/>
      <c r="AM381" s="78"/>
      <c r="AN381" s="78"/>
      <c r="AO381" s="78"/>
      <c r="AP381" s="78"/>
      <c r="AQ381" s="78"/>
      <c r="AR381" s="78"/>
      <c r="AS381" s="78"/>
      <c r="AT381" s="91"/>
      <c r="AU381" s="78"/>
      <c r="AV381" s="78"/>
      <c r="AW381" s="78"/>
      <c r="AX381" s="78"/>
      <c r="AY381" s="78"/>
      <c r="AZ381" s="78"/>
      <c r="BA381" s="78"/>
      <c r="BB381" s="78"/>
      <c r="BC381" s="78"/>
      <c r="BD381" s="78"/>
      <c r="BE381" s="78"/>
      <c r="BF381" s="78"/>
      <c r="BG381" s="78"/>
      <c r="BH381" s="78"/>
      <c r="BI381" s="78"/>
      <c r="BJ381" s="78"/>
      <c r="BK381" s="78"/>
      <c r="BL381" s="78"/>
      <c r="BM381" s="78"/>
      <c r="BN381" s="78"/>
      <c r="BO381" s="78"/>
      <c r="BP381" s="78"/>
      <c r="BQ381" s="78"/>
      <c r="BR381" s="78"/>
      <c r="BS381" s="78"/>
      <c r="BT381" s="78"/>
      <c r="BU381" s="78"/>
      <c r="BV381" s="78"/>
      <c r="BW381" s="78"/>
      <c r="BX381" s="78"/>
      <c r="BY381" s="78"/>
      <c r="BZ381" s="78"/>
      <c r="CA381" s="78"/>
      <c r="CB381" s="78"/>
      <c r="CC381" s="78"/>
      <c r="CD381" s="78"/>
      <c r="CE381" s="78"/>
      <c r="CF381" s="78"/>
      <c r="CG381" s="78"/>
      <c r="CH381" s="78"/>
      <c r="CI381" s="78"/>
      <c r="CJ381" s="78"/>
      <c r="CK381" s="78"/>
      <c r="CL381" s="78"/>
      <c r="CM381" s="78"/>
      <c r="CN381" s="78"/>
      <c r="CO381" s="78"/>
      <c r="CP381" s="78"/>
      <c r="CQ381" s="78"/>
      <c r="CR381" s="78"/>
      <c r="CS381" s="78"/>
      <c r="CT381" s="78"/>
      <c r="CU381" s="78"/>
      <c r="CV381" s="78"/>
      <c r="CW381" s="78"/>
      <c r="CX381" s="78"/>
      <c r="CY381" s="78"/>
      <c r="CZ381" s="78"/>
      <c r="DA381" s="78"/>
      <c r="DB381" s="78"/>
      <c r="DC381" s="78"/>
      <c r="DD381" s="78"/>
      <c r="DE381" s="78"/>
      <c r="DF381" s="78"/>
      <c r="DG381" s="78"/>
      <c r="DH381" s="78"/>
      <c r="DI381" s="78"/>
      <c r="DJ381" s="78"/>
      <c r="DK381" s="78"/>
      <c r="DL381" s="78"/>
      <c r="DM381" s="78"/>
      <c r="DN381" s="78"/>
      <c r="DO381" s="78"/>
      <c r="DP381" s="78"/>
      <c r="DQ381" s="78"/>
      <c r="DR381" s="78"/>
      <c r="DS381" s="78"/>
      <c r="DT381" s="78"/>
      <c r="DU381" s="78"/>
      <c r="DV381" s="78"/>
      <c r="DW381" s="78"/>
      <c r="DX381" s="78"/>
      <c r="DY381" s="78"/>
      <c r="DZ381" s="78"/>
      <c r="EA381" s="78"/>
      <c r="EB381" s="78"/>
      <c r="EC381" s="78"/>
      <c r="ED381" s="78"/>
      <c r="EE381" s="78"/>
      <c r="EF381" s="78"/>
      <c r="EG381" s="78"/>
      <c r="EH381" s="78"/>
      <c r="EI381" s="91"/>
      <c r="EJ381" s="91"/>
      <c r="EK381" s="91"/>
      <c r="EL381" s="91"/>
      <c r="EM381" s="91"/>
      <c r="EN381" s="91"/>
      <c r="EO381" s="91"/>
      <c r="EP381" s="78"/>
      <c r="EQ381" s="78"/>
      <c r="ER381" s="78"/>
      <c r="ES381" s="78"/>
      <c r="ET381" s="78"/>
      <c r="EU381" s="78"/>
      <c r="EV381" s="78"/>
      <c r="EW381" s="78"/>
      <c r="EX381" s="78"/>
      <c r="EY381" s="78"/>
      <c r="EZ381" s="78"/>
      <c r="FA381" s="78"/>
      <c r="FB381" s="78"/>
      <c r="FC381" s="78"/>
      <c r="FD381" s="78"/>
      <c r="FE381" s="78"/>
      <c r="FF381" s="78"/>
      <c r="FG381" s="78"/>
      <c r="FH381" s="78"/>
      <c r="FI381" s="78"/>
      <c r="FJ381" s="78"/>
      <c r="FK381" s="78"/>
    </row>
    <row r="382" spans="1:167" hidden="1" outlineLevel="1">
      <c r="A382" s="29" t="str">
        <f t="shared" si="32"/>
        <v>modesg_out_empr_info_nfinn.a.</v>
      </c>
      <c r="B382" s="67" t="s">
        <v>26</v>
      </c>
      <c r="C382" s="68" t="s">
        <v>310</v>
      </c>
      <c r="D382" s="64" t="s">
        <v>36</v>
      </c>
      <c r="E382" s="66" t="s">
        <v>325</v>
      </c>
      <c r="F382" s="64" t="s">
        <v>38</v>
      </c>
      <c r="G382" s="64" t="str">
        <f>INDEX(Auxiliar!$B$16:$B$24,MATCH(Plano_V1!H382,Auxiliar!$C$16:$C$24,0),1)</f>
        <v>1. Concluído</v>
      </c>
      <c r="H382" s="64">
        <f>VLOOKUP(A382,'Aux - pivots1'!$A:$B,2,0)</f>
        <v>1</v>
      </c>
      <c r="I382" s="84">
        <f>SUMIFS(Table1[Estimação (horas)],Table1[Tabela],Plano_V1!E382,Table1[Campo],Plano_V1!F382)</f>
        <v>8</v>
      </c>
      <c r="J382" s="84">
        <f t="shared" si="33"/>
        <v>1</v>
      </c>
      <c r="K382" s="87" t="s">
        <v>326</v>
      </c>
      <c r="L382" s="90">
        <f t="shared" si="31"/>
        <v>1</v>
      </c>
      <c r="M382" s="78"/>
      <c r="N382" s="78"/>
      <c r="O382" s="78"/>
      <c r="P382" s="78"/>
      <c r="Q382" s="78"/>
      <c r="R382" s="78"/>
      <c r="S382" s="78"/>
      <c r="T382" s="78"/>
      <c r="U382" s="78"/>
      <c r="V382" s="78"/>
      <c r="W382" s="78"/>
      <c r="X382" s="78"/>
      <c r="Y382" s="78"/>
      <c r="Z382" s="78"/>
      <c r="AA382" s="78"/>
      <c r="AB382" s="78"/>
      <c r="AC382" s="78"/>
      <c r="AD382" s="78"/>
      <c r="AE382" s="78"/>
      <c r="AF382" s="78"/>
      <c r="AG382" s="78"/>
      <c r="AH382" s="78"/>
      <c r="AI382" s="78"/>
      <c r="AJ382" s="78"/>
      <c r="AK382" s="78"/>
      <c r="AL382" s="78"/>
      <c r="AM382" s="78"/>
      <c r="AN382" s="78"/>
      <c r="AO382" s="78"/>
      <c r="AP382" s="78"/>
      <c r="AQ382" s="78"/>
      <c r="AR382" s="78"/>
      <c r="AS382" s="78"/>
      <c r="AT382" s="91"/>
      <c r="AU382" s="78"/>
      <c r="AV382" s="78"/>
      <c r="AW382" s="78"/>
      <c r="AX382" s="78"/>
      <c r="AY382" s="78"/>
      <c r="AZ382" s="78"/>
      <c r="BA382" s="78"/>
      <c r="BB382" s="78"/>
      <c r="BC382" s="78"/>
      <c r="BD382" s="78"/>
      <c r="BE382" s="78"/>
      <c r="BF382" s="78"/>
      <c r="BG382" s="78"/>
      <c r="BH382" s="78"/>
      <c r="BI382" s="78"/>
      <c r="BJ382" s="78"/>
      <c r="BK382" s="78"/>
      <c r="BL382" s="78"/>
      <c r="BM382" s="78"/>
      <c r="BN382" s="78"/>
      <c r="BO382" s="78"/>
      <c r="BP382" s="78"/>
      <c r="BQ382" s="78"/>
      <c r="BR382" s="78"/>
      <c r="BS382" s="78"/>
      <c r="BT382" s="78"/>
      <c r="BU382" s="78"/>
      <c r="BV382" s="78"/>
      <c r="BW382" s="78"/>
      <c r="BX382" s="78"/>
      <c r="BY382" s="78"/>
      <c r="BZ382" s="78"/>
      <c r="CA382" s="78"/>
      <c r="CB382" s="78"/>
      <c r="CC382" s="78"/>
      <c r="CD382" s="78"/>
      <c r="CE382" s="78"/>
      <c r="CF382" s="78"/>
      <c r="CG382" s="78"/>
      <c r="CH382" s="78"/>
      <c r="CI382" s="78"/>
      <c r="CJ382" s="78"/>
      <c r="CK382" s="78"/>
      <c r="CL382" s="78"/>
      <c r="CM382" s="78"/>
      <c r="CN382" s="78"/>
      <c r="CO382" s="78"/>
      <c r="CP382" s="78"/>
      <c r="CQ382" s="78"/>
      <c r="CR382" s="78"/>
      <c r="CS382" s="78"/>
      <c r="CT382" s="78"/>
      <c r="CU382" s="78"/>
      <c r="CV382" s="78"/>
      <c r="CW382" s="78"/>
      <c r="CX382" s="78"/>
      <c r="CY382" s="78"/>
      <c r="CZ382" s="78"/>
      <c r="DA382" s="78"/>
      <c r="DB382" s="78"/>
      <c r="DC382" s="78"/>
      <c r="DD382" s="78"/>
      <c r="DE382" s="78"/>
      <c r="DF382" s="78"/>
      <c r="DG382" s="78"/>
      <c r="DH382" s="78"/>
      <c r="DI382" s="78"/>
      <c r="DJ382" s="78"/>
      <c r="DK382" s="78"/>
      <c r="DL382" s="78"/>
      <c r="DM382" s="78"/>
      <c r="DN382" s="78"/>
      <c r="DO382" s="78"/>
      <c r="DP382" s="78"/>
      <c r="DQ382" s="78"/>
      <c r="DR382" s="78"/>
      <c r="DS382" s="78"/>
      <c r="DT382" s="78"/>
      <c r="DU382" s="78"/>
      <c r="DV382" s="78"/>
      <c r="DW382" s="78"/>
      <c r="DX382" s="78"/>
      <c r="DY382" s="78"/>
      <c r="DZ382" s="78"/>
      <c r="EA382" s="78"/>
      <c r="EB382" s="78"/>
      <c r="EC382" s="78"/>
      <c r="ED382" s="78"/>
      <c r="EE382" s="78"/>
      <c r="EF382" s="78"/>
      <c r="EG382" s="78"/>
      <c r="EH382" s="78"/>
      <c r="EI382" s="91"/>
      <c r="EJ382" s="91"/>
      <c r="EK382" s="91"/>
      <c r="EL382" s="91"/>
      <c r="EM382" s="91"/>
      <c r="EN382" s="91"/>
      <c r="EO382" s="91"/>
      <c r="EP382" s="78"/>
      <c r="EQ382" s="78"/>
      <c r="ER382" s="78"/>
      <c r="ES382" s="78"/>
      <c r="ET382" s="78"/>
      <c r="EU382" s="78"/>
      <c r="EV382" s="78"/>
      <c r="EW382" s="78"/>
      <c r="EX382" s="78"/>
      <c r="EY382" s="78"/>
      <c r="EZ382" s="78"/>
      <c r="FA382" s="78"/>
      <c r="FB382" s="78"/>
      <c r="FC382" s="78"/>
      <c r="FD382" s="78"/>
      <c r="FE382" s="78"/>
      <c r="FF382" s="78"/>
      <c r="FG382" s="78"/>
      <c r="FH382" s="78"/>
      <c r="FI382" s="78"/>
      <c r="FJ382" s="78"/>
      <c r="FK382" s="78"/>
    </row>
    <row r="383" spans="1:167" hidden="1" outlineLevel="1">
      <c r="A383" s="29" t="str">
        <f t="shared" si="32"/>
        <v>modesg_out_empr_info_nfincca_capex_enblng_algnd</v>
      </c>
      <c r="B383" s="67" t="s">
        <v>26</v>
      </c>
      <c r="C383" s="68" t="s">
        <v>310</v>
      </c>
      <c r="D383" s="64" t="s">
        <v>40</v>
      </c>
      <c r="E383" s="66" t="s">
        <v>325</v>
      </c>
      <c r="F383" s="64" t="s">
        <v>249</v>
      </c>
      <c r="G383" s="64" t="str">
        <f>INDEX(Auxiliar!$B$16:$B$24,MATCH(Plano_V1!H383,Auxiliar!$C$16:$C$24,0),1)</f>
        <v>1. Concluído</v>
      </c>
      <c r="H383" s="64">
        <f>VLOOKUP(A383,'Aux - pivots1'!$A:$B,2,0)</f>
        <v>1</v>
      </c>
      <c r="I383" s="84">
        <f>SUMIFS(Table1[Estimação (horas)],Table1[Tabela],Plano_V1!E383,Table1[Campo],Plano_V1!F383)</f>
        <v>16.100000000000001</v>
      </c>
      <c r="J383" s="84">
        <f t="shared" si="33"/>
        <v>2.0125000000000002</v>
      </c>
      <c r="K383" s="87" t="s">
        <v>326</v>
      </c>
      <c r="L383" s="90">
        <f t="shared" si="31"/>
        <v>2.0125000000000002</v>
      </c>
      <c r="M383" s="78"/>
      <c r="N383" s="78"/>
      <c r="O383" s="78"/>
      <c r="P383" s="78"/>
      <c r="Q383" s="78"/>
      <c r="R383" s="78"/>
      <c r="S383" s="78"/>
      <c r="T383" s="78"/>
      <c r="U383" s="78"/>
      <c r="V383" s="78"/>
      <c r="W383" s="78"/>
      <c r="X383" s="78"/>
      <c r="Y383" s="78"/>
      <c r="Z383" s="78"/>
      <c r="AA383" s="78"/>
      <c r="AB383" s="78"/>
      <c r="AC383" s="78"/>
      <c r="AD383" s="78"/>
      <c r="AE383" s="78"/>
      <c r="AF383" s="78"/>
      <c r="AG383" s="78"/>
      <c r="AH383" s="78"/>
      <c r="AI383" s="78"/>
      <c r="AJ383" s="78"/>
      <c r="AK383" s="78"/>
      <c r="AL383" s="78"/>
      <c r="AM383" s="78"/>
      <c r="AN383" s="78"/>
      <c r="AO383" s="78"/>
      <c r="AP383" s="78"/>
      <c r="AQ383" s="78"/>
      <c r="AR383" s="78"/>
      <c r="AS383" s="78"/>
      <c r="AT383" s="91"/>
      <c r="AU383" s="78"/>
      <c r="AV383" s="78"/>
      <c r="AW383" s="78"/>
      <c r="AX383" s="78"/>
      <c r="AY383" s="78"/>
      <c r="AZ383" s="78"/>
      <c r="BA383" s="78"/>
      <c r="BB383" s="78"/>
      <c r="BC383" s="78"/>
      <c r="BD383" s="78"/>
      <c r="BE383" s="78"/>
      <c r="BF383" s="78"/>
      <c r="BG383" s="78"/>
      <c r="BH383" s="78"/>
      <c r="BI383" s="78"/>
      <c r="BJ383" s="78"/>
      <c r="BK383" s="78"/>
      <c r="BL383" s="78"/>
      <c r="BM383" s="78"/>
      <c r="BN383" s="78"/>
      <c r="BO383" s="78"/>
      <c r="BP383" s="78"/>
      <c r="BQ383" s="78"/>
      <c r="BR383" s="78"/>
      <c r="BS383" s="78"/>
      <c r="BT383" s="78"/>
      <c r="BU383" s="78"/>
      <c r="BV383" s="78"/>
      <c r="BW383" s="78"/>
      <c r="BX383" s="78"/>
      <c r="BY383" s="78"/>
      <c r="BZ383" s="78"/>
      <c r="CA383" s="78"/>
      <c r="CB383" s="78"/>
      <c r="CC383" s="78"/>
      <c r="CD383" s="78"/>
      <c r="CE383" s="78"/>
      <c r="CF383" s="78"/>
      <c r="CG383" s="78"/>
      <c r="CH383" s="78"/>
      <c r="CI383" s="78"/>
      <c r="CJ383" s="78"/>
      <c r="CK383" s="78"/>
      <c r="CL383" s="78"/>
      <c r="CM383" s="78"/>
      <c r="CN383" s="78"/>
      <c r="CO383" s="78"/>
      <c r="CP383" s="78"/>
      <c r="CQ383" s="78"/>
      <c r="CR383" s="78"/>
      <c r="CS383" s="78"/>
      <c r="CT383" s="78"/>
      <c r="CU383" s="78"/>
      <c r="CV383" s="78"/>
      <c r="CW383" s="78"/>
      <c r="CX383" s="78"/>
      <c r="CY383" s="78"/>
      <c r="CZ383" s="78"/>
      <c r="DA383" s="78"/>
      <c r="DB383" s="78"/>
      <c r="DC383" s="78"/>
      <c r="DD383" s="78"/>
      <c r="DE383" s="78"/>
      <c r="DF383" s="78"/>
      <c r="DG383" s="78"/>
      <c r="DH383" s="78"/>
      <c r="DI383" s="78"/>
      <c r="DJ383" s="78"/>
      <c r="DK383" s="78"/>
      <c r="DL383" s="78"/>
      <c r="DM383" s="78"/>
      <c r="DN383" s="78"/>
      <c r="DO383" s="78"/>
      <c r="DP383" s="78"/>
      <c r="DQ383" s="78"/>
      <c r="DR383" s="78"/>
      <c r="DS383" s="78"/>
      <c r="DT383" s="78"/>
      <c r="DU383" s="78"/>
      <c r="DV383" s="78"/>
      <c r="DW383" s="78"/>
      <c r="DX383" s="78"/>
      <c r="DY383" s="78"/>
      <c r="DZ383" s="78"/>
      <c r="EA383" s="78"/>
      <c r="EB383" s="78"/>
      <c r="EC383" s="78"/>
      <c r="ED383" s="78"/>
      <c r="EE383" s="78"/>
      <c r="EF383" s="78"/>
      <c r="EG383" s="78"/>
      <c r="EH383" s="78"/>
      <c r="EI383" s="91"/>
      <c r="EJ383" s="91"/>
      <c r="EK383" s="91"/>
      <c r="EL383" s="91"/>
      <c r="EM383" s="91"/>
      <c r="EN383" s="91"/>
      <c r="EO383" s="91"/>
      <c r="EP383" s="78"/>
      <c r="EQ383" s="78"/>
      <c r="ER383" s="78"/>
      <c r="ES383" s="78"/>
      <c r="ET383" s="78"/>
      <c r="EU383" s="78"/>
      <c r="EV383" s="78"/>
      <c r="EW383" s="78"/>
      <c r="EX383" s="78"/>
      <c r="EY383" s="78"/>
      <c r="EZ383" s="78"/>
      <c r="FA383" s="78"/>
      <c r="FB383" s="78"/>
      <c r="FC383" s="78"/>
      <c r="FD383" s="78"/>
      <c r="FE383" s="78"/>
      <c r="FF383" s="78"/>
      <c r="FG383" s="78"/>
      <c r="FH383" s="78"/>
      <c r="FI383" s="78"/>
      <c r="FJ383" s="78"/>
      <c r="FK383" s="78"/>
    </row>
    <row r="384" spans="1:167" hidden="1" outlineLevel="1">
      <c r="A384" s="29" t="str">
        <f t="shared" si="32"/>
        <v>modesg_out_empr_info_nfincca_capex_own_prfrmnce_algnd</v>
      </c>
      <c r="B384" s="67" t="s">
        <v>26</v>
      </c>
      <c r="C384" s="68" t="s">
        <v>310</v>
      </c>
      <c r="D384" s="64" t="s">
        <v>40</v>
      </c>
      <c r="E384" s="66" t="s">
        <v>325</v>
      </c>
      <c r="F384" s="64" t="s">
        <v>250</v>
      </c>
      <c r="G384" s="64" t="str">
        <f>INDEX(Auxiliar!$B$16:$B$24,MATCH(Plano_V1!H384,Auxiliar!$C$16:$C$24,0),1)</f>
        <v>1. Concluído</v>
      </c>
      <c r="H384" s="64">
        <f>VLOOKUP(A384,'Aux - pivots1'!$A:$B,2,0)</f>
        <v>1</v>
      </c>
      <c r="I384" s="84">
        <f>SUMIFS(Table1[Estimação (horas)],Table1[Tabela],Plano_V1!E384,Table1[Campo],Plano_V1!F384)</f>
        <v>16.100000000000001</v>
      </c>
      <c r="J384" s="84">
        <f t="shared" si="33"/>
        <v>2.0125000000000002</v>
      </c>
      <c r="K384" s="87" t="s">
        <v>326</v>
      </c>
      <c r="L384" s="90">
        <f t="shared" si="31"/>
        <v>2.0125000000000002</v>
      </c>
      <c r="M384" s="78"/>
      <c r="N384" s="78"/>
      <c r="O384" s="78"/>
      <c r="P384" s="78"/>
      <c r="Q384" s="78"/>
      <c r="R384" s="78"/>
      <c r="S384" s="78"/>
      <c r="T384" s="78"/>
      <c r="U384" s="78"/>
      <c r="V384" s="78"/>
      <c r="W384" s="78"/>
      <c r="X384" s="78"/>
      <c r="Y384" s="78"/>
      <c r="Z384" s="78"/>
      <c r="AA384" s="78"/>
      <c r="AB384" s="78"/>
      <c r="AC384" s="78"/>
      <c r="AD384" s="78"/>
      <c r="AE384" s="78"/>
      <c r="AF384" s="78"/>
      <c r="AG384" s="78"/>
      <c r="AH384" s="78"/>
      <c r="AI384" s="78"/>
      <c r="AJ384" s="78"/>
      <c r="AK384" s="78"/>
      <c r="AL384" s="78"/>
      <c r="AM384" s="78"/>
      <c r="AN384" s="78"/>
      <c r="AO384" s="78"/>
      <c r="AP384" s="78"/>
      <c r="AQ384" s="78"/>
      <c r="AR384" s="78"/>
      <c r="AS384" s="78"/>
      <c r="AT384" s="91"/>
      <c r="AU384" s="78"/>
      <c r="AV384" s="78"/>
      <c r="AW384" s="78"/>
      <c r="AX384" s="78"/>
      <c r="AY384" s="78"/>
      <c r="AZ384" s="78"/>
      <c r="BA384" s="78"/>
      <c r="BB384" s="78"/>
      <c r="BC384" s="78"/>
      <c r="BD384" s="78"/>
      <c r="BE384" s="78"/>
      <c r="BF384" s="78"/>
      <c r="BG384" s="78"/>
      <c r="BH384" s="78"/>
      <c r="BI384" s="78"/>
      <c r="BJ384" s="78"/>
      <c r="BK384" s="78"/>
      <c r="BL384" s="78"/>
      <c r="BM384" s="78"/>
      <c r="BN384" s="78"/>
      <c r="BO384" s="78"/>
      <c r="BP384" s="78"/>
      <c r="BQ384" s="78"/>
      <c r="BR384" s="78"/>
      <c r="BS384" s="78"/>
      <c r="BT384" s="78"/>
      <c r="BU384" s="78"/>
      <c r="BV384" s="78"/>
      <c r="BW384" s="78"/>
      <c r="BX384" s="78"/>
      <c r="BY384" s="78"/>
      <c r="BZ384" s="78"/>
      <c r="CA384" s="78"/>
      <c r="CB384" s="78"/>
      <c r="CC384" s="78"/>
      <c r="CD384" s="78"/>
      <c r="CE384" s="78"/>
      <c r="CF384" s="78"/>
      <c r="CG384" s="78"/>
      <c r="CH384" s="78"/>
      <c r="CI384" s="78"/>
      <c r="CJ384" s="78"/>
      <c r="CK384" s="78"/>
      <c r="CL384" s="78"/>
      <c r="CM384" s="78"/>
      <c r="CN384" s="78"/>
      <c r="CO384" s="78"/>
      <c r="CP384" s="78"/>
      <c r="CQ384" s="78"/>
      <c r="CR384" s="78"/>
      <c r="CS384" s="78"/>
      <c r="CT384" s="78"/>
      <c r="CU384" s="78"/>
      <c r="CV384" s="78"/>
      <c r="CW384" s="78"/>
      <c r="CX384" s="78"/>
      <c r="CY384" s="78"/>
      <c r="CZ384" s="78"/>
      <c r="DA384" s="78"/>
      <c r="DB384" s="78"/>
      <c r="DC384" s="78"/>
      <c r="DD384" s="78"/>
      <c r="DE384" s="78"/>
      <c r="DF384" s="78"/>
      <c r="DG384" s="78"/>
      <c r="DH384" s="78"/>
      <c r="DI384" s="78"/>
      <c r="DJ384" s="78"/>
      <c r="DK384" s="78"/>
      <c r="DL384" s="78"/>
      <c r="DM384" s="78"/>
      <c r="DN384" s="78"/>
      <c r="DO384" s="78"/>
      <c r="DP384" s="78"/>
      <c r="DQ384" s="78"/>
      <c r="DR384" s="78"/>
      <c r="DS384" s="78"/>
      <c r="DT384" s="78"/>
      <c r="DU384" s="78"/>
      <c r="DV384" s="78"/>
      <c r="DW384" s="78"/>
      <c r="DX384" s="78"/>
      <c r="DY384" s="78"/>
      <c r="DZ384" s="78"/>
      <c r="EA384" s="78"/>
      <c r="EB384" s="78"/>
      <c r="EC384" s="78"/>
      <c r="ED384" s="78"/>
      <c r="EE384" s="78"/>
      <c r="EF384" s="78"/>
      <c r="EG384" s="78"/>
      <c r="EH384" s="78"/>
      <c r="EI384" s="91"/>
      <c r="EJ384" s="91"/>
      <c r="EK384" s="91"/>
      <c r="EL384" s="91"/>
      <c r="EM384" s="91"/>
      <c r="EN384" s="91"/>
      <c r="EO384" s="91"/>
      <c r="EP384" s="78"/>
      <c r="EQ384" s="78"/>
      <c r="ER384" s="78"/>
      <c r="ES384" s="78"/>
      <c r="ET384" s="78"/>
      <c r="EU384" s="78"/>
      <c r="EV384" s="78"/>
      <c r="EW384" s="78"/>
      <c r="EX384" s="78"/>
      <c r="EY384" s="78"/>
      <c r="EZ384" s="78"/>
      <c r="FA384" s="78"/>
      <c r="FB384" s="78"/>
      <c r="FC384" s="78"/>
      <c r="FD384" s="78"/>
      <c r="FE384" s="78"/>
      <c r="FF384" s="78"/>
      <c r="FG384" s="78"/>
      <c r="FH384" s="78"/>
      <c r="FI384" s="78"/>
      <c r="FJ384" s="78"/>
      <c r="FK384" s="78"/>
    </row>
    <row r="385" spans="1:167" hidden="1" outlineLevel="1">
      <c r="A385" s="29" t="str">
        <f t="shared" si="32"/>
        <v>modesg_out_empr_info_nfincca_capex_ttl_elgbl</v>
      </c>
      <c r="B385" s="67" t="s">
        <v>26</v>
      </c>
      <c r="C385" s="68" t="s">
        <v>310</v>
      </c>
      <c r="D385" s="64" t="s">
        <v>40</v>
      </c>
      <c r="E385" s="66" t="s">
        <v>325</v>
      </c>
      <c r="F385" s="64" t="s">
        <v>248</v>
      </c>
      <c r="G385" s="64" t="str">
        <f>INDEX(Auxiliar!$B$16:$B$24,MATCH(Plano_V1!H385,Auxiliar!$C$16:$C$24,0),1)</f>
        <v>1. Concluído</v>
      </c>
      <c r="H385" s="64">
        <f>VLOOKUP(A385,'Aux - pivots1'!$A:$B,2,0)</f>
        <v>1</v>
      </c>
      <c r="I385" s="84">
        <f>SUMIFS(Table1[Estimação (horas)],Table1[Tabela],Plano_V1!E385,Table1[Campo],Plano_V1!F385)</f>
        <v>16.100000000000001</v>
      </c>
      <c r="J385" s="84">
        <f t="shared" si="33"/>
        <v>2.0125000000000002</v>
      </c>
      <c r="K385" s="87" t="s">
        <v>326</v>
      </c>
      <c r="L385" s="90">
        <f t="shared" si="31"/>
        <v>2.0125000000000002</v>
      </c>
      <c r="M385" s="78"/>
      <c r="N385" s="78"/>
      <c r="O385" s="78"/>
      <c r="P385" s="78"/>
      <c r="Q385" s="78"/>
      <c r="R385" s="78"/>
      <c r="S385" s="78"/>
      <c r="T385" s="78"/>
      <c r="U385" s="78"/>
      <c r="V385" s="78"/>
      <c r="W385" s="78"/>
      <c r="X385" s="78"/>
      <c r="Y385" s="78"/>
      <c r="Z385" s="78"/>
      <c r="AA385" s="78"/>
      <c r="AB385" s="78"/>
      <c r="AC385" s="78"/>
      <c r="AD385" s="78"/>
      <c r="AE385" s="78"/>
      <c r="AF385" s="78"/>
      <c r="AG385" s="78"/>
      <c r="AH385" s="78"/>
      <c r="AI385" s="78"/>
      <c r="AJ385" s="78"/>
      <c r="AK385" s="78"/>
      <c r="AL385" s="78"/>
      <c r="AM385" s="78"/>
      <c r="AN385" s="78"/>
      <c r="AO385" s="78"/>
      <c r="AP385" s="78"/>
      <c r="AQ385" s="78"/>
      <c r="AR385" s="78"/>
      <c r="AS385" s="78"/>
      <c r="AT385" s="91"/>
      <c r="AU385" s="78"/>
      <c r="AV385" s="78"/>
      <c r="AW385" s="78"/>
      <c r="AX385" s="78"/>
      <c r="AY385" s="78"/>
      <c r="AZ385" s="78"/>
      <c r="BA385" s="78"/>
      <c r="BB385" s="78"/>
      <c r="BC385" s="78"/>
      <c r="BD385" s="78"/>
      <c r="BE385" s="78"/>
      <c r="BF385" s="78"/>
      <c r="BG385" s="78"/>
      <c r="BH385" s="78"/>
      <c r="BI385" s="78"/>
      <c r="BJ385" s="78"/>
      <c r="BK385" s="78"/>
      <c r="BL385" s="78"/>
      <c r="BM385" s="78"/>
      <c r="BN385" s="78"/>
      <c r="BO385" s="78"/>
      <c r="BP385" s="78"/>
      <c r="BQ385" s="78"/>
      <c r="BR385" s="78"/>
      <c r="BS385" s="78"/>
      <c r="BT385" s="78"/>
      <c r="BU385" s="78"/>
      <c r="BV385" s="78"/>
      <c r="BW385" s="78"/>
      <c r="BX385" s="78"/>
      <c r="BY385" s="78"/>
      <c r="BZ385" s="78"/>
      <c r="CA385" s="78"/>
      <c r="CB385" s="78"/>
      <c r="CC385" s="78"/>
      <c r="CD385" s="78"/>
      <c r="CE385" s="78"/>
      <c r="CF385" s="78"/>
      <c r="CG385" s="78"/>
      <c r="CH385" s="78"/>
      <c r="CI385" s="78"/>
      <c r="CJ385" s="78"/>
      <c r="CK385" s="78"/>
      <c r="CL385" s="78"/>
      <c r="CM385" s="78"/>
      <c r="CN385" s="78"/>
      <c r="CO385" s="78"/>
      <c r="CP385" s="78"/>
      <c r="CQ385" s="78"/>
      <c r="CR385" s="78"/>
      <c r="CS385" s="78"/>
      <c r="CT385" s="78"/>
      <c r="CU385" s="78"/>
      <c r="CV385" s="78"/>
      <c r="CW385" s="78"/>
      <c r="CX385" s="78"/>
      <c r="CY385" s="78"/>
      <c r="CZ385" s="78"/>
      <c r="DA385" s="78"/>
      <c r="DB385" s="78"/>
      <c r="DC385" s="78"/>
      <c r="DD385" s="78"/>
      <c r="DE385" s="78"/>
      <c r="DF385" s="78"/>
      <c r="DG385" s="78"/>
      <c r="DH385" s="78"/>
      <c r="DI385" s="78"/>
      <c r="DJ385" s="78"/>
      <c r="DK385" s="78"/>
      <c r="DL385" s="78"/>
      <c r="DM385" s="78"/>
      <c r="DN385" s="78"/>
      <c r="DO385" s="78"/>
      <c r="DP385" s="78"/>
      <c r="DQ385" s="78"/>
      <c r="DR385" s="78"/>
      <c r="DS385" s="78"/>
      <c r="DT385" s="78"/>
      <c r="DU385" s="78"/>
      <c r="DV385" s="78"/>
      <c r="DW385" s="78"/>
      <c r="DX385" s="78"/>
      <c r="DY385" s="78"/>
      <c r="DZ385" s="78"/>
      <c r="EA385" s="78"/>
      <c r="EB385" s="78"/>
      <c r="EC385" s="78"/>
      <c r="ED385" s="78"/>
      <c r="EE385" s="78"/>
      <c r="EF385" s="78"/>
      <c r="EG385" s="78"/>
      <c r="EH385" s="78"/>
      <c r="EI385" s="91"/>
      <c r="EJ385" s="91"/>
      <c r="EK385" s="91"/>
      <c r="EL385" s="91"/>
      <c r="EM385" s="91"/>
      <c r="EN385" s="91"/>
      <c r="EO385" s="91"/>
      <c r="EP385" s="78"/>
      <c r="EQ385" s="78"/>
      <c r="ER385" s="78"/>
      <c r="ES385" s="78"/>
      <c r="ET385" s="78"/>
      <c r="EU385" s="78"/>
      <c r="EV385" s="78"/>
      <c r="EW385" s="78"/>
      <c r="EX385" s="78"/>
      <c r="EY385" s="78"/>
      <c r="EZ385" s="78"/>
      <c r="FA385" s="78"/>
      <c r="FB385" s="78"/>
      <c r="FC385" s="78"/>
      <c r="FD385" s="78"/>
      <c r="FE385" s="78"/>
      <c r="FF385" s="78"/>
      <c r="FG385" s="78"/>
      <c r="FH385" s="78"/>
      <c r="FI385" s="78"/>
      <c r="FJ385" s="78"/>
      <c r="FK385" s="78"/>
    </row>
    <row r="386" spans="1:167" hidden="1" outlineLevel="1">
      <c r="A386" s="29" t="str">
        <f t="shared" si="32"/>
        <v>modesg_out_empr_info_nfincca_trnvr_enblng_alignd</v>
      </c>
      <c r="B386" s="67" t="s">
        <v>26</v>
      </c>
      <c r="C386" s="68" t="s">
        <v>310</v>
      </c>
      <c r="D386" s="64" t="s">
        <v>40</v>
      </c>
      <c r="E386" s="66" t="s">
        <v>325</v>
      </c>
      <c r="F386" s="64" t="s">
        <v>246</v>
      </c>
      <c r="G386" s="64" t="str">
        <f>INDEX(Auxiliar!$B$16:$B$24,MATCH(Plano_V1!H386,Auxiliar!$C$16:$C$24,0),1)</f>
        <v>1. Concluído</v>
      </c>
      <c r="H386" s="64">
        <f>VLOOKUP(A386,'Aux - pivots1'!$A:$B,2,0)</f>
        <v>1</v>
      </c>
      <c r="I386" s="84">
        <f>SUMIFS(Table1[Estimação (horas)],Table1[Tabela],Plano_V1!E386,Table1[Campo],Plano_V1!F386)</f>
        <v>16.100000000000001</v>
      </c>
      <c r="J386" s="84">
        <f t="shared" si="33"/>
        <v>2.0125000000000002</v>
      </c>
      <c r="K386" s="87" t="s">
        <v>326</v>
      </c>
      <c r="L386" s="90">
        <f t="shared" si="31"/>
        <v>2.0125000000000002</v>
      </c>
      <c r="M386" s="78"/>
      <c r="N386" s="78"/>
      <c r="O386" s="78"/>
      <c r="P386" s="78"/>
      <c r="Q386" s="78"/>
      <c r="R386" s="78"/>
      <c r="S386" s="78"/>
      <c r="T386" s="78"/>
      <c r="U386" s="78"/>
      <c r="V386" s="78"/>
      <c r="W386" s="78"/>
      <c r="X386" s="78"/>
      <c r="Y386" s="78"/>
      <c r="Z386" s="78"/>
      <c r="AA386" s="78"/>
      <c r="AB386" s="78"/>
      <c r="AC386" s="78"/>
      <c r="AD386" s="78"/>
      <c r="AE386" s="78"/>
      <c r="AF386" s="78"/>
      <c r="AG386" s="78"/>
      <c r="AH386" s="78"/>
      <c r="AI386" s="78"/>
      <c r="AJ386" s="78"/>
      <c r="AK386" s="78"/>
      <c r="AL386" s="78"/>
      <c r="AM386" s="78"/>
      <c r="AN386" s="78"/>
      <c r="AO386" s="78"/>
      <c r="AP386" s="78"/>
      <c r="AQ386" s="78"/>
      <c r="AR386" s="78"/>
      <c r="AS386" s="78"/>
      <c r="AT386" s="91"/>
      <c r="AU386" s="78"/>
      <c r="AV386" s="78"/>
      <c r="AW386" s="78"/>
      <c r="AX386" s="78"/>
      <c r="AY386" s="78"/>
      <c r="AZ386" s="78"/>
      <c r="BA386" s="78"/>
      <c r="BB386" s="78"/>
      <c r="BC386" s="78"/>
      <c r="BD386" s="78"/>
      <c r="BE386" s="78"/>
      <c r="BF386" s="78"/>
      <c r="BG386" s="78"/>
      <c r="BH386" s="78"/>
      <c r="BI386" s="78"/>
      <c r="BJ386" s="78"/>
      <c r="BK386" s="78"/>
      <c r="BL386" s="78"/>
      <c r="BM386" s="78"/>
      <c r="BN386" s="78"/>
      <c r="BO386" s="78"/>
      <c r="BP386" s="78"/>
      <c r="BQ386" s="78"/>
      <c r="BR386" s="78"/>
      <c r="BS386" s="78"/>
      <c r="BT386" s="78"/>
      <c r="BU386" s="78"/>
      <c r="BV386" s="78"/>
      <c r="BW386" s="78"/>
      <c r="BX386" s="78"/>
      <c r="BY386" s="78"/>
      <c r="BZ386" s="78"/>
      <c r="CA386" s="78"/>
      <c r="CB386" s="78"/>
      <c r="CC386" s="78"/>
      <c r="CD386" s="78"/>
      <c r="CE386" s="78"/>
      <c r="CF386" s="78"/>
      <c r="CG386" s="78"/>
      <c r="CH386" s="78"/>
      <c r="CI386" s="78"/>
      <c r="CJ386" s="78"/>
      <c r="CK386" s="78"/>
      <c r="CL386" s="78"/>
      <c r="CM386" s="78"/>
      <c r="CN386" s="78"/>
      <c r="CO386" s="78"/>
      <c r="CP386" s="78"/>
      <c r="CQ386" s="78"/>
      <c r="CR386" s="78"/>
      <c r="CS386" s="78"/>
      <c r="CT386" s="78"/>
      <c r="CU386" s="78"/>
      <c r="CV386" s="78"/>
      <c r="CW386" s="78"/>
      <c r="CX386" s="78"/>
      <c r="CY386" s="78"/>
      <c r="CZ386" s="78"/>
      <c r="DA386" s="78"/>
      <c r="DB386" s="78"/>
      <c r="DC386" s="78"/>
      <c r="DD386" s="78"/>
      <c r="DE386" s="78"/>
      <c r="DF386" s="78"/>
      <c r="DG386" s="78"/>
      <c r="DH386" s="78"/>
      <c r="DI386" s="78"/>
      <c r="DJ386" s="78"/>
      <c r="DK386" s="78"/>
      <c r="DL386" s="78"/>
      <c r="DM386" s="78"/>
      <c r="DN386" s="78"/>
      <c r="DO386" s="78"/>
      <c r="DP386" s="78"/>
      <c r="DQ386" s="78"/>
      <c r="DR386" s="78"/>
      <c r="DS386" s="78"/>
      <c r="DT386" s="78"/>
      <c r="DU386" s="78"/>
      <c r="DV386" s="78"/>
      <c r="DW386" s="78"/>
      <c r="DX386" s="78"/>
      <c r="DY386" s="78"/>
      <c r="DZ386" s="78"/>
      <c r="EA386" s="78"/>
      <c r="EB386" s="78"/>
      <c r="EC386" s="78"/>
      <c r="ED386" s="78"/>
      <c r="EE386" s="78"/>
      <c r="EF386" s="78"/>
      <c r="EG386" s="78"/>
      <c r="EH386" s="78"/>
      <c r="EI386" s="91"/>
      <c r="EJ386" s="91"/>
      <c r="EK386" s="91"/>
      <c r="EL386" s="91"/>
      <c r="EM386" s="91"/>
      <c r="EN386" s="91"/>
      <c r="EO386" s="91"/>
      <c r="EP386" s="78"/>
      <c r="EQ386" s="78"/>
      <c r="ER386" s="78"/>
      <c r="ES386" s="78"/>
      <c r="ET386" s="78"/>
      <c r="EU386" s="78"/>
      <c r="EV386" s="78"/>
      <c r="EW386" s="78"/>
      <c r="EX386" s="78"/>
      <c r="EY386" s="78"/>
      <c r="EZ386" s="78"/>
      <c r="FA386" s="78"/>
      <c r="FB386" s="78"/>
      <c r="FC386" s="78"/>
      <c r="FD386" s="78"/>
      <c r="FE386" s="78"/>
      <c r="FF386" s="78"/>
      <c r="FG386" s="78"/>
      <c r="FH386" s="78"/>
      <c r="FI386" s="78"/>
      <c r="FJ386" s="78"/>
      <c r="FK386" s="78"/>
    </row>
    <row r="387" spans="1:167" hidden="1" outlineLevel="1">
      <c r="A387" s="29" t="str">
        <f t="shared" si="32"/>
        <v>modesg_out_empr_info_nfincca_trnvr_ttl_elgbl</v>
      </c>
      <c r="B387" s="67" t="s">
        <v>26</v>
      </c>
      <c r="C387" s="68" t="s">
        <v>310</v>
      </c>
      <c r="D387" s="64" t="s">
        <v>40</v>
      </c>
      <c r="E387" s="66" t="s">
        <v>325</v>
      </c>
      <c r="F387" s="64" t="s">
        <v>245</v>
      </c>
      <c r="G387" s="64" t="str">
        <f>INDEX(Auxiliar!$B$16:$B$24,MATCH(Plano_V1!H387,Auxiliar!$C$16:$C$24,0),1)</f>
        <v>1. Concluído</v>
      </c>
      <c r="H387" s="64">
        <f>VLOOKUP(A387,'Aux - pivots1'!$A:$B,2,0)</f>
        <v>1</v>
      </c>
      <c r="I387" s="84">
        <f>SUMIFS(Table1[Estimação (horas)],Table1[Tabela],Plano_V1!E387,Table1[Campo],Plano_V1!F387)</f>
        <v>16.100000000000001</v>
      </c>
      <c r="J387" s="84">
        <f t="shared" si="33"/>
        <v>2.0125000000000002</v>
      </c>
      <c r="K387" s="87" t="s">
        <v>326</v>
      </c>
      <c r="L387" s="90">
        <f t="shared" si="31"/>
        <v>2.0125000000000002</v>
      </c>
      <c r="M387" s="78"/>
      <c r="N387" s="78"/>
      <c r="O387" s="78"/>
      <c r="P387" s="78"/>
      <c r="Q387" s="78"/>
      <c r="R387" s="78"/>
      <c r="S387" s="78"/>
      <c r="T387" s="78"/>
      <c r="U387" s="78"/>
      <c r="V387" s="78"/>
      <c r="W387" s="78"/>
      <c r="X387" s="78"/>
      <c r="Y387" s="78"/>
      <c r="Z387" s="78"/>
      <c r="AA387" s="78"/>
      <c r="AB387" s="78"/>
      <c r="AC387" s="78"/>
      <c r="AD387" s="78"/>
      <c r="AE387" s="78"/>
      <c r="AF387" s="78"/>
      <c r="AG387" s="78"/>
      <c r="AH387" s="78"/>
      <c r="AI387" s="78"/>
      <c r="AJ387" s="78"/>
      <c r="AK387" s="78"/>
      <c r="AL387" s="78"/>
      <c r="AM387" s="78"/>
      <c r="AN387" s="78"/>
      <c r="AO387" s="78"/>
      <c r="AP387" s="78"/>
      <c r="AQ387" s="78"/>
      <c r="AR387" s="78"/>
      <c r="AS387" s="78"/>
      <c r="AT387" s="91"/>
      <c r="AU387" s="78"/>
      <c r="AV387" s="78"/>
      <c r="AW387" s="78"/>
      <c r="AX387" s="78"/>
      <c r="AY387" s="78"/>
      <c r="AZ387" s="78"/>
      <c r="BA387" s="78"/>
      <c r="BB387" s="78"/>
      <c r="BC387" s="78"/>
      <c r="BD387" s="78"/>
      <c r="BE387" s="78"/>
      <c r="BF387" s="78"/>
      <c r="BG387" s="78"/>
      <c r="BH387" s="78"/>
      <c r="BI387" s="78"/>
      <c r="BJ387" s="78"/>
      <c r="BK387" s="78"/>
      <c r="BL387" s="78"/>
      <c r="BM387" s="78"/>
      <c r="BN387" s="78"/>
      <c r="BO387" s="78"/>
      <c r="BP387" s="78"/>
      <c r="BQ387" s="78"/>
      <c r="BR387" s="78"/>
      <c r="BS387" s="78"/>
      <c r="BT387" s="78"/>
      <c r="BU387" s="78"/>
      <c r="BV387" s="78"/>
      <c r="BW387" s="78"/>
      <c r="BX387" s="78"/>
      <c r="BY387" s="78"/>
      <c r="BZ387" s="78"/>
      <c r="CA387" s="78"/>
      <c r="CB387" s="78"/>
      <c r="CC387" s="78"/>
      <c r="CD387" s="78"/>
      <c r="CE387" s="78"/>
      <c r="CF387" s="78"/>
      <c r="CG387" s="78"/>
      <c r="CH387" s="78"/>
      <c r="CI387" s="78"/>
      <c r="CJ387" s="78"/>
      <c r="CK387" s="78"/>
      <c r="CL387" s="78"/>
      <c r="CM387" s="78"/>
      <c r="CN387" s="78"/>
      <c r="CO387" s="78"/>
      <c r="CP387" s="78"/>
      <c r="CQ387" s="78"/>
      <c r="CR387" s="78"/>
      <c r="CS387" s="78"/>
      <c r="CT387" s="78"/>
      <c r="CU387" s="78"/>
      <c r="CV387" s="78"/>
      <c r="CW387" s="78"/>
      <c r="CX387" s="78"/>
      <c r="CY387" s="78"/>
      <c r="CZ387" s="78"/>
      <c r="DA387" s="78"/>
      <c r="DB387" s="78"/>
      <c r="DC387" s="78"/>
      <c r="DD387" s="78"/>
      <c r="DE387" s="78"/>
      <c r="DF387" s="78"/>
      <c r="DG387" s="78"/>
      <c r="DH387" s="78"/>
      <c r="DI387" s="78"/>
      <c r="DJ387" s="78"/>
      <c r="DK387" s="78"/>
      <c r="DL387" s="78"/>
      <c r="DM387" s="78"/>
      <c r="DN387" s="78"/>
      <c r="DO387" s="78"/>
      <c r="DP387" s="78"/>
      <c r="DQ387" s="78"/>
      <c r="DR387" s="78"/>
      <c r="DS387" s="78"/>
      <c r="DT387" s="78"/>
      <c r="DU387" s="78"/>
      <c r="DV387" s="78"/>
      <c r="DW387" s="78"/>
      <c r="DX387" s="78"/>
      <c r="DY387" s="78"/>
      <c r="DZ387" s="78"/>
      <c r="EA387" s="78"/>
      <c r="EB387" s="78"/>
      <c r="EC387" s="78"/>
      <c r="ED387" s="78"/>
      <c r="EE387" s="78"/>
      <c r="EF387" s="78"/>
      <c r="EG387" s="78"/>
      <c r="EH387" s="78"/>
      <c r="EI387" s="91"/>
      <c r="EJ387" s="91"/>
      <c r="EK387" s="91"/>
      <c r="EL387" s="91"/>
      <c r="EM387" s="91"/>
      <c r="EN387" s="91"/>
      <c r="EO387" s="91"/>
      <c r="EP387" s="78"/>
      <c r="EQ387" s="78"/>
      <c r="ER387" s="78"/>
      <c r="ES387" s="78"/>
      <c r="ET387" s="78"/>
      <c r="EU387" s="78"/>
      <c r="EV387" s="78"/>
      <c r="EW387" s="78"/>
      <c r="EX387" s="78"/>
      <c r="EY387" s="78"/>
      <c r="EZ387" s="78"/>
      <c r="FA387" s="78"/>
      <c r="FB387" s="78"/>
      <c r="FC387" s="78"/>
      <c r="FD387" s="78"/>
      <c r="FE387" s="78"/>
      <c r="FF387" s="78"/>
      <c r="FG387" s="78"/>
      <c r="FH387" s="78"/>
      <c r="FI387" s="78"/>
      <c r="FJ387" s="78"/>
      <c r="FK387" s="78"/>
    </row>
    <row r="388" spans="1:167" hidden="1" outlineLevel="1">
      <c r="A388" s="29" t="str">
        <f t="shared" si="32"/>
        <v>modesg_out_empr_info_nfincca_turnover_own_prfrmnce_algnd</v>
      </c>
      <c r="B388" s="67" t="s">
        <v>26</v>
      </c>
      <c r="C388" s="68" t="s">
        <v>310</v>
      </c>
      <c r="D388" s="64" t="s">
        <v>40</v>
      </c>
      <c r="E388" s="66" t="s">
        <v>325</v>
      </c>
      <c r="F388" s="64" t="s">
        <v>247</v>
      </c>
      <c r="G388" s="64" t="str">
        <f>INDEX(Auxiliar!$B$16:$B$24,MATCH(Plano_V1!H388,Auxiliar!$C$16:$C$24,0),1)</f>
        <v>1. Concluído</v>
      </c>
      <c r="H388" s="64">
        <f>VLOOKUP(A388,'Aux - pivots1'!$A:$B,2,0)</f>
        <v>1</v>
      </c>
      <c r="I388" s="84">
        <f>SUMIFS(Table1[Estimação (horas)],Table1[Tabela],Plano_V1!E388,Table1[Campo],Plano_V1!F388)</f>
        <v>16.100000000000001</v>
      </c>
      <c r="J388" s="84">
        <f t="shared" si="33"/>
        <v>2.0125000000000002</v>
      </c>
      <c r="K388" s="87" t="s">
        <v>326</v>
      </c>
      <c r="L388" s="90">
        <f t="shared" si="31"/>
        <v>2.0125000000000002</v>
      </c>
      <c r="M388" s="78"/>
      <c r="N388" s="78"/>
      <c r="O388" s="78"/>
      <c r="P388" s="78"/>
      <c r="Q388" s="78"/>
      <c r="R388" s="78"/>
      <c r="S388" s="78"/>
      <c r="T388" s="78"/>
      <c r="U388" s="78"/>
      <c r="V388" s="78"/>
      <c r="W388" s="78"/>
      <c r="X388" s="78"/>
      <c r="Y388" s="78"/>
      <c r="Z388" s="78"/>
      <c r="AA388" s="78"/>
      <c r="AB388" s="78"/>
      <c r="AC388" s="78"/>
      <c r="AD388" s="78"/>
      <c r="AE388" s="78"/>
      <c r="AF388" s="78"/>
      <c r="AG388" s="78"/>
      <c r="AH388" s="78"/>
      <c r="AI388" s="78"/>
      <c r="AJ388" s="78"/>
      <c r="AK388" s="78"/>
      <c r="AL388" s="78"/>
      <c r="AM388" s="78"/>
      <c r="AN388" s="78"/>
      <c r="AO388" s="78"/>
      <c r="AP388" s="78"/>
      <c r="AQ388" s="78"/>
      <c r="AR388" s="78"/>
      <c r="AS388" s="78"/>
      <c r="AT388" s="91"/>
      <c r="AU388" s="78"/>
      <c r="AV388" s="78"/>
      <c r="AW388" s="78"/>
      <c r="AX388" s="78"/>
      <c r="AY388" s="78"/>
      <c r="AZ388" s="78"/>
      <c r="BA388" s="78"/>
      <c r="BB388" s="78"/>
      <c r="BC388" s="78"/>
      <c r="BD388" s="78"/>
      <c r="BE388" s="78"/>
      <c r="BF388" s="78"/>
      <c r="BG388" s="78"/>
      <c r="BH388" s="78"/>
      <c r="BI388" s="78"/>
      <c r="BJ388" s="78"/>
      <c r="BK388" s="78"/>
      <c r="BL388" s="78"/>
      <c r="BM388" s="78"/>
      <c r="BN388" s="78"/>
      <c r="BO388" s="78"/>
      <c r="BP388" s="78"/>
      <c r="BQ388" s="78"/>
      <c r="BR388" s="78"/>
      <c r="BS388" s="78"/>
      <c r="BT388" s="78"/>
      <c r="BU388" s="78"/>
      <c r="BV388" s="78"/>
      <c r="BW388" s="78"/>
      <c r="BX388" s="78"/>
      <c r="BY388" s="78"/>
      <c r="BZ388" s="78"/>
      <c r="CA388" s="78"/>
      <c r="CB388" s="78"/>
      <c r="CC388" s="78"/>
      <c r="CD388" s="78"/>
      <c r="CE388" s="78"/>
      <c r="CF388" s="78"/>
      <c r="CG388" s="78"/>
      <c r="CH388" s="78"/>
      <c r="CI388" s="78"/>
      <c r="CJ388" s="78"/>
      <c r="CK388" s="78"/>
      <c r="CL388" s="78"/>
      <c r="CM388" s="78"/>
      <c r="CN388" s="78"/>
      <c r="CO388" s="78"/>
      <c r="CP388" s="78"/>
      <c r="CQ388" s="78"/>
      <c r="CR388" s="78"/>
      <c r="CS388" s="78"/>
      <c r="CT388" s="78"/>
      <c r="CU388" s="78"/>
      <c r="CV388" s="78"/>
      <c r="CW388" s="78"/>
      <c r="CX388" s="78"/>
      <c r="CY388" s="78"/>
      <c r="CZ388" s="78"/>
      <c r="DA388" s="78"/>
      <c r="DB388" s="78"/>
      <c r="DC388" s="78"/>
      <c r="DD388" s="78"/>
      <c r="DE388" s="78"/>
      <c r="DF388" s="78"/>
      <c r="DG388" s="78"/>
      <c r="DH388" s="78"/>
      <c r="DI388" s="78"/>
      <c r="DJ388" s="78"/>
      <c r="DK388" s="78"/>
      <c r="DL388" s="78"/>
      <c r="DM388" s="78"/>
      <c r="DN388" s="78"/>
      <c r="DO388" s="78"/>
      <c r="DP388" s="78"/>
      <c r="DQ388" s="78"/>
      <c r="DR388" s="78"/>
      <c r="DS388" s="78"/>
      <c r="DT388" s="78"/>
      <c r="DU388" s="78"/>
      <c r="DV388" s="78"/>
      <c r="DW388" s="78"/>
      <c r="DX388" s="78"/>
      <c r="DY388" s="78"/>
      <c r="DZ388" s="78"/>
      <c r="EA388" s="78"/>
      <c r="EB388" s="78"/>
      <c r="EC388" s="78"/>
      <c r="ED388" s="78"/>
      <c r="EE388" s="78"/>
      <c r="EF388" s="78"/>
      <c r="EG388" s="78"/>
      <c r="EH388" s="78"/>
      <c r="EI388" s="91"/>
      <c r="EJ388" s="91"/>
      <c r="EK388" s="91"/>
      <c r="EL388" s="91"/>
      <c r="EM388" s="91"/>
      <c r="EN388" s="91"/>
      <c r="EO388" s="91"/>
      <c r="EP388" s="78"/>
      <c r="EQ388" s="78"/>
      <c r="ER388" s="78"/>
      <c r="ES388" s="78"/>
      <c r="ET388" s="78"/>
      <c r="EU388" s="78"/>
      <c r="EV388" s="78"/>
      <c r="EW388" s="78"/>
      <c r="EX388" s="78"/>
      <c r="EY388" s="78"/>
      <c r="EZ388" s="78"/>
      <c r="FA388" s="78"/>
      <c r="FB388" s="78"/>
      <c r="FC388" s="78"/>
      <c r="FD388" s="78"/>
      <c r="FE388" s="78"/>
      <c r="FF388" s="78"/>
      <c r="FG388" s="78"/>
      <c r="FH388" s="78"/>
      <c r="FI388" s="78"/>
      <c r="FJ388" s="78"/>
      <c r="FK388" s="78"/>
    </row>
    <row r="389" spans="1:167" hidden="1" outlineLevel="1">
      <c r="A389" s="29" t="str">
        <f t="shared" si="32"/>
        <v>modesg_out_empr_info_nfinccm_capex_enblng_algnd</v>
      </c>
      <c r="B389" s="67" t="s">
        <v>26</v>
      </c>
      <c r="C389" s="68" t="s">
        <v>310</v>
      </c>
      <c r="D389" s="64" t="s">
        <v>40</v>
      </c>
      <c r="E389" s="66" t="s">
        <v>325</v>
      </c>
      <c r="F389" s="64" t="s">
        <v>256</v>
      </c>
      <c r="G389" s="64" t="str">
        <f>INDEX(Auxiliar!$B$16:$B$24,MATCH(Plano_V1!H389,Auxiliar!$C$16:$C$24,0),1)</f>
        <v>1. Concluído</v>
      </c>
      <c r="H389" s="64">
        <f>VLOOKUP(A389,'Aux - pivots1'!$A:$B,2,0)</f>
        <v>1</v>
      </c>
      <c r="I389" s="84">
        <f>SUMIFS(Table1[Estimação (horas)],Table1[Tabela],Plano_V1!E389,Table1[Campo],Plano_V1!F389)</f>
        <v>16.100000000000001</v>
      </c>
      <c r="J389" s="84">
        <f t="shared" si="33"/>
        <v>2.0125000000000002</v>
      </c>
      <c r="K389" s="87" t="s">
        <v>326</v>
      </c>
      <c r="L389" s="90">
        <f t="shared" si="31"/>
        <v>2.0125000000000002</v>
      </c>
      <c r="M389" s="78"/>
      <c r="N389" s="78"/>
      <c r="O389" s="78"/>
      <c r="P389" s="78"/>
      <c r="Q389" s="78"/>
      <c r="R389" s="78"/>
      <c r="S389" s="78"/>
      <c r="T389" s="78"/>
      <c r="U389" s="78"/>
      <c r="V389" s="78"/>
      <c r="W389" s="78"/>
      <c r="X389" s="78"/>
      <c r="Y389" s="78"/>
      <c r="Z389" s="78"/>
      <c r="AA389" s="78"/>
      <c r="AB389" s="78"/>
      <c r="AC389" s="78"/>
      <c r="AD389" s="78"/>
      <c r="AE389" s="78"/>
      <c r="AF389" s="78"/>
      <c r="AG389" s="78"/>
      <c r="AH389" s="78"/>
      <c r="AI389" s="78"/>
      <c r="AJ389" s="78"/>
      <c r="AK389" s="78"/>
      <c r="AL389" s="78"/>
      <c r="AM389" s="78"/>
      <c r="AN389" s="78"/>
      <c r="AO389" s="78"/>
      <c r="AP389" s="78"/>
      <c r="AQ389" s="78"/>
      <c r="AR389" s="78"/>
      <c r="AS389" s="78"/>
      <c r="AT389" s="91"/>
      <c r="AU389" s="78"/>
      <c r="AV389" s="78"/>
      <c r="AW389" s="78"/>
      <c r="AX389" s="78"/>
      <c r="AY389" s="78"/>
      <c r="AZ389" s="78"/>
      <c r="BA389" s="78"/>
      <c r="BB389" s="78"/>
      <c r="BC389" s="78"/>
      <c r="BD389" s="78"/>
      <c r="BE389" s="78"/>
      <c r="BF389" s="78"/>
      <c r="BG389" s="78"/>
      <c r="BH389" s="78"/>
      <c r="BI389" s="78"/>
      <c r="BJ389" s="78"/>
      <c r="BK389" s="78"/>
      <c r="BL389" s="78"/>
      <c r="BM389" s="78"/>
      <c r="BN389" s="78"/>
      <c r="BO389" s="78"/>
      <c r="BP389" s="78"/>
      <c r="BQ389" s="78"/>
      <c r="BR389" s="78"/>
      <c r="BS389" s="78"/>
      <c r="BT389" s="78"/>
      <c r="BU389" s="78"/>
      <c r="BV389" s="78"/>
      <c r="BW389" s="78"/>
      <c r="BX389" s="78"/>
      <c r="BY389" s="78"/>
      <c r="BZ389" s="78"/>
      <c r="CA389" s="78"/>
      <c r="CB389" s="78"/>
      <c r="CC389" s="78"/>
      <c r="CD389" s="78"/>
      <c r="CE389" s="78"/>
      <c r="CF389" s="78"/>
      <c r="CG389" s="78"/>
      <c r="CH389" s="78"/>
      <c r="CI389" s="78"/>
      <c r="CJ389" s="78"/>
      <c r="CK389" s="78"/>
      <c r="CL389" s="78"/>
      <c r="CM389" s="78"/>
      <c r="CN389" s="78"/>
      <c r="CO389" s="78"/>
      <c r="CP389" s="78"/>
      <c r="CQ389" s="78"/>
      <c r="CR389" s="78"/>
      <c r="CS389" s="78"/>
      <c r="CT389" s="78"/>
      <c r="CU389" s="78"/>
      <c r="CV389" s="78"/>
      <c r="CW389" s="78"/>
      <c r="CX389" s="78"/>
      <c r="CY389" s="78"/>
      <c r="CZ389" s="78"/>
      <c r="DA389" s="78"/>
      <c r="DB389" s="78"/>
      <c r="DC389" s="78"/>
      <c r="DD389" s="78"/>
      <c r="DE389" s="78"/>
      <c r="DF389" s="78"/>
      <c r="DG389" s="78"/>
      <c r="DH389" s="78"/>
      <c r="DI389" s="78"/>
      <c r="DJ389" s="78"/>
      <c r="DK389" s="78"/>
      <c r="DL389" s="78"/>
      <c r="DM389" s="78"/>
      <c r="DN389" s="78"/>
      <c r="DO389" s="78"/>
      <c r="DP389" s="78"/>
      <c r="DQ389" s="78"/>
      <c r="DR389" s="78"/>
      <c r="DS389" s="78"/>
      <c r="DT389" s="78"/>
      <c r="DU389" s="78"/>
      <c r="DV389" s="78"/>
      <c r="DW389" s="78"/>
      <c r="DX389" s="78"/>
      <c r="DY389" s="78"/>
      <c r="DZ389" s="78"/>
      <c r="EA389" s="78"/>
      <c r="EB389" s="78"/>
      <c r="EC389" s="78"/>
      <c r="ED389" s="78"/>
      <c r="EE389" s="78"/>
      <c r="EF389" s="78"/>
      <c r="EG389" s="78"/>
      <c r="EH389" s="78"/>
      <c r="EI389" s="91"/>
      <c r="EJ389" s="91"/>
      <c r="EK389" s="91"/>
      <c r="EL389" s="91"/>
      <c r="EM389" s="91"/>
      <c r="EN389" s="91"/>
      <c r="EO389" s="91"/>
      <c r="EP389" s="78"/>
      <c r="EQ389" s="78"/>
      <c r="ER389" s="78"/>
      <c r="ES389" s="78"/>
      <c r="ET389" s="78"/>
      <c r="EU389" s="78"/>
      <c r="EV389" s="78"/>
      <c r="EW389" s="78"/>
      <c r="EX389" s="78"/>
      <c r="EY389" s="78"/>
      <c r="EZ389" s="78"/>
      <c r="FA389" s="78"/>
      <c r="FB389" s="78"/>
      <c r="FC389" s="78"/>
      <c r="FD389" s="78"/>
      <c r="FE389" s="78"/>
      <c r="FF389" s="78"/>
      <c r="FG389" s="78"/>
      <c r="FH389" s="78"/>
      <c r="FI389" s="78"/>
      <c r="FJ389" s="78"/>
      <c r="FK389" s="78"/>
    </row>
    <row r="390" spans="1:167" hidden="1" outlineLevel="1">
      <c r="A390" s="29" t="str">
        <f t="shared" si="32"/>
        <v>modesg_out_empr_info_nfinccm_capex_own_prfrmnce_algnd</v>
      </c>
      <c r="B390" s="67" t="s">
        <v>26</v>
      </c>
      <c r="C390" s="68" t="s">
        <v>310</v>
      </c>
      <c r="D390" s="64" t="s">
        <v>40</v>
      </c>
      <c r="E390" s="66" t="s">
        <v>325</v>
      </c>
      <c r="F390" s="64" t="s">
        <v>258</v>
      </c>
      <c r="G390" s="64" t="str">
        <f>INDEX(Auxiliar!$B$16:$B$24,MATCH(Plano_V1!H390,Auxiliar!$C$16:$C$24,0),1)</f>
        <v>1. Concluído</v>
      </c>
      <c r="H390" s="64">
        <f>VLOOKUP(A390,'Aux - pivots1'!$A:$B,2,0)</f>
        <v>1</v>
      </c>
      <c r="I390" s="84">
        <f>SUMIFS(Table1[Estimação (horas)],Table1[Tabela],Plano_V1!E390,Table1[Campo],Plano_V1!F390)</f>
        <v>16.100000000000001</v>
      </c>
      <c r="J390" s="84">
        <f t="shared" si="33"/>
        <v>2.0125000000000002</v>
      </c>
      <c r="K390" s="87" t="s">
        <v>326</v>
      </c>
      <c r="L390" s="90">
        <f t="shared" si="31"/>
        <v>2.0125000000000002</v>
      </c>
      <c r="M390" s="78"/>
      <c r="N390" s="78"/>
      <c r="O390" s="78"/>
      <c r="P390" s="78"/>
      <c r="Q390" s="78"/>
      <c r="R390" s="78"/>
      <c r="S390" s="78"/>
      <c r="T390" s="78"/>
      <c r="U390" s="78"/>
      <c r="V390" s="78"/>
      <c r="W390" s="78"/>
      <c r="X390" s="78"/>
      <c r="Y390" s="78"/>
      <c r="Z390" s="78"/>
      <c r="AA390" s="78"/>
      <c r="AB390" s="78"/>
      <c r="AC390" s="78"/>
      <c r="AD390" s="78"/>
      <c r="AE390" s="78"/>
      <c r="AF390" s="78"/>
      <c r="AG390" s="78"/>
      <c r="AH390" s="78"/>
      <c r="AI390" s="78"/>
      <c r="AJ390" s="78"/>
      <c r="AK390" s="78"/>
      <c r="AL390" s="78"/>
      <c r="AM390" s="78"/>
      <c r="AN390" s="78"/>
      <c r="AO390" s="78"/>
      <c r="AP390" s="78"/>
      <c r="AQ390" s="78"/>
      <c r="AR390" s="78"/>
      <c r="AS390" s="78"/>
      <c r="AT390" s="91"/>
      <c r="AU390" s="78"/>
      <c r="AV390" s="78"/>
      <c r="AW390" s="78"/>
      <c r="AX390" s="78"/>
      <c r="AY390" s="78"/>
      <c r="AZ390" s="78"/>
      <c r="BA390" s="78"/>
      <c r="BB390" s="78"/>
      <c r="BC390" s="78"/>
      <c r="BD390" s="78"/>
      <c r="BE390" s="78"/>
      <c r="BF390" s="78"/>
      <c r="BG390" s="78"/>
      <c r="BH390" s="78"/>
      <c r="BI390" s="78"/>
      <c r="BJ390" s="78"/>
      <c r="BK390" s="78"/>
      <c r="BL390" s="78"/>
      <c r="BM390" s="78"/>
      <c r="BN390" s="78"/>
      <c r="BO390" s="78"/>
      <c r="BP390" s="78"/>
      <c r="BQ390" s="78"/>
      <c r="BR390" s="78"/>
      <c r="BS390" s="78"/>
      <c r="BT390" s="78"/>
      <c r="BU390" s="78"/>
      <c r="BV390" s="78"/>
      <c r="BW390" s="78"/>
      <c r="BX390" s="78"/>
      <c r="BY390" s="78"/>
      <c r="BZ390" s="78"/>
      <c r="CA390" s="78"/>
      <c r="CB390" s="78"/>
      <c r="CC390" s="78"/>
      <c r="CD390" s="78"/>
      <c r="CE390" s="78"/>
      <c r="CF390" s="78"/>
      <c r="CG390" s="78"/>
      <c r="CH390" s="78"/>
      <c r="CI390" s="78"/>
      <c r="CJ390" s="78"/>
      <c r="CK390" s="78"/>
      <c r="CL390" s="78"/>
      <c r="CM390" s="78"/>
      <c r="CN390" s="78"/>
      <c r="CO390" s="78"/>
      <c r="CP390" s="78"/>
      <c r="CQ390" s="78"/>
      <c r="CR390" s="78"/>
      <c r="CS390" s="78"/>
      <c r="CT390" s="78"/>
      <c r="CU390" s="78"/>
      <c r="CV390" s="78"/>
      <c r="CW390" s="78"/>
      <c r="CX390" s="78"/>
      <c r="CY390" s="78"/>
      <c r="CZ390" s="78"/>
      <c r="DA390" s="78"/>
      <c r="DB390" s="78"/>
      <c r="DC390" s="78"/>
      <c r="DD390" s="78"/>
      <c r="DE390" s="78"/>
      <c r="DF390" s="78"/>
      <c r="DG390" s="78"/>
      <c r="DH390" s="78"/>
      <c r="DI390" s="78"/>
      <c r="DJ390" s="78"/>
      <c r="DK390" s="78"/>
      <c r="DL390" s="78"/>
      <c r="DM390" s="78"/>
      <c r="DN390" s="78"/>
      <c r="DO390" s="78"/>
      <c r="DP390" s="78"/>
      <c r="DQ390" s="78"/>
      <c r="DR390" s="78"/>
      <c r="DS390" s="78"/>
      <c r="DT390" s="78"/>
      <c r="DU390" s="78"/>
      <c r="DV390" s="78"/>
      <c r="DW390" s="78"/>
      <c r="DX390" s="78"/>
      <c r="DY390" s="78"/>
      <c r="DZ390" s="78"/>
      <c r="EA390" s="78"/>
      <c r="EB390" s="78"/>
      <c r="EC390" s="78"/>
      <c r="ED390" s="78"/>
      <c r="EE390" s="78"/>
      <c r="EF390" s="78"/>
      <c r="EG390" s="78"/>
      <c r="EH390" s="78"/>
      <c r="EI390" s="91"/>
      <c r="EJ390" s="91"/>
      <c r="EK390" s="91"/>
      <c r="EL390" s="91"/>
      <c r="EM390" s="91"/>
      <c r="EN390" s="91"/>
      <c r="EO390" s="91"/>
      <c r="EP390" s="78"/>
      <c r="EQ390" s="78"/>
      <c r="ER390" s="78"/>
      <c r="ES390" s="78"/>
      <c r="ET390" s="78"/>
      <c r="EU390" s="78"/>
      <c r="EV390" s="78"/>
      <c r="EW390" s="78"/>
      <c r="EX390" s="78"/>
      <c r="EY390" s="78"/>
      <c r="EZ390" s="78"/>
      <c r="FA390" s="78"/>
      <c r="FB390" s="78"/>
      <c r="FC390" s="78"/>
      <c r="FD390" s="78"/>
      <c r="FE390" s="78"/>
      <c r="FF390" s="78"/>
      <c r="FG390" s="78"/>
      <c r="FH390" s="78"/>
      <c r="FI390" s="78"/>
      <c r="FJ390" s="78"/>
      <c r="FK390" s="78"/>
    </row>
    <row r="391" spans="1:167" hidden="1" outlineLevel="1">
      <c r="A391" s="29" t="str">
        <f t="shared" si="32"/>
        <v>modesg_out_empr_info_nfinccm_capex_trnstn_algnd</v>
      </c>
      <c r="B391" s="67" t="s">
        <v>26</v>
      </c>
      <c r="C391" s="68" t="s">
        <v>310</v>
      </c>
      <c r="D391" s="64" t="s">
        <v>40</v>
      </c>
      <c r="E391" s="66" t="s">
        <v>325</v>
      </c>
      <c r="F391" s="64" t="s">
        <v>257</v>
      </c>
      <c r="G391" s="64" t="str">
        <f>INDEX(Auxiliar!$B$16:$B$24,MATCH(Plano_V1!H391,Auxiliar!$C$16:$C$24,0),1)</f>
        <v>1. Concluído</v>
      </c>
      <c r="H391" s="64">
        <f>VLOOKUP(A391,'Aux - pivots1'!$A:$B,2,0)</f>
        <v>1</v>
      </c>
      <c r="I391" s="84">
        <f>SUMIFS(Table1[Estimação (horas)],Table1[Tabela],Plano_V1!E391,Table1[Campo],Plano_V1!F391)</f>
        <v>16.100000000000001</v>
      </c>
      <c r="J391" s="84">
        <f t="shared" si="33"/>
        <v>2.0125000000000002</v>
      </c>
      <c r="K391" s="87" t="s">
        <v>326</v>
      </c>
      <c r="L391" s="90">
        <f t="shared" si="31"/>
        <v>2.0125000000000002</v>
      </c>
      <c r="M391" s="78"/>
      <c r="N391" s="78"/>
      <c r="O391" s="78"/>
      <c r="P391" s="78"/>
      <c r="Q391" s="78"/>
      <c r="R391" s="78"/>
      <c r="S391" s="78"/>
      <c r="T391" s="78"/>
      <c r="U391" s="78"/>
      <c r="V391" s="78"/>
      <c r="W391" s="78"/>
      <c r="X391" s="78"/>
      <c r="Y391" s="78"/>
      <c r="Z391" s="78"/>
      <c r="AA391" s="78"/>
      <c r="AB391" s="78"/>
      <c r="AC391" s="78"/>
      <c r="AD391" s="78"/>
      <c r="AE391" s="78"/>
      <c r="AF391" s="78"/>
      <c r="AG391" s="78"/>
      <c r="AH391" s="78"/>
      <c r="AI391" s="78"/>
      <c r="AJ391" s="78"/>
      <c r="AK391" s="78"/>
      <c r="AL391" s="78"/>
      <c r="AM391" s="78"/>
      <c r="AN391" s="78"/>
      <c r="AO391" s="78"/>
      <c r="AP391" s="78"/>
      <c r="AQ391" s="78"/>
      <c r="AR391" s="78"/>
      <c r="AS391" s="78"/>
      <c r="AT391" s="91"/>
      <c r="AU391" s="78"/>
      <c r="AV391" s="78"/>
      <c r="AW391" s="78"/>
      <c r="AX391" s="78"/>
      <c r="AY391" s="78"/>
      <c r="AZ391" s="78"/>
      <c r="BA391" s="78"/>
      <c r="BB391" s="78"/>
      <c r="BC391" s="78"/>
      <c r="BD391" s="78"/>
      <c r="BE391" s="78"/>
      <c r="BF391" s="78"/>
      <c r="BG391" s="78"/>
      <c r="BH391" s="78"/>
      <c r="BI391" s="78"/>
      <c r="BJ391" s="78"/>
      <c r="BK391" s="78"/>
      <c r="BL391" s="78"/>
      <c r="BM391" s="78"/>
      <c r="BN391" s="78"/>
      <c r="BO391" s="78"/>
      <c r="BP391" s="78"/>
      <c r="BQ391" s="78"/>
      <c r="BR391" s="78"/>
      <c r="BS391" s="78"/>
      <c r="BT391" s="78"/>
      <c r="BU391" s="78"/>
      <c r="BV391" s="78"/>
      <c r="BW391" s="78"/>
      <c r="BX391" s="78"/>
      <c r="BY391" s="78"/>
      <c r="BZ391" s="78"/>
      <c r="CA391" s="78"/>
      <c r="CB391" s="78"/>
      <c r="CC391" s="78"/>
      <c r="CD391" s="78"/>
      <c r="CE391" s="78"/>
      <c r="CF391" s="78"/>
      <c r="CG391" s="78"/>
      <c r="CH391" s="78"/>
      <c r="CI391" s="78"/>
      <c r="CJ391" s="78"/>
      <c r="CK391" s="78"/>
      <c r="CL391" s="78"/>
      <c r="CM391" s="78"/>
      <c r="CN391" s="78"/>
      <c r="CO391" s="78"/>
      <c r="CP391" s="78"/>
      <c r="CQ391" s="78"/>
      <c r="CR391" s="78"/>
      <c r="CS391" s="78"/>
      <c r="CT391" s="78"/>
      <c r="CU391" s="78"/>
      <c r="CV391" s="78"/>
      <c r="CW391" s="78"/>
      <c r="CX391" s="78"/>
      <c r="CY391" s="78"/>
      <c r="CZ391" s="78"/>
      <c r="DA391" s="78"/>
      <c r="DB391" s="78"/>
      <c r="DC391" s="78"/>
      <c r="DD391" s="78"/>
      <c r="DE391" s="78"/>
      <c r="DF391" s="78"/>
      <c r="DG391" s="78"/>
      <c r="DH391" s="78"/>
      <c r="DI391" s="78"/>
      <c r="DJ391" s="78"/>
      <c r="DK391" s="78"/>
      <c r="DL391" s="78"/>
      <c r="DM391" s="78"/>
      <c r="DN391" s="78"/>
      <c r="DO391" s="78"/>
      <c r="DP391" s="78"/>
      <c r="DQ391" s="78"/>
      <c r="DR391" s="78"/>
      <c r="DS391" s="78"/>
      <c r="DT391" s="78"/>
      <c r="DU391" s="78"/>
      <c r="DV391" s="78"/>
      <c r="DW391" s="78"/>
      <c r="DX391" s="78"/>
      <c r="DY391" s="78"/>
      <c r="DZ391" s="78"/>
      <c r="EA391" s="78"/>
      <c r="EB391" s="78"/>
      <c r="EC391" s="78"/>
      <c r="ED391" s="78"/>
      <c r="EE391" s="78"/>
      <c r="EF391" s="78"/>
      <c r="EG391" s="78"/>
      <c r="EH391" s="78"/>
      <c r="EI391" s="91"/>
      <c r="EJ391" s="91"/>
      <c r="EK391" s="91"/>
      <c r="EL391" s="91"/>
      <c r="EM391" s="91"/>
      <c r="EN391" s="91"/>
      <c r="EO391" s="91"/>
      <c r="EP391" s="78"/>
      <c r="EQ391" s="78"/>
      <c r="ER391" s="78"/>
      <c r="ES391" s="78"/>
      <c r="ET391" s="78"/>
      <c r="EU391" s="78"/>
      <c r="EV391" s="78"/>
      <c r="EW391" s="78"/>
      <c r="EX391" s="78"/>
      <c r="EY391" s="78"/>
      <c r="EZ391" s="78"/>
      <c r="FA391" s="78"/>
      <c r="FB391" s="78"/>
      <c r="FC391" s="78"/>
      <c r="FD391" s="78"/>
      <c r="FE391" s="78"/>
      <c r="FF391" s="78"/>
      <c r="FG391" s="78"/>
      <c r="FH391" s="78"/>
      <c r="FI391" s="78"/>
      <c r="FJ391" s="78"/>
      <c r="FK391" s="78"/>
    </row>
    <row r="392" spans="1:167" hidden="1" outlineLevel="1">
      <c r="A392" s="29" t="str">
        <f t="shared" si="32"/>
        <v>modesg_out_empr_info_nfinccm_capex_ttl_elgbl</v>
      </c>
      <c r="B392" s="67" t="s">
        <v>26</v>
      </c>
      <c r="C392" s="68" t="s">
        <v>310</v>
      </c>
      <c r="D392" s="64" t="s">
        <v>40</v>
      </c>
      <c r="E392" s="66" t="s">
        <v>325</v>
      </c>
      <c r="F392" s="64" t="s">
        <v>255</v>
      </c>
      <c r="G392" s="64" t="str">
        <f>INDEX(Auxiliar!$B$16:$B$24,MATCH(Plano_V1!H392,Auxiliar!$C$16:$C$24,0),1)</f>
        <v>1. Concluído</v>
      </c>
      <c r="H392" s="64">
        <f>VLOOKUP(A392,'Aux - pivots1'!$A:$B,2,0)</f>
        <v>1</v>
      </c>
      <c r="I392" s="84">
        <f>SUMIFS(Table1[Estimação (horas)],Table1[Tabela],Plano_V1!E392,Table1[Campo],Plano_V1!F392)</f>
        <v>16.100000000000001</v>
      </c>
      <c r="J392" s="84">
        <f t="shared" si="33"/>
        <v>2.0125000000000002</v>
      </c>
      <c r="K392" s="87" t="s">
        <v>326</v>
      </c>
      <c r="L392" s="90">
        <f t="shared" si="31"/>
        <v>2.0125000000000002</v>
      </c>
      <c r="M392" s="78"/>
      <c r="N392" s="78"/>
      <c r="O392" s="78"/>
      <c r="P392" s="78"/>
      <c r="Q392" s="78"/>
      <c r="R392" s="78"/>
      <c r="S392" s="78"/>
      <c r="T392" s="78"/>
      <c r="U392" s="78"/>
      <c r="V392" s="78"/>
      <c r="W392" s="78"/>
      <c r="X392" s="78"/>
      <c r="Y392" s="78"/>
      <c r="Z392" s="78"/>
      <c r="AA392" s="78"/>
      <c r="AB392" s="78"/>
      <c r="AC392" s="78"/>
      <c r="AD392" s="78"/>
      <c r="AE392" s="78"/>
      <c r="AF392" s="78"/>
      <c r="AG392" s="78"/>
      <c r="AH392" s="78"/>
      <c r="AI392" s="78"/>
      <c r="AJ392" s="78"/>
      <c r="AK392" s="78"/>
      <c r="AL392" s="78"/>
      <c r="AM392" s="78"/>
      <c r="AN392" s="78"/>
      <c r="AO392" s="78"/>
      <c r="AP392" s="78"/>
      <c r="AQ392" s="78"/>
      <c r="AR392" s="78"/>
      <c r="AS392" s="78"/>
      <c r="AT392" s="91"/>
      <c r="AU392" s="78"/>
      <c r="AV392" s="78"/>
      <c r="AW392" s="78"/>
      <c r="AX392" s="78"/>
      <c r="AY392" s="78"/>
      <c r="AZ392" s="78"/>
      <c r="BA392" s="78"/>
      <c r="BB392" s="78"/>
      <c r="BC392" s="78"/>
      <c r="BD392" s="78"/>
      <c r="BE392" s="78"/>
      <c r="BF392" s="78"/>
      <c r="BG392" s="78"/>
      <c r="BH392" s="78"/>
      <c r="BI392" s="78"/>
      <c r="BJ392" s="78"/>
      <c r="BK392" s="78"/>
      <c r="BL392" s="78"/>
      <c r="BM392" s="78"/>
      <c r="BN392" s="78"/>
      <c r="BO392" s="78"/>
      <c r="BP392" s="78"/>
      <c r="BQ392" s="78"/>
      <c r="BR392" s="78"/>
      <c r="BS392" s="78"/>
      <c r="BT392" s="78"/>
      <c r="BU392" s="78"/>
      <c r="BV392" s="78"/>
      <c r="BW392" s="78"/>
      <c r="BX392" s="78"/>
      <c r="BY392" s="78"/>
      <c r="BZ392" s="78"/>
      <c r="CA392" s="78"/>
      <c r="CB392" s="78"/>
      <c r="CC392" s="78"/>
      <c r="CD392" s="78"/>
      <c r="CE392" s="78"/>
      <c r="CF392" s="78"/>
      <c r="CG392" s="78"/>
      <c r="CH392" s="78"/>
      <c r="CI392" s="78"/>
      <c r="CJ392" s="78"/>
      <c r="CK392" s="78"/>
      <c r="CL392" s="78"/>
      <c r="CM392" s="78"/>
      <c r="CN392" s="78"/>
      <c r="CO392" s="78"/>
      <c r="CP392" s="78"/>
      <c r="CQ392" s="78"/>
      <c r="CR392" s="78"/>
      <c r="CS392" s="78"/>
      <c r="CT392" s="78"/>
      <c r="CU392" s="78"/>
      <c r="CV392" s="78"/>
      <c r="CW392" s="78"/>
      <c r="CX392" s="78"/>
      <c r="CY392" s="78"/>
      <c r="CZ392" s="78"/>
      <c r="DA392" s="78"/>
      <c r="DB392" s="78"/>
      <c r="DC392" s="78"/>
      <c r="DD392" s="78"/>
      <c r="DE392" s="78"/>
      <c r="DF392" s="78"/>
      <c r="DG392" s="78"/>
      <c r="DH392" s="78"/>
      <c r="DI392" s="78"/>
      <c r="DJ392" s="78"/>
      <c r="DK392" s="78"/>
      <c r="DL392" s="78"/>
      <c r="DM392" s="78"/>
      <c r="DN392" s="78"/>
      <c r="DO392" s="78"/>
      <c r="DP392" s="78"/>
      <c r="DQ392" s="78"/>
      <c r="DR392" s="78"/>
      <c r="DS392" s="78"/>
      <c r="DT392" s="78"/>
      <c r="DU392" s="78"/>
      <c r="DV392" s="78"/>
      <c r="DW392" s="78"/>
      <c r="DX392" s="78"/>
      <c r="DY392" s="78"/>
      <c r="DZ392" s="78"/>
      <c r="EA392" s="78"/>
      <c r="EB392" s="78"/>
      <c r="EC392" s="78"/>
      <c r="ED392" s="78"/>
      <c r="EE392" s="78"/>
      <c r="EF392" s="78"/>
      <c r="EG392" s="78"/>
      <c r="EH392" s="78"/>
      <c r="EI392" s="91"/>
      <c r="EJ392" s="91"/>
      <c r="EK392" s="91"/>
      <c r="EL392" s="91"/>
      <c r="EM392" s="91"/>
      <c r="EN392" s="91"/>
      <c r="EO392" s="91"/>
      <c r="EP392" s="78"/>
      <c r="EQ392" s="78"/>
      <c r="ER392" s="78"/>
      <c r="ES392" s="78"/>
      <c r="ET392" s="78"/>
      <c r="EU392" s="78"/>
      <c r="EV392" s="78"/>
      <c r="EW392" s="78"/>
      <c r="EX392" s="78"/>
      <c r="EY392" s="78"/>
      <c r="EZ392" s="78"/>
      <c r="FA392" s="78"/>
      <c r="FB392" s="78"/>
      <c r="FC392" s="78"/>
      <c r="FD392" s="78"/>
      <c r="FE392" s="78"/>
      <c r="FF392" s="78"/>
      <c r="FG392" s="78"/>
      <c r="FH392" s="78"/>
      <c r="FI392" s="78"/>
      <c r="FJ392" s="78"/>
      <c r="FK392" s="78"/>
    </row>
    <row r="393" spans="1:167" hidden="1" outlineLevel="1">
      <c r="A393" s="29" t="str">
        <f t="shared" si="32"/>
        <v>modesg_out_empr_info_nfinccm_trnvr_enblng_algnd</v>
      </c>
      <c r="B393" s="67" t="s">
        <v>26</v>
      </c>
      <c r="C393" s="68" t="s">
        <v>310</v>
      </c>
      <c r="D393" s="64" t="s">
        <v>40</v>
      </c>
      <c r="E393" s="66" t="s">
        <v>325</v>
      </c>
      <c r="F393" s="64" t="s">
        <v>252</v>
      </c>
      <c r="G393" s="64" t="str">
        <f>INDEX(Auxiliar!$B$16:$B$24,MATCH(Plano_V1!H393,Auxiliar!$C$16:$C$24,0),1)</f>
        <v>1. Concluído</v>
      </c>
      <c r="H393" s="64">
        <f>VLOOKUP(A393,'Aux - pivots1'!$A:$B,2,0)</f>
        <v>1</v>
      </c>
      <c r="I393" s="84">
        <f>SUMIFS(Table1[Estimação (horas)],Table1[Tabela],Plano_V1!E393,Table1[Campo],Plano_V1!F393)</f>
        <v>16.100000000000001</v>
      </c>
      <c r="J393" s="84">
        <f t="shared" si="33"/>
        <v>2.0125000000000002</v>
      </c>
      <c r="K393" s="87" t="s">
        <v>326</v>
      </c>
      <c r="L393" s="90">
        <f t="shared" si="31"/>
        <v>2.0125000000000002</v>
      </c>
      <c r="M393" s="78"/>
      <c r="N393" s="78"/>
      <c r="O393" s="78"/>
      <c r="P393" s="78"/>
      <c r="Q393" s="78"/>
      <c r="R393" s="78"/>
      <c r="S393" s="78"/>
      <c r="T393" s="78"/>
      <c r="U393" s="78"/>
      <c r="V393" s="78"/>
      <c r="W393" s="78"/>
      <c r="X393" s="78"/>
      <c r="Y393" s="78"/>
      <c r="Z393" s="78"/>
      <c r="AA393" s="78"/>
      <c r="AB393" s="78"/>
      <c r="AC393" s="78"/>
      <c r="AD393" s="78"/>
      <c r="AE393" s="78"/>
      <c r="AF393" s="78"/>
      <c r="AG393" s="78"/>
      <c r="AH393" s="78"/>
      <c r="AI393" s="78"/>
      <c r="AJ393" s="78"/>
      <c r="AK393" s="78"/>
      <c r="AL393" s="78"/>
      <c r="AM393" s="78"/>
      <c r="AN393" s="78"/>
      <c r="AO393" s="78"/>
      <c r="AP393" s="78"/>
      <c r="AQ393" s="78"/>
      <c r="AR393" s="78"/>
      <c r="AS393" s="78"/>
      <c r="AT393" s="91"/>
      <c r="AU393" s="78"/>
      <c r="AV393" s="78"/>
      <c r="AW393" s="78"/>
      <c r="AX393" s="78"/>
      <c r="AY393" s="78"/>
      <c r="AZ393" s="78"/>
      <c r="BA393" s="78"/>
      <c r="BB393" s="78"/>
      <c r="BC393" s="78"/>
      <c r="BD393" s="78"/>
      <c r="BE393" s="78"/>
      <c r="BF393" s="78"/>
      <c r="BG393" s="78"/>
      <c r="BH393" s="78"/>
      <c r="BI393" s="78"/>
      <c r="BJ393" s="78"/>
      <c r="BK393" s="78"/>
      <c r="BL393" s="78"/>
      <c r="BM393" s="78"/>
      <c r="BN393" s="78"/>
      <c r="BO393" s="78"/>
      <c r="BP393" s="78"/>
      <c r="BQ393" s="78"/>
      <c r="BR393" s="78"/>
      <c r="BS393" s="78"/>
      <c r="BT393" s="78"/>
      <c r="BU393" s="78"/>
      <c r="BV393" s="78"/>
      <c r="BW393" s="78"/>
      <c r="BX393" s="78"/>
      <c r="BY393" s="78"/>
      <c r="BZ393" s="78"/>
      <c r="CA393" s="78"/>
      <c r="CB393" s="78"/>
      <c r="CC393" s="78"/>
      <c r="CD393" s="78"/>
      <c r="CE393" s="78"/>
      <c r="CF393" s="78"/>
      <c r="CG393" s="78"/>
      <c r="CH393" s="78"/>
      <c r="CI393" s="78"/>
      <c r="CJ393" s="78"/>
      <c r="CK393" s="78"/>
      <c r="CL393" s="78"/>
      <c r="CM393" s="78"/>
      <c r="CN393" s="78"/>
      <c r="CO393" s="78"/>
      <c r="CP393" s="78"/>
      <c r="CQ393" s="78"/>
      <c r="CR393" s="78"/>
      <c r="CS393" s="78"/>
      <c r="CT393" s="78"/>
      <c r="CU393" s="78"/>
      <c r="CV393" s="78"/>
      <c r="CW393" s="78"/>
      <c r="CX393" s="78"/>
      <c r="CY393" s="78"/>
      <c r="CZ393" s="78"/>
      <c r="DA393" s="78"/>
      <c r="DB393" s="78"/>
      <c r="DC393" s="78"/>
      <c r="DD393" s="78"/>
      <c r="DE393" s="78"/>
      <c r="DF393" s="78"/>
      <c r="DG393" s="78"/>
      <c r="DH393" s="78"/>
      <c r="DI393" s="78"/>
      <c r="DJ393" s="78"/>
      <c r="DK393" s="78"/>
      <c r="DL393" s="78"/>
      <c r="DM393" s="78"/>
      <c r="DN393" s="78"/>
      <c r="DO393" s="78"/>
      <c r="DP393" s="78"/>
      <c r="DQ393" s="78"/>
      <c r="DR393" s="78"/>
      <c r="DS393" s="78"/>
      <c r="DT393" s="78"/>
      <c r="DU393" s="78"/>
      <c r="DV393" s="78"/>
      <c r="DW393" s="78"/>
      <c r="DX393" s="78"/>
      <c r="DY393" s="78"/>
      <c r="DZ393" s="78"/>
      <c r="EA393" s="78"/>
      <c r="EB393" s="78"/>
      <c r="EC393" s="78"/>
      <c r="ED393" s="78"/>
      <c r="EE393" s="78"/>
      <c r="EF393" s="78"/>
      <c r="EG393" s="78"/>
      <c r="EH393" s="78"/>
      <c r="EI393" s="91"/>
      <c r="EJ393" s="91"/>
      <c r="EK393" s="91"/>
      <c r="EL393" s="91"/>
      <c r="EM393" s="91"/>
      <c r="EN393" s="91"/>
      <c r="EO393" s="91"/>
      <c r="EP393" s="78"/>
      <c r="EQ393" s="78"/>
      <c r="ER393" s="78"/>
      <c r="ES393" s="78"/>
      <c r="ET393" s="78"/>
      <c r="EU393" s="78"/>
      <c r="EV393" s="78"/>
      <c r="EW393" s="78"/>
      <c r="EX393" s="78"/>
      <c r="EY393" s="78"/>
      <c r="EZ393" s="78"/>
      <c r="FA393" s="78"/>
      <c r="FB393" s="78"/>
      <c r="FC393" s="78"/>
      <c r="FD393" s="78"/>
      <c r="FE393" s="78"/>
      <c r="FF393" s="78"/>
      <c r="FG393" s="78"/>
      <c r="FH393" s="78"/>
      <c r="FI393" s="78"/>
      <c r="FJ393" s="78"/>
      <c r="FK393" s="78"/>
    </row>
    <row r="394" spans="1:167" hidden="1" outlineLevel="1">
      <c r="A394" s="29" t="str">
        <f t="shared" si="32"/>
        <v>modesg_out_empr_info_nfinccm_trnvr_own_prfrmnce_algnd</v>
      </c>
      <c r="B394" s="67" t="s">
        <v>26</v>
      </c>
      <c r="C394" s="68" t="s">
        <v>310</v>
      </c>
      <c r="D394" s="64" t="s">
        <v>40</v>
      </c>
      <c r="E394" s="66" t="s">
        <v>325</v>
      </c>
      <c r="F394" s="64" t="s">
        <v>254</v>
      </c>
      <c r="G394" s="64" t="str">
        <f>INDEX(Auxiliar!$B$16:$B$24,MATCH(Plano_V1!H394,Auxiliar!$C$16:$C$24,0),1)</f>
        <v>1. Concluído</v>
      </c>
      <c r="H394" s="64">
        <f>VLOOKUP(A394,'Aux - pivots1'!$A:$B,2,0)</f>
        <v>1</v>
      </c>
      <c r="I394" s="84">
        <f>SUMIFS(Table1[Estimação (horas)],Table1[Tabela],Plano_V1!E394,Table1[Campo],Plano_V1!F394)</f>
        <v>16.100000000000001</v>
      </c>
      <c r="J394" s="84">
        <f t="shared" si="33"/>
        <v>2.0125000000000002</v>
      </c>
      <c r="K394" s="87" t="s">
        <v>326</v>
      </c>
      <c r="L394" s="90">
        <f t="shared" si="31"/>
        <v>2.0125000000000002</v>
      </c>
      <c r="M394" s="78"/>
      <c r="N394" s="78"/>
      <c r="O394" s="78"/>
      <c r="P394" s="78"/>
      <c r="Q394" s="78"/>
      <c r="R394" s="78"/>
      <c r="S394" s="78"/>
      <c r="T394" s="78"/>
      <c r="U394" s="78"/>
      <c r="V394" s="78"/>
      <c r="W394" s="78"/>
      <c r="X394" s="78"/>
      <c r="Y394" s="78"/>
      <c r="Z394" s="78"/>
      <c r="AA394" s="78"/>
      <c r="AB394" s="78"/>
      <c r="AC394" s="78"/>
      <c r="AD394" s="78"/>
      <c r="AE394" s="78"/>
      <c r="AF394" s="78"/>
      <c r="AG394" s="78"/>
      <c r="AH394" s="78"/>
      <c r="AI394" s="78"/>
      <c r="AJ394" s="78"/>
      <c r="AK394" s="78"/>
      <c r="AL394" s="78"/>
      <c r="AM394" s="78"/>
      <c r="AN394" s="78"/>
      <c r="AO394" s="78"/>
      <c r="AP394" s="78"/>
      <c r="AQ394" s="78"/>
      <c r="AR394" s="78"/>
      <c r="AS394" s="78"/>
      <c r="AT394" s="91"/>
      <c r="AU394" s="78"/>
      <c r="AV394" s="78"/>
      <c r="AW394" s="78"/>
      <c r="AX394" s="78"/>
      <c r="AY394" s="78"/>
      <c r="AZ394" s="78"/>
      <c r="BA394" s="78"/>
      <c r="BB394" s="78"/>
      <c r="BC394" s="78"/>
      <c r="BD394" s="78"/>
      <c r="BE394" s="78"/>
      <c r="BF394" s="78"/>
      <c r="BG394" s="78"/>
      <c r="BH394" s="78"/>
      <c r="BI394" s="78"/>
      <c r="BJ394" s="78"/>
      <c r="BK394" s="78"/>
      <c r="BL394" s="78"/>
      <c r="BM394" s="78"/>
      <c r="BN394" s="78"/>
      <c r="BO394" s="78"/>
      <c r="BP394" s="78"/>
      <c r="BQ394" s="78"/>
      <c r="BR394" s="78"/>
      <c r="BS394" s="78"/>
      <c r="BT394" s="78"/>
      <c r="BU394" s="78"/>
      <c r="BV394" s="78"/>
      <c r="BW394" s="78"/>
      <c r="BX394" s="78"/>
      <c r="BY394" s="78"/>
      <c r="BZ394" s="78"/>
      <c r="CA394" s="78"/>
      <c r="CB394" s="78"/>
      <c r="CC394" s="78"/>
      <c r="CD394" s="78"/>
      <c r="CE394" s="78"/>
      <c r="CF394" s="78"/>
      <c r="CG394" s="78"/>
      <c r="CH394" s="78"/>
      <c r="CI394" s="78"/>
      <c r="CJ394" s="78"/>
      <c r="CK394" s="78"/>
      <c r="CL394" s="78"/>
      <c r="CM394" s="78"/>
      <c r="CN394" s="78"/>
      <c r="CO394" s="78"/>
      <c r="CP394" s="78"/>
      <c r="CQ394" s="78"/>
      <c r="CR394" s="78"/>
      <c r="CS394" s="78"/>
      <c r="CT394" s="78"/>
      <c r="CU394" s="78"/>
      <c r="CV394" s="78"/>
      <c r="CW394" s="78"/>
      <c r="CX394" s="78"/>
      <c r="CY394" s="78"/>
      <c r="CZ394" s="78"/>
      <c r="DA394" s="78"/>
      <c r="DB394" s="78"/>
      <c r="DC394" s="78"/>
      <c r="DD394" s="78"/>
      <c r="DE394" s="78"/>
      <c r="DF394" s="78"/>
      <c r="DG394" s="78"/>
      <c r="DH394" s="78"/>
      <c r="DI394" s="78"/>
      <c r="DJ394" s="78"/>
      <c r="DK394" s="78"/>
      <c r="DL394" s="78"/>
      <c r="DM394" s="78"/>
      <c r="DN394" s="78"/>
      <c r="DO394" s="78"/>
      <c r="DP394" s="78"/>
      <c r="DQ394" s="78"/>
      <c r="DR394" s="78"/>
      <c r="DS394" s="78"/>
      <c r="DT394" s="78"/>
      <c r="DU394" s="78"/>
      <c r="DV394" s="78"/>
      <c r="DW394" s="78"/>
      <c r="DX394" s="78"/>
      <c r="DY394" s="78"/>
      <c r="DZ394" s="78"/>
      <c r="EA394" s="78"/>
      <c r="EB394" s="78"/>
      <c r="EC394" s="78"/>
      <c r="ED394" s="78"/>
      <c r="EE394" s="78"/>
      <c r="EF394" s="78"/>
      <c r="EG394" s="78"/>
      <c r="EH394" s="78"/>
      <c r="EI394" s="91"/>
      <c r="EJ394" s="91"/>
      <c r="EK394" s="91"/>
      <c r="EL394" s="91"/>
      <c r="EM394" s="91"/>
      <c r="EN394" s="91"/>
      <c r="EO394" s="91"/>
      <c r="EP394" s="78"/>
      <c r="EQ394" s="78"/>
      <c r="ER394" s="78"/>
      <c r="ES394" s="78"/>
      <c r="ET394" s="78"/>
      <c r="EU394" s="78"/>
      <c r="EV394" s="78"/>
      <c r="EW394" s="78"/>
      <c r="EX394" s="78"/>
      <c r="EY394" s="78"/>
      <c r="EZ394" s="78"/>
      <c r="FA394" s="78"/>
      <c r="FB394" s="78"/>
      <c r="FC394" s="78"/>
      <c r="FD394" s="78"/>
      <c r="FE394" s="78"/>
      <c r="FF394" s="78"/>
      <c r="FG394" s="78"/>
      <c r="FH394" s="78"/>
      <c r="FI394" s="78"/>
      <c r="FJ394" s="78"/>
      <c r="FK394" s="78"/>
    </row>
    <row r="395" spans="1:167" hidden="1" outlineLevel="1">
      <c r="A395" s="29" t="str">
        <f t="shared" si="32"/>
        <v>modesg_out_empr_info_nfinccm_trnvr_trnstn_alignd</v>
      </c>
      <c r="B395" s="67" t="s">
        <v>26</v>
      </c>
      <c r="C395" s="68" t="s">
        <v>310</v>
      </c>
      <c r="D395" s="64" t="s">
        <v>40</v>
      </c>
      <c r="E395" s="66" t="s">
        <v>325</v>
      </c>
      <c r="F395" s="64" t="s">
        <v>253</v>
      </c>
      <c r="G395" s="64" t="str">
        <f>INDEX(Auxiliar!$B$16:$B$24,MATCH(Plano_V1!H395,Auxiliar!$C$16:$C$24,0),1)</f>
        <v>1. Concluído</v>
      </c>
      <c r="H395" s="64">
        <f>VLOOKUP(A395,'Aux - pivots1'!$A:$B,2,0)</f>
        <v>1</v>
      </c>
      <c r="I395" s="84">
        <f>SUMIFS(Table1[Estimação (horas)],Table1[Tabela],Plano_V1!E395,Table1[Campo],Plano_V1!F395)</f>
        <v>16.100000000000001</v>
      </c>
      <c r="J395" s="84">
        <f t="shared" si="33"/>
        <v>2.0125000000000002</v>
      </c>
      <c r="K395" s="87" t="s">
        <v>326</v>
      </c>
      <c r="L395" s="90">
        <f t="shared" si="31"/>
        <v>2.0125000000000002</v>
      </c>
      <c r="M395" s="78"/>
      <c r="N395" s="78"/>
      <c r="O395" s="78"/>
      <c r="P395" s="78"/>
      <c r="Q395" s="78"/>
      <c r="R395" s="78"/>
      <c r="S395" s="78"/>
      <c r="T395" s="78"/>
      <c r="U395" s="78"/>
      <c r="V395" s="78"/>
      <c r="W395" s="78"/>
      <c r="X395" s="78"/>
      <c r="Y395" s="78"/>
      <c r="Z395" s="78"/>
      <c r="AA395" s="78"/>
      <c r="AB395" s="78"/>
      <c r="AC395" s="78"/>
      <c r="AD395" s="78"/>
      <c r="AE395" s="78"/>
      <c r="AF395" s="78"/>
      <c r="AG395" s="78"/>
      <c r="AH395" s="78"/>
      <c r="AI395" s="78"/>
      <c r="AJ395" s="78"/>
      <c r="AK395" s="78"/>
      <c r="AL395" s="78"/>
      <c r="AM395" s="78"/>
      <c r="AN395" s="78"/>
      <c r="AO395" s="78"/>
      <c r="AP395" s="78"/>
      <c r="AQ395" s="78"/>
      <c r="AR395" s="78"/>
      <c r="AS395" s="78"/>
      <c r="AT395" s="91"/>
      <c r="AU395" s="78"/>
      <c r="AV395" s="78"/>
      <c r="AW395" s="78"/>
      <c r="AX395" s="78"/>
      <c r="AY395" s="78"/>
      <c r="AZ395" s="78"/>
      <c r="BA395" s="78"/>
      <c r="BB395" s="78"/>
      <c r="BC395" s="78"/>
      <c r="BD395" s="78"/>
      <c r="BE395" s="78"/>
      <c r="BF395" s="78"/>
      <c r="BG395" s="78"/>
      <c r="BH395" s="78"/>
      <c r="BI395" s="78"/>
      <c r="BJ395" s="78"/>
      <c r="BK395" s="78"/>
      <c r="BL395" s="78"/>
      <c r="BM395" s="78"/>
      <c r="BN395" s="78"/>
      <c r="BO395" s="78"/>
      <c r="BP395" s="78"/>
      <c r="BQ395" s="78"/>
      <c r="BR395" s="78"/>
      <c r="BS395" s="78"/>
      <c r="BT395" s="78"/>
      <c r="BU395" s="78"/>
      <c r="BV395" s="78"/>
      <c r="BW395" s="78"/>
      <c r="BX395" s="78"/>
      <c r="BY395" s="78"/>
      <c r="BZ395" s="78"/>
      <c r="CA395" s="78"/>
      <c r="CB395" s="78"/>
      <c r="CC395" s="78"/>
      <c r="CD395" s="78"/>
      <c r="CE395" s="78"/>
      <c r="CF395" s="78"/>
      <c r="CG395" s="78"/>
      <c r="CH395" s="78"/>
      <c r="CI395" s="78"/>
      <c r="CJ395" s="78"/>
      <c r="CK395" s="78"/>
      <c r="CL395" s="78"/>
      <c r="CM395" s="78"/>
      <c r="CN395" s="78"/>
      <c r="CO395" s="78"/>
      <c r="CP395" s="78"/>
      <c r="CQ395" s="78"/>
      <c r="CR395" s="78"/>
      <c r="CS395" s="78"/>
      <c r="CT395" s="78"/>
      <c r="CU395" s="78"/>
      <c r="CV395" s="78"/>
      <c r="CW395" s="78"/>
      <c r="CX395" s="78"/>
      <c r="CY395" s="78"/>
      <c r="CZ395" s="78"/>
      <c r="DA395" s="78"/>
      <c r="DB395" s="78"/>
      <c r="DC395" s="78"/>
      <c r="DD395" s="78"/>
      <c r="DE395" s="78"/>
      <c r="DF395" s="78"/>
      <c r="DG395" s="78"/>
      <c r="DH395" s="78"/>
      <c r="DI395" s="78"/>
      <c r="DJ395" s="78"/>
      <c r="DK395" s="78"/>
      <c r="DL395" s="78"/>
      <c r="DM395" s="78"/>
      <c r="DN395" s="78"/>
      <c r="DO395" s="78"/>
      <c r="DP395" s="78"/>
      <c r="DQ395" s="78"/>
      <c r="DR395" s="78"/>
      <c r="DS395" s="78"/>
      <c r="DT395" s="78"/>
      <c r="DU395" s="78"/>
      <c r="DV395" s="78"/>
      <c r="DW395" s="78"/>
      <c r="DX395" s="78"/>
      <c r="DY395" s="78"/>
      <c r="DZ395" s="78"/>
      <c r="EA395" s="78"/>
      <c r="EB395" s="78"/>
      <c r="EC395" s="78"/>
      <c r="ED395" s="78"/>
      <c r="EE395" s="78"/>
      <c r="EF395" s="78"/>
      <c r="EG395" s="78"/>
      <c r="EH395" s="78"/>
      <c r="EI395" s="91"/>
      <c r="EJ395" s="91"/>
      <c r="EK395" s="91"/>
      <c r="EL395" s="91"/>
      <c r="EM395" s="91"/>
      <c r="EN395" s="91"/>
      <c r="EO395" s="91"/>
      <c r="EP395" s="78"/>
      <c r="EQ395" s="78"/>
      <c r="ER395" s="78"/>
      <c r="ES395" s="78"/>
      <c r="ET395" s="78"/>
      <c r="EU395" s="78"/>
      <c r="EV395" s="78"/>
      <c r="EW395" s="78"/>
      <c r="EX395" s="78"/>
      <c r="EY395" s="78"/>
      <c r="EZ395" s="78"/>
      <c r="FA395" s="78"/>
      <c r="FB395" s="78"/>
      <c r="FC395" s="78"/>
      <c r="FD395" s="78"/>
      <c r="FE395" s="78"/>
      <c r="FF395" s="78"/>
      <c r="FG395" s="78"/>
      <c r="FH395" s="78"/>
      <c r="FI395" s="78"/>
      <c r="FJ395" s="78"/>
      <c r="FK395" s="78"/>
    </row>
    <row r="396" spans="1:167" hidden="1" outlineLevel="1">
      <c r="A396" s="29" t="str">
        <f t="shared" si="32"/>
        <v>modesg_out_empr_info_nfinccm_trnvr_ttl_elgbl</v>
      </c>
      <c r="B396" s="67" t="s">
        <v>26</v>
      </c>
      <c r="C396" s="68" t="s">
        <v>310</v>
      </c>
      <c r="D396" s="64" t="s">
        <v>40</v>
      </c>
      <c r="E396" s="66" t="s">
        <v>325</v>
      </c>
      <c r="F396" s="64" t="s">
        <v>251</v>
      </c>
      <c r="G396" s="64" t="str">
        <f>INDEX(Auxiliar!$B$16:$B$24,MATCH(Plano_V1!H396,Auxiliar!$C$16:$C$24,0),1)</f>
        <v>1. Concluído</v>
      </c>
      <c r="H396" s="64">
        <f>VLOOKUP(A396,'Aux - pivots1'!$A:$B,2,0)</f>
        <v>1</v>
      </c>
      <c r="I396" s="84">
        <f>SUMIFS(Table1[Estimação (horas)],Table1[Tabela],Plano_V1!E396,Table1[Campo],Plano_V1!F396)</f>
        <v>16.100000000000001</v>
      </c>
      <c r="J396" s="84">
        <f t="shared" si="33"/>
        <v>2.0125000000000002</v>
      </c>
      <c r="K396" s="87" t="s">
        <v>326</v>
      </c>
      <c r="L396" s="90">
        <f t="shared" si="31"/>
        <v>2.0125000000000002</v>
      </c>
      <c r="M396" s="78"/>
      <c r="N396" s="78"/>
      <c r="O396" s="78"/>
      <c r="P396" s="78"/>
      <c r="Q396" s="78"/>
      <c r="R396" s="78"/>
      <c r="S396" s="78"/>
      <c r="T396" s="78"/>
      <c r="U396" s="78"/>
      <c r="V396" s="78"/>
      <c r="W396" s="78"/>
      <c r="X396" s="78"/>
      <c r="Y396" s="78"/>
      <c r="Z396" s="78"/>
      <c r="AA396" s="78"/>
      <c r="AB396" s="78"/>
      <c r="AC396" s="78"/>
      <c r="AD396" s="78"/>
      <c r="AE396" s="78"/>
      <c r="AF396" s="78"/>
      <c r="AG396" s="78"/>
      <c r="AH396" s="78"/>
      <c r="AI396" s="78"/>
      <c r="AJ396" s="78"/>
      <c r="AK396" s="78"/>
      <c r="AL396" s="78"/>
      <c r="AM396" s="78"/>
      <c r="AN396" s="78"/>
      <c r="AO396" s="78"/>
      <c r="AP396" s="78"/>
      <c r="AQ396" s="78"/>
      <c r="AR396" s="78"/>
      <c r="AS396" s="78"/>
      <c r="AT396" s="91"/>
      <c r="AU396" s="78"/>
      <c r="AV396" s="78"/>
      <c r="AW396" s="78"/>
      <c r="AX396" s="78"/>
      <c r="AY396" s="78"/>
      <c r="AZ396" s="78"/>
      <c r="BA396" s="78"/>
      <c r="BB396" s="78"/>
      <c r="BC396" s="78"/>
      <c r="BD396" s="78"/>
      <c r="BE396" s="78"/>
      <c r="BF396" s="78"/>
      <c r="BG396" s="78"/>
      <c r="BH396" s="78"/>
      <c r="BI396" s="78"/>
      <c r="BJ396" s="78"/>
      <c r="BK396" s="78"/>
      <c r="BL396" s="78"/>
      <c r="BM396" s="78"/>
      <c r="BN396" s="78"/>
      <c r="BO396" s="78"/>
      <c r="BP396" s="78"/>
      <c r="BQ396" s="78"/>
      <c r="BR396" s="78"/>
      <c r="BS396" s="78"/>
      <c r="BT396" s="78"/>
      <c r="BU396" s="78"/>
      <c r="BV396" s="78"/>
      <c r="BW396" s="78"/>
      <c r="BX396" s="78"/>
      <c r="BY396" s="78"/>
      <c r="BZ396" s="78"/>
      <c r="CA396" s="78"/>
      <c r="CB396" s="78"/>
      <c r="CC396" s="78"/>
      <c r="CD396" s="78"/>
      <c r="CE396" s="78"/>
      <c r="CF396" s="78"/>
      <c r="CG396" s="78"/>
      <c r="CH396" s="78"/>
      <c r="CI396" s="78"/>
      <c r="CJ396" s="78"/>
      <c r="CK396" s="78"/>
      <c r="CL396" s="78"/>
      <c r="CM396" s="78"/>
      <c r="CN396" s="78"/>
      <c r="CO396" s="78"/>
      <c r="CP396" s="78"/>
      <c r="CQ396" s="78"/>
      <c r="CR396" s="78"/>
      <c r="CS396" s="78"/>
      <c r="CT396" s="78"/>
      <c r="CU396" s="78"/>
      <c r="CV396" s="78"/>
      <c r="CW396" s="78"/>
      <c r="CX396" s="78"/>
      <c r="CY396" s="78"/>
      <c r="CZ396" s="78"/>
      <c r="DA396" s="78"/>
      <c r="DB396" s="78"/>
      <c r="DC396" s="78"/>
      <c r="DD396" s="78"/>
      <c r="DE396" s="78"/>
      <c r="DF396" s="78"/>
      <c r="DG396" s="78"/>
      <c r="DH396" s="78"/>
      <c r="DI396" s="78"/>
      <c r="DJ396" s="78"/>
      <c r="DK396" s="78"/>
      <c r="DL396" s="78"/>
      <c r="DM396" s="78"/>
      <c r="DN396" s="78"/>
      <c r="DO396" s="78"/>
      <c r="DP396" s="78"/>
      <c r="DQ396" s="78"/>
      <c r="DR396" s="78"/>
      <c r="DS396" s="78"/>
      <c r="DT396" s="78"/>
      <c r="DU396" s="78"/>
      <c r="DV396" s="78"/>
      <c r="DW396" s="78"/>
      <c r="DX396" s="78"/>
      <c r="DY396" s="78"/>
      <c r="DZ396" s="78"/>
      <c r="EA396" s="78"/>
      <c r="EB396" s="78"/>
      <c r="EC396" s="78"/>
      <c r="ED396" s="78"/>
      <c r="EE396" s="78"/>
      <c r="EF396" s="78"/>
      <c r="EG396" s="78"/>
      <c r="EH396" s="78"/>
      <c r="EI396" s="91"/>
      <c r="EJ396" s="91"/>
      <c r="EK396" s="91"/>
      <c r="EL396" s="91"/>
      <c r="EM396" s="91"/>
      <c r="EN396" s="91"/>
      <c r="EO396" s="91"/>
      <c r="EP396" s="78"/>
      <c r="EQ396" s="78"/>
      <c r="ER396" s="78"/>
      <c r="ES396" s="78"/>
      <c r="ET396" s="78"/>
      <c r="EU396" s="78"/>
      <c r="EV396" s="78"/>
      <c r="EW396" s="78"/>
      <c r="EX396" s="78"/>
      <c r="EY396" s="78"/>
      <c r="EZ396" s="78"/>
      <c r="FA396" s="78"/>
      <c r="FB396" s="78"/>
      <c r="FC396" s="78"/>
      <c r="FD396" s="78"/>
      <c r="FE396" s="78"/>
      <c r="FF396" s="78"/>
      <c r="FG396" s="78"/>
      <c r="FH396" s="78"/>
      <c r="FI396" s="78"/>
      <c r="FJ396" s="78"/>
      <c r="FK396" s="78"/>
    </row>
    <row r="397" spans="1:167" hidden="1" outlineLevel="1">
      <c r="A397" s="29" t="str">
        <f t="shared" si="32"/>
        <v>modesg_out_empr_info_nfincod_nace_esg</v>
      </c>
      <c r="B397" s="67" t="s">
        <v>26</v>
      </c>
      <c r="C397" s="68" t="s">
        <v>310</v>
      </c>
      <c r="D397" s="64" t="s">
        <v>40</v>
      </c>
      <c r="E397" s="66" t="s">
        <v>325</v>
      </c>
      <c r="F397" s="64" t="s">
        <v>281</v>
      </c>
      <c r="G397" s="64" t="str">
        <f>INDEX(Auxiliar!$B$16:$B$24,MATCH(Plano_V1!H397,Auxiliar!$C$16:$C$24,0),1)</f>
        <v>1. Concluído</v>
      </c>
      <c r="H397" s="64">
        <f>VLOOKUP(A397,'Aux - pivots1'!$A:$B,2,0)</f>
        <v>1</v>
      </c>
      <c r="I397" s="84">
        <f>SUMIFS(Table1[Estimação (horas)],Table1[Tabela],Plano_V1!E397,Table1[Campo],Plano_V1!F397)</f>
        <v>16.100000000000001</v>
      </c>
      <c r="J397" s="84">
        <f t="shared" si="33"/>
        <v>2.0125000000000002</v>
      </c>
      <c r="K397" s="87" t="s">
        <v>326</v>
      </c>
      <c r="L397" s="90">
        <f t="shared" si="31"/>
        <v>2.0125000000000002</v>
      </c>
      <c r="M397" s="78"/>
      <c r="N397" s="78"/>
      <c r="O397" s="78"/>
      <c r="P397" s="78"/>
      <c r="Q397" s="78"/>
      <c r="R397" s="78"/>
      <c r="S397" s="78"/>
      <c r="T397" s="78"/>
      <c r="U397" s="78"/>
      <c r="V397" s="78"/>
      <c r="W397" s="78"/>
      <c r="X397" s="78"/>
      <c r="Y397" s="78"/>
      <c r="Z397" s="78"/>
      <c r="AA397" s="78"/>
      <c r="AB397" s="78"/>
      <c r="AC397" s="78"/>
      <c r="AD397" s="78"/>
      <c r="AE397" s="78"/>
      <c r="AF397" s="78"/>
      <c r="AG397" s="78"/>
      <c r="AH397" s="78"/>
      <c r="AI397" s="78"/>
      <c r="AJ397" s="78"/>
      <c r="AK397" s="78"/>
      <c r="AL397" s="78"/>
      <c r="AM397" s="78"/>
      <c r="AN397" s="78"/>
      <c r="AO397" s="78"/>
      <c r="AP397" s="78"/>
      <c r="AQ397" s="78"/>
      <c r="AR397" s="78"/>
      <c r="AS397" s="78"/>
      <c r="AT397" s="91"/>
      <c r="AU397" s="78"/>
      <c r="AV397" s="78"/>
      <c r="AW397" s="78"/>
      <c r="AX397" s="78"/>
      <c r="AY397" s="78"/>
      <c r="AZ397" s="78"/>
      <c r="BA397" s="78"/>
      <c r="BB397" s="78"/>
      <c r="BC397" s="78"/>
      <c r="BD397" s="78"/>
      <c r="BE397" s="78"/>
      <c r="BF397" s="78"/>
      <c r="BG397" s="78"/>
      <c r="BH397" s="78"/>
      <c r="BI397" s="78"/>
      <c r="BJ397" s="78"/>
      <c r="BK397" s="78"/>
      <c r="BL397" s="78"/>
      <c r="BM397" s="78"/>
      <c r="BN397" s="78"/>
      <c r="BO397" s="78"/>
      <c r="BP397" s="78"/>
      <c r="BQ397" s="78"/>
      <c r="BR397" s="78"/>
      <c r="BS397" s="78"/>
      <c r="BT397" s="78"/>
      <c r="BU397" s="78"/>
      <c r="BV397" s="78"/>
      <c r="BW397" s="78"/>
      <c r="BX397" s="78"/>
      <c r="BY397" s="78"/>
      <c r="BZ397" s="78"/>
      <c r="CA397" s="78"/>
      <c r="CB397" s="78"/>
      <c r="CC397" s="78"/>
      <c r="CD397" s="78"/>
      <c r="CE397" s="78"/>
      <c r="CF397" s="78"/>
      <c r="CG397" s="78"/>
      <c r="CH397" s="78"/>
      <c r="CI397" s="78"/>
      <c r="CJ397" s="78"/>
      <c r="CK397" s="78"/>
      <c r="CL397" s="78"/>
      <c r="CM397" s="78"/>
      <c r="CN397" s="78"/>
      <c r="CO397" s="78"/>
      <c r="CP397" s="78"/>
      <c r="CQ397" s="78"/>
      <c r="CR397" s="78"/>
      <c r="CS397" s="78"/>
      <c r="CT397" s="78"/>
      <c r="CU397" s="78"/>
      <c r="CV397" s="78"/>
      <c r="CW397" s="78"/>
      <c r="CX397" s="78"/>
      <c r="CY397" s="78"/>
      <c r="CZ397" s="78"/>
      <c r="DA397" s="78"/>
      <c r="DB397" s="78"/>
      <c r="DC397" s="78"/>
      <c r="DD397" s="78"/>
      <c r="DE397" s="78"/>
      <c r="DF397" s="78"/>
      <c r="DG397" s="78"/>
      <c r="DH397" s="78"/>
      <c r="DI397" s="78"/>
      <c r="DJ397" s="78"/>
      <c r="DK397" s="78"/>
      <c r="DL397" s="78"/>
      <c r="DM397" s="78"/>
      <c r="DN397" s="78"/>
      <c r="DO397" s="78"/>
      <c r="DP397" s="78"/>
      <c r="DQ397" s="78"/>
      <c r="DR397" s="78"/>
      <c r="DS397" s="78"/>
      <c r="DT397" s="78"/>
      <c r="DU397" s="78"/>
      <c r="DV397" s="78"/>
      <c r="DW397" s="78"/>
      <c r="DX397" s="78"/>
      <c r="DY397" s="78"/>
      <c r="DZ397" s="78"/>
      <c r="EA397" s="78"/>
      <c r="EB397" s="78"/>
      <c r="EC397" s="78"/>
      <c r="ED397" s="78"/>
      <c r="EE397" s="78"/>
      <c r="EF397" s="78"/>
      <c r="EG397" s="78"/>
      <c r="EH397" s="78"/>
      <c r="EI397" s="91"/>
      <c r="EJ397" s="91"/>
      <c r="EK397" s="91"/>
      <c r="EL397" s="91"/>
      <c r="EM397" s="91"/>
      <c r="EN397" s="91"/>
      <c r="EO397" s="91"/>
      <c r="EP397" s="78"/>
      <c r="EQ397" s="78"/>
      <c r="ER397" s="78"/>
      <c r="ES397" s="78"/>
      <c r="ET397" s="78"/>
      <c r="EU397" s="78"/>
      <c r="EV397" s="78"/>
      <c r="EW397" s="78"/>
      <c r="EX397" s="78"/>
      <c r="EY397" s="78"/>
      <c r="EZ397" s="78"/>
      <c r="FA397" s="78"/>
      <c r="FB397" s="78"/>
      <c r="FC397" s="78"/>
      <c r="FD397" s="78"/>
      <c r="FE397" s="78"/>
      <c r="FF397" s="78"/>
      <c r="FG397" s="78"/>
      <c r="FH397" s="78"/>
      <c r="FI397" s="78"/>
      <c r="FJ397" s="78"/>
      <c r="FK397" s="78"/>
    </row>
    <row r="398" spans="1:167" hidden="1" outlineLevel="1">
      <c r="A398" s="29" t="str">
        <f t="shared" si="32"/>
        <v>modesg_out_empr_info_nfinflg_emprs_excl_paris</v>
      </c>
      <c r="B398" s="67" t="s">
        <v>26</v>
      </c>
      <c r="C398" s="68" t="s">
        <v>310</v>
      </c>
      <c r="D398" s="64" t="s">
        <v>40</v>
      </c>
      <c r="E398" s="66" t="s">
        <v>325</v>
      </c>
      <c r="F398" s="64" t="s">
        <v>327</v>
      </c>
      <c r="G398" s="64" t="str">
        <f>INDEX(Auxiliar!$B$16:$B$24,MATCH(Plano_V1!H398,Auxiliar!$C$16:$C$24,0),1)</f>
        <v>1. Concluído</v>
      </c>
      <c r="H398" s="64">
        <f>VLOOKUP(A398,'Aux - pivots1'!$A:$B,2,0)</f>
        <v>1</v>
      </c>
      <c r="I398" s="84">
        <f>SUMIFS(Table1[Estimação (horas)],Table1[Tabela],Plano_V1!E398,Table1[Campo],Plano_V1!F398)</f>
        <v>8.1</v>
      </c>
      <c r="J398" s="84">
        <f t="shared" si="33"/>
        <v>1.0125</v>
      </c>
      <c r="K398" s="87" t="s">
        <v>326</v>
      </c>
      <c r="L398" s="90">
        <f t="shared" si="31"/>
        <v>1.0125</v>
      </c>
      <c r="M398" s="78"/>
      <c r="N398" s="78"/>
      <c r="O398" s="78"/>
      <c r="P398" s="78"/>
      <c r="Q398" s="78"/>
      <c r="R398" s="78"/>
      <c r="S398" s="78"/>
      <c r="T398" s="78"/>
      <c r="U398" s="78"/>
      <c r="V398" s="78"/>
      <c r="W398" s="78"/>
      <c r="X398" s="78"/>
      <c r="Y398" s="78"/>
      <c r="Z398" s="78"/>
      <c r="AA398" s="78"/>
      <c r="AB398" s="78"/>
      <c r="AC398" s="78"/>
      <c r="AD398" s="78"/>
      <c r="AE398" s="78"/>
      <c r="AF398" s="78"/>
      <c r="AG398" s="78"/>
      <c r="AH398" s="78"/>
      <c r="AI398" s="78"/>
      <c r="AJ398" s="78"/>
      <c r="AK398" s="78"/>
      <c r="AL398" s="78"/>
      <c r="AM398" s="78"/>
      <c r="AN398" s="78"/>
      <c r="AO398" s="78"/>
      <c r="AP398" s="78"/>
      <c r="AQ398" s="78"/>
      <c r="AR398" s="78"/>
      <c r="AS398" s="78"/>
      <c r="AT398" s="91"/>
      <c r="AU398" s="78"/>
      <c r="AV398" s="78"/>
      <c r="AW398" s="78"/>
      <c r="AX398" s="78"/>
      <c r="AY398" s="78"/>
      <c r="AZ398" s="78"/>
      <c r="BA398" s="78"/>
      <c r="BB398" s="78"/>
      <c r="BC398" s="78"/>
      <c r="BD398" s="78"/>
      <c r="BE398" s="78"/>
      <c r="BF398" s="78"/>
      <c r="BG398" s="78"/>
      <c r="BH398" s="78"/>
      <c r="BI398" s="78"/>
      <c r="BJ398" s="78"/>
      <c r="BK398" s="78"/>
      <c r="BL398" s="78"/>
      <c r="BM398" s="78"/>
      <c r="BN398" s="78"/>
      <c r="BO398" s="78"/>
      <c r="BP398" s="78"/>
      <c r="BQ398" s="78"/>
      <c r="BR398" s="78"/>
      <c r="BS398" s="78"/>
      <c r="BT398" s="78"/>
      <c r="BU398" s="78"/>
      <c r="BV398" s="78"/>
      <c r="BW398" s="78"/>
      <c r="BX398" s="78"/>
      <c r="BY398" s="78"/>
      <c r="BZ398" s="78"/>
      <c r="CA398" s="78"/>
      <c r="CB398" s="78"/>
      <c r="CC398" s="78"/>
      <c r="CD398" s="78"/>
      <c r="CE398" s="78"/>
      <c r="CF398" s="78"/>
      <c r="CG398" s="78"/>
      <c r="CH398" s="78"/>
      <c r="CI398" s="78"/>
      <c r="CJ398" s="78"/>
      <c r="CK398" s="78"/>
      <c r="CL398" s="78"/>
      <c r="CM398" s="78"/>
      <c r="CN398" s="78"/>
      <c r="CO398" s="78"/>
      <c r="CP398" s="78"/>
      <c r="CQ398" s="78"/>
      <c r="CR398" s="78"/>
      <c r="CS398" s="78"/>
      <c r="CT398" s="78"/>
      <c r="CU398" s="78"/>
      <c r="CV398" s="78"/>
      <c r="CW398" s="78"/>
      <c r="CX398" s="78"/>
      <c r="CY398" s="78"/>
      <c r="CZ398" s="78"/>
      <c r="DA398" s="78"/>
      <c r="DB398" s="78"/>
      <c r="DC398" s="78"/>
      <c r="DD398" s="78"/>
      <c r="DE398" s="78"/>
      <c r="DF398" s="78"/>
      <c r="DG398" s="78"/>
      <c r="DH398" s="78"/>
      <c r="DI398" s="78"/>
      <c r="DJ398" s="78"/>
      <c r="DK398" s="78"/>
      <c r="DL398" s="78"/>
      <c r="DM398" s="78"/>
      <c r="DN398" s="78"/>
      <c r="DO398" s="78"/>
      <c r="DP398" s="78"/>
      <c r="DQ398" s="78"/>
      <c r="DR398" s="78"/>
      <c r="DS398" s="78"/>
      <c r="DT398" s="78"/>
      <c r="DU398" s="78"/>
      <c r="DV398" s="78"/>
      <c r="DW398" s="78"/>
      <c r="DX398" s="78"/>
      <c r="DY398" s="78"/>
      <c r="DZ398" s="78"/>
      <c r="EA398" s="78"/>
      <c r="EB398" s="78"/>
      <c r="EC398" s="78"/>
      <c r="ED398" s="78"/>
      <c r="EE398" s="78"/>
      <c r="EF398" s="78"/>
      <c r="EG398" s="78"/>
      <c r="EH398" s="78"/>
      <c r="EI398" s="91"/>
      <c r="EJ398" s="91"/>
      <c r="EK398" s="91"/>
      <c r="EL398" s="91"/>
      <c r="EM398" s="91"/>
      <c r="EN398" s="91"/>
      <c r="EO398" s="91"/>
      <c r="EP398" s="78"/>
      <c r="EQ398" s="78"/>
      <c r="ER398" s="78"/>
      <c r="ES398" s="78"/>
      <c r="ET398" s="78"/>
      <c r="EU398" s="78"/>
      <c r="EV398" s="78"/>
      <c r="EW398" s="78"/>
      <c r="EX398" s="78"/>
      <c r="EY398" s="78"/>
      <c r="EZ398" s="78"/>
      <c r="FA398" s="78"/>
      <c r="FB398" s="78"/>
      <c r="FC398" s="78"/>
      <c r="FD398" s="78"/>
      <c r="FE398" s="78"/>
      <c r="FF398" s="78"/>
      <c r="FG398" s="78"/>
      <c r="FH398" s="78"/>
      <c r="FI398" s="78"/>
      <c r="FJ398" s="78"/>
      <c r="FK398" s="78"/>
    </row>
    <row r="399" spans="1:167" hidden="1" outlineLevel="1">
      <c r="A399" s="29" t="str">
        <f t="shared" si="32"/>
        <v>modesg_out_empr_info_nfinflg_nfrd</v>
      </c>
      <c r="B399" s="67" t="s">
        <v>26</v>
      </c>
      <c r="C399" s="68" t="s">
        <v>310</v>
      </c>
      <c r="D399" s="64" t="s">
        <v>40</v>
      </c>
      <c r="E399" s="66" t="s">
        <v>325</v>
      </c>
      <c r="F399" s="64" t="s">
        <v>244</v>
      </c>
      <c r="G399" s="64" t="str">
        <f>INDEX(Auxiliar!$B$16:$B$24,MATCH(Plano_V1!H399,Auxiliar!$C$16:$C$24,0),1)</f>
        <v>1. Concluído</v>
      </c>
      <c r="H399" s="64">
        <f>VLOOKUP(A399,'Aux - pivots1'!$A:$B,2,0)</f>
        <v>1</v>
      </c>
      <c r="I399" s="84">
        <f>SUMIFS(Table1[Estimação (horas)],Table1[Tabela],Plano_V1!E399,Table1[Campo],Plano_V1!F399)</f>
        <v>8.1</v>
      </c>
      <c r="J399" s="84">
        <f t="shared" si="33"/>
        <v>1.0125</v>
      </c>
      <c r="K399" s="87" t="s">
        <v>326</v>
      </c>
      <c r="L399" s="90">
        <f t="shared" si="31"/>
        <v>1.0125</v>
      </c>
      <c r="M399" s="78"/>
      <c r="N399" s="78"/>
      <c r="O399" s="78"/>
      <c r="P399" s="78"/>
      <c r="Q399" s="78"/>
      <c r="R399" s="78"/>
      <c r="S399" s="78"/>
      <c r="T399" s="78"/>
      <c r="U399" s="78"/>
      <c r="V399" s="78"/>
      <c r="W399" s="78"/>
      <c r="X399" s="78"/>
      <c r="Y399" s="78"/>
      <c r="Z399" s="78"/>
      <c r="AA399" s="78"/>
      <c r="AB399" s="78"/>
      <c r="AC399" s="78"/>
      <c r="AD399" s="78"/>
      <c r="AE399" s="78"/>
      <c r="AF399" s="78"/>
      <c r="AG399" s="78"/>
      <c r="AH399" s="78"/>
      <c r="AI399" s="78"/>
      <c r="AJ399" s="78"/>
      <c r="AK399" s="78"/>
      <c r="AL399" s="78"/>
      <c r="AM399" s="78"/>
      <c r="AN399" s="78"/>
      <c r="AO399" s="78"/>
      <c r="AP399" s="78"/>
      <c r="AQ399" s="78"/>
      <c r="AR399" s="78"/>
      <c r="AS399" s="78"/>
      <c r="AT399" s="91"/>
      <c r="AU399" s="78"/>
      <c r="AV399" s="78"/>
      <c r="AW399" s="78"/>
      <c r="AX399" s="78"/>
      <c r="AY399" s="78"/>
      <c r="AZ399" s="78"/>
      <c r="BA399" s="78"/>
      <c r="BB399" s="78"/>
      <c r="BC399" s="78"/>
      <c r="BD399" s="78"/>
      <c r="BE399" s="78"/>
      <c r="BF399" s="78"/>
      <c r="BG399" s="78"/>
      <c r="BH399" s="78"/>
      <c r="BI399" s="78"/>
      <c r="BJ399" s="78"/>
      <c r="BK399" s="78"/>
      <c r="BL399" s="78"/>
      <c r="BM399" s="78"/>
      <c r="BN399" s="78"/>
      <c r="BO399" s="78"/>
      <c r="BP399" s="78"/>
      <c r="BQ399" s="78"/>
      <c r="BR399" s="78"/>
      <c r="BS399" s="78"/>
      <c r="BT399" s="78"/>
      <c r="BU399" s="78"/>
      <c r="BV399" s="78"/>
      <c r="BW399" s="78"/>
      <c r="BX399" s="78"/>
      <c r="BY399" s="78"/>
      <c r="BZ399" s="78"/>
      <c r="CA399" s="78"/>
      <c r="CB399" s="78"/>
      <c r="CC399" s="78"/>
      <c r="CD399" s="78"/>
      <c r="CE399" s="78"/>
      <c r="CF399" s="78"/>
      <c r="CG399" s="78"/>
      <c r="CH399" s="78"/>
      <c r="CI399" s="78"/>
      <c r="CJ399" s="78"/>
      <c r="CK399" s="78"/>
      <c r="CL399" s="78"/>
      <c r="CM399" s="78"/>
      <c r="CN399" s="78"/>
      <c r="CO399" s="78"/>
      <c r="CP399" s="78"/>
      <c r="CQ399" s="78"/>
      <c r="CR399" s="78"/>
      <c r="CS399" s="78"/>
      <c r="CT399" s="78"/>
      <c r="CU399" s="78"/>
      <c r="CV399" s="78"/>
      <c r="CW399" s="78"/>
      <c r="CX399" s="78"/>
      <c r="CY399" s="78"/>
      <c r="CZ399" s="78"/>
      <c r="DA399" s="78"/>
      <c r="DB399" s="78"/>
      <c r="DC399" s="78"/>
      <c r="DD399" s="78"/>
      <c r="DE399" s="78"/>
      <c r="DF399" s="78"/>
      <c r="DG399" s="78"/>
      <c r="DH399" s="78"/>
      <c r="DI399" s="78"/>
      <c r="DJ399" s="78"/>
      <c r="DK399" s="78"/>
      <c r="DL399" s="78"/>
      <c r="DM399" s="78"/>
      <c r="DN399" s="78"/>
      <c r="DO399" s="78"/>
      <c r="DP399" s="78"/>
      <c r="DQ399" s="78"/>
      <c r="DR399" s="78"/>
      <c r="DS399" s="78"/>
      <c r="DT399" s="78"/>
      <c r="DU399" s="78"/>
      <c r="DV399" s="78"/>
      <c r="DW399" s="78"/>
      <c r="DX399" s="78"/>
      <c r="DY399" s="78"/>
      <c r="DZ399" s="78"/>
      <c r="EA399" s="78"/>
      <c r="EB399" s="78"/>
      <c r="EC399" s="78"/>
      <c r="ED399" s="78"/>
      <c r="EE399" s="78"/>
      <c r="EF399" s="78"/>
      <c r="EG399" s="78"/>
      <c r="EH399" s="78"/>
      <c r="EI399" s="91"/>
      <c r="EJ399" s="91"/>
      <c r="EK399" s="91"/>
      <c r="EL399" s="91"/>
      <c r="EM399" s="91"/>
      <c r="EN399" s="91"/>
      <c r="EO399" s="91"/>
      <c r="EP399" s="78"/>
      <c r="EQ399" s="78"/>
      <c r="ER399" s="78"/>
      <c r="ES399" s="78"/>
      <c r="ET399" s="78"/>
      <c r="EU399" s="78"/>
      <c r="EV399" s="78"/>
      <c r="EW399" s="78"/>
      <c r="EX399" s="78"/>
      <c r="EY399" s="78"/>
      <c r="EZ399" s="78"/>
      <c r="FA399" s="78"/>
      <c r="FB399" s="78"/>
      <c r="FC399" s="78"/>
      <c r="FD399" s="78"/>
      <c r="FE399" s="78"/>
      <c r="FF399" s="78"/>
      <c r="FG399" s="78"/>
      <c r="FH399" s="78"/>
      <c r="FI399" s="78"/>
      <c r="FJ399" s="78"/>
      <c r="FK399" s="78"/>
    </row>
    <row r="400" spans="1:167" hidden="1" outlineLevel="1">
      <c r="A400" s="29" t="str">
        <f t="shared" si="32"/>
        <v>modesg_out_empr_info_nfinflg_rsc_fsc_agd</v>
      </c>
      <c r="B400" s="67" t="s">
        <v>26</v>
      </c>
      <c r="C400" s="68" t="s">
        <v>310</v>
      </c>
      <c r="D400" s="64" t="s">
        <v>40</v>
      </c>
      <c r="E400" s="66" t="s">
        <v>325</v>
      </c>
      <c r="F400" s="64" t="s">
        <v>282</v>
      </c>
      <c r="G400" s="64" t="str">
        <f>INDEX(Auxiliar!$B$16:$B$24,MATCH(Plano_V1!H400,Auxiliar!$C$16:$C$24,0),1)</f>
        <v>1. Concluído</v>
      </c>
      <c r="H400" s="64">
        <f>VLOOKUP(A400,'Aux - pivots1'!$A:$B,2,0)</f>
        <v>1</v>
      </c>
      <c r="I400" s="84">
        <f>SUMIFS(Table1[Estimação (horas)],Table1[Tabela],Plano_V1!E400,Table1[Campo],Plano_V1!F400)</f>
        <v>16.100000000000001</v>
      </c>
      <c r="J400" s="84">
        <f t="shared" si="33"/>
        <v>2.0125000000000002</v>
      </c>
      <c r="K400" s="87" t="s">
        <v>326</v>
      </c>
      <c r="L400" s="90">
        <f t="shared" si="31"/>
        <v>2.0125000000000002</v>
      </c>
      <c r="M400" s="78"/>
      <c r="N400" s="78"/>
      <c r="O400" s="78"/>
      <c r="P400" s="78"/>
      <c r="Q400" s="78"/>
      <c r="R400" s="78"/>
      <c r="S400" s="78"/>
      <c r="T400" s="78"/>
      <c r="U400" s="78"/>
      <c r="V400" s="78"/>
      <c r="W400" s="78"/>
      <c r="X400" s="78"/>
      <c r="Y400" s="78"/>
      <c r="Z400" s="78"/>
      <c r="AA400" s="78"/>
      <c r="AB400" s="78"/>
      <c r="AC400" s="78"/>
      <c r="AD400" s="78"/>
      <c r="AE400" s="78"/>
      <c r="AF400" s="78"/>
      <c r="AG400" s="78"/>
      <c r="AH400" s="78"/>
      <c r="AI400" s="78"/>
      <c r="AJ400" s="78"/>
      <c r="AK400" s="78"/>
      <c r="AL400" s="78"/>
      <c r="AM400" s="78"/>
      <c r="AN400" s="78"/>
      <c r="AO400" s="78"/>
      <c r="AP400" s="78"/>
      <c r="AQ400" s="78"/>
      <c r="AR400" s="78"/>
      <c r="AS400" s="78"/>
      <c r="AT400" s="91"/>
      <c r="AU400" s="78"/>
      <c r="AV400" s="78"/>
      <c r="AW400" s="78"/>
      <c r="AX400" s="78"/>
      <c r="AY400" s="78"/>
      <c r="AZ400" s="78"/>
      <c r="BA400" s="78"/>
      <c r="BB400" s="78"/>
      <c r="BC400" s="78"/>
      <c r="BD400" s="78"/>
      <c r="BE400" s="78"/>
      <c r="BF400" s="78"/>
      <c r="BG400" s="78"/>
      <c r="BH400" s="78"/>
      <c r="BI400" s="78"/>
      <c r="BJ400" s="78"/>
      <c r="BK400" s="78"/>
      <c r="BL400" s="78"/>
      <c r="BM400" s="78"/>
      <c r="BN400" s="78"/>
      <c r="BO400" s="78"/>
      <c r="BP400" s="78"/>
      <c r="BQ400" s="78"/>
      <c r="BR400" s="78"/>
      <c r="BS400" s="78"/>
      <c r="BT400" s="78"/>
      <c r="BU400" s="78"/>
      <c r="BV400" s="78"/>
      <c r="BW400" s="78"/>
      <c r="BX400" s="78"/>
      <c r="BY400" s="78"/>
      <c r="BZ400" s="78"/>
      <c r="CA400" s="78"/>
      <c r="CB400" s="78"/>
      <c r="CC400" s="78"/>
      <c r="CD400" s="78"/>
      <c r="CE400" s="78"/>
      <c r="CF400" s="78"/>
      <c r="CG400" s="78"/>
      <c r="CH400" s="78"/>
      <c r="CI400" s="78"/>
      <c r="CJ400" s="78"/>
      <c r="CK400" s="78"/>
      <c r="CL400" s="78"/>
      <c r="CM400" s="78"/>
      <c r="CN400" s="78"/>
      <c r="CO400" s="78"/>
      <c r="CP400" s="78"/>
      <c r="CQ400" s="78"/>
      <c r="CR400" s="78"/>
      <c r="CS400" s="78"/>
      <c r="CT400" s="78"/>
      <c r="CU400" s="78"/>
      <c r="CV400" s="78"/>
      <c r="CW400" s="78"/>
      <c r="CX400" s="78"/>
      <c r="CY400" s="78"/>
      <c r="CZ400" s="78"/>
      <c r="DA400" s="78"/>
      <c r="DB400" s="78"/>
      <c r="DC400" s="78"/>
      <c r="DD400" s="78"/>
      <c r="DE400" s="78"/>
      <c r="DF400" s="78"/>
      <c r="DG400" s="78"/>
      <c r="DH400" s="78"/>
      <c r="DI400" s="78"/>
      <c r="DJ400" s="78"/>
      <c r="DK400" s="78"/>
      <c r="DL400" s="78"/>
      <c r="DM400" s="78"/>
      <c r="DN400" s="78"/>
      <c r="DO400" s="78"/>
      <c r="DP400" s="78"/>
      <c r="DQ400" s="78"/>
      <c r="DR400" s="78"/>
      <c r="DS400" s="78"/>
      <c r="DT400" s="78"/>
      <c r="DU400" s="78"/>
      <c r="DV400" s="78"/>
      <c r="DW400" s="78"/>
      <c r="DX400" s="78"/>
      <c r="DY400" s="78"/>
      <c r="DZ400" s="78"/>
      <c r="EA400" s="78"/>
      <c r="EB400" s="78"/>
      <c r="EC400" s="78"/>
      <c r="ED400" s="78"/>
      <c r="EE400" s="78"/>
      <c r="EF400" s="78"/>
      <c r="EG400" s="78"/>
      <c r="EH400" s="78"/>
      <c r="EI400" s="91"/>
      <c r="EJ400" s="91"/>
      <c r="EK400" s="91"/>
      <c r="EL400" s="91"/>
      <c r="EM400" s="91"/>
      <c r="EN400" s="91"/>
      <c r="EO400" s="91"/>
      <c r="EP400" s="78"/>
      <c r="EQ400" s="78"/>
      <c r="ER400" s="78"/>
      <c r="ES400" s="78"/>
      <c r="ET400" s="78"/>
      <c r="EU400" s="78"/>
      <c r="EV400" s="78"/>
      <c r="EW400" s="78"/>
      <c r="EX400" s="78"/>
      <c r="EY400" s="78"/>
      <c r="EZ400" s="78"/>
      <c r="FA400" s="78"/>
      <c r="FB400" s="78"/>
      <c r="FC400" s="78"/>
      <c r="FD400" s="78"/>
      <c r="FE400" s="78"/>
      <c r="FF400" s="78"/>
      <c r="FG400" s="78"/>
      <c r="FH400" s="78"/>
      <c r="FI400" s="78"/>
      <c r="FJ400" s="78"/>
      <c r="FK400" s="78"/>
    </row>
    <row r="401" spans="1:167" hidden="1" outlineLevel="1">
      <c r="A401" s="29" t="str">
        <f t="shared" si="32"/>
        <v>modesg_out_empr_info_nfinflg_rsc_fsc_crnc</v>
      </c>
      <c r="B401" s="67" t="s">
        <v>26</v>
      </c>
      <c r="C401" s="68" t="s">
        <v>310</v>
      </c>
      <c r="D401" s="64" t="s">
        <v>40</v>
      </c>
      <c r="E401" s="66" t="s">
        <v>325</v>
      </c>
      <c r="F401" s="64" t="s">
        <v>283</v>
      </c>
      <c r="G401" s="64" t="str">
        <f>INDEX(Auxiliar!$B$16:$B$24,MATCH(Plano_V1!H401,Auxiliar!$C$16:$C$24,0),1)</f>
        <v>1. Concluído</v>
      </c>
      <c r="H401" s="64">
        <f>VLOOKUP(A401,'Aux - pivots1'!$A:$B,2,0)</f>
        <v>1</v>
      </c>
      <c r="I401" s="84">
        <f>SUMIFS(Table1[Estimação (horas)],Table1[Tabela],Plano_V1!E401,Table1[Campo],Plano_V1!F401)</f>
        <v>16.100000000000001</v>
      </c>
      <c r="J401" s="84">
        <f t="shared" si="33"/>
        <v>2.0125000000000002</v>
      </c>
      <c r="K401" s="87" t="s">
        <v>326</v>
      </c>
      <c r="L401" s="90">
        <f t="shared" si="31"/>
        <v>2.0125000000000002</v>
      </c>
      <c r="M401" s="78"/>
      <c r="N401" s="78"/>
      <c r="O401" s="78"/>
      <c r="P401" s="78"/>
      <c r="Q401" s="78"/>
      <c r="R401" s="78"/>
      <c r="S401" s="78"/>
      <c r="T401" s="78"/>
      <c r="U401" s="78"/>
      <c r="V401" s="78"/>
      <c r="W401" s="78"/>
      <c r="X401" s="78"/>
      <c r="Y401" s="78"/>
      <c r="Z401" s="78"/>
      <c r="AA401" s="78"/>
      <c r="AB401" s="78"/>
      <c r="AC401" s="78"/>
      <c r="AD401" s="78"/>
      <c r="AE401" s="78"/>
      <c r="AF401" s="78"/>
      <c r="AG401" s="78"/>
      <c r="AH401" s="78"/>
      <c r="AI401" s="78"/>
      <c r="AJ401" s="78"/>
      <c r="AK401" s="78"/>
      <c r="AL401" s="78"/>
      <c r="AM401" s="78"/>
      <c r="AN401" s="78"/>
      <c r="AO401" s="78"/>
      <c r="AP401" s="78"/>
      <c r="AQ401" s="78"/>
      <c r="AR401" s="78"/>
      <c r="AS401" s="78"/>
      <c r="AT401" s="91"/>
      <c r="AU401" s="78"/>
      <c r="AV401" s="78"/>
      <c r="AW401" s="78"/>
      <c r="AX401" s="78"/>
      <c r="AY401" s="78"/>
      <c r="AZ401" s="78"/>
      <c r="BA401" s="78"/>
      <c r="BB401" s="78"/>
      <c r="BC401" s="78"/>
      <c r="BD401" s="78"/>
      <c r="BE401" s="78"/>
      <c r="BF401" s="78"/>
      <c r="BG401" s="78"/>
      <c r="BH401" s="78"/>
      <c r="BI401" s="78"/>
      <c r="BJ401" s="78"/>
      <c r="BK401" s="78"/>
      <c r="BL401" s="78"/>
      <c r="BM401" s="78"/>
      <c r="BN401" s="78"/>
      <c r="BO401" s="78"/>
      <c r="BP401" s="78"/>
      <c r="BQ401" s="78"/>
      <c r="BR401" s="78"/>
      <c r="BS401" s="78"/>
      <c r="BT401" s="78"/>
      <c r="BU401" s="78"/>
      <c r="BV401" s="78"/>
      <c r="BW401" s="78"/>
      <c r="BX401" s="78"/>
      <c r="BY401" s="78"/>
      <c r="BZ401" s="78"/>
      <c r="CA401" s="78"/>
      <c r="CB401" s="78"/>
      <c r="CC401" s="78"/>
      <c r="CD401" s="78"/>
      <c r="CE401" s="78"/>
      <c r="CF401" s="78"/>
      <c r="CG401" s="78"/>
      <c r="CH401" s="78"/>
      <c r="CI401" s="78"/>
      <c r="CJ401" s="78"/>
      <c r="CK401" s="78"/>
      <c r="CL401" s="78"/>
      <c r="CM401" s="78"/>
      <c r="CN401" s="78"/>
      <c r="CO401" s="78"/>
      <c r="CP401" s="78"/>
      <c r="CQ401" s="78"/>
      <c r="CR401" s="78"/>
      <c r="CS401" s="78"/>
      <c r="CT401" s="78"/>
      <c r="CU401" s="78"/>
      <c r="CV401" s="78"/>
      <c r="CW401" s="78"/>
      <c r="CX401" s="78"/>
      <c r="CY401" s="78"/>
      <c r="CZ401" s="78"/>
      <c r="DA401" s="78"/>
      <c r="DB401" s="78"/>
      <c r="DC401" s="78"/>
      <c r="DD401" s="78"/>
      <c r="DE401" s="78"/>
      <c r="DF401" s="78"/>
      <c r="DG401" s="78"/>
      <c r="DH401" s="78"/>
      <c r="DI401" s="78"/>
      <c r="DJ401" s="78"/>
      <c r="DK401" s="78"/>
      <c r="DL401" s="78"/>
      <c r="DM401" s="78"/>
      <c r="DN401" s="78"/>
      <c r="DO401" s="78"/>
      <c r="DP401" s="78"/>
      <c r="DQ401" s="78"/>
      <c r="DR401" s="78"/>
      <c r="DS401" s="78"/>
      <c r="DT401" s="78"/>
      <c r="DU401" s="78"/>
      <c r="DV401" s="78"/>
      <c r="DW401" s="78"/>
      <c r="DX401" s="78"/>
      <c r="DY401" s="78"/>
      <c r="DZ401" s="78"/>
      <c r="EA401" s="78"/>
      <c r="EB401" s="78"/>
      <c r="EC401" s="78"/>
      <c r="ED401" s="78"/>
      <c r="EE401" s="78"/>
      <c r="EF401" s="78"/>
      <c r="EG401" s="78"/>
      <c r="EH401" s="78"/>
      <c r="EI401" s="91"/>
      <c r="EJ401" s="91"/>
      <c r="EK401" s="91"/>
      <c r="EL401" s="91"/>
      <c r="EM401" s="91"/>
      <c r="EN401" s="91"/>
      <c r="EO401" s="91"/>
      <c r="EP401" s="78"/>
      <c r="EQ401" s="78"/>
      <c r="ER401" s="78"/>
      <c r="ES401" s="78"/>
      <c r="ET401" s="78"/>
      <c r="EU401" s="78"/>
      <c r="EV401" s="78"/>
      <c r="EW401" s="78"/>
      <c r="EX401" s="78"/>
      <c r="EY401" s="78"/>
      <c r="EZ401" s="78"/>
      <c r="FA401" s="78"/>
      <c r="FB401" s="78"/>
      <c r="FC401" s="78"/>
      <c r="FD401" s="78"/>
      <c r="FE401" s="78"/>
      <c r="FF401" s="78"/>
      <c r="FG401" s="78"/>
      <c r="FH401" s="78"/>
      <c r="FI401" s="78"/>
      <c r="FJ401" s="78"/>
      <c r="FK401" s="78"/>
    </row>
    <row r="402" spans="1:167" hidden="1" outlineLevel="1">
      <c r="A402" s="29" t="str">
        <f t="shared" si="32"/>
        <v>modesg_out_empr_info_nfinorigem_alinhamentos</v>
      </c>
      <c r="B402" s="67" t="s">
        <v>26</v>
      </c>
      <c r="C402" s="68" t="s">
        <v>310</v>
      </c>
      <c r="D402" s="64" t="s">
        <v>40</v>
      </c>
      <c r="E402" s="66" t="s">
        <v>325</v>
      </c>
      <c r="F402" s="64" t="s">
        <v>328</v>
      </c>
      <c r="G402" s="64" t="str">
        <f>INDEX(Auxiliar!$B$16:$B$24,MATCH(Plano_V1!H402,Auxiliar!$C$16:$C$24,0),1)</f>
        <v>1. Concluído</v>
      </c>
      <c r="H402" s="64">
        <f>VLOOKUP(A402,'Aux - pivots1'!$A:$B,2,0)</f>
        <v>1</v>
      </c>
      <c r="I402" s="84">
        <f>SUMIFS(Table1[Estimação (horas)],Table1[Tabela],Plano_V1!E402,Table1[Campo],Plano_V1!F402)</f>
        <v>4.0999999999999996</v>
      </c>
      <c r="J402" s="84">
        <f t="shared" si="33"/>
        <v>0.51249999999999996</v>
      </c>
      <c r="K402" s="87" t="s">
        <v>326</v>
      </c>
      <c r="L402" s="90">
        <f t="shared" si="31"/>
        <v>0.51249999999999996</v>
      </c>
      <c r="M402" s="78"/>
      <c r="N402" s="78"/>
      <c r="O402" s="78"/>
      <c r="P402" s="78"/>
      <c r="Q402" s="78"/>
      <c r="R402" s="78"/>
      <c r="S402" s="78"/>
      <c r="T402" s="78"/>
      <c r="U402" s="78"/>
      <c r="V402" s="78"/>
      <c r="W402" s="78"/>
      <c r="X402" s="78"/>
      <c r="Y402" s="78"/>
      <c r="Z402" s="78"/>
      <c r="AA402" s="78"/>
      <c r="AB402" s="78"/>
      <c r="AC402" s="78"/>
      <c r="AD402" s="78"/>
      <c r="AE402" s="78"/>
      <c r="AF402" s="78"/>
      <c r="AG402" s="78"/>
      <c r="AH402" s="78"/>
      <c r="AI402" s="78"/>
      <c r="AJ402" s="78"/>
      <c r="AK402" s="78"/>
      <c r="AL402" s="78"/>
      <c r="AM402" s="78"/>
      <c r="AN402" s="78"/>
      <c r="AO402" s="78"/>
      <c r="AP402" s="78"/>
      <c r="AQ402" s="78"/>
      <c r="AR402" s="78"/>
      <c r="AS402" s="78"/>
      <c r="AT402" s="91"/>
      <c r="AU402" s="78"/>
      <c r="AV402" s="78"/>
      <c r="AW402" s="78"/>
      <c r="AX402" s="78"/>
      <c r="AY402" s="78"/>
      <c r="AZ402" s="78"/>
      <c r="BA402" s="78"/>
      <c r="BB402" s="78"/>
      <c r="BC402" s="78"/>
      <c r="BD402" s="78"/>
      <c r="BE402" s="78"/>
      <c r="BF402" s="78"/>
      <c r="BG402" s="78"/>
      <c r="BH402" s="78"/>
      <c r="BI402" s="78"/>
      <c r="BJ402" s="78"/>
      <c r="BK402" s="78"/>
      <c r="BL402" s="78"/>
      <c r="BM402" s="78"/>
      <c r="BN402" s="78"/>
      <c r="BO402" s="78"/>
      <c r="BP402" s="78"/>
      <c r="BQ402" s="78"/>
      <c r="BR402" s="78"/>
      <c r="BS402" s="78"/>
      <c r="BT402" s="78"/>
      <c r="BU402" s="78"/>
      <c r="BV402" s="78"/>
      <c r="BW402" s="78"/>
      <c r="BX402" s="78"/>
      <c r="BY402" s="78"/>
      <c r="BZ402" s="78"/>
      <c r="CA402" s="78"/>
      <c r="CB402" s="78"/>
      <c r="CC402" s="78"/>
      <c r="CD402" s="78"/>
      <c r="CE402" s="78"/>
      <c r="CF402" s="78"/>
      <c r="CG402" s="78"/>
      <c r="CH402" s="78"/>
      <c r="CI402" s="78"/>
      <c r="CJ402" s="78"/>
      <c r="CK402" s="78"/>
      <c r="CL402" s="78"/>
      <c r="CM402" s="78"/>
      <c r="CN402" s="78"/>
      <c r="CO402" s="78"/>
      <c r="CP402" s="78"/>
      <c r="CQ402" s="78"/>
      <c r="CR402" s="78"/>
      <c r="CS402" s="78"/>
      <c r="CT402" s="78"/>
      <c r="CU402" s="78"/>
      <c r="CV402" s="78"/>
      <c r="CW402" s="78"/>
      <c r="CX402" s="78"/>
      <c r="CY402" s="78"/>
      <c r="CZ402" s="78"/>
      <c r="DA402" s="78"/>
      <c r="DB402" s="78"/>
      <c r="DC402" s="78"/>
      <c r="DD402" s="78"/>
      <c r="DE402" s="78"/>
      <c r="DF402" s="78"/>
      <c r="DG402" s="78"/>
      <c r="DH402" s="78"/>
      <c r="DI402" s="78"/>
      <c r="DJ402" s="78"/>
      <c r="DK402" s="78"/>
      <c r="DL402" s="78"/>
      <c r="DM402" s="78"/>
      <c r="DN402" s="78"/>
      <c r="DO402" s="78"/>
      <c r="DP402" s="78"/>
      <c r="DQ402" s="78"/>
      <c r="DR402" s="78"/>
      <c r="DS402" s="78"/>
      <c r="DT402" s="78"/>
      <c r="DU402" s="78"/>
      <c r="DV402" s="78"/>
      <c r="DW402" s="78"/>
      <c r="DX402" s="78"/>
      <c r="DY402" s="78"/>
      <c r="DZ402" s="78"/>
      <c r="EA402" s="78"/>
      <c r="EB402" s="78"/>
      <c r="EC402" s="78"/>
      <c r="ED402" s="78"/>
      <c r="EE402" s="78"/>
      <c r="EF402" s="78"/>
      <c r="EG402" s="78"/>
      <c r="EH402" s="78"/>
      <c r="EI402" s="91"/>
      <c r="EJ402" s="91"/>
      <c r="EK402" s="91"/>
      <c r="EL402" s="91"/>
      <c r="EM402" s="91"/>
      <c r="EN402" s="91"/>
      <c r="EO402" s="91"/>
      <c r="EP402" s="78"/>
      <c r="EQ402" s="78"/>
      <c r="ER402" s="78"/>
      <c r="ES402" s="78"/>
      <c r="ET402" s="78"/>
      <c r="EU402" s="78"/>
      <c r="EV402" s="78"/>
      <c r="EW402" s="78"/>
      <c r="EX402" s="78"/>
      <c r="EY402" s="78"/>
      <c r="EZ402" s="78"/>
      <c r="FA402" s="78"/>
      <c r="FB402" s="78"/>
      <c r="FC402" s="78"/>
      <c r="FD402" s="78"/>
      <c r="FE402" s="78"/>
      <c r="FF402" s="78"/>
      <c r="FG402" s="78"/>
      <c r="FH402" s="78"/>
      <c r="FI402" s="78"/>
      <c r="FJ402" s="78"/>
      <c r="FK402" s="78"/>
    </row>
    <row r="403" spans="1:167" hidden="1" outlineLevel="1">
      <c r="A403" s="29" t="str">
        <f t="shared" si="32"/>
        <v>modesg_out_empr_info_nfinorigem_flg_emprs_excl_paris</v>
      </c>
      <c r="B403" s="67" t="s">
        <v>26</v>
      </c>
      <c r="C403" s="68" t="s">
        <v>310</v>
      </c>
      <c r="D403" s="64" t="s">
        <v>40</v>
      </c>
      <c r="E403" s="66" t="s">
        <v>325</v>
      </c>
      <c r="F403" s="64" t="s">
        <v>329</v>
      </c>
      <c r="G403" s="64" t="str">
        <f>INDEX(Auxiliar!$B$16:$B$24,MATCH(Plano_V1!H403,Auxiliar!$C$16:$C$24,0),1)</f>
        <v>1. Concluído</v>
      </c>
      <c r="H403" s="64">
        <f>VLOOKUP(A403,'Aux - pivots1'!$A:$B,2,0)</f>
        <v>1</v>
      </c>
      <c r="I403" s="84">
        <f>SUMIFS(Table1[Estimação (horas)],Table1[Tabela],Plano_V1!E403,Table1[Campo],Plano_V1!F403)</f>
        <v>4.0999999999999996</v>
      </c>
      <c r="J403" s="84">
        <f t="shared" si="33"/>
        <v>0.51249999999999996</v>
      </c>
      <c r="K403" s="87" t="s">
        <v>326</v>
      </c>
      <c r="L403" s="90">
        <f t="shared" si="31"/>
        <v>0.51249999999999996</v>
      </c>
      <c r="M403" s="78"/>
      <c r="N403" s="78"/>
      <c r="O403" s="78"/>
      <c r="P403" s="78"/>
      <c r="Q403" s="78"/>
      <c r="R403" s="78"/>
      <c r="S403" s="78"/>
      <c r="T403" s="78"/>
      <c r="U403" s="78"/>
      <c r="V403" s="78"/>
      <c r="W403" s="78"/>
      <c r="X403" s="78"/>
      <c r="Y403" s="78"/>
      <c r="Z403" s="78"/>
      <c r="AA403" s="78"/>
      <c r="AB403" s="78"/>
      <c r="AC403" s="78"/>
      <c r="AD403" s="78"/>
      <c r="AE403" s="78"/>
      <c r="AF403" s="78"/>
      <c r="AG403" s="78"/>
      <c r="AH403" s="78"/>
      <c r="AI403" s="78"/>
      <c r="AJ403" s="78"/>
      <c r="AK403" s="78"/>
      <c r="AL403" s="78"/>
      <c r="AM403" s="78"/>
      <c r="AN403" s="78"/>
      <c r="AO403" s="78"/>
      <c r="AP403" s="78"/>
      <c r="AQ403" s="78"/>
      <c r="AR403" s="78"/>
      <c r="AS403" s="78"/>
      <c r="AT403" s="91"/>
      <c r="AU403" s="78"/>
      <c r="AV403" s="78"/>
      <c r="AW403" s="78"/>
      <c r="AX403" s="78"/>
      <c r="AY403" s="78"/>
      <c r="AZ403" s="78"/>
      <c r="BA403" s="78"/>
      <c r="BB403" s="78"/>
      <c r="BC403" s="78"/>
      <c r="BD403" s="78"/>
      <c r="BE403" s="78"/>
      <c r="BF403" s="78"/>
      <c r="BG403" s="78"/>
      <c r="BH403" s="78"/>
      <c r="BI403" s="78"/>
      <c r="BJ403" s="78"/>
      <c r="BK403" s="78"/>
      <c r="BL403" s="78"/>
      <c r="BM403" s="78"/>
      <c r="BN403" s="78"/>
      <c r="BO403" s="78"/>
      <c r="BP403" s="78"/>
      <c r="BQ403" s="78"/>
      <c r="BR403" s="78"/>
      <c r="BS403" s="78"/>
      <c r="BT403" s="78"/>
      <c r="BU403" s="78"/>
      <c r="BV403" s="78"/>
      <c r="BW403" s="78"/>
      <c r="BX403" s="78"/>
      <c r="BY403" s="78"/>
      <c r="BZ403" s="78"/>
      <c r="CA403" s="78"/>
      <c r="CB403" s="78"/>
      <c r="CC403" s="78"/>
      <c r="CD403" s="78"/>
      <c r="CE403" s="78"/>
      <c r="CF403" s="78"/>
      <c r="CG403" s="78"/>
      <c r="CH403" s="78"/>
      <c r="CI403" s="78"/>
      <c r="CJ403" s="78"/>
      <c r="CK403" s="78"/>
      <c r="CL403" s="78"/>
      <c r="CM403" s="78"/>
      <c r="CN403" s="78"/>
      <c r="CO403" s="78"/>
      <c r="CP403" s="78"/>
      <c r="CQ403" s="78"/>
      <c r="CR403" s="78"/>
      <c r="CS403" s="78"/>
      <c r="CT403" s="78"/>
      <c r="CU403" s="78"/>
      <c r="CV403" s="78"/>
      <c r="CW403" s="78"/>
      <c r="CX403" s="78"/>
      <c r="CY403" s="78"/>
      <c r="CZ403" s="78"/>
      <c r="DA403" s="78"/>
      <c r="DB403" s="78"/>
      <c r="DC403" s="78"/>
      <c r="DD403" s="78"/>
      <c r="DE403" s="78"/>
      <c r="DF403" s="78"/>
      <c r="DG403" s="78"/>
      <c r="DH403" s="78"/>
      <c r="DI403" s="78"/>
      <c r="DJ403" s="78"/>
      <c r="DK403" s="78"/>
      <c r="DL403" s="78"/>
      <c r="DM403" s="78"/>
      <c r="DN403" s="78"/>
      <c r="DO403" s="78"/>
      <c r="DP403" s="78"/>
      <c r="DQ403" s="78"/>
      <c r="DR403" s="78"/>
      <c r="DS403" s="78"/>
      <c r="DT403" s="78"/>
      <c r="DU403" s="78"/>
      <c r="DV403" s="78"/>
      <c r="DW403" s="78"/>
      <c r="DX403" s="78"/>
      <c r="DY403" s="78"/>
      <c r="DZ403" s="78"/>
      <c r="EA403" s="78"/>
      <c r="EB403" s="78"/>
      <c r="EC403" s="78"/>
      <c r="ED403" s="78"/>
      <c r="EE403" s="78"/>
      <c r="EF403" s="78"/>
      <c r="EG403" s="78"/>
      <c r="EH403" s="78"/>
      <c r="EI403" s="91"/>
      <c r="EJ403" s="91"/>
      <c r="EK403" s="91"/>
      <c r="EL403" s="91"/>
      <c r="EM403" s="91"/>
      <c r="EN403" s="91"/>
      <c r="EO403" s="91"/>
      <c r="EP403" s="78"/>
      <c r="EQ403" s="78"/>
      <c r="ER403" s="78"/>
      <c r="ES403" s="78"/>
      <c r="ET403" s="78"/>
      <c r="EU403" s="78"/>
      <c r="EV403" s="78"/>
      <c r="EW403" s="78"/>
      <c r="EX403" s="78"/>
      <c r="EY403" s="78"/>
      <c r="EZ403" s="78"/>
      <c r="FA403" s="78"/>
      <c r="FB403" s="78"/>
      <c r="FC403" s="78"/>
      <c r="FD403" s="78"/>
      <c r="FE403" s="78"/>
      <c r="FF403" s="78"/>
      <c r="FG403" s="78"/>
      <c r="FH403" s="78"/>
      <c r="FI403" s="78"/>
      <c r="FJ403" s="78"/>
      <c r="FK403" s="78"/>
    </row>
    <row r="404" spans="1:167" hidden="1" outlineLevel="1">
      <c r="A404" s="29" t="str">
        <f t="shared" si="32"/>
        <v>modesg_out_empr_info_nfinorigem_flg_nfrd</v>
      </c>
      <c r="B404" s="67" t="s">
        <v>26</v>
      </c>
      <c r="C404" s="68" t="s">
        <v>310</v>
      </c>
      <c r="D404" s="64" t="s">
        <v>40</v>
      </c>
      <c r="E404" s="66" t="s">
        <v>325</v>
      </c>
      <c r="F404" s="64" t="s">
        <v>330</v>
      </c>
      <c r="G404" s="64" t="str">
        <f>INDEX(Auxiliar!$B$16:$B$24,MATCH(Plano_V1!H404,Auxiliar!$C$16:$C$24,0),1)</f>
        <v>1. Concluído</v>
      </c>
      <c r="H404" s="64">
        <f>VLOOKUP(A404,'Aux - pivots1'!$A:$B,2,0)</f>
        <v>1</v>
      </c>
      <c r="I404" s="84">
        <f>SUMIFS(Table1[Estimação (horas)],Table1[Tabela],Plano_V1!E404,Table1[Campo],Plano_V1!F404)</f>
        <v>4.0999999999999996</v>
      </c>
      <c r="J404" s="84">
        <f t="shared" si="33"/>
        <v>0.51249999999999996</v>
      </c>
      <c r="K404" s="87" t="s">
        <v>326</v>
      </c>
      <c r="L404" s="90">
        <f t="shared" si="31"/>
        <v>0.51249999999999996</v>
      </c>
      <c r="M404" s="78"/>
      <c r="N404" s="78"/>
      <c r="O404" s="78"/>
      <c r="P404" s="78"/>
      <c r="Q404" s="78"/>
      <c r="R404" s="78"/>
      <c r="S404" s="78"/>
      <c r="T404" s="78"/>
      <c r="U404" s="78"/>
      <c r="V404" s="78"/>
      <c r="W404" s="78"/>
      <c r="X404" s="78"/>
      <c r="Y404" s="78"/>
      <c r="Z404" s="78"/>
      <c r="AA404" s="78"/>
      <c r="AB404" s="78"/>
      <c r="AC404" s="78"/>
      <c r="AD404" s="78"/>
      <c r="AE404" s="78"/>
      <c r="AF404" s="78"/>
      <c r="AG404" s="78"/>
      <c r="AH404" s="78"/>
      <c r="AI404" s="78"/>
      <c r="AJ404" s="78"/>
      <c r="AK404" s="78"/>
      <c r="AL404" s="78"/>
      <c r="AM404" s="78"/>
      <c r="AN404" s="78"/>
      <c r="AO404" s="78"/>
      <c r="AP404" s="78"/>
      <c r="AQ404" s="78"/>
      <c r="AR404" s="78"/>
      <c r="AS404" s="78"/>
      <c r="AT404" s="91"/>
      <c r="AU404" s="78"/>
      <c r="AV404" s="78"/>
      <c r="AW404" s="78"/>
      <c r="AX404" s="78"/>
      <c r="AY404" s="78"/>
      <c r="AZ404" s="78"/>
      <c r="BA404" s="78"/>
      <c r="BB404" s="78"/>
      <c r="BC404" s="78"/>
      <c r="BD404" s="78"/>
      <c r="BE404" s="78"/>
      <c r="BF404" s="78"/>
      <c r="BG404" s="78"/>
      <c r="BH404" s="78"/>
      <c r="BI404" s="78"/>
      <c r="BJ404" s="78"/>
      <c r="BK404" s="78"/>
      <c r="BL404" s="78"/>
      <c r="BM404" s="78"/>
      <c r="BN404" s="78"/>
      <c r="BO404" s="78"/>
      <c r="BP404" s="78"/>
      <c r="BQ404" s="78"/>
      <c r="BR404" s="78"/>
      <c r="BS404" s="78"/>
      <c r="BT404" s="78"/>
      <c r="BU404" s="78"/>
      <c r="BV404" s="78"/>
      <c r="BW404" s="78"/>
      <c r="BX404" s="78"/>
      <c r="BY404" s="78"/>
      <c r="BZ404" s="78"/>
      <c r="CA404" s="78"/>
      <c r="CB404" s="78"/>
      <c r="CC404" s="78"/>
      <c r="CD404" s="78"/>
      <c r="CE404" s="78"/>
      <c r="CF404" s="78"/>
      <c r="CG404" s="78"/>
      <c r="CH404" s="78"/>
      <c r="CI404" s="78"/>
      <c r="CJ404" s="78"/>
      <c r="CK404" s="78"/>
      <c r="CL404" s="78"/>
      <c r="CM404" s="78"/>
      <c r="CN404" s="78"/>
      <c r="CO404" s="78"/>
      <c r="CP404" s="78"/>
      <c r="CQ404" s="78"/>
      <c r="CR404" s="78"/>
      <c r="CS404" s="78"/>
      <c r="CT404" s="78"/>
      <c r="CU404" s="78"/>
      <c r="CV404" s="78"/>
      <c r="CW404" s="78"/>
      <c r="CX404" s="78"/>
      <c r="CY404" s="78"/>
      <c r="CZ404" s="78"/>
      <c r="DA404" s="78"/>
      <c r="DB404" s="78"/>
      <c r="DC404" s="78"/>
      <c r="DD404" s="78"/>
      <c r="DE404" s="78"/>
      <c r="DF404" s="78"/>
      <c r="DG404" s="78"/>
      <c r="DH404" s="78"/>
      <c r="DI404" s="78"/>
      <c r="DJ404" s="78"/>
      <c r="DK404" s="78"/>
      <c r="DL404" s="78"/>
      <c r="DM404" s="78"/>
      <c r="DN404" s="78"/>
      <c r="DO404" s="78"/>
      <c r="DP404" s="78"/>
      <c r="DQ404" s="78"/>
      <c r="DR404" s="78"/>
      <c r="DS404" s="78"/>
      <c r="DT404" s="78"/>
      <c r="DU404" s="78"/>
      <c r="DV404" s="78"/>
      <c r="DW404" s="78"/>
      <c r="DX404" s="78"/>
      <c r="DY404" s="78"/>
      <c r="DZ404" s="78"/>
      <c r="EA404" s="78"/>
      <c r="EB404" s="78"/>
      <c r="EC404" s="78"/>
      <c r="ED404" s="78"/>
      <c r="EE404" s="78"/>
      <c r="EF404" s="78"/>
      <c r="EG404" s="78"/>
      <c r="EH404" s="78"/>
      <c r="EI404" s="91"/>
      <c r="EJ404" s="91"/>
      <c r="EK404" s="91"/>
      <c r="EL404" s="91"/>
      <c r="EM404" s="91"/>
      <c r="EN404" s="91"/>
      <c r="EO404" s="91"/>
      <c r="EP404" s="78"/>
      <c r="EQ404" s="78"/>
      <c r="ER404" s="78"/>
      <c r="ES404" s="78"/>
      <c r="ET404" s="78"/>
      <c r="EU404" s="78"/>
      <c r="EV404" s="78"/>
      <c r="EW404" s="78"/>
      <c r="EX404" s="78"/>
      <c r="EY404" s="78"/>
      <c r="EZ404" s="78"/>
      <c r="FA404" s="78"/>
      <c r="FB404" s="78"/>
      <c r="FC404" s="78"/>
      <c r="FD404" s="78"/>
      <c r="FE404" s="78"/>
      <c r="FF404" s="78"/>
      <c r="FG404" s="78"/>
      <c r="FH404" s="78"/>
      <c r="FI404" s="78"/>
      <c r="FJ404" s="78"/>
      <c r="FK404" s="78"/>
    </row>
    <row r="405" spans="1:167" hidden="1" outlineLevel="1">
      <c r="A405" s="29" t="str">
        <f t="shared" si="32"/>
        <v>modesg_out_empr_info_nfinorigem_flg_rsc_fsc_agd</v>
      </c>
      <c r="B405" s="67" t="s">
        <v>26</v>
      </c>
      <c r="C405" s="68" t="s">
        <v>310</v>
      </c>
      <c r="D405" s="64" t="s">
        <v>40</v>
      </c>
      <c r="E405" s="66" t="s">
        <v>325</v>
      </c>
      <c r="F405" s="64" t="s">
        <v>317</v>
      </c>
      <c r="G405" s="64" t="str">
        <f>INDEX(Auxiliar!$B$16:$B$24,MATCH(Plano_V1!H405,Auxiliar!$C$16:$C$24,0),1)</f>
        <v>1. Concluído</v>
      </c>
      <c r="H405" s="64">
        <f>VLOOKUP(A405,'Aux - pivots1'!$A:$B,2,0)</f>
        <v>1</v>
      </c>
      <c r="I405" s="84">
        <f>SUMIFS(Table1[Estimação (horas)],Table1[Tabela],Plano_V1!E405,Table1[Campo],Plano_V1!F405)</f>
        <v>4.0999999999999996</v>
      </c>
      <c r="J405" s="84">
        <f t="shared" si="33"/>
        <v>0.51249999999999996</v>
      </c>
      <c r="K405" s="87" t="s">
        <v>326</v>
      </c>
      <c r="L405" s="90">
        <f t="shared" si="31"/>
        <v>0.51249999999999996</v>
      </c>
      <c r="M405" s="78"/>
      <c r="N405" s="78"/>
      <c r="O405" s="78"/>
      <c r="P405" s="78"/>
      <c r="Q405" s="78"/>
      <c r="R405" s="78"/>
      <c r="S405" s="78"/>
      <c r="T405" s="78"/>
      <c r="U405" s="78"/>
      <c r="V405" s="78"/>
      <c r="W405" s="78"/>
      <c r="X405" s="78"/>
      <c r="Y405" s="78"/>
      <c r="Z405" s="78"/>
      <c r="AA405" s="78"/>
      <c r="AB405" s="78"/>
      <c r="AC405" s="78"/>
      <c r="AD405" s="78"/>
      <c r="AE405" s="78"/>
      <c r="AF405" s="78"/>
      <c r="AG405" s="78"/>
      <c r="AH405" s="78"/>
      <c r="AI405" s="78"/>
      <c r="AJ405" s="78"/>
      <c r="AK405" s="78"/>
      <c r="AL405" s="78"/>
      <c r="AM405" s="78"/>
      <c r="AN405" s="78"/>
      <c r="AO405" s="78"/>
      <c r="AP405" s="78"/>
      <c r="AQ405" s="78"/>
      <c r="AR405" s="78"/>
      <c r="AS405" s="78"/>
      <c r="AT405" s="91"/>
      <c r="AU405" s="78"/>
      <c r="AV405" s="78"/>
      <c r="AW405" s="78"/>
      <c r="AX405" s="78"/>
      <c r="AY405" s="78"/>
      <c r="AZ405" s="78"/>
      <c r="BA405" s="78"/>
      <c r="BB405" s="78"/>
      <c r="BC405" s="78"/>
      <c r="BD405" s="78"/>
      <c r="BE405" s="78"/>
      <c r="BF405" s="78"/>
      <c r="BG405" s="78"/>
      <c r="BH405" s="78"/>
      <c r="BI405" s="78"/>
      <c r="BJ405" s="78"/>
      <c r="BK405" s="78"/>
      <c r="BL405" s="78"/>
      <c r="BM405" s="78"/>
      <c r="BN405" s="78"/>
      <c r="BO405" s="78"/>
      <c r="BP405" s="78"/>
      <c r="BQ405" s="78"/>
      <c r="BR405" s="78"/>
      <c r="BS405" s="78"/>
      <c r="BT405" s="78"/>
      <c r="BU405" s="78"/>
      <c r="BV405" s="78"/>
      <c r="BW405" s="78"/>
      <c r="BX405" s="78"/>
      <c r="BY405" s="78"/>
      <c r="BZ405" s="78"/>
      <c r="CA405" s="78"/>
      <c r="CB405" s="78"/>
      <c r="CC405" s="78"/>
      <c r="CD405" s="78"/>
      <c r="CE405" s="78"/>
      <c r="CF405" s="78"/>
      <c r="CG405" s="78"/>
      <c r="CH405" s="78"/>
      <c r="CI405" s="78"/>
      <c r="CJ405" s="78"/>
      <c r="CK405" s="78"/>
      <c r="CL405" s="78"/>
      <c r="CM405" s="78"/>
      <c r="CN405" s="78"/>
      <c r="CO405" s="78"/>
      <c r="CP405" s="78"/>
      <c r="CQ405" s="78"/>
      <c r="CR405" s="78"/>
      <c r="CS405" s="78"/>
      <c r="CT405" s="78"/>
      <c r="CU405" s="78"/>
      <c r="CV405" s="78"/>
      <c r="CW405" s="78"/>
      <c r="CX405" s="78"/>
      <c r="CY405" s="78"/>
      <c r="CZ405" s="78"/>
      <c r="DA405" s="78"/>
      <c r="DB405" s="78"/>
      <c r="DC405" s="78"/>
      <c r="DD405" s="78"/>
      <c r="DE405" s="78"/>
      <c r="DF405" s="78"/>
      <c r="DG405" s="78"/>
      <c r="DH405" s="78"/>
      <c r="DI405" s="78"/>
      <c r="DJ405" s="78"/>
      <c r="DK405" s="78"/>
      <c r="DL405" s="78"/>
      <c r="DM405" s="78"/>
      <c r="DN405" s="78"/>
      <c r="DO405" s="78"/>
      <c r="DP405" s="78"/>
      <c r="DQ405" s="78"/>
      <c r="DR405" s="78"/>
      <c r="DS405" s="78"/>
      <c r="DT405" s="78"/>
      <c r="DU405" s="78"/>
      <c r="DV405" s="78"/>
      <c r="DW405" s="78"/>
      <c r="DX405" s="78"/>
      <c r="DY405" s="78"/>
      <c r="DZ405" s="78"/>
      <c r="EA405" s="78"/>
      <c r="EB405" s="78"/>
      <c r="EC405" s="78"/>
      <c r="ED405" s="78"/>
      <c r="EE405" s="78"/>
      <c r="EF405" s="78"/>
      <c r="EG405" s="78"/>
      <c r="EH405" s="78"/>
      <c r="EI405" s="91"/>
      <c r="EJ405" s="91"/>
      <c r="EK405" s="91"/>
      <c r="EL405" s="91"/>
      <c r="EM405" s="91"/>
      <c r="EN405" s="91"/>
      <c r="EO405" s="91"/>
      <c r="EP405" s="78"/>
      <c r="EQ405" s="78"/>
      <c r="ER405" s="78"/>
      <c r="ES405" s="78"/>
      <c r="ET405" s="78"/>
      <c r="EU405" s="78"/>
      <c r="EV405" s="78"/>
      <c r="EW405" s="78"/>
      <c r="EX405" s="78"/>
      <c r="EY405" s="78"/>
      <c r="EZ405" s="78"/>
      <c r="FA405" s="78"/>
      <c r="FB405" s="78"/>
      <c r="FC405" s="78"/>
      <c r="FD405" s="78"/>
      <c r="FE405" s="78"/>
      <c r="FF405" s="78"/>
      <c r="FG405" s="78"/>
      <c r="FH405" s="78"/>
      <c r="FI405" s="78"/>
      <c r="FJ405" s="78"/>
      <c r="FK405" s="78"/>
    </row>
    <row r="406" spans="1:167" hidden="1" outlineLevel="1">
      <c r="A406" s="29" t="str">
        <f t="shared" si="32"/>
        <v>modesg_out_empr_info_nfinorigem_flg_rsc_fsc_crnc</v>
      </c>
      <c r="B406" s="67" t="s">
        <v>26</v>
      </c>
      <c r="C406" s="68" t="s">
        <v>310</v>
      </c>
      <c r="D406" s="64" t="s">
        <v>40</v>
      </c>
      <c r="E406" s="66" t="s">
        <v>325</v>
      </c>
      <c r="F406" s="64" t="s">
        <v>318</v>
      </c>
      <c r="G406" s="64" t="str">
        <f>INDEX(Auxiliar!$B$16:$B$24,MATCH(Plano_V1!H406,Auxiliar!$C$16:$C$24,0),1)</f>
        <v>1. Concluído</v>
      </c>
      <c r="H406" s="64">
        <f>VLOOKUP(A406,'Aux - pivots1'!$A:$B,2,0)</f>
        <v>1</v>
      </c>
      <c r="I406" s="84">
        <f>SUMIFS(Table1[Estimação (horas)],Table1[Tabela],Plano_V1!E406,Table1[Campo],Plano_V1!F406)</f>
        <v>4.0999999999999996</v>
      </c>
      <c r="J406" s="84">
        <f t="shared" si="33"/>
        <v>0.51249999999999996</v>
      </c>
      <c r="K406" s="87" t="s">
        <v>326</v>
      </c>
      <c r="L406" s="90">
        <f t="shared" si="31"/>
        <v>0.51249999999999996</v>
      </c>
      <c r="M406" s="78"/>
      <c r="N406" s="78"/>
      <c r="O406" s="78"/>
      <c r="P406" s="78"/>
      <c r="Q406" s="78"/>
      <c r="R406" s="78"/>
      <c r="S406" s="78"/>
      <c r="T406" s="78"/>
      <c r="U406" s="78"/>
      <c r="V406" s="78"/>
      <c r="W406" s="78"/>
      <c r="X406" s="78"/>
      <c r="Y406" s="78"/>
      <c r="Z406" s="78"/>
      <c r="AA406" s="78"/>
      <c r="AB406" s="78"/>
      <c r="AC406" s="78"/>
      <c r="AD406" s="78"/>
      <c r="AE406" s="78"/>
      <c r="AF406" s="78"/>
      <c r="AG406" s="78"/>
      <c r="AH406" s="78"/>
      <c r="AI406" s="78"/>
      <c r="AJ406" s="78"/>
      <c r="AK406" s="78"/>
      <c r="AL406" s="78"/>
      <c r="AM406" s="78"/>
      <c r="AN406" s="78"/>
      <c r="AO406" s="78"/>
      <c r="AP406" s="78"/>
      <c r="AQ406" s="78"/>
      <c r="AR406" s="78"/>
      <c r="AS406" s="78"/>
      <c r="AT406" s="91"/>
      <c r="AU406" s="78"/>
      <c r="AV406" s="78"/>
      <c r="AW406" s="78"/>
      <c r="AX406" s="78"/>
      <c r="AY406" s="78"/>
      <c r="AZ406" s="78"/>
      <c r="BA406" s="78"/>
      <c r="BB406" s="78"/>
      <c r="BC406" s="78"/>
      <c r="BD406" s="78"/>
      <c r="BE406" s="78"/>
      <c r="BF406" s="78"/>
      <c r="BG406" s="78"/>
      <c r="BH406" s="78"/>
      <c r="BI406" s="78"/>
      <c r="BJ406" s="78"/>
      <c r="BK406" s="78"/>
      <c r="BL406" s="78"/>
      <c r="BM406" s="78"/>
      <c r="BN406" s="78"/>
      <c r="BO406" s="78"/>
      <c r="BP406" s="78"/>
      <c r="BQ406" s="78"/>
      <c r="BR406" s="78"/>
      <c r="BS406" s="78"/>
      <c r="BT406" s="78"/>
      <c r="BU406" s="78"/>
      <c r="BV406" s="78"/>
      <c r="BW406" s="78"/>
      <c r="BX406" s="78"/>
      <c r="BY406" s="78"/>
      <c r="BZ406" s="78"/>
      <c r="CA406" s="78"/>
      <c r="CB406" s="78"/>
      <c r="CC406" s="78"/>
      <c r="CD406" s="78"/>
      <c r="CE406" s="78"/>
      <c r="CF406" s="78"/>
      <c r="CG406" s="78"/>
      <c r="CH406" s="78"/>
      <c r="CI406" s="78"/>
      <c r="CJ406" s="78"/>
      <c r="CK406" s="78"/>
      <c r="CL406" s="78"/>
      <c r="CM406" s="78"/>
      <c r="CN406" s="78"/>
      <c r="CO406" s="78"/>
      <c r="CP406" s="78"/>
      <c r="CQ406" s="78"/>
      <c r="CR406" s="78"/>
      <c r="CS406" s="78"/>
      <c r="CT406" s="78"/>
      <c r="CU406" s="78"/>
      <c r="CV406" s="78"/>
      <c r="CW406" s="78"/>
      <c r="CX406" s="78"/>
      <c r="CY406" s="78"/>
      <c r="CZ406" s="78"/>
      <c r="DA406" s="78"/>
      <c r="DB406" s="78"/>
      <c r="DC406" s="78"/>
      <c r="DD406" s="78"/>
      <c r="DE406" s="78"/>
      <c r="DF406" s="78"/>
      <c r="DG406" s="78"/>
      <c r="DH406" s="78"/>
      <c r="DI406" s="78"/>
      <c r="DJ406" s="78"/>
      <c r="DK406" s="78"/>
      <c r="DL406" s="78"/>
      <c r="DM406" s="78"/>
      <c r="DN406" s="78"/>
      <c r="DO406" s="78"/>
      <c r="DP406" s="78"/>
      <c r="DQ406" s="78"/>
      <c r="DR406" s="78"/>
      <c r="DS406" s="78"/>
      <c r="DT406" s="78"/>
      <c r="DU406" s="78"/>
      <c r="DV406" s="78"/>
      <c r="DW406" s="78"/>
      <c r="DX406" s="78"/>
      <c r="DY406" s="78"/>
      <c r="DZ406" s="78"/>
      <c r="EA406" s="78"/>
      <c r="EB406" s="78"/>
      <c r="EC406" s="78"/>
      <c r="ED406" s="78"/>
      <c r="EE406" s="78"/>
      <c r="EF406" s="78"/>
      <c r="EG406" s="78"/>
      <c r="EH406" s="78"/>
      <c r="EI406" s="91"/>
      <c r="EJ406" s="91"/>
      <c r="EK406" s="91"/>
      <c r="EL406" s="91"/>
      <c r="EM406" s="91"/>
      <c r="EN406" s="91"/>
      <c r="EO406" s="91"/>
      <c r="EP406" s="78"/>
      <c r="EQ406" s="78"/>
      <c r="ER406" s="78"/>
      <c r="ES406" s="78"/>
      <c r="ET406" s="78"/>
      <c r="EU406" s="78"/>
      <c r="EV406" s="78"/>
      <c r="EW406" s="78"/>
      <c r="EX406" s="78"/>
      <c r="EY406" s="78"/>
      <c r="EZ406" s="78"/>
      <c r="FA406" s="78"/>
      <c r="FB406" s="78"/>
      <c r="FC406" s="78"/>
      <c r="FD406" s="78"/>
      <c r="FE406" s="78"/>
      <c r="FF406" s="78"/>
      <c r="FG406" s="78"/>
      <c r="FH406" s="78"/>
      <c r="FI406" s="78"/>
      <c r="FJ406" s="78"/>
      <c r="FK406" s="78"/>
    </row>
    <row r="407" spans="1:167" hidden="1" outlineLevel="1">
      <c r="A407" s="29" t="str">
        <f t="shared" si="32"/>
        <v>modesg_out_empr_info_nfinorigem_scp1_emss</v>
      </c>
      <c r="B407" s="67" t="s">
        <v>26</v>
      </c>
      <c r="C407" s="68" t="s">
        <v>310</v>
      </c>
      <c r="D407" s="64" t="s">
        <v>40</v>
      </c>
      <c r="E407" s="66" t="s">
        <v>325</v>
      </c>
      <c r="F407" s="64" t="s">
        <v>319</v>
      </c>
      <c r="G407" s="64" t="str">
        <f>INDEX(Auxiliar!$B$16:$B$24,MATCH(Plano_V1!H407,Auxiliar!$C$16:$C$24,0),1)</f>
        <v>1. Concluído</v>
      </c>
      <c r="H407" s="64">
        <f>VLOOKUP(A407,'Aux - pivots1'!$A:$B,2,0)</f>
        <v>1</v>
      </c>
      <c r="I407" s="84">
        <f>SUMIFS(Table1[Estimação (horas)],Table1[Tabela],Plano_V1!E407,Table1[Campo],Plano_V1!F407)</f>
        <v>4.0999999999999996</v>
      </c>
      <c r="J407" s="84">
        <f t="shared" si="33"/>
        <v>0.51249999999999996</v>
      </c>
      <c r="K407" s="87" t="s">
        <v>326</v>
      </c>
      <c r="L407" s="90">
        <f t="shared" si="31"/>
        <v>0.51249999999999996</v>
      </c>
      <c r="M407" s="78"/>
      <c r="N407" s="78"/>
      <c r="O407" s="78"/>
      <c r="P407" s="78"/>
      <c r="Q407" s="78"/>
      <c r="R407" s="78"/>
      <c r="S407" s="78"/>
      <c r="T407" s="78"/>
      <c r="U407" s="78"/>
      <c r="V407" s="78"/>
      <c r="W407" s="78"/>
      <c r="X407" s="78"/>
      <c r="Y407" s="78"/>
      <c r="Z407" s="78"/>
      <c r="AA407" s="78"/>
      <c r="AB407" s="78"/>
      <c r="AC407" s="78"/>
      <c r="AD407" s="78"/>
      <c r="AE407" s="78"/>
      <c r="AF407" s="78"/>
      <c r="AG407" s="78"/>
      <c r="AH407" s="78"/>
      <c r="AI407" s="78"/>
      <c r="AJ407" s="78"/>
      <c r="AK407" s="78"/>
      <c r="AL407" s="78"/>
      <c r="AM407" s="78"/>
      <c r="AN407" s="78"/>
      <c r="AO407" s="78"/>
      <c r="AP407" s="78"/>
      <c r="AQ407" s="78"/>
      <c r="AR407" s="78"/>
      <c r="AS407" s="78"/>
      <c r="AT407" s="91"/>
      <c r="AU407" s="78"/>
      <c r="AV407" s="78"/>
      <c r="AW407" s="78"/>
      <c r="AX407" s="78"/>
      <c r="AY407" s="78"/>
      <c r="AZ407" s="78"/>
      <c r="BA407" s="78"/>
      <c r="BB407" s="78"/>
      <c r="BC407" s="78"/>
      <c r="BD407" s="78"/>
      <c r="BE407" s="78"/>
      <c r="BF407" s="78"/>
      <c r="BG407" s="78"/>
      <c r="BH407" s="78"/>
      <c r="BI407" s="78"/>
      <c r="BJ407" s="78"/>
      <c r="BK407" s="78"/>
      <c r="BL407" s="78"/>
      <c r="BM407" s="78"/>
      <c r="BN407" s="78"/>
      <c r="BO407" s="78"/>
      <c r="BP407" s="78"/>
      <c r="BQ407" s="78"/>
      <c r="BR407" s="78"/>
      <c r="BS407" s="78"/>
      <c r="BT407" s="78"/>
      <c r="BU407" s="78"/>
      <c r="BV407" s="78"/>
      <c r="BW407" s="78"/>
      <c r="BX407" s="78"/>
      <c r="BY407" s="78"/>
      <c r="BZ407" s="78"/>
      <c r="CA407" s="78"/>
      <c r="CB407" s="78"/>
      <c r="CC407" s="78"/>
      <c r="CD407" s="78"/>
      <c r="CE407" s="78"/>
      <c r="CF407" s="78"/>
      <c r="CG407" s="78"/>
      <c r="CH407" s="78"/>
      <c r="CI407" s="78"/>
      <c r="CJ407" s="78"/>
      <c r="CK407" s="78"/>
      <c r="CL407" s="78"/>
      <c r="CM407" s="78"/>
      <c r="CN407" s="78"/>
      <c r="CO407" s="78"/>
      <c r="CP407" s="78"/>
      <c r="CQ407" s="78"/>
      <c r="CR407" s="78"/>
      <c r="CS407" s="78"/>
      <c r="CT407" s="78"/>
      <c r="CU407" s="78"/>
      <c r="CV407" s="78"/>
      <c r="CW407" s="78"/>
      <c r="CX407" s="78"/>
      <c r="CY407" s="78"/>
      <c r="CZ407" s="78"/>
      <c r="DA407" s="78"/>
      <c r="DB407" s="78"/>
      <c r="DC407" s="78"/>
      <c r="DD407" s="78"/>
      <c r="DE407" s="78"/>
      <c r="DF407" s="78"/>
      <c r="DG407" s="78"/>
      <c r="DH407" s="78"/>
      <c r="DI407" s="78"/>
      <c r="DJ407" s="78"/>
      <c r="DK407" s="78"/>
      <c r="DL407" s="78"/>
      <c r="DM407" s="78"/>
      <c r="DN407" s="78"/>
      <c r="DO407" s="78"/>
      <c r="DP407" s="78"/>
      <c r="DQ407" s="78"/>
      <c r="DR407" s="78"/>
      <c r="DS407" s="78"/>
      <c r="DT407" s="78"/>
      <c r="DU407" s="78"/>
      <c r="DV407" s="78"/>
      <c r="DW407" s="78"/>
      <c r="DX407" s="78"/>
      <c r="DY407" s="78"/>
      <c r="DZ407" s="78"/>
      <c r="EA407" s="78"/>
      <c r="EB407" s="78"/>
      <c r="EC407" s="78"/>
      <c r="ED407" s="78"/>
      <c r="EE407" s="78"/>
      <c r="EF407" s="78"/>
      <c r="EG407" s="78"/>
      <c r="EH407" s="78"/>
      <c r="EI407" s="91"/>
      <c r="EJ407" s="91"/>
      <c r="EK407" s="91"/>
      <c r="EL407" s="91"/>
      <c r="EM407" s="91"/>
      <c r="EN407" s="91"/>
      <c r="EO407" s="91"/>
      <c r="EP407" s="78"/>
      <c r="EQ407" s="78"/>
      <c r="ER407" s="78"/>
      <c r="ES407" s="78"/>
      <c r="ET407" s="78"/>
      <c r="EU407" s="78"/>
      <c r="EV407" s="78"/>
      <c r="EW407" s="78"/>
      <c r="EX407" s="78"/>
      <c r="EY407" s="78"/>
      <c r="EZ407" s="78"/>
      <c r="FA407" s="78"/>
      <c r="FB407" s="78"/>
      <c r="FC407" s="78"/>
      <c r="FD407" s="78"/>
      <c r="FE407" s="78"/>
      <c r="FF407" s="78"/>
      <c r="FG407" s="78"/>
      <c r="FH407" s="78"/>
      <c r="FI407" s="78"/>
      <c r="FJ407" s="78"/>
      <c r="FK407" s="78"/>
    </row>
    <row r="408" spans="1:167" hidden="1" outlineLevel="1">
      <c r="A408" s="29" t="str">
        <f t="shared" si="32"/>
        <v>modesg_out_empr_info_nfinorigem_scp2_emss</v>
      </c>
      <c r="B408" s="67" t="s">
        <v>26</v>
      </c>
      <c r="C408" s="68" t="s">
        <v>310</v>
      </c>
      <c r="D408" s="64" t="s">
        <v>40</v>
      </c>
      <c r="E408" s="66" t="s">
        <v>325</v>
      </c>
      <c r="F408" s="64" t="s">
        <v>320</v>
      </c>
      <c r="G408" s="64" t="str">
        <f>INDEX(Auxiliar!$B$16:$B$24,MATCH(Plano_V1!H408,Auxiliar!$C$16:$C$24,0),1)</f>
        <v>1. Concluído</v>
      </c>
      <c r="H408" s="64">
        <f>VLOOKUP(A408,'Aux - pivots1'!$A:$B,2,0)</f>
        <v>1</v>
      </c>
      <c r="I408" s="84">
        <f>SUMIFS(Table1[Estimação (horas)],Table1[Tabela],Plano_V1!E408,Table1[Campo],Plano_V1!F408)</f>
        <v>4.0999999999999996</v>
      </c>
      <c r="J408" s="84">
        <f t="shared" si="33"/>
        <v>0.51249999999999996</v>
      </c>
      <c r="K408" s="87" t="s">
        <v>326</v>
      </c>
      <c r="L408" s="90">
        <f t="shared" si="31"/>
        <v>0.51249999999999996</v>
      </c>
      <c r="M408" s="78"/>
      <c r="N408" s="78"/>
      <c r="O408" s="78"/>
      <c r="P408" s="78"/>
      <c r="Q408" s="78"/>
      <c r="R408" s="78"/>
      <c r="S408" s="78"/>
      <c r="T408" s="78"/>
      <c r="U408" s="78"/>
      <c r="V408" s="78"/>
      <c r="W408" s="78"/>
      <c r="X408" s="78"/>
      <c r="Y408" s="78"/>
      <c r="Z408" s="78"/>
      <c r="AA408" s="78"/>
      <c r="AB408" s="78"/>
      <c r="AC408" s="78"/>
      <c r="AD408" s="78"/>
      <c r="AE408" s="78"/>
      <c r="AF408" s="78"/>
      <c r="AG408" s="78"/>
      <c r="AH408" s="78"/>
      <c r="AI408" s="78"/>
      <c r="AJ408" s="78"/>
      <c r="AK408" s="78"/>
      <c r="AL408" s="78"/>
      <c r="AM408" s="78"/>
      <c r="AN408" s="78"/>
      <c r="AO408" s="78"/>
      <c r="AP408" s="78"/>
      <c r="AQ408" s="78"/>
      <c r="AR408" s="78"/>
      <c r="AS408" s="78"/>
      <c r="AT408" s="91"/>
      <c r="AU408" s="78"/>
      <c r="AV408" s="78"/>
      <c r="AW408" s="78"/>
      <c r="AX408" s="78"/>
      <c r="AY408" s="78"/>
      <c r="AZ408" s="78"/>
      <c r="BA408" s="78"/>
      <c r="BB408" s="78"/>
      <c r="BC408" s="78"/>
      <c r="BD408" s="78"/>
      <c r="BE408" s="78"/>
      <c r="BF408" s="78"/>
      <c r="BG408" s="78"/>
      <c r="BH408" s="78"/>
      <c r="BI408" s="78"/>
      <c r="BJ408" s="78"/>
      <c r="BK408" s="78"/>
      <c r="BL408" s="78"/>
      <c r="BM408" s="78"/>
      <c r="BN408" s="78"/>
      <c r="BO408" s="78"/>
      <c r="BP408" s="78"/>
      <c r="BQ408" s="78"/>
      <c r="BR408" s="78"/>
      <c r="BS408" s="78"/>
      <c r="BT408" s="78"/>
      <c r="BU408" s="78"/>
      <c r="BV408" s="78"/>
      <c r="BW408" s="78"/>
      <c r="BX408" s="78"/>
      <c r="BY408" s="78"/>
      <c r="BZ408" s="78"/>
      <c r="CA408" s="78"/>
      <c r="CB408" s="78"/>
      <c r="CC408" s="78"/>
      <c r="CD408" s="78"/>
      <c r="CE408" s="78"/>
      <c r="CF408" s="78"/>
      <c r="CG408" s="78"/>
      <c r="CH408" s="78"/>
      <c r="CI408" s="78"/>
      <c r="CJ408" s="78"/>
      <c r="CK408" s="78"/>
      <c r="CL408" s="78"/>
      <c r="CM408" s="78"/>
      <c r="CN408" s="78"/>
      <c r="CO408" s="78"/>
      <c r="CP408" s="78"/>
      <c r="CQ408" s="78"/>
      <c r="CR408" s="78"/>
      <c r="CS408" s="78"/>
      <c r="CT408" s="78"/>
      <c r="CU408" s="78"/>
      <c r="CV408" s="78"/>
      <c r="CW408" s="78"/>
      <c r="CX408" s="78"/>
      <c r="CY408" s="78"/>
      <c r="CZ408" s="78"/>
      <c r="DA408" s="78"/>
      <c r="DB408" s="78"/>
      <c r="DC408" s="78"/>
      <c r="DD408" s="78"/>
      <c r="DE408" s="78"/>
      <c r="DF408" s="78"/>
      <c r="DG408" s="78"/>
      <c r="DH408" s="78"/>
      <c r="DI408" s="78"/>
      <c r="DJ408" s="78"/>
      <c r="DK408" s="78"/>
      <c r="DL408" s="78"/>
      <c r="DM408" s="78"/>
      <c r="DN408" s="78"/>
      <c r="DO408" s="78"/>
      <c r="DP408" s="78"/>
      <c r="DQ408" s="78"/>
      <c r="DR408" s="78"/>
      <c r="DS408" s="78"/>
      <c r="DT408" s="78"/>
      <c r="DU408" s="78"/>
      <c r="DV408" s="78"/>
      <c r="DW408" s="78"/>
      <c r="DX408" s="78"/>
      <c r="DY408" s="78"/>
      <c r="DZ408" s="78"/>
      <c r="EA408" s="78"/>
      <c r="EB408" s="78"/>
      <c r="EC408" s="78"/>
      <c r="ED408" s="78"/>
      <c r="EE408" s="78"/>
      <c r="EF408" s="78"/>
      <c r="EG408" s="78"/>
      <c r="EH408" s="78"/>
      <c r="EI408" s="91"/>
      <c r="EJ408" s="91"/>
      <c r="EK408" s="91"/>
      <c r="EL408" s="91"/>
      <c r="EM408" s="91"/>
      <c r="EN408" s="91"/>
      <c r="EO408" s="91"/>
      <c r="EP408" s="78"/>
      <c r="EQ408" s="78"/>
      <c r="ER408" s="78"/>
      <c r="ES408" s="78"/>
      <c r="ET408" s="78"/>
      <c r="EU408" s="78"/>
      <c r="EV408" s="78"/>
      <c r="EW408" s="78"/>
      <c r="EX408" s="78"/>
      <c r="EY408" s="78"/>
      <c r="EZ408" s="78"/>
      <c r="FA408" s="78"/>
      <c r="FB408" s="78"/>
      <c r="FC408" s="78"/>
      <c r="FD408" s="78"/>
      <c r="FE408" s="78"/>
      <c r="FF408" s="78"/>
      <c r="FG408" s="78"/>
      <c r="FH408" s="78"/>
      <c r="FI408" s="78"/>
      <c r="FJ408" s="78"/>
      <c r="FK408" s="78"/>
    </row>
    <row r="409" spans="1:167" hidden="1" outlineLevel="1">
      <c r="A409" s="29" t="str">
        <f t="shared" si="32"/>
        <v>modesg_out_empr_info_nfinorigem_scp3_emss</v>
      </c>
      <c r="B409" s="67" t="s">
        <v>26</v>
      </c>
      <c r="C409" s="68" t="s">
        <v>310</v>
      </c>
      <c r="D409" s="64" t="s">
        <v>40</v>
      </c>
      <c r="E409" s="66" t="s">
        <v>325</v>
      </c>
      <c r="F409" s="64" t="s">
        <v>321</v>
      </c>
      <c r="G409" s="64" t="str">
        <f>INDEX(Auxiliar!$B$16:$B$24,MATCH(Plano_V1!H409,Auxiliar!$C$16:$C$24,0),1)</f>
        <v>1. Concluído</v>
      </c>
      <c r="H409" s="64">
        <f>VLOOKUP(A409,'Aux - pivots1'!$A:$B,2,0)</f>
        <v>1</v>
      </c>
      <c r="I409" s="84">
        <f>SUMIFS(Table1[Estimação (horas)],Table1[Tabela],Plano_V1!E409,Table1[Campo],Plano_V1!F409)</f>
        <v>4.0999999999999996</v>
      </c>
      <c r="J409" s="84">
        <f t="shared" si="33"/>
        <v>0.51249999999999996</v>
      </c>
      <c r="K409" s="87" t="s">
        <v>326</v>
      </c>
      <c r="L409" s="90">
        <f t="shared" si="31"/>
        <v>0.51249999999999996</v>
      </c>
      <c r="M409" s="78"/>
      <c r="N409" s="78"/>
      <c r="O409" s="78"/>
      <c r="P409" s="78"/>
      <c r="Q409" s="78"/>
      <c r="R409" s="78"/>
      <c r="S409" s="78"/>
      <c r="T409" s="78"/>
      <c r="U409" s="78"/>
      <c r="V409" s="78"/>
      <c r="W409" s="78"/>
      <c r="X409" s="78"/>
      <c r="Y409" s="78"/>
      <c r="Z409" s="78"/>
      <c r="AA409" s="78"/>
      <c r="AB409" s="78"/>
      <c r="AC409" s="78"/>
      <c r="AD409" s="78"/>
      <c r="AE409" s="78"/>
      <c r="AF409" s="78"/>
      <c r="AG409" s="78"/>
      <c r="AH409" s="78"/>
      <c r="AI409" s="78"/>
      <c r="AJ409" s="78"/>
      <c r="AK409" s="78"/>
      <c r="AL409" s="78"/>
      <c r="AM409" s="78"/>
      <c r="AN409" s="78"/>
      <c r="AO409" s="78"/>
      <c r="AP409" s="78"/>
      <c r="AQ409" s="78"/>
      <c r="AR409" s="78"/>
      <c r="AS409" s="78"/>
      <c r="AT409" s="91"/>
      <c r="AU409" s="78"/>
      <c r="AV409" s="78"/>
      <c r="AW409" s="78"/>
      <c r="AX409" s="78"/>
      <c r="AY409" s="78"/>
      <c r="AZ409" s="78"/>
      <c r="BA409" s="78"/>
      <c r="BB409" s="78"/>
      <c r="BC409" s="78"/>
      <c r="BD409" s="78"/>
      <c r="BE409" s="78"/>
      <c r="BF409" s="78"/>
      <c r="BG409" s="78"/>
      <c r="BH409" s="78"/>
      <c r="BI409" s="78"/>
      <c r="BJ409" s="78"/>
      <c r="BK409" s="78"/>
      <c r="BL409" s="78"/>
      <c r="BM409" s="78"/>
      <c r="BN409" s="78"/>
      <c r="BO409" s="78"/>
      <c r="BP409" s="78"/>
      <c r="BQ409" s="78"/>
      <c r="BR409" s="78"/>
      <c r="BS409" s="78"/>
      <c r="BT409" s="78"/>
      <c r="BU409" s="78"/>
      <c r="BV409" s="78"/>
      <c r="BW409" s="78"/>
      <c r="BX409" s="78"/>
      <c r="BY409" s="78"/>
      <c r="BZ409" s="78"/>
      <c r="CA409" s="78"/>
      <c r="CB409" s="78"/>
      <c r="CC409" s="78"/>
      <c r="CD409" s="78"/>
      <c r="CE409" s="78"/>
      <c r="CF409" s="78"/>
      <c r="CG409" s="78"/>
      <c r="CH409" s="78"/>
      <c r="CI409" s="78"/>
      <c r="CJ409" s="78"/>
      <c r="CK409" s="78"/>
      <c r="CL409" s="78"/>
      <c r="CM409" s="78"/>
      <c r="CN409" s="78"/>
      <c r="CO409" s="78"/>
      <c r="CP409" s="78"/>
      <c r="CQ409" s="78"/>
      <c r="CR409" s="78"/>
      <c r="CS409" s="78"/>
      <c r="CT409" s="78"/>
      <c r="CU409" s="78"/>
      <c r="CV409" s="78"/>
      <c r="CW409" s="78"/>
      <c r="CX409" s="78"/>
      <c r="CY409" s="78"/>
      <c r="CZ409" s="78"/>
      <c r="DA409" s="78"/>
      <c r="DB409" s="78"/>
      <c r="DC409" s="78"/>
      <c r="DD409" s="78"/>
      <c r="DE409" s="78"/>
      <c r="DF409" s="78"/>
      <c r="DG409" s="78"/>
      <c r="DH409" s="78"/>
      <c r="DI409" s="78"/>
      <c r="DJ409" s="78"/>
      <c r="DK409" s="78"/>
      <c r="DL409" s="78"/>
      <c r="DM409" s="78"/>
      <c r="DN409" s="78"/>
      <c r="DO409" s="78"/>
      <c r="DP409" s="78"/>
      <c r="DQ409" s="78"/>
      <c r="DR409" s="78"/>
      <c r="DS409" s="78"/>
      <c r="DT409" s="78"/>
      <c r="DU409" s="78"/>
      <c r="DV409" s="78"/>
      <c r="DW409" s="78"/>
      <c r="DX409" s="78"/>
      <c r="DY409" s="78"/>
      <c r="DZ409" s="78"/>
      <c r="EA409" s="78"/>
      <c r="EB409" s="78"/>
      <c r="EC409" s="78"/>
      <c r="ED409" s="78"/>
      <c r="EE409" s="78"/>
      <c r="EF409" s="78"/>
      <c r="EG409" s="78"/>
      <c r="EH409" s="78"/>
      <c r="EI409" s="91"/>
      <c r="EJ409" s="91"/>
      <c r="EK409" s="91"/>
      <c r="EL409" s="91"/>
      <c r="EM409" s="91"/>
      <c r="EN409" s="91"/>
      <c r="EO409" s="91"/>
      <c r="EP409" s="78"/>
      <c r="EQ409" s="78"/>
      <c r="ER409" s="78"/>
      <c r="ES409" s="78"/>
      <c r="ET409" s="78"/>
      <c r="EU409" s="78"/>
      <c r="EV409" s="78"/>
      <c r="EW409" s="78"/>
      <c r="EX409" s="78"/>
      <c r="EY409" s="78"/>
      <c r="EZ409" s="78"/>
      <c r="FA409" s="78"/>
      <c r="FB409" s="78"/>
      <c r="FC409" s="78"/>
      <c r="FD409" s="78"/>
      <c r="FE409" s="78"/>
      <c r="FF409" s="78"/>
      <c r="FG409" s="78"/>
      <c r="FH409" s="78"/>
      <c r="FI409" s="78"/>
      <c r="FJ409" s="78"/>
      <c r="FK409" s="78"/>
    </row>
    <row r="410" spans="1:167" hidden="1" outlineLevel="1">
      <c r="A410" s="29" t="str">
        <f t="shared" si="32"/>
        <v>modesg_out_empr_info_nfinref_date</v>
      </c>
      <c r="B410" s="67" t="s">
        <v>26</v>
      </c>
      <c r="C410" s="68" t="s">
        <v>310</v>
      </c>
      <c r="D410" s="64" t="s">
        <v>40</v>
      </c>
      <c r="E410" s="66" t="s">
        <v>325</v>
      </c>
      <c r="F410" s="64" t="s">
        <v>208</v>
      </c>
      <c r="G410" s="64" t="str">
        <f>INDEX(Auxiliar!$B$16:$B$24,MATCH(Plano_V1!H410,Auxiliar!$C$16:$C$24,0),1)</f>
        <v>1. Concluído</v>
      </c>
      <c r="H410" s="64">
        <f>VLOOKUP(A410,'Aux - pivots1'!$A:$B,2,0)</f>
        <v>1</v>
      </c>
      <c r="I410" s="84">
        <f>SUMIFS(Table1[Estimação (horas)],Table1[Tabela],Plano_V1!E410,Table1[Campo],Plano_V1!F410)</f>
        <v>4.0999999999999996</v>
      </c>
      <c r="J410" s="84">
        <f t="shared" si="33"/>
        <v>0.51249999999999996</v>
      </c>
      <c r="K410" s="87" t="s">
        <v>326</v>
      </c>
      <c r="L410" s="90">
        <f t="shared" ref="L410:L447" si="34">J410-SUM(M410:FK410)</f>
        <v>0.51249999999999996</v>
      </c>
      <c r="M410" s="78"/>
      <c r="N410" s="78"/>
      <c r="O410" s="78"/>
      <c r="P410" s="78"/>
      <c r="Q410" s="78"/>
      <c r="R410" s="78"/>
      <c r="S410" s="78"/>
      <c r="T410" s="78"/>
      <c r="U410" s="78"/>
      <c r="V410" s="78"/>
      <c r="W410" s="78"/>
      <c r="X410" s="78"/>
      <c r="Y410" s="78"/>
      <c r="Z410" s="78"/>
      <c r="AA410" s="78"/>
      <c r="AB410" s="78"/>
      <c r="AC410" s="78"/>
      <c r="AD410" s="78"/>
      <c r="AE410" s="78"/>
      <c r="AF410" s="78"/>
      <c r="AG410" s="78"/>
      <c r="AH410" s="78"/>
      <c r="AI410" s="78"/>
      <c r="AJ410" s="78"/>
      <c r="AK410" s="78"/>
      <c r="AL410" s="78"/>
      <c r="AM410" s="78"/>
      <c r="AN410" s="78"/>
      <c r="AO410" s="78"/>
      <c r="AP410" s="78"/>
      <c r="AQ410" s="78"/>
      <c r="AR410" s="78"/>
      <c r="AS410" s="78"/>
      <c r="AT410" s="91"/>
      <c r="AU410" s="78"/>
      <c r="AV410" s="78"/>
      <c r="AW410" s="78"/>
      <c r="AX410" s="78"/>
      <c r="AY410" s="78"/>
      <c r="AZ410" s="78"/>
      <c r="BA410" s="78"/>
      <c r="BB410" s="78"/>
      <c r="BC410" s="78"/>
      <c r="BD410" s="78"/>
      <c r="BE410" s="78"/>
      <c r="BF410" s="78"/>
      <c r="BG410" s="78"/>
      <c r="BH410" s="78"/>
      <c r="BI410" s="78"/>
      <c r="BJ410" s="78"/>
      <c r="BK410" s="78"/>
      <c r="BL410" s="78"/>
      <c r="BM410" s="78"/>
      <c r="BN410" s="78"/>
      <c r="BO410" s="78"/>
      <c r="BP410" s="78"/>
      <c r="BQ410" s="78"/>
      <c r="BR410" s="78"/>
      <c r="BS410" s="78"/>
      <c r="BT410" s="78"/>
      <c r="BU410" s="78"/>
      <c r="BV410" s="78"/>
      <c r="BW410" s="78"/>
      <c r="BX410" s="78"/>
      <c r="BY410" s="78"/>
      <c r="BZ410" s="78"/>
      <c r="CA410" s="78"/>
      <c r="CB410" s="78"/>
      <c r="CC410" s="78"/>
      <c r="CD410" s="78"/>
      <c r="CE410" s="78"/>
      <c r="CF410" s="78"/>
      <c r="CG410" s="78"/>
      <c r="CH410" s="78"/>
      <c r="CI410" s="78"/>
      <c r="CJ410" s="78"/>
      <c r="CK410" s="78"/>
      <c r="CL410" s="78"/>
      <c r="CM410" s="78"/>
      <c r="CN410" s="78"/>
      <c r="CO410" s="78"/>
      <c r="CP410" s="78"/>
      <c r="CQ410" s="78"/>
      <c r="CR410" s="78"/>
      <c r="CS410" s="78"/>
      <c r="CT410" s="78"/>
      <c r="CU410" s="78"/>
      <c r="CV410" s="78"/>
      <c r="CW410" s="78"/>
      <c r="CX410" s="78"/>
      <c r="CY410" s="78"/>
      <c r="CZ410" s="78"/>
      <c r="DA410" s="78"/>
      <c r="DB410" s="78"/>
      <c r="DC410" s="78"/>
      <c r="DD410" s="78"/>
      <c r="DE410" s="78"/>
      <c r="DF410" s="78"/>
      <c r="DG410" s="78"/>
      <c r="DH410" s="78"/>
      <c r="DI410" s="78"/>
      <c r="DJ410" s="78"/>
      <c r="DK410" s="78"/>
      <c r="DL410" s="78"/>
      <c r="DM410" s="78"/>
      <c r="DN410" s="78"/>
      <c r="DO410" s="78"/>
      <c r="DP410" s="78"/>
      <c r="DQ410" s="78"/>
      <c r="DR410" s="78"/>
      <c r="DS410" s="78"/>
      <c r="DT410" s="78"/>
      <c r="DU410" s="78"/>
      <c r="DV410" s="78"/>
      <c r="DW410" s="78"/>
      <c r="DX410" s="78"/>
      <c r="DY410" s="78"/>
      <c r="DZ410" s="78"/>
      <c r="EA410" s="78"/>
      <c r="EB410" s="78"/>
      <c r="EC410" s="78"/>
      <c r="ED410" s="78"/>
      <c r="EE410" s="78"/>
      <c r="EF410" s="78"/>
      <c r="EG410" s="78"/>
      <c r="EH410" s="78"/>
      <c r="EI410" s="91"/>
      <c r="EJ410" s="91"/>
      <c r="EK410" s="91"/>
      <c r="EL410" s="91"/>
      <c r="EM410" s="91"/>
      <c r="EN410" s="91"/>
      <c r="EO410" s="91"/>
      <c r="EP410" s="78"/>
      <c r="EQ410" s="78"/>
      <c r="ER410" s="78"/>
      <c r="ES410" s="78"/>
      <c r="ET410" s="78"/>
      <c r="EU410" s="78"/>
      <c r="EV410" s="78"/>
      <c r="EW410" s="78"/>
      <c r="EX410" s="78"/>
      <c r="EY410" s="78"/>
      <c r="EZ410" s="78"/>
      <c r="FA410" s="78"/>
      <c r="FB410" s="78"/>
      <c r="FC410" s="78"/>
      <c r="FD410" s="78"/>
      <c r="FE410" s="78"/>
      <c r="FF410" s="78"/>
      <c r="FG410" s="78"/>
      <c r="FH410" s="78"/>
      <c r="FI410" s="78"/>
      <c r="FJ410" s="78"/>
      <c r="FK410" s="78"/>
    </row>
    <row r="411" spans="1:167" hidden="1" outlineLevel="1">
      <c r="A411" s="29" t="str">
        <f t="shared" si="32"/>
        <v>modesg_out_empr_info_nfinscp1_emss</v>
      </c>
      <c r="B411" s="67" t="s">
        <v>26</v>
      </c>
      <c r="C411" s="68" t="s">
        <v>310</v>
      </c>
      <c r="D411" s="64" t="s">
        <v>40</v>
      </c>
      <c r="E411" s="66" t="s">
        <v>325</v>
      </c>
      <c r="F411" s="64" t="s">
        <v>285</v>
      </c>
      <c r="G411" s="64" t="str">
        <f>INDEX(Auxiliar!$B$16:$B$24,MATCH(Plano_V1!H411,Auxiliar!$C$16:$C$24,0),1)</f>
        <v>1. Concluído</v>
      </c>
      <c r="H411" s="64">
        <f>VLOOKUP(A411,'Aux - pivots1'!$A:$B,2,0)</f>
        <v>1</v>
      </c>
      <c r="I411" s="84">
        <f>SUMIFS(Table1[Estimação (horas)],Table1[Tabela],Plano_V1!E411,Table1[Campo],Plano_V1!F411)</f>
        <v>8.1</v>
      </c>
      <c r="J411" s="84">
        <f t="shared" si="33"/>
        <v>1.0125</v>
      </c>
      <c r="K411" s="87" t="s">
        <v>326</v>
      </c>
      <c r="L411" s="90">
        <f t="shared" si="34"/>
        <v>1.0125</v>
      </c>
      <c r="M411" s="78"/>
      <c r="N411" s="78"/>
      <c r="O411" s="78"/>
      <c r="P411" s="78"/>
      <c r="Q411" s="78"/>
      <c r="R411" s="78"/>
      <c r="S411" s="78"/>
      <c r="T411" s="78"/>
      <c r="U411" s="78"/>
      <c r="V411" s="78"/>
      <c r="W411" s="78"/>
      <c r="X411" s="78"/>
      <c r="Y411" s="78"/>
      <c r="Z411" s="78"/>
      <c r="AA411" s="78"/>
      <c r="AB411" s="78"/>
      <c r="AC411" s="78"/>
      <c r="AD411" s="78"/>
      <c r="AE411" s="78"/>
      <c r="AF411" s="78"/>
      <c r="AG411" s="78"/>
      <c r="AH411" s="78"/>
      <c r="AI411" s="78"/>
      <c r="AJ411" s="78"/>
      <c r="AK411" s="78"/>
      <c r="AL411" s="78"/>
      <c r="AM411" s="78"/>
      <c r="AN411" s="78"/>
      <c r="AO411" s="78"/>
      <c r="AP411" s="78"/>
      <c r="AQ411" s="78"/>
      <c r="AR411" s="78"/>
      <c r="AS411" s="78"/>
      <c r="AT411" s="91"/>
      <c r="AU411" s="78"/>
      <c r="AV411" s="78"/>
      <c r="AW411" s="78"/>
      <c r="AX411" s="78"/>
      <c r="AY411" s="78"/>
      <c r="AZ411" s="78"/>
      <c r="BA411" s="78"/>
      <c r="BB411" s="78"/>
      <c r="BC411" s="78"/>
      <c r="BD411" s="78"/>
      <c r="BE411" s="78"/>
      <c r="BF411" s="78"/>
      <c r="BG411" s="78"/>
      <c r="BH411" s="78"/>
      <c r="BI411" s="78"/>
      <c r="BJ411" s="78"/>
      <c r="BK411" s="78"/>
      <c r="BL411" s="78"/>
      <c r="BM411" s="78"/>
      <c r="BN411" s="78"/>
      <c r="BO411" s="78"/>
      <c r="BP411" s="78"/>
      <c r="BQ411" s="78"/>
      <c r="BR411" s="78"/>
      <c r="BS411" s="78"/>
      <c r="BT411" s="78"/>
      <c r="BU411" s="78"/>
      <c r="BV411" s="78"/>
      <c r="BW411" s="78"/>
      <c r="BX411" s="78"/>
      <c r="BY411" s="78"/>
      <c r="BZ411" s="78"/>
      <c r="CA411" s="78"/>
      <c r="CB411" s="78"/>
      <c r="CC411" s="78"/>
      <c r="CD411" s="78"/>
      <c r="CE411" s="78"/>
      <c r="CF411" s="78"/>
      <c r="CG411" s="78"/>
      <c r="CH411" s="78"/>
      <c r="CI411" s="78"/>
      <c r="CJ411" s="78"/>
      <c r="CK411" s="78"/>
      <c r="CL411" s="78"/>
      <c r="CM411" s="78"/>
      <c r="CN411" s="78"/>
      <c r="CO411" s="78"/>
      <c r="CP411" s="78"/>
      <c r="CQ411" s="78"/>
      <c r="CR411" s="78"/>
      <c r="CS411" s="78"/>
      <c r="CT411" s="78"/>
      <c r="CU411" s="78"/>
      <c r="CV411" s="78"/>
      <c r="CW411" s="78"/>
      <c r="CX411" s="78"/>
      <c r="CY411" s="78"/>
      <c r="CZ411" s="78"/>
      <c r="DA411" s="78"/>
      <c r="DB411" s="78"/>
      <c r="DC411" s="78"/>
      <c r="DD411" s="78"/>
      <c r="DE411" s="78"/>
      <c r="DF411" s="78"/>
      <c r="DG411" s="78"/>
      <c r="DH411" s="78"/>
      <c r="DI411" s="78"/>
      <c r="DJ411" s="78"/>
      <c r="DK411" s="78"/>
      <c r="DL411" s="78"/>
      <c r="DM411" s="78"/>
      <c r="DN411" s="78"/>
      <c r="DO411" s="78"/>
      <c r="DP411" s="78"/>
      <c r="DQ411" s="78"/>
      <c r="DR411" s="78"/>
      <c r="DS411" s="78"/>
      <c r="DT411" s="78"/>
      <c r="DU411" s="78"/>
      <c r="DV411" s="78"/>
      <c r="DW411" s="78"/>
      <c r="DX411" s="78"/>
      <c r="DY411" s="78"/>
      <c r="DZ411" s="78"/>
      <c r="EA411" s="78"/>
      <c r="EB411" s="78"/>
      <c r="EC411" s="78"/>
      <c r="ED411" s="78"/>
      <c r="EE411" s="78"/>
      <c r="EF411" s="78"/>
      <c r="EG411" s="78"/>
      <c r="EH411" s="78"/>
      <c r="EI411" s="91"/>
      <c r="EJ411" s="91"/>
      <c r="EK411" s="91"/>
      <c r="EL411" s="91"/>
      <c r="EM411" s="91"/>
      <c r="EN411" s="91"/>
      <c r="EO411" s="91"/>
      <c r="EP411" s="78"/>
      <c r="EQ411" s="78"/>
      <c r="ER411" s="78"/>
      <c r="ES411" s="78"/>
      <c r="ET411" s="78"/>
      <c r="EU411" s="78"/>
      <c r="EV411" s="78"/>
      <c r="EW411" s="78"/>
      <c r="EX411" s="78"/>
      <c r="EY411" s="78"/>
      <c r="EZ411" s="78"/>
      <c r="FA411" s="78"/>
      <c r="FB411" s="78"/>
      <c r="FC411" s="78"/>
      <c r="FD411" s="78"/>
      <c r="FE411" s="78"/>
      <c r="FF411" s="78"/>
      <c r="FG411" s="78"/>
      <c r="FH411" s="78"/>
      <c r="FI411" s="78"/>
      <c r="FJ411" s="78"/>
      <c r="FK411" s="78"/>
    </row>
    <row r="412" spans="1:167" hidden="1" outlineLevel="1">
      <c r="A412" s="29" t="str">
        <f t="shared" si="32"/>
        <v>modesg_out_empr_info_nfinscp2_emss</v>
      </c>
      <c r="B412" s="67" t="s">
        <v>26</v>
      </c>
      <c r="C412" s="68" t="s">
        <v>310</v>
      </c>
      <c r="D412" s="64" t="s">
        <v>40</v>
      </c>
      <c r="E412" s="66" t="s">
        <v>325</v>
      </c>
      <c r="F412" s="64" t="s">
        <v>286</v>
      </c>
      <c r="G412" s="64" t="str">
        <f>INDEX(Auxiliar!$B$16:$B$24,MATCH(Plano_V1!H412,Auxiliar!$C$16:$C$24,0),1)</f>
        <v>1. Concluído</v>
      </c>
      <c r="H412" s="64">
        <f>VLOOKUP(A412,'Aux - pivots1'!$A:$B,2,0)</f>
        <v>1</v>
      </c>
      <c r="I412" s="84">
        <f>SUMIFS(Table1[Estimação (horas)],Table1[Tabela],Plano_V1!E412,Table1[Campo],Plano_V1!F412)</f>
        <v>8.1</v>
      </c>
      <c r="J412" s="84">
        <f t="shared" si="33"/>
        <v>1.0125</v>
      </c>
      <c r="K412" s="87" t="s">
        <v>326</v>
      </c>
      <c r="L412" s="90">
        <f t="shared" si="34"/>
        <v>1.0125</v>
      </c>
      <c r="M412" s="78"/>
      <c r="N412" s="78"/>
      <c r="O412" s="78"/>
      <c r="P412" s="78"/>
      <c r="Q412" s="78"/>
      <c r="R412" s="78"/>
      <c r="S412" s="78"/>
      <c r="T412" s="78"/>
      <c r="U412" s="78"/>
      <c r="V412" s="78"/>
      <c r="W412" s="78"/>
      <c r="X412" s="78"/>
      <c r="Y412" s="78"/>
      <c r="Z412" s="78"/>
      <c r="AA412" s="78"/>
      <c r="AB412" s="78"/>
      <c r="AC412" s="78"/>
      <c r="AD412" s="78"/>
      <c r="AE412" s="78"/>
      <c r="AF412" s="78"/>
      <c r="AG412" s="78"/>
      <c r="AH412" s="78"/>
      <c r="AI412" s="78"/>
      <c r="AJ412" s="78"/>
      <c r="AK412" s="78"/>
      <c r="AL412" s="78"/>
      <c r="AM412" s="78"/>
      <c r="AN412" s="78"/>
      <c r="AO412" s="78"/>
      <c r="AP412" s="78"/>
      <c r="AQ412" s="78"/>
      <c r="AR412" s="78"/>
      <c r="AS412" s="78"/>
      <c r="AT412" s="91"/>
      <c r="AU412" s="78"/>
      <c r="AV412" s="78"/>
      <c r="AW412" s="78"/>
      <c r="AX412" s="78"/>
      <c r="AY412" s="78"/>
      <c r="AZ412" s="78"/>
      <c r="BA412" s="78"/>
      <c r="BB412" s="78"/>
      <c r="BC412" s="78"/>
      <c r="BD412" s="78"/>
      <c r="BE412" s="78"/>
      <c r="BF412" s="78"/>
      <c r="BG412" s="78"/>
      <c r="BH412" s="78"/>
      <c r="BI412" s="78"/>
      <c r="BJ412" s="78"/>
      <c r="BK412" s="78"/>
      <c r="BL412" s="78"/>
      <c r="BM412" s="78"/>
      <c r="BN412" s="78"/>
      <c r="BO412" s="78"/>
      <c r="BP412" s="78"/>
      <c r="BQ412" s="78"/>
      <c r="BR412" s="78"/>
      <c r="BS412" s="78"/>
      <c r="BT412" s="78"/>
      <c r="BU412" s="78"/>
      <c r="BV412" s="78"/>
      <c r="BW412" s="78"/>
      <c r="BX412" s="78"/>
      <c r="BY412" s="78"/>
      <c r="BZ412" s="78"/>
      <c r="CA412" s="78"/>
      <c r="CB412" s="78"/>
      <c r="CC412" s="78"/>
      <c r="CD412" s="78"/>
      <c r="CE412" s="78"/>
      <c r="CF412" s="78"/>
      <c r="CG412" s="78"/>
      <c r="CH412" s="78"/>
      <c r="CI412" s="78"/>
      <c r="CJ412" s="78"/>
      <c r="CK412" s="78"/>
      <c r="CL412" s="78"/>
      <c r="CM412" s="78"/>
      <c r="CN412" s="78"/>
      <c r="CO412" s="78"/>
      <c r="CP412" s="78"/>
      <c r="CQ412" s="78"/>
      <c r="CR412" s="78"/>
      <c r="CS412" s="78"/>
      <c r="CT412" s="78"/>
      <c r="CU412" s="78"/>
      <c r="CV412" s="78"/>
      <c r="CW412" s="78"/>
      <c r="CX412" s="78"/>
      <c r="CY412" s="78"/>
      <c r="CZ412" s="78"/>
      <c r="DA412" s="78"/>
      <c r="DB412" s="78"/>
      <c r="DC412" s="78"/>
      <c r="DD412" s="78"/>
      <c r="DE412" s="78"/>
      <c r="DF412" s="78"/>
      <c r="DG412" s="78"/>
      <c r="DH412" s="78"/>
      <c r="DI412" s="78"/>
      <c r="DJ412" s="78"/>
      <c r="DK412" s="78"/>
      <c r="DL412" s="78"/>
      <c r="DM412" s="78"/>
      <c r="DN412" s="78"/>
      <c r="DO412" s="78"/>
      <c r="DP412" s="78"/>
      <c r="DQ412" s="78"/>
      <c r="DR412" s="78"/>
      <c r="DS412" s="78"/>
      <c r="DT412" s="78"/>
      <c r="DU412" s="78"/>
      <c r="DV412" s="78"/>
      <c r="DW412" s="78"/>
      <c r="DX412" s="78"/>
      <c r="DY412" s="78"/>
      <c r="DZ412" s="78"/>
      <c r="EA412" s="78"/>
      <c r="EB412" s="78"/>
      <c r="EC412" s="78"/>
      <c r="ED412" s="78"/>
      <c r="EE412" s="78"/>
      <c r="EF412" s="78"/>
      <c r="EG412" s="78"/>
      <c r="EH412" s="78"/>
      <c r="EI412" s="91"/>
      <c r="EJ412" s="91"/>
      <c r="EK412" s="91"/>
      <c r="EL412" s="91"/>
      <c r="EM412" s="91"/>
      <c r="EN412" s="91"/>
      <c r="EO412" s="91"/>
      <c r="EP412" s="78"/>
      <c r="EQ412" s="78"/>
      <c r="ER412" s="78"/>
      <c r="ES412" s="78"/>
      <c r="ET412" s="78"/>
      <c r="EU412" s="78"/>
      <c r="EV412" s="78"/>
      <c r="EW412" s="78"/>
      <c r="EX412" s="78"/>
      <c r="EY412" s="78"/>
      <c r="EZ412" s="78"/>
      <c r="FA412" s="78"/>
      <c r="FB412" s="78"/>
      <c r="FC412" s="78"/>
      <c r="FD412" s="78"/>
      <c r="FE412" s="78"/>
      <c r="FF412" s="78"/>
      <c r="FG412" s="78"/>
      <c r="FH412" s="78"/>
      <c r="FI412" s="78"/>
      <c r="FJ412" s="78"/>
      <c r="FK412" s="78"/>
    </row>
    <row r="413" spans="1:167" hidden="1" outlineLevel="1">
      <c r="A413" s="29" t="str">
        <f t="shared" ref="A413:A476" si="35">E413&amp;F413</f>
        <v>modesg_out_empr_info_nfinscp3_emss</v>
      </c>
      <c r="B413" s="67" t="s">
        <v>26</v>
      </c>
      <c r="C413" s="68" t="s">
        <v>310</v>
      </c>
      <c r="D413" s="64" t="s">
        <v>40</v>
      </c>
      <c r="E413" s="66" t="s">
        <v>325</v>
      </c>
      <c r="F413" s="64" t="s">
        <v>287</v>
      </c>
      <c r="G413" s="64" t="str">
        <f>INDEX(Auxiliar!$B$16:$B$24,MATCH(Plano_V1!H413,Auxiliar!$C$16:$C$24,0),1)</f>
        <v>1. Concluído</v>
      </c>
      <c r="H413" s="64">
        <f>VLOOKUP(A413,'Aux - pivots1'!$A:$B,2,0)</f>
        <v>1</v>
      </c>
      <c r="I413" s="84">
        <f>SUMIFS(Table1[Estimação (horas)],Table1[Tabela],Plano_V1!E413,Table1[Campo],Plano_V1!F413)</f>
        <v>8.1</v>
      </c>
      <c r="J413" s="84">
        <f t="shared" si="33"/>
        <v>1.0125</v>
      </c>
      <c r="K413" s="87" t="s">
        <v>326</v>
      </c>
      <c r="L413" s="90">
        <f t="shared" si="34"/>
        <v>1.0125</v>
      </c>
      <c r="M413" s="78"/>
      <c r="N413" s="78"/>
      <c r="O413" s="78"/>
      <c r="P413" s="78"/>
      <c r="Q413" s="78"/>
      <c r="R413" s="78"/>
      <c r="S413" s="78"/>
      <c r="T413" s="78"/>
      <c r="U413" s="78"/>
      <c r="V413" s="78"/>
      <c r="W413" s="78"/>
      <c r="X413" s="78"/>
      <c r="Y413" s="78"/>
      <c r="Z413" s="78"/>
      <c r="AA413" s="78"/>
      <c r="AB413" s="78"/>
      <c r="AC413" s="78"/>
      <c r="AD413" s="78"/>
      <c r="AE413" s="78"/>
      <c r="AF413" s="78"/>
      <c r="AG413" s="78"/>
      <c r="AH413" s="78"/>
      <c r="AI413" s="78"/>
      <c r="AJ413" s="78"/>
      <c r="AK413" s="78"/>
      <c r="AL413" s="78"/>
      <c r="AM413" s="78"/>
      <c r="AN413" s="78"/>
      <c r="AO413" s="78"/>
      <c r="AP413" s="78"/>
      <c r="AQ413" s="78"/>
      <c r="AR413" s="78"/>
      <c r="AS413" s="78"/>
      <c r="AT413" s="91"/>
      <c r="AU413" s="78"/>
      <c r="AV413" s="78"/>
      <c r="AW413" s="78"/>
      <c r="AX413" s="78"/>
      <c r="AY413" s="78"/>
      <c r="AZ413" s="78"/>
      <c r="BA413" s="78"/>
      <c r="BB413" s="78"/>
      <c r="BC413" s="78"/>
      <c r="BD413" s="78"/>
      <c r="BE413" s="78"/>
      <c r="BF413" s="78"/>
      <c r="BG413" s="78"/>
      <c r="BH413" s="78"/>
      <c r="BI413" s="78"/>
      <c r="BJ413" s="78"/>
      <c r="BK413" s="78"/>
      <c r="BL413" s="78"/>
      <c r="BM413" s="78"/>
      <c r="BN413" s="78"/>
      <c r="BO413" s="78"/>
      <c r="BP413" s="78"/>
      <c r="BQ413" s="78"/>
      <c r="BR413" s="78"/>
      <c r="BS413" s="78"/>
      <c r="BT413" s="78"/>
      <c r="BU413" s="78"/>
      <c r="BV413" s="78"/>
      <c r="BW413" s="78"/>
      <c r="BX413" s="78"/>
      <c r="BY413" s="78"/>
      <c r="BZ413" s="78"/>
      <c r="CA413" s="78"/>
      <c r="CB413" s="78"/>
      <c r="CC413" s="78"/>
      <c r="CD413" s="78"/>
      <c r="CE413" s="78"/>
      <c r="CF413" s="78"/>
      <c r="CG413" s="78"/>
      <c r="CH413" s="78"/>
      <c r="CI413" s="78"/>
      <c r="CJ413" s="78"/>
      <c r="CK413" s="78"/>
      <c r="CL413" s="78"/>
      <c r="CM413" s="78"/>
      <c r="CN413" s="78"/>
      <c r="CO413" s="78"/>
      <c r="CP413" s="78"/>
      <c r="CQ413" s="78"/>
      <c r="CR413" s="78"/>
      <c r="CS413" s="78"/>
      <c r="CT413" s="78"/>
      <c r="CU413" s="78"/>
      <c r="CV413" s="78"/>
      <c r="CW413" s="78"/>
      <c r="CX413" s="78"/>
      <c r="CY413" s="78"/>
      <c r="CZ413" s="78"/>
      <c r="DA413" s="78"/>
      <c r="DB413" s="78"/>
      <c r="DC413" s="78"/>
      <c r="DD413" s="78"/>
      <c r="DE413" s="78"/>
      <c r="DF413" s="78"/>
      <c r="DG413" s="78"/>
      <c r="DH413" s="78"/>
      <c r="DI413" s="78"/>
      <c r="DJ413" s="78"/>
      <c r="DK413" s="78"/>
      <c r="DL413" s="78"/>
      <c r="DM413" s="78"/>
      <c r="DN413" s="78"/>
      <c r="DO413" s="78"/>
      <c r="DP413" s="78"/>
      <c r="DQ413" s="78"/>
      <c r="DR413" s="78"/>
      <c r="DS413" s="78"/>
      <c r="DT413" s="78"/>
      <c r="DU413" s="78"/>
      <c r="DV413" s="78"/>
      <c r="DW413" s="78"/>
      <c r="DX413" s="78"/>
      <c r="DY413" s="78"/>
      <c r="DZ413" s="78"/>
      <c r="EA413" s="78"/>
      <c r="EB413" s="78"/>
      <c r="EC413" s="78"/>
      <c r="ED413" s="78"/>
      <c r="EE413" s="78"/>
      <c r="EF413" s="78"/>
      <c r="EG413" s="78"/>
      <c r="EH413" s="78"/>
      <c r="EI413" s="91"/>
      <c r="EJ413" s="91"/>
      <c r="EK413" s="91"/>
      <c r="EL413" s="91"/>
      <c r="EM413" s="91"/>
      <c r="EN413" s="91"/>
      <c r="EO413" s="91"/>
      <c r="EP413" s="78"/>
      <c r="EQ413" s="78"/>
      <c r="ER413" s="78"/>
      <c r="ES413" s="78"/>
      <c r="ET413" s="78"/>
      <c r="EU413" s="78"/>
      <c r="EV413" s="78"/>
      <c r="EW413" s="78"/>
      <c r="EX413" s="78"/>
      <c r="EY413" s="78"/>
      <c r="EZ413" s="78"/>
      <c r="FA413" s="78"/>
      <c r="FB413" s="78"/>
      <c r="FC413" s="78"/>
      <c r="FD413" s="78"/>
      <c r="FE413" s="78"/>
      <c r="FF413" s="78"/>
      <c r="FG413" s="78"/>
      <c r="FH413" s="78"/>
      <c r="FI413" s="78"/>
      <c r="FJ413" s="78"/>
      <c r="FK413" s="78"/>
    </row>
    <row r="414" spans="1:167" hidden="1" outlineLevel="1">
      <c r="A414" s="29" t="str">
        <f t="shared" si="35"/>
        <v>modesg_out_empr_info_nfinzcliente</v>
      </c>
      <c r="B414" s="67" t="s">
        <v>26</v>
      </c>
      <c r="C414" s="68" t="s">
        <v>310</v>
      </c>
      <c r="D414" s="64" t="s">
        <v>40</v>
      </c>
      <c r="E414" s="66" t="s">
        <v>325</v>
      </c>
      <c r="F414" s="64" t="s">
        <v>209</v>
      </c>
      <c r="G414" s="64" t="str">
        <f>INDEX(Auxiliar!$B$16:$B$24,MATCH(Plano_V1!H414,Auxiliar!$C$16:$C$24,0),1)</f>
        <v>1. Concluído</v>
      </c>
      <c r="H414" s="64">
        <f>VLOOKUP(A414,'Aux - pivots1'!$A:$B,2,0)</f>
        <v>1</v>
      </c>
      <c r="I414" s="84">
        <f>SUMIFS(Table1[Estimação (horas)],Table1[Tabela],Plano_V1!E414,Table1[Campo],Plano_V1!F414)</f>
        <v>4.0999999999999996</v>
      </c>
      <c r="J414" s="84">
        <f t="shared" si="33"/>
        <v>0.51249999999999996</v>
      </c>
      <c r="K414" s="87" t="s">
        <v>326</v>
      </c>
      <c r="L414" s="90">
        <f t="shared" si="34"/>
        <v>0.51249999999999996</v>
      </c>
      <c r="M414" s="78"/>
      <c r="N414" s="78"/>
      <c r="O414" s="78"/>
      <c r="P414" s="78"/>
      <c r="Q414" s="78"/>
      <c r="R414" s="78"/>
      <c r="S414" s="78"/>
      <c r="T414" s="78"/>
      <c r="U414" s="78"/>
      <c r="V414" s="78"/>
      <c r="W414" s="78"/>
      <c r="X414" s="78"/>
      <c r="Y414" s="78"/>
      <c r="Z414" s="78"/>
      <c r="AA414" s="78"/>
      <c r="AB414" s="78"/>
      <c r="AC414" s="78"/>
      <c r="AD414" s="78"/>
      <c r="AE414" s="78"/>
      <c r="AF414" s="78"/>
      <c r="AG414" s="78"/>
      <c r="AH414" s="78"/>
      <c r="AI414" s="78"/>
      <c r="AJ414" s="78"/>
      <c r="AK414" s="78"/>
      <c r="AL414" s="78"/>
      <c r="AM414" s="78"/>
      <c r="AN414" s="78"/>
      <c r="AO414" s="78"/>
      <c r="AP414" s="78"/>
      <c r="AQ414" s="78"/>
      <c r="AR414" s="78"/>
      <c r="AS414" s="78"/>
      <c r="AT414" s="91"/>
      <c r="AU414" s="78"/>
      <c r="AV414" s="78"/>
      <c r="AW414" s="78"/>
      <c r="AX414" s="78"/>
      <c r="AY414" s="78"/>
      <c r="AZ414" s="78"/>
      <c r="BA414" s="78"/>
      <c r="BB414" s="78"/>
      <c r="BC414" s="78"/>
      <c r="BD414" s="78"/>
      <c r="BE414" s="78"/>
      <c r="BF414" s="78"/>
      <c r="BG414" s="78"/>
      <c r="BH414" s="78"/>
      <c r="BI414" s="78"/>
      <c r="BJ414" s="78"/>
      <c r="BK414" s="78"/>
      <c r="BL414" s="78"/>
      <c r="BM414" s="78"/>
      <c r="BN414" s="78"/>
      <c r="BO414" s="78"/>
      <c r="BP414" s="78"/>
      <c r="BQ414" s="78"/>
      <c r="BR414" s="78"/>
      <c r="BS414" s="78"/>
      <c r="BT414" s="78"/>
      <c r="BU414" s="78"/>
      <c r="BV414" s="78"/>
      <c r="BW414" s="78"/>
      <c r="BX414" s="78"/>
      <c r="BY414" s="78"/>
      <c r="BZ414" s="78"/>
      <c r="CA414" s="78"/>
      <c r="CB414" s="78"/>
      <c r="CC414" s="78"/>
      <c r="CD414" s="78"/>
      <c r="CE414" s="78"/>
      <c r="CF414" s="78"/>
      <c r="CG414" s="78"/>
      <c r="CH414" s="78"/>
      <c r="CI414" s="78"/>
      <c r="CJ414" s="78"/>
      <c r="CK414" s="78"/>
      <c r="CL414" s="78"/>
      <c r="CM414" s="78"/>
      <c r="CN414" s="78"/>
      <c r="CO414" s="78"/>
      <c r="CP414" s="78"/>
      <c r="CQ414" s="78"/>
      <c r="CR414" s="78"/>
      <c r="CS414" s="78"/>
      <c r="CT414" s="78"/>
      <c r="CU414" s="78"/>
      <c r="CV414" s="78"/>
      <c r="CW414" s="78"/>
      <c r="CX414" s="78"/>
      <c r="CY414" s="78"/>
      <c r="CZ414" s="78"/>
      <c r="DA414" s="78"/>
      <c r="DB414" s="78"/>
      <c r="DC414" s="78"/>
      <c r="DD414" s="78"/>
      <c r="DE414" s="78"/>
      <c r="DF414" s="78"/>
      <c r="DG414" s="78"/>
      <c r="DH414" s="78"/>
      <c r="DI414" s="78"/>
      <c r="DJ414" s="78"/>
      <c r="DK414" s="78"/>
      <c r="DL414" s="78"/>
      <c r="DM414" s="78"/>
      <c r="DN414" s="78"/>
      <c r="DO414" s="78"/>
      <c r="DP414" s="78"/>
      <c r="DQ414" s="78"/>
      <c r="DR414" s="78"/>
      <c r="DS414" s="78"/>
      <c r="DT414" s="78"/>
      <c r="DU414" s="78"/>
      <c r="DV414" s="78"/>
      <c r="DW414" s="78"/>
      <c r="DX414" s="78"/>
      <c r="DY414" s="78"/>
      <c r="DZ414" s="78"/>
      <c r="EA414" s="78"/>
      <c r="EB414" s="78"/>
      <c r="EC414" s="78"/>
      <c r="ED414" s="78"/>
      <c r="EE414" s="78"/>
      <c r="EF414" s="78"/>
      <c r="EG414" s="78"/>
      <c r="EH414" s="78"/>
      <c r="EI414" s="91"/>
      <c r="EJ414" s="91"/>
      <c r="EK414" s="91"/>
      <c r="EL414" s="91"/>
      <c r="EM414" s="91"/>
      <c r="EN414" s="91"/>
      <c r="EO414" s="91"/>
      <c r="EP414" s="78"/>
      <c r="EQ414" s="78"/>
      <c r="ER414" s="78"/>
      <c r="ES414" s="78"/>
      <c r="ET414" s="78"/>
      <c r="EU414" s="78"/>
      <c r="EV414" s="78"/>
      <c r="EW414" s="78"/>
      <c r="EX414" s="78"/>
      <c r="EY414" s="78"/>
      <c r="EZ414" s="78"/>
      <c r="FA414" s="78"/>
      <c r="FB414" s="78"/>
      <c r="FC414" s="78"/>
      <c r="FD414" s="78"/>
      <c r="FE414" s="78"/>
      <c r="FF414" s="78"/>
      <c r="FG414" s="78"/>
      <c r="FH414" s="78"/>
      <c r="FI414" s="78"/>
      <c r="FJ414" s="78"/>
      <c r="FK414" s="78"/>
    </row>
    <row r="415" spans="1:167" hidden="1" outlineLevel="1">
      <c r="A415" s="29" t="str">
        <f t="shared" si="35"/>
        <v>modesg_out_emss_vclsn.a.</v>
      </c>
      <c r="B415" s="67" t="s">
        <v>26</v>
      </c>
      <c r="C415" s="68" t="s">
        <v>310</v>
      </c>
      <c r="D415" s="64" t="s">
        <v>36</v>
      </c>
      <c r="E415" s="66" t="s">
        <v>331</v>
      </c>
      <c r="F415" s="64" t="s">
        <v>38</v>
      </c>
      <c r="G415" s="64" t="str">
        <f>INDEX(Auxiliar!$B$16:$B$24,MATCH(Plano_V1!H415,Auxiliar!$C$16:$C$24,0),1)</f>
        <v>1. Concluído</v>
      </c>
      <c r="H415" s="64">
        <f>VLOOKUP(A415,'Aux - pivots1'!$A:$B,2,0)</f>
        <v>1</v>
      </c>
      <c r="I415" s="84">
        <f>SUMIFS(Table1[Estimação (horas)],Table1[Tabela],Plano_V1!E415,Table1[Campo],Plano_V1!F415)</f>
        <v>8</v>
      </c>
      <c r="J415" s="84">
        <f t="shared" si="33"/>
        <v>1</v>
      </c>
      <c r="K415" s="87" t="s">
        <v>332</v>
      </c>
      <c r="L415" s="90">
        <f t="shared" si="34"/>
        <v>1</v>
      </c>
      <c r="M415" s="78"/>
      <c r="N415" s="78"/>
      <c r="O415" s="78"/>
      <c r="P415" s="78"/>
      <c r="Q415" s="78"/>
      <c r="R415" s="78"/>
      <c r="S415" s="78"/>
      <c r="T415" s="78"/>
      <c r="U415" s="78"/>
      <c r="V415" s="78"/>
      <c r="W415" s="78"/>
      <c r="X415" s="78"/>
      <c r="Y415" s="78"/>
      <c r="Z415" s="78"/>
      <c r="AA415" s="78"/>
      <c r="AB415" s="78"/>
      <c r="AC415" s="78"/>
      <c r="AD415" s="78"/>
      <c r="AE415" s="78"/>
      <c r="AF415" s="78"/>
      <c r="AG415" s="78"/>
      <c r="AH415" s="78"/>
      <c r="AI415" s="78"/>
      <c r="AJ415" s="78"/>
      <c r="AK415" s="78"/>
      <c r="AL415" s="78"/>
      <c r="AM415" s="78"/>
      <c r="AN415" s="78"/>
      <c r="AO415" s="78"/>
      <c r="AP415" s="78"/>
      <c r="AQ415" s="78"/>
      <c r="AR415" s="78"/>
      <c r="AS415" s="78"/>
      <c r="AT415" s="91"/>
      <c r="AU415" s="78"/>
      <c r="AV415" s="78"/>
      <c r="AW415" s="78"/>
      <c r="AX415" s="78"/>
      <c r="AY415" s="78"/>
      <c r="AZ415" s="78"/>
      <c r="BA415" s="78"/>
      <c r="BB415" s="78"/>
      <c r="BC415" s="78"/>
      <c r="BD415" s="78"/>
      <c r="BE415" s="78"/>
      <c r="BF415" s="78"/>
      <c r="BG415" s="78"/>
      <c r="BH415" s="78"/>
      <c r="BI415" s="78"/>
      <c r="BJ415" s="78"/>
      <c r="BK415" s="78"/>
      <c r="BL415" s="78"/>
      <c r="BM415" s="78"/>
      <c r="BN415" s="78"/>
      <c r="BO415" s="78"/>
      <c r="BP415" s="78"/>
      <c r="BQ415" s="78"/>
      <c r="BR415" s="78"/>
      <c r="BS415" s="78"/>
      <c r="BT415" s="78"/>
      <c r="BU415" s="78"/>
      <c r="BV415" s="78"/>
      <c r="BW415" s="78"/>
      <c r="BX415" s="78"/>
      <c r="BY415" s="78"/>
      <c r="BZ415" s="78"/>
      <c r="CA415" s="78"/>
      <c r="CB415" s="78"/>
      <c r="CC415" s="78"/>
      <c r="CD415" s="78"/>
      <c r="CE415" s="78"/>
      <c r="CF415" s="78"/>
      <c r="CG415" s="78"/>
      <c r="CH415" s="78"/>
      <c r="CI415" s="78"/>
      <c r="CJ415" s="78"/>
      <c r="CK415" s="78"/>
      <c r="CL415" s="78"/>
      <c r="CM415" s="78"/>
      <c r="CN415" s="78"/>
      <c r="CO415" s="78"/>
      <c r="CP415" s="78"/>
      <c r="CQ415" s="78"/>
      <c r="CR415" s="78"/>
      <c r="CS415" s="78"/>
      <c r="CT415" s="78"/>
      <c r="CU415" s="78"/>
      <c r="CV415" s="78"/>
      <c r="CW415" s="78"/>
      <c r="CX415" s="78"/>
      <c r="CY415" s="78"/>
      <c r="CZ415" s="78"/>
      <c r="DA415" s="78"/>
      <c r="DB415" s="78"/>
      <c r="DC415" s="78"/>
      <c r="DD415" s="78"/>
      <c r="DE415" s="78"/>
      <c r="DF415" s="78"/>
      <c r="DG415" s="78"/>
      <c r="DH415" s="78"/>
      <c r="DI415" s="78"/>
      <c r="DJ415" s="78"/>
      <c r="DK415" s="78"/>
      <c r="DL415" s="78"/>
      <c r="DM415" s="78"/>
      <c r="DN415" s="78"/>
      <c r="DO415" s="78"/>
      <c r="DP415" s="78"/>
      <c r="DQ415" s="78"/>
      <c r="DR415" s="78"/>
      <c r="DS415" s="78"/>
      <c r="DT415" s="78"/>
      <c r="DU415" s="78"/>
      <c r="DV415" s="78"/>
      <c r="DW415" s="78"/>
      <c r="DX415" s="78"/>
      <c r="DY415" s="78"/>
      <c r="DZ415" s="78"/>
      <c r="EA415" s="78"/>
      <c r="EB415" s="78"/>
      <c r="EC415" s="78"/>
      <c r="ED415" s="78"/>
      <c r="EE415" s="78"/>
      <c r="EF415" s="78"/>
      <c r="EG415" s="78"/>
      <c r="EH415" s="78"/>
      <c r="EI415" s="91"/>
      <c r="EJ415" s="91"/>
      <c r="EK415" s="91"/>
      <c r="EL415" s="91"/>
      <c r="EM415" s="91"/>
      <c r="EN415" s="91"/>
      <c r="EO415" s="91"/>
      <c r="EP415" s="78"/>
      <c r="EQ415" s="78"/>
      <c r="ER415" s="78"/>
      <c r="ES415" s="78"/>
      <c r="ET415" s="78"/>
      <c r="EU415" s="78"/>
      <c r="EV415" s="78"/>
      <c r="EW415" s="78"/>
      <c r="EX415" s="78"/>
      <c r="EY415" s="78"/>
      <c r="EZ415" s="78"/>
      <c r="FA415" s="78"/>
      <c r="FB415" s="78"/>
      <c r="FC415" s="78"/>
      <c r="FD415" s="78"/>
      <c r="FE415" s="78"/>
      <c r="FF415" s="78"/>
      <c r="FG415" s="78"/>
      <c r="FH415" s="78"/>
      <c r="FI415" s="78"/>
      <c r="FJ415" s="78"/>
      <c r="FK415" s="78"/>
    </row>
    <row r="416" spans="1:167" hidden="1" outlineLevel="1">
      <c r="A416" s="29" t="str">
        <f t="shared" si="35"/>
        <v>modesg_out_emss_vclscempbem</v>
      </c>
      <c r="B416" s="67" t="s">
        <v>26</v>
      </c>
      <c r="C416" s="68" t="s">
        <v>310</v>
      </c>
      <c r="D416" s="64" t="s">
        <v>40</v>
      </c>
      <c r="E416" s="66" t="s">
        <v>331</v>
      </c>
      <c r="F416" s="64" t="s">
        <v>313</v>
      </c>
      <c r="G416" s="64" t="str">
        <f>INDEX(Auxiliar!$B$16:$B$24,MATCH(Plano_V1!H416,Auxiliar!$C$16:$C$24,0),1)</f>
        <v>1. Concluído</v>
      </c>
      <c r="H416" s="64">
        <f>VLOOKUP(A416,'Aux - pivots1'!$A:$B,2,0)</f>
        <v>1</v>
      </c>
      <c r="I416" s="84">
        <f>SUMIFS(Table1[Estimação (horas)],Table1[Tabela],Plano_V1!E416,Table1[Campo],Plano_V1!F416)</f>
        <v>4.0999999999999996</v>
      </c>
      <c r="J416" s="84">
        <f t="shared" si="33"/>
        <v>0.51249999999999996</v>
      </c>
      <c r="K416" s="87" t="s">
        <v>332</v>
      </c>
      <c r="L416" s="90">
        <f t="shared" si="34"/>
        <v>0.51249999999999996</v>
      </c>
      <c r="M416" s="78"/>
      <c r="N416" s="78"/>
      <c r="O416" s="78"/>
      <c r="P416" s="78"/>
      <c r="Q416" s="78"/>
      <c r="R416" s="78"/>
      <c r="S416" s="78"/>
      <c r="T416" s="78"/>
      <c r="U416" s="78"/>
      <c r="V416" s="78"/>
      <c r="W416" s="78"/>
      <c r="X416" s="78"/>
      <c r="Y416" s="78"/>
      <c r="Z416" s="78"/>
      <c r="AA416" s="78"/>
      <c r="AB416" s="78"/>
      <c r="AC416" s="78"/>
      <c r="AD416" s="78"/>
      <c r="AE416" s="78"/>
      <c r="AF416" s="78"/>
      <c r="AG416" s="78"/>
      <c r="AH416" s="78"/>
      <c r="AI416" s="78"/>
      <c r="AJ416" s="78"/>
      <c r="AK416" s="78"/>
      <c r="AL416" s="78"/>
      <c r="AM416" s="78"/>
      <c r="AN416" s="78"/>
      <c r="AO416" s="78"/>
      <c r="AP416" s="78"/>
      <c r="AQ416" s="78"/>
      <c r="AR416" s="78"/>
      <c r="AS416" s="78"/>
      <c r="AT416" s="91"/>
      <c r="AU416" s="78"/>
      <c r="AV416" s="78"/>
      <c r="AW416" s="78"/>
      <c r="AX416" s="78"/>
      <c r="AY416" s="78"/>
      <c r="AZ416" s="78"/>
      <c r="BA416" s="78"/>
      <c r="BB416" s="78"/>
      <c r="BC416" s="78"/>
      <c r="BD416" s="78"/>
      <c r="BE416" s="78"/>
      <c r="BF416" s="78"/>
      <c r="BG416" s="78"/>
      <c r="BH416" s="78"/>
      <c r="BI416" s="78"/>
      <c r="BJ416" s="78"/>
      <c r="BK416" s="78"/>
      <c r="BL416" s="78"/>
      <c r="BM416" s="78"/>
      <c r="BN416" s="78"/>
      <c r="BO416" s="78"/>
      <c r="BP416" s="78"/>
      <c r="BQ416" s="78"/>
      <c r="BR416" s="78"/>
      <c r="BS416" s="78"/>
      <c r="BT416" s="78"/>
      <c r="BU416" s="78"/>
      <c r="BV416" s="78"/>
      <c r="BW416" s="78"/>
      <c r="BX416" s="78"/>
      <c r="BY416" s="78"/>
      <c r="BZ416" s="78"/>
      <c r="CA416" s="78"/>
      <c r="CB416" s="78"/>
      <c r="CC416" s="78"/>
      <c r="CD416" s="78"/>
      <c r="CE416" s="78"/>
      <c r="CF416" s="78"/>
      <c r="CG416" s="78"/>
      <c r="CH416" s="78"/>
      <c r="CI416" s="78"/>
      <c r="CJ416" s="78"/>
      <c r="CK416" s="78"/>
      <c r="CL416" s="78"/>
      <c r="CM416" s="78"/>
      <c r="CN416" s="78"/>
      <c r="CO416" s="78"/>
      <c r="CP416" s="78"/>
      <c r="CQ416" s="78"/>
      <c r="CR416" s="78"/>
      <c r="CS416" s="78"/>
      <c r="CT416" s="78"/>
      <c r="CU416" s="78"/>
      <c r="CV416" s="78"/>
      <c r="CW416" s="78"/>
      <c r="CX416" s="78"/>
      <c r="CY416" s="78"/>
      <c r="CZ416" s="78"/>
      <c r="DA416" s="78"/>
      <c r="DB416" s="78"/>
      <c r="DC416" s="78"/>
      <c r="DD416" s="78"/>
      <c r="DE416" s="78"/>
      <c r="DF416" s="78"/>
      <c r="DG416" s="78"/>
      <c r="DH416" s="78"/>
      <c r="DI416" s="78"/>
      <c r="DJ416" s="78"/>
      <c r="DK416" s="78"/>
      <c r="DL416" s="78"/>
      <c r="DM416" s="78"/>
      <c r="DN416" s="78"/>
      <c r="DO416" s="78"/>
      <c r="DP416" s="78"/>
      <c r="DQ416" s="78"/>
      <c r="DR416" s="78"/>
      <c r="DS416" s="78"/>
      <c r="DT416" s="78"/>
      <c r="DU416" s="78"/>
      <c r="DV416" s="78"/>
      <c r="DW416" s="78"/>
      <c r="DX416" s="78"/>
      <c r="DY416" s="78"/>
      <c r="DZ416" s="78"/>
      <c r="EA416" s="78"/>
      <c r="EB416" s="78"/>
      <c r="EC416" s="78"/>
      <c r="ED416" s="78"/>
      <c r="EE416" s="78"/>
      <c r="EF416" s="78"/>
      <c r="EG416" s="78"/>
      <c r="EH416" s="78"/>
      <c r="EI416" s="91"/>
      <c r="EJ416" s="91"/>
      <c r="EK416" s="91"/>
      <c r="EL416" s="91"/>
      <c r="EM416" s="91"/>
      <c r="EN416" s="91"/>
      <c r="EO416" s="91"/>
      <c r="EP416" s="78"/>
      <c r="EQ416" s="78"/>
      <c r="ER416" s="78"/>
      <c r="ES416" s="78"/>
      <c r="ET416" s="78"/>
      <c r="EU416" s="78"/>
      <c r="EV416" s="78"/>
      <c r="EW416" s="78"/>
      <c r="EX416" s="78"/>
      <c r="EY416" s="78"/>
      <c r="EZ416" s="78"/>
      <c r="FA416" s="78"/>
      <c r="FB416" s="78"/>
      <c r="FC416" s="78"/>
      <c r="FD416" s="78"/>
      <c r="FE416" s="78"/>
      <c r="FF416" s="78"/>
      <c r="FG416" s="78"/>
      <c r="FH416" s="78"/>
      <c r="FI416" s="78"/>
      <c r="FJ416" s="78"/>
      <c r="FK416" s="78"/>
    </row>
    <row r="417" spans="1:167" hidden="1" outlineLevel="1">
      <c r="A417" s="29" t="str">
        <f t="shared" si="35"/>
        <v>modesg_out_emss_vclsckbalbem</v>
      </c>
      <c r="B417" s="67" t="s">
        <v>26</v>
      </c>
      <c r="C417" s="68" t="s">
        <v>310</v>
      </c>
      <c r="D417" s="64" t="s">
        <v>40</v>
      </c>
      <c r="E417" s="66" t="s">
        <v>331</v>
      </c>
      <c r="F417" s="64" t="s">
        <v>314</v>
      </c>
      <c r="G417" s="64" t="str">
        <f>INDEX(Auxiliar!$B$16:$B$24,MATCH(Plano_V1!H417,Auxiliar!$C$16:$C$24,0),1)</f>
        <v>1. Concluído</v>
      </c>
      <c r="H417" s="64">
        <f>VLOOKUP(A417,'Aux - pivots1'!$A:$B,2,0)</f>
        <v>1</v>
      </c>
      <c r="I417" s="84">
        <f>SUMIFS(Table1[Estimação (horas)],Table1[Tabela],Plano_V1!E417,Table1[Campo],Plano_V1!F417)</f>
        <v>4.0999999999999996</v>
      </c>
      <c r="J417" s="84">
        <f t="shared" si="33"/>
        <v>0.51249999999999996</v>
      </c>
      <c r="K417" s="87" t="s">
        <v>332</v>
      </c>
      <c r="L417" s="90">
        <f t="shared" si="34"/>
        <v>0.51249999999999996</v>
      </c>
      <c r="M417" s="78"/>
      <c r="N417" s="78"/>
      <c r="O417" s="78"/>
      <c r="P417" s="78"/>
      <c r="Q417" s="78"/>
      <c r="R417" s="78"/>
      <c r="S417" s="78"/>
      <c r="T417" s="78"/>
      <c r="U417" s="78"/>
      <c r="V417" s="78"/>
      <c r="W417" s="78"/>
      <c r="X417" s="78"/>
      <c r="Y417" s="78"/>
      <c r="Z417" s="78"/>
      <c r="AA417" s="78"/>
      <c r="AB417" s="78"/>
      <c r="AC417" s="78"/>
      <c r="AD417" s="78"/>
      <c r="AE417" s="78"/>
      <c r="AF417" s="78"/>
      <c r="AG417" s="78"/>
      <c r="AH417" s="78"/>
      <c r="AI417" s="78"/>
      <c r="AJ417" s="78"/>
      <c r="AK417" s="78"/>
      <c r="AL417" s="78"/>
      <c r="AM417" s="78"/>
      <c r="AN417" s="78"/>
      <c r="AO417" s="78"/>
      <c r="AP417" s="78"/>
      <c r="AQ417" s="78"/>
      <c r="AR417" s="78"/>
      <c r="AS417" s="78"/>
      <c r="AT417" s="91"/>
      <c r="AU417" s="78"/>
      <c r="AV417" s="78"/>
      <c r="AW417" s="78"/>
      <c r="AX417" s="78"/>
      <c r="AY417" s="78"/>
      <c r="AZ417" s="78"/>
      <c r="BA417" s="78"/>
      <c r="BB417" s="78"/>
      <c r="BC417" s="78"/>
      <c r="BD417" s="78"/>
      <c r="BE417" s="78"/>
      <c r="BF417" s="78"/>
      <c r="BG417" s="78"/>
      <c r="BH417" s="78"/>
      <c r="BI417" s="78"/>
      <c r="BJ417" s="78"/>
      <c r="BK417" s="78"/>
      <c r="BL417" s="78"/>
      <c r="BM417" s="78"/>
      <c r="BN417" s="78"/>
      <c r="BO417" s="78"/>
      <c r="BP417" s="78"/>
      <c r="BQ417" s="78"/>
      <c r="BR417" s="78"/>
      <c r="BS417" s="78"/>
      <c r="BT417" s="78"/>
      <c r="BU417" s="78"/>
      <c r="BV417" s="78"/>
      <c r="BW417" s="78"/>
      <c r="BX417" s="78"/>
      <c r="BY417" s="78"/>
      <c r="BZ417" s="78"/>
      <c r="CA417" s="78"/>
      <c r="CB417" s="78"/>
      <c r="CC417" s="78"/>
      <c r="CD417" s="78"/>
      <c r="CE417" s="78"/>
      <c r="CF417" s="78"/>
      <c r="CG417" s="78"/>
      <c r="CH417" s="78"/>
      <c r="CI417" s="78"/>
      <c r="CJ417" s="78"/>
      <c r="CK417" s="78"/>
      <c r="CL417" s="78"/>
      <c r="CM417" s="78"/>
      <c r="CN417" s="78"/>
      <c r="CO417" s="78"/>
      <c r="CP417" s="78"/>
      <c r="CQ417" s="78"/>
      <c r="CR417" s="78"/>
      <c r="CS417" s="78"/>
      <c r="CT417" s="78"/>
      <c r="CU417" s="78"/>
      <c r="CV417" s="78"/>
      <c r="CW417" s="78"/>
      <c r="CX417" s="78"/>
      <c r="CY417" s="78"/>
      <c r="CZ417" s="78"/>
      <c r="DA417" s="78"/>
      <c r="DB417" s="78"/>
      <c r="DC417" s="78"/>
      <c r="DD417" s="78"/>
      <c r="DE417" s="78"/>
      <c r="DF417" s="78"/>
      <c r="DG417" s="78"/>
      <c r="DH417" s="78"/>
      <c r="DI417" s="78"/>
      <c r="DJ417" s="78"/>
      <c r="DK417" s="78"/>
      <c r="DL417" s="78"/>
      <c r="DM417" s="78"/>
      <c r="DN417" s="78"/>
      <c r="DO417" s="78"/>
      <c r="DP417" s="78"/>
      <c r="DQ417" s="78"/>
      <c r="DR417" s="78"/>
      <c r="DS417" s="78"/>
      <c r="DT417" s="78"/>
      <c r="DU417" s="78"/>
      <c r="DV417" s="78"/>
      <c r="DW417" s="78"/>
      <c r="DX417" s="78"/>
      <c r="DY417" s="78"/>
      <c r="DZ417" s="78"/>
      <c r="EA417" s="78"/>
      <c r="EB417" s="78"/>
      <c r="EC417" s="78"/>
      <c r="ED417" s="78"/>
      <c r="EE417" s="78"/>
      <c r="EF417" s="78"/>
      <c r="EG417" s="78"/>
      <c r="EH417" s="78"/>
      <c r="EI417" s="91"/>
      <c r="EJ417" s="91"/>
      <c r="EK417" s="91"/>
      <c r="EL417" s="91"/>
      <c r="EM417" s="91"/>
      <c r="EN417" s="91"/>
      <c r="EO417" s="91"/>
      <c r="EP417" s="78"/>
      <c r="EQ417" s="78"/>
      <c r="ER417" s="78"/>
      <c r="ES417" s="78"/>
      <c r="ET417" s="78"/>
      <c r="EU417" s="78"/>
      <c r="EV417" s="78"/>
      <c r="EW417" s="78"/>
      <c r="EX417" s="78"/>
      <c r="EY417" s="78"/>
      <c r="EZ417" s="78"/>
      <c r="FA417" s="78"/>
      <c r="FB417" s="78"/>
      <c r="FC417" s="78"/>
      <c r="FD417" s="78"/>
      <c r="FE417" s="78"/>
      <c r="FF417" s="78"/>
      <c r="FG417" s="78"/>
      <c r="FH417" s="78"/>
      <c r="FI417" s="78"/>
      <c r="FJ417" s="78"/>
      <c r="FK417" s="78"/>
    </row>
    <row r="418" spans="1:167" hidden="1" outlineLevel="1">
      <c r="A418" s="29" t="str">
        <f t="shared" si="35"/>
        <v>modesg_out_emss_vclsckctabem</v>
      </c>
      <c r="B418" s="67" t="s">
        <v>26</v>
      </c>
      <c r="C418" s="68" t="s">
        <v>310</v>
      </c>
      <c r="D418" s="64" t="s">
        <v>40</v>
      </c>
      <c r="E418" s="66" t="s">
        <v>331</v>
      </c>
      <c r="F418" s="64" t="s">
        <v>315</v>
      </c>
      <c r="G418" s="64" t="str">
        <f>INDEX(Auxiliar!$B$16:$B$24,MATCH(Plano_V1!H418,Auxiliar!$C$16:$C$24,0),1)</f>
        <v>1. Concluído</v>
      </c>
      <c r="H418" s="64">
        <f>VLOOKUP(A418,'Aux - pivots1'!$A:$B,2,0)</f>
        <v>1</v>
      </c>
      <c r="I418" s="84">
        <f>SUMIFS(Table1[Estimação (horas)],Table1[Tabela],Plano_V1!E418,Table1[Campo],Plano_V1!F418)</f>
        <v>4.0999999999999996</v>
      </c>
      <c r="J418" s="84">
        <f t="shared" si="33"/>
        <v>0.51249999999999996</v>
      </c>
      <c r="K418" s="87" t="s">
        <v>332</v>
      </c>
      <c r="L418" s="90">
        <f t="shared" si="34"/>
        <v>0.51249999999999996</v>
      </c>
      <c r="M418" s="78"/>
      <c r="N418" s="78"/>
      <c r="O418" s="78"/>
      <c r="P418" s="78"/>
      <c r="Q418" s="78"/>
      <c r="R418" s="78"/>
      <c r="S418" s="78"/>
      <c r="T418" s="78"/>
      <c r="U418" s="78"/>
      <c r="V418" s="78"/>
      <c r="W418" s="78"/>
      <c r="X418" s="78"/>
      <c r="Y418" s="78"/>
      <c r="Z418" s="78"/>
      <c r="AA418" s="78"/>
      <c r="AB418" s="78"/>
      <c r="AC418" s="78"/>
      <c r="AD418" s="78"/>
      <c r="AE418" s="78"/>
      <c r="AF418" s="78"/>
      <c r="AG418" s="78"/>
      <c r="AH418" s="78"/>
      <c r="AI418" s="78"/>
      <c r="AJ418" s="78"/>
      <c r="AK418" s="78"/>
      <c r="AL418" s="78"/>
      <c r="AM418" s="78"/>
      <c r="AN418" s="78"/>
      <c r="AO418" s="78"/>
      <c r="AP418" s="78"/>
      <c r="AQ418" s="78"/>
      <c r="AR418" s="78"/>
      <c r="AS418" s="78"/>
      <c r="AT418" s="91"/>
      <c r="AU418" s="78"/>
      <c r="AV418" s="78"/>
      <c r="AW418" s="78"/>
      <c r="AX418" s="78"/>
      <c r="AY418" s="78"/>
      <c r="AZ418" s="78"/>
      <c r="BA418" s="78"/>
      <c r="BB418" s="78"/>
      <c r="BC418" s="78"/>
      <c r="BD418" s="78"/>
      <c r="BE418" s="78"/>
      <c r="BF418" s="78"/>
      <c r="BG418" s="78"/>
      <c r="BH418" s="78"/>
      <c r="BI418" s="78"/>
      <c r="BJ418" s="78"/>
      <c r="BK418" s="78"/>
      <c r="BL418" s="78"/>
      <c r="BM418" s="78"/>
      <c r="BN418" s="78"/>
      <c r="BO418" s="78"/>
      <c r="BP418" s="78"/>
      <c r="BQ418" s="78"/>
      <c r="BR418" s="78"/>
      <c r="BS418" s="78"/>
      <c r="BT418" s="78"/>
      <c r="BU418" s="78"/>
      <c r="BV418" s="78"/>
      <c r="BW418" s="78"/>
      <c r="BX418" s="78"/>
      <c r="BY418" s="78"/>
      <c r="BZ418" s="78"/>
      <c r="CA418" s="78"/>
      <c r="CB418" s="78"/>
      <c r="CC418" s="78"/>
      <c r="CD418" s="78"/>
      <c r="CE418" s="78"/>
      <c r="CF418" s="78"/>
      <c r="CG418" s="78"/>
      <c r="CH418" s="78"/>
      <c r="CI418" s="78"/>
      <c r="CJ418" s="78"/>
      <c r="CK418" s="78"/>
      <c r="CL418" s="78"/>
      <c r="CM418" s="78"/>
      <c r="CN418" s="78"/>
      <c r="CO418" s="78"/>
      <c r="CP418" s="78"/>
      <c r="CQ418" s="78"/>
      <c r="CR418" s="78"/>
      <c r="CS418" s="78"/>
      <c r="CT418" s="78"/>
      <c r="CU418" s="78"/>
      <c r="CV418" s="78"/>
      <c r="CW418" s="78"/>
      <c r="CX418" s="78"/>
      <c r="CY418" s="78"/>
      <c r="CZ418" s="78"/>
      <c r="DA418" s="78"/>
      <c r="DB418" s="78"/>
      <c r="DC418" s="78"/>
      <c r="DD418" s="78"/>
      <c r="DE418" s="78"/>
      <c r="DF418" s="78"/>
      <c r="DG418" s="78"/>
      <c r="DH418" s="78"/>
      <c r="DI418" s="78"/>
      <c r="DJ418" s="78"/>
      <c r="DK418" s="78"/>
      <c r="DL418" s="78"/>
      <c r="DM418" s="78"/>
      <c r="DN418" s="78"/>
      <c r="DO418" s="78"/>
      <c r="DP418" s="78"/>
      <c r="DQ418" s="78"/>
      <c r="DR418" s="78"/>
      <c r="DS418" s="78"/>
      <c r="DT418" s="78"/>
      <c r="DU418" s="78"/>
      <c r="DV418" s="78"/>
      <c r="DW418" s="78"/>
      <c r="DX418" s="78"/>
      <c r="DY418" s="78"/>
      <c r="DZ418" s="78"/>
      <c r="EA418" s="78"/>
      <c r="EB418" s="78"/>
      <c r="EC418" s="78"/>
      <c r="ED418" s="78"/>
      <c r="EE418" s="78"/>
      <c r="EF418" s="78"/>
      <c r="EG418" s="78"/>
      <c r="EH418" s="78"/>
      <c r="EI418" s="91"/>
      <c r="EJ418" s="91"/>
      <c r="EK418" s="91"/>
      <c r="EL418" s="91"/>
      <c r="EM418" s="91"/>
      <c r="EN418" s="91"/>
      <c r="EO418" s="91"/>
      <c r="EP418" s="78"/>
      <c r="EQ418" s="78"/>
      <c r="ER418" s="78"/>
      <c r="ES418" s="78"/>
      <c r="ET418" s="78"/>
      <c r="EU418" s="78"/>
      <c r="EV418" s="78"/>
      <c r="EW418" s="78"/>
      <c r="EX418" s="78"/>
      <c r="EY418" s="78"/>
      <c r="EZ418" s="78"/>
      <c r="FA418" s="78"/>
      <c r="FB418" s="78"/>
      <c r="FC418" s="78"/>
      <c r="FD418" s="78"/>
      <c r="FE418" s="78"/>
      <c r="FF418" s="78"/>
      <c r="FG418" s="78"/>
      <c r="FH418" s="78"/>
      <c r="FI418" s="78"/>
      <c r="FJ418" s="78"/>
      <c r="FK418" s="78"/>
    </row>
    <row r="419" spans="1:167" hidden="1" outlineLevel="1">
      <c r="A419" s="29" t="str">
        <f t="shared" si="35"/>
        <v>modesg_out_emss_vclsckrefbem</v>
      </c>
      <c r="B419" s="67" t="s">
        <v>26</v>
      </c>
      <c r="C419" s="68" t="s">
        <v>310</v>
      </c>
      <c r="D419" s="64" t="s">
        <v>40</v>
      </c>
      <c r="E419" s="66" t="s">
        <v>331</v>
      </c>
      <c r="F419" s="64" t="s">
        <v>316</v>
      </c>
      <c r="G419" s="64" t="str">
        <f>INDEX(Auxiliar!$B$16:$B$24,MATCH(Plano_V1!H419,Auxiliar!$C$16:$C$24,0),1)</f>
        <v>1. Concluído</v>
      </c>
      <c r="H419" s="64">
        <f>VLOOKUP(A419,'Aux - pivots1'!$A:$B,2,0)</f>
        <v>1</v>
      </c>
      <c r="I419" s="84">
        <f>SUMIFS(Table1[Estimação (horas)],Table1[Tabela],Plano_V1!E419,Table1[Campo],Plano_V1!F419)</f>
        <v>4.0999999999999996</v>
      </c>
      <c r="J419" s="84">
        <f t="shared" si="33"/>
        <v>0.51249999999999996</v>
      </c>
      <c r="K419" s="87" t="s">
        <v>332</v>
      </c>
      <c r="L419" s="90">
        <f t="shared" si="34"/>
        <v>0.51249999999999996</v>
      </c>
      <c r="M419" s="78"/>
      <c r="N419" s="78"/>
      <c r="O419" s="78"/>
      <c r="P419" s="78"/>
      <c r="Q419" s="78"/>
      <c r="R419" s="78"/>
      <c r="S419" s="78"/>
      <c r="T419" s="78"/>
      <c r="U419" s="78"/>
      <c r="V419" s="78"/>
      <c r="W419" s="78"/>
      <c r="X419" s="78"/>
      <c r="Y419" s="78"/>
      <c r="Z419" s="78"/>
      <c r="AA419" s="78"/>
      <c r="AB419" s="78"/>
      <c r="AC419" s="78"/>
      <c r="AD419" s="78"/>
      <c r="AE419" s="78"/>
      <c r="AF419" s="78"/>
      <c r="AG419" s="78"/>
      <c r="AH419" s="78"/>
      <c r="AI419" s="78"/>
      <c r="AJ419" s="78"/>
      <c r="AK419" s="78"/>
      <c r="AL419" s="78"/>
      <c r="AM419" s="78"/>
      <c r="AN419" s="78"/>
      <c r="AO419" s="78"/>
      <c r="AP419" s="78"/>
      <c r="AQ419" s="78"/>
      <c r="AR419" s="78"/>
      <c r="AS419" s="78"/>
      <c r="AT419" s="91"/>
      <c r="AU419" s="78"/>
      <c r="AV419" s="78"/>
      <c r="AW419" s="78"/>
      <c r="AX419" s="78"/>
      <c r="AY419" s="78"/>
      <c r="AZ419" s="78"/>
      <c r="BA419" s="78"/>
      <c r="BB419" s="78"/>
      <c r="BC419" s="78"/>
      <c r="BD419" s="78"/>
      <c r="BE419" s="78"/>
      <c r="BF419" s="78"/>
      <c r="BG419" s="78"/>
      <c r="BH419" s="78"/>
      <c r="BI419" s="78"/>
      <c r="BJ419" s="78"/>
      <c r="BK419" s="78"/>
      <c r="BL419" s="78"/>
      <c r="BM419" s="78"/>
      <c r="BN419" s="78"/>
      <c r="BO419" s="78"/>
      <c r="BP419" s="78"/>
      <c r="BQ419" s="78"/>
      <c r="BR419" s="78"/>
      <c r="BS419" s="78"/>
      <c r="BT419" s="78"/>
      <c r="BU419" s="78"/>
      <c r="BV419" s="78"/>
      <c r="BW419" s="78"/>
      <c r="BX419" s="78"/>
      <c r="BY419" s="78"/>
      <c r="BZ419" s="78"/>
      <c r="CA419" s="78"/>
      <c r="CB419" s="78"/>
      <c r="CC419" s="78"/>
      <c r="CD419" s="78"/>
      <c r="CE419" s="78"/>
      <c r="CF419" s="78"/>
      <c r="CG419" s="78"/>
      <c r="CH419" s="78"/>
      <c r="CI419" s="78"/>
      <c r="CJ419" s="78"/>
      <c r="CK419" s="78"/>
      <c r="CL419" s="78"/>
      <c r="CM419" s="78"/>
      <c r="CN419" s="78"/>
      <c r="CO419" s="78"/>
      <c r="CP419" s="78"/>
      <c r="CQ419" s="78"/>
      <c r="CR419" s="78"/>
      <c r="CS419" s="78"/>
      <c r="CT419" s="78"/>
      <c r="CU419" s="78"/>
      <c r="CV419" s="78"/>
      <c r="CW419" s="78"/>
      <c r="CX419" s="78"/>
      <c r="CY419" s="78"/>
      <c r="CZ419" s="78"/>
      <c r="DA419" s="78"/>
      <c r="DB419" s="78"/>
      <c r="DC419" s="78"/>
      <c r="DD419" s="78"/>
      <c r="DE419" s="78"/>
      <c r="DF419" s="78"/>
      <c r="DG419" s="78"/>
      <c r="DH419" s="78"/>
      <c r="DI419" s="78"/>
      <c r="DJ419" s="78"/>
      <c r="DK419" s="78"/>
      <c r="DL419" s="78"/>
      <c r="DM419" s="78"/>
      <c r="DN419" s="78"/>
      <c r="DO419" s="78"/>
      <c r="DP419" s="78"/>
      <c r="DQ419" s="78"/>
      <c r="DR419" s="78"/>
      <c r="DS419" s="78"/>
      <c r="DT419" s="78"/>
      <c r="DU419" s="78"/>
      <c r="DV419" s="78"/>
      <c r="DW419" s="78"/>
      <c r="DX419" s="78"/>
      <c r="DY419" s="78"/>
      <c r="DZ419" s="78"/>
      <c r="EA419" s="78"/>
      <c r="EB419" s="78"/>
      <c r="EC419" s="78"/>
      <c r="ED419" s="78"/>
      <c r="EE419" s="78"/>
      <c r="EF419" s="78"/>
      <c r="EG419" s="78"/>
      <c r="EH419" s="78"/>
      <c r="EI419" s="91"/>
      <c r="EJ419" s="91"/>
      <c r="EK419" s="91"/>
      <c r="EL419" s="91"/>
      <c r="EM419" s="91"/>
      <c r="EN419" s="91"/>
      <c r="EO419" s="91"/>
      <c r="EP419" s="78"/>
      <c r="EQ419" s="78"/>
      <c r="ER419" s="78"/>
      <c r="ES419" s="78"/>
      <c r="ET419" s="78"/>
      <c r="EU419" s="78"/>
      <c r="EV419" s="78"/>
      <c r="EW419" s="78"/>
      <c r="EX419" s="78"/>
      <c r="EY419" s="78"/>
      <c r="EZ419" s="78"/>
      <c r="FA419" s="78"/>
      <c r="FB419" s="78"/>
      <c r="FC419" s="78"/>
      <c r="FD419" s="78"/>
      <c r="FE419" s="78"/>
      <c r="FF419" s="78"/>
      <c r="FG419" s="78"/>
      <c r="FH419" s="78"/>
      <c r="FI419" s="78"/>
      <c r="FJ419" s="78"/>
      <c r="FK419" s="78"/>
    </row>
    <row r="420" spans="1:167" hidden="1" outlineLevel="1">
      <c r="A420" s="29" t="str">
        <f t="shared" si="35"/>
        <v>modesg_out_emss_vclscnsm_co2</v>
      </c>
      <c r="B420" s="67" t="s">
        <v>26</v>
      </c>
      <c r="C420" s="68" t="s">
        <v>310</v>
      </c>
      <c r="D420" s="64" t="s">
        <v>40</v>
      </c>
      <c r="E420" s="66" t="s">
        <v>331</v>
      </c>
      <c r="F420" s="64" t="s">
        <v>188</v>
      </c>
      <c r="G420" s="64" t="str">
        <f>INDEX(Auxiliar!$B$16:$B$24,MATCH(Plano_V1!H420,Auxiliar!$C$16:$C$24,0),1)</f>
        <v>1. Concluído</v>
      </c>
      <c r="H420" s="64">
        <f>VLOOKUP(A420,'Aux - pivots1'!$A:$B,2,0)</f>
        <v>1</v>
      </c>
      <c r="I420" s="84">
        <f>SUMIFS(Table1[Estimação (horas)],Table1[Tabela],Plano_V1!E420,Table1[Campo],Plano_V1!F420)</f>
        <v>8.1</v>
      </c>
      <c r="J420" s="84">
        <f t="shared" si="33"/>
        <v>1.0125</v>
      </c>
      <c r="K420" s="87" t="s">
        <v>332</v>
      </c>
      <c r="L420" s="90">
        <f t="shared" si="34"/>
        <v>1.0125</v>
      </c>
      <c r="M420" s="78"/>
      <c r="N420" s="78"/>
      <c r="O420" s="78"/>
      <c r="P420" s="78"/>
      <c r="Q420" s="78"/>
      <c r="R420" s="78"/>
      <c r="S420" s="78"/>
      <c r="T420" s="78"/>
      <c r="U420" s="78"/>
      <c r="V420" s="78"/>
      <c r="W420" s="78"/>
      <c r="X420" s="78"/>
      <c r="Y420" s="78"/>
      <c r="Z420" s="78"/>
      <c r="AA420" s="78"/>
      <c r="AB420" s="78"/>
      <c r="AC420" s="78"/>
      <c r="AD420" s="78"/>
      <c r="AE420" s="78"/>
      <c r="AF420" s="78"/>
      <c r="AG420" s="78"/>
      <c r="AH420" s="78"/>
      <c r="AI420" s="78"/>
      <c r="AJ420" s="78"/>
      <c r="AK420" s="78"/>
      <c r="AL420" s="78"/>
      <c r="AM420" s="78"/>
      <c r="AN420" s="78"/>
      <c r="AO420" s="78"/>
      <c r="AP420" s="78"/>
      <c r="AQ420" s="78"/>
      <c r="AR420" s="78"/>
      <c r="AS420" s="78"/>
      <c r="AT420" s="91"/>
      <c r="AU420" s="78"/>
      <c r="AV420" s="78"/>
      <c r="AW420" s="78"/>
      <c r="AX420" s="78"/>
      <c r="AY420" s="78"/>
      <c r="AZ420" s="78"/>
      <c r="BA420" s="78"/>
      <c r="BB420" s="78"/>
      <c r="BC420" s="78"/>
      <c r="BD420" s="78"/>
      <c r="BE420" s="78"/>
      <c r="BF420" s="78"/>
      <c r="BG420" s="78"/>
      <c r="BH420" s="78"/>
      <c r="BI420" s="78"/>
      <c r="BJ420" s="78"/>
      <c r="BK420" s="78"/>
      <c r="BL420" s="78"/>
      <c r="BM420" s="78"/>
      <c r="BN420" s="78"/>
      <c r="BO420" s="78"/>
      <c r="BP420" s="78"/>
      <c r="BQ420" s="78"/>
      <c r="BR420" s="78"/>
      <c r="BS420" s="78"/>
      <c r="BT420" s="78"/>
      <c r="BU420" s="78"/>
      <c r="BV420" s="78"/>
      <c r="BW420" s="78"/>
      <c r="BX420" s="78"/>
      <c r="BY420" s="78"/>
      <c r="BZ420" s="78"/>
      <c r="CA420" s="78"/>
      <c r="CB420" s="78"/>
      <c r="CC420" s="78"/>
      <c r="CD420" s="78"/>
      <c r="CE420" s="78"/>
      <c r="CF420" s="78"/>
      <c r="CG420" s="78"/>
      <c r="CH420" s="78"/>
      <c r="CI420" s="78"/>
      <c r="CJ420" s="78"/>
      <c r="CK420" s="78"/>
      <c r="CL420" s="78"/>
      <c r="CM420" s="78"/>
      <c r="CN420" s="78"/>
      <c r="CO420" s="78"/>
      <c r="CP420" s="78"/>
      <c r="CQ420" s="78"/>
      <c r="CR420" s="78"/>
      <c r="CS420" s="78"/>
      <c r="CT420" s="78"/>
      <c r="CU420" s="78"/>
      <c r="CV420" s="78"/>
      <c r="CW420" s="78"/>
      <c r="CX420" s="78"/>
      <c r="CY420" s="78"/>
      <c r="CZ420" s="78"/>
      <c r="DA420" s="78"/>
      <c r="DB420" s="78"/>
      <c r="DC420" s="78"/>
      <c r="DD420" s="78"/>
      <c r="DE420" s="78"/>
      <c r="DF420" s="78"/>
      <c r="DG420" s="78"/>
      <c r="DH420" s="78"/>
      <c r="DI420" s="78"/>
      <c r="DJ420" s="78"/>
      <c r="DK420" s="78"/>
      <c r="DL420" s="78"/>
      <c r="DM420" s="78"/>
      <c r="DN420" s="78"/>
      <c r="DO420" s="78"/>
      <c r="DP420" s="78"/>
      <c r="DQ420" s="78"/>
      <c r="DR420" s="78"/>
      <c r="DS420" s="78"/>
      <c r="DT420" s="78"/>
      <c r="DU420" s="78"/>
      <c r="DV420" s="78"/>
      <c r="DW420" s="78"/>
      <c r="DX420" s="78"/>
      <c r="DY420" s="78"/>
      <c r="DZ420" s="78"/>
      <c r="EA420" s="78"/>
      <c r="EB420" s="78"/>
      <c r="EC420" s="78"/>
      <c r="ED420" s="78"/>
      <c r="EE420" s="78"/>
      <c r="EF420" s="78"/>
      <c r="EG420" s="78"/>
      <c r="EH420" s="78"/>
      <c r="EI420" s="91"/>
      <c r="EJ420" s="91"/>
      <c r="EK420" s="91"/>
      <c r="EL420" s="91"/>
      <c r="EM420" s="91"/>
      <c r="EN420" s="91"/>
      <c r="EO420" s="91"/>
      <c r="EP420" s="78"/>
      <c r="EQ420" s="78"/>
      <c r="ER420" s="78"/>
      <c r="ES420" s="78"/>
      <c r="ET420" s="78"/>
      <c r="EU420" s="78"/>
      <c r="EV420" s="78"/>
      <c r="EW420" s="78"/>
      <c r="EX420" s="78"/>
      <c r="EY420" s="78"/>
      <c r="EZ420" s="78"/>
      <c r="FA420" s="78"/>
      <c r="FB420" s="78"/>
      <c r="FC420" s="78"/>
      <c r="FD420" s="78"/>
      <c r="FE420" s="78"/>
      <c r="FF420" s="78"/>
      <c r="FG420" s="78"/>
      <c r="FH420" s="78"/>
      <c r="FI420" s="78"/>
      <c r="FJ420" s="78"/>
      <c r="FK420" s="78"/>
    </row>
    <row r="421" spans="1:167" hidden="1" outlineLevel="1">
      <c r="A421" s="29" t="str">
        <f t="shared" si="35"/>
        <v>modesg_out_emss_vclsorigem_scp1_emss</v>
      </c>
      <c r="B421" s="67" t="s">
        <v>26</v>
      </c>
      <c r="C421" s="68" t="s">
        <v>310</v>
      </c>
      <c r="D421" s="64" t="s">
        <v>40</v>
      </c>
      <c r="E421" s="66" t="s">
        <v>331</v>
      </c>
      <c r="F421" s="64" t="s">
        <v>319</v>
      </c>
      <c r="G421" s="64" t="str">
        <f>INDEX(Auxiliar!$B$16:$B$24,MATCH(Plano_V1!H421,Auxiliar!$C$16:$C$24,0),1)</f>
        <v>1. Concluído</v>
      </c>
      <c r="H421" s="64">
        <f>VLOOKUP(A421,'Aux - pivots1'!$A:$B,2,0)</f>
        <v>1</v>
      </c>
      <c r="I421" s="84">
        <f>SUMIFS(Table1[Estimação (horas)],Table1[Tabela],Plano_V1!E421,Table1[Campo],Plano_V1!F421)</f>
        <v>8.1</v>
      </c>
      <c r="J421" s="84">
        <f t="shared" si="33"/>
        <v>1.0125</v>
      </c>
      <c r="K421" s="87" t="s">
        <v>332</v>
      </c>
      <c r="L421" s="90">
        <f t="shared" si="34"/>
        <v>1.0125</v>
      </c>
      <c r="M421" s="78"/>
      <c r="N421" s="78"/>
      <c r="O421" s="78"/>
      <c r="P421" s="78"/>
      <c r="Q421" s="78"/>
      <c r="R421" s="78"/>
      <c r="S421" s="78"/>
      <c r="T421" s="78"/>
      <c r="U421" s="78"/>
      <c r="V421" s="78"/>
      <c r="W421" s="78"/>
      <c r="X421" s="78"/>
      <c r="Y421" s="78"/>
      <c r="Z421" s="78"/>
      <c r="AA421" s="78"/>
      <c r="AB421" s="78"/>
      <c r="AC421" s="78"/>
      <c r="AD421" s="78"/>
      <c r="AE421" s="78"/>
      <c r="AF421" s="78"/>
      <c r="AG421" s="78"/>
      <c r="AH421" s="78"/>
      <c r="AI421" s="78"/>
      <c r="AJ421" s="78"/>
      <c r="AK421" s="78"/>
      <c r="AL421" s="78"/>
      <c r="AM421" s="78"/>
      <c r="AN421" s="78"/>
      <c r="AO421" s="78"/>
      <c r="AP421" s="78"/>
      <c r="AQ421" s="78"/>
      <c r="AR421" s="78"/>
      <c r="AS421" s="78"/>
      <c r="AT421" s="91"/>
      <c r="AU421" s="78"/>
      <c r="AV421" s="78"/>
      <c r="AW421" s="78"/>
      <c r="AX421" s="78"/>
      <c r="AY421" s="78"/>
      <c r="AZ421" s="78"/>
      <c r="BA421" s="78"/>
      <c r="BB421" s="78"/>
      <c r="BC421" s="78"/>
      <c r="BD421" s="78"/>
      <c r="BE421" s="78"/>
      <c r="BF421" s="78"/>
      <c r="BG421" s="78"/>
      <c r="BH421" s="78"/>
      <c r="BI421" s="78"/>
      <c r="BJ421" s="78"/>
      <c r="BK421" s="78"/>
      <c r="BL421" s="78"/>
      <c r="BM421" s="78"/>
      <c r="BN421" s="78"/>
      <c r="BO421" s="78"/>
      <c r="BP421" s="78"/>
      <c r="BQ421" s="78"/>
      <c r="BR421" s="78"/>
      <c r="BS421" s="78"/>
      <c r="BT421" s="78"/>
      <c r="BU421" s="78"/>
      <c r="BV421" s="78"/>
      <c r="BW421" s="78"/>
      <c r="BX421" s="78"/>
      <c r="BY421" s="78"/>
      <c r="BZ421" s="78"/>
      <c r="CA421" s="78"/>
      <c r="CB421" s="78"/>
      <c r="CC421" s="78"/>
      <c r="CD421" s="78"/>
      <c r="CE421" s="78"/>
      <c r="CF421" s="78"/>
      <c r="CG421" s="78"/>
      <c r="CH421" s="78"/>
      <c r="CI421" s="78"/>
      <c r="CJ421" s="78"/>
      <c r="CK421" s="78"/>
      <c r="CL421" s="78"/>
      <c r="CM421" s="78"/>
      <c r="CN421" s="78"/>
      <c r="CO421" s="78"/>
      <c r="CP421" s="78"/>
      <c r="CQ421" s="78"/>
      <c r="CR421" s="78"/>
      <c r="CS421" s="78"/>
      <c r="CT421" s="78"/>
      <c r="CU421" s="78"/>
      <c r="CV421" s="78"/>
      <c r="CW421" s="78"/>
      <c r="CX421" s="78"/>
      <c r="CY421" s="78"/>
      <c r="CZ421" s="78"/>
      <c r="DA421" s="78"/>
      <c r="DB421" s="78"/>
      <c r="DC421" s="78"/>
      <c r="DD421" s="78"/>
      <c r="DE421" s="78"/>
      <c r="DF421" s="78"/>
      <c r="DG421" s="78"/>
      <c r="DH421" s="78"/>
      <c r="DI421" s="78"/>
      <c r="DJ421" s="78"/>
      <c r="DK421" s="78"/>
      <c r="DL421" s="78"/>
      <c r="DM421" s="78"/>
      <c r="DN421" s="78"/>
      <c r="DO421" s="78"/>
      <c r="DP421" s="78"/>
      <c r="DQ421" s="78"/>
      <c r="DR421" s="78"/>
      <c r="DS421" s="78"/>
      <c r="DT421" s="78"/>
      <c r="DU421" s="78"/>
      <c r="DV421" s="78"/>
      <c r="DW421" s="78"/>
      <c r="DX421" s="78"/>
      <c r="DY421" s="78"/>
      <c r="DZ421" s="78"/>
      <c r="EA421" s="78"/>
      <c r="EB421" s="78"/>
      <c r="EC421" s="78"/>
      <c r="ED421" s="78"/>
      <c r="EE421" s="78"/>
      <c r="EF421" s="78"/>
      <c r="EG421" s="78"/>
      <c r="EH421" s="78"/>
      <c r="EI421" s="91"/>
      <c r="EJ421" s="91"/>
      <c r="EK421" s="91"/>
      <c r="EL421" s="91"/>
      <c r="EM421" s="91"/>
      <c r="EN421" s="91"/>
      <c r="EO421" s="91"/>
      <c r="EP421" s="78"/>
      <c r="EQ421" s="78"/>
      <c r="ER421" s="78"/>
      <c r="ES421" s="78"/>
      <c r="ET421" s="78"/>
      <c r="EU421" s="78"/>
      <c r="EV421" s="78"/>
      <c r="EW421" s="78"/>
      <c r="EX421" s="78"/>
      <c r="EY421" s="78"/>
      <c r="EZ421" s="78"/>
      <c r="FA421" s="78"/>
      <c r="FB421" s="78"/>
      <c r="FC421" s="78"/>
      <c r="FD421" s="78"/>
      <c r="FE421" s="78"/>
      <c r="FF421" s="78"/>
      <c r="FG421" s="78"/>
      <c r="FH421" s="78"/>
      <c r="FI421" s="78"/>
      <c r="FJ421" s="78"/>
      <c r="FK421" s="78"/>
    </row>
    <row r="422" spans="1:167" hidden="1" outlineLevel="1">
      <c r="A422" s="29" t="str">
        <f t="shared" si="35"/>
        <v>modesg_out_emss_vclsorigem_scp2_emss</v>
      </c>
      <c r="B422" s="67" t="s">
        <v>26</v>
      </c>
      <c r="C422" s="68" t="s">
        <v>310</v>
      </c>
      <c r="D422" s="64" t="s">
        <v>40</v>
      </c>
      <c r="E422" s="66" t="s">
        <v>331</v>
      </c>
      <c r="F422" s="64" t="s">
        <v>320</v>
      </c>
      <c r="G422" s="64" t="str">
        <f>INDEX(Auxiliar!$B$16:$B$24,MATCH(Plano_V1!H422,Auxiliar!$C$16:$C$24,0),1)</f>
        <v>1. Concluído</v>
      </c>
      <c r="H422" s="64">
        <f>VLOOKUP(A422,'Aux - pivots1'!$A:$B,2,0)</f>
        <v>1</v>
      </c>
      <c r="I422" s="84">
        <f>SUMIFS(Table1[Estimação (horas)],Table1[Tabela],Plano_V1!E422,Table1[Campo],Plano_V1!F422)</f>
        <v>8.1</v>
      </c>
      <c r="J422" s="84">
        <f t="shared" si="33"/>
        <v>1.0125</v>
      </c>
      <c r="K422" s="87" t="s">
        <v>332</v>
      </c>
      <c r="L422" s="90">
        <f t="shared" si="34"/>
        <v>1.0125</v>
      </c>
      <c r="M422" s="78"/>
      <c r="N422" s="78"/>
      <c r="O422" s="78"/>
      <c r="P422" s="78"/>
      <c r="Q422" s="78"/>
      <c r="R422" s="78"/>
      <c r="S422" s="78"/>
      <c r="T422" s="78"/>
      <c r="U422" s="78"/>
      <c r="V422" s="78"/>
      <c r="W422" s="78"/>
      <c r="X422" s="78"/>
      <c r="Y422" s="78"/>
      <c r="Z422" s="78"/>
      <c r="AA422" s="78"/>
      <c r="AB422" s="78"/>
      <c r="AC422" s="78"/>
      <c r="AD422" s="78"/>
      <c r="AE422" s="78"/>
      <c r="AF422" s="78"/>
      <c r="AG422" s="78"/>
      <c r="AH422" s="78"/>
      <c r="AI422" s="78"/>
      <c r="AJ422" s="78"/>
      <c r="AK422" s="78"/>
      <c r="AL422" s="78"/>
      <c r="AM422" s="78"/>
      <c r="AN422" s="78"/>
      <c r="AO422" s="78"/>
      <c r="AP422" s="78"/>
      <c r="AQ422" s="78"/>
      <c r="AR422" s="78"/>
      <c r="AS422" s="78"/>
      <c r="AT422" s="91"/>
      <c r="AU422" s="78"/>
      <c r="AV422" s="78"/>
      <c r="AW422" s="78"/>
      <c r="AX422" s="78"/>
      <c r="AY422" s="78"/>
      <c r="AZ422" s="78"/>
      <c r="BA422" s="78"/>
      <c r="BB422" s="78"/>
      <c r="BC422" s="78"/>
      <c r="BD422" s="78"/>
      <c r="BE422" s="78"/>
      <c r="BF422" s="78"/>
      <c r="BG422" s="78"/>
      <c r="BH422" s="78"/>
      <c r="BI422" s="78"/>
      <c r="BJ422" s="78"/>
      <c r="BK422" s="78"/>
      <c r="BL422" s="78"/>
      <c r="BM422" s="78"/>
      <c r="BN422" s="78"/>
      <c r="BO422" s="78"/>
      <c r="BP422" s="78"/>
      <c r="BQ422" s="78"/>
      <c r="BR422" s="78"/>
      <c r="BS422" s="78"/>
      <c r="BT422" s="78"/>
      <c r="BU422" s="78"/>
      <c r="BV422" s="78"/>
      <c r="BW422" s="78"/>
      <c r="BX422" s="78"/>
      <c r="BY422" s="78"/>
      <c r="BZ422" s="78"/>
      <c r="CA422" s="78"/>
      <c r="CB422" s="78"/>
      <c r="CC422" s="78"/>
      <c r="CD422" s="78"/>
      <c r="CE422" s="78"/>
      <c r="CF422" s="78"/>
      <c r="CG422" s="78"/>
      <c r="CH422" s="78"/>
      <c r="CI422" s="78"/>
      <c r="CJ422" s="78"/>
      <c r="CK422" s="78"/>
      <c r="CL422" s="78"/>
      <c r="CM422" s="78"/>
      <c r="CN422" s="78"/>
      <c r="CO422" s="78"/>
      <c r="CP422" s="78"/>
      <c r="CQ422" s="78"/>
      <c r="CR422" s="78"/>
      <c r="CS422" s="78"/>
      <c r="CT422" s="78"/>
      <c r="CU422" s="78"/>
      <c r="CV422" s="78"/>
      <c r="CW422" s="78"/>
      <c r="CX422" s="78"/>
      <c r="CY422" s="78"/>
      <c r="CZ422" s="78"/>
      <c r="DA422" s="78"/>
      <c r="DB422" s="78"/>
      <c r="DC422" s="78"/>
      <c r="DD422" s="78"/>
      <c r="DE422" s="78"/>
      <c r="DF422" s="78"/>
      <c r="DG422" s="78"/>
      <c r="DH422" s="78"/>
      <c r="DI422" s="78"/>
      <c r="DJ422" s="78"/>
      <c r="DK422" s="78"/>
      <c r="DL422" s="78"/>
      <c r="DM422" s="78"/>
      <c r="DN422" s="78"/>
      <c r="DO422" s="78"/>
      <c r="DP422" s="78"/>
      <c r="DQ422" s="78"/>
      <c r="DR422" s="78"/>
      <c r="DS422" s="78"/>
      <c r="DT422" s="78"/>
      <c r="DU422" s="78"/>
      <c r="DV422" s="78"/>
      <c r="DW422" s="78"/>
      <c r="DX422" s="78"/>
      <c r="DY422" s="78"/>
      <c r="DZ422" s="78"/>
      <c r="EA422" s="78"/>
      <c r="EB422" s="78"/>
      <c r="EC422" s="78"/>
      <c r="ED422" s="78"/>
      <c r="EE422" s="78"/>
      <c r="EF422" s="78"/>
      <c r="EG422" s="78"/>
      <c r="EH422" s="78"/>
      <c r="EI422" s="91"/>
      <c r="EJ422" s="91"/>
      <c r="EK422" s="91"/>
      <c r="EL422" s="91"/>
      <c r="EM422" s="91"/>
      <c r="EN422" s="91"/>
      <c r="EO422" s="91"/>
      <c r="EP422" s="78"/>
      <c r="EQ422" s="78"/>
      <c r="ER422" s="78"/>
      <c r="ES422" s="78"/>
      <c r="ET422" s="78"/>
      <c r="EU422" s="78"/>
      <c r="EV422" s="78"/>
      <c r="EW422" s="78"/>
      <c r="EX422" s="78"/>
      <c r="EY422" s="78"/>
      <c r="EZ422" s="78"/>
      <c r="FA422" s="78"/>
      <c r="FB422" s="78"/>
      <c r="FC422" s="78"/>
      <c r="FD422" s="78"/>
      <c r="FE422" s="78"/>
      <c r="FF422" s="78"/>
      <c r="FG422" s="78"/>
      <c r="FH422" s="78"/>
      <c r="FI422" s="78"/>
      <c r="FJ422" s="78"/>
      <c r="FK422" s="78"/>
    </row>
    <row r="423" spans="1:167" hidden="1" outlineLevel="1">
      <c r="A423" s="29" t="str">
        <f t="shared" si="35"/>
        <v>modesg_out_emss_vclsorigem_scp3_emss</v>
      </c>
      <c r="B423" s="67" t="s">
        <v>26</v>
      </c>
      <c r="C423" s="68" t="s">
        <v>310</v>
      </c>
      <c r="D423" s="64" t="s">
        <v>40</v>
      </c>
      <c r="E423" s="66" t="s">
        <v>331</v>
      </c>
      <c r="F423" s="64" t="s">
        <v>321</v>
      </c>
      <c r="G423" s="64" t="str">
        <f>INDEX(Auxiliar!$B$16:$B$24,MATCH(Plano_V1!H423,Auxiliar!$C$16:$C$24,0),1)</f>
        <v>1. Concluído</v>
      </c>
      <c r="H423" s="64">
        <f>VLOOKUP(A423,'Aux - pivots1'!$A:$B,2,0)</f>
        <v>1</v>
      </c>
      <c r="I423" s="84">
        <f>SUMIFS(Table1[Estimação (horas)],Table1[Tabela],Plano_V1!E423,Table1[Campo],Plano_V1!F423)</f>
        <v>8.1</v>
      </c>
      <c r="J423" s="84">
        <f t="shared" si="33"/>
        <v>1.0125</v>
      </c>
      <c r="K423" s="87" t="s">
        <v>332</v>
      </c>
      <c r="L423" s="90">
        <f t="shared" si="34"/>
        <v>1.0125</v>
      </c>
      <c r="M423" s="78"/>
      <c r="N423" s="78"/>
      <c r="O423" s="78"/>
      <c r="P423" s="78"/>
      <c r="Q423" s="78"/>
      <c r="R423" s="78"/>
      <c r="S423" s="78"/>
      <c r="T423" s="78"/>
      <c r="U423" s="78"/>
      <c r="V423" s="78"/>
      <c r="W423" s="78"/>
      <c r="X423" s="78"/>
      <c r="Y423" s="78"/>
      <c r="Z423" s="78"/>
      <c r="AA423" s="78"/>
      <c r="AB423" s="78"/>
      <c r="AC423" s="78"/>
      <c r="AD423" s="78"/>
      <c r="AE423" s="78"/>
      <c r="AF423" s="78"/>
      <c r="AG423" s="78"/>
      <c r="AH423" s="78"/>
      <c r="AI423" s="78"/>
      <c r="AJ423" s="78"/>
      <c r="AK423" s="78"/>
      <c r="AL423" s="78"/>
      <c r="AM423" s="78"/>
      <c r="AN423" s="78"/>
      <c r="AO423" s="78"/>
      <c r="AP423" s="78"/>
      <c r="AQ423" s="78"/>
      <c r="AR423" s="78"/>
      <c r="AS423" s="78"/>
      <c r="AT423" s="91"/>
      <c r="AU423" s="78"/>
      <c r="AV423" s="78"/>
      <c r="AW423" s="78"/>
      <c r="AX423" s="78"/>
      <c r="AY423" s="78"/>
      <c r="AZ423" s="78"/>
      <c r="BA423" s="78"/>
      <c r="BB423" s="78"/>
      <c r="BC423" s="78"/>
      <c r="BD423" s="78"/>
      <c r="BE423" s="78"/>
      <c r="BF423" s="78"/>
      <c r="BG423" s="78"/>
      <c r="BH423" s="78"/>
      <c r="BI423" s="78"/>
      <c r="BJ423" s="78"/>
      <c r="BK423" s="78"/>
      <c r="BL423" s="78"/>
      <c r="BM423" s="78"/>
      <c r="BN423" s="78"/>
      <c r="BO423" s="78"/>
      <c r="BP423" s="78"/>
      <c r="BQ423" s="78"/>
      <c r="BR423" s="78"/>
      <c r="BS423" s="78"/>
      <c r="BT423" s="78"/>
      <c r="BU423" s="78"/>
      <c r="BV423" s="78"/>
      <c r="BW423" s="78"/>
      <c r="BX423" s="78"/>
      <c r="BY423" s="78"/>
      <c r="BZ423" s="78"/>
      <c r="CA423" s="78"/>
      <c r="CB423" s="78"/>
      <c r="CC423" s="78"/>
      <c r="CD423" s="78"/>
      <c r="CE423" s="78"/>
      <c r="CF423" s="78"/>
      <c r="CG423" s="78"/>
      <c r="CH423" s="78"/>
      <c r="CI423" s="78"/>
      <c r="CJ423" s="78"/>
      <c r="CK423" s="78"/>
      <c r="CL423" s="78"/>
      <c r="CM423" s="78"/>
      <c r="CN423" s="78"/>
      <c r="CO423" s="78"/>
      <c r="CP423" s="78"/>
      <c r="CQ423" s="78"/>
      <c r="CR423" s="78"/>
      <c r="CS423" s="78"/>
      <c r="CT423" s="78"/>
      <c r="CU423" s="78"/>
      <c r="CV423" s="78"/>
      <c r="CW423" s="78"/>
      <c r="CX423" s="78"/>
      <c r="CY423" s="78"/>
      <c r="CZ423" s="78"/>
      <c r="DA423" s="78"/>
      <c r="DB423" s="78"/>
      <c r="DC423" s="78"/>
      <c r="DD423" s="78"/>
      <c r="DE423" s="78"/>
      <c r="DF423" s="78"/>
      <c r="DG423" s="78"/>
      <c r="DH423" s="78"/>
      <c r="DI423" s="78"/>
      <c r="DJ423" s="78"/>
      <c r="DK423" s="78"/>
      <c r="DL423" s="78"/>
      <c r="DM423" s="78"/>
      <c r="DN423" s="78"/>
      <c r="DO423" s="78"/>
      <c r="DP423" s="78"/>
      <c r="DQ423" s="78"/>
      <c r="DR423" s="78"/>
      <c r="DS423" s="78"/>
      <c r="DT423" s="78"/>
      <c r="DU423" s="78"/>
      <c r="DV423" s="78"/>
      <c r="DW423" s="78"/>
      <c r="DX423" s="78"/>
      <c r="DY423" s="78"/>
      <c r="DZ423" s="78"/>
      <c r="EA423" s="78"/>
      <c r="EB423" s="78"/>
      <c r="EC423" s="78"/>
      <c r="ED423" s="78"/>
      <c r="EE423" s="78"/>
      <c r="EF423" s="78"/>
      <c r="EG423" s="78"/>
      <c r="EH423" s="78"/>
      <c r="EI423" s="91"/>
      <c r="EJ423" s="91"/>
      <c r="EK423" s="91"/>
      <c r="EL423" s="91"/>
      <c r="EM423" s="91"/>
      <c r="EN423" s="91"/>
      <c r="EO423" s="91"/>
      <c r="EP423" s="78"/>
      <c r="EQ423" s="78"/>
      <c r="ER423" s="78"/>
      <c r="ES423" s="78"/>
      <c r="ET423" s="78"/>
      <c r="EU423" s="78"/>
      <c r="EV423" s="78"/>
      <c r="EW423" s="78"/>
      <c r="EX423" s="78"/>
      <c r="EY423" s="78"/>
      <c r="EZ423" s="78"/>
      <c r="FA423" s="78"/>
      <c r="FB423" s="78"/>
      <c r="FC423" s="78"/>
      <c r="FD423" s="78"/>
      <c r="FE423" s="78"/>
      <c r="FF423" s="78"/>
      <c r="FG423" s="78"/>
      <c r="FH423" s="78"/>
      <c r="FI423" s="78"/>
      <c r="FJ423" s="78"/>
      <c r="FK423" s="78"/>
    </row>
    <row r="424" spans="1:167" hidden="1" outlineLevel="1">
      <c r="A424" s="29" t="str">
        <f t="shared" si="35"/>
        <v>modesg_out_emss_vclsref_date</v>
      </c>
      <c r="B424" s="67" t="s">
        <v>26</v>
      </c>
      <c r="C424" s="68" t="s">
        <v>310</v>
      </c>
      <c r="D424" s="64" t="s">
        <v>40</v>
      </c>
      <c r="E424" s="66" t="s">
        <v>331</v>
      </c>
      <c r="F424" s="64" t="s">
        <v>208</v>
      </c>
      <c r="G424" s="64" t="str">
        <f>INDEX(Auxiliar!$B$16:$B$24,MATCH(Plano_V1!H424,Auxiliar!$C$16:$C$24,0),1)</f>
        <v>1. Concluído</v>
      </c>
      <c r="H424" s="64">
        <f>VLOOKUP(A424,'Aux - pivots1'!$A:$B,2,0)</f>
        <v>1</v>
      </c>
      <c r="I424" s="84">
        <f>SUMIFS(Table1[Estimação (horas)],Table1[Tabela],Plano_V1!E424,Table1[Campo],Plano_V1!F424)</f>
        <v>4.0999999999999996</v>
      </c>
      <c r="J424" s="84">
        <f t="shared" si="33"/>
        <v>0.51249999999999996</v>
      </c>
      <c r="K424" s="87" t="s">
        <v>332</v>
      </c>
      <c r="L424" s="90">
        <f t="shared" si="34"/>
        <v>0.51249999999999996</v>
      </c>
      <c r="M424" s="78"/>
      <c r="N424" s="78"/>
      <c r="O424" s="78"/>
      <c r="P424" s="78"/>
      <c r="Q424" s="78"/>
      <c r="R424" s="78"/>
      <c r="S424" s="78"/>
      <c r="T424" s="78"/>
      <c r="U424" s="78"/>
      <c r="V424" s="78"/>
      <c r="W424" s="78"/>
      <c r="X424" s="78"/>
      <c r="Y424" s="78"/>
      <c r="Z424" s="78"/>
      <c r="AA424" s="78"/>
      <c r="AB424" s="78"/>
      <c r="AC424" s="78"/>
      <c r="AD424" s="78"/>
      <c r="AE424" s="78"/>
      <c r="AF424" s="78"/>
      <c r="AG424" s="78"/>
      <c r="AH424" s="78"/>
      <c r="AI424" s="78"/>
      <c r="AJ424" s="78"/>
      <c r="AK424" s="78"/>
      <c r="AL424" s="78"/>
      <c r="AM424" s="78"/>
      <c r="AN424" s="78"/>
      <c r="AO424" s="78"/>
      <c r="AP424" s="78"/>
      <c r="AQ424" s="78"/>
      <c r="AR424" s="78"/>
      <c r="AS424" s="78"/>
      <c r="AT424" s="91"/>
      <c r="AU424" s="78"/>
      <c r="AV424" s="78"/>
      <c r="AW424" s="78"/>
      <c r="AX424" s="78"/>
      <c r="AY424" s="78"/>
      <c r="AZ424" s="78"/>
      <c r="BA424" s="78"/>
      <c r="BB424" s="78"/>
      <c r="BC424" s="78"/>
      <c r="BD424" s="78"/>
      <c r="BE424" s="78"/>
      <c r="BF424" s="78"/>
      <c r="BG424" s="78"/>
      <c r="BH424" s="78"/>
      <c r="BI424" s="78"/>
      <c r="BJ424" s="78"/>
      <c r="BK424" s="78"/>
      <c r="BL424" s="78"/>
      <c r="BM424" s="78"/>
      <c r="BN424" s="78"/>
      <c r="BO424" s="78"/>
      <c r="BP424" s="78"/>
      <c r="BQ424" s="78"/>
      <c r="BR424" s="78"/>
      <c r="BS424" s="78"/>
      <c r="BT424" s="78"/>
      <c r="BU424" s="78"/>
      <c r="BV424" s="78"/>
      <c r="BW424" s="78"/>
      <c r="BX424" s="78"/>
      <c r="BY424" s="78"/>
      <c r="BZ424" s="78"/>
      <c r="CA424" s="78"/>
      <c r="CB424" s="78"/>
      <c r="CC424" s="78"/>
      <c r="CD424" s="78"/>
      <c r="CE424" s="78"/>
      <c r="CF424" s="78"/>
      <c r="CG424" s="78"/>
      <c r="CH424" s="78"/>
      <c r="CI424" s="78"/>
      <c r="CJ424" s="78"/>
      <c r="CK424" s="78"/>
      <c r="CL424" s="78"/>
      <c r="CM424" s="78"/>
      <c r="CN424" s="78"/>
      <c r="CO424" s="78"/>
      <c r="CP424" s="78"/>
      <c r="CQ424" s="78"/>
      <c r="CR424" s="78"/>
      <c r="CS424" s="78"/>
      <c r="CT424" s="78"/>
      <c r="CU424" s="78"/>
      <c r="CV424" s="78"/>
      <c r="CW424" s="78"/>
      <c r="CX424" s="78"/>
      <c r="CY424" s="78"/>
      <c r="CZ424" s="78"/>
      <c r="DA424" s="78"/>
      <c r="DB424" s="78"/>
      <c r="DC424" s="78"/>
      <c r="DD424" s="78"/>
      <c r="DE424" s="78"/>
      <c r="DF424" s="78"/>
      <c r="DG424" s="78"/>
      <c r="DH424" s="78"/>
      <c r="DI424" s="78"/>
      <c r="DJ424" s="78"/>
      <c r="DK424" s="78"/>
      <c r="DL424" s="78"/>
      <c r="DM424" s="78"/>
      <c r="DN424" s="78"/>
      <c r="DO424" s="78"/>
      <c r="DP424" s="78"/>
      <c r="DQ424" s="78"/>
      <c r="DR424" s="78"/>
      <c r="DS424" s="78"/>
      <c r="DT424" s="78"/>
      <c r="DU424" s="78"/>
      <c r="DV424" s="78"/>
      <c r="DW424" s="78"/>
      <c r="DX424" s="78"/>
      <c r="DY424" s="78"/>
      <c r="DZ424" s="78"/>
      <c r="EA424" s="78"/>
      <c r="EB424" s="78"/>
      <c r="EC424" s="78"/>
      <c r="ED424" s="78"/>
      <c r="EE424" s="78"/>
      <c r="EF424" s="78"/>
      <c r="EG424" s="78"/>
      <c r="EH424" s="78"/>
      <c r="EI424" s="91"/>
      <c r="EJ424" s="91"/>
      <c r="EK424" s="91"/>
      <c r="EL424" s="91"/>
      <c r="EM424" s="91"/>
      <c r="EN424" s="91"/>
      <c r="EO424" s="91"/>
      <c r="EP424" s="78"/>
      <c r="EQ424" s="78"/>
      <c r="ER424" s="78"/>
      <c r="ES424" s="78"/>
      <c r="ET424" s="78"/>
      <c r="EU424" s="78"/>
      <c r="EV424" s="78"/>
      <c r="EW424" s="78"/>
      <c r="EX424" s="78"/>
      <c r="EY424" s="78"/>
      <c r="EZ424" s="78"/>
      <c r="FA424" s="78"/>
      <c r="FB424" s="78"/>
      <c r="FC424" s="78"/>
      <c r="FD424" s="78"/>
      <c r="FE424" s="78"/>
      <c r="FF424" s="78"/>
      <c r="FG424" s="78"/>
      <c r="FH424" s="78"/>
      <c r="FI424" s="78"/>
      <c r="FJ424" s="78"/>
      <c r="FK424" s="78"/>
    </row>
    <row r="425" spans="1:167" hidden="1" outlineLevel="1">
      <c r="A425" s="29" t="str">
        <f t="shared" si="35"/>
        <v>modesg_out_emss_vclsscp1_emss</v>
      </c>
      <c r="B425" s="67" t="s">
        <v>26</v>
      </c>
      <c r="C425" s="68" t="s">
        <v>310</v>
      </c>
      <c r="D425" s="64" t="s">
        <v>40</v>
      </c>
      <c r="E425" s="66" t="s">
        <v>331</v>
      </c>
      <c r="F425" s="64" t="s">
        <v>285</v>
      </c>
      <c r="G425" s="64" t="str">
        <f>INDEX(Auxiliar!$B$16:$B$24,MATCH(Plano_V1!H425,Auxiliar!$C$16:$C$24,0),1)</f>
        <v>1. Concluído</v>
      </c>
      <c r="H425" s="64">
        <f>VLOOKUP(A425,'Aux - pivots1'!$A:$B,2,0)</f>
        <v>1</v>
      </c>
      <c r="I425" s="84">
        <f>SUMIFS(Table1[Estimação (horas)],Table1[Tabela],Plano_V1!E425,Table1[Campo],Plano_V1!F425)</f>
        <v>16.100000000000001</v>
      </c>
      <c r="J425" s="84">
        <f t="shared" si="33"/>
        <v>2.0125000000000002</v>
      </c>
      <c r="K425" s="87" t="s">
        <v>332</v>
      </c>
      <c r="L425" s="90">
        <f t="shared" si="34"/>
        <v>2.0125000000000002</v>
      </c>
      <c r="M425" s="78"/>
      <c r="N425" s="78"/>
      <c r="O425" s="78"/>
      <c r="P425" s="78"/>
      <c r="Q425" s="78"/>
      <c r="R425" s="78"/>
      <c r="S425" s="78"/>
      <c r="T425" s="78"/>
      <c r="U425" s="78"/>
      <c r="V425" s="78"/>
      <c r="W425" s="78"/>
      <c r="X425" s="78"/>
      <c r="Y425" s="78"/>
      <c r="Z425" s="78"/>
      <c r="AA425" s="78"/>
      <c r="AB425" s="78"/>
      <c r="AC425" s="78"/>
      <c r="AD425" s="78"/>
      <c r="AE425" s="78"/>
      <c r="AF425" s="78"/>
      <c r="AG425" s="78"/>
      <c r="AH425" s="78"/>
      <c r="AI425" s="78"/>
      <c r="AJ425" s="78"/>
      <c r="AK425" s="78"/>
      <c r="AL425" s="78"/>
      <c r="AM425" s="78"/>
      <c r="AN425" s="78"/>
      <c r="AO425" s="78"/>
      <c r="AP425" s="78"/>
      <c r="AQ425" s="78"/>
      <c r="AR425" s="78"/>
      <c r="AS425" s="78"/>
      <c r="AT425" s="91"/>
      <c r="AU425" s="78"/>
      <c r="AV425" s="78"/>
      <c r="AW425" s="78"/>
      <c r="AX425" s="78"/>
      <c r="AY425" s="78"/>
      <c r="AZ425" s="78"/>
      <c r="BA425" s="78"/>
      <c r="BB425" s="78"/>
      <c r="BC425" s="78"/>
      <c r="BD425" s="78"/>
      <c r="BE425" s="78"/>
      <c r="BF425" s="78"/>
      <c r="BG425" s="78"/>
      <c r="BH425" s="78"/>
      <c r="BI425" s="78"/>
      <c r="BJ425" s="78"/>
      <c r="BK425" s="78"/>
      <c r="BL425" s="78"/>
      <c r="BM425" s="78"/>
      <c r="BN425" s="78"/>
      <c r="BO425" s="78"/>
      <c r="BP425" s="78"/>
      <c r="BQ425" s="78"/>
      <c r="BR425" s="78"/>
      <c r="BS425" s="78"/>
      <c r="BT425" s="78"/>
      <c r="BU425" s="78"/>
      <c r="BV425" s="78"/>
      <c r="BW425" s="78"/>
      <c r="BX425" s="78"/>
      <c r="BY425" s="78"/>
      <c r="BZ425" s="78"/>
      <c r="CA425" s="78"/>
      <c r="CB425" s="78"/>
      <c r="CC425" s="78"/>
      <c r="CD425" s="78"/>
      <c r="CE425" s="78"/>
      <c r="CF425" s="78"/>
      <c r="CG425" s="78"/>
      <c r="CH425" s="78"/>
      <c r="CI425" s="78"/>
      <c r="CJ425" s="78"/>
      <c r="CK425" s="78"/>
      <c r="CL425" s="78"/>
      <c r="CM425" s="78"/>
      <c r="CN425" s="78"/>
      <c r="CO425" s="78"/>
      <c r="CP425" s="78"/>
      <c r="CQ425" s="78"/>
      <c r="CR425" s="78"/>
      <c r="CS425" s="78"/>
      <c r="CT425" s="78"/>
      <c r="CU425" s="78"/>
      <c r="CV425" s="78"/>
      <c r="CW425" s="78"/>
      <c r="CX425" s="78"/>
      <c r="CY425" s="78"/>
      <c r="CZ425" s="78"/>
      <c r="DA425" s="78"/>
      <c r="DB425" s="78"/>
      <c r="DC425" s="78"/>
      <c r="DD425" s="78"/>
      <c r="DE425" s="78"/>
      <c r="DF425" s="78"/>
      <c r="DG425" s="78"/>
      <c r="DH425" s="78"/>
      <c r="DI425" s="78"/>
      <c r="DJ425" s="78"/>
      <c r="DK425" s="78"/>
      <c r="DL425" s="78"/>
      <c r="DM425" s="78"/>
      <c r="DN425" s="78"/>
      <c r="DO425" s="78"/>
      <c r="DP425" s="78"/>
      <c r="DQ425" s="78"/>
      <c r="DR425" s="78"/>
      <c r="DS425" s="78"/>
      <c r="DT425" s="78"/>
      <c r="DU425" s="78"/>
      <c r="DV425" s="78"/>
      <c r="DW425" s="78"/>
      <c r="DX425" s="78"/>
      <c r="DY425" s="78"/>
      <c r="DZ425" s="78"/>
      <c r="EA425" s="78"/>
      <c r="EB425" s="78"/>
      <c r="EC425" s="78"/>
      <c r="ED425" s="78"/>
      <c r="EE425" s="78"/>
      <c r="EF425" s="78"/>
      <c r="EG425" s="78"/>
      <c r="EH425" s="78"/>
      <c r="EI425" s="91"/>
      <c r="EJ425" s="91"/>
      <c r="EK425" s="91"/>
      <c r="EL425" s="91"/>
      <c r="EM425" s="91"/>
      <c r="EN425" s="91"/>
      <c r="EO425" s="91"/>
      <c r="EP425" s="78"/>
      <c r="EQ425" s="78"/>
      <c r="ER425" s="78"/>
      <c r="ES425" s="78"/>
      <c r="ET425" s="78"/>
      <c r="EU425" s="78"/>
      <c r="EV425" s="78"/>
      <c r="EW425" s="78"/>
      <c r="EX425" s="78"/>
      <c r="EY425" s="78"/>
      <c r="EZ425" s="78"/>
      <c r="FA425" s="78"/>
      <c r="FB425" s="78"/>
      <c r="FC425" s="78"/>
      <c r="FD425" s="78"/>
      <c r="FE425" s="78"/>
      <c r="FF425" s="78"/>
      <c r="FG425" s="78"/>
      <c r="FH425" s="78"/>
      <c r="FI425" s="78"/>
      <c r="FJ425" s="78"/>
      <c r="FK425" s="78"/>
    </row>
    <row r="426" spans="1:167" hidden="1" outlineLevel="1">
      <c r="A426" s="29" t="str">
        <f t="shared" si="35"/>
        <v>modesg_out_emss_vclsscp2_emss</v>
      </c>
      <c r="B426" s="67" t="s">
        <v>26</v>
      </c>
      <c r="C426" s="68" t="s">
        <v>310</v>
      </c>
      <c r="D426" s="64" t="s">
        <v>40</v>
      </c>
      <c r="E426" s="66" t="s">
        <v>331</v>
      </c>
      <c r="F426" s="64" t="s">
        <v>286</v>
      </c>
      <c r="G426" s="64" t="str">
        <f>INDEX(Auxiliar!$B$16:$B$24,MATCH(Plano_V1!H426,Auxiliar!$C$16:$C$24,0),1)</f>
        <v>1. Concluído</v>
      </c>
      <c r="H426" s="64">
        <f>VLOOKUP(A426,'Aux - pivots1'!$A:$B,2,0)</f>
        <v>1</v>
      </c>
      <c r="I426" s="84">
        <f>SUMIFS(Table1[Estimação (horas)],Table1[Tabela],Plano_V1!E426,Table1[Campo],Plano_V1!F426)</f>
        <v>16.100000000000001</v>
      </c>
      <c r="J426" s="84">
        <f t="shared" si="33"/>
        <v>2.0125000000000002</v>
      </c>
      <c r="K426" s="87" t="s">
        <v>332</v>
      </c>
      <c r="L426" s="90">
        <f t="shared" si="34"/>
        <v>2.0125000000000002</v>
      </c>
      <c r="M426" s="78"/>
      <c r="N426" s="78"/>
      <c r="O426" s="78"/>
      <c r="P426" s="78"/>
      <c r="Q426" s="78"/>
      <c r="R426" s="78"/>
      <c r="S426" s="78"/>
      <c r="T426" s="78"/>
      <c r="U426" s="78"/>
      <c r="V426" s="78"/>
      <c r="W426" s="78"/>
      <c r="X426" s="78"/>
      <c r="Y426" s="78"/>
      <c r="Z426" s="78"/>
      <c r="AA426" s="78"/>
      <c r="AB426" s="78"/>
      <c r="AC426" s="78"/>
      <c r="AD426" s="78"/>
      <c r="AE426" s="78"/>
      <c r="AF426" s="78"/>
      <c r="AG426" s="78"/>
      <c r="AH426" s="78"/>
      <c r="AI426" s="78"/>
      <c r="AJ426" s="78"/>
      <c r="AK426" s="78"/>
      <c r="AL426" s="78"/>
      <c r="AM426" s="78"/>
      <c r="AN426" s="78"/>
      <c r="AO426" s="78"/>
      <c r="AP426" s="78"/>
      <c r="AQ426" s="78"/>
      <c r="AR426" s="78"/>
      <c r="AS426" s="78"/>
      <c r="AT426" s="91"/>
      <c r="AU426" s="78"/>
      <c r="AV426" s="78"/>
      <c r="AW426" s="78"/>
      <c r="AX426" s="78"/>
      <c r="AY426" s="78"/>
      <c r="AZ426" s="78"/>
      <c r="BA426" s="78"/>
      <c r="BB426" s="78"/>
      <c r="BC426" s="78"/>
      <c r="BD426" s="78"/>
      <c r="BE426" s="78"/>
      <c r="BF426" s="78"/>
      <c r="BG426" s="78"/>
      <c r="BH426" s="78"/>
      <c r="BI426" s="78"/>
      <c r="BJ426" s="78"/>
      <c r="BK426" s="78"/>
      <c r="BL426" s="78"/>
      <c r="BM426" s="78"/>
      <c r="BN426" s="78"/>
      <c r="BO426" s="78"/>
      <c r="BP426" s="78"/>
      <c r="BQ426" s="78"/>
      <c r="BR426" s="78"/>
      <c r="BS426" s="78"/>
      <c r="BT426" s="78"/>
      <c r="BU426" s="78"/>
      <c r="BV426" s="78"/>
      <c r="BW426" s="78"/>
      <c r="BX426" s="78"/>
      <c r="BY426" s="78"/>
      <c r="BZ426" s="78"/>
      <c r="CA426" s="78"/>
      <c r="CB426" s="78"/>
      <c r="CC426" s="78"/>
      <c r="CD426" s="78"/>
      <c r="CE426" s="78"/>
      <c r="CF426" s="78"/>
      <c r="CG426" s="78"/>
      <c r="CH426" s="78"/>
      <c r="CI426" s="78"/>
      <c r="CJ426" s="78"/>
      <c r="CK426" s="78"/>
      <c r="CL426" s="78"/>
      <c r="CM426" s="78"/>
      <c r="CN426" s="78"/>
      <c r="CO426" s="78"/>
      <c r="CP426" s="78"/>
      <c r="CQ426" s="78"/>
      <c r="CR426" s="78"/>
      <c r="CS426" s="78"/>
      <c r="CT426" s="78"/>
      <c r="CU426" s="78"/>
      <c r="CV426" s="78"/>
      <c r="CW426" s="78"/>
      <c r="CX426" s="78"/>
      <c r="CY426" s="78"/>
      <c r="CZ426" s="78"/>
      <c r="DA426" s="78"/>
      <c r="DB426" s="78"/>
      <c r="DC426" s="78"/>
      <c r="DD426" s="78"/>
      <c r="DE426" s="78"/>
      <c r="DF426" s="78"/>
      <c r="DG426" s="78"/>
      <c r="DH426" s="78"/>
      <c r="DI426" s="78"/>
      <c r="DJ426" s="78"/>
      <c r="DK426" s="78"/>
      <c r="DL426" s="78"/>
      <c r="DM426" s="78"/>
      <c r="DN426" s="78"/>
      <c r="DO426" s="78"/>
      <c r="DP426" s="78"/>
      <c r="DQ426" s="78"/>
      <c r="DR426" s="78"/>
      <c r="DS426" s="78"/>
      <c r="DT426" s="78"/>
      <c r="DU426" s="78"/>
      <c r="DV426" s="78"/>
      <c r="DW426" s="78"/>
      <c r="DX426" s="78"/>
      <c r="DY426" s="78"/>
      <c r="DZ426" s="78"/>
      <c r="EA426" s="78"/>
      <c r="EB426" s="78"/>
      <c r="EC426" s="78"/>
      <c r="ED426" s="78"/>
      <c r="EE426" s="78"/>
      <c r="EF426" s="78"/>
      <c r="EG426" s="78"/>
      <c r="EH426" s="78"/>
      <c r="EI426" s="91"/>
      <c r="EJ426" s="91"/>
      <c r="EK426" s="91"/>
      <c r="EL426" s="91"/>
      <c r="EM426" s="91"/>
      <c r="EN426" s="91"/>
      <c r="EO426" s="91"/>
      <c r="EP426" s="78"/>
      <c r="EQ426" s="78"/>
      <c r="ER426" s="78"/>
      <c r="ES426" s="78"/>
      <c r="ET426" s="78"/>
      <c r="EU426" s="78"/>
      <c r="EV426" s="78"/>
      <c r="EW426" s="78"/>
      <c r="EX426" s="78"/>
      <c r="EY426" s="78"/>
      <c r="EZ426" s="78"/>
      <c r="FA426" s="78"/>
      <c r="FB426" s="78"/>
      <c r="FC426" s="78"/>
      <c r="FD426" s="78"/>
      <c r="FE426" s="78"/>
      <c r="FF426" s="78"/>
      <c r="FG426" s="78"/>
      <c r="FH426" s="78"/>
      <c r="FI426" s="78"/>
      <c r="FJ426" s="78"/>
      <c r="FK426" s="78"/>
    </row>
    <row r="427" spans="1:167" hidden="1" outlineLevel="1">
      <c r="A427" s="29" t="str">
        <f t="shared" si="35"/>
        <v>modesg_out_emss_vclsscp3_emss</v>
      </c>
      <c r="B427" s="67" t="s">
        <v>26</v>
      </c>
      <c r="C427" s="68" t="s">
        <v>310</v>
      </c>
      <c r="D427" s="64" t="s">
        <v>40</v>
      </c>
      <c r="E427" s="66" t="s">
        <v>331</v>
      </c>
      <c r="F427" s="64" t="s">
        <v>287</v>
      </c>
      <c r="G427" s="64" t="str">
        <f>INDEX(Auxiliar!$B$16:$B$24,MATCH(Plano_V1!H427,Auxiliar!$C$16:$C$24,0),1)</f>
        <v>1. Concluído</v>
      </c>
      <c r="H427" s="64">
        <f>VLOOKUP(A427,'Aux - pivots1'!$A:$B,2,0)</f>
        <v>1</v>
      </c>
      <c r="I427" s="84">
        <f>SUMIFS(Table1[Estimação (horas)],Table1[Tabela],Plano_V1!E427,Table1[Campo],Plano_V1!F427)</f>
        <v>16.100000000000001</v>
      </c>
      <c r="J427" s="84">
        <f t="shared" ref="J427:J445" si="36">I427/8</f>
        <v>2.0125000000000002</v>
      </c>
      <c r="K427" s="87" t="s">
        <v>332</v>
      </c>
      <c r="L427" s="90">
        <f t="shared" si="34"/>
        <v>2.0125000000000002</v>
      </c>
      <c r="M427" s="78"/>
      <c r="N427" s="78"/>
      <c r="O427" s="78"/>
      <c r="P427" s="78"/>
      <c r="Q427" s="78"/>
      <c r="R427" s="78"/>
      <c r="S427" s="78"/>
      <c r="T427" s="78"/>
      <c r="U427" s="78"/>
      <c r="V427" s="78"/>
      <c r="W427" s="78"/>
      <c r="X427" s="78"/>
      <c r="Y427" s="78"/>
      <c r="Z427" s="78"/>
      <c r="AA427" s="78"/>
      <c r="AB427" s="78"/>
      <c r="AC427" s="78"/>
      <c r="AD427" s="78"/>
      <c r="AE427" s="78"/>
      <c r="AF427" s="78"/>
      <c r="AG427" s="78"/>
      <c r="AH427" s="78"/>
      <c r="AI427" s="78"/>
      <c r="AJ427" s="78"/>
      <c r="AK427" s="78"/>
      <c r="AL427" s="78"/>
      <c r="AM427" s="78"/>
      <c r="AN427" s="78"/>
      <c r="AO427" s="78"/>
      <c r="AP427" s="78"/>
      <c r="AQ427" s="78"/>
      <c r="AR427" s="78"/>
      <c r="AS427" s="78"/>
      <c r="AT427" s="91"/>
      <c r="AU427" s="78"/>
      <c r="AV427" s="78"/>
      <c r="AW427" s="78"/>
      <c r="AX427" s="78"/>
      <c r="AY427" s="78"/>
      <c r="AZ427" s="78"/>
      <c r="BA427" s="78"/>
      <c r="BB427" s="78"/>
      <c r="BC427" s="78"/>
      <c r="BD427" s="78"/>
      <c r="BE427" s="78"/>
      <c r="BF427" s="78"/>
      <c r="BG427" s="78"/>
      <c r="BH427" s="78"/>
      <c r="BI427" s="78"/>
      <c r="BJ427" s="78"/>
      <c r="BK427" s="78"/>
      <c r="BL427" s="78"/>
      <c r="BM427" s="78"/>
      <c r="BN427" s="78"/>
      <c r="BO427" s="78"/>
      <c r="BP427" s="78"/>
      <c r="BQ427" s="78"/>
      <c r="BR427" s="78"/>
      <c r="BS427" s="78"/>
      <c r="BT427" s="78"/>
      <c r="BU427" s="78"/>
      <c r="BV427" s="78"/>
      <c r="BW427" s="78"/>
      <c r="BX427" s="78"/>
      <c r="BY427" s="78"/>
      <c r="BZ427" s="78"/>
      <c r="CA427" s="78"/>
      <c r="CB427" s="78"/>
      <c r="CC427" s="78"/>
      <c r="CD427" s="78"/>
      <c r="CE427" s="78"/>
      <c r="CF427" s="78"/>
      <c r="CG427" s="78"/>
      <c r="CH427" s="78"/>
      <c r="CI427" s="78"/>
      <c r="CJ427" s="78"/>
      <c r="CK427" s="78"/>
      <c r="CL427" s="78"/>
      <c r="CM427" s="78"/>
      <c r="CN427" s="78"/>
      <c r="CO427" s="78"/>
      <c r="CP427" s="78"/>
      <c r="CQ427" s="78"/>
      <c r="CR427" s="78"/>
      <c r="CS427" s="78"/>
      <c r="CT427" s="78"/>
      <c r="CU427" s="78"/>
      <c r="CV427" s="78"/>
      <c r="CW427" s="78"/>
      <c r="CX427" s="78"/>
      <c r="CY427" s="78"/>
      <c r="CZ427" s="78"/>
      <c r="DA427" s="78"/>
      <c r="DB427" s="78"/>
      <c r="DC427" s="78"/>
      <c r="DD427" s="78"/>
      <c r="DE427" s="78"/>
      <c r="DF427" s="78"/>
      <c r="DG427" s="78"/>
      <c r="DH427" s="78"/>
      <c r="DI427" s="78"/>
      <c r="DJ427" s="78"/>
      <c r="DK427" s="78"/>
      <c r="DL427" s="78"/>
      <c r="DM427" s="78"/>
      <c r="DN427" s="78"/>
      <c r="DO427" s="78"/>
      <c r="DP427" s="78"/>
      <c r="DQ427" s="78"/>
      <c r="DR427" s="78"/>
      <c r="DS427" s="78"/>
      <c r="DT427" s="78"/>
      <c r="DU427" s="78"/>
      <c r="DV427" s="78"/>
      <c r="DW427" s="78"/>
      <c r="DX427" s="78"/>
      <c r="DY427" s="78"/>
      <c r="DZ427" s="78"/>
      <c r="EA427" s="78"/>
      <c r="EB427" s="78"/>
      <c r="EC427" s="78"/>
      <c r="ED427" s="78"/>
      <c r="EE427" s="78"/>
      <c r="EF427" s="78"/>
      <c r="EG427" s="78"/>
      <c r="EH427" s="78"/>
      <c r="EI427" s="91"/>
      <c r="EJ427" s="91"/>
      <c r="EK427" s="91"/>
      <c r="EL427" s="91"/>
      <c r="EM427" s="91"/>
      <c r="EN427" s="91"/>
      <c r="EO427" s="91"/>
      <c r="EP427" s="78"/>
      <c r="EQ427" s="78"/>
      <c r="ER427" s="78"/>
      <c r="ES427" s="78"/>
      <c r="ET427" s="78"/>
      <c r="EU427" s="78"/>
      <c r="EV427" s="78"/>
      <c r="EW427" s="78"/>
      <c r="EX427" s="78"/>
      <c r="EY427" s="78"/>
      <c r="EZ427" s="78"/>
      <c r="FA427" s="78"/>
      <c r="FB427" s="78"/>
      <c r="FC427" s="78"/>
      <c r="FD427" s="78"/>
      <c r="FE427" s="78"/>
      <c r="FF427" s="78"/>
      <c r="FG427" s="78"/>
      <c r="FH427" s="78"/>
      <c r="FI427" s="78"/>
      <c r="FJ427" s="78"/>
      <c r="FK427" s="78"/>
    </row>
    <row r="428" spans="1:167" hidden="1" outlineLevel="1">
      <c r="A428" s="29" t="str">
        <f t="shared" si="35"/>
        <v>modesg_out_emss_vclsunidade_funcional_scp1_emss</v>
      </c>
      <c r="B428" s="67" t="s">
        <v>26</v>
      </c>
      <c r="C428" s="68" t="s">
        <v>310</v>
      </c>
      <c r="D428" s="64" t="s">
        <v>40</v>
      </c>
      <c r="E428" s="66" t="s">
        <v>331</v>
      </c>
      <c r="F428" s="64" t="s">
        <v>322</v>
      </c>
      <c r="G428" s="64" t="str">
        <f>INDEX(Auxiliar!$B$16:$B$24,MATCH(Plano_V1!H428,Auxiliar!$C$16:$C$24,0),1)</f>
        <v>1. Concluído</v>
      </c>
      <c r="H428" s="64">
        <f>VLOOKUP(A428,'Aux - pivots1'!$A:$B,2,0)</f>
        <v>1</v>
      </c>
      <c r="I428" s="84">
        <f>SUMIFS(Table1[Estimação (horas)],Table1[Tabela],Plano_V1!E428,Table1[Campo],Plano_V1!F428)</f>
        <v>4.0999999999999996</v>
      </c>
      <c r="J428" s="84">
        <f t="shared" si="36"/>
        <v>0.51249999999999996</v>
      </c>
      <c r="K428" s="87" t="s">
        <v>332</v>
      </c>
      <c r="L428" s="90">
        <f t="shared" si="34"/>
        <v>0.51249999999999996</v>
      </c>
      <c r="M428" s="78"/>
      <c r="N428" s="78"/>
      <c r="O428" s="78"/>
      <c r="P428" s="78"/>
      <c r="Q428" s="78"/>
      <c r="R428" s="78"/>
      <c r="S428" s="78"/>
      <c r="T428" s="78"/>
      <c r="U428" s="78"/>
      <c r="V428" s="78"/>
      <c r="W428" s="78"/>
      <c r="X428" s="78"/>
      <c r="Y428" s="78"/>
      <c r="Z428" s="78"/>
      <c r="AA428" s="78"/>
      <c r="AB428" s="78"/>
      <c r="AC428" s="78"/>
      <c r="AD428" s="78"/>
      <c r="AE428" s="78"/>
      <c r="AF428" s="78"/>
      <c r="AG428" s="78"/>
      <c r="AH428" s="78"/>
      <c r="AI428" s="78"/>
      <c r="AJ428" s="78"/>
      <c r="AK428" s="78"/>
      <c r="AL428" s="78"/>
      <c r="AM428" s="78"/>
      <c r="AN428" s="78"/>
      <c r="AO428" s="78"/>
      <c r="AP428" s="78"/>
      <c r="AQ428" s="78"/>
      <c r="AR428" s="78"/>
      <c r="AS428" s="78"/>
      <c r="AT428" s="91"/>
      <c r="AU428" s="78"/>
      <c r="AV428" s="78"/>
      <c r="AW428" s="78"/>
      <c r="AX428" s="78"/>
      <c r="AY428" s="78"/>
      <c r="AZ428" s="78"/>
      <c r="BA428" s="78"/>
      <c r="BB428" s="78"/>
      <c r="BC428" s="78"/>
      <c r="BD428" s="78"/>
      <c r="BE428" s="78"/>
      <c r="BF428" s="78"/>
      <c r="BG428" s="78"/>
      <c r="BH428" s="78"/>
      <c r="BI428" s="78"/>
      <c r="BJ428" s="78"/>
      <c r="BK428" s="78"/>
      <c r="BL428" s="78"/>
      <c r="BM428" s="78"/>
      <c r="BN428" s="78"/>
      <c r="BO428" s="78"/>
      <c r="BP428" s="78"/>
      <c r="BQ428" s="78"/>
      <c r="BR428" s="78"/>
      <c r="BS428" s="78"/>
      <c r="BT428" s="78"/>
      <c r="BU428" s="78"/>
      <c r="BV428" s="78"/>
      <c r="BW428" s="78"/>
      <c r="BX428" s="78"/>
      <c r="BY428" s="78"/>
      <c r="BZ428" s="78"/>
      <c r="CA428" s="78"/>
      <c r="CB428" s="78"/>
      <c r="CC428" s="78"/>
      <c r="CD428" s="78"/>
      <c r="CE428" s="78"/>
      <c r="CF428" s="78"/>
      <c r="CG428" s="78"/>
      <c r="CH428" s="78"/>
      <c r="CI428" s="78"/>
      <c r="CJ428" s="78"/>
      <c r="CK428" s="78"/>
      <c r="CL428" s="78"/>
      <c r="CM428" s="78"/>
      <c r="CN428" s="78"/>
      <c r="CO428" s="78"/>
      <c r="CP428" s="78"/>
      <c r="CQ428" s="78"/>
      <c r="CR428" s="78"/>
      <c r="CS428" s="78"/>
      <c r="CT428" s="78"/>
      <c r="CU428" s="78"/>
      <c r="CV428" s="78"/>
      <c r="CW428" s="78"/>
      <c r="CX428" s="78"/>
      <c r="CY428" s="78"/>
      <c r="CZ428" s="78"/>
      <c r="DA428" s="78"/>
      <c r="DB428" s="78"/>
      <c r="DC428" s="78"/>
      <c r="DD428" s="78"/>
      <c r="DE428" s="78"/>
      <c r="DF428" s="78"/>
      <c r="DG428" s="78"/>
      <c r="DH428" s="78"/>
      <c r="DI428" s="78"/>
      <c r="DJ428" s="78"/>
      <c r="DK428" s="78"/>
      <c r="DL428" s="78"/>
      <c r="DM428" s="78"/>
      <c r="DN428" s="78"/>
      <c r="DO428" s="78"/>
      <c r="DP428" s="78"/>
      <c r="DQ428" s="78"/>
      <c r="DR428" s="78"/>
      <c r="DS428" s="78"/>
      <c r="DT428" s="78"/>
      <c r="DU428" s="78"/>
      <c r="DV428" s="78"/>
      <c r="DW428" s="78"/>
      <c r="DX428" s="78"/>
      <c r="DY428" s="78"/>
      <c r="DZ428" s="78"/>
      <c r="EA428" s="78"/>
      <c r="EB428" s="78"/>
      <c r="EC428" s="78"/>
      <c r="ED428" s="78"/>
      <c r="EE428" s="78"/>
      <c r="EF428" s="78"/>
      <c r="EG428" s="78"/>
      <c r="EH428" s="78"/>
      <c r="EI428" s="91"/>
      <c r="EJ428" s="91"/>
      <c r="EK428" s="91"/>
      <c r="EL428" s="91"/>
      <c r="EM428" s="91"/>
      <c r="EN428" s="91"/>
      <c r="EO428" s="91"/>
      <c r="EP428" s="78"/>
      <c r="EQ428" s="78"/>
      <c r="ER428" s="78"/>
      <c r="ES428" s="78"/>
      <c r="ET428" s="78"/>
      <c r="EU428" s="78"/>
      <c r="EV428" s="78"/>
      <c r="EW428" s="78"/>
      <c r="EX428" s="78"/>
      <c r="EY428" s="78"/>
      <c r="EZ428" s="78"/>
      <c r="FA428" s="78"/>
      <c r="FB428" s="78"/>
      <c r="FC428" s="78"/>
      <c r="FD428" s="78"/>
      <c r="FE428" s="78"/>
      <c r="FF428" s="78"/>
      <c r="FG428" s="78"/>
      <c r="FH428" s="78"/>
      <c r="FI428" s="78"/>
      <c r="FJ428" s="78"/>
      <c r="FK428" s="78"/>
    </row>
    <row r="429" spans="1:167" hidden="1" outlineLevel="1">
      <c r="A429" s="29" t="str">
        <f t="shared" si="35"/>
        <v>modesg_out_emss_vclsunidade_funcional_scp2_emss</v>
      </c>
      <c r="B429" s="67" t="s">
        <v>26</v>
      </c>
      <c r="C429" s="68" t="s">
        <v>310</v>
      </c>
      <c r="D429" s="64" t="s">
        <v>40</v>
      </c>
      <c r="E429" s="66" t="s">
        <v>331</v>
      </c>
      <c r="F429" s="64" t="s">
        <v>323</v>
      </c>
      <c r="G429" s="64" t="str">
        <f>INDEX(Auxiliar!$B$16:$B$24,MATCH(Plano_V1!H429,Auxiliar!$C$16:$C$24,0),1)</f>
        <v>1. Concluído</v>
      </c>
      <c r="H429" s="64">
        <f>VLOOKUP(A429,'Aux - pivots1'!$A:$B,2,0)</f>
        <v>1</v>
      </c>
      <c r="I429" s="84">
        <f>SUMIFS(Table1[Estimação (horas)],Table1[Tabela],Plano_V1!E429,Table1[Campo],Plano_V1!F429)</f>
        <v>4.0999999999999996</v>
      </c>
      <c r="J429" s="84">
        <f t="shared" si="36"/>
        <v>0.51249999999999996</v>
      </c>
      <c r="K429" s="87" t="s">
        <v>332</v>
      </c>
      <c r="L429" s="90">
        <f t="shared" si="34"/>
        <v>0.51249999999999996</v>
      </c>
      <c r="M429" s="78"/>
      <c r="N429" s="78"/>
      <c r="O429" s="78"/>
      <c r="P429" s="78"/>
      <c r="Q429" s="78"/>
      <c r="R429" s="78"/>
      <c r="S429" s="78"/>
      <c r="T429" s="78"/>
      <c r="U429" s="78"/>
      <c r="V429" s="78"/>
      <c r="W429" s="78"/>
      <c r="X429" s="78"/>
      <c r="Y429" s="78"/>
      <c r="Z429" s="78"/>
      <c r="AA429" s="78"/>
      <c r="AB429" s="78"/>
      <c r="AC429" s="78"/>
      <c r="AD429" s="78"/>
      <c r="AE429" s="78"/>
      <c r="AF429" s="78"/>
      <c r="AG429" s="78"/>
      <c r="AH429" s="78"/>
      <c r="AI429" s="78"/>
      <c r="AJ429" s="78"/>
      <c r="AK429" s="78"/>
      <c r="AL429" s="78"/>
      <c r="AM429" s="78"/>
      <c r="AN429" s="78"/>
      <c r="AO429" s="78"/>
      <c r="AP429" s="78"/>
      <c r="AQ429" s="78"/>
      <c r="AR429" s="78"/>
      <c r="AS429" s="78"/>
      <c r="AT429" s="91"/>
      <c r="AU429" s="78"/>
      <c r="AV429" s="78"/>
      <c r="AW429" s="78"/>
      <c r="AX429" s="78"/>
      <c r="AY429" s="78"/>
      <c r="AZ429" s="78"/>
      <c r="BA429" s="78"/>
      <c r="BB429" s="78"/>
      <c r="BC429" s="78"/>
      <c r="BD429" s="78"/>
      <c r="BE429" s="78"/>
      <c r="BF429" s="78"/>
      <c r="BG429" s="78"/>
      <c r="BH429" s="78"/>
      <c r="BI429" s="78"/>
      <c r="BJ429" s="78"/>
      <c r="BK429" s="78"/>
      <c r="BL429" s="78"/>
      <c r="BM429" s="78"/>
      <c r="BN429" s="78"/>
      <c r="BO429" s="78"/>
      <c r="BP429" s="78"/>
      <c r="BQ429" s="78"/>
      <c r="BR429" s="78"/>
      <c r="BS429" s="78"/>
      <c r="BT429" s="78"/>
      <c r="BU429" s="78"/>
      <c r="BV429" s="78"/>
      <c r="BW429" s="78"/>
      <c r="BX429" s="78"/>
      <c r="BY429" s="78"/>
      <c r="BZ429" s="78"/>
      <c r="CA429" s="78"/>
      <c r="CB429" s="78"/>
      <c r="CC429" s="78"/>
      <c r="CD429" s="78"/>
      <c r="CE429" s="78"/>
      <c r="CF429" s="78"/>
      <c r="CG429" s="78"/>
      <c r="CH429" s="78"/>
      <c r="CI429" s="78"/>
      <c r="CJ429" s="78"/>
      <c r="CK429" s="78"/>
      <c r="CL429" s="78"/>
      <c r="CM429" s="78"/>
      <c r="CN429" s="78"/>
      <c r="CO429" s="78"/>
      <c r="CP429" s="78"/>
      <c r="CQ429" s="78"/>
      <c r="CR429" s="78"/>
      <c r="CS429" s="78"/>
      <c r="CT429" s="78"/>
      <c r="CU429" s="78"/>
      <c r="CV429" s="78"/>
      <c r="CW429" s="78"/>
      <c r="CX429" s="78"/>
      <c r="CY429" s="78"/>
      <c r="CZ429" s="78"/>
      <c r="DA429" s="78"/>
      <c r="DB429" s="78"/>
      <c r="DC429" s="78"/>
      <c r="DD429" s="78"/>
      <c r="DE429" s="78"/>
      <c r="DF429" s="78"/>
      <c r="DG429" s="78"/>
      <c r="DH429" s="78"/>
      <c r="DI429" s="78"/>
      <c r="DJ429" s="78"/>
      <c r="DK429" s="78"/>
      <c r="DL429" s="78"/>
      <c r="DM429" s="78"/>
      <c r="DN429" s="78"/>
      <c r="DO429" s="78"/>
      <c r="DP429" s="78"/>
      <c r="DQ429" s="78"/>
      <c r="DR429" s="78"/>
      <c r="DS429" s="78"/>
      <c r="DT429" s="78"/>
      <c r="DU429" s="78"/>
      <c r="DV429" s="78"/>
      <c r="DW429" s="78"/>
      <c r="DX429" s="78"/>
      <c r="DY429" s="78"/>
      <c r="DZ429" s="78"/>
      <c r="EA429" s="78"/>
      <c r="EB429" s="78"/>
      <c r="EC429" s="78"/>
      <c r="ED429" s="78"/>
      <c r="EE429" s="78"/>
      <c r="EF429" s="78"/>
      <c r="EG429" s="78"/>
      <c r="EH429" s="78"/>
      <c r="EI429" s="91"/>
      <c r="EJ429" s="91"/>
      <c r="EK429" s="91"/>
      <c r="EL429" s="91"/>
      <c r="EM429" s="91"/>
      <c r="EN429" s="91"/>
      <c r="EO429" s="91"/>
      <c r="EP429" s="78"/>
      <c r="EQ429" s="78"/>
      <c r="ER429" s="78"/>
      <c r="ES429" s="78"/>
      <c r="ET429" s="78"/>
      <c r="EU429" s="78"/>
      <c r="EV429" s="78"/>
      <c r="EW429" s="78"/>
      <c r="EX429" s="78"/>
      <c r="EY429" s="78"/>
      <c r="EZ429" s="78"/>
      <c r="FA429" s="78"/>
      <c r="FB429" s="78"/>
      <c r="FC429" s="78"/>
      <c r="FD429" s="78"/>
      <c r="FE429" s="78"/>
      <c r="FF429" s="78"/>
      <c r="FG429" s="78"/>
      <c r="FH429" s="78"/>
      <c r="FI429" s="78"/>
      <c r="FJ429" s="78"/>
      <c r="FK429" s="78"/>
    </row>
    <row r="430" spans="1:167" hidden="1" outlineLevel="1">
      <c r="A430" s="29" t="str">
        <f t="shared" si="35"/>
        <v>modesg_out_emss_vclsunidade_funcional_scp3_emss</v>
      </c>
      <c r="B430" s="67" t="s">
        <v>26</v>
      </c>
      <c r="C430" s="68" t="s">
        <v>310</v>
      </c>
      <c r="D430" s="64" t="s">
        <v>40</v>
      </c>
      <c r="E430" s="66" t="s">
        <v>331</v>
      </c>
      <c r="F430" s="64" t="s">
        <v>324</v>
      </c>
      <c r="G430" s="64" t="str">
        <f>INDEX(Auxiliar!$B$16:$B$24,MATCH(Plano_V1!H430,Auxiliar!$C$16:$C$24,0),1)</f>
        <v>1. Concluído</v>
      </c>
      <c r="H430" s="64">
        <f>VLOOKUP(A430,'Aux - pivots1'!$A:$B,2,0)</f>
        <v>1</v>
      </c>
      <c r="I430" s="84">
        <f>SUMIFS(Table1[Estimação (horas)],Table1[Tabela],Plano_V1!E430,Table1[Campo],Plano_V1!F430)</f>
        <v>4.0999999999999996</v>
      </c>
      <c r="J430" s="84">
        <f t="shared" si="36"/>
        <v>0.51249999999999996</v>
      </c>
      <c r="K430" s="87" t="s">
        <v>332</v>
      </c>
      <c r="L430" s="90">
        <f t="shared" si="34"/>
        <v>0.51249999999999996</v>
      </c>
      <c r="M430" s="78"/>
      <c r="N430" s="78"/>
      <c r="O430" s="78"/>
      <c r="P430" s="78"/>
      <c r="Q430" s="78"/>
      <c r="R430" s="78"/>
      <c r="S430" s="78"/>
      <c r="T430" s="78"/>
      <c r="U430" s="78"/>
      <c r="V430" s="78"/>
      <c r="W430" s="78"/>
      <c r="X430" s="78"/>
      <c r="Y430" s="78"/>
      <c r="Z430" s="78"/>
      <c r="AA430" s="78"/>
      <c r="AB430" s="78"/>
      <c r="AC430" s="78"/>
      <c r="AD430" s="78"/>
      <c r="AE430" s="78"/>
      <c r="AF430" s="78"/>
      <c r="AG430" s="78"/>
      <c r="AH430" s="78"/>
      <c r="AI430" s="78"/>
      <c r="AJ430" s="78"/>
      <c r="AK430" s="78"/>
      <c r="AL430" s="78"/>
      <c r="AM430" s="78"/>
      <c r="AN430" s="78"/>
      <c r="AO430" s="78"/>
      <c r="AP430" s="78"/>
      <c r="AQ430" s="78"/>
      <c r="AR430" s="78"/>
      <c r="AS430" s="78"/>
      <c r="AT430" s="91"/>
      <c r="AU430" s="78"/>
      <c r="AV430" s="78"/>
      <c r="AW430" s="78"/>
      <c r="AX430" s="78"/>
      <c r="AY430" s="78"/>
      <c r="AZ430" s="78"/>
      <c r="BA430" s="78"/>
      <c r="BB430" s="78"/>
      <c r="BC430" s="78"/>
      <c r="BD430" s="78"/>
      <c r="BE430" s="78"/>
      <c r="BF430" s="78"/>
      <c r="BG430" s="78"/>
      <c r="BH430" s="78"/>
      <c r="BI430" s="78"/>
      <c r="BJ430" s="78"/>
      <c r="BK430" s="78"/>
      <c r="BL430" s="78"/>
      <c r="BM430" s="78"/>
      <c r="BN430" s="78"/>
      <c r="BO430" s="78"/>
      <c r="BP430" s="78"/>
      <c r="BQ430" s="78"/>
      <c r="BR430" s="78"/>
      <c r="BS430" s="78"/>
      <c r="BT430" s="78"/>
      <c r="BU430" s="78"/>
      <c r="BV430" s="78"/>
      <c r="BW430" s="78"/>
      <c r="BX430" s="78"/>
      <c r="BY430" s="78"/>
      <c r="BZ430" s="78"/>
      <c r="CA430" s="78"/>
      <c r="CB430" s="78"/>
      <c r="CC430" s="78"/>
      <c r="CD430" s="78"/>
      <c r="CE430" s="78"/>
      <c r="CF430" s="78"/>
      <c r="CG430" s="78"/>
      <c r="CH430" s="78"/>
      <c r="CI430" s="78"/>
      <c r="CJ430" s="78"/>
      <c r="CK430" s="78"/>
      <c r="CL430" s="78"/>
      <c r="CM430" s="78"/>
      <c r="CN430" s="78"/>
      <c r="CO430" s="78"/>
      <c r="CP430" s="78"/>
      <c r="CQ430" s="78"/>
      <c r="CR430" s="78"/>
      <c r="CS430" s="78"/>
      <c r="CT430" s="78"/>
      <c r="CU430" s="78"/>
      <c r="CV430" s="78"/>
      <c r="CW430" s="78"/>
      <c r="CX430" s="78"/>
      <c r="CY430" s="78"/>
      <c r="CZ430" s="78"/>
      <c r="DA430" s="78"/>
      <c r="DB430" s="78"/>
      <c r="DC430" s="78"/>
      <c r="DD430" s="78"/>
      <c r="DE430" s="78"/>
      <c r="DF430" s="78"/>
      <c r="DG430" s="78"/>
      <c r="DH430" s="78"/>
      <c r="DI430" s="78"/>
      <c r="DJ430" s="78"/>
      <c r="DK430" s="78"/>
      <c r="DL430" s="78"/>
      <c r="DM430" s="78"/>
      <c r="DN430" s="78"/>
      <c r="DO430" s="78"/>
      <c r="DP430" s="78"/>
      <c r="DQ430" s="78"/>
      <c r="DR430" s="78"/>
      <c r="DS430" s="78"/>
      <c r="DT430" s="78"/>
      <c r="DU430" s="78"/>
      <c r="DV430" s="78"/>
      <c r="DW430" s="78"/>
      <c r="DX430" s="78"/>
      <c r="DY430" s="78"/>
      <c r="DZ430" s="78"/>
      <c r="EA430" s="78"/>
      <c r="EB430" s="78"/>
      <c r="EC430" s="78"/>
      <c r="ED430" s="78"/>
      <c r="EE430" s="78"/>
      <c r="EF430" s="78"/>
      <c r="EG430" s="78"/>
      <c r="EH430" s="78"/>
      <c r="EI430" s="91"/>
      <c r="EJ430" s="91"/>
      <c r="EK430" s="91"/>
      <c r="EL430" s="91"/>
      <c r="EM430" s="91"/>
      <c r="EN430" s="91"/>
      <c r="EO430" s="91"/>
      <c r="EP430" s="78"/>
      <c r="EQ430" s="78"/>
      <c r="ER430" s="78"/>
      <c r="ES430" s="78"/>
      <c r="ET430" s="78"/>
      <c r="EU430" s="78"/>
      <c r="EV430" s="78"/>
      <c r="EW430" s="78"/>
      <c r="EX430" s="78"/>
      <c r="EY430" s="78"/>
      <c r="EZ430" s="78"/>
      <c r="FA430" s="78"/>
      <c r="FB430" s="78"/>
      <c r="FC430" s="78"/>
      <c r="FD430" s="78"/>
      <c r="FE430" s="78"/>
      <c r="FF430" s="78"/>
      <c r="FG430" s="78"/>
      <c r="FH430" s="78"/>
      <c r="FI430" s="78"/>
      <c r="FJ430" s="78"/>
      <c r="FK430" s="78"/>
    </row>
    <row r="431" spans="1:167" hidden="1" outlineLevel="1">
      <c r="A431" s="29" t="str">
        <f t="shared" si="35"/>
        <v>modesg_out_sfcs_taxon_europeian.a.</v>
      </c>
      <c r="B431" s="67" t="s">
        <v>26</v>
      </c>
      <c r="C431" s="68" t="s">
        <v>310</v>
      </c>
      <c r="D431" s="64" t="s">
        <v>36</v>
      </c>
      <c r="E431" s="66" t="s">
        <v>333</v>
      </c>
      <c r="F431" s="64" t="s">
        <v>38</v>
      </c>
      <c r="G431" s="64" t="e">
        <f>INDEX(Auxiliar!$B$16:$B$24,MATCH(Plano_V1!H431,Auxiliar!$C$16:$C$24,0),1)</f>
        <v>#N/A</v>
      </c>
      <c r="H431" s="64" t="e">
        <f>VLOOKUP(A431,'Aux - pivots1'!$A:$B,2,0)</f>
        <v>#N/A</v>
      </c>
      <c r="I431" s="84">
        <f>SUMIFS(Table1[Estimação (horas)],Table1[Tabela],Plano_V1!E431,Table1[Campo],Plano_V1!F431)</f>
        <v>0</v>
      </c>
      <c r="J431" s="84">
        <f t="shared" si="36"/>
        <v>0</v>
      </c>
      <c r="K431" s="87" t="s">
        <v>334</v>
      </c>
      <c r="L431" s="90">
        <f t="shared" si="34"/>
        <v>0</v>
      </c>
      <c r="M431" s="78"/>
      <c r="N431" s="78"/>
      <c r="O431" s="78"/>
      <c r="P431" s="78"/>
      <c r="Q431" s="78"/>
      <c r="R431" s="78"/>
      <c r="S431" s="78"/>
      <c r="T431" s="78"/>
      <c r="U431" s="78"/>
      <c r="V431" s="78"/>
      <c r="W431" s="78"/>
      <c r="X431" s="78"/>
      <c r="Y431" s="78"/>
      <c r="Z431" s="78"/>
      <c r="AA431" s="78"/>
      <c r="AB431" s="78"/>
      <c r="AC431" s="78"/>
      <c r="AD431" s="78"/>
      <c r="AE431" s="78"/>
      <c r="AF431" s="78"/>
      <c r="AG431" s="78"/>
      <c r="AH431" s="78"/>
      <c r="AI431" s="78"/>
      <c r="AJ431" s="78"/>
      <c r="AK431" s="78"/>
      <c r="AL431" s="78"/>
      <c r="AM431" s="78"/>
      <c r="AN431" s="78"/>
      <c r="AO431" s="78"/>
      <c r="AP431" s="78"/>
      <c r="AQ431" s="78"/>
      <c r="AR431" s="78"/>
      <c r="AS431" s="78"/>
      <c r="AT431" s="91"/>
      <c r="AU431" s="78"/>
      <c r="AV431" s="78"/>
      <c r="AW431" s="78"/>
      <c r="AX431" s="78"/>
      <c r="AY431" s="78"/>
      <c r="AZ431" s="78"/>
      <c r="BA431" s="78"/>
      <c r="BB431" s="78"/>
      <c r="BC431" s="78"/>
      <c r="BD431" s="78"/>
      <c r="BE431" s="78"/>
      <c r="BF431" s="78"/>
      <c r="BG431" s="78"/>
      <c r="BH431" s="78"/>
      <c r="BI431" s="78"/>
      <c r="BJ431" s="78"/>
      <c r="BK431" s="78"/>
      <c r="BL431" s="78"/>
      <c r="BM431" s="78"/>
      <c r="BN431" s="78"/>
      <c r="BO431" s="78"/>
      <c r="BP431" s="78"/>
      <c r="BQ431" s="78"/>
      <c r="BR431" s="78"/>
      <c r="BS431" s="78"/>
      <c r="BT431" s="78"/>
      <c r="BU431" s="78"/>
      <c r="BV431" s="78"/>
      <c r="BW431" s="78"/>
      <c r="BX431" s="78"/>
      <c r="BY431" s="78"/>
      <c r="BZ431" s="78"/>
      <c r="CA431" s="78"/>
      <c r="CB431" s="78"/>
      <c r="CC431" s="78"/>
      <c r="CD431" s="78"/>
      <c r="CE431" s="78"/>
      <c r="CF431" s="78"/>
      <c r="CG431" s="78"/>
      <c r="CH431" s="78"/>
      <c r="CI431" s="78"/>
      <c r="CJ431" s="78"/>
      <c r="CK431" s="78"/>
      <c r="CL431" s="78"/>
      <c r="CM431" s="78"/>
      <c r="CN431" s="78"/>
      <c r="CO431" s="78"/>
      <c r="CP431" s="78"/>
      <c r="CQ431" s="78"/>
      <c r="CR431" s="78"/>
      <c r="CS431" s="78"/>
      <c r="CT431" s="78"/>
      <c r="CU431" s="78"/>
      <c r="CV431" s="78"/>
      <c r="CW431" s="78"/>
      <c r="CX431" s="78"/>
      <c r="CY431" s="78"/>
      <c r="CZ431" s="78"/>
      <c r="DA431" s="78"/>
      <c r="DB431" s="78"/>
      <c r="DC431" s="78"/>
      <c r="DD431" s="78"/>
      <c r="DE431" s="78"/>
      <c r="DF431" s="78"/>
      <c r="DG431" s="78"/>
      <c r="DH431" s="78"/>
      <c r="DI431" s="78"/>
      <c r="DJ431" s="78"/>
      <c r="DK431" s="78"/>
      <c r="DL431" s="78"/>
      <c r="DM431" s="78"/>
      <c r="DN431" s="78"/>
      <c r="DO431" s="78"/>
      <c r="DP431" s="78"/>
      <c r="DQ431" s="78"/>
      <c r="DR431" s="78"/>
      <c r="DS431" s="78"/>
      <c r="DT431" s="78"/>
      <c r="DU431" s="78"/>
      <c r="DV431" s="78"/>
      <c r="DW431" s="78"/>
      <c r="DX431" s="78"/>
      <c r="DY431" s="78"/>
      <c r="DZ431" s="78"/>
      <c r="EA431" s="78"/>
      <c r="EB431" s="78"/>
      <c r="EC431" s="78"/>
      <c r="ED431" s="78"/>
      <c r="EE431" s="78"/>
      <c r="EF431" s="78"/>
      <c r="EG431" s="78"/>
      <c r="EH431" s="78"/>
      <c r="EI431" s="91"/>
      <c r="EJ431" s="91"/>
      <c r="EK431" s="91"/>
      <c r="EL431" s="91"/>
      <c r="EM431" s="91"/>
      <c r="EN431" s="91"/>
      <c r="EO431" s="91"/>
      <c r="EP431" s="78"/>
      <c r="EQ431" s="78"/>
      <c r="ER431" s="78"/>
      <c r="ES431" s="78"/>
      <c r="ET431" s="78"/>
      <c r="EU431" s="78"/>
      <c r="EV431" s="78"/>
      <c r="EW431" s="78"/>
      <c r="EX431" s="78"/>
      <c r="EY431" s="78"/>
      <c r="EZ431" s="78"/>
      <c r="FA431" s="78"/>
      <c r="FB431" s="78"/>
      <c r="FC431" s="78"/>
      <c r="FD431" s="78"/>
      <c r="FE431" s="78"/>
      <c r="FF431" s="78"/>
      <c r="FG431" s="78"/>
      <c r="FH431" s="78"/>
      <c r="FI431" s="78"/>
      <c r="FJ431" s="78"/>
      <c r="FK431" s="78"/>
    </row>
    <row r="432" spans="1:167" hidden="1" outlineLevel="1">
      <c r="A432" s="29" t="str">
        <f t="shared" si="35"/>
        <v>modesg_out_sfcs_taxon_europeiacbalcao</v>
      </c>
      <c r="B432" s="67" t="s">
        <v>26</v>
      </c>
      <c r="C432" s="68" t="s">
        <v>310</v>
      </c>
      <c r="D432" s="64" t="s">
        <v>40</v>
      </c>
      <c r="E432" s="66" t="s">
        <v>333</v>
      </c>
      <c r="F432" s="64" t="s">
        <v>183</v>
      </c>
      <c r="G432" s="64" t="e">
        <f>INDEX(Auxiliar!$B$16:$B$24,MATCH(Plano_V1!H432,Auxiliar!$C$16:$C$24,0),1)</f>
        <v>#N/A</v>
      </c>
      <c r="H432" s="64" t="e">
        <f>VLOOKUP(A432,'Aux - pivots1'!$A:$B,2,0)</f>
        <v>#N/A</v>
      </c>
      <c r="I432" s="84">
        <f>SUMIFS(Table1[Estimação (horas)],Table1[Tabela],Plano_V1!E432,Table1[Campo],Plano_V1!F432)</f>
        <v>0</v>
      </c>
      <c r="J432" s="84">
        <f t="shared" si="36"/>
        <v>0</v>
      </c>
      <c r="K432" s="87" t="s">
        <v>334</v>
      </c>
      <c r="L432" s="90">
        <f t="shared" si="34"/>
        <v>0</v>
      </c>
      <c r="M432" s="78"/>
      <c r="N432" s="78"/>
      <c r="O432" s="78"/>
      <c r="P432" s="78"/>
      <c r="Q432" s="78"/>
      <c r="R432" s="78"/>
      <c r="S432" s="78"/>
      <c r="T432" s="78"/>
      <c r="U432" s="78"/>
      <c r="V432" s="78"/>
      <c r="W432" s="78"/>
      <c r="X432" s="78"/>
      <c r="Y432" s="78"/>
      <c r="Z432" s="78"/>
      <c r="AA432" s="78"/>
      <c r="AB432" s="78"/>
      <c r="AC432" s="78"/>
      <c r="AD432" s="78"/>
      <c r="AE432" s="78"/>
      <c r="AF432" s="78"/>
      <c r="AG432" s="78"/>
      <c r="AH432" s="78"/>
      <c r="AI432" s="78"/>
      <c r="AJ432" s="78"/>
      <c r="AK432" s="78"/>
      <c r="AL432" s="78"/>
      <c r="AM432" s="78"/>
      <c r="AN432" s="78"/>
      <c r="AO432" s="78"/>
      <c r="AP432" s="78"/>
      <c r="AQ432" s="78"/>
      <c r="AR432" s="78"/>
      <c r="AS432" s="78"/>
      <c r="AT432" s="91"/>
      <c r="AU432" s="78"/>
      <c r="AV432" s="78"/>
      <c r="AW432" s="78"/>
      <c r="AX432" s="78"/>
      <c r="AY432" s="78"/>
      <c r="AZ432" s="78"/>
      <c r="BA432" s="78"/>
      <c r="BB432" s="78"/>
      <c r="BC432" s="78"/>
      <c r="BD432" s="78"/>
      <c r="BE432" s="78"/>
      <c r="BF432" s="78"/>
      <c r="BG432" s="78"/>
      <c r="BH432" s="78"/>
      <c r="BI432" s="78"/>
      <c r="BJ432" s="78"/>
      <c r="BK432" s="78"/>
      <c r="BL432" s="78"/>
      <c r="BM432" s="78"/>
      <c r="BN432" s="78"/>
      <c r="BO432" s="78"/>
      <c r="BP432" s="78"/>
      <c r="BQ432" s="78"/>
      <c r="BR432" s="78"/>
      <c r="BS432" s="78"/>
      <c r="BT432" s="78"/>
      <c r="BU432" s="78"/>
      <c r="BV432" s="78"/>
      <c r="BW432" s="78"/>
      <c r="BX432" s="78"/>
      <c r="BY432" s="78"/>
      <c r="BZ432" s="78"/>
      <c r="CA432" s="78"/>
      <c r="CB432" s="78"/>
      <c r="CC432" s="78"/>
      <c r="CD432" s="78"/>
      <c r="CE432" s="78"/>
      <c r="CF432" s="78"/>
      <c r="CG432" s="78"/>
      <c r="CH432" s="78"/>
      <c r="CI432" s="78"/>
      <c r="CJ432" s="78"/>
      <c r="CK432" s="78"/>
      <c r="CL432" s="78"/>
      <c r="CM432" s="78"/>
      <c r="CN432" s="78"/>
      <c r="CO432" s="78"/>
      <c r="CP432" s="78"/>
      <c r="CQ432" s="78"/>
      <c r="CR432" s="78"/>
      <c r="CS432" s="78"/>
      <c r="CT432" s="78"/>
      <c r="CU432" s="78"/>
      <c r="CV432" s="78"/>
      <c r="CW432" s="78"/>
      <c r="CX432" s="78"/>
      <c r="CY432" s="78"/>
      <c r="CZ432" s="78"/>
      <c r="DA432" s="78"/>
      <c r="DB432" s="78"/>
      <c r="DC432" s="78"/>
      <c r="DD432" s="78"/>
      <c r="DE432" s="78"/>
      <c r="DF432" s="78"/>
      <c r="DG432" s="78"/>
      <c r="DH432" s="78"/>
      <c r="DI432" s="78"/>
      <c r="DJ432" s="78"/>
      <c r="DK432" s="78"/>
      <c r="DL432" s="78"/>
      <c r="DM432" s="78"/>
      <c r="DN432" s="78"/>
      <c r="DO432" s="78"/>
      <c r="DP432" s="78"/>
      <c r="DQ432" s="78"/>
      <c r="DR432" s="78"/>
      <c r="DS432" s="78"/>
      <c r="DT432" s="78"/>
      <c r="DU432" s="78"/>
      <c r="DV432" s="78"/>
      <c r="DW432" s="78"/>
      <c r="DX432" s="78"/>
      <c r="DY432" s="78"/>
      <c r="DZ432" s="78"/>
      <c r="EA432" s="78"/>
      <c r="EB432" s="78"/>
      <c r="EC432" s="78"/>
      <c r="ED432" s="78"/>
      <c r="EE432" s="78"/>
      <c r="EF432" s="78"/>
      <c r="EG432" s="78"/>
      <c r="EH432" s="78"/>
      <c r="EI432" s="91"/>
      <c r="EJ432" s="91"/>
      <c r="EK432" s="91"/>
      <c r="EL432" s="91"/>
      <c r="EM432" s="91"/>
      <c r="EN432" s="91"/>
      <c r="EO432" s="91"/>
      <c r="EP432" s="78"/>
      <c r="EQ432" s="78"/>
      <c r="ER432" s="78"/>
      <c r="ES432" s="78"/>
      <c r="ET432" s="78"/>
      <c r="EU432" s="78"/>
      <c r="EV432" s="78"/>
      <c r="EW432" s="78"/>
      <c r="EX432" s="78"/>
      <c r="EY432" s="78"/>
      <c r="EZ432" s="78"/>
      <c r="FA432" s="78"/>
      <c r="FB432" s="78"/>
      <c r="FC432" s="78"/>
      <c r="FD432" s="78"/>
      <c r="FE432" s="78"/>
      <c r="FF432" s="78"/>
      <c r="FG432" s="78"/>
      <c r="FH432" s="78"/>
      <c r="FI432" s="78"/>
      <c r="FJ432" s="78"/>
      <c r="FK432" s="78"/>
    </row>
    <row r="433" spans="1:167" hidden="1" outlineLevel="1">
      <c r="A433" s="29" t="str">
        <f t="shared" si="35"/>
        <v>modesg_out_sfcs_taxon_europeiacempresa</v>
      </c>
      <c r="B433" s="67" t="s">
        <v>26</v>
      </c>
      <c r="C433" s="68" t="s">
        <v>310</v>
      </c>
      <c r="D433" s="64" t="s">
        <v>40</v>
      </c>
      <c r="E433" s="66" t="s">
        <v>333</v>
      </c>
      <c r="F433" s="64" t="s">
        <v>184</v>
      </c>
      <c r="G433" s="64" t="e">
        <f>INDEX(Auxiliar!$B$16:$B$24,MATCH(Plano_V1!H433,Auxiliar!$C$16:$C$24,0),1)</f>
        <v>#N/A</v>
      </c>
      <c r="H433" s="64" t="e">
        <f>VLOOKUP(A433,'Aux - pivots1'!$A:$B,2,0)</f>
        <v>#N/A</v>
      </c>
      <c r="I433" s="84">
        <f>SUMIFS(Table1[Estimação (horas)],Table1[Tabela],Plano_V1!E433,Table1[Campo],Plano_V1!F433)</f>
        <v>0</v>
      </c>
      <c r="J433" s="84">
        <f t="shared" si="36"/>
        <v>0</v>
      </c>
      <c r="K433" s="87" t="s">
        <v>334</v>
      </c>
      <c r="L433" s="90">
        <f t="shared" si="34"/>
        <v>0</v>
      </c>
      <c r="M433" s="78"/>
      <c r="N433" s="78"/>
      <c r="O433" s="78"/>
      <c r="P433" s="78"/>
      <c r="Q433" s="78"/>
      <c r="R433" s="78"/>
      <c r="S433" s="78"/>
      <c r="T433" s="78"/>
      <c r="U433" s="78"/>
      <c r="V433" s="78"/>
      <c r="W433" s="78"/>
      <c r="X433" s="78"/>
      <c r="Y433" s="78"/>
      <c r="Z433" s="78"/>
      <c r="AA433" s="78"/>
      <c r="AB433" s="78"/>
      <c r="AC433" s="78"/>
      <c r="AD433" s="78"/>
      <c r="AE433" s="78"/>
      <c r="AF433" s="78"/>
      <c r="AG433" s="78"/>
      <c r="AH433" s="78"/>
      <c r="AI433" s="78"/>
      <c r="AJ433" s="78"/>
      <c r="AK433" s="78"/>
      <c r="AL433" s="78"/>
      <c r="AM433" s="78"/>
      <c r="AN433" s="78"/>
      <c r="AO433" s="78"/>
      <c r="AP433" s="78"/>
      <c r="AQ433" s="78"/>
      <c r="AR433" s="78"/>
      <c r="AS433" s="78"/>
      <c r="AT433" s="91"/>
      <c r="AU433" s="78"/>
      <c r="AV433" s="78"/>
      <c r="AW433" s="78"/>
      <c r="AX433" s="78"/>
      <c r="AY433" s="78"/>
      <c r="AZ433" s="78"/>
      <c r="BA433" s="78"/>
      <c r="BB433" s="78"/>
      <c r="BC433" s="78"/>
      <c r="BD433" s="78"/>
      <c r="BE433" s="78"/>
      <c r="BF433" s="78"/>
      <c r="BG433" s="78"/>
      <c r="BH433" s="78"/>
      <c r="BI433" s="78"/>
      <c r="BJ433" s="78"/>
      <c r="BK433" s="78"/>
      <c r="BL433" s="78"/>
      <c r="BM433" s="78"/>
      <c r="BN433" s="78"/>
      <c r="BO433" s="78"/>
      <c r="BP433" s="78"/>
      <c r="BQ433" s="78"/>
      <c r="BR433" s="78"/>
      <c r="BS433" s="78"/>
      <c r="BT433" s="78"/>
      <c r="BU433" s="78"/>
      <c r="BV433" s="78"/>
      <c r="BW433" s="78"/>
      <c r="BX433" s="78"/>
      <c r="BY433" s="78"/>
      <c r="BZ433" s="78"/>
      <c r="CA433" s="78"/>
      <c r="CB433" s="78"/>
      <c r="CC433" s="78"/>
      <c r="CD433" s="78"/>
      <c r="CE433" s="78"/>
      <c r="CF433" s="78"/>
      <c r="CG433" s="78"/>
      <c r="CH433" s="78"/>
      <c r="CI433" s="78"/>
      <c r="CJ433" s="78"/>
      <c r="CK433" s="78"/>
      <c r="CL433" s="78"/>
      <c r="CM433" s="78"/>
      <c r="CN433" s="78"/>
      <c r="CO433" s="78"/>
      <c r="CP433" s="78"/>
      <c r="CQ433" s="78"/>
      <c r="CR433" s="78"/>
      <c r="CS433" s="78"/>
      <c r="CT433" s="78"/>
      <c r="CU433" s="78"/>
      <c r="CV433" s="78"/>
      <c r="CW433" s="78"/>
      <c r="CX433" s="78"/>
      <c r="CY433" s="78"/>
      <c r="CZ433" s="78"/>
      <c r="DA433" s="78"/>
      <c r="DB433" s="78"/>
      <c r="DC433" s="78"/>
      <c r="DD433" s="78"/>
      <c r="DE433" s="78"/>
      <c r="DF433" s="78"/>
      <c r="DG433" s="78"/>
      <c r="DH433" s="78"/>
      <c r="DI433" s="78"/>
      <c r="DJ433" s="78"/>
      <c r="DK433" s="78"/>
      <c r="DL433" s="78"/>
      <c r="DM433" s="78"/>
      <c r="DN433" s="78"/>
      <c r="DO433" s="78"/>
      <c r="DP433" s="78"/>
      <c r="DQ433" s="78"/>
      <c r="DR433" s="78"/>
      <c r="DS433" s="78"/>
      <c r="DT433" s="78"/>
      <c r="DU433" s="78"/>
      <c r="DV433" s="78"/>
      <c r="DW433" s="78"/>
      <c r="DX433" s="78"/>
      <c r="DY433" s="78"/>
      <c r="DZ433" s="78"/>
      <c r="EA433" s="78"/>
      <c r="EB433" s="78"/>
      <c r="EC433" s="78"/>
      <c r="ED433" s="78"/>
      <c r="EE433" s="78"/>
      <c r="EF433" s="78"/>
      <c r="EG433" s="78"/>
      <c r="EH433" s="78"/>
      <c r="EI433" s="91"/>
      <c r="EJ433" s="91"/>
      <c r="EK433" s="91"/>
      <c r="EL433" s="91"/>
      <c r="EM433" s="91"/>
      <c r="EN433" s="91"/>
      <c r="EO433" s="91"/>
      <c r="EP433" s="78"/>
      <c r="EQ433" s="78"/>
      <c r="ER433" s="78"/>
      <c r="ES433" s="78"/>
      <c r="ET433" s="78"/>
      <c r="EU433" s="78"/>
      <c r="EV433" s="78"/>
      <c r="EW433" s="78"/>
      <c r="EX433" s="78"/>
      <c r="EY433" s="78"/>
      <c r="EZ433" s="78"/>
      <c r="FA433" s="78"/>
      <c r="FB433" s="78"/>
      <c r="FC433" s="78"/>
      <c r="FD433" s="78"/>
      <c r="FE433" s="78"/>
      <c r="FF433" s="78"/>
      <c r="FG433" s="78"/>
      <c r="FH433" s="78"/>
      <c r="FI433" s="78"/>
      <c r="FJ433" s="78"/>
      <c r="FK433" s="78"/>
    </row>
    <row r="434" spans="1:167" hidden="1" outlineLevel="1">
      <c r="A434" s="29" t="str">
        <f t="shared" si="35"/>
        <v>modesg_out_sfcs_taxon_europeiacnumecta</v>
      </c>
      <c r="B434" s="67" t="s">
        <v>26</v>
      </c>
      <c r="C434" s="68" t="s">
        <v>310</v>
      </c>
      <c r="D434" s="64" t="s">
        <v>40</v>
      </c>
      <c r="E434" s="66" t="s">
        <v>333</v>
      </c>
      <c r="F434" s="64" t="s">
        <v>189</v>
      </c>
      <c r="G434" s="64" t="e">
        <f>INDEX(Auxiliar!$B$16:$B$24,MATCH(Plano_V1!H434,Auxiliar!$C$16:$C$24,0),1)</f>
        <v>#N/A</v>
      </c>
      <c r="H434" s="64" t="e">
        <f>VLOOKUP(A434,'Aux - pivots1'!$A:$B,2,0)</f>
        <v>#N/A</v>
      </c>
      <c r="I434" s="84">
        <f>SUMIFS(Table1[Estimação (horas)],Table1[Tabela],Plano_V1!E434,Table1[Campo],Plano_V1!F434)</f>
        <v>0</v>
      </c>
      <c r="J434" s="84">
        <f t="shared" si="36"/>
        <v>0</v>
      </c>
      <c r="K434" s="87" t="s">
        <v>334</v>
      </c>
      <c r="L434" s="90">
        <f t="shared" si="34"/>
        <v>0</v>
      </c>
      <c r="M434" s="78"/>
      <c r="N434" s="78"/>
      <c r="O434" s="78"/>
      <c r="P434" s="78"/>
      <c r="Q434" s="78"/>
      <c r="R434" s="78"/>
      <c r="S434" s="78"/>
      <c r="T434" s="78"/>
      <c r="U434" s="78"/>
      <c r="V434" s="78"/>
      <c r="W434" s="78"/>
      <c r="X434" s="78"/>
      <c r="Y434" s="78"/>
      <c r="Z434" s="78"/>
      <c r="AA434" s="78"/>
      <c r="AB434" s="78"/>
      <c r="AC434" s="78"/>
      <c r="AD434" s="78"/>
      <c r="AE434" s="78"/>
      <c r="AF434" s="78"/>
      <c r="AG434" s="78"/>
      <c r="AH434" s="78"/>
      <c r="AI434" s="78"/>
      <c r="AJ434" s="78"/>
      <c r="AK434" s="78"/>
      <c r="AL434" s="78"/>
      <c r="AM434" s="78"/>
      <c r="AN434" s="78"/>
      <c r="AO434" s="78"/>
      <c r="AP434" s="78"/>
      <c r="AQ434" s="78"/>
      <c r="AR434" s="78"/>
      <c r="AS434" s="78"/>
      <c r="AT434" s="91"/>
      <c r="AU434" s="78"/>
      <c r="AV434" s="78"/>
      <c r="AW434" s="78"/>
      <c r="AX434" s="78"/>
      <c r="AY434" s="78"/>
      <c r="AZ434" s="78"/>
      <c r="BA434" s="78"/>
      <c r="BB434" s="78"/>
      <c r="BC434" s="78"/>
      <c r="BD434" s="78"/>
      <c r="BE434" s="78"/>
      <c r="BF434" s="78"/>
      <c r="BG434" s="78"/>
      <c r="BH434" s="78"/>
      <c r="BI434" s="78"/>
      <c r="BJ434" s="78"/>
      <c r="BK434" s="78"/>
      <c r="BL434" s="78"/>
      <c r="BM434" s="78"/>
      <c r="BN434" s="78"/>
      <c r="BO434" s="78"/>
      <c r="BP434" s="78"/>
      <c r="BQ434" s="78"/>
      <c r="BR434" s="78"/>
      <c r="BS434" s="78"/>
      <c r="BT434" s="78"/>
      <c r="BU434" s="78"/>
      <c r="BV434" s="78"/>
      <c r="BW434" s="78"/>
      <c r="BX434" s="78"/>
      <c r="BY434" s="78"/>
      <c r="BZ434" s="78"/>
      <c r="CA434" s="78"/>
      <c r="CB434" s="78"/>
      <c r="CC434" s="78"/>
      <c r="CD434" s="78"/>
      <c r="CE434" s="78"/>
      <c r="CF434" s="78"/>
      <c r="CG434" s="78"/>
      <c r="CH434" s="78"/>
      <c r="CI434" s="78"/>
      <c r="CJ434" s="78"/>
      <c r="CK434" s="78"/>
      <c r="CL434" s="78"/>
      <c r="CM434" s="78"/>
      <c r="CN434" s="78"/>
      <c r="CO434" s="78"/>
      <c r="CP434" s="78"/>
      <c r="CQ434" s="78"/>
      <c r="CR434" s="78"/>
      <c r="CS434" s="78"/>
      <c r="CT434" s="78"/>
      <c r="CU434" s="78"/>
      <c r="CV434" s="78"/>
      <c r="CW434" s="78"/>
      <c r="CX434" s="78"/>
      <c r="CY434" s="78"/>
      <c r="CZ434" s="78"/>
      <c r="DA434" s="78"/>
      <c r="DB434" s="78"/>
      <c r="DC434" s="78"/>
      <c r="DD434" s="78"/>
      <c r="DE434" s="78"/>
      <c r="DF434" s="78"/>
      <c r="DG434" s="78"/>
      <c r="DH434" s="78"/>
      <c r="DI434" s="78"/>
      <c r="DJ434" s="78"/>
      <c r="DK434" s="78"/>
      <c r="DL434" s="78"/>
      <c r="DM434" s="78"/>
      <c r="DN434" s="78"/>
      <c r="DO434" s="78"/>
      <c r="DP434" s="78"/>
      <c r="DQ434" s="78"/>
      <c r="DR434" s="78"/>
      <c r="DS434" s="78"/>
      <c r="DT434" s="78"/>
      <c r="DU434" s="78"/>
      <c r="DV434" s="78"/>
      <c r="DW434" s="78"/>
      <c r="DX434" s="78"/>
      <c r="DY434" s="78"/>
      <c r="DZ434" s="78"/>
      <c r="EA434" s="78"/>
      <c r="EB434" s="78"/>
      <c r="EC434" s="78"/>
      <c r="ED434" s="78"/>
      <c r="EE434" s="78"/>
      <c r="EF434" s="78"/>
      <c r="EG434" s="78"/>
      <c r="EH434" s="78"/>
      <c r="EI434" s="91"/>
      <c r="EJ434" s="91"/>
      <c r="EK434" s="91"/>
      <c r="EL434" s="91"/>
      <c r="EM434" s="91"/>
      <c r="EN434" s="91"/>
      <c r="EO434" s="91"/>
      <c r="EP434" s="78"/>
      <c r="EQ434" s="78"/>
      <c r="ER434" s="78"/>
      <c r="ES434" s="78"/>
      <c r="ET434" s="78"/>
      <c r="EU434" s="78"/>
      <c r="EV434" s="78"/>
      <c r="EW434" s="78"/>
      <c r="EX434" s="78"/>
      <c r="EY434" s="78"/>
      <c r="EZ434" s="78"/>
      <c r="FA434" s="78"/>
      <c r="FB434" s="78"/>
      <c r="FC434" s="78"/>
      <c r="FD434" s="78"/>
      <c r="FE434" s="78"/>
      <c r="FF434" s="78"/>
      <c r="FG434" s="78"/>
      <c r="FH434" s="78"/>
      <c r="FI434" s="78"/>
      <c r="FJ434" s="78"/>
      <c r="FK434" s="78"/>
    </row>
    <row r="435" spans="1:167" hidden="1" outlineLevel="1">
      <c r="A435" s="29" t="str">
        <f t="shared" si="35"/>
        <v>modesg_out_sfcs_taxon_europeiacod_regra</v>
      </c>
      <c r="B435" s="67" t="s">
        <v>26</v>
      </c>
      <c r="C435" s="68" t="s">
        <v>310</v>
      </c>
      <c r="D435" s="64" t="s">
        <v>40</v>
      </c>
      <c r="E435" s="66" t="s">
        <v>333</v>
      </c>
      <c r="F435" s="64" t="s">
        <v>191</v>
      </c>
      <c r="G435" s="64" t="e">
        <f>INDEX(Auxiliar!$B$16:$B$24,MATCH(Plano_V1!H435,Auxiliar!$C$16:$C$24,0),1)</f>
        <v>#N/A</v>
      </c>
      <c r="H435" s="64" t="e">
        <f>VLOOKUP(A435,'Aux - pivots1'!$A:$B,2,0)</f>
        <v>#N/A</v>
      </c>
      <c r="I435" s="84">
        <f>SUMIFS(Table1[Estimação (horas)],Table1[Tabela],Plano_V1!E435,Table1[Campo],Plano_V1!F435)</f>
        <v>0</v>
      </c>
      <c r="J435" s="84">
        <f t="shared" si="36"/>
        <v>0</v>
      </c>
      <c r="K435" s="87" t="s">
        <v>334</v>
      </c>
      <c r="L435" s="90">
        <f t="shared" si="34"/>
        <v>0</v>
      </c>
      <c r="M435" s="78"/>
      <c r="N435" s="78"/>
      <c r="O435" s="78"/>
      <c r="P435" s="78"/>
      <c r="Q435" s="78"/>
      <c r="R435" s="78"/>
      <c r="S435" s="78"/>
      <c r="T435" s="78"/>
      <c r="U435" s="78"/>
      <c r="V435" s="78"/>
      <c r="W435" s="78"/>
      <c r="X435" s="78"/>
      <c r="Y435" s="78"/>
      <c r="Z435" s="78"/>
      <c r="AA435" s="78"/>
      <c r="AB435" s="78"/>
      <c r="AC435" s="78"/>
      <c r="AD435" s="78"/>
      <c r="AE435" s="78"/>
      <c r="AF435" s="78"/>
      <c r="AG435" s="78"/>
      <c r="AH435" s="78"/>
      <c r="AI435" s="78"/>
      <c r="AJ435" s="78"/>
      <c r="AK435" s="78"/>
      <c r="AL435" s="78"/>
      <c r="AM435" s="78"/>
      <c r="AN435" s="78"/>
      <c r="AO435" s="78"/>
      <c r="AP435" s="78"/>
      <c r="AQ435" s="78"/>
      <c r="AR435" s="78"/>
      <c r="AS435" s="78"/>
      <c r="AT435" s="91"/>
      <c r="AU435" s="78"/>
      <c r="AV435" s="78"/>
      <c r="AW435" s="78"/>
      <c r="AX435" s="78"/>
      <c r="AY435" s="78"/>
      <c r="AZ435" s="78"/>
      <c r="BA435" s="78"/>
      <c r="BB435" s="78"/>
      <c r="BC435" s="78"/>
      <c r="BD435" s="78"/>
      <c r="BE435" s="78"/>
      <c r="BF435" s="78"/>
      <c r="BG435" s="78"/>
      <c r="BH435" s="78"/>
      <c r="BI435" s="78"/>
      <c r="BJ435" s="78"/>
      <c r="BK435" s="78"/>
      <c r="BL435" s="78"/>
      <c r="BM435" s="78"/>
      <c r="BN435" s="78"/>
      <c r="BO435" s="78"/>
      <c r="BP435" s="78"/>
      <c r="BQ435" s="78"/>
      <c r="BR435" s="78"/>
      <c r="BS435" s="78"/>
      <c r="BT435" s="78"/>
      <c r="BU435" s="78"/>
      <c r="BV435" s="78"/>
      <c r="BW435" s="78"/>
      <c r="BX435" s="78"/>
      <c r="BY435" s="78"/>
      <c r="BZ435" s="78"/>
      <c r="CA435" s="78"/>
      <c r="CB435" s="78"/>
      <c r="CC435" s="78"/>
      <c r="CD435" s="78"/>
      <c r="CE435" s="78"/>
      <c r="CF435" s="78"/>
      <c r="CG435" s="78"/>
      <c r="CH435" s="78"/>
      <c r="CI435" s="78"/>
      <c r="CJ435" s="78"/>
      <c r="CK435" s="78"/>
      <c r="CL435" s="78"/>
      <c r="CM435" s="78"/>
      <c r="CN435" s="78"/>
      <c r="CO435" s="78"/>
      <c r="CP435" s="78"/>
      <c r="CQ435" s="78"/>
      <c r="CR435" s="78"/>
      <c r="CS435" s="78"/>
      <c r="CT435" s="78"/>
      <c r="CU435" s="78"/>
      <c r="CV435" s="78"/>
      <c r="CW435" s="78"/>
      <c r="CX435" s="78"/>
      <c r="CY435" s="78"/>
      <c r="CZ435" s="78"/>
      <c r="DA435" s="78"/>
      <c r="DB435" s="78"/>
      <c r="DC435" s="78"/>
      <c r="DD435" s="78"/>
      <c r="DE435" s="78"/>
      <c r="DF435" s="78"/>
      <c r="DG435" s="78"/>
      <c r="DH435" s="78"/>
      <c r="DI435" s="78"/>
      <c r="DJ435" s="78"/>
      <c r="DK435" s="78"/>
      <c r="DL435" s="78"/>
      <c r="DM435" s="78"/>
      <c r="DN435" s="78"/>
      <c r="DO435" s="78"/>
      <c r="DP435" s="78"/>
      <c r="DQ435" s="78"/>
      <c r="DR435" s="78"/>
      <c r="DS435" s="78"/>
      <c r="DT435" s="78"/>
      <c r="DU435" s="78"/>
      <c r="DV435" s="78"/>
      <c r="DW435" s="78"/>
      <c r="DX435" s="78"/>
      <c r="DY435" s="78"/>
      <c r="DZ435" s="78"/>
      <c r="EA435" s="78"/>
      <c r="EB435" s="78"/>
      <c r="EC435" s="78"/>
      <c r="ED435" s="78"/>
      <c r="EE435" s="78"/>
      <c r="EF435" s="78"/>
      <c r="EG435" s="78"/>
      <c r="EH435" s="78"/>
      <c r="EI435" s="91"/>
      <c r="EJ435" s="91"/>
      <c r="EK435" s="91"/>
      <c r="EL435" s="91"/>
      <c r="EM435" s="91"/>
      <c r="EN435" s="91"/>
      <c r="EO435" s="91"/>
      <c r="EP435" s="78"/>
      <c r="EQ435" s="78"/>
      <c r="ER435" s="78"/>
      <c r="ES435" s="78"/>
      <c r="ET435" s="78"/>
      <c r="EU435" s="78"/>
      <c r="EV435" s="78"/>
      <c r="EW435" s="78"/>
      <c r="EX435" s="78"/>
      <c r="EY435" s="78"/>
      <c r="EZ435" s="78"/>
      <c r="FA435" s="78"/>
      <c r="FB435" s="78"/>
      <c r="FC435" s="78"/>
      <c r="FD435" s="78"/>
      <c r="FE435" s="78"/>
      <c r="FF435" s="78"/>
      <c r="FG435" s="78"/>
      <c r="FH435" s="78"/>
      <c r="FI435" s="78"/>
      <c r="FJ435" s="78"/>
      <c r="FK435" s="78"/>
    </row>
    <row r="436" spans="1:167" hidden="1" outlineLevel="1">
      <c r="A436" s="29" t="str">
        <f t="shared" si="35"/>
        <v>modesg_out_sfcs_taxon_europeiaordem</v>
      </c>
      <c r="B436" s="67" t="s">
        <v>26</v>
      </c>
      <c r="C436" s="68" t="s">
        <v>310</v>
      </c>
      <c r="D436" s="64" t="s">
        <v>40</v>
      </c>
      <c r="E436" s="66" t="s">
        <v>333</v>
      </c>
      <c r="F436" s="64" t="s">
        <v>211</v>
      </c>
      <c r="G436" s="64" t="e">
        <f>INDEX(Auxiliar!$B$16:$B$24,MATCH(Plano_V1!H436,Auxiliar!$C$16:$C$24,0),1)</f>
        <v>#N/A</v>
      </c>
      <c r="H436" s="64" t="e">
        <f>VLOOKUP(A436,'Aux - pivots1'!$A:$B,2,0)</f>
        <v>#N/A</v>
      </c>
      <c r="I436" s="84">
        <f>SUMIFS(Table1[Estimação (horas)],Table1[Tabela],Plano_V1!E436,Table1[Campo],Plano_V1!F436)</f>
        <v>0</v>
      </c>
      <c r="J436" s="84">
        <f t="shared" si="36"/>
        <v>0</v>
      </c>
      <c r="K436" s="87" t="s">
        <v>334</v>
      </c>
      <c r="L436" s="90">
        <f t="shared" si="34"/>
        <v>0</v>
      </c>
      <c r="M436" s="78"/>
      <c r="N436" s="78"/>
      <c r="O436" s="78"/>
      <c r="P436" s="78"/>
      <c r="Q436" s="78"/>
      <c r="R436" s="78"/>
      <c r="S436" s="78"/>
      <c r="T436" s="78"/>
      <c r="U436" s="78"/>
      <c r="V436" s="78"/>
      <c r="W436" s="78"/>
      <c r="X436" s="78"/>
      <c r="Y436" s="78"/>
      <c r="Z436" s="78"/>
      <c r="AA436" s="78"/>
      <c r="AB436" s="78"/>
      <c r="AC436" s="78"/>
      <c r="AD436" s="78"/>
      <c r="AE436" s="78"/>
      <c r="AF436" s="78"/>
      <c r="AG436" s="78"/>
      <c r="AH436" s="78"/>
      <c r="AI436" s="78"/>
      <c r="AJ436" s="78"/>
      <c r="AK436" s="78"/>
      <c r="AL436" s="78"/>
      <c r="AM436" s="78"/>
      <c r="AN436" s="78"/>
      <c r="AO436" s="78"/>
      <c r="AP436" s="78"/>
      <c r="AQ436" s="78"/>
      <c r="AR436" s="78"/>
      <c r="AS436" s="78"/>
      <c r="AT436" s="91"/>
      <c r="AU436" s="78"/>
      <c r="AV436" s="78"/>
      <c r="AW436" s="78"/>
      <c r="AX436" s="78"/>
      <c r="AY436" s="78"/>
      <c r="AZ436" s="78"/>
      <c r="BA436" s="78"/>
      <c r="BB436" s="78"/>
      <c r="BC436" s="78"/>
      <c r="BD436" s="78"/>
      <c r="BE436" s="78"/>
      <c r="BF436" s="78"/>
      <c r="BG436" s="78"/>
      <c r="BH436" s="78"/>
      <c r="BI436" s="78"/>
      <c r="BJ436" s="78"/>
      <c r="BK436" s="78"/>
      <c r="BL436" s="78"/>
      <c r="BM436" s="78"/>
      <c r="BN436" s="78"/>
      <c r="BO436" s="78"/>
      <c r="BP436" s="78"/>
      <c r="BQ436" s="78"/>
      <c r="BR436" s="78"/>
      <c r="BS436" s="78"/>
      <c r="BT436" s="78"/>
      <c r="BU436" s="78"/>
      <c r="BV436" s="78"/>
      <c r="BW436" s="78"/>
      <c r="BX436" s="78"/>
      <c r="BY436" s="78"/>
      <c r="BZ436" s="78"/>
      <c r="CA436" s="78"/>
      <c r="CB436" s="78"/>
      <c r="CC436" s="78"/>
      <c r="CD436" s="78"/>
      <c r="CE436" s="78"/>
      <c r="CF436" s="78"/>
      <c r="CG436" s="78"/>
      <c r="CH436" s="78"/>
      <c r="CI436" s="78"/>
      <c r="CJ436" s="78"/>
      <c r="CK436" s="78"/>
      <c r="CL436" s="78"/>
      <c r="CM436" s="78"/>
      <c r="CN436" s="78"/>
      <c r="CO436" s="78"/>
      <c r="CP436" s="78"/>
      <c r="CQ436" s="78"/>
      <c r="CR436" s="78"/>
      <c r="CS436" s="78"/>
      <c r="CT436" s="78"/>
      <c r="CU436" s="78"/>
      <c r="CV436" s="78"/>
      <c r="CW436" s="78"/>
      <c r="CX436" s="78"/>
      <c r="CY436" s="78"/>
      <c r="CZ436" s="78"/>
      <c r="DA436" s="78"/>
      <c r="DB436" s="78"/>
      <c r="DC436" s="78"/>
      <c r="DD436" s="78"/>
      <c r="DE436" s="78"/>
      <c r="DF436" s="78"/>
      <c r="DG436" s="78"/>
      <c r="DH436" s="78"/>
      <c r="DI436" s="78"/>
      <c r="DJ436" s="78"/>
      <c r="DK436" s="78"/>
      <c r="DL436" s="78"/>
      <c r="DM436" s="78"/>
      <c r="DN436" s="78"/>
      <c r="DO436" s="78"/>
      <c r="DP436" s="78"/>
      <c r="DQ436" s="78"/>
      <c r="DR436" s="78"/>
      <c r="DS436" s="78"/>
      <c r="DT436" s="78"/>
      <c r="DU436" s="78"/>
      <c r="DV436" s="78"/>
      <c r="DW436" s="78"/>
      <c r="DX436" s="78"/>
      <c r="DY436" s="78"/>
      <c r="DZ436" s="78"/>
      <c r="EA436" s="78"/>
      <c r="EB436" s="78"/>
      <c r="EC436" s="78"/>
      <c r="ED436" s="78"/>
      <c r="EE436" s="78"/>
      <c r="EF436" s="78"/>
      <c r="EG436" s="78"/>
      <c r="EH436" s="78"/>
      <c r="EI436" s="91"/>
      <c r="EJ436" s="91"/>
      <c r="EK436" s="91"/>
      <c r="EL436" s="91"/>
      <c r="EM436" s="91"/>
      <c r="EN436" s="91"/>
      <c r="EO436" s="91"/>
      <c r="EP436" s="78"/>
      <c r="EQ436" s="78"/>
      <c r="ER436" s="78"/>
      <c r="ES436" s="78"/>
      <c r="ET436" s="78"/>
      <c r="EU436" s="78"/>
      <c r="EV436" s="78"/>
      <c r="EW436" s="78"/>
      <c r="EX436" s="78"/>
      <c r="EY436" s="78"/>
      <c r="EZ436" s="78"/>
      <c r="FA436" s="78"/>
      <c r="FB436" s="78"/>
      <c r="FC436" s="78"/>
      <c r="FD436" s="78"/>
      <c r="FE436" s="78"/>
      <c r="FF436" s="78"/>
      <c r="FG436" s="78"/>
      <c r="FH436" s="78"/>
      <c r="FI436" s="78"/>
      <c r="FJ436" s="78"/>
      <c r="FK436" s="78"/>
    </row>
    <row r="437" spans="1:167" hidden="1" outlineLevel="1">
      <c r="A437" s="29" t="str">
        <f t="shared" si="35"/>
        <v>modesg_out_sfcs_taxon_europeiamontante_pndrc</v>
      </c>
      <c r="B437" s="67" t="s">
        <v>26</v>
      </c>
      <c r="C437" s="68" t="s">
        <v>310</v>
      </c>
      <c r="D437" s="64" t="s">
        <v>40</v>
      </c>
      <c r="E437" s="66" t="s">
        <v>333</v>
      </c>
      <c r="F437" s="64" t="s">
        <v>202</v>
      </c>
      <c r="G437" s="64" t="e">
        <f>INDEX(Auxiliar!$B$16:$B$24,MATCH(Plano_V1!H437,Auxiliar!$C$16:$C$24,0),1)</f>
        <v>#N/A</v>
      </c>
      <c r="H437" s="64" t="e">
        <f>VLOOKUP(A437,'Aux - pivots1'!$A:$B,2,0)</f>
        <v>#N/A</v>
      </c>
      <c r="I437" s="84">
        <f>SUMIFS(Table1[Estimação (horas)],Table1[Tabela],Plano_V1!E437,Table1[Campo],Plano_V1!F437)</f>
        <v>0</v>
      </c>
      <c r="J437" s="84">
        <f t="shared" si="36"/>
        <v>0</v>
      </c>
      <c r="K437" s="87" t="s">
        <v>334</v>
      </c>
      <c r="L437" s="90">
        <f t="shared" si="34"/>
        <v>0</v>
      </c>
      <c r="M437" s="78"/>
      <c r="N437" s="78"/>
      <c r="O437" s="78"/>
      <c r="P437" s="78"/>
      <c r="Q437" s="78"/>
      <c r="R437" s="78"/>
      <c r="S437" s="78"/>
      <c r="T437" s="78"/>
      <c r="U437" s="78"/>
      <c r="V437" s="78"/>
      <c r="W437" s="78"/>
      <c r="X437" s="78"/>
      <c r="Y437" s="78"/>
      <c r="Z437" s="78"/>
      <c r="AA437" s="78"/>
      <c r="AB437" s="78"/>
      <c r="AC437" s="78"/>
      <c r="AD437" s="78"/>
      <c r="AE437" s="78"/>
      <c r="AF437" s="78"/>
      <c r="AG437" s="78"/>
      <c r="AH437" s="78"/>
      <c r="AI437" s="78"/>
      <c r="AJ437" s="78"/>
      <c r="AK437" s="78"/>
      <c r="AL437" s="78"/>
      <c r="AM437" s="78"/>
      <c r="AN437" s="78"/>
      <c r="AO437" s="78"/>
      <c r="AP437" s="78"/>
      <c r="AQ437" s="78"/>
      <c r="AR437" s="78"/>
      <c r="AS437" s="78"/>
      <c r="AT437" s="91"/>
      <c r="AU437" s="78"/>
      <c r="AV437" s="78"/>
      <c r="AW437" s="78"/>
      <c r="AX437" s="78"/>
      <c r="AY437" s="78"/>
      <c r="AZ437" s="78"/>
      <c r="BA437" s="78"/>
      <c r="BB437" s="78"/>
      <c r="BC437" s="78"/>
      <c r="BD437" s="78"/>
      <c r="BE437" s="78"/>
      <c r="BF437" s="78"/>
      <c r="BG437" s="78"/>
      <c r="BH437" s="78"/>
      <c r="BI437" s="78"/>
      <c r="BJ437" s="78"/>
      <c r="BK437" s="78"/>
      <c r="BL437" s="78"/>
      <c r="BM437" s="78"/>
      <c r="BN437" s="78"/>
      <c r="BO437" s="78"/>
      <c r="BP437" s="78"/>
      <c r="BQ437" s="78"/>
      <c r="BR437" s="78"/>
      <c r="BS437" s="78"/>
      <c r="BT437" s="78"/>
      <c r="BU437" s="78"/>
      <c r="BV437" s="78"/>
      <c r="BW437" s="78"/>
      <c r="BX437" s="78"/>
      <c r="BY437" s="78"/>
      <c r="BZ437" s="78"/>
      <c r="CA437" s="78"/>
      <c r="CB437" s="78"/>
      <c r="CC437" s="78"/>
      <c r="CD437" s="78"/>
      <c r="CE437" s="78"/>
      <c r="CF437" s="78"/>
      <c r="CG437" s="78"/>
      <c r="CH437" s="78"/>
      <c r="CI437" s="78"/>
      <c r="CJ437" s="78"/>
      <c r="CK437" s="78"/>
      <c r="CL437" s="78"/>
      <c r="CM437" s="78"/>
      <c r="CN437" s="78"/>
      <c r="CO437" s="78"/>
      <c r="CP437" s="78"/>
      <c r="CQ437" s="78"/>
      <c r="CR437" s="78"/>
      <c r="CS437" s="78"/>
      <c r="CT437" s="78"/>
      <c r="CU437" s="78"/>
      <c r="CV437" s="78"/>
      <c r="CW437" s="78"/>
      <c r="CX437" s="78"/>
      <c r="CY437" s="78"/>
      <c r="CZ437" s="78"/>
      <c r="DA437" s="78"/>
      <c r="DB437" s="78"/>
      <c r="DC437" s="78"/>
      <c r="DD437" s="78"/>
      <c r="DE437" s="78"/>
      <c r="DF437" s="78"/>
      <c r="DG437" s="78"/>
      <c r="DH437" s="78"/>
      <c r="DI437" s="78"/>
      <c r="DJ437" s="78"/>
      <c r="DK437" s="78"/>
      <c r="DL437" s="78"/>
      <c r="DM437" s="78"/>
      <c r="DN437" s="78"/>
      <c r="DO437" s="78"/>
      <c r="DP437" s="78"/>
      <c r="DQ437" s="78"/>
      <c r="DR437" s="78"/>
      <c r="DS437" s="78"/>
      <c r="DT437" s="78"/>
      <c r="DU437" s="78"/>
      <c r="DV437" s="78"/>
      <c r="DW437" s="78"/>
      <c r="DX437" s="78"/>
      <c r="DY437" s="78"/>
      <c r="DZ437" s="78"/>
      <c r="EA437" s="78"/>
      <c r="EB437" s="78"/>
      <c r="EC437" s="78"/>
      <c r="ED437" s="78"/>
      <c r="EE437" s="78"/>
      <c r="EF437" s="78"/>
      <c r="EG437" s="78"/>
      <c r="EH437" s="78"/>
      <c r="EI437" s="91"/>
      <c r="EJ437" s="91"/>
      <c r="EK437" s="91"/>
      <c r="EL437" s="91"/>
      <c r="EM437" s="91"/>
      <c r="EN437" s="91"/>
      <c r="EO437" s="91"/>
      <c r="EP437" s="78"/>
      <c r="EQ437" s="78"/>
      <c r="ER437" s="78"/>
      <c r="ES437" s="78"/>
      <c r="ET437" s="78"/>
      <c r="EU437" s="78"/>
      <c r="EV437" s="78"/>
      <c r="EW437" s="78"/>
      <c r="EX437" s="78"/>
      <c r="EY437" s="78"/>
      <c r="EZ437" s="78"/>
      <c r="FA437" s="78"/>
      <c r="FB437" s="78"/>
      <c r="FC437" s="78"/>
      <c r="FD437" s="78"/>
      <c r="FE437" s="78"/>
      <c r="FF437" s="78"/>
      <c r="FG437" s="78"/>
      <c r="FH437" s="78"/>
      <c r="FI437" s="78"/>
      <c r="FJ437" s="78"/>
      <c r="FK437" s="78"/>
    </row>
    <row r="438" spans="1:167" hidden="1" outlineLevel="1">
      <c r="A438" s="29" t="str">
        <f t="shared" si="35"/>
        <v>modesg_out_sfcs_taxon_europeianome_ctgr_sfcs</v>
      </c>
      <c r="B438" s="67" t="s">
        <v>26</v>
      </c>
      <c r="C438" s="68" t="s">
        <v>310</v>
      </c>
      <c r="D438" s="64" t="s">
        <v>40</v>
      </c>
      <c r="E438" s="66" t="s">
        <v>333</v>
      </c>
      <c r="F438" s="64" t="s">
        <v>203</v>
      </c>
      <c r="G438" s="64" t="e">
        <f>INDEX(Auxiliar!$B$16:$B$24,MATCH(Plano_V1!H438,Auxiliar!$C$16:$C$24,0),1)</f>
        <v>#N/A</v>
      </c>
      <c r="H438" s="64" t="e">
        <f>VLOOKUP(A438,'Aux - pivots1'!$A:$B,2,0)</f>
        <v>#N/A</v>
      </c>
      <c r="I438" s="84">
        <f>SUMIFS(Table1[Estimação (horas)],Table1[Tabela],Plano_V1!E438,Table1[Campo],Plano_V1!F438)</f>
        <v>0</v>
      </c>
      <c r="J438" s="84">
        <f t="shared" si="36"/>
        <v>0</v>
      </c>
      <c r="K438" s="87" t="s">
        <v>334</v>
      </c>
      <c r="L438" s="90">
        <f t="shared" si="34"/>
        <v>0</v>
      </c>
      <c r="M438" s="78"/>
      <c r="N438" s="78"/>
      <c r="O438" s="78"/>
      <c r="P438" s="78"/>
      <c r="Q438" s="78"/>
      <c r="R438" s="78"/>
      <c r="S438" s="78"/>
      <c r="T438" s="78"/>
      <c r="U438" s="78"/>
      <c r="V438" s="78"/>
      <c r="W438" s="78"/>
      <c r="X438" s="78"/>
      <c r="Y438" s="78"/>
      <c r="Z438" s="78"/>
      <c r="AA438" s="78"/>
      <c r="AB438" s="78"/>
      <c r="AC438" s="78"/>
      <c r="AD438" s="78"/>
      <c r="AE438" s="78"/>
      <c r="AF438" s="78"/>
      <c r="AG438" s="78"/>
      <c r="AH438" s="78"/>
      <c r="AI438" s="78"/>
      <c r="AJ438" s="78"/>
      <c r="AK438" s="78"/>
      <c r="AL438" s="78"/>
      <c r="AM438" s="78"/>
      <c r="AN438" s="78"/>
      <c r="AO438" s="78"/>
      <c r="AP438" s="78"/>
      <c r="AQ438" s="78"/>
      <c r="AR438" s="78"/>
      <c r="AS438" s="78"/>
      <c r="AT438" s="91"/>
      <c r="AU438" s="78"/>
      <c r="AV438" s="78"/>
      <c r="AW438" s="78"/>
      <c r="AX438" s="78"/>
      <c r="AY438" s="78"/>
      <c r="AZ438" s="78"/>
      <c r="BA438" s="78"/>
      <c r="BB438" s="78"/>
      <c r="BC438" s="78"/>
      <c r="BD438" s="78"/>
      <c r="BE438" s="78"/>
      <c r="BF438" s="78"/>
      <c r="BG438" s="78"/>
      <c r="BH438" s="78"/>
      <c r="BI438" s="78"/>
      <c r="BJ438" s="78"/>
      <c r="BK438" s="78"/>
      <c r="BL438" s="78"/>
      <c r="BM438" s="78"/>
      <c r="BN438" s="78"/>
      <c r="BO438" s="78"/>
      <c r="BP438" s="78"/>
      <c r="BQ438" s="78"/>
      <c r="BR438" s="78"/>
      <c r="BS438" s="78"/>
      <c r="BT438" s="78"/>
      <c r="BU438" s="78"/>
      <c r="BV438" s="78"/>
      <c r="BW438" s="78"/>
      <c r="BX438" s="78"/>
      <c r="BY438" s="78"/>
      <c r="BZ438" s="78"/>
      <c r="CA438" s="78"/>
      <c r="CB438" s="78"/>
      <c r="CC438" s="78"/>
      <c r="CD438" s="78"/>
      <c r="CE438" s="78"/>
      <c r="CF438" s="78"/>
      <c r="CG438" s="78"/>
      <c r="CH438" s="78"/>
      <c r="CI438" s="78"/>
      <c r="CJ438" s="78"/>
      <c r="CK438" s="78"/>
      <c r="CL438" s="78"/>
      <c r="CM438" s="78"/>
      <c r="CN438" s="78"/>
      <c r="CO438" s="78"/>
      <c r="CP438" s="78"/>
      <c r="CQ438" s="78"/>
      <c r="CR438" s="78"/>
      <c r="CS438" s="78"/>
      <c r="CT438" s="78"/>
      <c r="CU438" s="78"/>
      <c r="CV438" s="78"/>
      <c r="CW438" s="78"/>
      <c r="CX438" s="78"/>
      <c r="CY438" s="78"/>
      <c r="CZ438" s="78"/>
      <c r="DA438" s="78"/>
      <c r="DB438" s="78"/>
      <c r="DC438" s="78"/>
      <c r="DD438" s="78"/>
      <c r="DE438" s="78"/>
      <c r="DF438" s="78"/>
      <c r="DG438" s="78"/>
      <c r="DH438" s="78"/>
      <c r="DI438" s="78"/>
      <c r="DJ438" s="78"/>
      <c r="DK438" s="78"/>
      <c r="DL438" s="78"/>
      <c r="DM438" s="78"/>
      <c r="DN438" s="78"/>
      <c r="DO438" s="78"/>
      <c r="DP438" s="78"/>
      <c r="DQ438" s="78"/>
      <c r="DR438" s="78"/>
      <c r="DS438" s="78"/>
      <c r="DT438" s="78"/>
      <c r="DU438" s="78"/>
      <c r="DV438" s="78"/>
      <c r="DW438" s="78"/>
      <c r="DX438" s="78"/>
      <c r="DY438" s="78"/>
      <c r="DZ438" s="78"/>
      <c r="EA438" s="78"/>
      <c r="EB438" s="78"/>
      <c r="EC438" s="78"/>
      <c r="ED438" s="78"/>
      <c r="EE438" s="78"/>
      <c r="EF438" s="78"/>
      <c r="EG438" s="78"/>
      <c r="EH438" s="78"/>
      <c r="EI438" s="91"/>
      <c r="EJ438" s="91"/>
      <c r="EK438" s="91"/>
      <c r="EL438" s="91"/>
      <c r="EM438" s="91"/>
      <c r="EN438" s="91"/>
      <c r="EO438" s="91"/>
      <c r="EP438" s="78"/>
      <c r="EQ438" s="78"/>
      <c r="ER438" s="78"/>
      <c r="ES438" s="78"/>
      <c r="ET438" s="78"/>
      <c r="EU438" s="78"/>
      <c r="EV438" s="78"/>
      <c r="EW438" s="78"/>
      <c r="EX438" s="78"/>
      <c r="EY438" s="78"/>
      <c r="EZ438" s="78"/>
      <c r="FA438" s="78"/>
      <c r="FB438" s="78"/>
      <c r="FC438" s="78"/>
      <c r="FD438" s="78"/>
      <c r="FE438" s="78"/>
      <c r="FF438" s="78"/>
      <c r="FG438" s="78"/>
      <c r="FH438" s="78"/>
      <c r="FI438" s="78"/>
      <c r="FJ438" s="78"/>
      <c r="FK438" s="78"/>
    </row>
    <row r="439" spans="1:167" hidden="1" outlineLevel="1">
      <c r="A439" s="29" t="str">
        <f t="shared" si="35"/>
        <v>modesg_out_sfcs_taxon_europeianome_general_specific_purpose</v>
      </c>
      <c r="B439" s="67" t="s">
        <v>26</v>
      </c>
      <c r="C439" s="68" t="s">
        <v>310</v>
      </c>
      <c r="D439" s="64" t="s">
        <v>40</v>
      </c>
      <c r="E439" s="66" t="s">
        <v>333</v>
      </c>
      <c r="F439" s="64" t="s">
        <v>204</v>
      </c>
      <c r="G439" s="64" t="e">
        <f>INDEX(Auxiliar!$B$16:$B$24,MATCH(Plano_V1!H439,Auxiliar!$C$16:$C$24,0),1)</f>
        <v>#N/A</v>
      </c>
      <c r="H439" s="64" t="e">
        <f>VLOOKUP(A439,'Aux - pivots1'!$A:$B,2,0)</f>
        <v>#N/A</v>
      </c>
      <c r="I439" s="84">
        <f>SUMIFS(Table1[Estimação (horas)],Table1[Tabela],Plano_V1!E439,Table1[Campo],Plano_V1!F439)</f>
        <v>0</v>
      </c>
      <c r="J439" s="84">
        <f t="shared" si="36"/>
        <v>0</v>
      </c>
      <c r="K439" s="87" t="s">
        <v>334</v>
      </c>
      <c r="L439" s="90">
        <f t="shared" si="34"/>
        <v>0</v>
      </c>
      <c r="M439" s="78"/>
      <c r="N439" s="78"/>
      <c r="O439" s="78"/>
      <c r="P439" s="78"/>
      <c r="Q439" s="78"/>
      <c r="R439" s="78"/>
      <c r="S439" s="78"/>
      <c r="T439" s="78"/>
      <c r="U439" s="78"/>
      <c r="V439" s="78"/>
      <c r="W439" s="78"/>
      <c r="X439" s="78"/>
      <c r="Y439" s="78"/>
      <c r="Z439" s="78"/>
      <c r="AA439" s="78"/>
      <c r="AB439" s="78"/>
      <c r="AC439" s="78"/>
      <c r="AD439" s="78"/>
      <c r="AE439" s="78"/>
      <c r="AF439" s="78"/>
      <c r="AG439" s="78"/>
      <c r="AH439" s="78"/>
      <c r="AI439" s="78"/>
      <c r="AJ439" s="78"/>
      <c r="AK439" s="78"/>
      <c r="AL439" s="78"/>
      <c r="AM439" s="78"/>
      <c r="AN439" s="78"/>
      <c r="AO439" s="78"/>
      <c r="AP439" s="78"/>
      <c r="AQ439" s="78"/>
      <c r="AR439" s="78"/>
      <c r="AS439" s="78"/>
      <c r="AT439" s="91"/>
      <c r="AU439" s="78"/>
      <c r="AV439" s="78"/>
      <c r="AW439" s="78"/>
      <c r="AX439" s="78"/>
      <c r="AY439" s="78"/>
      <c r="AZ439" s="78"/>
      <c r="BA439" s="78"/>
      <c r="BB439" s="78"/>
      <c r="BC439" s="78"/>
      <c r="BD439" s="78"/>
      <c r="BE439" s="78"/>
      <c r="BF439" s="78"/>
      <c r="BG439" s="78"/>
      <c r="BH439" s="78"/>
      <c r="BI439" s="78"/>
      <c r="BJ439" s="78"/>
      <c r="BK439" s="78"/>
      <c r="BL439" s="78"/>
      <c r="BM439" s="78"/>
      <c r="BN439" s="78"/>
      <c r="BO439" s="78"/>
      <c r="BP439" s="78"/>
      <c r="BQ439" s="78"/>
      <c r="BR439" s="78"/>
      <c r="BS439" s="78"/>
      <c r="BT439" s="78"/>
      <c r="BU439" s="78"/>
      <c r="BV439" s="78"/>
      <c r="BW439" s="78"/>
      <c r="BX439" s="78"/>
      <c r="BY439" s="78"/>
      <c r="BZ439" s="78"/>
      <c r="CA439" s="78"/>
      <c r="CB439" s="78"/>
      <c r="CC439" s="78"/>
      <c r="CD439" s="78"/>
      <c r="CE439" s="78"/>
      <c r="CF439" s="78"/>
      <c r="CG439" s="78"/>
      <c r="CH439" s="78"/>
      <c r="CI439" s="78"/>
      <c r="CJ439" s="78"/>
      <c r="CK439" s="78"/>
      <c r="CL439" s="78"/>
      <c r="CM439" s="78"/>
      <c r="CN439" s="78"/>
      <c r="CO439" s="78"/>
      <c r="CP439" s="78"/>
      <c r="CQ439" s="78"/>
      <c r="CR439" s="78"/>
      <c r="CS439" s="78"/>
      <c r="CT439" s="78"/>
      <c r="CU439" s="78"/>
      <c r="CV439" s="78"/>
      <c r="CW439" s="78"/>
      <c r="CX439" s="78"/>
      <c r="CY439" s="78"/>
      <c r="CZ439" s="78"/>
      <c r="DA439" s="78"/>
      <c r="DB439" s="78"/>
      <c r="DC439" s="78"/>
      <c r="DD439" s="78"/>
      <c r="DE439" s="78"/>
      <c r="DF439" s="78"/>
      <c r="DG439" s="78"/>
      <c r="DH439" s="78"/>
      <c r="DI439" s="78"/>
      <c r="DJ439" s="78"/>
      <c r="DK439" s="78"/>
      <c r="DL439" s="78"/>
      <c r="DM439" s="78"/>
      <c r="DN439" s="78"/>
      <c r="DO439" s="78"/>
      <c r="DP439" s="78"/>
      <c r="DQ439" s="78"/>
      <c r="DR439" s="78"/>
      <c r="DS439" s="78"/>
      <c r="DT439" s="78"/>
      <c r="DU439" s="78"/>
      <c r="DV439" s="78"/>
      <c r="DW439" s="78"/>
      <c r="DX439" s="78"/>
      <c r="DY439" s="78"/>
      <c r="DZ439" s="78"/>
      <c r="EA439" s="78"/>
      <c r="EB439" s="78"/>
      <c r="EC439" s="78"/>
      <c r="ED439" s="78"/>
      <c r="EE439" s="78"/>
      <c r="EF439" s="78"/>
      <c r="EG439" s="78"/>
      <c r="EH439" s="78"/>
      <c r="EI439" s="91"/>
      <c r="EJ439" s="91"/>
      <c r="EK439" s="91"/>
      <c r="EL439" s="91"/>
      <c r="EM439" s="91"/>
      <c r="EN439" s="91"/>
      <c r="EO439" s="91"/>
      <c r="EP439" s="78"/>
      <c r="EQ439" s="78"/>
      <c r="ER439" s="78"/>
      <c r="ES439" s="78"/>
      <c r="ET439" s="78"/>
      <c r="EU439" s="78"/>
      <c r="EV439" s="78"/>
      <c r="EW439" s="78"/>
      <c r="EX439" s="78"/>
      <c r="EY439" s="78"/>
      <c r="EZ439" s="78"/>
      <c r="FA439" s="78"/>
      <c r="FB439" s="78"/>
      <c r="FC439" s="78"/>
      <c r="FD439" s="78"/>
      <c r="FE439" s="78"/>
      <c r="FF439" s="78"/>
      <c r="FG439" s="78"/>
      <c r="FH439" s="78"/>
      <c r="FI439" s="78"/>
      <c r="FJ439" s="78"/>
      <c r="FK439" s="78"/>
    </row>
    <row r="440" spans="1:167" hidden="1" outlineLevel="1">
      <c r="A440" s="29" t="str">
        <f t="shared" si="35"/>
        <v>modesg_out_sfcs_taxon_europeianome_purpose_esg</v>
      </c>
      <c r="B440" s="67" t="s">
        <v>26</v>
      </c>
      <c r="C440" s="68" t="s">
        <v>310</v>
      </c>
      <c r="D440" s="64" t="s">
        <v>40</v>
      </c>
      <c r="E440" s="66" t="s">
        <v>333</v>
      </c>
      <c r="F440" s="64" t="s">
        <v>205</v>
      </c>
      <c r="G440" s="64" t="e">
        <f>INDEX(Auxiliar!$B$16:$B$24,MATCH(Plano_V1!H440,Auxiliar!$C$16:$C$24,0),1)</f>
        <v>#N/A</v>
      </c>
      <c r="H440" s="64" t="e">
        <f>VLOOKUP(A440,'Aux - pivots1'!$A:$B,2,0)</f>
        <v>#N/A</v>
      </c>
      <c r="I440" s="84">
        <f>SUMIFS(Table1[Estimação (horas)],Table1[Tabela],Plano_V1!E440,Table1[Campo],Plano_V1!F440)</f>
        <v>0</v>
      </c>
      <c r="J440" s="84">
        <f t="shared" si="36"/>
        <v>0</v>
      </c>
      <c r="K440" s="87" t="s">
        <v>334</v>
      </c>
      <c r="L440" s="90">
        <f t="shared" si="34"/>
        <v>0</v>
      </c>
      <c r="M440" s="78"/>
      <c r="N440" s="78"/>
      <c r="O440" s="78"/>
      <c r="P440" s="78"/>
      <c r="Q440" s="78"/>
      <c r="R440" s="78"/>
      <c r="S440" s="78"/>
      <c r="T440" s="78"/>
      <c r="U440" s="78"/>
      <c r="V440" s="78"/>
      <c r="W440" s="78"/>
      <c r="X440" s="78"/>
      <c r="Y440" s="78"/>
      <c r="Z440" s="78"/>
      <c r="AA440" s="78"/>
      <c r="AB440" s="78"/>
      <c r="AC440" s="78"/>
      <c r="AD440" s="78"/>
      <c r="AE440" s="78"/>
      <c r="AF440" s="78"/>
      <c r="AG440" s="78"/>
      <c r="AH440" s="78"/>
      <c r="AI440" s="78"/>
      <c r="AJ440" s="78"/>
      <c r="AK440" s="78"/>
      <c r="AL440" s="78"/>
      <c r="AM440" s="78"/>
      <c r="AN440" s="78"/>
      <c r="AO440" s="78"/>
      <c r="AP440" s="78"/>
      <c r="AQ440" s="78"/>
      <c r="AR440" s="78"/>
      <c r="AS440" s="78"/>
      <c r="AT440" s="91"/>
      <c r="AU440" s="78"/>
      <c r="AV440" s="78"/>
      <c r="AW440" s="78"/>
      <c r="AX440" s="78"/>
      <c r="AY440" s="78"/>
      <c r="AZ440" s="78"/>
      <c r="BA440" s="78"/>
      <c r="BB440" s="78"/>
      <c r="BC440" s="78"/>
      <c r="BD440" s="78"/>
      <c r="BE440" s="78"/>
      <c r="BF440" s="78"/>
      <c r="BG440" s="78"/>
      <c r="BH440" s="78"/>
      <c r="BI440" s="78"/>
      <c r="BJ440" s="78"/>
      <c r="BK440" s="78"/>
      <c r="BL440" s="78"/>
      <c r="BM440" s="78"/>
      <c r="BN440" s="78"/>
      <c r="BO440" s="78"/>
      <c r="BP440" s="78"/>
      <c r="BQ440" s="78"/>
      <c r="BR440" s="78"/>
      <c r="BS440" s="78"/>
      <c r="BT440" s="78"/>
      <c r="BU440" s="78"/>
      <c r="BV440" s="78"/>
      <c r="BW440" s="78"/>
      <c r="BX440" s="78"/>
      <c r="BY440" s="78"/>
      <c r="BZ440" s="78"/>
      <c r="CA440" s="78"/>
      <c r="CB440" s="78"/>
      <c r="CC440" s="78"/>
      <c r="CD440" s="78"/>
      <c r="CE440" s="78"/>
      <c r="CF440" s="78"/>
      <c r="CG440" s="78"/>
      <c r="CH440" s="78"/>
      <c r="CI440" s="78"/>
      <c r="CJ440" s="78"/>
      <c r="CK440" s="78"/>
      <c r="CL440" s="78"/>
      <c r="CM440" s="78"/>
      <c r="CN440" s="78"/>
      <c r="CO440" s="78"/>
      <c r="CP440" s="78"/>
      <c r="CQ440" s="78"/>
      <c r="CR440" s="78"/>
      <c r="CS440" s="78"/>
      <c r="CT440" s="78"/>
      <c r="CU440" s="78"/>
      <c r="CV440" s="78"/>
      <c r="CW440" s="78"/>
      <c r="CX440" s="78"/>
      <c r="CY440" s="78"/>
      <c r="CZ440" s="78"/>
      <c r="DA440" s="78"/>
      <c r="DB440" s="78"/>
      <c r="DC440" s="78"/>
      <c r="DD440" s="78"/>
      <c r="DE440" s="78"/>
      <c r="DF440" s="78"/>
      <c r="DG440" s="78"/>
      <c r="DH440" s="78"/>
      <c r="DI440" s="78"/>
      <c r="DJ440" s="78"/>
      <c r="DK440" s="78"/>
      <c r="DL440" s="78"/>
      <c r="DM440" s="78"/>
      <c r="DN440" s="78"/>
      <c r="DO440" s="78"/>
      <c r="DP440" s="78"/>
      <c r="DQ440" s="78"/>
      <c r="DR440" s="78"/>
      <c r="DS440" s="78"/>
      <c r="DT440" s="78"/>
      <c r="DU440" s="78"/>
      <c r="DV440" s="78"/>
      <c r="DW440" s="78"/>
      <c r="DX440" s="78"/>
      <c r="DY440" s="78"/>
      <c r="DZ440" s="78"/>
      <c r="EA440" s="78"/>
      <c r="EB440" s="78"/>
      <c r="EC440" s="78"/>
      <c r="ED440" s="78"/>
      <c r="EE440" s="78"/>
      <c r="EF440" s="78"/>
      <c r="EG440" s="78"/>
      <c r="EH440" s="78"/>
      <c r="EI440" s="91"/>
      <c r="EJ440" s="91"/>
      <c r="EK440" s="91"/>
      <c r="EL440" s="91"/>
      <c r="EM440" s="91"/>
      <c r="EN440" s="91"/>
      <c r="EO440" s="91"/>
      <c r="EP440" s="78"/>
      <c r="EQ440" s="78"/>
      <c r="ER440" s="78"/>
      <c r="ES440" s="78"/>
      <c r="ET440" s="78"/>
      <c r="EU440" s="78"/>
      <c r="EV440" s="78"/>
      <c r="EW440" s="78"/>
      <c r="EX440" s="78"/>
      <c r="EY440" s="78"/>
      <c r="EZ440" s="78"/>
      <c r="FA440" s="78"/>
      <c r="FB440" s="78"/>
      <c r="FC440" s="78"/>
      <c r="FD440" s="78"/>
      <c r="FE440" s="78"/>
      <c r="FF440" s="78"/>
      <c r="FG440" s="78"/>
      <c r="FH440" s="78"/>
      <c r="FI440" s="78"/>
      <c r="FJ440" s="78"/>
      <c r="FK440" s="78"/>
    </row>
    <row r="441" spans="1:167" hidden="1" outlineLevel="1">
      <c r="A441" s="29" t="str">
        <f t="shared" si="35"/>
        <v>modesg_out_sfcs_taxon_europeianome_specific_eligible</v>
      </c>
      <c r="B441" s="67" t="s">
        <v>26</v>
      </c>
      <c r="C441" s="68" t="s">
        <v>310</v>
      </c>
      <c r="D441" s="64" t="s">
        <v>40</v>
      </c>
      <c r="E441" s="66" t="s">
        <v>333</v>
      </c>
      <c r="F441" s="64" t="s">
        <v>206</v>
      </c>
      <c r="G441" s="64" t="e">
        <f>INDEX(Auxiliar!$B$16:$B$24,MATCH(Plano_V1!H441,Auxiliar!$C$16:$C$24,0),1)</f>
        <v>#N/A</v>
      </c>
      <c r="H441" s="64" t="e">
        <f>VLOOKUP(A441,'Aux - pivots1'!$A:$B,2,0)</f>
        <v>#N/A</v>
      </c>
      <c r="I441" s="84">
        <f>SUMIFS(Table1[Estimação (horas)],Table1[Tabela],Plano_V1!E441,Table1[Campo],Plano_V1!F441)</f>
        <v>0</v>
      </c>
      <c r="J441" s="84">
        <f t="shared" si="36"/>
        <v>0</v>
      </c>
      <c r="K441" s="87" t="s">
        <v>334</v>
      </c>
      <c r="L441" s="90">
        <f t="shared" si="34"/>
        <v>0</v>
      </c>
      <c r="M441" s="78"/>
      <c r="N441" s="78"/>
      <c r="O441" s="78"/>
      <c r="P441" s="78"/>
      <c r="Q441" s="78"/>
      <c r="R441" s="78"/>
      <c r="S441" s="78"/>
      <c r="T441" s="78"/>
      <c r="U441" s="78"/>
      <c r="V441" s="78"/>
      <c r="W441" s="78"/>
      <c r="X441" s="78"/>
      <c r="Y441" s="78"/>
      <c r="Z441" s="78"/>
      <c r="AA441" s="78"/>
      <c r="AB441" s="78"/>
      <c r="AC441" s="78"/>
      <c r="AD441" s="78"/>
      <c r="AE441" s="78"/>
      <c r="AF441" s="78"/>
      <c r="AG441" s="78"/>
      <c r="AH441" s="78"/>
      <c r="AI441" s="78"/>
      <c r="AJ441" s="78"/>
      <c r="AK441" s="78"/>
      <c r="AL441" s="78"/>
      <c r="AM441" s="78"/>
      <c r="AN441" s="78"/>
      <c r="AO441" s="78"/>
      <c r="AP441" s="78"/>
      <c r="AQ441" s="78"/>
      <c r="AR441" s="78"/>
      <c r="AS441" s="78"/>
      <c r="AT441" s="91"/>
      <c r="AU441" s="78"/>
      <c r="AV441" s="78"/>
      <c r="AW441" s="78"/>
      <c r="AX441" s="78"/>
      <c r="AY441" s="78"/>
      <c r="AZ441" s="78"/>
      <c r="BA441" s="78"/>
      <c r="BB441" s="78"/>
      <c r="BC441" s="78"/>
      <c r="BD441" s="78"/>
      <c r="BE441" s="78"/>
      <c r="BF441" s="78"/>
      <c r="BG441" s="78"/>
      <c r="BH441" s="78"/>
      <c r="BI441" s="78"/>
      <c r="BJ441" s="78"/>
      <c r="BK441" s="78"/>
      <c r="BL441" s="78"/>
      <c r="BM441" s="78"/>
      <c r="BN441" s="78"/>
      <c r="BO441" s="78"/>
      <c r="BP441" s="78"/>
      <c r="BQ441" s="78"/>
      <c r="BR441" s="78"/>
      <c r="BS441" s="78"/>
      <c r="BT441" s="78"/>
      <c r="BU441" s="78"/>
      <c r="BV441" s="78"/>
      <c r="BW441" s="78"/>
      <c r="BX441" s="78"/>
      <c r="BY441" s="78"/>
      <c r="BZ441" s="78"/>
      <c r="CA441" s="78"/>
      <c r="CB441" s="78"/>
      <c r="CC441" s="78"/>
      <c r="CD441" s="78"/>
      <c r="CE441" s="78"/>
      <c r="CF441" s="78"/>
      <c r="CG441" s="78"/>
      <c r="CH441" s="78"/>
      <c r="CI441" s="78"/>
      <c r="CJ441" s="78"/>
      <c r="CK441" s="78"/>
      <c r="CL441" s="78"/>
      <c r="CM441" s="78"/>
      <c r="CN441" s="78"/>
      <c r="CO441" s="78"/>
      <c r="CP441" s="78"/>
      <c r="CQ441" s="78"/>
      <c r="CR441" s="78"/>
      <c r="CS441" s="78"/>
      <c r="CT441" s="78"/>
      <c r="CU441" s="78"/>
      <c r="CV441" s="78"/>
      <c r="CW441" s="78"/>
      <c r="CX441" s="78"/>
      <c r="CY441" s="78"/>
      <c r="CZ441" s="78"/>
      <c r="DA441" s="78"/>
      <c r="DB441" s="78"/>
      <c r="DC441" s="78"/>
      <c r="DD441" s="78"/>
      <c r="DE441" s="78"/>
      <c r="DF441" s="78"/>
      <c r="DG441" s="78"/>
      <c r="DH441" s="78"/>
      <c r="DI441" s="78"/>
      <c r="DJ441" s="78"/>
      <c r="DK441" s="78"/>
      <c r="DL441" s="78"/>
      <c r="DM441" s="78"/>
      <c r="DN441" s="78"/>
      <c r="DO441" s="78"/>
      <c r="DP441" s="78"/>
      <c r="DQ441" s="78"/>
      <c r="DR441" s="78"/>
      <c r="DS441" s="78"/>
      <c r="DT441" s="78"/>
      <c r="DU441" s="78"/>
      <c r="DV441" s="78"/>
      <c r="DW441" s="78"/>
      <c r="DX441" s="78"/>
      <c r="DY441" s="78"/>
      <c r="DZ441" s="78"/>
      <c r="EA441" s="78"/>
      <c r="EB441" s="78"/>
      <c r="EC441" s="78"/>
      <c r="ED441" s="78"/>
      <c r="EE441" s="78"/>
      <c r="EF441" s="78"/>
      <c r="EG441" s="78"/>
      <c r="EH441" s="78"/>
      <c r="EI441" s="91"/>
      <c r="EJ441" s="91"/>
      <c r="EK441" s="91"/>
      <c r="EL441" s="91"/>
      <c r="EM441" s="91"/>
      <c r="EN441" s="91"/>
      <c r="EO441" s="91"/>
      <c r="EP441" s="78"/>
      <c r="EQ441" s="78"/>
      <c r="ER441" s="78"/>
      <c r="ES441" s="78"/>
      <c r="ET441" s="78"/>
      <c r="EU441" s="78"/>
      <c r="EV441" s="78"/>
      <c r="EW441" s="78"/>
      <c r="EX441" s="78"/>
      <c r="EY441" s="78"/>
      <c r="EZ441" s="78"/>
      <c r="FA441" s="78"/>
      <c r="FB441" s="78"/>
      <c r="FC441" s="78"/>
      <c r="FD441" s="78"/>
      <c r="FE441" s="78"/>
      <c r="FF441" s="78"/>
      <c r="FG441" s="78"/>
      <c r="FH441" s="78"/>
      <c r="FI441" s="78"/>
      <c r="FJ441" s="78"/>
      <c r="FK441" s="78"/>
    </row>
    <row r="442" spans="1:167" hidden="1" outlineLevel="1">
      <c r="A442" s="29" t="str">
        <f t="shared" si="35"/>
        <v>modesg_out_sfcs_taxon_europeianome_specific_sustainable</v>
      </c>
      <c r="B442" s="67" t="s">
        <v>26</v>
      </c>
      <c r="C442" s="68" t="s">
        <v>310</v>
      </c>
      <c r="D442" s="64" t="s">
        <v>40</v>
      </c>
      <c r="E442" s="66" t="s">
        <v>333</v>
      </c>
      <c r="F442" s="64" t="s">
        <v>207</v>
      </c>
      <c r="G442" s="64" t="e">
        <f>INDEX(Auxiliar!$B$16:$B$24,MATCH(Plano_V1!H442,Auxiliar!$C$16:$C$24,0),1)</f>
        <v>#N/A</v>
      </c>
      <c r="H442" s="64" t="e">
        <f>VLOOKUP(A442,'Aux - pivots1'!$A:$B,2,0)</f>
        <v>#N/A</v>
      </c>
      <c r="I442" s="84">
        <f>SUMIFS(Table1[Estimação (horas)],Table1[Tabela],Plano_V1!E442,Table1[Campo],Plano_V1!F442)</f>
        <v>0</v>
      </c>
      <c r="J442" s="84">
        <f t="shared" si="36"/>
        <v>0</v>
      </c>
      <c r="K442" s="87" t="s">
        <v>334</v>
      </c>
      <c r="L442" s="90">
        <f t="shared" si="34"/>
        <v>0</v>
      </c>
      <c r="M442" s="78"/>
      <c r="N442" s="78"/>
      <c r="O442" s="78"/>
      <c r="P442" s="78"/>
      <c r="Q442" s="78"/>
      <c r="R442" s="78"/>
      <c r="S442" s="78"/>
      <c r="T442" s="78"/>
      <c r="U442" s="78"/>
      <c r="V442" s="78"/>
      <c r="W442" s="78"/>
      <c r="X442" s="78"/>
      <c r="Y442" s="78"/>
      <c r="Z442" s="78"/>
      <c r="AA442" s="78"/>
      <c r="AB442" s="78"/>
      <c r="AC442" s="78"/>
      <c r="AD442" s="78"/>
      <c r="AE442" s="78"/>
      <c r="AF442" s="78"/>
      <c r="AG442" s="78"/>
      <c r="AH442" s="78"/>
      <c r="AI442" s="78"/>
      <c r="AJ442" s="78"/>
      <c r="AK442" s="78"/>
      <c r="AL442" s="78"/>
      <c r="AM442" s="78"/>
      <c r="AN442" s="78"/>
      <c r="AO442" s="78"/>
      <c r="AP442" s="78"/>
      <c r="AQ442" s="78"/>
      <c r="AR442" s="78"/>
      <c r="AS442" s="78"/>
      <c r="AT442" s="91"/>
      <c r="AU442" s="78"/>
      <c r="AV442" s="78"/>
      <c r="AW442" s="78"/>
      <c r="AX442" s="78"/>
      <c r="AY442" s="78"/>
      <c r="AZ442" s="78"/>
      <c r="BA442" s="78"/>
      <c r="BB442" s="78"/>
      <c r="BC442" s="78"/>
      <c r="BD442" s="78"/>
      <c r="BE442" s="78"/>
      <c r="BF442" s="78"/>
      <c r="BG442" s="78"/>
      <c r="BH442" s="78"/>
      <c r="BI442" s="78"/>
      <c r="BJ442" s="78"/>
      <c r="BK442" s="78"/>
      <c r="BL442" s="78"/>
      <c r="BM442" s="78"/>
      <c r="BN442" s="78"/>
      <c r="BO442" s="78"/>
      <c r="BP442" s="78"/>
      <c r="BQ442" s="78"/>
      <c r="BR442" s="78"/>
      <c r="BS442" s="78"/>
      <c r="BT442" s="78"/>
      <c r="BU442" s="78"/>
      <c r="BV442" s="78"/>
      <c r="BW442" s="78"/>
      <c r="BX442" s="78"/>
      <c r="BY442" s="78"/>
      <c r="BZ442" s="78"/>
      <c r="CA442" s="78"/>
      <c r="CB442" s="78"/>
      <c r="CC442" s="78"/>
      <c r="CD442" s="78"/>
      <c r="CE442" s="78"/>
      <c r="CF442" s="78"/>
      <c r="CG442" s="78"/>
      <c r="CH442" s="78"/>
      <c r="CI442" s="78"/>
      <c r="CJ442" s="78"/>
      <c r="CK442" s="78"/>
      <c r="CL442" s="78"/>
      <c r="CM442" s="78"/>
      <c r="CN442" s="78"/>
      <c r="CO442" s="78"/>
      <c r="CP442" s="78"/>
      <c r="CQ442" s="78"/>
      <c r="CR442" s="78"/>
      <c r="CS442" s="78"/>
      <c r="CT442" s="78"/>
      <c r="CU442" s="78"/>
      <c r="CV442" s="78"/>
      <c r="CW442" s="78"/>
      <c r="CX442" s="78"/>
      <c r="CY442" s="78"/>
      <c r="CZ442" s="78"/>
      <c r="DA442" s="78"/>
      <c r="DB442" s="78"/>
      <c r="DC442" s="78"/>
      <c r="DD442" s="78"/>
      <c r="DE442" s="78"/>
      <c r="DF442" s="78"/>
      <c r="DG442" s="78"/>
      <c r="DH442" s="78"/>
      <c r="DI442" s="78"/>
      <c r="DJ442" s="78"/>
      <c r="DK442" s="78"/>
      <c r="DL442" s="78"/>
      <c r="DM442" s="78"/>
      <c r="DN442" s="78"/>
      <c r="DO442" s="78"/>
      <c r="DP442" s="78"/>
      <c r="DQ442" s="78"/>
      <c r="DR442" s="78"/>
      <c r="DS442" s="78"/>
      <c r="DT442" s="78"/>
      <c r="DU442" s="78"/>
      <c r="DV442" s="78"/>
      <c r="DW442" s="78"/>
      <c r="DX442" s="78"/>
      <c r="DY442" s="78"/>
      <c r="DZ442" s="78"/>
      <c r="EA442" s="78"/>
      <c r="EB442" s="78"/>
      <c r="EC442" s="78"/>
      <c r="ED442" s="78"/>
      <c r="EE442" s="78"/>
      <c r="EF442" s="78"/>
      <c r="EG442" s="78"/>
      <c r="EH442" s="78"/>
      <c r="EI442" s="91"/>
      <c r="EJ442" s="91"/>
      <c r="EK442" s="91"/>
      <c r="EL442" s="91"/>
      <c r="EM442" s="91"/>
      <c r="EN442" s="91"/>
      <c r="EO442" s="91"/>
      <c r="EP442" s="78"/>
      <c r="EQ442" s="78"/>
      <c r="ER442" s="78"/>
      <c r="ES442" s="78"/>
      <c r="ET442" s="78"/>
      <c r="EU442" s="78"/>
      <c r="EV442" s="78"/>
      <c r="EW442" s="78"/>
      <c r="EX442" s="78"/>
      <c r="EY442" s="78"/>
      <c r="EZ442" s="78"/>
      <c r="FA442" s="78"/>
      <c r="FB442" s="78"/>
      <c r="FC442" s="78"/>
      <c r="FD442" s="78"/>
      <c r="FE442" s="78"/>
      <c r="FF442" s="78"/>
      <c r="FG442" s="78"/>
      <c r="FH442" s="78"/>
      <c r="FI442" s="78"/>
      <c r="FJ442" s="78"/>
      <c r="FK442" s="78"/>
    </row>
    <row r="443" spans="1:167" hidden="1" outlineLevel="1">
      <c r="A443" s="29" t="str">
        <f t="shared" si="35"/>
        <v>modesg_out_sfcs_taxon_europeiaorigem</v>
      </c>
      <c r="B443" s="67" t="s">
        <v>26</v>
      </c>
      <c r="C443" s="68" t="s">
        <v>310</v>
      </c>
      <c r="D443" s="64" t="s">
        <v>40</v>
      </c>
      <c r="E443" s="66" t="s">
        <v>333</v>
      </c>
      <c r="F443" s="64" t="s">
        <v>72</v>
      </c>
      <c r="G443" s="64" t="e">
        <f>INDEX(Auxiliar!$B$16:$B$24,MATCH(Plano_V1!H443,Auxiliar!$C$16:$C$24,0),1)</f>
        <v>#N/A</v>
      </c>
      <c r="H443" s="64" t="e">
        <f>VLOOKUP(A443,'Aux - pivots1'!$A:$B,2,0)</f>
        <v>#N/A</v>
      </c>
      <c r="I443" s="84">
        <f>SUMIFS(Table1[Estimação (horas)],Table1[Tabela],Plano_V1!E443,Table1[Campo],Plano_V1!F443)</f>
        <v>0</v>
      </c>
      <c r="J443" s="84">
        <f t="shared" si="36"/>
        <v>0</v>
      </c>
      <c r="K443" s="87" t="s">
        <v>334</v>
      </c>
      <c r="L443" s="90">
        <f t="shared" si="34"/>
        <v>0</v>
      </c>
      <c r="M443" s="78"/>
      <c r="N443" s="78"/>
      <c r="O443" s="78"/>
      <c r="P443" s="78"/>
      <c r="Q443" s="78"/>
      <c r="R443" s="78"/>
      <c r="S443" s="78"/>
      <c r="T443" s="78"/>
      <c r="U443" s="78"/>
      <c r="V443" s="78"/>
      <c r="W443" s="78"/>
      <c r="X443" s="78"/>
      <c r="Y443" s="78"/>
      <c r="Z443" s="78"/>
      <c r="AA443" s="78"/>
      <c r="AB443" s="78"/>
      <c r="AC443" s="78"/>
      <c r="AD443" s="78"/>
      <c r="AE443" s="78"/>
      <c r="AF443" s="78"/>
      <c r="AG443" s="78"/>
      <c r="AH443" s="78"/>
      <c r="AI443" s="78"/>
      <c r="AJ443" s="78"/>
      <c r="AK443" s="78"/>
      <c r="AL443" s="78"/>
      <c r="AM443" s="78"/>
      <c r="AN443" s="78"/>
      <c r="AO443" s="78"/>
      <c r="AP443" s="78"/>
      <c r="AQ443" s="78"/>
      <c r="AR443" s="78"/>
      <c r="AS443" s="78"/>
      <c r="AT443" s="91"/>
      <c r="AU443" s="78"/>
      <c r="AV443" s="78"/>
      <c r="AW443" s="78"/>
      <c r="AX443" s="78"/>
      <c r="AY443" s="78"/>
      <c r="AZ443" s="78"/>
      <c r="BA443" s="78"/>
      <c r="BB443" s="78"/>
      <c r="BC443" s="78"/>
      <c r="BD443" s="78"/>
      <c r="BE443" s="78"/>
      <c r="BF443" s="78"/>
      <c r="BG443" s="78"/>
      <c r="BH443" s="78"/>
      <c r="BI443" s="78"/>
      <c r="BJ443" s="78"/>
      <c r="BK443" s="78"/>
      <c r="BL443" s="78"/>
      <c r="BM443" s="78"/>
      <c r="BN443" s="78"/>
      <c r="BO443" s="78"/>
      <c r="BP443" s="78"/>
      <c r="BQ443" s="78"/>
      <c r="BR443" s="78"/>
      <c r="BS443" s="78"/>
      <c r="BT443" s="78"/>
      <c r="BU443" s="78"/>
      <c r="BV443" s="78"/>
      <c r="BW443" s="78"/>
      <c r="BX443" s="78"/>
      <c r="BY443" s="78"/>
      <c r="BZ443" s="78"/>
      <c r="CA443" s="78"/>
      <c r="CB443" s="78"/>
      <c r="CC443" s="78"/>
      <c r="CD443" s="78"/>
      <c r="CE443" s="78"/>
      <c r="CF443" s="78"/>
      <c r="CG443" s="78"/>
      <c r="CH443" s="78"/>
      <c r="CI443" s="78"/>
      <c r="CJ443" s="78"/>
      <c r="CK443" s="78"/>
      <c r="CL443" s="78"/>
      <c r="CM443" s="78"/>
      <c r="CN443" s="78"/>
      <c r="CO443" s="78"/>
      <c r="CP443" s="78"/>
      <c r="CQ443" s="78"/>
      <c r="CR443" s="78"/>
      <c r="CS443" s="78"/>
      <c r="CT443" s="78"/>
      <c r="CU443" s="78"/>
      <c r="CV443" s="78"/>
      <c r="CW443" s="78"/>
      <c r="CX443" s="78"/>
      <c r="CY443" s="78"/>
      <c r="CZ443" s="78"/>
      <c r="DA443" s="78"/>
      <c r="DB443" s="78"/>
      <c r="DC443" s="78"/>
      <c r="DD443" s="78"/>
      <c r="DE443" s="78"/>
      <c r="DF443" s="78"/>
      <c r="DG443" s="78"/>
      <c r="DH443" s="78"/>
      <c r="DI443" s="78"/>
      <c r="DJ443" s="78"/>
      <c r="DK443" s="78"/>
      <c r="DL443" s="78"/>
      <c r="DM443" s="78"/>
      <c r="DN443" s="78"/>
      <c r="DO443" s="78"/>
      <c r="DP443" s="78"/>
      <c r="DQ443" s="78"/>
      <c r="DR443" s="78"/>
      <c r="DS443" s="78"/>
      <c r="DT443" s="78"/>
      <c r="DU443" s="78"/>
      <c r="DV443" s="78"/>
      <c r="DW443" s="78"/>
      <c r="DX443" s="78"/>
      <c r="DY443" s="78"/>
      <c r="DZ443" s="78"/>
      <c r="EA443" s="78"/>
      <c r="EB443" s="78"/>
      <c r="EC443" s="78"/>
      <c r="ED443" s="78"/>
      <c r="EE443" s="78"/>
      <c r="EF443" s="78"/>
      <c r="EG443" s="78"/>
      <c r="EH443" s="78"/>
      <c r="EI443" s="91"/>
      <c r="EJ443" s="91"/>
      <c r="EK443" s="91"/>
      <c r="EL443" s="91"/>
      <c r="EM443" s="91"/>
      <c r="EN443" s="91"/>
      <c r="EO443" s="91"/>
      <c r="EP443" s="78"/>
      <c r="EQ443" s="78"/>
      <c r="ER443" s="78"/>
      <c r="ES443" s="78"/>
      <c r="ET443" s="78"/>
      <c r="EU443" s="78"/>
      <c r="EV443" s="78"/>
      <c r="EW443" s="78"/>
      <c r="EX443" s="78"/>
      <c r="EY443" s="78"/>
      <c r="EZ443" s="78"/>
      <c r="FA443" s="78"/>
      <c r="FB443" s="78"/>
      <c r="FC443" s="78"/>
      <c r="FD443" s="78"/>
      <c r="FE443" s="78"/>
      <c r="FF443" s="78"/>
      <c r="FG443" s="78"/>
      <c r="FH443" s="78"/>
      <c r="FI443" s="78"/>
      <c r="FJ443" s="78"/>
      <c r="FK443" s="78"/>
    </row>
    <row r="444" spans="1:167" hidden="1" outlineLevel="1">
      <c r="A444" s="29" t="str">
        <f t="shared" si="35"/>
        <v>modesg_out_sfcs_taxon_europeiaref_date</v>
      </c>
      <c r="B444" s="67" t="s">
        <v>26</v>
      </c>
      <c r="C444" s="68" t="s">
        <v>310</v>
      </c>
      <c r="D444" s="64" t="s">
        <v>40</v>
      </c>
      <c r="E444" s="66" t="s">
        <v>333</v>
      </c>
      <c r="F444" s="64" t="s">
        <v>208</v>
      </c>
      <c r="G444" s="64" t="e">
        <f>INDEX(Auxiliar!$B$16:$B$24,MATCH(Plano_V1!H444,Auxiliar!$C$16:$C$24,0),1)</f>
        <v>#N/A</v>
      </c>
      <c r="H444" s="64" t="e">
        <f>VLOOKUP(A444,'Aux - pivots1'!$A:$B,2,0)</f>
        <v>#N/A</v>
      </c>
      <c r="I444" s="84">
        <f>SUMIFS(Table1[Estimação (horas)],Table1[Tabela],Plano_V1!E444,Table1[Campo],Plano_V1!F444)</f>
        <v>0</v>
      </c>
      <c r="J444" s="84">
        <f t="shared" si="36"/>
        <v>0</v>
      </c>
      <c r="K444" s="87" t="s">
        <v>334</v>
      </c>
      <c r="L444" s="90">
        <f t="shared" si="34"/>
        <v>0</v>
      </c>
      <c r="M444" s="78"/>
      <c r="N444" s="78"/>
      <c r="O444" s="78"/>
      <c r="P444" s="78"/>
      <c r="Q444" s="78"/>
      <c r="R444" s="78"/>
      <c r="S444" s="78"/>
      <c r="T444" s="78"/>
      <c r="U444" s="78"/>
      <c r="V444" s="78"/>
      <c r="W444" s="78"/>
      <c r="X444" s="78"/>
      <c r="Y444" s="78"/>
      <c r="Z444" s="78"/>
      <c r="AA444" s="78"/>
      <c r="AB444" s="78"/>
      <c r="AC444" s="78"/>
      <c r="AD444" s="78"/>
      <c r="AE444" s="78"/>
      <c r="AF444" s="78"/>
      <c r="AG444" s="78"/>
      <c r="AH444" s="78"/>
      <c r="AI444" s="78"/>
      <c r="AJ444" s="78"/>
      <c r="AK444" s="78"/>
      <c r="AL444" s="78"/>
      <c r="AM444" s="78"/>
      <c r="AN444" s="78"/>
      <c r="AO444" s="78"/>
      <c r="AP444" s="78"/>
      <c r="AQ444" s="78"/>
      <c r="AR444" s="78"/>
      <c r="AS444" s="78"/>
      <c r="AT444" s="91"/>
      <c r="AU444" s="78"/>
      <c r="AV444" s="78"/>
      <c r="AW444" s="78"/>
      <c r="AX444" s="78"/>
      <c r="AY444" s="78"/>
      <c r="AZ444" s="78"/>
      <c r="BA444" s="78"/>
      <c r="BB444" s="78"/>
      <c r="BC444" s="78"/>
      <c r="BD444" s="78"/>
      <c r="BE444" s="78"/>
      <c r="BF444" s="78"/>
      <c r="BG444" s="78"/>
      <c r="BH444" s="78"/>
      <c r="BI444" s="78"/>
      <c r="BJ444" s="78"/>
      <c r="BK444" s="78"/>
      <c r="BL444" s="78"/>
      <c r="BM444" s="78"/>
      <c r="BN444" s="78"/>
      <c r="BO444" s="78"/>
      <c r="BP444" s="78"/>
      <c r="BQ444" s="78"/>
      <c r="BR444" s="78"/>
      <c r="BS444" s="78"/>
      <c r="BT444" s="78"/>
      <c r="BU444" s="78"/>
      <c r="BV444" s="78"/>
      <c r="BW444" s="78"/>
      <c r="BX444" s="78"/>
      <c r="BY444" s="78"/>
      <c r="BZ444" s="78"/>
      <c r="CA444" s="78"/>
      <c r="CB444" s="78"/>
      <c r="CC444" s="78"/>
      <c r="CD444" s="78"/>
      <c r="CE444" s="78"/>
      <c r="CF444" s="78"/>
      <c r="CG444" s="78"/>
      <c r="CH444" s="78"/>
      <c r="CI444" s="78"/>
      <c r="CJ444" s="78"/>
      <c r="CK444" s="78"/>
      <c r="CL444" s="78"/>
      <c r="CM444" s="78"/>
      <c r="CN444" s="78"/>
      <c r="CO444" s="78"/>
      <c r="CP444" s="78"/>
      <c r="CQ444" s="78"/>
      <c r="CR444" s="78"/>
      <c r="CS444" s="78"/>
      <c r="CT444" s="78"/>
      <c r="CU444" s="78"/>
      <c r="CV444" s="78"/>
      <c r="CW444" s="78"/>
      <c r="CX444" s="78"/>
      <c r="CY444" s="78"/>
      <c r="CZ444" s="78"/>
      <c r="DA444" s="78"/>
      <c r="DB444" s="78"/>
      <c r="DC444" s="78"/>
      <c r="DD444" s="78"/>
      <c r="DE444" s="78"/>
      <c r="DF444" s="78"/>
      <c r="DG444" s="78"/>
      <c r="DH444" s="78"/>
      <c r="DI444" s="78"/>
      <c r="DJ444" s="78"/>
      <c r="DK444" s="78"/>
      <c r="DL444" s="78"/>
      <c r="DM444" s="78"/>
      <c r="DN444" s="78"/>
      <c r="DO444" s="78"/>
      <c r="DP444" s="78"/>
      <c r="DQ444" s="78"/>
      <c r="DR444" s="78"/>
      <c r="DS444" s="78"/>
      <c r="DT444" s="78"/>
      <c r="DU444" s="78"/>
      <c r="DV444" s="78"/>
      <c r="DW444" s="78"/>
      <c r="DX444" s="78"/>
      <c r="DY444" s="78"/>
      <c r="DZ444" s="78"/>
      <c r="EA444" s="78"/>
      <c r="EB444" s="78"/>
      <c r="EC444" s="78"/>
      <c r="ED444" s="78"/>
      <c r="EE444" s="78"/>
      <c r="EF444" s="78"/>
      <c r="EG444" s="78"/>
      <c r="EH444" s="78"/>
      <c r="EI444" s="91"/>
      <c r="EJ444" s="91"/>
      <c r="EK444" s="91"/>
      <c r="EL444" s="91"/>
      <c r="EM444" s="91"/>
      <c r="EN444" s="91"/>
      <c r="EO444" s="91"/>
      <c r="EP444" s="78"/>
      <c r="EQ444" s="78"/>
      <c r="ER444" s="78"/>
      <c r="ES444" s="78"/>
      <c r="ET444" s="78"/>
      <c r="EU444" s="78"/>
      <c r="EV444" s="78"/>
      <c r="EW444" s="78"/>
      <c r="EX444" s="78"/>
      <c r="EY444" s="78"/>
      <c r="EZ444" s="78"/>
      <c r="FA444" s="78"/>
      <c r="FB444" s="78"/>
      <c r="FC444" s="78"/>
      <c r="FD444" s="78"/>
      <c r="FE444" s="78"/>
      <c r="FF444" s="78"/>
      <c r="FG444" s="78"/>
      <c r="FH444" s="78"/>
      <c r="FI444" s="78"/>
      <c r="FJ444" s="78"/>
      <c r="FK444" s="78"/>
    </row>
    <row r="445" spans="1:167" hidden="1" outlineLevel="1">
      <c r="A445" s="29" t="str">
        <f t="shared" si="35"/>
        <v>modesg_out_sfcs_taxon_europeiazdeposit</v>
      </c>
      <c r="B445" s="67" t="s">
        <v>26</v>
      </c>
      <c r="C445" s="68" t="s">
        <v>310</v>
      </c>
      <c r="D445" s="64" t="s">
        <v>40</v>
      </c>
      <c r="E445" s="66" t="s">
        <v>333</v>
      </c>
      <c r="F445" s="64" t="s">
        <v>210</v>
      </c>
      <c r="G445" s="64" t="e">
        <f>INDEX(Auxiliar!$B$16:$B$24,MATCH(Plano_V1!H445,Auxiliar!$C$16:$C$24,0),1)</f>
        <v>#N/A</v>
      </c>
      <c r="H445" s="64" t="e">
        <f>VLOOKUP(A445,'Aux - pivots1'!$A:$B,2,0)</f>
        <v>#N/A</v>
      </c>
      <c r="I445" s="84">
        <f>SUMIFS(Table1[Estimação (horas)],Table1[Tabela],Plano_V1!E445,Table1[Campo],Plano_V1!F445)</f>
        <v>0</v>
      </c>
      <c r="J445" s="84">
        <f t="shared" si="36"/>
        <v>0</v>
      </c>
      <c r="K445" s="87" t="s">
        <v>334</v>
      </c>
      <c r="L445" s="90">
        <f t="shared" si="34"/>
        <v>0</v>
      </c>
      <c r="M445" s="78"/>
      <c r="N445" s="78"/>
      <c r="O445" s="78"/>
      <c r="P445" s="78"/>
      <c r="Q445" s="78"/>
      <c r="R445" s="78"/>
      <c r="S445" s="78"/>
      <c r="T445" s="78"/>
      <c r="U445" s="78"/>
      <c r="V445" s="78"/>
      <c r="W445" s="78"/>
      <c r="X445" s="78"/>
      <c r="Y445" s="78"/>
      <c r="Z445" s="78"/>
      <c r="AA445" s="78"/>
      <c r="AB445" s="78"/>
      <c r="AC445" s="78"/>
      <c r="AD445" s="78"/>
      <c r="AE445" s="78"/>
      <c r="AF445" s="78"/>
      <c r="AG445" s="78"/>
      <c r="AH445" s="78"/>
      <c r="AI445" s="78"/>
      <c r="AJ445" s="78"/>
      <c r="AK445" s="78"/>
      <c r="AL445" s="78"/>
      <c r="AM445" s="78"/>
      <c r="AN445" s="78"/>
      <c r="AO445" s="78"/>
      <c r="AP445" s="78"/>
      <c r="AQ445" s="78"/>
      <c r="AR445" s="78"/>
      <c r="AS445" s="78"/>
      <c r="AT445" s="91"/>
      <c r="AU445" s="78"/>
      <c r="AV445" s="78"/>
      <c r="AW445" s="78"/>
      <c r="AX445" s="78"/>
      <c r="AY445" s="78"/>
      <c r="AZ445" s="78"/>
      <c r="BA445" s="78"/>
      <c r="BB445" s="78"/>
      <c r="BC445" s="78"/>
      <c r="BD445" s="78"/>
      <c r="BE445" s="78"/>
      <c r="BF445" s="78"/>
      <c r="BG445" s="78"/>
      <c r="BH445" s="78"/>
      <c r="BI445" s="78"/>
      <c r="BJ445" s="78"/>
      <c r="BK445" s="78"/>
      <c r="BL445" s="78"/>
      <c r="BM445" s="78"/>
      <c r="BN445" s="78"/>
      <c r="BO445" s="78"/>
      <c r="BP445" s="78"/>
      <c r="BQ445" s="78"/>
      <c r="BR445" s="78"/>
      <c r="BS445" s="78"/>
      <c r="BT445" s="78"/>
      <c r="BU445" s="78"/>
      <c r="BV445" s="78"/>
      <c r="BW445" s="78"/>
      <c r="BX445" s="78"/>
      <c r="BY445" s="78"/>
      <c r="BZ445" s="78"/>
      <c r="CA445" s="78"/>
      <c r="CB445" s="78"/>
      <c r="CC445" s="78"/>
      <c r="CD445" s="78"/>
      <c r="CE445" s="78"/>
      <c r="CF445" s="78"/>
      <c r="CG445" s="78"/>
      <c r="CH445" s="78"/>
      <c r="CI445" s="78"/>
      <c r="CJ445" s="78"/>
      <c r="CK445" s="78"/>
      <c r="CL445" s="78"/>
      <c r="CM445" s="78"/>
      <c r="CN445" s="78"/>
      <c r="CO445" s="78"/>
      <c r="CP445" s="78"/>
      <c r="CQ445" s="78"/>
      <c r="CR445" s="78"/>
      <c r="CS445" s="78"/>
      <c r="CT445" s="78"/>
      <c r="CU445" s="78"/>
      <c r="CV445" s="78"/>
      <c r="CW445" s="78"/>
      <c r="CX445" s="78"/>
      <c r="CY445" s="78"/>
      <c r="CZ445" s="78"/>
      <c r="DA445" s="78"/>
      <c r="DB445" s="78"/>
      <c r="DC445" s="78"/>
      <c r="DD445" s="78"/>
      <c r="DE445" s="78"/>
      <c r="DF445" s="78"/>
      <c r="DG445" s="78"/>
      <c r="DH445" s="78"/>
      <c r="DI445" s="78"/>
      <c r="DJ445" s="78"/>
      <c r="DK445" s="78"/>
      <c r="DL445" s="78"/>
      <c r="DM445" s="78"/>
      <c r="DN445" s="78"/>
      <c r="DO445" s="78"/>
      <c r="DP445" s="78"/>
      <c r="DQ445" s="78"/>
      <c r="DR445" s="78"/>
      <c r="DS445" s="78"/>
      <c r="DT445" s="78"/>
      <c r="DU445" s="78"/>
      <c r="DV445" s="78"/>
      <c r="DW445" s="78"/>
      <c r="DX445" s="78"/>
      <c r="DY445" s="78"/>
      <c r="DZ445" s="78"/>
      <c r="EA445" s="78"/>
      <c r="EB445" s="78"/>
      <c r="EC445" s="78"/>
      <c r="ED445" s="78"/>
      <c r="EE445" s="78"/>
      <c r="EF445" s="78"/>
      <c r="EG445" s="78"/>
      <c r="EH445" s="78"/>
      <c r="EI445" s="91"/>
      <c r="EJ445" s="91"/>
      <c r="EK445" s="91"/>
      <c r="EL445" s="91"/>
      <c r="EM445" s="91"/>
      <c r="EN445" s="91"/>
      <c r="EO445" s="91"/>
      <c r="EP445" s="78"/>
      <c r="EQ445" s="78"/>
      <c r="ER445" s="78"/>
      <c r="ES445" s="78"/>
      <c r="ET445" s="78"/>
      <c r="EU445" s="78"/>
      <c r="EV445" s="78"/>
      <c r="EW445" s="78"/>
      <c r="EX445" s="78"/>
      <c r="EY445" s="78"/>
      <c r="EZ445" s="78"/>
      <c r="FA445" s="78"/>
      <c r="FB445" s="78"/>
      <c r="FC445" s="78"/>
      <c r="FD445" s="78"/>
      <c r="FE445" s="78"/>
      <c r="FF445" s="78"/>
      <c r="FG445" s="78"/>
      <c r="FH445" s="78"/>
      <c r="FI445" s="78"/>
      <c r="FJ445" s="78"/>
      <c r="FK445" s="78"/>
    </row>
    <row r="446" spans="1:167" hidden="1" outlineLevel="1">
      <c r="A446" s="29" t="str">
        <f t="shared" si="35"/>
        <v>Re-testesn.a.</v>
      </c>
      <c r="B446" s="67" t="s">
        <v>26</v>
      </c>
      <c r="C446" s="68" t="s">
        <v>310</v>
      </c>
      <c r="D446" s="64" t="s">
        <v>40</v>
      </c>
      <c r="E446" s="66" t="s">
        <v>53</v>
      </c>
      <c r="F446" s="64" t="s">
        <v>38</v>
      </c>
      <c r="G446" s="64" t="s">
        <v>180</v>
      </c>
      <c r="H446" s="64"/>
      <c r="I446" s="84">
        <f>SUM(I363:I445)*D7</f>
        <v>74.812500000000099</v>
      </c>
      <c r="J446" s="84">
        <f>I446/8</f>
        <v>9.3515625000000124</v>
      </c>
      <c r="K446" s="87"/>
      <c r="L446" s="90">
        <f t="shared" si="34"/>
        <v>9.3515625000000124</v>
      </c>
      <c r="M446" s="78"/>
      <c r="N446" s="78"/>
      <c r="O446" s="78"/>
      <c r="P446" s="78"/>
      <c r="Q446" s="78"/>
      <c r="R446" s="78"/>
      <c r="S446" s="78"/>
      <c r="T446" s="78"/>
      <c r="U446" s="78"/>
      <c r="V446" s="78"/>
      <c r="W446" s="78"/>
      <c r="X446" s="78"/>
      <c r="Y446" s="78"/>
      <c r="Z446" s="78"/>
      <c r="AA446" s="78"/>
      <c r="AB446" s="78"/>
      <c r="AC446" s="78"/>
      <c r="AD446" s="78"/>
      <c r="AE446" s="78"/>
      <c r="AF446" s="78"/>
      <c r="AG446" s="78"/>
      <c r="AH446" s="78"/>
      <c r="AI446" s="78"/>
      <c r="AJ446" s="78"/>
      <c r="AK446" s="78"/>
      <c r="AL446" s="78"/>
      <c r="AM446" s="78"/>
      <c r="AN446" s="78"/>
      <c r="AO446" s="78"/>
      <c r="AP446" s="78"/>
      <c r="AQ446" s="78"/>
      <c r="AR446" s="78"/>
      <c r="AS446" s="78"/>
      <c r="AT446" s="91"/>
      <c r="AU446" s="78"/>
      <c r="AV446" s="78"/>
      <c r="AW446" s="78"/>
      <c r="AX446" s="78"/>
      <c r="AY446" s="78"/>
      <c r="AZ446" s="78"/>
      <c r="BA446" s="78"/>
      <c r="BB446" s="78"/>
      <c r="BC446" s="78"/>
      <c r="BD446" s="78"/>
      <c r="BE446" s="78"/>
      <c r="BF446" s="78"/>
      <c r="BG446" s="78"/>
      <c r="BH446" s="78"/>
      <c r="BI446" s="78"/>
      <c r="BJ446" s="78"/>
      <c r="BK446" s="78"/>
      <c r="BL446" s="78"/>
      <c r="BM446" s="78"/>
      <c r="BN446" s="78"/>
      <c r="BO446" s="78"/>
      <c r="BP446" s="78"/>
      <c r="BQ446" s="78"/>
      <c r="BR446" s="78"/>
      <c r="BS446" s="78"/>
      <c r="BT446" s="78"/>
      <c r="BU446" s="78"/>
      <c r="BV446" s="78"/>
      <c r="BW446" s="78"/>
      <c r="BX446" s="78"/>
      <c r="BY446" s="78"/>
      <c r="BZ446" s="78"/>
      <c r="CA446" s="78"/>
      <c r="CB446" s="78"/>
      <c r="CC446" s="78"/>
      <c r="CD446" s="78"/>
      <c r="CE446" s="78"/>
      <c r="CF446" s="78"/>
      <c r="CG446" s="78"/>
      <c r="CH446" s="78"/>
      <c r="CI446" s="78"/>
      <c r="CJ446" s="78"/>
      <c r="CK446" s="78"/>
      <c r="CL446" s="78"/>
      <c r="CM446" s="78"/>
      <c r="CN446" s="78"/>
      <c r="CO446" s="78"/>
      <c r="CP446" s="78"/>
      <c r="CQ446" s="78"/>
      <c r="CR446" s="78"/>
      <c r="CS446" s="78"/>
      <c r="CT446" s="78"/>
      <c r="CU446" s="78"/>
      <c r="CV446" s="78"/>
      <c r="CW446" s="78"/>
      <c r="CX446" s="78"/>
      <c r="CY446" s="78"/>
      <c r="CZ446" s="78"/>
      <c r="DA446" s="78"/>
      <c r="DB446" s="78"/>
      <c r="DC446" s="78"/>
      <c r="DD446" s="78"/>
      <c r="DE446" s="78"/>
      <c r="DF446" s="78"/>
      <c r="DG446" s="78"/>
      <c r="DH446" s="78"/>
      <c r="DI446" s="78"/>
      <c r="DJ446" s="78"/>
      <c r="DK446" s="78"/>
      <c r="DL446" s="78"/>
      <c r="DM446" s="78"/>
      <c r="DN446" s="78"/>
      <c r="DO446" s="78"/>
      <c r="DP446" s="78"/>
      <c r="DQ446" s="78"/>
      <c r="DR446" s="78"/>
      <c r="DS446" s="78"/>
      <c r="DT446" s="78"/>
      <c r="DU446" s="78"/>
      <c r="DV446" s="78"/>
      <c r="DW446" s="78"/>
      <c r="DX446" s="78"/>
      <c r="DY446" s="78"/>
      <c r="DZ446" s="78"/>
      <c r="EA446" s="78"/>
      <c r="EB446" s="78"/>
      <c r="EC446" s="78"/>
      <c r="ED446" s="78"/>
      <c r="EE446" s="78"/>
      <c r="EF446" s="78"/>
      <c r="EG446" s="78"/>
      <c r="EH446" s="78"/>
      <c r="EI446" s="91"/>
      <c r="EJ446" s="91"/>
      <c r="EK446" s="91"/>
      <c r="EL446" s="91"/>
      <c r="EM446" s="91"/>
      <c r="EN446" s="91"/>
      <c r="EO446" s="91"/>
      <c r="EP446" s="78"/>
      <c r="EQ446" s="78"/>
      <c r="ER446" s="78"/>
      <c r="ES446" s="78"/>
      <c r="ET446" s="78"/>
      <c r="EU446" s="78"/>
      <c r="EV446" s="78"/>
      <c r="EW446" s="78"/>
      <c r="EX446" s="78"/>
      <c r="EY446" s="78"/>
      <c r="EZ446" s="78"/>
      <c r="FA446" s="78"/>
      <c r="FB446" s="78"/>
      <c r="FC446" s="78"/>
      <c r="FD446" s="78"/>
      <c r="FE446" s="78"/>
      <c r="FF446" s="78"/>
      <c r="FG446" s="78"/>
      <c r="FH446" s="78"/>
      <c r="FI446" s="78"/>
      <c r="FJ446" s="78"/>
      <c r="FK446" s="78"/>
    </row>
    <row r="447" spans="1:167" collapsed="1">
      <c r="A447" s="29" t="str">
        <f t="shared" si="35"/>
        <v/>
      </c>
      <c r="B447" s="101" t="s">
        <v>26</v>
      </c>
      <c r="C447" s="102" t="s">
        <v>26</v>
      </c>
      <c r="D447" s="96"/>
      <c r="E447" s="103"/>
      <c r="F447" s="96"/>
      <c r="G447" s="96"/>
      <c r="H447" s="96"/>
      <c r="I447" s="99">
        <f>SUM(I448:I574)</f>
        <v>277.98749999999944</v>
      </c>
      <c r="J447" s="99">
        <f>ROUNDUP(I447/8,0)</f>
        <v>35</v>
      </c>
      <c r="K447" s="87"/>
      <c r="L447" s="90">
        <f t="shared" si="34"/>
        <v>-2</v>
      </c>
      <c r="M447" s="78"/>
      <c r="N447" s="78"/>
      <c r="O447" s="78"/>
      <c r="P447" s="78"/>
      <c r="Q447" s="78"/>
      <c r="R447" s="78"/>
      <c r="S447" s="78"/>
      <c r="T447" s="78"/>
      <c r="U447" s="78"/>
      <c r="V447" s="78"/>
      <c r="W447" s="78"/>
      <c r="X447" s="78"/>
      <c r="Y447" s="78"/>
      <c r="Z447" s="78"/>
      <c r="AA447" s="78"/>
      <c r="AB447" s="78"/>
      <c r="AC447" s="78"/>
      <c r="AD447" s="78"/>
      <c r="AE447" s="78"/>
      <c r="AF447" s="78"/>
      <c r="AG447" s="78"/>
      <c r="AH447" s="78"/>
      <c r="AI447" s="78"/>
      <c r="AJ447" s="78"/>
      <c r="AK447" s="78"/>
      <c r="AL447" s="78"/>
      <c r="AM447" s="78"/>
      <c r="AN447" s="78"/>
      <c r="AO447" s="78"/>
      <c r="AP447" s="78"/>
      <c r="AQ447" s="78"/>
      <c r="AR447" s="78"/>
      <c r="AS447" s="78"/>
      <c r="AT447" s="91"/>
      <c r="AU447" s="78"/>
      <c r="AV447" s="78"/>
      <c r="AW447" s="78"/>
      <c r="AX447" s="78"/>
      <c r="AY447" s="78"/>
      <c r="AZ447" s="78"/>
      <c r="BA447" s="78"/>
      <c r="BB447" s="78"/>
      <c r="BC447" s="78"/>
      <c r="BD447" s="78"/>
      <c r="BE447" s="78"/>
      <c r="BF447" s="78"/>
      <c r="BG447" s="78"/>
      <c r="BH447" s="78"/>
      <c r="BI447" s="78"/>
      <c r="BJ447" s="78"/>
      <c r="BK447" s="78"/>
      <c r="BL447" s="78"/>
      <c r="BM447" s="78"/>
      <c r="BN447" s="78"/>
      <c r="BO447" s="78"/>
      <c r="BP447" s="78"/>
      <c r="BQ447" s="78"/>
      <c r="BR447" s="78"/>
      <c r="BS447" s="78"/>
      <c r="BT447" s="78"/>
      <c r="BU447" s="78"/>
      <c r="BV447" s="78"/>
      <c r="BW447" s="78"/>
      <c r="BX447" s="78"/>
      <c r="BY447" s="78"/>
      <c r="BZ447" s="78"/>
      <c r="CA447" s="78"/>
      <c r="CB447" s="78"/>
      <c r="CC447" s="78"/>
      <c r="CD447" s="78"/>
      <c r="CE447" s="78"/>
      <c r="CF447" s="78"/>
      <c r="CG447" s="78"/>
      <c r="CH447" s="78"/>
      <c r="CI447" s="78"/>
      <c r="CJ447" s="78"/>
      <c r="CK447" s="78"/>
      <c r="CL447" s="78"/>
      <c r="CM447" s="78"/>
      <c r="CN447" s="78"/>
      <c r="CO447" s="78"/>
      <c r="CP447" s="78"/>
      <c r="CQ447" s="78"/>
      <c r="CR447" s="78"/>
      <c r="CS447" s="78"/>
      <c r="CT447" s="78"/>
      <c r="CU447" s="78"/>
      <c r="CV447" s="78"/>
      <c r="CW447" s="78"/>
      <c r="CX447" s="78"/>
      <c r="CY447" s="78"/>
      <c r="CZ447" s="78"/>
      <c r="DA447" s="78"/>
      <c r="DB447" s="78"/>
      <c r="DC447" s="78"/>
      <c r="DD447" s="78"/>
      <c r="DE447" s="78"/>
      <c r="DF447" s="78"/>
      <c r="DG447" s="78"/>
      <c r="DH447" s="78"/>
      <c r="DI447" s="78"/>
      <c r="DJ447" s="78"/>
      <c r="DK447" s="78"/>
      <c r="DL447" s="78"/>
      <c r="DM447" s="78"/>
      <c r="DN447" s="78"/>
      <c r="DO447" s="78"/>
      <c r="DP447" s="78"/>
      <c r="DQ447" s="78"/>
      <c r="DR447" s="78"/>
      <c r="DS447" s="78">
        <v>1</v>
      </c>
      <c r="DT447" s="78">
        <v>1</v>
      </c>
      <c r="DU447" s="78">
        <v>1</v>
      </c>
      <c r="DV447" s="78">
        <v>1</v>
      </c>
      <c r="DW447" s="78">
        <v>0.5</v>
      </c>
      <c r="DX447" s="78">
        <v>3</v>
      </c>
      <c r="DY447" s="78">
        <v>3</v>
      </c>
      <c r="DZ447" s="78">
        <v>3</v>
      </c>
      <c r="EA447" s="78">
        <v>3</v>
      </c>
      <c r="EB447" s="78">
        <v>2.5</v>
      </c>
      <c r="EC447" s="78">
        <v>3</v>
      </c>
      <c r="ED447" s="78">
        <v>3</v>
      </c>
      <c r="EE447" s="78">
        <v>3</v>
      </c>
      <c r="EF447" s="78">
        <v>3</v>
      </c>
      <c r="EG447" s="78">
        <v>3</v>
      </c>
      <c r="EH447" s="78">
        <v>3</v>
      </c>
      <c r="EI447" s="91"/>
      <c r="EJ447" s="91"/>
      <c r="EK447" s="91"/>
      <c r="EL447" s="91"/>
      <c r="EM447" s="91"/>
      <c r="EN447" s="91"/>
      <c r="EO447" s="91"/>
      <c r="EP447" s="78"/>
      <c r="EQ447" s="78"/>
      <c r="ER447" s="78"/>
      <c r="ES447" s="78"/>
      <c r="ET447" s="78"/>
      <c r="EU447" s="78"/>
      <c r="EV447" s="78"/>
      <c r="EW447" s="78"/>
      <c r="EX447" s="78"/>
      <c r="EY447" s="78"/>
      <c r="EZ447" s="78"/>
      <c r="FA447" s="78"/>
      <c r="FB447" s="78"/>
      <c r="FC447" s="78"/>
      <c r="FD447" s="78"/>
      <c r="FE447" s="78"/>
      <c r="FF447" s="78"/>
      <c r="FG447" s="78"/>
      <c r="FH447" s="78"/>
      <c r="FI447" s="78"/>
      <c r="FJ447" s="78"/>
      <c r="FK447" s="78"/>
    </row>
    <row r="448" spans="1:167" hidden="1" outlineLevel="1">
      <c r="A448" s="29" t="str">
        <f t="shared" si="35"/>
        <v>lt003_entitynace_esg</v>
      </c>
      <c r="B448" s="67" t="s">
        <v>26</v>
      </c>
      <c r="C448" s="68" t="s">
        <v>26</v>
      </c>
      <c r="D448" s="64" t="s">
        <v>40</v>
      </c>
      <c r="E448" s="70" t="s">
        <v>335</v>
      </c>
      <c r="F448" s="71" t="s">
        <v>336</v>
      </c>
      <c r="G448" s="64" t="str">
        <f>INDEX(Auxiliar!$B$16:$B$24,MATCH(Plano_V1!H448,Auxiliar!$C$16:$C$24,0),1)</f>
        <v>1. Concluído</v>
      </c>
      <c r="H448" s="64">
        <f>VLOOKUP(A448,'Aux - pivots1'!$A:$B,2,0)</f>
        <v>1</v>
      </c>
      <c r="I448" s="84">
        <f>SUMIFS(Table1[Estimação (horas)],Table1[Tabela],Plano_V1!E448,Table1[Campo],Plano_V1!F448)</f>
        <v>4.0999999999999996</v>
      </c>
      <c r="J448" s="84">
        <f t="shared" ref="J448:J511" si="37">I448/8</f>
        <v>0.51249999999999996</v>
      </c>
      <c r="K448" s="87" t="s">
        <v>337</v>
      </c>
      <c r="M448" s="78"/>
      <c r="N448" s="78"/>
      <c r="O448" s="78"/>
      <c r="P448" s="78"/>
      <c r="Q448" s="78"/>
      <c r="R448" s="78"/>
      <c r="S448" s="78"/>
      <c r="T448" s="78"/>
      <c r="U448" s="78"/>
      <c r="V448" s="78"/>
      <c r="W448" s="78"/>
      <c r="X448" s="78"/>
      <c r="Y448" s="78"/>
      <c r="Z448" s="78"/>
      <c r="AA448" s="78"/>
      <c r="AB448" s="78"/>
      <c r="AC448" s="78"/>
      <c r="AD448" s="78"/>
      <c r="AE448" s="78"/>
      <c r="AF448" s="78"/>
      <c r="AG448" s="78"/>
      <c r="AH448" s="78"/>
      <c r="AI448" s="78"/>
      <c r="AJ448" s="78"/>
      <c r="AK448" s="78"/>
      <c r="AL448" s="78"/>
      <c r="AM448" s="78"/>
      <c r="AN448" s="78"/>
      <c r="AO448" s="78"/>
      <c r="AP448" s="78"/>
      <c r="AQ448" s="78"/>
      <c r="AR448" s="78"/>
      <c r="AS448" s="78"/>
      <c r="AT448" s="91"/>
      <c r="AU448" s="78"/>
      <c r="AV448" s="78"/>
      <c r="AW448" s="78"/>
      <c r="AX448" s="78"/>
      <c r="AY448" s="78"/>
      <c r="AZ448" s="78"/>
      <c r="BA448" s="78"/>
      <c r="BB448" s="78"/>
      <c r="BC448" s="78"/>
      <c r="BD448" s="78"/>
      <c r="BE448" s="78"/>
      <c r="BF448" s="78"/>
      <c r="BG448" s="78"/>
      <c r="BH448" s="78"/>
      <c r="BI448" s="78"/>
      <c r="BJ448" s="78"/>
      <c r="BK448" s="78"/>
      <c r="BL448" s="78"/>
      <c r="BM448" s="78"/>
      <c r="BN448" s="78"/>
      <c r="BO448" s="78"/>
      <c r="BP448" s="78"/>
      <c r="BQ448" s="78"/>
      <c r="BR448" s="78"/>
      <c r="BS448" s="78"/>
      <c r="BT448" s="78"/>
      <c r="BU448" s="78"/>
      <c r="BV448" s="78"/>
      <c r="BW448" s="78"/>
      <c r="BX448" s="78"/>
      <c r="BY448" s="78"/>
      <c r="BZ448" s="78"/>
      <c r="CA448" s="78"/>
      <c r="CB448" s="78"/>
      <c r="CC448" s="78"/>
      <c r="CD448" s="78"/>
      <c r="CE448" s="78"/>
      <c r="CF448" s="78"/>
      <c r="CG448" s="78"/>
      <c r="CH448" s="78"/>
      <c r="CI448" s="78"/>
      <c r="CJ448" s="78"/>
      <c r="CK448" s="78"/>
      <c r="CL448" s="78"/>
      <c r="CM448" s="78"/>
      <c r="CN448" s="78"/>
      <c r="CO448" s="78"/>
      <c r="CP448" s="78"/>
      <c r="CQ448" s="78"/>
      <c r="CR448" s="78"/>
      <c r="CS448" s="78"/>
      <c r="CT448" s="78"/>
      <c r="CU448" s="78"/>
      <c r="CV448" s="78"/>
      <c r="CW448" s="78"/>
      <c r="CX448" s="78"/>
      <c r="CY448" s="78"/>
      <c r="CZ448" s="78"/>
      <c r="DA448" s="78"/>
      <c r="DB448" s="78"/>
      <c r="DC448" s="78"/>
      <c r="DD448" s="78"/>
      <c r="DE448" s="78"/>
      <c r="DF448" s="78"/>
      <c r="DG448" s="78"/>
      <c r="DH448" s="78"/>
      <c r="DI448" s="78"/>
      <c r="DJ448" s="78"/>
      <c r="DK448" s="78"/>
      <c r="DL448" s="78"/>
      <c r="DM448" s="78"/>
      <c r="DN448" s="78"/>
      <c r="DO448" s="78"/>
      <c r="DP448" s="78"/>
      <c r="DQ448" s="78"/>
      <c r="DR448" s="78"/>
      <c r="DS448" s="78"/>
      <c r="DT448" s="78"/>
      <c r="DU448" s="78"/>
      <c r="DV448" s="78"/>
      <c r="DW448" s="78"/>
      <c r="DX448" s="78"/>
      <c r="DY448" s="78"/>
      <c r="DZ448" s="78"/>
      <c r="EA448" s="78"/>
      <c r="EB448" s="78"/>
      <c r="EC448" s="78"/>
      <c r="ED448" s="78"/>
      <c r="EE448" s="78"/>
      <c r="EF448" s="78"/>
      <c r="EG448" s="78"/>
      <c r="EH448" s="78"/>
      <c r="EI448" s="91"/>
      <c r="EJ448" s="91"/>
      <c r="EK448" s="91"/>
      <c r="EL448" s="91"/>
      <c r="EM448" s="91"/>
      <c r="EN448" s="91"/>
      <c r="EO448" s="91"/>
      <c r="EP448" s="78"/>
      <c r="EQ448" s="78"/>
      <c r="ER448" s="78"/>
      <c r="ES448" s="78"/>
      <c r="ET448" s="78"/>
      <c r="EU448" s="78"/>
      <c r="EV448" s="78"/>
      <c r="EW448" s="78"/>
      <c r="EX448" s="78"/>
      <c r="EY448" s="78"/>
      <c r="EZ448" s="78"/>
      <c r="FA448" s="78"/>
      <c r="FB448" s="78"/>
      <c r="FC448" s="78"/>
      <c r="FD448" s="78"/>
      <c r="FE448" s="78"/>
      <c r="FF448" s="78"/>
      <c r="FG448" s="78"/>
      <c r="FH448" s="78"/>
      <c r="FI448" s="78"/>
      <c r="FJ448" s="78"/>
      <c r="FK448" s="78"/>
    </row>
    <row r="449" spans="1:167" hidden="1" outlineLevel="1">
      <c r="A449" s="29" t="str">
        <f t="shared" si="35"/>
        <v>lt003_entitytxnmy_elgbl_capex_ccm</v>
      </c>
      <c r="B449" s="67" t="s">
        <v>26</v>
      </c>
      <c r="C449" s="68" t="s">
        <v>26</v>
      </c>
      <c r="D449" s="64" t="s">
        <v>40</v>
      </c>
      <c r="E449" s="70" t="s">
        <v>335</v>
      </c>
      <c r="F449" s="71" t="s">
        <v>338</v>
      </c>
      <c r="G449" s="64" t="str">
        <f>INDEX(Auxiliar!$B$16:$B$24,MATCH(Plano_V1!H449,Auxiliar!$C$16:$C$24,0),1)</f>
        <v>1. Concluído</v>
      </c>
      <c r="H449" s="64">
        <f>VLOOKUP(A449,'Aux - pivots1'!$A:$B,2,0)</f>
        <v>1</v>
      </c>
      <c r="I449" s="84">
        <f>SUMIFS(Table1[Estimação (horas)],Table1[Tabela],Plano_V1!E449,Table1[Campo],Plano_V1!F449)</f>
        <v>4.0999999999999996</v>
      </c>
      <c r="J449" s="84">
        <f t="shared" si="37"/>
        <v>0.51249999999999996</v>
      </c>
      <c r="K449" s="87" t="s">
        <v>337</v>
      </c>
      <c r="M449" s="78"/>
      <c r="N449" s="78"/>
      <c r="O449" s="78"/>
      <c r="P449" s="78"/>
      <c r="Q449" s="78"/>
      <c r="R449" s="78"/>
      <c r="S449" s="78"/>
      <c r="T449" s="78"/>
      <c r="U449" s="78"/>
      <c r="V449" s="78"/>
      <c r="W449" s="78"/>
      <c r="X449" s="78"/>
      <c r="Y449" s="78"/>
      <c r="Z449" s="78"/>
      <c r="AA449" s="78"/>
      <c r="AB449" s="78"/>
      <c r="AC449" s="78"/>
      <c r="AD449" s="78"/>
      <c r="AE449" s="78"/>
      <c r="AF449" s="78"/>
      <c r="AG449" s="78"/>
      <c r="AH449" s="78"/>
      <c r="AI449" s="78"/>
      <c r="AJ449" s="78"/>
      <c r="AK449" s="78"/>
      <c r="AL449" s="78"/>
      <c r="AM449" s="78"/>
      <c r="AN449" s="78"/>
      <c r="AO449" s="78"/>
      <c r="AP449" s="78"/>
      <c r="AQ449" s="78"/>
      <c r="AR449" s="78"/>
      <c r="AS449" s="78"/>
      <c r="AT449" s="91"/>
      <c r="AU449" s="78"/>
      <c r="AV449" s="78"/>
      <c r="AW449" s="78"/>
      <c r="AX449" s="78"/>
      <c r="AY449" s="78"/>
      <c r="AZ449" s="78"/>
      <c r="BA449" s="78"/>
      <c r="BB449" s="78"/>
      <c r="BC449" s="78"/>
      <c r="BD449" s="78"/>
      <c r="BE449" s="78"/>
      <c r="BF449" s="78"/>
      <c r="BG449" s="78"/>
      <c r="BH449" s="78"/>
      <c r="BI449" s="78"/>
      <c r="BJ449" s="78"/>
      <c r="BK449" s="78"/>
      <c r="BL449" s="78"/>
      <c r="BM449" s="78"/>
      <c r="BN449" s="78"/>
      <c r="BO449" s="78"/>
      <c r="BP449" s="78"/>
      <c r="BQ449" s="78"/>
      <c r="BR449" s="78"/>
      <c r="BS449" s="78"/>
      <c r="BT449" s="78"/>
      <c r="BU449" s="78"/>
      <c r="BV449" s="78"/>
      <c r="BW449" s="78"/>
      <c r="BX449" s="78"/>
      <c r="BY449" s="78"/>
      <c r="BZ449" s="78"/>
      <c r="CA449" s="78"/>
      <c r="CB449" s="78"/>
      <c r="CC449" s="78"/>
      <c r="CD449" s="78"/>
      <c r="CE449" s="78"/>
      <c r="CF449" s="78"/>
      <c r="CG449" s="78"/>
      <c r="CH449" s="78"/>
      <c r="CI449" s="78"/>
      <c r="CJ449" s="78"/>
      <c r="CK449" s="78"/>
      <c r="CL449" s="78"/>
      <c r="CM449" s="78"/>
      <c r="CN449" s="78"/>
      <c r="CO449" s="78"/>
      <c r="CP449" s="78"/>
      <c r="CQ449" s="78"/>
      <c r="CR449" s="78"/>
      <c r="CS449" s="78"/>
      <c r="CT449" s="78"/>
      <c r="CU449" s="78"/>
      <c r="CV449" s="78"/>
      <c r="CW449" s="78"/>
      <c r="CX449" s="78"/>
      <c r="CY449" s="78"/>
      <c r="CZ449" s="78"/>
      <c r="DA449" s="78"/>
      <c r="DB449" s="78"/>
      <c r="DC449" s="78"/>
      <c r="DD449" s="78"/>
      <c r="DE449" s="78"/>
      <c r="DF449" s="78"/>
      <c r="DG449" s="78"/>
      <c r="DH449" s="78"/>
      <c r="DI449" s="78"/>
      <c r="DJ449" s="78"/>
      <c r="DK449" s="78"/>
      <c r="DL449" s="78"/>
      <c r="DM449" s="78"/>
      <c r="DN449" s="78"/>
      <c r="DO449" s="78"/>
      <c r="DP449" s="78"/>
      <c r="DQ449" s="78"/>
      <c r="DR449" s="78"/>
      <c r="DS449" s="78"/>
      <c r="DT449" s="78"/>
      <c r="DU449" s="78"/>
      <c r="DV449" s="78"/>
      <c r="DW449" s="78"/>
      <c r="DX449" s="78"/>
      <c r="DY449" s="78"/>
      <c r="DZ449" s="78"/>
      <c r="EA449" s="78"/>
      <c r="EB449" s="78"/>
      <c r="EC449" s="78"/>
      <c r="ED449" s="78"/>
      <c r="EE449" s="78"/>
      <c r="EF449" s="78"/>
      <c r="EG449" s="78"/>
      <c r="EH449" s="78"/>
      <c r="EI449" s="91"/>
      <c r="EJ449" s="91"/>
      <c r="EK449" s="91"/>
      <c r="EL449" s="91"/>
      <c r="EM449" s="91"/>
      <c r="EN449" s="91"/>
      <c r="EO449" s="91"/>
      <c r="EP449" s="78"/>
      <c r="EQ449" s="78"/>
      <c r="ER449" s="78"/>
      <c r="ES449" s="78"/>
      <c r="ET449" s="78"/>
      <c r="EU449" s="78"/>
      <c r="EV449" s="78"/>
      <c r="EW449" s="78"/>
      <c r="EX449" s="78"/>
      <c r="EY449" s="78"/>
      <c r="EZ449" s="78"/>
      <c r="FA449" s="78"/>
      <c r="FB449" s="78"/>
      <c r="FC449" s="78"/>
      <c r="FD449" s="78"/>
      <c r="FE449" s="78"/>
      <c r="FF449" s="78"/>
      <c r="FG449" s="78"/>
      <c r="FH449" s="78"/>
      <c r="FI449" s="78"/>
      <c r="FJ449" s="78"/>
      <c r="FK449" s="78"/>
    </row>
    <row r="450" spans="1:167" hidden="1" outlineLevel="1">
      <c r="A450" s="29" t="str">
        <f t="shared" si="35"/>
        <v>lt003_entitytxnmy_elgbl_trnvr_ccm</v>
      </c>
      <c r="B450" s="67" t="s">
        <v>26</v>
      </c>
      <c r="C450" s="68" t="s">
        <v>26</v>
      </c>
      <c r="D450" s="64" t="s">
        <v>40</v>
      </c>
      <c r="E450" s="70" t="s">
        <v>335</v>
      </c>
      <c r="F450" s="71" t="s">
        <v>339</v>
      </c>
      <c r="G450" s="64" t="str">
        <f>INDEX(Auxiliar!$B$16:$B$24,MATCH(Plano_V1!H450,Auxiliar!$C$16:$C$24,0),1)</f>
        <v>1. Concluído</v>
      </c>
      <c r="H450" s="64">
        <f>VLOOKUP(A450,'Aux - pivots1'!$A:$B,2,0)</f>
        <v>1</v>
      </c>
      <c r="I450" s="84">
        <f>SUMIFS(Table1[Estimação (horas)],Table1[Tabela],Plano_V1!E450,Table1[Campo],Plano_V1!F450)</f>
        <v>4.0999999999999996</v>
      </c>
      <c r="J450" s="84">
        <f t="shared" si="37"/>
        <v>0.51249999999999996</v>
      </c>
      <c r="K450" s="87" t="s">
        <v>337</v>
      </c>
      <c r="M450" s="78"/>
      <c r="N450" s="78"/>
      <c r="O450" s="78"/>
      <c r="P450" s="78"/>
      <c r="Q450" s="78"/>
      <c r="R450" s="78"/>
      <c r="S450" s="78"/>
      <c r="T450" s="78"/>
      <c r="U450" s="78"/>
      <c r="V450" s="78"/>
      <c r="W450" s="78"/>
      <c r="X450" s="78"/>
      <c r="Y450" s="78"/>
      <c r="Z450" s="78"/>
      <c r="AA450" s="78"/>
      <c r="AB450" s="78"/>
      <c r="AC450" s="78"/>
      <c r="AD450" s="78"/>
      <c r="AE450" s="78"/>
      <c r="AF450" s="78"/>
      <c r="AG450" s="78"/>
      <c r="AH450" s="78"/>
      <c r="AI450" s="78"/>
      <c r="AJ450" s="78"/>
      <c r="AK450" s="78"/>
      <c r="AL450" s="78"/>
      <c r="AM450" s="78"/>
      <c r="AN450" s="78"/>
      <c r="AO450" s="78"/>
      <c r="AP450" s="78"/>
      <c r="AQ450" s="78"/>
      <c r="AR450" s="78"/>
      <c r="AS450" s="78"/>
      <c r="AT450" s="91"/>
      <c r="AU450" s="78"/>
      <c r="AV450" s="78"/>
      <c r="AW450" s="78"/>
      <c r="AX450" s="78"/>
      <c r="AY450" s="78"/>
      <c r="AZ450" s="78"/>
      <c r="BA450" s="78"/>
      <c r="BB450" s="78"/>
      <c r="BC450" s="78"/>
      <c r="BD450" s="78"/>
      <c r="BE450" s="78"/>
      <c r="BF450" s="78"/>
      <c r="BG450" s="78"/>
      <c r="BH450" s="78"/>
      <c r="BI450" s="78"/>
      <c r="BJ450" s="78"/>
      <c r="BK450" s="78"/>
      <c r="BL450" s="78"/>
      <c r="BM450" s="78"/>
      <c r="BN450" s="78"/>
      <c r="BO450" s="78"/>
      <c r="BP450" s="78"/>
      <c r="BQ450" s="78"/>
      <c r="BR450" s="78"/>
      <c r="BS450" s="78"/>
      <c r="BT450" s="78"/>
      <c r="BU450" s="78"/>
      <c r="BV450" s="78"/>
      <c r="BW450" s="78"/>
      <c r="BX450" s="78"/>
      <c r="BY450" s="78"/>
      <c r="BZ450" s="78"/>
      <c r="CA450" s="78"/>
      <c r="CB450" s="78"/>
      <c r="CC450" s="78"/>
      <c r="CD450" s="78"/>
      <c r="CE450" s="78"/>
      <c r="CF450" s="78"/>
      <c r="CG450" s="78"/>
      <c r="CH450" s="78"/>
      <c r="CI450" s="78"/>
      <c r="CJ450" s="78"/>
      <c r="CK450" s="78"/>
      <c r="CL450" s="78"/>
      <c r="CM450" s="78"/>
      <c r="CN450" s="78"/>
      <c r="CO450" s="78"/>
      <c r="CP450" s="78"/>
      <c r="CQ450" s="78"/>
      <c r="CR450" s="78"/>
      <c r="CS450" s="78"/>
      <c r="CT450" s="78"/>
      <c r="CU450" s="78"/>
      <c r="CV450" s="78"/>
      <c r="CW450" s="78"/>
      <c r="CX450" s="78"/>
      <c r="CY450" s="78"/>
      <c r="CZ450" s="78"/>
      <c r="DA450" s="78"/>
      <c r="DB450" s="78"/>
      <c r="DC450" s="78"/>
      <c r="DD450" s="78"/>
      <c r="DE450" s="78"/>
      <c r="DF450" s="78"/>
      <c r="DG450" s="78"/>
      <c r="DH450" s="78"/>
      <c r="DI450" s="78"/>
      <c r="DJ450" s="78"/>
      <c r="DK450" s="78"/>
      <c r="DL450" s="78"/>
      <c r="DM450" s="78"/>
      <c r="DN450" s="78"/>
      <c r="DO450" s="78"/>
      <c r="DP450" s="78"/>
      <c r="DQ450" s="78"/>
      <c r="DR450" s="78"/>
      <c r="DS450" s="78"/>
      <c r="DT450" s="78"/>
      <c r="DU450" s="78"/>
      <c r="DV450" s="78"/>
      <c r="DW450" s="78"/>
      <c r="DX450" s="78"/>
      <c r="DY450" s="78"/>
      <c r="DZ450" s="78"/>
      <c r="EA450" s="78"/>
      <c r="EB450" s="78"/>
      <c r="EC450" s="78"/>
      <c r="ED450" s="78"/>
      <c r="EE450" s="78"/>
      <c r="EF450" s="78"/>
      <c r="EG450" s="78"/>
      <c r="EH450" s="78"/>
      <c r="EI450" s="91"/>
      <c r="EJ450" s="91"/>
      <c r="EK450" s="91"/>
      <c r="EL450" s="91"/>
      <c r="EM450" s="91"/>
      <c r="EN450" s="91"/>
      <c r="EO450" s="91"/>
      <c r="EP450" s="78"/>
      <c r="EQ450" s="78"/>
      <c r="ER450" s="78"/>
      <c r="ES450" s="78"/>
      <c r="ET450" s="78"/>
      <c r="EU450" s="78"/>
      <c r="EV450" s="78"/>
      <c r="EW450" s="78"/>
      <c r="EX450" s="78"/>
      <c r="EY450" s="78"/>
      <c r="EZ450" s="78"/>
      <c r="FA450" s="78"/>
      <c r="FB450" s="78"/>
      <c r="FC450" s="78"/>
      <c r="FD450" s="78"/>
      <c r="FE450" s="78"/>
      <c r="FF450" s="78"/>
      <c r="FG450" s="78"/>
      <c r="FH450" s="78"/>
      <c r="FI450" s="78"/>
      <c r="FJ450" s="78"/>
      <c r="FK450" s="78"/>
    </row>
    <row r="451" spans="1:167" hidden="1" outlineLevel="1">
      <c r="A451" s="29" t="str">
        <f t="shared" si="35"/>
        <v>lt003_entitytxnmy_elgbl_capex_cca</v>
      </c>
      <c r="B451" s="67" t="s">
        <v>26</v>
      </c>
      <c r="C451" s="68" t="s">
        <v>26</v>
      </c>
      <c r="D451" s="64" t="s">
        <v>40</v>
      </c>
      <c r="E451" s="70" t="s">
        <v>335</v>
      </c>
      <c r="F451" s="71" t="s">
        <v>340</v>
      </c>
      <c r="G451" s="64" t="str">
        <f>INDEX(Auxiliar!$B$16:$B$24,MATCH(Plano_V1!H451,Auxiliar!$C$16:$C$24,0),1)</f>
        <v>1. Concluído</v>
      </c>
      <c r="H451" s="64">
        <f>VLOOKUP(A451,'Aux - pivots1'!$A:$B,2,0)</f>
        <v>1</v>
      </c>
      <c r="I451" s="84">
        <f>SUMIFS(Table1[Estimação (horas)],Table1[Tabela],Plano_V1!E451,Table1[Campo],Plano_V1!F451)</f>
        <v>4.0999999999999996</v>
      </c>
      <c r="J451" s="84">
        <f t="shared" si="37"/>
        <v>0.51249999999999996</v>
      </c>
      <c r="K451" s="87" t="s">
        <v>337</v>
      </c>
      <c r="M451" s="78"/>
      <c r="N451" s="78"/>
      <c r="O451" s="78"/>
      <c r="P451" s="78"/>
      <c r="Q451" s="78"/>
      <c r="R451" s="78"/>
      <c r="S451" s="78"/>
      <c r="T451" s="78"/>
      <c r="U451" s="78"/>
      <c r="V451" s="78"/>
      <c r="W451" s="78"/>
      <c r="X451" s="78"/>
      <c r="Y451" s="78"/>
      <c r="Z451" s="78"/>
      <c r="AA451" s="78"/>
      <c r="AB451" s="78"/>
      <c r="AC451" s="78"/>
      <c r="AD451" s="78"/>
      <c r="AE451" s="78"/>
      <c r="AF451" s="78"/>
      <c r="AG451" s="78"/>
      <c r="AH451" s="78"/>
      <c r="AI451" s="78"/>
      <c r="AJ451" s="78"/>
      <c r="AK451" s="78"/>
      <c r="AL451" s="78"/>
      <c r="AM451" s="78"/>
      <c r="AN451" s="78"/>
      <c r="AO451" s="78"/>
      <c r="AP451" s="78"/>
      <c r="AQ451" s="78"/>
      <c r="AR451" s="78"/>
      <c r="AS451" s="78"/>
      <c r="AT451" s="91"/>
      <c r="AU451" s="78"/>
      <c r="AV451" s="78"/>
      <c r="AW451" s="78"/>
      <c r="AX451" s="78"/>
      <c r="AY451" s="78"/>
      <c r="AZ451" s="78"/>
      <c r="BA451" s="78"/>
      <c r="BB451" s="78"/>
      <c r="BC451" s="78"/>
      <c r="BD451" s="78"/>
      <c r="BE451" s="78"/>
      <c r="BF451" s="78"/>
      <c r="BG451" s="78"/>
      <c r="BH451" s="78"/>
      <c r="BI451" s="78"/>
      <c r="BJ451" s="78"/>
      <c r="BK451" s="78"/>
      <c r="BL451" s="78"/>
      <c r="BM451" s="78"/>
      <c r="BN451" s="78"/>
      <c r="BO451" s="78"/>
      <c r="BP451" s="78"/>
      <c r="BQ451" s="78"/>
      <c r="BR451" s="78"/>
      <c r="BS451" s="78"/>
      <c r="BT451" s="78"/>
      <c r="BU451" s="78"/>
      <c r="BV451" s="78"/>
      <c r="BW451" s="78"/>
      <c r="BX451" s="78"/>
      <c r="BY451" s="78"/>
      <c r="BZ451" s="78"/>
      <c r="CA451" s="78"/>
      <c r="CB451" s="78"/>
      <c r="CC451" s="78"/>
      <c r="CD451" s="78"/>
      <c r="CE451" s="78"/>
      <c r="CF451" s="78"/>
      <c r="CG451" s="78"/>
      <c r="CH451" s="78"/>
      <c r="CI451" s="78"/>
      <c r="CJ451" s="78"/>
      <c r="CK451" s="78"/>
      <c r="CL451" s="78"/>
      <c r="CM451" s="78"/>
      <c r="CN451" s="78"/>
      <c r="CO451" s="78"/>
      <c r="CP451" s="78"/>
      <c r="CQ451" s="78"/>
      <c r="CR451" s="78"/>
      <c r="CS451" s="78"/>
      <c r="CT451" s="78"/>
      <c r="CU451" s="78"/>
      <c r="CV451" s="78"/>
      <c r="CW451" s="78"/>
      <c r="CX451" s="78"/>
      <c r="CY451" s="78"/>
      <c r="CZ451" s="78"/>
      <c r="DA451" s="78"/>
      <c r="DB451" s="78"/>
      <c r="DC451" s="78"/>
      <c r="DD451" s="78"/>
      <c r="DE451" s="78"/>
      <c r="DF451" s="78"/>
      <c r="DG451" s="78"/>
      <c r="DH451" s="78"/>
      <c r="DI451" s="78"/>
      <c r="DJ451" s="78"/>
      <c r="DK451" s="78"/>
      <c r="DL451" s="78"/>
      <c r="DM451" s="78"/>
      <c r="DN451" s="78"/>
      <c r="DO451" s="78"/>
      <c r="DP451" s="78"/>
      <c r="DQ451" s="78"/>
      <c r="DR451" s="78"/>
      <c r="DS451" s="78"/>
      <c r="DT451" s="78"/>
      <c r="DU451" s="78"/>
      <c r="DV451" s="78"/>
      <c r="DW451" s="78"/>
      <c r="DX451" s="78"/>
      <c r="DY451" s="78"/>
      <c r="DZ451" s="78"/>
      <c r="EA451" s="78"/>
      <c r="EB451" s="78"/>
      <c r="EC451" s="78"/>
      <c r="ED451" s="78"/>
      <c r="EE451" s="78"/>
      <c r="EF451" s="78"/>
      <c r="EG451" s="78"/>
      <c r="EH451" s="78"/>
      <c r="EI451" s="91"/>
      <c r="EJ451" s="91"/>
      <c r="EK451" s="91"/>
      <c r="EL451" s="91"/>
      <c r="EM451" s="91"/>
      <c r="EN451" s="91"/>
      <c r="EO451" s="91"/>
      <c r="EP451" s="78"/>
      <c r="EQ451" s="78"/>
      <c r="ER451" s="78"/>
      <c r="ES451" s="78"/>
      <c r="ET451" s="78"/>
      <c r="EU451" s="78"/>
      <c r="EV451" s="78"/>
      <c r="EW451" s="78"/>
      <c r="EX451" s="78"/>
      <c r="EY451" s="78"/>
      <c r="EZ451" s="78"/>
      <c r="FA451" s="78"/>
      <c r="FB451" s="78"/>
      <c r="FC451" s="78"/>
      <c r="FD451" s="78"/>
      <c r="FE451" s="78"/>
      <c r="FF451" s="78"/>
      <c r="FG451" s="78"/>
      <c r="FH451" s="78"/>
      <c r="FI451" s="78"/>
      <c r="FJ451" s="78"/>
      <c r="FK451" s="78"/>
    </row>
    <row r="452" spans="1:167" hidden="1" outlineLevel="1">
      <c r="A452" s="29" t="str">
        <f t="shared" si="35"/>
        <v>lt003_entitytxnmy_elgbl_trnvr_cca</v>
      </c>
      <c r="B452" s="67" t="s">
        <v>26</v>
      </c>
      <c r="C452" s="68" t="s">
        <v>26</v>
      </c>
      <c r="D452" s="64" t="s">
        <v>40</v>
      </c>
      <c r="E452" s="70" t="s">
        <v>335</v>
      </c>
      <c r="F452" s="71" t="s">
        <v>341</v>
      </c>
      <c r="G452" s="64" t="str">
        <f>INDEX(Auxiliar!$B$16:$B$24,MATCH(Plano_V1!H452,Auxiliar!$C$16:$C$24,0),1)</f>
        <v>1. Concluído</v>
      </c>
      <c r="H452" s="64">
        <f>VLOOKUP(A452,'Aux - pivots1'!$A:$B,2,0)</f>
        <v>1</v>
      </c>
      <c r="I452" s="84">
        <f>SUMIFS(Table1[Estimação (horas)],Table1[Tabela],Plano_V1!E452,Table1[Campo],Plano_V1!F452)</f>
        <v>4.0999999999999996</v>
      </c>
      <c r="J452" s="84">
        <f t="shared" si="37"/>
        <v>0.51249999999999996</v>
      </c>
      <c r="K452" s="87" t="s">
        <v>337</v>
      </c>
      <c r="M452" s="78"/>
      <c r="N452" s="78"/>
      <c r="O452" s="78"/>
      <c r="P452" s="78"/>
      <c r="Q452" s="78"/>
      <c r="R452" s="78"/>
      <c r="S452" s="78"/>
      <c r="T452" s="78"/>
      <c r="U452" s="78"/>
      <c r="V452" s="78"/>
      <c r="W452" s="78"/>
      <c r="X452" s="78"/>
      <c r="Y452" s="78"/>
      <c r="Z452" s="78"/>
      <c r="AA452" s="78"/>
      <c r="AB452" s="78"/>
      <c r="AC452" s="78"/>
      <c r="AD452" s="78"/>
      <c r="AE452" s="78"/>
      <c r="AF452" s="78"/>
      <c r="AG452" s="78"/>
      <c r="AH452" s="78"/>
      <c r="AI452" s="78"/>
      <c r="AJ452" s="78"/>
      <c r="AK452" s="78"/>
      <c r="AL452" s="78"/>
      <c r="AM452" s="78"/>
      <c r="AN452" s="78"/>
      <c r="AO452" s="78"/>
      <c r="AP452" s="78"/>
      <c r="AQ452" s="78"/>
      <c r="AR452" s="78"/>
      <c r="AS452" s="78"/>
      <c r="AT452" s="91"/>
      <c r="AU452" s="78"/>
      <c r="AV452" s="78"/>
      <c r="AW452" s="78"/>
      <c r="AX452" s="78"/>
      <c r="AY452" s="78"/>
      <c r="AZ452" s="78"/>
      <c r="BA452" s="78"/>
      <c r="BB452" s="78"/>
      <c r="BC452" s="78"/>
      <c r="BD452" s="78"/>
      <c r="BE452" s="78"/>
      <c r="BF452" s="78"/>
      <c r="BG452" s="78"/>
      <c r="BH452" s="78"/>
      <c r="BI452" s="78"/>
      <c r="BJ452" s="78"/>
      <c r="BK452" s="78"/>
      <c r="BL452" s="78"/>
      <c r="BM452" s="78"/>
      <c r="BN452" s="78"/>
      <c r="BO452" s="78"/>
      <c r="BP452" s="78"/>
      <c r="BQ452" s="78"/>
      <c r="BR452" s="78"/>
      <c r="BS452" s="78"/>
      <c r="BT452" s="78"/>
      <c r="BU452" s="78"/>
      <c r="BV452" s="78"/>
      <c r="BW452" s="78"/>
      <c r="BX452" s="78"/>
      <c r="BY452" s="78"/>
      <c r="BZ452" s="78"/>
      <c r="CA452" s="78"/>
      <c r="CB452" s="78"/>
      <c r="CC452" s="78"/>
      <c r="CD452" s="78"/>
      <c r="CE452" s="78"/>
      <c r="CF452" s="78"/>
      <c r="CG452" s="78"/>
      <c r="CH452" s="78"/>
      <c r="CI452" s="78"/>
      <c r="CJ452" s="78"/>
      <c r="CK452" s="78"/>
      <c r="CL452" s="78"/>
      <c r="CM452" s="78"/>
      <c r="CN452" s="78"/>
      <c r="CO452" s="78"/>
      <c r="CP452" s="78"/>
      <c r="CQ452" s="78"/>
      <c r="CR452" s="78"/>
      <c r="CS452" s="78"/>
      <c r="CT452" s="78"/>
      <c r="CU452" s="78"/>
      <c r="CV452" s="78"/>
      <c r="CW452" s="78"/>
      <c r="CX452" s="78"/>
      <c r="CY452" s="78"/>
      <c r="CZ452" s="78"/>
      <c r="DA452" s="78"/>
      <c r="DB452" s="78"/>
      <c r="DC452" s="78"/>
      <c r="DD452" s="78"/>
      <c r="DE452" s="78"/>
      <c r="DF452" s="78"/>
      <c r="DG452" s="78"/>
      <c r="DH452" s="78"/>
      <c r="DI452" s="78"/>
      <c r="DJ452" s="78"/>
      <c r="DK452" s="78"/>
      <c r="DL452" s="78"/>
      <c r="DM452" s="78"/>
      <c r="DN452" s="78"/>
      <c r="DO452" s="78"/>
      <c r="DP452" s="78"/>
      <c r="DQ452" s="78"/>
      <c r="DR452" s="78"/>
      <c r="DS452" s="78"/>
      <c r="DT452" s="78"/>
      <c r="DU452" s="78"/>
      <c r="DV452" s="78"/>
      <c r="DW452" s="78"/>
      <c r="DX452" s="78"/>
      <c r="DY452" s="78"/>
      <c r="DZ452" s="78"/>
      <c r="EA452" s="78"/>
      <c r="EB452" s="78"/>
      <c r="EC452" s="78"/>
      <c r="ED452" s="78"/>
      <c r="EE452" s="78"/>
      <c r="EF452" s="78"/>
      <c r="EG452" s="78"/>
      <c r="EH452" s="78"/>
      <c r="EI452" s="91"/>
      <c r="EJ452" s="91"/>
      <c r="EK452" s="91"/>
      <c r="EL452" s="91"/>
      <c r="EM452" s="91"/>
      <c r="EN452" s="91"/>
      <c r="EO452" s="91"/>
      <c r="EP452" s="78"/>
      <c r="EQ452" s="78"/>
      <c r="ER452" s="78"/>
      <c r="ES452" s="78"/>
      <c r="ET452" s="78"/>
      <c r="EU452" s="78"/>
      <c r="EV452" s="78"/>
      <c r="EW452" s="78"/>
      <c r="EX452" s="78"/>
      <c r="EY452" s="78"/>
      <c r="EZ452" s="78"/>
      <c r="FA452" s="78"/>
      <c r="FB452" s="78"/>
      <c r="FC452" s="78"/>
      <c r="FD452" s="78"/>
      <c r="FE452" s="78"/>
      <c r="FF452" s="78"/>
      <c r="FG452" s="78"/>
      <c r="FH452" s="78"/>
      <c r="FI452" s="78"/>
      <c r="FJ452" s="78"/>
      <c r="FK452" s="78"/>
    </row>
    <row r="453" spans="1:167" hidden="1" outlineLevel="1">
      <c r="A453" s="29" t="str">
        <f t="shared" si="35"/>
        <v>lt003_entityenblng_capex_ccm</v>
      </c>
      <c r="B453" s="67" t="s">
        <v>26</v>
      </c>
      <c r="C453" s="68" t="s">
        <v>26</v>
      </c>
      <c r="D453" s="64" t="s">
        <v>40</v>
      </c>
      <c r="E453" s="70" t="s">
        <v>335</v>
      </c>
      <c r="F453" s="71" t="s">
        <v>342</v>
      </c>
      <c r="G453" s="64" t="str">
        <f>INDEX(Auxiliar!$B$16:$B$24,MATCH(Plano_V1!H453,Auxiliar!$C$16:$C$24,0),1)</f>
        <v>1. Concluído</v>
      </c>
      <c r="H453" s="64">
        <f>VLOOKUP(A453,'Aux - pivots1'!$A:$B,2,0)</f>
        <v>1</v>
      </c>
      <c r="I453" s="84">
        <f>SUMIFS(Table1[Estimação (horas)],Table1[Tabela],Plano_V1!E453,Table1[Campo],Plano_V1!F453)</f>
        <v>4.0999999999999996</v>
      </c>
      <c r="J453" s="84">
        <f t="shared" si="37"/>
        <v>0.51249999999999996</v>
      </c>
      <c r="K453" s="87" t="s">
        <v>337</v>
      </c>
      <c r="M453" s="78"/>
      <c r="N453" s="78"/>
      <c r="O453" s="78"/>
      <c r="P453" s="78"/>
      <c r="Q453" s="78"/>
      <c r="R453" s="78"/>
      <c r="S453" s="78"/>
      <c r="T453" s="78"/>
      <c r="U453" s="78"/>
      <c r="V453" s="78"/>
      <c r="W453" s="78"/>
      <c r="X453" s="78"/>
      <c r="Y453" s="78"/>
      <c r="Z453" s="78"/>
      <c r="AA453" s="78"/>
      <c r="AB453" s="78"/>
      <c r="AC453" s="78"/>
      <c r="AD453" s="78"/>
      <c r="AE453" s="78"/>
      <c r="AF453" s="78"/>
      <c r="AG453" s="78"/>
      <c r="AH453" s="78"/>
      <c r="AI453" s="78"/>
      <c r="AJ453" s="78"/>
      <c r="AK453" s="78"/>
      <c r="AL453" s="78"/>
      <c r="AM453" s="78"/>
      <c r="AN453" s="78"/>
      <c r="AO453" s="78"/>
      <c r="AP453" s="78"/>
      <c r="AQ453" s="78"/>
      <c r="AR453" s="78"/>
      <c r="AS453" s="78"/>
      <c r="AT453" s="91"/>
      <c r="AU453" s="78"/>
      <c r="AV453" s="78"/>
      <c r="AW453" s="78"/>
      <c r="AX453" s="78"/>
      <c r="AY453" s="78"/>
      <c r="AZ453" s="78"/>
      <c r="BA453" s="78"/>
      <c r="BB453" s="78"/>
      <c r="BC453" s="78"/>
      <c r="BD453" s="78"/>
      <c r="BE453" s="78"/>
      <c r="BF453" s="78"/>
      <c r="BG453" s="78"/>
      <c r="BH453" s="78"/>
      <c r="BI453" s="78"/>
      <c r="BJ453" s="78"/>
      <c r="BK453" s="78"/>
      <c r="BL453" s="78"/>
      <c r="BM453" s="78"/>
      <c r="BN453" s="78"/>
      <c r="BO453" s="78"/>
      <c r="BP453" s="78"/>
      <c r="BQ453" s="78"/>
      <c r="BR453" s="78"/>
      <c r="BS453" s="78"/>
      <c r="BT453" s="78"/>
      <c r="BU453" s="78"/>
      <c r="BV453" s="78"/>
      <c r="BW453" s="78"/>
      <c r="BX453" s="78"/>
      <c r="BY453" s="78"/>
      <c r="BZ453" s="78"/>
      <c r="CA453" s="78"/>
      <c r="CB453" s="78"/>
      <c r="CC453" s="78"/>
      <c r="CD453" s="78"/>
      <c r="CE453" s="78"/>
      <c r="CF453" s="78"/>
      <c r="CG453" s="78"/>
      <c r="CH453" s="78"/>
      <c r="CI453" s="78"/>
      <c r="CJ453" s="78"/>
      <c r="CK453" s="78"/>
      <c r="CL453" s="78"/>
      <c r="CM453" s="78"/>
      <c r="CN453" s="78"/>
      <c r="CO453" s="78"/>
      <c r="CP453" s="78"/>
      <c r="CQ453" s="78"/>
      <c r="CR453" s="78"/>
      <c r="CS453" s="78"/>
      <c r="CT453" s="78"/>
      <c r="CU453" s="78"/>
      <c r="CV453" s="78"/>
      <c r="CW453" s="78"/>
      <c r="CX453" s="78"/>
      <c r="CY453" s="78"/>
      <c r="CZ453" s="78"/>
      <c r="DA453" s="78"/>
      <c r="DB453" s="78"/>
      <c r="DC453" s="78"/>
      <c r="DD453" s="78"/>
      <c r="DE453" s="78"/>
      <c r="DF453" s="78"/>
      <c r="DG453" s="78"/>
      <c r="DH453" s="78"/>
      <c r="DI453" s="78"/>
      <c r="DJ453" s="78"/>
      <c r="DK453" s="78"/>
      <c r="DL453" s="78"/>
      <c r="DM453" s="78"/>
      <c r="DN453" s="78"/>
      <c r="DO453" s="78"/>
      <c r="DP453" s="78"/>
      <c r="DQ453" s="78"/>
      <c r="DR453" s="78"/>
      <c r="DS453" s="78"/>
      <c r="DT453" s="78"/>
      <c r="DU453" s="78"/>
      <c r="DV453" s="78"/>
      <c r="DW453" s="78"/>
      <c r="DX453" s="78"/>
      <c r="DY453" s="78"/>
      <c r="DZ453" s="78"/>
      <c r="EA453" s="78"/>
      <c r="EB453" s="78"/>
      <c r="EC453" s="78"/>
      <c r="ED453" s="78"/>
      <c r="EE453" s="78"/>
      <c r="EF453" s="78"/>
      <c r="EG453" s="78"/>
      <c r="EH453" s="78"/>
      <c r="EI453" s="91"/>
      <c r="EJ453" s="91"/>
      <c r="EK453" s="91"/>
      <c r="EL453" s="91"/>
      <c r="EM453" s="91"/>
      <c r="EN453" s="91"/>
      <c r="EO453" s="91"/>
      <c r="EP453" s="78"/>
      <c r="EQ453" s="78"/>
      <c r="ER453" s="78"/>
      <c r="ES453" s="78"/>
      <c r="ET453" s="78"/>
      <c r="EU453" s="78"/>
      <c r="EV453" s="78"/>
      <c r="EW453" s="78"/>
      <c r="EX453" s="78"/>
      <c r="EY453" s="78"/>
      <c r="EZ453" s="78"/>
      <c r="FA453" s="78"/>
      <c r="FB453" s="78"/>
      <c r="FC453" s="78"/>
      <c r="FD453" s="78"/>
      <c r="FE453" s="78"/>
      <c r="FF453" s="78"/>
      <c r="FG453" s="78"/>
      <c r="FH453" s="78"/>
      <c r="FI453" s="78"/>
      <c r="FJ453" s="78"/>
      <c r="FK453" s="78"/>
    </row>
    <row r="454" spans="1:167" hidden="1" outlineLevel="1">
      <c r="A454" s="29" t="str">
        <f t="shared" si="35"/>
        <v>lt003_entityenblng_capex_cca</v>
      </c>
      <c r="B454" s="67" t="s">
        <v>26</v>
      </c>
      <c r="C454" s="68" t="s">
        <v>26</v>
      </c>
      <c r="D454" s="64" t="s">
        <v>40</v>
      </c>
      <c r="E454" s="70" t="s">
        <v>335</v>
      </c>
      <c r="F454" s="71" t="s">
        <v>343</v>
      </c>
      <c r="G454" s="64" t="str">
        <f>INDEX(Auxiliar!$B$16:$B$24,MATCH(Plano_V1!H454,Auxiliar!$C$16:$C$24,0),1)</f>
        <v>1. Concluído</v>
      </c>
      <c r="H454" s="64">
        <f>VLOOKUP(A454,'Aux - pivots1'!$A:$B,2,0)</f>
        <v>1</v>
      </c>
      <c r="I454" s="84">
        <f>SUMIFS(Table1[Estimação (horas)],Table1[Tabela],Plano_V1!E454,Table1[Campo],Plano_V1!F454)</f>
        <v>4.0999999999999996</v>
      </c>
      <c r="J454" s="84">
        <f t="shared" si="37"/>
        <v>0.51249999999999996</v>
      </c>
      <c r="K454" s="87" t="s">
        <v>337</v>
      </c>
      <c r="M454" s="78"/>
      <c r="N454" s="78"/>
      <c r="O454" s="78"/>
      <c r="P454" s="78"/>
      <c r="Q454" s="78"/>
      <c r="R454" s="78"/>
      <c r="S454" s="78"/>
      <c r="T454" s="78"/>
      <c r="U454" s="78"/>
      <c r="V454" s="78"/>
      <c r="W454" s="78"/>
      <c r="X454" s="78"/>
      <c r="Y454" s="78"/>
      <c r="Z454" s="78"/>
      <c r="AA454" s="78"/>
      <c r="AB454" s="78"/>
      <c r="AC454" s="78"/>
      <c r="AD454" s="78"/>
      <c r="AE454" s="78"/>
      <c r="AF454" s="78"/>
      <c r="AG454" s="78"/>
      <c r="AH454" s="78"/>
      <c r="AI454" s="78"/>
      <c r="AJ454" s="78"/>
      <c r="AK454" s="78"/>
      <c r="AL454" s="78"/>
      <c r="AM454" s="78"/>
      <c r="AN454" s="78"/>
      <c r="AO454" s="78"/>
      <c r="AP454" s="78"/>
      <c r="AQ454" s="78"/>
      <c r="AR454" s="78"/>
      <c r="AS454" s="78"/>
      <c r="AT454" s="91"/>
      <c r="AU454" s="78"/>
      <c r="AV454" s="78"/>
      <c r="AW454" s="78"/>
      <c r="AX454" s="78"/>
      <c r="AY454" s="78"/>
      <c r="AZ454" s="78"/>
      <c r="BA454" s="78"/>
      <c r="BB454" s="78"/>
      <c r="BC454" s="78"/>
      <c r="BD454" s="78"/>
      <c r="BE454" s="78"/>
      <c r="BF454" s="78"/>
      <c r="BG454" s="78"/>
      <c r="BH454" s="78"/>
      <c r="BI454" s="78"/>
      <c r="BJ454" s="78"/>
      <c r="BK454" s="78"/>
      <c r="BL454" s="78"/>
      <c r="BM454" s="78"/>
      <c r="BN454" s="78"/>
      <c r="BO454" s="78"/>
      <c r="BP454" s="78"/>
      <c r="BQ454" s="78"/>
      <c r="BR454" s="78"/>
      <c r="BS454" s="78"/>
      <c r="BT454" s="78"/>
      <c r="BU454" s="78"/>
      <c r="BV454" s="78"/>
      <c r="BW454" s="78"/>
      <c r="BX454" s="78"/>
      <c r="BY454" s="78"/>
      <c r="BZ454" s="78"/>
      <c r="CA454" s="78"/>
      <c r="CB454" s="78"/>
      <c r="CC454" s="78"/>
      <c r="CD454" s="78"/>
      <c r="CE454" s="78"/>
      <c r="CF454" s="78"/>
      <c r="CG454" s="78"/>
      <c r="CH454" s="78"/>
      <c r="CI454" s="78"/>
      <c r="CJ454" s="78"/>
      <c r="CK454" s="78"/>
      <c r="CL454" s="78"/>
      <c r="CM454" s="78"/>
      <c r="CN454" s="78"/>
      <c r="CO454" s="78"/>
      <c r="CP454" s="78"/>
      <c r="CQ454" s="78"/>
      <c r="CR454" s="78"/>
      <c r="CS454" s="78"/>
      <c r="CT454" s="78"/>
      <c r="CU454" s="78"/>
      <c r="CV454" s="78"/>
      <c r="CW454" s="78"/>
      <c r="CX454" s="78"/>
      <c r="CY454" s="78"/>
      <c r="CZ454" s="78"/>
      <c r="DA454" s="78"/>
      <c r="DB454" s="78"/>
      <c r="DC454" s="78"/>
      <c r="DD454" s="78"/>
      <c r="DE454" s="78"/>
      <c r="DF454" s="78"/>
      <c r="DG454" s="78"/>
      <c r="DH454" s="78"/>
      <c r="DI454" s="78"/>
      <c r="DJ454" s="78"/>
      <c r="DK454" s="78"/>
      <c r="DL454" s="78"/>
      <c r="DM454" s="78"/>
      <c r="DN454" s="78"/>
      <c r="DO454" s="78"/>
      <c r="DP454" s="78"/>
      <c r="DQ454" s="78"/>
      <c r="DR454" s="78"/>
      <c r="DS454" s="78"/>
      <c r="DT454" s="78"/>
      <c r="DU454" s="78"/>
      <c r="DV454" s="78"/>
      <c r="DW454" s="78"/>
      <c r="DX454" s="78"/>
      <c r="DY454" s="78"/>
      <c r="DZ454" s="78"/>
      <c r="EA454" s="78"/>
      <c r="EB454" s="78"/>
      <c r="EC454" s="78"/>
      <c r="ED454" s="78"/>
      <c r="EE454" s="78"/>
      <c r="EF454" s="78"/>
      <c r="EG454" s="78"/>
      <c r="EH454" s="78"/>
      <c r="EI454" s="91"/>
      <c r="EJ454" s="91"/>
      <c r="EK454" s="91"/>
      <c r="EL454" s="91"/>
      <c r="EM454" s="91"/>
      <c r="EN454" s="91"/>
      <c r="EO454" s="91"/>
      <c r="EP454" s="78"/>
      <c r="EQ454" s="78"/>
      <c r="ER454" s="78"/>
      <c r="ES454" s="78"/>
      <c r="ET454" s="78"/>
      <c r="EU454" s="78"/>
      <c r="EV454" s="78"/>
      <c r="EW454" s="78"/>
      <c r="EX454" s="78"/>
      <c r="EY454" s="78"/>
      <c r="EZ454" s="78"/>
      <c r="FA454" s="78"/>
      <c r="FB454" s="78"/>
      <c r="FC454" s="78"/>
      <c r="FD454" s="78"/>
      <c r="FE454" s="78"/>
      <c r="FF454" s="78"/>
      <c r="FG454" s="78"/>
      <c r="FH454" s="78"/>
      <c r="FI454" s="78"/>
      <c r="FJ454" s="78"/>
      <c r="FK454" s="78"/>
    </row>
    <row r="455" spans="1:167" hidden="1" outlineLevel="1">
      <c r="A455" s="29" t="str">
        <f t="shared" si="35"/>
        <v>lt003_entitytrnstnl_capex</v>
      </c>
      <c r="B455" s="67" t="s">
        <v>26</v>
      </c>
      <c r="C455" s="68" t="s">
        <v>26</v>
      </c>
      <c r="D455" s="64" t="s">
        <v>40</v>
      </c>
      <c r="E455" s="70" t="s">
        <v>335</v>
      </c>
      <c r="F455" s="71" t="s">
        <v>344</v>
      </c>
      <c r="G455" s="64" t="str">
        <f>INDEX(Auxiliar!$B$16:$B$24,MATCH(Plano_V1!H455,Auxiliar!$C$16:$C$24,0),1)</f>
        <v>1. Concluído</v>
      </c>
      <c r="H455" s="64">
        <f>VLOOKUP(A455,'Aux - pivots1'!$A:$B,2,0)</f>
        <v>1</v>
      </c>
      <c r="I455" s="84">
        <f>SUMIFS(Table1[Estimação (horas)],Table1[Tabela],Plano_V1!E455,Table1[Campo],Plano_V1!F455)</f>
        <v>4.0999999999999996</v>
      </c>
      <c r="J455" s="84">
        <f t="shared" si="37"/>
        <v>0.51249999999999996</v>
      </c>
      <c r="K455" s="87" t="s">
        <v>337</v>
      </c>
      <c r="M455" s="78"/>
      <c r="N455" s="78"/>
      <c r="O455" s="78"/>
      <c r="P455" s="78"/>
      <c r="Q455" s="78"/>
      <c r="R455" s="78"/>
      <c r="S455" s="78"/>
      <c r="T455" s="78"/>
      <c r="U455" s="78"/>
      <c r="V455" s="78"/>
      <c r="W455" s="78"/>
      <c r="X455" s="78"/>
      <c r="Y455" s="78"/>
      <c r="Z455" s="78"/>
      <c r="AA455" s="78"/>
      <c r="AB455" s="78"/>
      <c r="AC455" s="78"/>
      <c r="AD455" s="78"/>
      <c r="AE455" s="78"/>
      <c r="AF455" s="78"/>
      <c r="AG455" s="78"/>
      <c r="AH455" s="78"/>
      <c r="AI455" s="78"/>
      <c r="AJ455" s="78"/>
      <c r="AK455" s="78"/>
      <c r="AL455" s="78"/>
      <c r="AM455" s="78"/>
      <c r="AN455" s="78"/>
      <c r="AO455" s="78"/>
      <c r="AP455" s="78"/>
      <c r="AQ455" s="78"/>
      <c r="AR455" s="78"/>
      <c r="AS455" s="78"/>
      <c r="AT455" s="91"/>
      <c r="AU455" s="78"/>
      <c r="AV455" s="78"/>
      <c r="AW455" s="78"/>
      <c r="AX455" s="78"/>
      <c r="AY455" s="78"/>
      <c r="AZ455" s="78"/>
      <c r="BA455" s="78"/>
      <c r="BB455" s="78"/>
      <c r="BC455" s="78"/>
      <c r="BD455" s="78"/>
      <c r="BE455" s="78"/>
      <c r="BF455" s="78"/>
      <c r="BG455" s="78"/>
      <c r="BH455" s="78"/>
      <c r="BI455" s="78"/>
      <c r="BJ455" s="78"/>
      <c r="BK455" s="78"/>
      <c r="BL455" s="78"/>
      <c r="BM455" s="78"/>
      <c r="BN455" s="78"/>
      <c r="BO455" s="78"/>
      <c r="BP455" s="78"/>
      <c r="BQ455" s="78"/>
      <c r="BR455" s="78"/>
      <c r="BS455" s="78"/>
      <c r="BT455" s="78"/>
      <c r="BU455" s="78"/>
      <c r="BV455" s="78"/>
      <c r="BW455" s="78"/>
      <c r="BX455" s="78"/>
      <c r="BY455" s="78"/>
      <c r="BZ455" s="78"/>
      <c r="CA455" s="78"/>
      <c r="CB455" s="78"/>
      <c r="CC455" s="78"/>
      <c r="CD455" s="78"/>
      <c r="CE455" s="78"/>
      <c r="CF455" s="78"/>
      <c r="CG455" s="78"/>
      <c r="CH455" s="78"/>
      <c r="CI455" s="78"/>
      <c r="CJ455" s="78"/>
      <c r="CK455" s="78"/>
      <c r="CL455" s="78"/>
      <c r="CM455" s="78"/>
      <c r="CN455" s="78"/>
      <c r="CO455" s="78"/>
      <c r="CP455" s="78"/>
      <c r="CQ455" s="78"/>
      <c r="CR455" s="78"/>
      <c r="CS455" s="78"/>
      <c r="CT455" s="78"/>
      <c r="CU455" s="78"/>
      <c r="CV455" s="78"/>
      <c r="CW455" s="78"/>
      <c r="CX455" s="78"/>
      <c r="CY455" s="78"/>
      <c r="CZ455" s="78"/>
      <c r="DA455" s="78"/>
      <c r="DB455" s="78"/>
      <c r="DC455" s="78"/>
      <c r="DD455" s="78"/>
      <c r="DE455" s="78"/>
      <c r="DF455" s="78"/>
      <c r="DG455" s="78"/>
      <c r="DH455" s="78"/>
      <c r="DI455" s="78"/>
      <c r="DJ455" s="78"/>
      <c r="DK455" s="78"/>
      <c r="DL455" s="78"/>
      <c r="DM455" s="78"/>
      <c r="DN455" s="78"/>
      <c r="DO455" s="78"/>
      <c r="DP455" s="78"/>
      <c r="DQ455" s="78"/>
      <c r="DR455" s="78"/>
      <c r="DS455" s="78"/>
      <c r="DT455" s="78"/>
      <c r="DU455" s="78"/>
      <c r="DV455" s="78"/>
      <c r="DW455" s="78"/>
      <c r="DX455" s="78"/>
      <c r="DY455" s="78"/>
      <c r="DZ455" s="78"/>
      <c r="EA455" s="78"/>
      <c r="EB455" s="78"/>
      <c r="EC455" s="78"/>
      <c r="ED455" s="78"/>
      <c r="EE455" s="78"/>
      <c r="EF455" s="78"/>
      <c r="EG455" s="78"/>
      <c r="EH455" s="78"/>
      <c r="EI455" s="91"/>
      <c r="EJ455" s="91"/>
      <c r="EK455" s="91"/>
      <c r="EL455" s="91"/>
      <c r="EM455" s="91"/>
      <c r="EN455" s="91"/>
      <c r="EO455" s="91"/>
      <c r="EP455" s="78"/>
      <c r="EQ455" s="78"/>
      <c r="ER455" s="78"/>
      <c r="ES455" s="78"/>
      <c r="ET455" s="78"/>
      <c r="EU455" s="78"/>
      <c r="EV455" s="78"/>
      <c r="EW455" s="78"/>
      <c r="EX455" s="78"/>
      <c r="EY455" s="78"/>
      <c r="EZ455" s="78"/>
      <c r="FA455" s="78"/>
      <c r="FB455" s="78"/>
      <c r="FC455" s="78"/>
      <c r="FD455" s="78"/>
      <c r="FE455" s="78"/>
      <c r="FF455" s="78"/>
      <c r="FG455" s="78"/>
      <c r="FH455" s="78"/>
      <c r="FI455" s="78"/>
      <c r="FJ455" s="78"/>
      <c r="FK455" s="78"/>
    </row>
    <row r="456" spans="1:167" hidden="1" outlineLevel="1">
      <c r="A456" s="29" t="str">
        <f t="shared" si="35"/>
        <v>lt003_entitypure_capex_ccm</v>
      </c>
      <c r="B456" s="67" t="s">
        <v>26</v>
      </c>
      <c r="C456" s="68" t="s">
        <v>26</v>
      </c>
      <c r="D456" s="64" t="s">
        <v>40</v>
      </c>
      <c r="E456" s="70" t="s">
        <v>335</v>
      </c>
      <c r="F456" s="71" t="s">
        <v>345</v>
      </c>
      <c r="G456" s="64" t="str">
        <f>INDEX(Auxiliar!$B$16:$B$24,MATCH(Plano_V1!H456,Auxiliar!$C$16:$C$24,0),1)</f>
        <v>1. Concluído</v>
      </c>
      <c r="H456" s="64">
        <f>VLOOKUP(A456,'Aux - pivots1'!$A:$B,2,0)</f>
        <v>1</v>
      </c>
      <c r="I456" s="84">
        <f>SUMIFS(Table1[Estimação (horas)],Table1[Tabela],Plano_V1!E456,Table1[Campo],Plano_V1!F456)</f>
        <v>4.0999999999999996</v>
      </c>
      <c r="J456" s="84">
        <f t="shared" si="37"/>
        <v>0.51249999999999996</v>
      </c>
      <c r="K456" s="87" t="s">
        <v>337</v>
      </c>
      <c r="M456" s="78"/>
      <c r="N456" s="78"/>
      <c r="O456" s="78"/>
      <c r="P456" s="78"/>
      <c r="Q456" s="78"/>
      <c r="R456" s="78"/>
      <c r="S456" s="78"/>
      <c r="T456" s="78"/>
      <c r="U456" s="78"/>
      <c r="V456" s="78"/>
      <c r="W456" s="78"/>
      <c r="X456" s="78"/>
      <c r="Y456" s="78"/>
      <c r="Z456" s="78"/>
      <c r="AA456" s="78"/>
      <c r="AB456" s="78"/>
      <c r="AC456" s="78"/>
      <c r="AD456" s="78"/>
      <c r="AE456" s="78"/>
      <c r="AF456" s="78"/>
      <c r="AG456" s="78"/>
      <c r="AH456" s="78"/>
      <c r="AI456" s="78"/>
      <c r="AJ456" s="78"/>
      <c r="AK456" s="78"/>
      <c r="AL456" s="78"/>
      <c r="AM456" s="78"/>
      <c r="AN456" s="78"/>
      <c r="AO456" s="78"/>
      <c r="AP456" s="78"/>
      <c r="AQ456" s="78"/>
      <c r="AR456" s="78"/>
      <c r="AS456" s="78"/>
      <c r="AT456" s="91"/>
      <c r="AU456" s="78"/>
      <c r="AV456" s="78"/>
      <c r="AW456" s="78"/>
      <c r="AX456" s="78"/>
      <c r="AY456" s="78"/>
      <c r="AZ456" s="78"/>
      <c r="BA456" s="78"/>
      <c r="BB456" s="78"/>
      <c r="BC456" s="78"/>
      <c r="BD456" s="78"/>
      <c r="BE456" s="78"/>
      <c r="BF456" s="78"/>
      <c r="BG456" s="78"/>
      <c r="BH456" s="78"/>
      <c r="BI456" s="78"/>
      <c r="BJ456" s="78"/>
      <c r="BK456" s="78"/>
      <c r="BL456" s="78"/>
      <c r="BM456" s="78"/>
      <c r="BN456" s="78"/>
      <c r="BO456" s="78"/>
      <c r="BP456" s="78"/>
      <c r="BQ456" s="78"/>
      <c r="BR456" s="78"/>
      <c r="BS456" s="78"/>
      <c r="BT456" s="78"/>
      <c r="BU456" s="78"/>
      <c r="BV456" s="78"/>
      <c r="BW456" s="78"/>
      <c r="BX456" s="78"/>
      <c r="BY456" s="78"/>
      <c r="BZ456" s="78"/>
      <c r="CA456" s="78"/>
      <c r="CB456" s="78"/>
      <c r="CC456" s="78"/>
      <c r="CD456" s="78"/>
      <c r="CE456" s="78"/>
      <c r="CF456" s="78"/>
      <c r="CG456" s="78"/>
      <c r="CH456" s="78"/>
      <c r="CI456" s="78"/>
      <c r="CJ456" s="78"/>
      <c r="CK456" s="78"/>
      <c r="CL456" s="78"/>
      <c r="CM456" s="78"/>
      <c r="CN456" s="78"/>
      <c r="CO456" s="78"/>
      <c r="CP456" s="78"/>
      <c r="CQ456" s="78"/>
      <c r="CR456" s="78"/>
      <c r="CS456" s="78"/>
      <c r="CT456" s="78"/>
      <c r="CU456" s="78"/>
      <c r="CV456" s="78"/>
      <c r="CW456" s="78"/>
      <c r="CX456" s="78"/>
      <c r="CY456" s="78"/>
      <c r="CZ456" s="78"/>
      <c r="DA456" s="78"/>
      <c r="DB456" s="78"/>
      <c r="DC456" s="78"/>
      <c r="DD456" s="78"/>
      <c r="DE456" s="78"/>
      <c r="DF456" s="78"/>
      <c r="DG456" s="78"/>
      <c r="DH456" s="78"/>
      <c r="DI456" s="78"/>
      <c r="DJ456" s="78"/>
      <c r="DK456" s="78"/>
      <c r="DL456" s="78"/>
      <c r="DM456" s="78"/>
      <c r="DN456" s="78"/>
      <c r="DO456" s="78"/>
      <c r="DP456" s="78"/>
      <c r="DQ456" s="78"/>
      <c r="DR456" s="78"/>
      <c r="DS456" s="78"/>
      <c r="DT456" s="78"/>
      <c r="DU456" s="78"/>
      <c r="DV456" s="78"/>
      <c r="DW456" s="78"/>
      <c r="DX456" s="78"/>
      <c r="DY456" s="78"/>
      <c r="DZ456" s="78"/>
      <c r="EA456" s="78"/>
      <c r="EB456" s="78"/>
      <c r="EC456" s="78"/>
      <c r="ED456" s="78"/>
      <c r="EE456" s="78"/>
      <c r="EF456" s="78"/>
      <c r="EG456" s="78"/>
      <c r="EH456" s="78"/>
      <c r="EI456" s="91"/>
      <c r="EJ456" s="91"/>
      <c r="EK456" s="91"/>
      <c r="EL456" s="91"/>
      <c r="EM456" s="91"/>
      <c r="EN456" s="91"/>
      <c r="EO456" s="91"/>
      <c r="EP456" s="78"/>
      <c r="EQ456" s="78"/>
      <c r="ER456" s="78"/>
      <c r="ES456" s="78"/>
      <c r="ET456" s="78"/>
      <c r="EU456" s="78"/>
      <c r="EV456" s="78"/>
      <c r="EW456" s="78"/>
      <c r="EX456" s="78"/>
      <c r="EY456" s="78"/>
      <c r="EZ456" s="78"/>
      <c r="FA456" s="78"/>
      <c r="FB456" s="78"/>
      <c r="FC456" s="78"/>
      <c r="FD456" s="78"/>
      <c r="FE456" s="78"/>
      <c r="FF456" s="78"/>
      <c r="FG456" s="78"/>
      <c r="FH456" s="78"/>
      <c r="FI456" s="78"/>
      <c r="FJ456" s="78"/>
      <c r="FK456" s="78"/>
    </row>
    <row r="457" spans="1:167" hidden="1" outlineLevel="1">
      <c r="A457" s="29" t="str">
        <f t="shared" si="35"/>
        <v>lt003_entitypure_capex_cca</v>
      </c>
      <c r="B457" s="67" t="s">
        <v>26</v>
      </c>
      <c r="C457" s="68" t="s">
        <v>26</v>
      </c>
      <c r="D457" s="64" t="s">
        <v>40</v>
      </c>
      <c r="E457" s="70" t="s">
        <v>335</v>
      </c>
      <c r="F457" s="71" t="s">
        <v>346</v>
      </c>
      <c r="G457" s="64" t="str">
        <f>INDEX(Auxiliar!$B$16:$B$24,MATCH(Plano_V1!H457,Auxiliar!$C$16:$C$24,0),1)</f>
        <v>1. Concluído</v>
      </c>
      <c r="H457" s="64">
        <f>VLOOKUP(A457,'Aux - pivots1'!$A:$B,2,0)</f>
        <v>1</v>
      </c>
      <c r="I457" s="84">
        <f>SUMIFS(Table1[Estimação (horas)],Table1[Tabela],Plano_V1!E457,Table1[Campo],Plano_V1!F457)</f>
        <v>4.0999999999999996</v>
      </c>
      <c r="J457" s="84">
        <f t="shared" si="37"/>
        <v>0.51249999999999996</v>
      </c>
      <c r="K457" s="87" t="s">
        <v>337</v>
      </c>
      <c r="M457" s="78"/>
      <c r="N457" s="78"/>
      <c r="O457" s="78"/>
      <c r="P457" s="78"/>
      <c r="Q457" s="78"/>
      <c r="R457" s="78"/>
      <c r="S457" s="78"/>
      <c r="T457" s="78"/>
      <c r="U457" s="78"/>
      <c r="V457" s="78"/>
      <c r="W457" s="78"/>
      <c r="X457" s="78"/>
      <c r="Y457" s="78"/>
      <c r="Z457" s="78"/>
      <c r="AA457" s="78"/>
      <c r="AB457" s="78"/>
      <c r="AC457" s="78"/>
      <c r="AD457" s="78"/>
      <c r="AE457" s="78"/>
      <c r="AF457" s="78"/>
      <c r="AG457" s="78"/>
      <c r="AH457" s="78"/>
      <c r="AI457" s="78"/>
      <c r="AJ457" s="78"/>
      <c r="AK457" s="78"/>
      <c r="AL457" s="78"/>
      <c r="AM457" s="78"/>
      <c r="AN457" s="78"/>
      <c r="AO457" s="78"/>
      <c r="AP457" s="78"/>
      <c r="AQ457" s="78"/>
      <c r="AR457" s="78"/>
      <c r="AS457" s="78"/>
      <c r="AT457" s="91"/>
      <c r="AU457" s="78"/>
      <c r="AV457" s="78"/>
      <c r="AW457" s="78"/>
      <c r="AX457" s="78"/>
      <c r="AY457" s="78"/>
      <c r="AZ457" s="78"/>
      <c r="BA457" s="78"/>
      <c r="BB457" s="78"/>
      <c r="BC457" s="78"/>
      <c r="BD457" s="78"/>
      <c r="BE457" s="78"/>
      <c r="BF457" s="78"/>
      <c r="BG457" s="78"/>
      <c r="BH457" s="78"/>
      <c r="BI457" s="78"/>
      <c r="BJ457" s="78"/>
      <c r="BK457" s="78"/>
      <c r="BL457" s="78"/>
      <c r="BM457" s="78"/>
      <c r="BN457" s="78"/>
      <c r="BO457" s="78"/>
      <c r="BP457" s="78"/>
      <c r="BQ457" s="78"/>
      <c r="BR457" s="78"/>
      <c r="BS457" s="78"/>
      <c r="BT457" s="78"/>
      <c r="BU457" s="78"/>
      <c r="BV457" s="78"/>
      <c r="BW457" s="78"/>
      <c r="BX457" s="78"/>
      <c r="BY457" s="78"/>
      <c r="BZ457" s="78"/>
      <c r="CA457" s="78"/>
      <c r="CB457" s="78"/>
      <c r="CC457" s="78"/>
      <c r="CD457" s="78"/>
      <c r="CE457" s="78"/>
      <c r="CF457" s="78"/>
      <c r="CG457" s="78"/>
      <c r="CH457" s="78"/>
      <c r="CI457" s="78"/>
      <c r="CJ457" s="78"/>
      <c r="CK457" s="78"/>
      <c r="CL457" s="78"/>
      <c r="CM457" s="78"/>
      <c r="CN457" s="78"/>
      <c r="CO457" s="78"/>
      <c r="CP457" s="78"/>
      <c r="CQ457" s="78"/>
      <c r="CR457" s="78"/>
      <c r="CS457" s="78"/>
      <c r="CT457" s="78"/>
      <c r="CU457" s="78"/>
      <c r="CV457" s="78"/>
      <c r="CW457" s="78"/>
      <c r="CX457" s="78"/>
      <c r="CY457" s="78"/>
      <c r="CZ457" s="78"/>
      <c r="DA457" s="78"/>
      <c r="DB457" s="78"/>
      <c r="DC457" s="78"/>
      <c r="DD457" s="78"/>
      <c r="DE457" s="78"/>
      <c r="DF457" s="78"/>
      <c r="DG457" s="78"/>
      <c r="DH457" s="78"/>
      <c r="DI457" s="78"/>
      <c r="DJ457" s="78"/>
      <c r="DK457" s="78"/>
      <c r="DL457" s="78"/>
      <c r="DM457" s="78"/>
      <c r="DN457" s="78"/>
      <c r="DO457" s="78"/>
      <c r="DP457" s="78"/>
      <c r="DQ457" s="78"/>
      <c r="DR457" s="78"/>
      <c r="DS457" s="78"/>
      <c r="DT457" s="78"/>
      <c r="DU457" s="78"/>
      <c r="DV457" s="78"/>
      <c r="DW457" s="78"/>
      <c r="DX457" s="78"/>
      <c r="DY457" s="78"/>
      <c r="DZ457" s="78"/>
      <c r="EA457" s="78"/>
      <c r="EB457" s="78"/>
      <c r="EC457" s="78"/>
      <c r="ED457" s="78"/>
      <c r="EE457" s="78"/>
      <c r="EF457" s="78"/>
      <c r="EG457" s="78"/>
      <c r="EH457" s="78"/>
      <c r="EI457" s="91"/>
      <c r="EJ457" s="91"/>
      <c r="EK457" s="91"/>
      <c r="EL457" s="91"/>
      <c r="EM457" s="91"/>
      <c r="EN457" s="91"/>
      <c r="EO457" s="91"/>
      <c r="EP457" s="78"/>
      <c r="EQ457" s="78"/>
      <c r="ER457" s="78"/>
      <c r="ES457" s="78"/>
      <c r="ET457" s="78"/>
      <c r="EU457" s="78"/>
      <c r="EV457" s="78"/>
      <c r="EW457" s="78"/>
      <c r="EX457" s="78"/>
      <c r="EY457" s="78"/>
      <c r="EZ457" s="78"/>
      <c r="FA457" s="78"/>
      <c r="FB457" s="78"/>
      <c r="FC457" s="78"/>
      <c r="FD457" s="78"/>
      <c r="FE457" s="78"/>
      <c r="FF457" s="78"/>
      <c r="FG457" s="78"/>
      <c r="FH457" s="78"/>
      <c r="FI457" s="78"/>
      <c r="FJ457" s="78"/>
      <c r="FK457" s="78"/>
    </row>
    <row r="458" spans="1:167" hidden="1" outlineLevel="1">
      <c r="A458" s="29" t="str">
        <f t="shared" si="35"/>
        <v>lt003_entityenblng_trnvr_ccm</v>
      </c>
      <c r="B458" s="67" t="s">
        <v>26</v>
      </c>
      <c r="C458" s="68" t="s">
        <v>26</v>
      </c>
      <c r="D458" s="64" t="s">
        <v>40</v>
      </c>
      <c r="E458" s="70" t="s">
        <v>335</v>
      </c>
      <c r="F458" s="71" t="s">
        <v>347</v>
      </c>
      <c r="G458" s="64" t="str">
        <f>INDEX(Auxiliar!$B$16:$B$24,MATCH(Plano_V1!H458,Auxiliar!$C$16:$C$24,0),1)</f>
        <v>1. Concluído</v>
      </c>
      <c r="H458" s="64">
        <f>VLOOKUP(A458,'Aux - pivots1'!$A:$B,2,0)</f>
        <v>1</v>
      </c>
      <c r="I458" s="84">
        <f>SUMIFS(Table1[Estimação (horas)],Table1[Tabela],Plano_V1!E458,Table1[Campo],Plano_V1!F458)</f>
        <v>4.0999999999999996</v>
      </c>
      <c r="J458" s="84">
        <f t="shared" si="37"/>
        <v>0.51249999999999996</v>
      </c>
      <c r="K458" s="87" t="s">
        <v>337</v>
      </c>
      <c r="M458" s="78"/>
      <c r="N458" s="78"/>
      <c r="O458" s="78"/>
      <c r="P458" s="78"/>
      <c r="Q458" s="78"/>
      <c r="R458" s="78"/>
      <c r="S458" s="78"/>
      <c r="T458" s="78"/>
      <c r="U458" s="78"/>
      <c r="V458" s="78"/>
      <c r="W458" s="78"/>
      <c r="X458" s="78"/>
      <c r="Y458" s="78"/>
      <c r="Z458" s="78"/>
      <c r="AA458" s="78"/>
      <c r="AB458" s="78"/>
      <c r="AC458" s="78"/>
      <c r="AD458" s="78"/>
      <c r="AE458" s="78"/>
      <c r="AF458" s="78"/>
      <c r="AG458" s="78"/>
      <c r="AH458" s="78"/>
      <c r="AI458" s="78"/>
      <c r="AJ458" s="78"/>
      <c r="AK458" s="78"/>
      <c r="AL458" s="78"/>
      <c r="AM458" s="78"/>
      <c r="AN458" s="78"/>
      <c r="AO458" s="78"/>
      <c r="AP458" s="78"/>
      <c r="AQ458" s="78"/>
      <c r="AR458" s="78"/>
      <c r="AS458" s="78"/>
      <c r="AT458" s="91"/>
      <c r="AU458" s="78"/>
      <c r="AV458" s="78"/>
      <c r="AW458" s="78"/>
      <c r="AX458" s="78"/>
      <c r="AY458" s="78"/>
      <c r="AZ458" s="78"/>
      <c r="BA458" s="78"/>
      <c r="BB458" s="78"/>
      <c r="BC458" s="78"/>
      <c r="BD458" s="78"/>
      <c r="BE458" s="78"/>
      <c r="BF458" s="78"/>
      <c r="BG458" s="78"/>
      <c r="BH458" s="78"/>
      <c r="BI458" s="78"/>
      <c r="BJ458" s="78"/>
      <c r="BK458" s="78"/>
      <c r="BL458" s="78"/>
      <c r="BM458" s="78"/>
      <c r="BN458" s="78"/>
      <c r="BO458" s="78"/>
      <c r="BP458" s="78"/>
      <c r="BQ458" s="78"/>
      <c r="BR458" s="78"/>
      <c r="BS458" s="78"/>
      <c r="BT458" s="78"/>
      <c r="BU458" s="78"/>
      <c r="BV458" s="78"/>
      <c r="BW458" s="78"/>
      <c r="BX458" s="78"/>
      <c r="BY458" s="78"/>
      <c r="BZ458" s="78"/>
      <c r="CA458" s="78"/>
      <c r="CB458" s="78"/>
      <c r="CC458" s="78"/>
      <c r="CD458" s="78"/>
      <c r="CE458" s="78"/>
      <c r="CF458" s="78"/>
      <c r="CG458" s="78"/>
      <c r="CH458" s="78"/>
      <c r="CI458" s="78"/>
      <c r="CJ458" s="78"/>
      <c r="CK458" s="78"/>
      <c r="CL458" s="78"/>
      <c r="CM458" s="78"/>
      <c r="CN458" s="78"/>
      <c r="CO458" s="78"/>
      <c r="CP458" s="78"/>
      <c r="CQ458" s="78"/>
      <c r="CR458" s="78"/>
      <c r="CS458" s="78"/>
      <c r="CT458" s="78"/>
      <c r="CU458" s="78"/>
      <c r="CV458" s="78"/>
      <c r="CW458" s="78"/>
      <c r="CX458" s="78"/>
      <c r="CY458" s="78"/>
      <c r="CZ458" s="78"/>
      <c r="DA458" s="78"/>
      <c r="DB458" s="78"/>
      <c r="DC458" s="78"/>
      <c r="DD458" s="78"/>
      <c r="DE458" s="78"/>
      <c r="DF458" s="78"/>
      <c r="DG458" s="78"/>
      <c r="DH458" s="78"/>
      <c r="DI458" s="78"/>
      <c r="DJ458" s="78"/>
      <c r="DK458" s="78"/>
      <c r="DL458" s="78"/>
      <c r="DM458" s="78"/>
      <c r="DN458" s="78"/>
      <c r="DO458" s="78"/>
      <c r="DP458" s="78"/>
      <c r="DQ458" s="78"/>
      <c r="DR458" s="78"/>
      <c r="DS458" s="78"/>
      <c r="DT458" s="78"/>
      <c r="DU458" s="78"/>
      <c r="DV458" s="78"/>
      <c r="DW458" s="78"/>
      <c r="DX458" s="78"/>
      <c r="DY458" s="78"/>
      <c r="DZ458" s="78"/>
      <c r="EA458" s="78"/>
      <c r="EB458" s="78"/>
      <c r="EC458" s="78"/>
      <c r="ED458" s="78"/>
      <c r="EE458" s="78"/>
      <c r="EF458" s="78"/>
      <c r="EG458" s="78"/>
      <c r="EH458" s="78"/>
      <c r="EI458" s="91"/>
      <c r="EJ458" s="91"/>
      <c r="EK458" s="91"/>
      <c r="EL458" s="91"/>
      <c r="EM458" s="91"/>
      <c r="EN458" s="91"/>
      <c r="EO458" s="91"/>
      <c r="EP458" s="78"/>
      <c r="EQ458" s="78"/>
      <c r="ER458" s="78"/>
      <c r="ES458" s="78"/>
      <c r="ET458" s="78"/>
      <c r="EU458" s="78"/>
      <c r="EV458" s="78"/>
      <c r="EW458" s="78"/>
      <c r="EX458" s="78"/>
      <c r="EY458" s="78"/>
      <c r="EZ458" s="78"/>
      <c r="FA458" s="78"/>
      <c r="FB458" s="78"/>
      <c r="FC458" s="78"/>
      <c r="FD458" s="78"/>
      <c r="FE458" s="78"/>
      <c r="FF458" s="78"/>
      <c r="FG458" s="78"/>
      <c r="FH458" s="78"/>
      <c r="FI458" s="78"/>
      <c r="FJ458" s="78"/>
      <c r="FK458" s="78"/>
    </row>
    <row r="459" spans="1:167" hidden="1" outlineLevel="1">
      <c r="A459" s="29" t="str">
        <f t="shared" si="35"/>
        <v>lt003_entityenblng_trnvr_cca</v>
      </c>
      <c r="B459" s="67" t="s">
        <v>26</v>
      </c>
      <c r="C459" s="68" t="s">
        <v>26</v>
      </c>
      <c r="D459" s="64" t="s">
        <v>40</v>
      </c>
      <c r="E459" s="70" t="s">
        <v>335</v>
      </c>
      <c r="F459" s="71" t="s">
        <v>348</v>
      </c>
      <c r="G459" s="64" t="str">
        <f>INDEX(Auxiliar!$B$16:$B$24,MATCH(Plano_V1!H459,Auxiliar!$C$16:$C$24,0),1)</f>
        <v>1. Concluído</v>
      </c>
      <c r="H459" s="64">
        <f>VLOOKUP(A459,'Aux - pivots1'!$A:$B,2,0)</f>
        <v>1</v>
      </c>
      <c r="I459" s="84">
        <f>SUMIFS(Table1[Estimação (horas)],Table1[Tabela],Plano_V1!E459,Table1[Campo],Plano_V1!F459)</f>
        <v>4.0999999999999996</v>
      </c>
      <c r="J459" s="84">
        <f t="shared" si="37"/>
        <v>0.51249999999999996</v>
      </c>
      <c r="K459" s="87" t="s">
        <v>337</v>
      </c>
      <c r="M459" s="78"/>
      <c r="N459" s="78"/>
      <c r="O459" s="78"/>
      <c r="P459" s="78"/>
      <c r="Q459" s="78"/>
      <c r="R459" s="78"/>
      <c r="S459" s="78"/>
      <c r="T459" s="78"/>
      <c r="U459" s="78"/>
      <c r="V459" s="78"/>
      <c r="W459" s="78"/>
      <c r="X459" s="78"/>
      <c r="Y459" s="78"/>
      <c r="Z459" s="78"/>
      <c r="AA459" s="78"/>
      <c r="AB459" s="78"/>
      <c r="AC459" s="78"/>
      <c r="AD459" s="78"/>
      <c r="AE459" s="78"/>
      <c r="AF459" s="78"/>
      <c r="AG459" s="78"/>
      <c r="AH459" s="78"/>
      <c r="AI459" s="78"/>
      <c r="AJ459" s="78"/>
      <c r="AK459" s="78"/>
      <c r="AL459" s="78"/>
      <c r="AM459" s="78"/>
      <c r="AN459" s="78"/>
      <c r="AO459" s="78"/>
      <c r="AP459" s="78"/>
      <c r="AQ459" s="78"/>
      <c r="AR459" s="78"/>
      <c r="AS459" s="78"/>
      <c r="AT459" s="91"/>
      <c r="AU459" s="78"/>
      <c r="AV459" s="78"/>
      <c r="AW459" s="78"/>
      <c r="AX459" s="78"/>
      <c r="AY459" s="78"/>
      <c r="AZ459" s="78"/>
      <c r="BA459" s="78"/>
      <c r="BB459" s="78"/>
      <c r="BC459" s="78"/>
      <c r="BD459" s="78"/>
      <c r="BE459" s="78"/>
      <c r="BF459" s="78"/>
      <c r="BG459" s="78"/>
      <c r="BH459" s="78"/>
      <c r="BI459" s="78"/>
      <c r="BJ459" s="78"/>
      <c r="BK459" s="78"/>
      <c r="BL459" s="78"/>
      <c r="BM459" s="78"/>
      <c r="BN459" s="78"/>
      <c r="BO459" s="78"/>
      <c r="BP459" s="78"/>
      <c r="BQ459" s="78"/>
      <c r="BR459" s="78"/>
      <c r="BS459" s="78"/>
      <c r="BT459" s="78"/>
      <c r="BU459" s="78"/>
      <c r="BV459" s="78"/>
      <c r="BW459" s="78"/>
      <c r="BX459" s="78"/>
      <c r="BY459" s="78"/>
      <c r="BZ459" s="78"/>
      <c r="CA459" s="78"/>
      <c r="CB459" s="78"/>
      <c r="CC459" s="78"/>
      <c r="CD459" s="78"/>
      <c r="CE459" s="78"/>
      <c r="CF459" s="78"/>
      <c r="CG459" s="78"/>
      <c r="CH459" s="78"/>
      <c r="CI459" s="78"/>
      <c r="CJ459" s="78"/>
      <c r="CK459" s="78"/>
      <c r="CL459" s="78"/>
      <c r="CM459" s="78"/>
      <c r="CN459" s="78"/>
      <c r="CO459" s="78"/>
      <c r="CP459" s="78"/>
      <c r="CQ459" s="78"/>
      <c r="CR459" s="78"/>
      <c r="CS459" s="78"/>
      <c r="CT459" s="78"/>
      <c r="CU459" s="78"/>
      <c r="CV459" s="78"/>
      <c r="CW459" s="78"/>
      <c r="CX459" s="78"/>
      <c r="CY459" s="78"/>
      <c r="CZ459" s="78"/>
      <c r="DA459" s="78"/>
      <c r="DB459" s="78"/>
      <c r="DC459" s="78"/>
      <c r="DD459" s="78"/>
      <c r="DE459" s="78"/>
      <c r="DF459" s="78"/>
      <c r="DG459" s="78"/>
      <c r="DH459" s="78"/>
      <c r="DI459" s="78"/>
      <c r="DJ459" s="78"/>
      <c r="DK459" s="78"/>
      <c r="DL459" s="78"/>
      <c r="DM459" s="78"/>
      <c r="DN459" s="78"/>
      <c r="DO459" s="78"/>
      <c r="DP459" s="78"/>
      <c r="DQ459" s="78"/>
      <c r="DR459" s="78"/>
      <c r="DS459" s="78"/>
      <c r="DT459" s="78"/>
      <c r="DU459" s="78"/>
      <c r="DV459" s="78"/>
      <c r="DW459" s="78"/>
      <c r="DX459" s="78"/>
      <c r="DY459" s="78"/>
      <c r="DZ459" s="78"/>
      <c r="EA459" s="78"/>
      <c r="EB459" s="78"/>
      <c r="EC459" s="78"/>
      <c r="ED459" s="78"/>
      <c r="EE459" s="78"/>
      <c r="EF459" s="78"/>
      <c r="EG459" s="78"/>
      <c r="EH459" s="78"/>
      <c r="EI459" s="91"/>
      <c r="EJ459" s="91"/>
      <c r="EK459" s="91"/>
      <c r="EL459" s="91"/>
      <c r="EM459" s="91"/>
      <c r="EN459" s="91"/>
      <c r="EO459" s="91"/>
      <c r="EP459" s="78"/>
      <c r="EQ459" s="78"/>
      <c r="ER459" s="78"/>
      <c r="ES459" s="78"/>
      <c r="ET459" s="78"/>
      <c r="EU459" s="78"/>
      <c r="EV459" s="78"/>
      <c r="EW459" s="78"/>
      <c r="EX459" s="78"/>
      <c r="EY459" s="78"/>
      <c r="EZ459" s="78"/>
      <c r="FA459" s="78"/>
      <c r="FB459" s="78"/>
      <c r="FC459" s="78"/>
      <c r="FD459" s="78"/>
      <c r="FE459" s="78"/>
      <c r="FF459" s="78"/>
      <c r="FG459" s="78"/>
      <c r="FH459" s="78"/>
      <c r="FI459" s="78"/>
      <c r="FJ459" s="78"/>
      <c r="FK459" s="78"/>
    </row>
    <row r="460" spans="1:167" hidden="1" outlineLevel="1">
      <c r="A460" s="29" t="str">
        <f t="shared" si="35"/>
        <v>lt003_entitytrnstnl_trnvr</v>
      </c>
      <c r="B460" s="67" t="s">
        <v>26</v>
      </c>
      <c r="C460" s="68" t="s">
        <v>26</v>
      </c>
      <c r="D460" s="64" t="s">
        <v>40</v>
      </c>
      <c r="E460" s="70" t="s">
        <v>335</v>
      </c>
      <c r="F460" s="71" t="s">
        <v>349</v>
      </c>
      <c r="G460" s="64" t="str">
        <f>INDEX(Auxiliar!$B$16:$B$24,MATCH(Plano_V1!H460,Auxiliar!$C$16:$C$24,0),1)</f>
        <v>1. Concluído</v>
      </c>
      <c r="H460" s="64">
        <f>VLOOKUP(A460,'Aux - pivots1'!$A:$B,2,0)</f>
        <v>1</v>
      </c>
      <c r="I460" s="84">
        <f>SUMIFS(Table1[Estimação (horas)],Table1[Tabela],Plano_V1!E460,Table1[Campo],Plano_V1!F460)</f>
        <v>4.0999999999999996</v>
      </c>
      <c r="J460" s="84">
        <f t="shared" si="37"/>
        <v>0.51249999999999996</v>
      </c>
      <c r="K460" s="87" t="s">
        <v>337</v>
      </c>
      <c r="M460" s="78"/>
      <c r="N460" s="78"/>
      <c r="O460" s="78"/>
      <c r="P460" s="78"/>
      <c r="Q460" s="78"/>
      <c r="R460" s="78"/>
      <c r="S460" s="78"/>
      <c r="T460" s="78"/>
      <c r="U460" s="78"/>
      <c r="V460" s="78"/>
      <c r="W460" s="78"/>
      <c r="X460" s="78"/>
      <c r="Y460" s="78"/>
      <c r="Z460" s="78"/>
      <c r="AA460" s="78"/>
      <c r="AB460" s="78"/>
      <c r="AC460" s="78"/>
      <c r="AD460" s="78"/>
      <c r="AE460" s="78"/>
      <c r="AF460" s="78"/>
      <c r="AG460" s="78"/>
      <c r="AH460" s="78"/>
      <c r="AI460" s="78"/>
      <c r="AJ460" s="78"/>
      <c r="AK460" s="78"/>
      <c r="AL460" s="78"/>
      <c r="AM460" s="78"/>
      <c r="AN460" s="78"/>
      <c r="AO460" s="78"/>
      <c r="AP460" s="78"/>
      <c r="AQ460" s="78"/>
      <c r="AR460" s="78"/>
      <c r="AS460" s="78"/>
      <c r="AT460" s="91"/>
      <c r="AU460" s="78"/>
      <c r="AV460" s="78"/>
      <c r="AW460" s="78"/>
      <c r="AX460" s="78"/>
      <c r="AY460" s="78"/>
      <c r="AZ460" s="78"/>
      <c r="BA460" s="78"/>
      <c r="BB460" s="78"/>
      <c r="BC460" s="78"/>
      <c r="BD460" s="78"/>
      <c r="BE460" s="78"/>
      <c r="BF460" s="78"/>
      <c r="BG460" s="78"/>
      <c r="BH460" s="78"/>
      <c r="BI460" s="78"/>
      <c r="BJ460" s="78"/>
      <c r="BK460" s="78"/>
      <c r="BL460" s="78"/>
      <c r="BM460" s="78"/>
      <c r="BN460" s="78"/>
      <c r="BO460" s="78"/>
      <c r="BP460" s="78"/>
      <c r="BQ460" s="78"/>
      <c r="BR460" s="78"/>
      <c r="BS460" s="78"/>
      <c r="BT460" s="78"/>
      <c r="BU460" s="78"/>
      <c r="BV460" s="78"/>
      <c r="BW460" s="78"/>
      <c r="BX460" s="78"/>
      <c r="BY460" s="78"/>
      <c r="BZ460" s="78"/>
      <c r="CA460" s="78"/>
      <c r="CB460" s="78"/>
      <c r="CC460" s="78"/>
      <c r="CD460" s="78"/>
      <c r="CE460" s="78"/>
      <c r="CF460" s="78"/>
      <c r="CG460" s="78"/>
      <c r="CH460" s="78"/>
      <c r="CI460" s="78"/>
      <c r="CJ460" s="78"/>
      <c r="CK460" s="78"/>
      <c r="CL460" s="78"/>
      <c r="CM460" s="78"/>
      <c r="CN460" s="78"/>
      <c r="CO460" s="78"/>
      <c r="CP460" s="78"/>
      <c r="CQ460" s="78"/>
      <c r="CR460" s="78"/>
      <c r="CS460" s="78"/>
      <c r="CT460" s="78"/>
      <c r="CU460" s="78"/>
      <c r="CV460" s="78"/>
      <c r="CW460" s="78"/>
      <c r="CX460" s="78"/>
      <c r="CY460" s="78"/>
      <c r="CZ460" s="78"/>
      <c r="DA460" s="78"/>
      <c r="DB460" s="78"/>
      <c r="DC460" s="78"/>
      <c r="DD460" s="78"/>
      <c r="DE460" s="78"/>
      <c r="DF460" s="78"/>
      <c r="DG460" s="78"/>
      <c r="DH460" s="78"/>
      <c r="DI460" s="78"/>
      <c r="DJ460" s="78"/>
      <c r="DK460" s="78"/>
      <c r="DL460" s="78"/>
      <c r="DM460" s="78"/>
      <c r="DN460" s="78"/>
      <c r="DO460" s="78"/>
      <c r="DP460" s="78"/>
      <c r="DQ460" s="78"/>
      <c r="DR460" s="78"/>
      <c r="DS460" s="78"/>
      <c r="DT460" s="78"/>
      <c r="DU460" s="78"/>
      <c r="DV460" s="78"/>
      <c r="DW460" s="78"/>
      <c r="DX460" s="78"/>
      <c r="DY460" s="78"/>
      <c r="DZ460" s="78"/>
      <c r="EA460" s="78"/>
      <c r="EB460" s="78"/>
      <c r="EC460" s="78"/>
      <c r="ED460" s="78"/>
      <c r="EE460" s="78"/>
      <c r="EF460" s="78"/>
      <c r="EG460" s="78"/>
      <c r="EH460" s="78"/>
      <c r="EI460" s="91"/>
      <c r="EJ460" s="91"/>
      <c r="EK460" s="91"/>
      <c r="EL460" s="91"/>
      <c r="EM460" s="91"/>
      <c r="EN460" s="91"/>
      <c r="EO460" s="91"/>
      <c r="EP460" s="78"/>
      <c r="EQ460" s="78"/>
      <c r="ER460" s="78"/>
      <c r="ES460" s="78"/>
      <c r="ET460" s="78"/>
      <c r="EU460" s="78"/>
      <c r="EV460" s="78"/>
      <c r="EW460" s="78"/>
      <c r="EX460" s="78"/>
      <c r="EY460" s="78"/>
      <c r="EZ460" s="78"/>
      <c r="FA460" s="78"/>
      <c r="FB460" s="78"/>
      <c r="FC460" s="78"/>
      <c r="FD460" s="78"/>
      <c r="FE460" s="78"/>
      <c r="FF460" s="78"/>
      <c r="FG460" s="78"/>
      <c r="FH460" s="78"/>
      <c r="FI460" s="78"/>
      <c r="FJ460" s="78"/>
      <c r="FK460" s="78"/>
    </row>
    <row r="461" spans="1:167" hidden="1" outlineLevel="1">
      <c r="A461" s="29" t="str">
        <f t="shared" si="35"/>
        <v>lt003_entitypure_trnvr_ccm</v>
      </c>
      <c r="B461" s="67" t="s">
        <v>26</v>
      </c>
      <c r="C461" s="68" t="s">
        <v>26</v>
      </c>
      <c r="D461" s="64" t="s">
        <v>40</v>
      </c>
      <c r="E461" s="70" t="s">
        <v>335</v>
      </c>
      <c r="F461" s="71" t="s">
        <v>350</v>
      </c>
      <c r="G461" s="64" t="str">
        <f>INDEX(Auxiliar!$B$16:$B$24,MATCH(Plano_V1!H461,Auxiliar!$C$16:$C$24,0),1)</f>
        <v>1. Concluído</v>
      </c>
      <c r="H461" s="64">
        <f>VLOOKUP(A461,'Aux - pivots1'!$A:$B,2,0)</f>
        <v>1</v>
      </c>
      <c r="I461" s="84">
        <f>SUMIFS(Table1[Estimação (horas)],Table1[Tabela],Plano_V1!E461,Table1[Campo],Plano_V1!F461)</f>
        <v>4.0999999999999996</v>
      </c>
      <c r="J461" s="84">
        <f t="shared" si="37"/>
        <v>0.51249999999999996</v>
      </c>
      <c r="K461" s="87" t="s">
        <v>337</v>
      </c>
      <c r="M461" s="78"/>
      <c r="N461" s="78"/>
      <c r="O461" s="78"/>
      <c r="P461" s="78"/>
      <c r="Q461" s="78"/>
      <c r="R461" s="78"/>
      <c r="S461" s="78"/>
      <c r="T461" s="78"/>
      <c r="U461" s="78"/>
      <c r="V461" s="78"/>
      <c r="W461" s="78"/>
      <c r="X461" s="78"/>
      <c r="Y461" s="78"/>
      <c r="Z461" s="78"/>
      <c r="AA461" s="78"/>
      <c r="AB461" s="78"/>
      <c r="AC461" s="78"/>
      <c r="AD461" s="78"/>
      <c r="AE461" s="78"/>
      <c r="AF461" s="78"/>
      <c r="AG461" s="78"/>
      <c r="AH461" s="78"/>
      <c r="AI461" s="78"/>
      <c r="AJ461" s="78"/>
      <c r="AK461" s="78"/>
      <c r="AL461" s="78"/>
      <c r="AM461" s="78"/>
      <c r="AN461" s="78"/>
      <c r="AO461" s="78"/>
      <c r="AP461" s="78"/>
      <c r="AQ461" s="78"/>
      <c r="AR461" s="78"/>
      <c r="AS461" s="78"/>
      <c r="AT461" s="91"/>
      <c r="AU461" s="78"/>
      <c r="AV461" s="78"/>
      <c r="AW461" s="78"/>
      <c r="AX461" s="78"/>
      <c r="AY461" s="78"/>
      <c r="AZ461" s="78"/>
      <c r="BA461" s="78"/>
      <c r="BB461" s="78"/>
      <c r="BC461" s="78"/>
      <c r="BD461" s="78"/>
      <c r="BE461" s="78"/>
      <c r="BF461" s="78"/>
      <c r="BG461" s="78"/>
      <c r="BH461" s="78"/>
      <c r="BI461" s="78"/>
      <c r="BJ461" s="78"/>
      <c r="BK461" s="78"/>
      <c r="BL461" s="78"/>
      <c r="BM461" s="78"/>
      <c r="BN461" s="78"/>
      <c r="BO461" s="78"/>
      <c r="BP461" s="78"/>
      <c r="BQ461" s="78"/>
      <c r="BR461" s="78"/>
      <c r="BS461" s="78"/>
      <c r="BT461" s="78"/>
      <c r="BU461" s="78"/>
      <c r="BV461" s="78"/>
      <c r="BW461" s="78"/>
      <c r="BX461" s="78"/>
      <c r="BY461" s="78"/>
      <c r="BZ461" s="78"/>
      <c r="CA461" s="78"/>
      <c r="CB461" s="78"/>
      <c r="CC461" s="78"/>
      <c r="CD461" s="78"/>
      <c r="CE461" s="78"/>
      <c r="CF461" s="78"/>
      <c r="CG461" s="78"/>
      <c r="CH461" s="78"/>
      <c r="CI461" s="78"/>
      <c r="CJ461" s="78"/>
      <c r="CK461" s="78"/>
      <c r="CL461" s="78"/>
      <c r="CM461" s="78"/>
      <c r="CN461" s="78"/>
      <c r="CO461" s="78"/>
      <c r="CP461" s="78"/>
      <c r="CQ461" s="78"/>
      <c r="CR461" s="78"/>
      <c r="CS461" s="78"/>
      <c r="CT461" s="78"/>
      <c r="CU461" s="78"/>
      <c r="CV461" s="78"/>
      <c r="CW461" s="78"/>
      <c r="CX461" s="78"/>
      <c r="CY461" s="78"/>
      <c r="CZ461" s="78"/>
      <c r="DA461" s="78"/>
      <c r="DB461" s="78"/>
      <c r="DC461" s="78"/>
      <c r="DD461" s="78"/>
      <c r="DE461" s="78"/>
      <c r="DF461" s="78"/>
      <c r="DG461" s="78"/>
      <c r="DH461" s="78"/>
      <c r="DI461" s="78"/>
      <c r="DJ461" s="78"/>
      <c r="DK461" s="78"/>
      <c r="DL461" s="78"/>
      <c r="DM461" s="78"/>
      <c r="DN461" s="78"/>
      <c r="DO461" s="78"/>
      <c r="DP461" s="78"/>
      <c r="DQ461" s="78"/>
      <c r="DR461" s="78"/>
      <c r="DS461" s="78"/>
      <c r="DT461" s="78"/>
      <c r="DU461" s="78"/>
      <c r="DV461" s="78"/>
      <c r="DW461" s="78"/>
      <c r="DX461" s="78"/>
      <c r="DY461" s="78"/>
      <c r="DZ461" s="78"/>
      <c r="EA461" s="78"/>
      <c r="EB461" s="78"/>
      <c r="EC461" s="78"/>
      <c r="ED461" s="78"/>
      <c r="EE461" s="78"/>
      <c r="EF461" s="78"/>
      <c r="EG461" s="78"/>
      <c r="EH461" s="78"/>
      <c r="EI461" s="91"/>
      <c r="EJ461" s="91"/>
      <c r="EK461" s="91"/>
      <c r="EL461" s="91"/>
      <c r="EM461" s="91"/>
      <c r="EN461" s="91"/>
      <c r="EO461" s="91"/>
      <c r="EP461" s="78"/>
      <c r="EQ461" s="78"/>
      <c r="ER461" s="78"/>
      <c r="ES461" s="78"/>
      <c r="ET461" s="78"/>
      <c r="EU461" s="78"/>
      <c r="EV461" s="78"/>
      <c r="EW461" s="78"/>
      <c r="EX461" s="78"/>
      <c r="EY461" s="78"/>
      <c r="EZ461" s="78"/>
      <c r="FA461" s="78"/>
      <c r="FB461" s="78"/>
      <c r="FC461" s="78"/>
      <c r="FD461" s="78"/>
      <c r="FE461" s="78"/>
      <c r="FF461" s="78"/>
      <c r="FG461" s="78"/>
      <c r="FH461" s="78"/>
      <c r="FI461" s="78"/>
      <c r="FJ461" s="78"/>
      <c r="FK461" s="78"/>
    </row>
    <row r="462" spans="1:167" hidden="1" outlineLevel="1">
      <c r="A462" s="29" t="str">
        <f t="shared" si="35"/>
        <v>lt003_entitypure_trnvr_cca</v>
      </c>
      <c r="B462" s="67" t="s">
        <v>26</v>
      </c>
      <c r="C462" s="68" t="s">
        <v>26</v>
      </c>
      <c r="D462" s="64" t="s">
        <v>40</v>
      </c>
      <c r="E462" s="70" t="s">
        <v>335</v>
      </c>
      <c r="F462" s="71" t="s">
        <v>351</v>
      </c>
      <c r="G462" s="64" t="str">
        <f>INDEX(Auxiliar!$B$16:$B$24,MATCH(Plano_V1!H462,Auxiliar!$C$16:$C$24,0),1)</f>
        <v>1. Concluído</v>
      </c>
      <c r="H462" s="64">
        <f>VLOOKUP(A462,'Aux - pivots1'!$A:$B,2,0)</f>
        <v>1</v>
      </c>
      <c r="I462" s="84">
        <f>SUMIFS(Table1[Estimação (horas)],Table1[Tabela],Plano_V1!E462,Table1[Campo],Plano_V1!F462)</f>
        <v>4.0999999999999996</v>
      </c>
      <c r="J462" s="84">
        <f t="shared" si="37"/>
        <v>0.51249999999999996</v>
      </c>
      <c r="K462" s="87" t="s">
        <v>337</v>
      </c>
      <c r="M462" s="78"/>
      <c r="N462" s="78"/>
      <c r="O462" s="78"/>
      <c r="P462" s="78"/>
      <c r="Q462" s="78"/>
      <c r="R462" s="78"/>
      <c r="S462" s="78"/>
      <c r="T462" s="78"/>
      <c r="U462" s="78"/>
      <c r="V462" s="78"/>
      <c r="W462" s="78"/>
      <c r="X462" s="78"/>
      <c r="Y462" s="78"/>
      <c r="Z462" s="78"/>
      <c r="AA462" s="78"/>
      <c r="AB462" s="78"/>
      <c r="AC462" s="78"/>
      <c r="AD462" s="78"/>
      <c r="AE462" s="78"/>
      <c r="AF462" s="78"/>
      <c r="AG462" s="78"/>
      <c r="AH462" s="78"/>
      <c r="AI462" s="78"/>
      <c r="AJ462" s="78"/>
      <c r="AK462" s="78"/>
      <c r="AL462" s="78"/>
      <c r="AM462" s="78"/>
      <c r="AN462" s="78"/>
      <c r="AO462" s="78"/>
      <c r="AP462" s="78"/>
      <c r="AQ462" s="78"/>
      <c r="AR462" s="78"/>
      <c r="AS462" s="78"/>
      <c r="AT462" s="91"/>
      <c r="AU462" s="78"/>
      <c r="AV462" s="78"/>
      <c r="AW462" s="78"/>
      <c r="AX462" s="78"/>
      <c r="AY462" s="78"/>
      <c r="AZ462" s="78"/>
      <c r="BA462" s="78"/>
      <c r="BB462" s="78"/>
      <c r="BC462" s="78"/>
      <c r="BD462" s="78"/>
      <c r="BE462" s="78"/>
      <c r="BF462" s="78"/>
      <c r="BG462" s="78"/>
      <c r="BH462" s="78"/>
      <c r="BI462" s="78"/>
      <c r="BJ462" s="78"/>
      <c r="BK462" s="78"/>
      <c r="BL462" s="78"/>
      <c r="BM462" s="78"/>
      <c r="BN462" s="78"/>
      <c r="BO462" s="78"/>
      <c r="BP462" s="78"/>
      <c r="BQ462" s="78"/>
      <c r="BR462" s="78"/>
      <c r="BS462" s="78"/>
      <c r="BT462" s="78"/>
      <c r="BU462" s="78"/>
      <c r="BV462" s="78"/>
      <c r="BW462" s="78"/>
      <c r="BX462" s="78"/>
      <c r="BY462" s="78"/>
      <c r="BZ462" s="78"/>
      <c r="CA462" s="78"/>
      <c r="CB462" s="78"/>
      <c r="CC462" s="78"/>
      <c r="CD462" s="78"/>
      <c r="CE462" s="78"/>
      <c r="CF462" s="78"/>
      <c r="CG462" s="78"/>
      <c r="CH462" s="78"/>
      <c r="CI462" s="78"/>
      <c r="CJ462" s="78"/>
      <c r="CK462" s="78"/>
      <c r="CL462" s="78"/>
      <c r="CM462" s="78"/>
      <c r="CN462" s="78"/>
      <c r="CO462" s="78"/>
      <c r="CP462" s="78"/>
      <c r="CQ462" s="78"/>
      <c r="CR462" s="78"/>
      <c r="CS462" s="78"/>
      <c r="CT462" s="78"/>
      <c r="CU462" s="78"/>
      <c r="CV462" s="78"/>
      <c r="CW462" s="78"/>
      <c r="CX462" s="78"/>
      <c r="CY462" s="78"/>
      <c r="CZ462" s="78"/>
      <c r="DA462" s="78"/>
      <c r="DB462" s="78"/>
      <c r="DC462" s="78"/>
      <c r="DD462" s="78"/>
      <c r="DE462" s="78"/>
      <c r="DF462" s="78"/>
      <c r="DG462" s="78"/>
      <c r="DH462" s="78"/>
      <c r="DI462" s="78"/>
      <c r="DJ462" s="78"/>
      <c r="DK462" s="78"/>
      <c r="DL462" s="78"/>
      <c r="DM462" s="78"/>
      <c r="DN462" s="78"/>
      <c r="DO462" s="78"/>
      <c r="DP462" s="78"/>
      <c r="DQ462" s="78"/>
      <c r="DR462" s="78"/>
      <c r="DS462" s="78"/>
      <c r="DT462" s="78"/>
      <c r="DU462" s="78"/>
      <c r="DV462" s="78"/>
      <c r="DW462" s="78"/>
      <c r="DX462" s="78"/>
      <c r="DY462" s="78"/>
      <c r="DZ462" s="78"/>
      <c r="EA462" s="78"/>
      <c r="EB462" s="78"/>
      <c r="EC462" s="78"/>
      <c r="ED462" s="78"/>
      <c r="EE462" s="78"/>
      <c r="EF462" s="78"/>
      <c r="EG462" s="78"/>
      <c r="EH462" s="78"/>
      <c r="EI462" s="91"/>
      <c r="EJ462" s="91"/>
      <c r="EK462" s="91"/>
      <c r="EL462" s="91"/>
      <c r="EM462" s="91"/>
      <c r="EN462" s="91"/>
      <c r="EO462" s="91"/>
      <c r="EP462" s="78"/>
      <c r="EQ462" s="78"/>
      <c r="ER462" s="78"/>
      <c r="ES462" s="78"/>
      <c r="ET462" s="78"/>
      <c r="EU462" s="78"/>
      <c r="EV462" s="78"/>
      <c r="EW462" s="78"/>
      <c r="EX462" s="78"/>
      <c r="EY462" s="78"/>
      <c r="EZ462" s="78"/>
      <c r="FA462" s="78"/>
      <c r="FB462" s="78"/>
      <c r="FC462" s="78"/>
      <c r="FD462" s="78"/>
      <c r="FE462" s="78"/>
      <c r="FF462" s="78"/>
      <c r="FG462" s="78"/>
      <c r="FH462" s="78"/>
      <c r="FI462" s="78"/>
      <c r="FJ462" s="78"/>
      <c r="FK462" s="78"/>
    </row>
    <row r="463" spans="1:167" hidden="1" outlineLevel="1">
      <c r="A463" s="29" t="str">
        <f t="shared" si="35"/>
        <v>lt003_entityflg_nfrd_applcblty</v>
      </c>
      <c r="B463" s="67" t="s">
        <v>26</v>
      </c>
      <c r="C463" s="68" t="s">
        <v>26</v>
      </c>
      <c r="D463" s="64" t="s">
        <v>40</v>
      </c>
      <c r="E463" s="70" t="s">
        <v>335</v>
      </c>
      <c r="F463" s="71" t="s">
        <v>352</v>
      </c>
      <c r="G463" s="64" t="str">
        <f>INDEX(Auxiliar!$B$16:$B$24,MATCH(Plano_V1!H463,Auxiliar!$C$16:$C$24,0),1)</f>
        <v>1. Concluído</v>
      </c>
      <c r="H463" s="64">
        <f>VLOOKUP(A463,'Aux - pivots1'!$A:$B,2,0)</f>
        <v>1</v>
      </c>
      <c r="I463" s="84">
        <f>SUMIFS(Table1[Estimação (horas)],Table1[Tabela],Plano_V1!E463,Table1[Campo],Plano_V1!F463)</f>
        <v>4.0999999999999996</v>
      </c>
      <c r="J463" s="84">
        <f t="shared" si="37"/>
        <v>0.51249999999999996</v>
      </c>
      <c r="K463" s="87" t="s">
        <v>337</v>
      </c>
      <c r="M463" s="78"/>
      <c r="N463" s="78"/>
      <c r="O463" s="78"/>
      <c r="P463" s="78"/>
      <c r="Q463" s="78"/>
      <c r="R463" s="78"/>
      <c r="S463" s="78"/>
      <c r="T463" s="78"/>
      <c r="U463" s="78"/>
      <c r="V463" s="78"/>
      <c r="W463" s="78"/>
      <c r="X463" s="78"/>
      <c r="Y463" s="78"/>
      <c r="Z463" s="78"/>
      <c r="AA463" s="78"/>
      <c r="AB463" s="78"/>
      <c r="AC463" s="78"/>
      <c r="AD463" s="78"/>
      <c r="AE463" s="78"/>
      <c r="AF463" s="78"/>
      <c r="AG463" s="78"/>
      <c r="AH463" s="78"/>
      <c r="AI463" s="78"/>
      <c r="AJ463" s="78"/>
      <c r="AK463" s="78"/>
      <c r="AL463" s="78"/>
      <c r="AM463" s="78"/>
      <c r="AN463" s="78"/>
      <c r="AO463" s="78"/>
      <c r="AP463" s="78"/>
      <c r="AQ463" s="78"/>
      <c r="AR463" s="78"/>
      <c r="AS463" s="78"/>
      <c r="AT463" s="91"/>
      <c r="AU463" s="78"/>
      <c r="AV463" s="78"/>
      <c r="AW463" s="78"/>
      <c r="AX463" s="78"/>
      <c r="AY463" s="78"/>
      <c r="AZ463" s="78"/>
      <c r="BA463" s="78"/>
      <c r="BB463" s="78"/>
      <c r="BC463" s="78"/>
      <c r="BD463" s="78"/>
      <c r="BE463" s="78"/>
      <c r="BF463" s="78"/>
      <c r="BG463" s="78"/>
      <c r="BH463" s="78"/>
      <c r="BI463" s="78"/>
      <c r="BJ463" s="78"/>
      <c r="BK463" s="78"/>
      <c r="BL463" s="78"/>
      <c r="BM463" s="78"/>
      <c r="BN463" s="78"/>
      <c r="BO463" s="78"/>
      <c r="BP463" s="78"/>
      <c r="BQ463" s="78"/>
      <c r="BR463" s="78"/>
      <c r="BS463" s="78"/>
      <c r="BT463" s="78"/>
      <c r="BU463" s="78"/>
      <c r="BV463" s="78"/>
      <c r="BW463" s="78"/>
      <c r="BX463" s="78"/>
      <c r="BY463" s="78"/>
      <c r="BZ463" s="78"/>
      <c r="CA463" s="78"/>
      <c r="CB463" s="78"/>
      <c r="CC463" s="78"/>
      <c r="CD463" s="78"/>
      <c r="CE463" s="78"/>
      <c r="CF463" s="78"/>
      <c r="CG463" s="78"/>
      <c r="CH463" s="78"/>
      <c r="CI463" s="78"/>
      <c r="CJ463" s="78"/>
      <c r="CK463" s="78"/>
      <c r="CL463" s="78"/>
      <c r="CM463" s="78"/>
      <c r="CN463" s="78"/>
      <c r="CO463" s="78"/>
      <c r="CP463" s="78"/>
      <c r="CQ463" s="78"/>
      <c r="CR463" s="78"/>
      <c r="CS463" s="78"/>
      <c r="CT463" s="78"/>
      <c r="CU463" s="78"/>
      <c r="CV463" s="78"/>
      <c r="CW463" s="78"/>
      <c r="CX463" s="78"/>
      <c r="CY463" s="78"/>
      <c r="CZ463" s="78"/>
      <c r="DA463" s="78"/>
      <c r="DB463" s="78"/>
      <c r="DC463" s="78"/>
      <c r="DD463" s="78"/>
      <c r="DE463" s="78"/>
      <c r="DF463" s="78"/>
      <c r="DG463" s="78"/>
      <c r="DH463" s="78"/>
      <c r="DI463" s="78"/>
      <c r="DJ463" s="78"/>
      <c r="DK463" s="78"/>
      <c r="DL463" s="78"/>
      <c r="DM463" s="78"/>
      <c r="DN463" s="78"/>
      <c r="DO463" s="78"/>
      <c r="DP463" s="78"/>
      <c r="DQ463" s="78"/>
      <c r="DR463" s="78"/>
      <c r="DS463" s="78"/>
      <c r="DT463" s="78"/>
      <c r="DU463" s="78"/>
      <c r="DV463" s="78"/>
      <c r="DW463" s="78"/>
      <c r="DX463" s="78"/>
      <c r="DY463" s="78"/>
      <c r="DZ463" s="78"/>
      <c r="EA463" s="78"/>
      <c r="EB463" s="78"/>
      <c r="EC463" s="78"/>
      <c r="ED463" s="78"/>
      <c r="EE463" s="78"/>
      <c r="EF463" s="78"/>
      <c r="EG463" s="78"/>
      <c r="EH463" s="78"/>
      <c r="EI463" s="91"/>
      <c r="EJ463" s="91"/>
      <c r="EK463" s="91"/>
      <c r="EL463" s="91"/>
      <c r="EM463" s="91"/>
      <c r="EN463" s="91"/>
      <c r="EO463" s="91"/>
      <c r="EP463" s="78"/>
      <c r="EQ463" s="78"/>
      <c r="ER463" s="78"/>
      <c r="ES463" s="78"/>
      <c r="ET463" s="78"/>
      <c r="EU463" s="78"/>
      <c r="EV463" s="78"/>
      <c r="EW463" s="78"/>
      <c r="EX463" s="78"/>
      <c r="EY463" s="78"/>
      <c r="EZ463" s="78"/>
      <c r="FA463" s="78"/>
      <c r="FB463" s="78"/>
      <c r="FC463" s="78"/>
      <c r="FD463" s="78"/>
      <c r="FE463" s="78"/>
      <c r="FF463" s="78"/>
      <c r="FG463" s="78"/>
      <c r="FH463" s="78"/>
      <c r="FI463" s="78"/>
      <c r="FJ463" s="78"/>
      <c r="FK463" s="78"/>
    </row>
    <row r="464" spans="1:167" hidden="1" outlineLevel="1">
      <c r="A464" s="29" t="str">
        <f t="shared" si="35"/>
        <v>lt003_entitycntrprty_emssns_scp1</v>
      </c>
      <c r="B464" s="67" t="s">
        <v>26</v>
      </c>
      <c r="C464" s="68" t="s">
        <v>26</v>
      </c>
      <c r="D464" s="64" t="s">
        <v>40</v>
      </c>
      <c r="E464" s="70" t="s">
        <v>335</v>
      </c>
      <c r="F464" s="71" t="s">
        <v>353</v>
      </c>
      <c r="G464" s="64" t="str">
        <f>INDEX(Auxiliar!$B$16:$B$24,MATCH(Plano_V1!H464,Auxiliar!$C$16:$C$24,0),1)</f>
        <v>1. Concluído</v>
      </c>
      <c r="H464" s="64">
        <f>VLOOKUP(A464,'Aux - pivots1'!$A:$B,2,0)</f>
        <v>1</v>
      </c>
      <c r="I464" s="84">
        <f>SUMIFS(Table1[Estimação (horas)],Table1[Tabela],Plano_V1!E464,Table1[Campo],Plano_V1!F464)</f>
        <v>4.0999999999999996</v>
      </c>
      <c r="J464" s="84">
        <f t="shared" si="37"/>
        <v>0.51249999999999996</v>
      </c>
      <c r="K464" s="87" t="s">
        <v>337</v>
      </c>
      <c r="M464" s="78"/>
      <c r="N464" s="78"/>
      <c r="O464" s="78"/>
      <c r="P464" s="78"/>
      <c r="Q464" s="78"/>
      <c r="R464" s="78"/>
      <c r="S464" s="78"/>
      <c r="T464" s="78"/>
      <c r="U464" s="78"/>
      <c r="V464" s="78"/>
      <c r="W464" s="78"/>
      <c r="X464" s="78"/>
      <c r="Y464" s="78"/>
      <c r="Z464" s="78"/>
      <c r="AA464" s="78"/>
      <c r="AB464" s="78"/>
      <c r="AC464" s="78"/>
      <c r="AD464" s="78"/>
      <c r="AE464" s="78"/>
      <c r="AF464" s="78"/>
      <c r="AG464" s="78"/>
      <c r="AH464" s="78"/>
      <c r="AI464" s="78"/>
      <c r="AJ464" s="78"/>
      <c r="AK464" s="78"/>
      <c r="AL464" s="78"/>
      <c r="AM464" s="78"/>
      <c r="AN464" s="78"/>
      <c r="AO464" s="78"/>
      <c r="AP464" s="78"/>
      <c r="AQ464" s="78"/>
      <c r="AR464" s="78"/>
      <c r="AS464" s="78"/>
      <c r="AT464" s="91"/>
      <c r="AU464" s="78"/>
      <c r="AV464" s="78"/>
      <c r="AW464" s="78"/>
      <c r="AX464" s="78"/>
      <c r="AY464" s="78"/>
      <c r="AZ464" s="78"/>
      <c r="BA464" s="78"/>
      <c r="BB464" s="78"/>
      <c r="BC464" s="78"/>
      <c r="BD464" s="78"/>
      <c r="BE464" s="78"/>
      <c r="BF464" s="78"/>
      <c r="BG464" s="78"/>
      <c r="BH464" s="78"/>
      <c r="BI464" s="78"/>
      <c r="BJ464" s="78"/>
      <c r="BK464" s="78"/>
      <c r="BL464" s="78"/>
      <c r="BM464" s="78"/>
      <c r="BN464" s="78"/>
      <c r="BO464" s="78"/>
      <c r="BP464" s="78"/>
      <c r="BQ464" s="78"/>
      <c r="BR464" s="78"/>
      <c r="BS464" s="78"/>
      <c r="BT464" s="78"/>
      <c r="BU464" s="78"/>
      <c r="BV464" s="78"/>
      <c r="BW464" s="78"/>
      <c r="BX464" s="78"/>
      <c r="BY464" s="78"/>
      <c r="BZ464" s="78"/>
      <c r="CA464" s="78"/>
      <c r="CB464" s="78"/>
      <c r="CC464" s="78"/>
      <c r="CD464" s="78"/>
      <c r="CE464" s="78"/>
      <c r="CF464" s="78"/>
      <c r="CG464" s="78"/>
      <c r="CH464" s="78"/>
      <c r="CI464" s="78"/>
      <c r="CJ464" s="78"/>
      <c r="CK464" s="78"/>
      <c r="CL464" s="78"/>
      <c r="CM464" s="78"/>
      <c r="CN464" s="78"/>
      <c r="CO464" s="78"/>
      <c r="CP464" s="78"/>
      <c r="CQ464" s="78"/>
      <c r="CR464" s="78"/>
      <c r="CS464" s="78"/>
      <c r="CT464" s="78"/>
      <c r="CU464" s="78"/>
      <c r="CV464" s="78"/>
      <c r="CW464" s="78"/>
      <c r="CX464" s="78"/>
      <c r="CY464" s="78"/>
      <c r="CZ464" s="78"/>
      <c r="DA464" s="78"/>
      <c r="DB464" s="78"/>
      <c r="DC464" s="78"/>
      <c r="DD464" s="78"/>
      <c r="DE464" s="78"/>
      <c r="DF464" s="78"/>
      <c r="DG464" s="78"/>
      <c r="DH464" s="78"/>
      <c r="DI464" s="78"/>
      <c r="DJ464" s="78"/>
      <c r="DK464" s="78"/>
      <c r="DL464" s="78"/>
      <c r="DM464" s="78"/>
      <c r="DN464" s="78"/>
      <c r="DO464" s="78"/>
      <c r="DP464" s="78"/>
      <c r="DQ464" s="78"/>
      <c r="DR464" s="78"/>
      <c r="DS464" s="78"/>
      <c r="DT464" s="78"/>
      <c r="DU464" s="78"/>
      <c r="DV464" s="78"/>
      <c r="DW464" s="78"/>
      <c r="DX464" s="78"/>
      <c r="DY464" s="78"/>
      <c r="DZ464" s="78"/>
      <c r="EA464" s="78"/>
      <c r="EB464" s="78"/>
      <c r="EC464" s="78"/>
      <c r="ED464" s="78"/>
      <c r="EE464" s="78"/>
      <c r="EF464" s="78"/>
      <c r="EG464" s="78"/>
      <c r="EH464" s="78"/>
      <c r="EI464" s="91"/>
      <c r="EJ464" s="91"/>
      <c r="EK464" s="91"/>
      <c r="EL464" s="91"/>
      <c r="EM464" s="91"/>
      <c r="EN464" s="91"/>
      <c r="EO464" s="91"/>
      <c r="EP464" s="78"/>
      <c r="EQ464" s="78"/>
      <c r="ER464" s="78"/>
      <c r="ES464" s="78"/>
      <c r="ET464" s="78"/>
      <c r="EU464" s="78"/>
      <c r="EV464" s="78"/>
      <c r="EW464" s="78"/>
      <c r="EX464" s="78"/>
      <c r="EY464" s="78"/>
      <c r="EZ464" s="78"/>
      <c r="FA464" s="78"/>
      <c r="FB464" s="78"/>
      <c r="FC464" s="78"/>
      <c r="FD464" s="78"/>
      <c r="FE464" s="78"/>
      <c r="FF464" s="78"/>
      <c r="FG464" s="78"/>
      <c r="FH464" s="78"/>
      <c r="FI464" s="78"/>
      <c r="FJ464" s="78"/>
      <c r="FK464" s="78"/>
    </row>
    <row r="465" spans="1:167" hidden="1" outlineLevel="1">
      <c r="A465" s="29" t="str">
        <f t="shared" si="35"/>
        <v>lt003_entitycntrprty_emssns_scp2</v>
      </c>
      <c r="B465" s="67" t="s">
        <v>26</v>
      </c>
      <c r="C465" s="68" t="s">
        <v>26</v>
      </c>
      <c r="D465" s="64" t="s">
        <v>40</v>
      </c>
      <c r="E465" s="70" t="s">
        <v>335</v>
      </c>
      <c r="F465" s="71" t="s">
        <v>354</v>
      </c>
      <c r="G465" s="64" t="str">
        <f>INDEX(Auxiliar!$B$16:$B$24,MATCH(Plano_V1!H465,Auxiliar!$C$16:$C$24,0),1)</f>
        <v>1. Concluído</v>
      </c>
      <c r="H465" s="64">
        <f>VLOOKUP(A465,'Aux - pivots1'!$A:$B,2,0)</f>
        <v>1</v>
      </c>
      <c r="I465" s="84">
        <f>SUMIFS(Table1[Estimação (horas)],Table1[Tabela],Plano_V1!E465,Table1[Campo],Plano_V1!F465)</f>
        <v>4.0999999999999996</v>
      </c>
      <c r="J465" s="84">
        <f t="shared" si="37"/>
        <v>0.51249999999999996</v>
      </c>
      <c r="K465" s="87" t="s">
        <v>337</v>
      </c>
      <c r="M465" s="78"/>
      <c r="N465" s="78"/>
      <c r="O465" s="78"/>
      <c r="P465" s="78"/>
      <c r="Q465" s="78"/>
      <c r="R465" s="78"/>
      <c r="S465" s="78"/>
      <c r="T465" s="78"/>
      <c r="U465" s="78"/>
      <c r="V465" s="78"/>
      <c r="W465" s="78"/>
      <c r="X465" s="78"/>
      <c r="Y465" s="78"/>
      <c r="Z465" s="78"/>
      <c r="AA465" s="78"/>
      <c r="AB465" s="78"/>
      <c r="AC465" s="78"/>
      <c r="AD465" s="78"/>
      <c r="AE465" s="78"/>
      <c r="AF465" s="78"/>
      <c r="AG465" s="78"/>
      <c r="AH465" s="78"/>
      <c r="AI465" s="78"/>
      <c r="AJ465" s="78"/>
      <c r="AK465" s="78"/>
      <c r="AL465" s="78"/>
      <c r="AM465" s="78"/>
      <c r="AN465" s="78"/>
      <c r="AO465" s="78"/>
      <c r="AP465" s="78"/>
      <c r="AQ465" s="78"/>
      <c r="AR465" s="78"/>
      <c r="AS465" s="78"/>
      <c r="AT465" s="91"/>
      <c r="AU465" s="78"/>
      <c r="AV465" s="78"/>
      <c r="AW465" s="78"/>
      <c r="AX465" s="78"/>
      <c r="AY465" s="78"/>
      <c r="AZ465" s="78"/>
      <c r="BA465" s="78"/>
      <c r="BB465" s="78"/>
      <c r="BC465" s="78"/>
      <c r="BD465" s="78"/>
      <c r="BE465" s="78"/>
      <c r="BF465" s="78"/>
      <c r="BG465" s="78"/>
      <c r="BH465" s="78"/>
      <c r="BI465" s="78"/>
      <c r="BJ465" s="78"/>
      <c r="BK465" s="78"/>
      <c r="BL465" s="78"/>
      <c r="BM465" s="78"/>
      <c r="BN465" s="78"/>
      <c r="BO465" s="78"/>
      <c r="BP465" s="78"/>
      <c r="BQ465" s="78"/>
      <c r="BR465" s="78"/>
      <c r="BS465" s="78"/>
      <c r="BT465" s="78"/>
      <c r="BU465" s="78"/>
      <c r="BV465" s="78"/>
      <c r="BW465" s="78"/>
      <c r="BX465" s="78"/>
      <c r="BY465" s="78"/>
      <c r="BZ465" s="78"/>
      <c r="CA465" s="78"/>
      <c r="CB465" s="78"/>
      <c r="CC465" s="78"/>
      <c r="CD465" s="78"/>
      <c r="CE465" s="78"/>
      <c r="CF465" s="78"/>
      <c r="CG465" s="78"/>
      <c r="CH465" s="78"/>
      <c r="CI465" s="78"/>
      <c r="CJ465" s="78"/>
      <c r="CK465" s="78"/>
      <c r="CL465" s="78"/>
      <c r="CM465" s="78"/>
      <c r="CN465" s="78"/>
      <c r="CO465" s="78"/>
      <c r="CP465" s="78"/>
      <c r="CQ465" s="78"/>
      <c r="CR465" s="78"/>
      <c r="CS465" s="78"/>
      <c r="CT465" s="78"/>
      <c r="CU465" s="78"/>
      <c r="CV465" s="78"/>
      <c r="CW465" s="78"/>
      <c r="CX465" s="78"/>
      <c r="CY465" s="78"/>
      <c r="CZ465" s="78"/>
      <c r="DA465" s="78"/>
      <c r="DB465" s="78"/>
      <c r="DC465" s="78"/>
      <c r="DD465" s="78"/>
      <c r="DE465" s="78"/>
      <c r="DF465" s="78"/>
      <c r="DG465" s="78"/>
      <c r="DH465" s="78"/>
      <c r="DI465" s="78"/>
      <c r="DJ465" s="78"/>
      <c r="DK465" s="78"/>
      <c r="DL465" s="78"/>
      <c r="DM465" s="78"/>
      <c r="DN465" s="78"/>
      <c r="DO465" s="78"/>
      <c r="DP465" s="78"/>
      <c r="DQ465" s="78"/>
      <c r="DR465" s="78"/>
      <c r="DS465" s="78"/>
      <c r="DT465" s="78"/>
      <c r="DU465" s="78"/>
      <c r="DV465" s="78"/>
      <c r="DW465" s="78"/>
      <c r="DX465" s="78"/>
      <c r="DY465" s="78"/>
      <c r="DZ465" s="78"/>
      <c r="EA465" s="78"/>
      <c r="EB465" s="78"/>
      <c r="EC465" s="78"/>
      <c r="ED465" s="78"/>
      <c r="EE465" s="78"/>
      <c r="EF465" s="78"/>
      <c r="EG465" s="78"/>
      <c r="EH465" s="78"/>
      <c r="EI465" s="91"/>
      <c r="EJ465" s="91"/>
      <c r="EK465" s="91"/>
      <c r="EL465" s="91"/>
      <c r="EM465" s="91"/>
      <c r="EN465" s="91"/>
      <c r="EO465" s="91"/>
      <c r="EP465" s="78"/>
      <c r="EQ465" s="78"/>
      <c r="ER465" s="78"/>
      <c r="ES465" s="78"/>
      <c r="ET465" s="78"/>
      <c r="EU465" s="78"/>
      <c r="EV465" s="78"/>
      <c r="EW465" s="78"/>
      <c r="EX465" s="78"/>
      <c r="EY465" s="78"/>
      <c r="EZ465" s="78"/>
      <c r="FA465" s="78"/>
      <c r="FB465" s="78"/>
      <c r="FC465" s="78"/>
      <c r="FD465" s="78"/>
      <c r="FE465" s="78"/>
      <c r="FF465" s="78"/>
      <c r="FG465" s="78"/>
      <c r="FH465" s="78"/>
      <c r="FI465" s="78"/>
      <c r="FJ465" s="78"/>
      <c r="FK465" s="78"/>
    </row>
    <row r="466" spans="1:167" hidden="1" outlineLevel="1">
      <c r="A466" s="29" t="str">
        <f t="shared" si="35"/>
        <v>lt003_entitycntrprty_emssns_scp3</v>
      </c>
      <c r="B466" s="67" t="s">
        <v>26</v>
      </c>
      <c r="C466" s="68" t="s">
        <v>26</v>
      </c>
      <c r="D466" s="64" t="s">
        <v>40</v>
      </c>
      <c r="E466" s="70" t="s">
        <v>335</v>
      </c>
      <c r="F466" s="71" t="s">
        <v>355</v>
      </c>
      <c r="G466" s="64" t="str">
        <f>INDEX(Auxiliar!$B$16:$B$24,MATCH(Plano_V1!H466,Auxiliar!$C$16:$C$24,0),1)</f>
        <v>1. Concluído</v>
      </c>
      <c r="H466" s="64">
        <f>VLOOKUP(A466,'Aux - pivots1'!$A:$B,2,0)</f>
        <v>1</v>
      </c>
      <c r="I466" s="84">
        <f>SUMIFS(Table1[Estimação (horas)],Table1[Tabela],Plano_V1!E466,Table1[Campo],Plano_V1!F466)</f>
        <v>4.0999999999999996</v>
      </c>
      <c r="J466" s="84">
        <f t="shared" si="37"/>
        <v>0.51249999999999996</v>
      </c>
      <c r="K466" s="87" t="s">
        <v>337</v>
      </c>
      <c r="M466" s="78"/>
      <c r="N466" s="78"/>
      <c r="O466" s="78"/>
      <c r="P466" s="78"/>
      <c r="Q466" s="78"/>
      <c r="R466" s="78"/>
      <c r="S466" s="78"/>
      <c r="T466" s="78"/>
      <c r="U466" s="78"/>
      <c r="V466" s="78"/>
      <c r="W466" s="78"/>
      <c r="X466" s="78"/>
      <c r="Y466" s="78"/>
      <c r="Z466" s="78"/>
      <c r="AA466" s="78"/>
      <c r="AB466" s="78"/>
      <c r="AC466" s="78"/>
      <c r="AD466" s="78"/>
      <c r="AE466" s="78"/>
      <c r="AF466" s="78"/>
      <c r="AG466" s="78"/>
      <c r="AH466" s="78"/>
      <c r="AI466" s="78"/>
      <c r="AJ466" s="78"/>
      <c r="AK466" s="78"/>
      <c r="AL466" s="78"/>
      <c r="AM466" s="78"/>
      <c r="AN466" s="78"/>
      <c r="AO466" s="78"/>
      <c r="AP466" s="78"/>
      <c r="AQ466" s="78"/>
      <c r="AR466" s="78"/>
      <c r="AS466" s="78"/>
      <c r="AT466" s="91"/>
      <c r="AU466" s="78"/>
      <c r="AV466" s="78"/>
      <c r="AW466" s="78"/>
      <c r="AX466" s="78"/>
      <c r="AY466" s="78"/>
      <c r="AZ466" s="78"/>
      <c r="BA466" s="78"/>
      <c r="BB466" s="78"/>
      <c r="BC466" s="78"/>
      <c r="BD466" s="78"/>
      <c r="BE466" s="78"/>
      <c r="BF466" s="78"/>
      <c r="BG466" s="78"/>
      <c r="BH466" s="78"/>
      <c r="BI466" s="78"/>
      <c r="BJ466" s="78"/>
      <c r="BK466" s="78"/>
      <c r="BL466" s="78"/>
      <c r="BM466" s="78"/>
      <c r="BN466" s="78"/>
      <c r="BO466" s="78"/>
      <c r="BP466" s="78"/>
      <c r="BQ466" s="78"/>
      <c r="BR466" s="78"/>
      <c r="BS466" s="78"/>
      <c r="BT466" s="78"/>
      <c r="BU466" s="78"/>
      <c r="BV466" s="78"/>
      <c r="BW466" s="78"/>
      <c r="BX466" s="78"/>
      <c r="BY466" s="78"/>
      <c r="BZ466" s="78"/>
      <c r="CA466" s="78"/>
      <c r="CB466" s="78"/>
      <c r="CC466" s="78"/>
      <c r="CD466" s="78"/>
      <c r="CE466" s="78"/>
      <c r="CF466" s="78"/>
      <c r="CG466" s="78"/>
      <c r="CH466" s="78"/>
      <c r="CI466" s="78"/>
      <c r="CJ466" s="78"/>
      <c r="CK466" s="78"/>
      <c r="CL466" s="78"/>
      <c r="CM466" s="78"/>
      <c r="CN466" s="78"/>
      <c r="CO466" s="78"/>
      <c r="CP466" s="78"/>
      <c r="CQ466" s="78"/>
      <c r="CR466" s="78"/>
      <c r="CS466" s="78"/>
      <c r="CT466" s="78"/>
      <c r="CU466" s="78"/>
      <c r="CV466" s="78"/>
      <c r="CW466" s="78"/>
      <c r="CX466" s="78"/>
      <c r="CY466" s="78"/>
      <c r="CZ466" s="78"/>
      <c r="DA466" s="78"/>
      <c r="DB466" s="78"/>
      <c r="DC466" s="78"/>
      <c r="DD466" s="78"/>
      <c r="DE466" s="78"/>
      <c r="DF466" s="78"/>
      <c r="DG466" s="78"/>
      <c r="DH466" s="78"/>
      <c r="DI466" s="78"/>
      <c r="DJ466" s="78"/>
      <c r="DK466" s="78"/>
      <c r="DL466" s="78"/>
      <c r="DM466" s="78"/>
      <c r="DN466" s="78"/>
      <c r="DO466" s="78"/>
      <c r="DP466" s="78"/>
      <c r="DQ466" s="78"/>
      <c r="DR466" s="78"/>
      <c r="DS466" s="78"/>
      <c r="DT466" s="78"/>
      <c r="DU466" s="78"/>
      <c r="DV466" s="78"/>
      <c r="DW466" s="78"/>
      <c r="DX466" s="78"/>
      <c r="DY466" s="78"/>
      <c r="DZ466" s="78"/>
      <c r="EA466" s="78"/>
      <c r="EB466" s="78"/>
      <c r="EC466" s="78"/>
      <c r="ED466" s="78"/>
      <c r="EE466" s="78"/>
      <c r="EF466" s="78"/>
      <c r="EG466" s="78"/>
      <c r="EH466" s="78"/>
      <c r="EI466" s="91"/>
      <c r="EJ466" s="91"/>
      <c r="EK466" s="91"/>
      <c r="EL466" s="91"/>
      <c r="EM466" s="91"/>
      <c r="EN466" s="91"/>
      <c r="EO466" s="91"/>
      <c r="EP466" s="78"/>
      <c r="EQ466" s="78"/>
      <c r="ER466" s="78"/>
      <c r="ES466" s="78"/>
      <c r="ET466" s="78"/>
      <c r="EU466" s="78"/>
      <c r="EV466" s="78"/>
      <c r="EW466" s="78"/>
      <c r="EX466" s="78"/>
      <c r="EY466" s="78"/>
      <c r="EZ466" s="78"/>
      <c r="FA466" s="78"/>
      <c r="FB466" s="78"/>
      <c r="FC466" s="78"/>
      <c r="FD466" s="78"/>
      <c r="FE466" s="78"/>
      <c r="FF466" s="78"/>
      <c r="FG466" s="78"/>
      <c r="FH466" s="78"/>
      <c r="FI466" s="78"/>
      <c r="FJ466" s="78"/>
      <c r="FK466" s="78"/>
    </row>
    <row r="467" spans="1:167" hidden="1" outlineLevel="1">
      <c r="A467" s="29" t="str">
        <f t="shared" si="35"/>
        <v>lt003_entityflg_excldd_eu_prs_algnd_bnchmrk</v>
      </c>
      <c r="B467" s="67" t="s">
        <v>26</v>
      </c>
      <c r="C467" s="68" t="s">
        <v>26</v>
      </c>
      <c r="D467" s="64" t="s">
        <v>40</v>
      </c>
      <c r="E467" s="70" t="s">
        <v>335</v>
      </c>
      <c r="F467" s="71" t="s">
        <v>356</v>
      </c>
      <c r="G467" s="64" t="str">
        <f>INDEX(Auxiliar!$B$16:$B$24,MATCH(Plano_V1!H467,Auxiliar!$C$16:$C$24,0),1)</f>
        <v>1. Concluído</v>
      </c>
      <c r="H467" s="64">
        <f>VLOOKUP(A467,'Aux - pivots1'!$A:$B,2,0)</f>
        <v>1</v>
      </c>
      <c r="I467" s="84">
        <f>SUMIFS(Table1[Estimação (horas)],Table1[Tabela],Plano_V1!E467,Table1[Campo],Plano_V1!F467)</f>
        <v>4.0999999999999996</v>
      </c>
      <c r="J467" s="84">
        <f t="shared" si="37"/>
        <v>0.51249999999999996</v>
      </c>
      <c r="K467" s="87" t="s">
        <v>337</v>
      </c>
      <c r="M467" s="78"/>
      <c r="N467" s="78"/>
      <c r="O467" s="78"/>
      <c r="P467" s="78"/>
      <c r="Q467" s="78"/>
      <c r="R467" s="78"/>
      <c r="S467" s="78"/>
      <c r="T467" s="78"/>
      <c r="U467" s="78"/>
      <c r="V467" s="78"/>
      <c r="W467" s="78"/>
      <c r="X467" s="78"/>
      <c r="Y467" s="78"/>
      <c r="Z467" s="78"/>
      <c r="AA467" s="78"/>
      <c r="AB467" s="78"/>
      <c r="AC467" s="78"/>
      <c r="AD467" s="78"/>
      <c r="AE467" s="78"/>
      <c r="AF467" s="78"/>
      <c r="AG467" s="78"/>
      <c r="AH467" s="78"/>
      <c r="AI467" s="78"/>
      <c r="AJ467" s="78"/>
      <c r="AK467" s="78"/>
      <c r="AL467" s="78"/>
      <c r="AM467" s="78"/>
      <c r="AN467" s="78"/>
      <c r="AO467" s="78"/>
      <c r="AP467" s="78"/>
      <c r="AQ467" s="78"/>
      <c r="AR467" s="78"/>
      <c r="AS467" s="78"/>
      <c r="AT467" s="91"/>
      <c r="AU467" s="78"/>
      <c r="AV467" s="78"/>
      <c r="AW467" s="78"/>
      <c r="AX467" s="78"/>
      <c r="AY467" s="78"/>
      <c r="AZ467" s="78"/>
      <c r="BA467" s="78"/>
      <c r="BB467" s="78"/>
      <c r="BC467" s="78"/>
      <c r="BD467" s="78"/>
      <c r="BE467" s="78"/>
      <c r="BF467" s="78"/>
      <c r="BG467" s="78"/>
      <c r="BH467" s="78"/>
      <c r="BI467" s="78"/>
      <c r="BJ467" s="78"/>
      <c r="BK467" s="78"/>
      <c r="BL467" s="78"/>
      <c r="BM467" s="78"/>
      <c r="BN467" s="78"/>
      <c r="BO467" s="78"/>
      <c r="BP467" s="78"/>
      <c r="BQ467" s="78"/>
      <c r="BR467" s="78"/>
      <c r="BS467" s="78"/>
      <c r="BT467" s="78"/>
      <c r="BU467" s="78"/>
      <c r="BV467" s="78"/>
      <c r="BW467" s="78"/>
      <c r="BX467" s="78"/>
      <c r="BY467" s="78"/>
      <c r="BZ467" s="78"/>
      <c r="CA467" s="78"/>
      <c r="CB467" s="78"/>
      <c r="CC467" s="78"/>
      <c r="CD467" s="78"/>
      <c r="CE467" s="78"/>
      <c r="CF467" s="78"/>
      <c r="CG467" s="78"/>
      <c r="CH467" s="78"/>
      <c r="CI467" s="78"/>
      <c r="CJ467" s="78"/>
      <c r="CK467" s="78"/>
      <c r="CL467" s="78"/>
      <c r="CM467" s="78"/>
      <c r="CN467" s="78"/>
      <c r="CO467" s="78"/>
      <c r="CP467" s="78"/>
      <c r="CQ467" s="78"/>
      <c r="CR467" s="78"/>
      <c r="CS467" s="78"/>
      <c r="CT467" s="78"/>
      <c r="CU467" s="78"/>
      <c r="CV467" s="78"/>
      <c r="CW467" s="78"/>
      <c r="CX467" s="78"/>
      <c r="CY467" s="78"/>
      <c r="CZ467" s="78"/>
      <c r="DA467" s="78"/>
      <c r="DB467" s="78"/>
      <c r="DC467" s="78"/>
      <c r="DD467" s="78"/>
      <c r="DE467" s="78"/>
      <c r="DF467" s="78"/>
      <c r="DG467" s="78"/>
      <c r="DH467" s="78"/>
      <c r="DI467" s="78"/>
      <c r="DJ467" s="78"/>
      <c r="DK467" s="78"/>
      <c r="DL467" s="78"/>
      <c r="DM467" s="78"/>
      <c r="DN467" s="78"/>
      <c r="DO467" s="78"/>
      <c r="DP467" s="78"/>
      <c r="DQ467" s="78"/>
      <c r="DR467" s="78"/>
      <c r="DS467" s="78"/>
      <c r="DT467" s="78"/>
      <c r="DU467" s="78"/>
      <c r="DV467" s="78"/>
      <c r="DW467" s="78"/>
      <c r="DX467" s="78"/>
      <c r="DY467" s="78"/>
      <c r="DZ467" s="78"/>
      <c r="EA467" s="78"/>
      <c r="EB467" s="78"/>
      <c r="EC467" s="78"/>
      <c r="ED467" s="78"/>
      <c r="EE467" s="78"/>
      <c r="EF467" s="78"/>
      <c r="EG467" s="78"/>
      <c r="EH467" s="78"/>
      <c r="EI467" s="91"/>
      <c r="EJ467" s="91"/>
      <c r="EK467" s="91"/>
      <c r="EL467" s="91"/>
      <c r="EM467" s="91"/>
      <c r="EN467" s="91"/>
      <c r="EO467" s="91"/>
      <c r="EP467" s="78"/>
      <c r="EQ467" s="78"/>
      <c r="ER467" s="78"/>
      <c r="ES467" s="78"/>
      <c r="ET467" s="78"/>
      <c r="EU467" s="78"/>
      <c r="EV467" s="78"/>
      <c r="EW467" s="78"/>
      <c r="EX467" s="78"/>
      <c r="EY467" s="78"/>
      <c r="EZ467" s="78"/>
      <c r="FA467" s="78"/>
      <c r="FB467" s="78"/>
      <c r="FC467" s="78"/>
      <c r="FD467" s="78"/>
      <c r="FE467" s="78"/>
      <c r="FF467" s="78"/>
      <c r="FG467" s="78"/>
      <c r="FH467" s="78"/>
      <c r="FI467" s="78"/>
      <c r="FJ467" s="78"/>
      <c r="FK467" s="78"/>
    </row>
    <row r="468" spans="1:167" hidden="1" outlineLevel="1">
      <c r="A468" s="29" t="str">
        <f t="shared" si="35"/>
        <v>lt003_entityflg_act_physcl_rsk</v>
      </c>
      <c r="B468" s="67" t="s">
        <v>26</v>
      </c>
      <c r="C468" s="68" t="s">
        <v>26</v>
      </c>
      <c r="D468" s="64" t="s">
        <v>40</v>
      </c>
      <c r="E468" s="70" t="s">
        <v>335</v>
      </c>
      <c r="F468" s="71" t="s">
        <v>357</v>
      </c>
      <c r="G468" s="64" t="str">
        <f>INDEX(Auxiliar!$B$16:$B$24,MATCH(Plano_V1!H468,Auxiliar!$C$16:$C$24,0),1)</f>
        <v>1. Concluído</v>
      </c>
      <c r="H468" s="64">
        <f>VLOOKUP(A468,'Aux - pivots1'!$A:$B,2,0)</f>
        <v>1</v>
      </c>
      <c r="I468" s="84">
        <f>SUMIFS(Table1[Estimação (horas)],Table1[Tabela],Plano_V1!E468,Table1[Campo],Plano_V1!F468)</f>
        <v>4.0999999999999996</v>
      </c>
      <c r="J468" s="84">
        <f t="shared" si="37"/>
        <v>0.51249999999999996</v>
      </c>
      <c r="K468" s="87" t="s">
        <v>337</v>
      </c>
      <c r="M468" s="78"/>
      <c r="N468" s="78"/>
      <c r="O468" s="78"/>
      <c r="P468" s="78"/>
      <c r="Q468" s="78"/>
      <c r="R468" s="78"/>
      <c r="S468" s="78"/>
      <c r="T468" s="78"/>
      <c r="U468" s="78"/>
      <c r="V468" s="78"/>
      <c r="W468" s="78"/>
      <c r="X468" s="78"/>
      <c r="Y468" s="78"/>
      <c r="Z468" s="78"/>
      <c r="AA468" s="78"/>
      <c r="AB468" s="78"/>
      <c r="AC468" s="78"/>
      <c r="AD468" s="78"/>
      <c r="AE468" s="78"/>
      <c r="AF468" s="78"/>
      <c r="AG468" s="78"/>
      <c r="AH468" s="78"/>
      <c r="AI468" s="78"/>
      <c r="AJ468" s="78"/>
      <c r="AK468" s="78"/>
      <c r="AL468" s="78"/>
      <c r="AM468" s="78"/>
      <c r="AN468" s="78"/>
      <c r="AO468" s="78"/>
      <c r="AP468" s="78"/>
      <c r="AQ468" s="78"/>
      <c r="AR468" s="78"/>
      <c r="AS468" s="78"/>
      <c r="AT468" s="91"/>
      <c r="AU468" s="78"/>
      <c r="AV468" s="78"/>
      <c r="AW468" s="78"/>
      <c r="AX468" s="78"/>
      <c r="AY468" s="78"/>
      <c r="AZ468" s="78"/>
      <c r="BA468" s="78"/>
      <c r="BB468" s="78"/>
      <c r="BC468" s="78"/>
      <c r="BD468" s="78"/>
      <c r="BE468" s="78"/>
      <c r="BF468" s="78"/>
      <c r="BG468" s="78"/>
      <c r="BH468" s="78"/>
      <c r="BI468" s="78"/>
      <c r="BJ468" s="78"/>
      <c r="BK468" s="78"/>
      <c r="BL468" s="78"/>
      <c r="BM468" s="78"/>
      <c r="BN468" s="78"/>
      <c r="BO468" s="78"/>
      <c r="BP468" s="78"/>
      <c r="BQ468" s="78"/>
      <c r="BR468" s="78"/>
      <c r="BS468" s="78"/>
      <c r="BT468" s="78"/>
      <c r="BU468" s="78"/>
      <c r="BV468" s="78"/>
      <c r="BW468" s="78"/>
      <c r="BX468" s="78"/>
      <c r="BY468" s="78"/>
      <c r="BZ468" s="78"/>
      <c r="CA468" s="78"/>
      <c r="CB468" s="78"/>
      <c r="CC468" s="78"/>
      <c r="CD468" s="78"/>
      <c r="CE468" s="78"/>
      <c r="CF468" s="78"/>
      <c r="CG468" s="78"/>
      <c r="CH468" s="78"/>
      <c r="CI468" s="78"/>
      <c r="CJ468" s="78"/>
      <c r="CK468" s="78"/>
      <c r="CL468" s="78"/>
      <c r="CM468" s="78"/>
      <c r="CN468" s="78"/>
      <c r="CO468" s="78"/>
      <c r="CP468" s="78"/>
      <c r="CQ468" s="78"/>
      <c r="CR468" s="78"/>
      <c r="CS468" s="78"/>
      <c r="CT468" s="78"/>
      <c r="CU468" s="78"/>
      <c r="CV468" s="78"/>
      <c r="CW468" s="78"/>
      <c r="CX468" s="78"/>
      <c r="CY468" s="78"/>
      <c r="CZ468" s="78"/>
      <c r="DA468" s="78"/>
      <c r="DB468" s="78"/>
      <c r="DC468" s="78"/>
      <c r="DD468" s="78"/>
      <c r="DE468" s="78"/>
      <c r="DF468" s="78"/>
      <c r="DG468" s="78"/>
      <c r="DH468" s="78"/>
      <c r="DI468" s="78"/>
      <c r="DJ468" s="78"/>
      <c r="DK468" s="78"/>
      <c r="DL468" s="78"/>
      <c r="DM468" s="78"/>
      <c r="DN468" s="78"/>
      <c r="DO468" s="78"/>
      <c r="DP468" s="78"/>
      <c r="DQ468" s="78"/>
      <c r="DR468" s="78"/>
      <c r="DS468" s="78"/>
      <c r="DT468" s="78"/>
      <c r="DU468" s="78"/>
      <c r="DV468" s="78"/>
      <c r="DW468" s="78"/>
      <c r="DX468" s="78"/>
      <c r="DY468" s="78"/>
      <c r="DZ468" s="78"/>
      <c r="EA468" s="78"/>
      <c r="EB468" s="78"/>
      <c r="EC468" s="78"/>
      <c r="ED468" s="78"/>
      <c r="EE468" s="78"/>
      <c r="EF468" s="78"/>
      <c r="EG468" s="78"/>
      <c r="EH468" s="78"/>
      <c r="EI468" s="91"/>
      <c r="EJ468" s="91"/>
      <c r="EK468" s="91"/>
      <c r="EL468" s="91"/>
      <c r="EM468" s="91"/>
      <c r="EN468" s="91"/>
      <c r="EO468" s="91"/>
      <c r="EP468" s="78"/>
      <c r="EQ468" s="78"/>
      <c r="ER468" s="78"/>
      <c r="ES468" s="78"/>
      <c r="ET468" s="78"/>
      <c r="EU468" s="78"/>
      <c r="EV468" s="78"/>
      <c r="EW468" s="78"/>
      <c r="EX468" s="78"/>
      <c r="EY468" s="78"/>
      <c r="EZ468" s="78"/>
      <c r="FA468" s="78"/>
      <c r="FB468" s="78"/>
      <c r="FC468" s="78"/>
      <c r="FD468" s="78"/>
      <c r="FE468" s="78"/>
      <c r="FF468" s="78"/>
      <c r="FG468" s="78"/>
      <c r="FH468" s="78"/>
      <c r="FI468" s="78"/>
      <c r="FJ468" s="78"/>
      <c r="FK468" s="78"/>
    </row>
    <row r="469" spans="1:167" hidden="1" outlineLevel="1">
      <c r="A469" s="29" t="str">
        <f t="shared" si="35"/>
        <v>lt003_entityflg_chrnc_physcl_rsk</v>
      </c>
      <c r="B469" s="67" t="s">
        <v>26</v>
      </c>
      <c r="C469" s="68" t="s">
        <v>26</v>
      </c>
      <c r="D469" s="64" t="s">
        <v>40</v>
      </c>
      <c r="E469" s="70" t="s">
        <v>335</v>
      </c>
      <c r="F469" s="71" t="s">
        <v>358</v>
      </c>
      <c r="G469" s="64" t="str">
        <f>INDEX(Auxiliar!$B$16:$B$24,MATCH(Plano_V1!H469,Auxiliar!$C$16:$C$24,0),1)</f>
        <v>1. Concluído</v>
      </c>
      <c r="H469" s="64">
        <f>VLOOKUP(A469,'Aux - pivots1'!$A:$B,2,0)</f>
        <v>1</v>
      </c>
      <c r="I469" s="84">
        <f>SUMIFS(Table1[Estimação (horas)],Table1[Tabela],Plano_V1!E469,Table1[Campo],Plano_V1!F469)</f>
        <v>4.0999999999999996</v>
      </c>
      <c r="J469" s="84">
        <f t="shared" si="37"/>
        <v>0.51249999999999996</v>
      </c>
      <c r="K469" s="87" t="s">
        <v>337</v>
      </c>
      <c r="M469" s="78"/>
      <c r="N469" s="78"/>
      <c r="O469" s="78"/>
      <c r="P469" s="78"/>
      <c r="Q469" s="78"/>
      <c r="R469" s="78"/>
      <c r="S469" s="78"/>
      <c r="T469" s="78"/>
      <c r="U469" s="78"/>
      <c r="V469" s="78"/>
      <c r="W469" s="78"/>
      <c r="X469" s="78"/>
      <c r="Y469" s="78"/>
      <c r="Z469" s="78"/>
      <c r="AA469" s="78"/>
      <c r="AB469" s="78"/>
      <c r="AC469" s="78"/>
      <c r="AD469" s="78"/>
      <c r="AE469" s="78"/>
      <c r="AF469" s="78"/>
      <c r="AG469" s="78"/>
      <c r="AH469" s="78"/>
      <c r="AI469" s="78"/>
      <c r="AJ469" s="78"/>
      <c r="AK469" s="78"/>
      <c r="AL469" s="78"/>
      <c r="AM469" s="78"/>
      <c r="AN469" s="78"/>
      <c r="AO469" s="78"/>
      <c r="AP469" s="78"/>
      <c r="AQ469" s="78"/>
      <c r="AR469" s="78"/>
      <c r="AS469" s="78"/>
      <c r="AT469" s="91"/>
      <c r="AU469" s="78"/>
      <c r="AV469" s="78"/>
      <c r="AW469" s="78"/>
      <c r="AX469" s="78"/>
      <c r="AY469" s="78"/>
      <c r="AZ469" s="78"/>
      <c r="BA469" s="78"/>
      <c r="BB469" s="78"/>
      <c r="BC469" s="78"/>
      <c r="BD469" s="78"/>
      <c r="BE469" s="78"/>
      <c r="BF469" s="78"/>
      <c r="BG469" s="78"/>
      <c r="BH469" s="78"/>
      <c r="BI469" s="78"/>
      <c r="BJ469" s="78"/>
      <c r="BK469" s="78"/>
      <c r="BL469" s="78"/>
      <c r="BM469" s="78"/>
      <c r="BN469" s="78"/>
      <c r="BO469" s="78"/>
      <c r="BP469" s="78"/>
      <c r="BQ469" s="78"/>
      <c r="BR469" s="78"/>
      <c r="BS469" s="78"/>
      <c r="BT469" s="78"/>
      <c r="BU469" s="78"/>
      <c r="BV469" s="78"/>
      <c r="BW469" s="78"/>
      <c r="BX469" s="78"/>
      <c r="BY469" s="78"/>
      <c r="BZ469" s="78"/>
      <c r="CA469" s="78"/>
      <c r="CB469" s="78"/>
      <c r="CC469" s="78"/>
      <c r="CD469" s="78"/>
      <c r="CE469" s="78"/>
      <c r="CF469" s="78"/>
      <c r="CG469" s="78"/>
      <c r="CH469" s="78"/>
      <c r="CI469" s="78"/>
      <c r="CJ469" s="78"/>
      <c r="CK469" s="78"/>
      <c r="CL469" s="78"/>
      <c r="CM469" s="78"/>
      <c r="CN469" s="78"/>
      <c r="CO469" s="78"/>
      <c r="CP469" s="78"/>
      <c r="CQ469" s="78"/>
      <c r="CR469" s="78"/>
      <c r="CS469" s="78"/>
      <c r="CT469" s="78"/>
      <c r="CU469" s="78"/>
      <c r="CV469" s="78"/>
      <c r="CW469" s="78"/>
      <c r="CX469" s="78"/>
      <c r="CY469" s="78"/>
      <c r="CZ469" s="78"/>
      <c r="DA469" s="78"/>
      <c r="DB469" s="78"/>
      <c r="DC469" s="78"/>
      <c r="DD469" s="78"/>
      <c r="DE469" s="78"/>
      <c r="DF469" s="78"/>
      <c r="DG469" s="78"/>
      <c r="DH469" s="78"/>
      <c r="DI469" s="78"/>
      <c r="DJ469" s="78"/>
      <c r="DK469" s="78"/>
      <c r="DL469" s="78"/>
      <c r="DM469" s="78"/>
      <c r="DN469" s="78"/>
      <c r="DO469" s="78"/>
      <c r="DP469" s="78"/>
      <c r="DQ469" s="78"/>
      <c r="DR469" s="78"/>
      <c r="DS469" s="78"/>
      <c r="DT469" s="78"/>
      <c r="DU469" s="78"/>
      <c r="DV469" s="78"/>
      <c r="DW469" s="78"/>
      <c r="DX469" s="78"/>
      <c r="DY469" s="78"/>
      <c r="DZ469" s="78"/>
      <c r="EA469" s="78"/>
      <c r="EB469" s="78"/>
      <c r="EC469" s="78"/>
      <c r="ED469" s="78"/>
      <c r="EE469" s="78"/>
      <c r="EF469" s="78"/>
      <c r="EG469" s="78"/>
      <c r="EH469" s="78"/>
      <c r="EI469" s="91"/>
      <c r="EJ469" s="91"/>
      <c r="EK469" s="91"/>
      <c r="EL469" s="91"/>
      <c r="EM469" s="91"/>
      <c r="EN469" s="91"/>
      <c r="EO469" s="91"/>
      <c r="EP469" s="78"/>
      <c r="EQ469" s="78"/>
      <c r="ER469" s="78"/>
      <c r="ES469" s="78"/>
      <c r="ET469" s="78"/>
      <c r="EU469" s="78"/>
      <c r="EV469" s="78"/>
      <c r="EW469" s="78"/>
      <c r="EX469" s="78"/>
      <c r="EY469" s="78"/>
      <c r="EZ469" s="78"/>
      <c r="FA469" s="78"/>
      <c r="FB469" s="78"/>
      <c r="FC469" s="78"/>
      <c r="FD469" s="78"/>
      <c r="FE469" s="78"/>
      <c r="FF469" s="78"/>
      <c r="FG469" s="78"/>
      <c r="FH469" s="78"/>
      <c r="FI469" s="78"/>
      <c r="FJ469" s="78"/>
      <c r="FK469" s="78"/>
    </row>
    <row r="470" spans="1:167" hidden="1" outlineLevel="1">
      <c r="A470" s="29" t="str">
        <f t="shared" si="35"/>
        <v>lt003_entitypst_cd</v>
      </c>
      <c r="B470" s="67" t="s">
        <v>26</v>
      </c>
      <c r="C470" s="68" t="s">
        <v>26</v>
      </c>
      <c r="D470" s="64" t="s">
        <v>40</v>
      </c>
      <c r="E470" s="70" t="s">
        <v>335</v>
      </c>
      <c r="F470" s="71" t="s">
        <v>359</v>
      </c>
      <c r="G470" s="64" t="str">
        <f>INDEX(Auxiliar!$B$16:$B$24,MATCH(Plano_V1!H470,Auxiliar!$C$16:$C$24,0),1)</f>
        <v>1. Concluído</v>
      </c>
      <c r="H470" s="64">
        <f>VLOOKUP(A470,'Aux - pivots1'!$A:$B,2,0)</f>
        <v>1</v>
      </c>
      <c r="I470" s="84">
        <f>SUMIFS(Table1[Estimação (horas)],Table1[Tabela],Plano_V1!E470,Table1[Campo],Plano_V1!F470)</f>
        <v>4.0999999999999996</v>
      </c>
      <c r="J470" s="84">
        <f t="shared" si="37"/>
        <v>0.51249999999999996</v>
      </c>
      <c r="K470" s="87" t="s">
        <v>337</v>
      </c>
      <c r="M470" s="78"/>
      <c r="N470" s="78"/>
      <c r="O470" s="78"/>
      <c r="P470" s="78"/>
      <c r="Q470" s="78"/>
      <c r="R470" s="78"/>
      <c r="S470" s="78"/>
      <c r="T470" s="78"/>
      <c r="U470" s="78"/>
      <c r="V470" s="78"/>
      <c r="W470" s="78"/>
      <c r="X470" s="78"/>
      <c r="Y470" s="78"/>
      <c r="Z470" s="78"/>
      <c r="AA470" s="78"/>
      <c r="AB470" s="78"/>
      <c r="AC470" s="78"/>
      <c r="AD470" s="78"/>
      <c r="AE470" s="78"/>
      <c r="AF470" s="78"/>
      <c r="AG470" s="78"/>
      <c r="AH470" s="78"/>
      <c r="AI470" s="78"/>
      <c r="AJ470" s="78"/>
      <c r="AK470" s="78"/>
      <c r="AL470" s="78"/>
      <c r="AM470" s="78"/>
      <c r="AN470" s="78"/>
      <c r="AO470" s="78"/>
      <c r="AP470" s="78"/>
      <c r="AQ470" s="78"/>
      <c r="AR470" s="78"/>
      <c r="AS470" s="78"/>
      <c r="AT470" s="91"/>
      <c r="AU470" s="78"/>
      <c r="AV470" s="78"/>
      <c r="AW470" s="78"/>
      <c r="AX470" s="78"/>
      <c r="AY470" s="78"/>
      <c r="AZ470" s="78"/>
      <c r="BA470" s="78"/>
      <c r="BB470" s="78"/>
      <c r="BC470" s="78"/>
      <c r="BD470" s="78"/>
      <c r="BE470" s="78"/>
      <c r="BF470" s="78"/>
      <c r="BG470" s="78"/>
      <c r="BH470" s="78"/>
      <c r="BI470" s="78"/>
      <c r="BJ470" s="78"/>
      <c r="BK470" s="78"/>
      <c r="BL470" s="78"/>
      <c r="BM470" s="78"/>
      <c r="BN470" s="78"/>
      <c r="BO470" s="78"/>
      <c r="BP470" s="78"/>
      <c r="BQ470" s="78"/>
      <c r="BR470" s="78"/>
      <c r="BS470" s="78"/>
      <c r="BT470" s="78"/>
      <c r="BU470" s="78"/>
      <c r="BV470" s="78"/>
      <c r="BW470" s="78"/>
      <c r="BX470" s="78"/>
      <c r="BY470" s="78"/>
      <c r="BZ470" s="78"/>
      <c r="CA470" s="78"/>
      <c r="CB470" s="78"/>
      <c r="CC470" s="78"/>
      <c r="CD470" s="78"/>
      <c r="CE470" s="78"/>
      <c r="CF470" s="78"/>
      <c r="CG470" s="78"/>
      <c r="CH470" s="78"/>
      <c r="CI470" s="78"/>
      <c r="CJ470" s="78"/>
      <c r="CK470" s="78"/>
      <c r="CL470" s="78"/>
      <c r="CM470" s="78"/>
      <c r="CN470" s="78"/>
      <c r="CO470" s="78"/>
      <c r="CP470" s="78"/>
      <c r="CQ470" s="78"/>
      <c r="CR470" s="78"/>
      <c r="CS470" s="78"/>
      <c r="CT470" s="78"/>
      <c r="CU470" s="78"/>
      <c r="CV470" s="78"/>
      <c r="CW470" s="78"/>
      <c r="CX470" s="78"/>
      <c r="CY470" s="78"/>
      <c r="CZ470" s="78"/>
      <c r="DA470" s="78"/>
      <c r="DB470" s="78"/>
      <c r="DC470" s="78"/>
      <c r="DD470" s="78"/>
      <c r="DE470" s="78"/>
      <c r="DF470" s="78"/>
      <c r="DG470" s="78"/>
      <c r="DH470" s="78"/>
      <c r="DI470" s="78"/>
      <c r="DJ470" s="78"/>
      <c r="DK470" s="78"/>
      <c r="DL470" s="78"/>
      <c r="DM470" s="78"/>
      <c r="DN470" s="78"/>
      <c r="DO470" s="78"/>
      <c r="DP470" s="78"/>
      <c r="DQ470" s="78"/>
      <c r="DR470" s="78"/>
      <c r="DS470" s="78"/>
      <c r="DT470" s="78"/>
      <c r="DU470" s="78"/>
      <c r="DV470" s="78"/>
      <c r="DW470" s="78"/>
      <c r="DX470" s="78"/>
      <c r="DY470" s="78"/>
      <c r="DZ470" s="78"/>
      <c r="EA470" s="78"/>
      <c r="EB470" s="78"/>
      <c r="EC470" s="78"/>
      <c r="ED470" s="78"/>
      <c r="EE470" s="78"/>
      <c r="EF470" s="78"/>
      <c r="EG470" s="78"/>
      <c r="EH470" s="78"/>
      <c r="EI470" s="91"/>
      <c r="EJ470" s="91"/>
      <c r="EK470" s="91"/>
      <c r="EL470" s="91"/>
      <c r="EM470" s="91"/>
      <c r="EN470" s="91"/>
      <c r="EO470" s="91"/>
      <c r="EP470" s="78"/>
      <c r="EQ470" s="78"/>
      <c r="ER470" s="78"/>
      <c r="ES470" s="78"/>
      <c r="ET470" s="78"/>
      <c r="EU470" s="78"/>
      <c r="EV470" s="78"/>
      <c r="EW470" s="78"/>
      <c r="EX470" s="78"/>
      <c r="EY470" s="78"/>
      <c r="EZ470" s="78"/>
      <c r="FA470" s="78"/>
      <c r="FB470" s="78"/>
      <c r="FC470" s="78"/>
      <c r="FD470" s="78"/>
      <c r="FE470" s="78"/>
      <c r="FF470" s="78"/>
      <c r="FG470" s="78"/>
      <c r="FH470" s="78"/>
      <c r="FI470" s="78"/>
      <c r="FJ470" s="78"/>
      <c r="FK470" s="78"/>
    </row>
    <row r="471" spans="1:167" hidden="1" outlineLevel="1">
      <c r="A471" s="29" t="str">
        <f t="shared" si="35"/>
        <v>lt003_entityesg_sbsctr</v>
      </c>
      <c r="B471" s="67" t="s">
        <v>26</v>
      </c>
      <c r="C471" s="68" t="s">
        <v>26</v>
      </c>
      <c r="D471" s="64" t="s">
        <v>40</v>
      </c>
      <c r="E471" s="70" t="s">
        <v>335</v>
      </c>
      <c r="F471" s="71" t="s">
        <v>360</v>
      </c>
      <c r="G471" s="64" t="str">
        <f>INDEX(Auxiliar!$B$16:$B$24,MATCH(Plano_V1!H471,Auxiliar!$C$16:$C$24,0),1)</f>
        <v>1. Concluído</v>
      </c>
      <c r="H471" s="64">
        <f>VLOOKUP(A471,'Aux - pivots1'!$A:$B,2,0)</f>
        <v>1</v>
      </c>
      <c r="I471" s="84">
        <f>SUMIFS(Table1[Estimação (horas)],Table1[Tabela],Plano_V1!E471,Table1[Campo],Plano_V1!F471)</f>
        <v>4.0999999999999996</v>
      </c>
      <c r="J471" s="84">
        <f t="shared" si="37"/>
        <v>0.51249999999999996</v>
      </c>
      <c r="K471" s="87" t="s">
        <v>337</v>
      </c>
      <c r="M471" s="78"/>
      <c r="N471" s="78"/>
      <c r="O471" s="78"/>
      <c r="P471" s="78"/>
      <c r="Q471" s="78"/>
      <c r="R471" s="78"/>
      <c r="S471" s="78"/>
      <c r="T471" s="78"/>
      <c r="U471" s="78"/>
      <c r="V471" s="78"/>
      <c r="W471" s="78"/>
      <c r="X471" s="78"/>
      <c r="Y471" s="78"/>
      <c r="Z471" s="78"/>
      <c r="AA471" s="78"/>
      <c r="AB471" s="78"/>
      <c r="AC471" s="78"/>
      <c r="AD471" s="78"/>
      <c r="AE471" s="78"/>
      <c r="AF471" s="78"/>
      <c r="AG471" s="78"/>
      <c r="AH471" s="78"/>
      <c r="AI471" s="78"/>
      <c r="AJ471" s="78"/>
      <c r="AK471" s="78"/>
      <c r="AL471" s="78"/>
      <c r="AM471" s="78"/>
      <c r="AN471" s="78"/>
      <c r="AO471" s="78"/>
      <c r="AP471" s="78"/>
      <c r="AQ471" s="78"/>
      <c r="AR471" s="78"/>
      <c r="AS471" s="78"/>
      <c r="AT471" s="91"/>
      <c r="AU471" s="78"/>
      <c r="AV471" s="78"/>
      <c r="AW471" s="78"/>
      <c r="AX471" s="78"/>
      <c r="AY471" s="78"/>
      <c r="AZ471" s="78"/>
      <c r="BA471" s="78"/>
      <c r="BB471" s="78"/>
      <c r="BC471" s="78"/>
      <c r="BD471" s="78"/>
      <c r="BE471" s="78"/>
      <c r="BF471" s="78"/>
      <c r="BG471" s="78"/>
      <c r="BH471" s="78"/>
      <c r="BI471" s="78"/>
      <c r="BJ471" s="78"/>
      <c r="BK471" s="78"/>
      <c r="BL471" s="78"/>
      <c r="BM471" s="78"/>
      <c r="BN471" s="78"/>
      <c r="BO471" s="78"/>
      <c r="BP471" s="78"/>
      <c r="BQ471" s="78"/>
      <c r="BR471" s="78"/>
      <c r="BS471" s="78"/>
      <c r="BT471" s="78"/>
      <c r="BU471" s="78"/>
      <c r="BV471" s="78"/>
      <c r="BW471" s="78"/>
      <c r="BX471" s="78"/>
      <c r="BY471" s="78"/>
      <c r="BZ471" s="78"/>
      <c r="CA471" s="78"/>
      <c r="CB471" s="78"/>
      <c r="CC471" s="78"/>
      <c r="CD471" s="78"/>
      <c r="CE471" s="78"/>
      <c r="CF471" s="78"/>
      <c r="CG471" s="78"/>
      <c r="CH471" s="78"/>
      <c r="CI471" s="78"/>
      <c r="CJ471" s="78"/>
      <c r="CK471" s="78"/>
      <c r="CL471" s="78"/>
      <c r="CM471" s="78"/>
      <c r="CN471" s="78"/>
      <c r="CO471" s="78"/>
      <c r="CP471" s="78"/>
      <c r="CQ471" s="78"/>
      <c r="CR471" s="78"/>
      <c r="CS471" s="78"/>
      <c r="CT471" s="78"/>
      <c r="CU471" s="78"/>
      <c r="CV471" s="78"/>
      <c r="CW471" s="78"/>
      <c r="CX471" s="78"/>
      <c r="CY471" s="78"/>
      <c r="CZ471" s="78"/>
      <c r="DA471" s="78"/>
      <c r="DB471" s="78"/>
      <c r="DC471" s="78"/>
      <c r="DD471" s="78"/>
      <c r="DE471" s="78"/>
      <c r="DF471" s="78"/>
      <c r="DG471" s="78"/>
      <c r="DH471" s="78"/>
      <c r="DI471" s="78"/>
      <c r="DJ471" s="78"/>
      <c r="DK471" s="78"/>
      <c r="DL471" s="78"/>
      <c r="DM471" s="78"/>
      <c r="DN471" s="78"/>
      <c r="DO471" s="78"/>
      <c r="DP471" s="78"/>
      <c r="DQ471" s="78"/>
      <c r="DR471" s="78"/>
      <c r="DS471" s="78"/>
      <c r="DT471" s="78"/>
      <c r="DU471" s="78"/>
      <c r="DV471" s="78"/>
      <c r="DW471" s="78"/>
      <c r="DX471" s="78"/>
      <c r="DY471" s="78"/>
      <c r="DZ471" s="78"/>
      <c r="EA471" s="78"/>
      <c r="EB471" s="78"/>
      <c r="EC471" s="78"/>
      <c r="ED471" s="78"/>
      <c r="EE471" s="78"/>
      <c r="EF471" s="78"/>
      <c r="EG471" s="78"/>
      <c r="EH471" s="78"/>
      <c r="EI471" s="91"/>
      <c r="EJ471" s="91"/>
      <c r="EK471" s="91"/>
      <c r="EL471" s="91"/>
      <c r="EM471" s="91"/>
      <c r="EN471" s="91"/>
      <c r="EO471" s="91"/>
      <c r="EP471" s="78"/>
      <c r="EQ471" s="78"/>
      <c r="ER471" s="78"/>
      <c r="ES471" s="78"/>
      <c r="ET471" s="78"/>
      <c r="EU471" s="78"/>
      <c r="EV471" s="78"/>
      <c r="EW471" s="78"/>
      <c r="EX471" s="78"/>
      <c r="EY471" s="78"/>
      <c r="EZ471" s="78"/>
      <c r="FA471" s="78"/>
      <c r="FB471" s="78"/>
      <c r="FC471" s="78"/>
      <c r="FD471" s="78"/>
      <c r="FE471" s="78"/>
      <c r="FF471" s="78"/>
      <c r="FG471" s="78"/>
      <c r="FH471" s="78"/>
      <c r="FI471" s="78"/>
      <c r="FJ471" s="78"/>
      <c r="FK471" s="78"/>
    </row>
    <row r="472" spans="1:167" hidden="1" outlineLevel="1">
      <c r="A472" s="29" t="str">
        <f t="shared" si="35"/>
        <v>lt003_entityttl_lblty</v>
      </c>
      <c r="B472" s="67" t="s">
        <v>26</v>
      </c>
      <c r="C472" s="68" t="s">
        <v>26</v>
      </c>
      <c r="D472" s="64" t="s">
        <v>40</v>
      </c>
      <c r="E472" s="70" t="s">
        <v>335</v>
      </c>
      <c r="F472" s="71" t="s">
        <v>361</v>
      </c>
      <c r="G472" s="64" t="str">
        <f>INDEX(Auxiliar!$B$16:$B$24,MATCH(Plano_V1!H472,Auxiliar!$C$16:$C$24,0),1)</f>
        <v>1. Concluído</v>
      </c>
      <c r="H472" s="64">
        <f>VLOOKUP(A472,'Aux - pivots1'!$A:$B,2,0)</f>
        <v>1</v>
      </c>
      <c r="I472" s="84">
        <f>SUMIFS(Table1[Estimação (horas)],Table1[Tabela],Plano_V1!E472,Table1[Campo],Plano_V1!F472)</f>
        <v>4.0999999999999996</v>
      </c>
      <c r="J472" s="84">
        <f t="shared" si="37"/>
        <v>0.51249999999999996</v>
      </c>
      <c r="K472" s="87" t="s">
        <v>337</v>
      </c>
      <c r="M472" s="78"/>
      <c r="N472" s="78"/>
      <c r="O472" s="78"/>
      <c r="P472" s="78"/>
      <c r="Q472" s="78"/>
      <c r="R472" s="78"/>
      <c r="S472" s="78"/>
      <c r="T472" s="78"/>
      <c r="U472" s="78"/>
      <c r="V472" s="78"/>
      <c r="W472" s="78"/>
      <c r="X472" s="78"/>
      <c r="Y472" s="78"/>
      <c r="Z472" s="78"/>
      <c r="AA472" s="78"/>
      <c r="AB472" s="78"/>
      <c r="AC472" s="78"/>
      <c r="AD472" s="78"/>
      <c r="AE472" s="78"/>
      <c r="AF472" s="78"/>
      <c r="AG472" s="78"/>
      <c r="AH472" s="78"/>
      <c r="AI472" s="78"/>
      <c r="AJ472" s="78"/>
      <c r="AK472" s="78"/>
      <c r="AL472" s="78"/>
      <c r="AM472" s="78"/>
      <c r="AN472" s="78"/>
      <c r="AO472" s="78"/>
      <c r="AP472" s="78"/>
      <c r="AQ472" s="78"/>
      <c r="AR472" s="78"/>
      <c r="AS472" s="78"/>
      <c r="AT472" s="91"/>
      <c r="AU472" s="78"/>
      <c r="AV472" s="78"/>
      <c r="AW472" s="78"/>
      <c r="AX472" s="78"/>
      <c r="AY472" s="78"/>
      <c r="AZ472" s="78"/>
      <c r="BA472" s="78"/>
      <c r="BB472" s="78"/>
      <c r="BC472" s="78"/>
      <c r="BD472" s="78"/>
      <c r="BE472" s="78"/>
      <c r="BF472" s="78"/>
      <c r="BG472" s="78"/>
      <c r="BH472" s="78"/>
      <c r="BI472" s="78"/>
      <c r="BJ472" s="78"/>
      <c r="BK472" s="78"/>
      <c r="BL472" s="78"/>
      <c r="BM472" s="78"/>
      <c r="BN472" s="78"/>
      <c r="BO472" s="78"/>
      <c r="BP472" s="78"/>
      <c r="BQ472" s="78"/>
      <c r="BR472" s="78"/>
      <c r="BS472" s="78"/>
      <c r="BT472" s="78"/>
      <c r="BU472" s="78"/>
      <c r="BV472" s="78"/>
      <c r="BW472" s="78"/>
      <c r="BX472" s="78"/>
      <c r="BY472" s="78"/>
      <c r="BZ472" s="78"/>
      <c r="CA472" s="78"/>
      <c r="CB472" s="78"/>
      <c r="CC472" s="78"/>
      <c r="CD472" s="78"/>
      <c r="CE472" s="78"/>
      <c r="CF472" s="78"/>
      <c r="CG472" s="78"/>
      <c r="CH472" s="78"/>
      <c r="CI472" s="78"/>
      <c r="CJ472" s="78"/>
      <c r="CK472" s="78"/>
      <c r="CL472" s="78"/>
      <c r="CM472" s="78"/>
      <c r="CN472" s="78"/>
      <c r="CO472" s="78"/>
      <c r="CP472" s="78"/>
      <c r="CQ472" s="78"/>
      <c r="CR472" s="78"/>
      <c r="CS472" s="78"/>
      <c r="CT472" s="78"/>
      <c r="CU472" s="78"/>
      <c r="CV472" s="78"/>
      <c r="CW472" s="78"/>
      <c r="CX472" s="78"/>
      <c r="CY472" s="78"/>
      <c r="CZ472" s="78"/>
      <c r="DA472" s="78"/>
      <c r="DB472" s="78"/>
      <c r="DC472" s="78"/>
      <c r="DD472" s="78"/>
      <c r="DE472" s="78"/>
      <c r="DF472" s="78"/>
      <c r="DG472" s="78"/>
      <c r="DH472" s="78"/>
      <c r="DI472" s="78"/>
      <c r="DJ472" s="78"/>
      <c r="DK472" s="78"/>
      <c r="DL472" s="78"/>
      <c r="DM472" s="78"/>
      <c r="DN472" s="78"/>
      <c r="DO472" s="78"/>
      <c r="DP472" s="78"/>
      <c r="DQ472" s="78"/>
      <c r="DR472" s="78"/>
      <c r="DS472" s="78"/>
      <c r="DT472" s="78"/>
      <c r="DU472" s="78"/>
      <c r="DV472" s="78"/>
      <c r="DW472" s="78"/>
      <c r="DX472" s="78"/>
      <c r="DY472" s="78"/>
      <c r="DZ472" s="78"/>
      <c r="EA472" s="78"/>
      <c r="EB472" s="78"/>
      <c r="EC472" s="78"/>
      <c r="ED472" s="78"/>
      <c r="EE472" s="78"/>
      <c r="EF472" s="78"/>
      <c r="EG472" s="78"/>
      <c r="EH472" s="78"/>
      <c r="EI472" s="91"/>
      <c r="EJ472" s="91"/>
      <c r="EK472" s="91"/>
      <c r="EL472" s="91"/>
      <c r="EM472" s="91"/>
      <c r="EN472" s="91"/>
      <c r="EO472" s="91"/>
      <c r="EP472" s="78"/>
      <c r="EQ472" s="78"/>
      <c r="ER472" s="78"/>
      <c r="ES472" s="78"/>
      <c r="ET472" s="78"/>
      <c r="EU472" s="78"/>
      <c r="EV472" s="78"/>
      <c r="EW472" s="78"/>
      <c r="EX472" s="78"/>
      <c r="EY472" s="78"/>
      <c r="EZ472" s="78"/>
      <c r="FA472" s="78"/>
      <c r="FB472" s="78"/>
      <c r="FC472" s="78"/>
      <c r="FD472" s="78"/>
      <c r="FE472" s="78"/>
      <c r="FF472" s="78"/>
      <c r="FG472" s="78"/>
      <c r="FH472" s="78"/>
      <c r="FI472" s="78"/>
      <c r="FJ472" s="78"/>
      <c r="FK472" s="78"/>
    </row>
    <row r="473" spans="1:167" hidden="1" outlineLevel="1">
      <c r="A473" s="29" t="str">
        <f t="shared" si="35"/>
        <v>lt003_entityisin</v>
      </c>
      <c r="B473" s="67" t="s">
        <v>26</v>
      </c>
      <c r="C473" s="68" t="s">
        <v>26</v>
      </c>
      <c r="D473" s="64" t="s">
        <v>40</v>
      </c>
      <c r="E473" s="70" t="s">
        <v>335</v>
      </c>
      <c r="F473" s="71" t="s">
        <v>238</v>
      </c>
      <c r="G473" s="64" t="str">
        <f>INDEX(Auxiliar!$B$16:$B$24,MATCH(Plano_V1!H473,Auxiliar!$C$16:$C$24,0),1)</f>
        <v>1. Concluído</v>
      </c>
      <c r="H473" s="64">
        <f>VLOOKUP(A473,'Aux - pivots1'!$A:$B,2,0)</f>
        <v>1</v>
      </c>
      <c r="I473" s="84">
        <f>SUMIFS(Table1[Estimação (horas)],Table1[Tabela],Plano_V1!E473,Table1[Campo],Plano_V1!F473)</f>
        <v>4.0999999999999996</v>
      </c>
      <c r="J473" s="84">
        <f t="shared" si="37"/>
        <v>0.51249999999999996</v>
      </c>
      <c r="K473" s="87" t="s">
        <v>337</v>
      </c>
      <c r="M473" s="78"/>
      <c r="N473" s="78"/>
      <c r="O473" s="78"/>
      <c r="P473" s="78"/>
      <c r="Q473" s="78"/>
      <c r="R473" s="78"/>
      <c r="S473" s="78"/>
      <c r="T473" s="78"/>
      <c r="U473" s="78"/>
      <c r="V473" s="78"/>
      <c r="W473" s="78"/>
      <c r="X473" s="78"/>
      <c r="Y473" s="78"/>
      <c r="Z473" s="78"/>
      <c r="AA473" s="78"/>
      <c r="AB473" s="78"/>
      <c r="AC473" s="78"/>
      <c r="AD473" s="78"/>
      <c r="AE473" s="78"/>
      <c r="AF473" s="78"/>
      <c r="AG473" s="78"/>
      <c r="AH473" s="78"/>
      <c r="AI473" s="78"/>
      <c r="AJ473" s="78"/>
      <c r="AK473" s="78"/>
      <c r="AL473" s="78"/>
      <c r="AM473" s="78"/>
      <c r="AN473" s="78"/>
      <c r="AO473" s="78"/>
      <c r="AP473" s="78"/>
      <c r="AQ473" s="78"/>
      <c r="AR473" s="78"/>
      <c r="AS473" s="78"/>
      <c r="AT473" s="91"/>
      <c r="AU473" s="78"/>
      <c r="AV473" s="78"/>
      <c r="AW473" s="78"/>
      <c r="AX473" s="78"/>
      <c r="AY473" s="78"/>
      <c r="AZ473" s="78"/>
      <c r="BA473" s="78"/>
      <c r="BB473" s="78"/>
      <c r="BC473" s="78"/>
      <c r="BD473" s="78"/>
      <c r="BE473" s="78"/>
      <c r="BF473" s="78"/>
      <c r="BG473" s="78"/>
      <c r="BH473" s="78"/>
      <c r="BI473" s="78"/>
      <c r="BJ473" s="78"/>
      <c r="BK473" s="78"/>
      <c r="BL473" s="78"/>
      <c r="BM473" s="78"/>
      <c r="BN473" s="78"/>
      <c r="BO473" s="78"/>
      <c r="BP473" s="78"/>
      <c r="BQ473" s="78"/>
      <c r="BR473" s="78"/>
      <c r="BS473" s="78"/>
      <c r="BT473" s="78"/>
      <c r="BU473" s="78"/>
      <c r="BV473" s="78"/>
      <c r="BW473" s="78"/>
      <c r="BX473" s="78"/>
      <c r="BY473" s="78"/>
      <c r="BZ473" s="78"/>
      <c r="CA473" s="78"/>
      <c r="CB473" s="78"/>
      <c r="CC473" s="78"/>
      <c r="CD473" s="78"/>
      <c r="CE473" s="78"/>
      <c r="CF473" s="78"/>
      <c r="CG473" s="78"/>
      <c r="CH473" s="78"/>
      <c r="CI473" s="78"/>
      <c r="CJ473" s="78"/>
      <c r="CK473" s="78"/>
      <c r="CL473" s="78"/>
      <c r="CM473" s="78"/>
      <c r="CN473" s="78"/>
      <c r="CO473" s="78"/>
      <c r="CP473" s="78"/>
      <c r="CQ473" s="78"/>
      <c r="CR473" s="78"/>
      <c r="CS473" s="78"/>
      <c r="CT473" s="78"/>
      <c r="CU473" s="78"/>
      <c r="CV473" s="78"/>
      <c r="CW473" s="78"/>
      <c r="CX473" s="78"/>
      <c r="CY473" s="78"/>
      <c r="CZ473" s="78"/>
      <c r="DA473" s="78"/>
      <c r="DB473" s="78"/>
      <c r="DC473" s="78"/>
      <c r="DD473" s="78"/>
      <c r="DE473" s="78"/>
      <c r="DF473" s="78"/>
      <c r="DG473" s="78"/>
      <c r="DH473" s="78"/>
      <c r="DI473" s="78"/>
      <c r="DJ473" s="78"/>
      <c r="DK473" s="78"/>
      <c r="DL473" s="78"/>
      <c r="DM473" s="78"/>
      <c r="DN473" s="78"/>
      <c r="DO473" s="78"/>
      <c r="DP473" s="78"/>
      <c r="DQ473" s="78"/>
      <c r="DR473" s="78"/>
      <c r="DS473" s="78"/>
      <c r="DT473" s="78"/>
      <c r="DU473" s="78"/>
      <c r="DV473" s="78"/>
      <c r="DW473" s="78"/>
      <c r="DX473" s="78"/>
      <c r="DY473" s="78"/>
      <c r="DZ473" s="78"/>
      <c r="EA473" s="78"/>
      <c r="EB473" s="78"/>
      <c r="EC473" s="78"/>
      <c r="ED473" s="78"/>
      <c r="EE473" s="78"/>
      <c r="EF473" s="78"/>
      <c r="EG473" s="78"/>
      <c r="EH473" s="78"/>
      <c r="EI473" s="91"/>
      <c r="EJ473" s="91"/>
      <c r="EK473" s="91"/>
      <c r="EL473" s="91"/>
      <c r="EM473" s="91"/>
      <c r="EN473" s="91"/>
      <c r="EO473" s="91"/>
      <c r="EP473" s="78"/>
      <c r="EQ473" s="78"/>
      <c r="ER473" s="78"/>
      <c r="ES473" s="78"/>
      <c r="ET473" s="78"/>
      <c r="EU473" s="78"/>
      <c r="EV473" s="78"/>
      <c r="EW473" s="78"/>
      <c r="EX473" s="78"/>
      <c r="EY473" s="78"/>
      <c r="EZ473" s="78"/>
      <c r="FA473" s="78"/>
      <c r="FB473" s="78"/>
      <c r="FC473" s="78"/>
      <c r="FD473" s="78"/>
      <c r="FE473" s="78"/>
      <c r="FF473" s="78"/>
      <c r="FG473" s="78"/>
      <c r="FH473" s="78"/>
      <c r="FI473" s="78"/>
      <c r="FJ473" s="78"/>
      <c r="FK473" s="78"/>
    </row>
    <row r="474" spans="1:167" hidden="1" outlineLevel="1">
      <c r="A474" s="29" t="str">
        <f t="shared" si="35"/>
        <v>lt003_entitygrp_annl_trnvr_le</v>
      </c>
      <c r="B474" s="67" t="s">
        <v>26</v>
      </c>
      <c r="C474" s="68" t="s">
        <v>26</v>
      </c>
      <c r="D474" s="64" t="s">
        <v>40</v>
      </c>
      <c r="E474" s="70" t="s">
        <v>335</v>
      </c>
      <c r="F474" s="71" t="s">
        <v>362</v>
      </c>
      <c r="G474" s="64" t="str">
        <f>INDEX(Auxiliar!$B$16:$B$24,MATCH(Plano_V1!H474,Auxiliar!$C$16:$C$24,0),1)</f>
        <v>1. Concluído</v>
      </c>
      <c r="H474" s="64">
        <f>VLOOKUP(A474,'Aux - pivots1'!$A:$B,2,0)</f>
        <v>1</v>
      </c>
      <c r="I474" s="84">
        <f>SUMIFS(Table1[Estimação (horas)],Table1[Tabela],Plano_V1!E474,Table1[Campo],Plano_V1!F474)</f>
        <v>4.0999999999999996</v>
      </c>
      <c r="J474" s="84">
        <f t="shared" si="37"/>
        <v>0.51249999999999996</v>
      </c>
      <c r="K474" s="87" t="s">
        <v>337</v>
      </c>
      <c r="M474" s="78"/>
      <c r="N474" s="78"/>
      <c r="O474" s="78"/>
      <c r="P474" s="78"/>
      <c r="Q474" s="78"/>
      <c r="R474" s="78"/>
      <c r="S474" s="78"/>
      <c r="T474" s="78"/>
      <c r="U474" s="78"/>
      <c r="V474" s="78"/>
      <c r="W474" s="78"/>
      <c r="X474" s="78"/>
      <c r="Y474" s="78"/>
      <c r="Z474" s="78"/>
      <c r="AA474" s="78"/>
      <c r="AB474" s="78"/>
      <c r="AC474" s="78"/>
      <c r="AD474" s="78"/>
      <c r="AE474" s="78"/>
      <c r="AF474" s="78"/>
      <c r="AG474" s="78"/>
      <c r="AH474" s="78"/>
      <c r="AI474" s="78"/>
      <c r="AJ474" s="78"/>
      <c r="AK474" s="78"/>
      <c r="AL474" s="78"/>
      <c r="AM474" s="78"/>
      <c r="AN474" s="78"/>
      <c r="AO474" s="78"/>
      <c r="AP474" s="78"/>
      <c r="AQ474" s="78"/>
      <c r="AR474" s="78"/>
      <c r="AS474" s="78"/>
      <c r="AT474" s="91"/>
      <c r="AU474" s="78"/>
      <c r="AV474" s="78"/>
      <c r="AW474" s="78"/>
      <c r="AX474" s="78"/>
      <c r="AY474" s="78"/>
      <c r="AZ474" s="78"/>
      <c r="BA474" s="78"/>
      <c r="BB474" s="78"/>
      <c r="BC474" s="78"/>
      <c r="BD474" s="78"/>
      <c r="BE474" s="78"/>
      <c r="BF474" s="78"/>
      <c r="BG474" s="78"/>
      <c r="BH474" s="78"/>
      <c r="BI474" s="78"/>
      <c r="BJ474" s="78"/>
      <c r="BK474" s="78"/>
      <c r="BL474" s="78"/>
      <c r="BM474" s="78"/>
      <c r="BN474" s="78"/>
      <c r="BO474" s="78"/>
      <c r="BP474" s="78"/>
      <c r="BQ474" s="78"/>
      <c r="BR474" s="78"/>
      <c r="BS474" s="78"/>
      <c r="BT474" s="78"/>
      <c r="BU474" s="78"/>
      <c r="BV474" s="78"/>
      <c r="BW474" s="78"/>
      <c r="BX474" s="78"/>
      <c r="BY474" s="78"/>
      <c r="BZ474" s="78"/>
      <c r="CA474" s="78"/>
      <c r="CB474" s="78"/>
      <c r="CC474" s="78"/>
      <c r="CD474" s="78"/>
      <c r="CE474" s="78"/>
      <c r="CF474" s="78"/>
      <c r="CG474" s="78"/>
      <c r="CH474" s="78"/>
      <c r="CI474" s="78"/>
      <c r="CJ474" s="78"/>
      <c r="CK474" s="78"/>
      <c r="CL474" s="78"/>
      <c r="CM474" s="78"/>
      <c r="CN474" s="78"/>
      <c r="CO474" s="78"/>
      <c r="CP474" s="78"/>
      <c r="CQ474" s="78"/>
      <c r="CR474" s="78"/>
      <c r="CS474" s="78"/>
      <c r="CT474" s="78"/>
      <c r="CU474" s="78"/>
      <c r="CV474" s="78"/>
      <c r="CW474" s="78"/>
      <c r="CX474" s="78"/>
      <c r="CY474" s="78"/>
      <c r="CZ474" s="78"/>
      <c r="DA474" s="78"/>
      <c r="DB474" s="78"/>
      <c r="DC474" s="78"/>
      <c r="DD474" s="78"/>
      <c r="DE474" s="78"/>
      <c r="DF474" s="78"/>
      <c r="DG474" s="78"/>
      <c r="DH474" s="78"/>
      <c r="DI474" s="78"/>
      <c r="DJ474" s="78"/>
      <c r="DK474" s="78"/>
      <c r="DL474" s="78"/>
      <c r="DM474" s="78"/>
      <c r="DN474" s="78"/>
      <c r="DO474" s="78"/>
      <c r="DP474" s="78"/>
      <c r="DQ474" s="78"/>
      <c r="DR474" s="78"/>
      <c r="DS474" s="78"/>
      <c r="DT474" s="78"/>
      <c r="DU474" s="78"/>
      <c r="DV474" s="78"/>
      <c r="DW474" s="78"/>
      <c r="DX474" s="78"/>
      <c r="DY474" s="78"/>
      <c r="DZ474" s="78"/>
      <c r="EA474" s="78"/>
      <c r="EB474" s="78"/>
      <c r="EC474" s="78"/>
      <c r="ED474" s="78"/>
      <c r="EE474" s="78"/>
      <c r="EF474" s="78"/>
      <c r="EG474" s="78"/>
      <c r="EH474" s="78"/>
      <c r="EI474" s="91"/>
      <c r="EJ474" s="91"/>
      <c r="EK474" s="91"/>
      <c r="EL474" s="91"/>
      <c r="EM474" s="91"/>
      <c r="EN474" s="91"/>
      <c r="EO474" s="91"/>
      <c r="EP474" s="78"/>
      <c r="EQ474" s="78"/>
      <c r="ER474" s="78"/>
      <c r="ES474" s="78"/>
      <c r="ET474" s="78"/>
      <c r="EU474" s="78"/>
      <c r="EV474" s="78"/>
      <c r="EW474" s="78"/>
      <c r="EX474" s="78"/>
      <c r="EY474" s="78"/>
      <c r="EZ474" s="78"/>
      <c r="FA474" s="78"/>
      <c r="FB474" s="78"/>
      <c r="FC474" s="78"/>
      <c r="FD474" s="78"/>
      <c r="FE474" s="78"/>
      <c r="FF474" s="78"/>
      <c r="FG474" s="78"/>
      <c r="FH474" s="78"/>
      <c r="FI474" s="78"/>
      <c r="FJ474" s="78"/>
      <c r="FK474" s="78"/>
    </row>
    <row r="475" spans="1:167" hidden="1" outlineLevel="1">
      <c r="A475" s="29" t="str">
        <f t="shared" si="35"/>
        <v>lt003_entitygrp_ttl_lblty</v>
      </c>
      <c r="B475" s="67" t="s">
        <v>26</v>
      </c>
      <c r="C475" s="68" t="s">
        <v>26</v>
      </c>
      <c r="D475" s="64" t="s">
        <v>40</v>
      </c>
      <c r="E475" s="70" t="s">
        <v>335</v>
      </c>
      <c r="F475" s="71" t="s">
        <v>363</v>
      </c>
      <c r="G475" s="64" t="str">
        <f>INDEX(Auxiliar!$B$16:$B$24,MATCH(Plano_V1!H475,Auxiliar!$C$16:$C$24,0),1)</f>
        <v>1. Concluído</v>
      </c>
      <c r="H475" s="64">
        <f>VLOOKUP(A475,'Aux - pivots1'!$A:$B,2,0)</f>
        <v>1</v>
      </c>
      <c r="I475" s="84">
        <f>SUMIFS(Table1[Estimação (horas)],Table1[Tabela],Plano_V1!E475,Table1[Campo],Plano_V1!F475)</f>
        <v>4.0999999999999996</v>
      </c>
      <c r="J475" s="84">
        <f t="shared" si="37"/>
        <v>0.51249999999999996</v>
      </c>
      <c r="K475" s="87" t="s">
        <v>337</v>
      </c>
      <c r="M475" s="78"/>
      <c r="N475" s="78"/>
      <c r="O475" s="78"/>
      <c r="P475" s="78"/>
      <c r="Q475" s="78"/>
      <c r="R475" s="78"/>
      <c r="S475" s="78"/>
      <c r="T475" s="78"/>
      <c r="U475" s="78"/>
      <c r="V475" s="78"/>
      <c r="W475" s="78"/>
      <c r="X475" s="78"/>
      <c r="Y475" s="78"/>
      <c r="Z475" s="78"/>
      <c r="AA475" s="78"/>
      <c r="AB475" s="78"/>
      <c r="AC475" s="78"/>
      <c r="AD475" s="78"/>
      <c r="AE475" s="78"/>
      <c r="AF475" s="78"/>
      <c r="AG475" s="78"/>
      <c r="AH475" s="78"/>
      <c r="AI475" s="78"/>
      <c r="AJ475" s="78"/>
      <c r="AK475" s="78"/>
      <c r="AL475" s="78"/>
      <c r="AM475" s="78"/>
      <c r="AN475" s="78"/>
      <c r="AO475" s="78"/>
      <c r="AP475" s="78"/>
      <c r="AQ475" s="78"/>
      <c r="AR475" s="78"/>
      <c r="AS475" s="78"/>
      <c r="AT475" s="91"/>
      <c r="AU475" s="78"/>
      <c r="AV475" s="78"/>
      <c r="AW475" s="78"/>
      <c r="AX475" s="78"/>
      <c r="AY475" s="78"/>
      <c r="AZ475" s="78"/>
      <c r="BA475" s="78"/>
      <c r="BB475" s="78"/>
      <c r="BC475" s="78"/>
      <c r="BD475" s="78"/>
      <c r="BE475" s="78"/>
      <c r="BF475" s="78"/>
      <c r="BG475" s="78"/>
      <c r="BH475" s="78"/>
      <c r="BI475" s="78"/>
      <c r="BJ475" s="78"/>
      <c r="BK475" s="78"/>
      <c r="BL475" s="78"/>
      <c r="BM475" s="78"/>
      <c r="BN475" s="78"/>
      <c r="BO475" s="78"/>
      <c r="BP475" s="78"/>
      <c r="BQ475" s="78"/>
      <c r="BR475" s="78"/>
      <c r="BS475" s="78"/>
      <c r="BT475" s="78"/>
      <c r="BU475" s="78"/>
      <c r="BV475" s="78"/>
      <c r="BW475" s="78"/>
      <c r="BX475" s="78"/>
      <c r="BY475" s="78"/>
      <c r="BZ475" s="78"/>
      <c r="CA475" s="78"/>
      <c r="CB475" s="78"/>
      <c r="CC475" s="78"/>
      <c r="CD475" s="78"/>
      <c r="CE475" s="78"/>
      <c r="CF475" s="78"/>
      <c r="CG475" s="78"/>
      <c r="CH475" s="78"/>
      <c r="CI475" s="78"/>
      <c r="CJ475" s="78"/>
      <c r="CK475" s="78"/>
      <c r="CL475" s="78"/>
      <c r="CM475" s="78"/>
      <c r="CN475" s="78"/>
      <c r="CO475" s="78"/>
      <c r="CP475" s="78"/>
      <c r="CQ475" s="78"/>
      <c r="CR475" s="78"/>
      <c r="CS475" s="78"/>
      <c r="CT475" s="78"/>
      <c r="CU475" s="78"/>
      <c r="CV475" s="78"/>
      <c r="CW475" s="78"/>
      <c r="CX475" s="78"/>
      <c r="CY475" s="78"/>
      <c r="CZ475" s="78"/>
      <c r="DA475" s="78"/>
      <c r="DB475" s="78"/>
      <c r="DC475" s="78"/>
      <c r="DD475" s="78"/>
      <c r="DE475" s="78"/>
      <c r="DF475" s="78"/>
      <c r="DG475" s="78"/>
      <c r="DH475" s="78"/>
      <c r="DI475" s="78"/>
      <c r="DJ475" s="78"/>
      <c r="DK475" s="78"/>
      <c r="DL475" s="78"/>
      <c r="DM475" s="78"/>
      <c r="DN475" s="78"/>
      <c r="DO475" s="78"/>
      <c r="DP475" s="78"/>
      <c r="DQ475" s="78"/>
      <c r="DR475" s="78"/>
      <c r="DS475" s="78"/>
      <c r="DT475" s="78"/>
      <c r="DU475" s="78"/>
      <c r="DV475" s="78"/>
      <c r="DW475" s="78"/>
      <c r="DX475" s="78"/>
      <c r="DY475" s="78"/>
      <c r="DZ475" s="78"/>
      <c r="EA475" s="78"/>
      <c r="EB475" s="78"/>
      <c r="EC475" s="78"/>
      <c r="ED475" s="78"/>
      <c r="EE475" s="78"/>
      <c r="EF475" s="78"/>
      <c r="EG475" s="78"/>
      <c r="EH475" s="78"/>
      <c r="EI475" s="91"/>
      <c r="EJ475" s="91"/>
      <c r="EK475" s="91"/>
      <c r="EL475" s="91"/>
      <c r="EM475" s="91"/>
      <c r="EN475" s="91"/>
      <c r="EO475" s="91"/>
      <c r="EP475" s="78"/>
      <c r="EQ475" s="78"/>
      <c r="ER475" s="78"/>
      <c r="ES475" s="78"/>
      <c r="ET475" s="78"/>
      <c r="EU475" s="78"/>
      <c r="EV475" s="78"/>
      <c r="EW475" s="78"/>
      <c r="EX475" s="78"/>
      <c r="EY475" s="78"/>
      <c r="EZ475" s="78"/>
      <c r="FA475" s="78"/>
      <c r="FB475" s="78"/>
      <c r="FC475" s="78"/>
      <c r="FD475" s="78"/>
      <c r="FE475" s="78"/>
      <c r="FF475" s="78"/>
      <c r="FG475" s="78"/>
      <c r="FH475" s="78"/>
      <c r="FI475" s="78"/>
      <c r="FJ475" s="78"/>
      <c r="FK475" s="78"/>
    </row>
    <row r="476" spans="1:167" hidden="1" outlineLevel="1">
      <c r="A476" s="29" t="str">
        <f t="shared" si="35"/>
        <v>lt003_entityflg_grp_nfrd_applcblty</v>
      </c>
      <c r="B476" s="67" t="s">
        <v>26</v>
      </c>
      <c r="C476" s="68" t="s">
        <v>26</v>
      </c>
      <c r="D476" s="64" t="s">
        <v>40</v>
      </c>
      <c r="E476" s="70" t="s">
        <v>335</v>
      </c>
      <c r="F476" s="71" t="s">
        <v>364</v>
      </c>
      <c r="G476" s="64" t="str">
        <f>INDEX(Auxiliar!$B$16:$B$24,MATCH(Plano_V1!H476,Auxiliar!$C$16:$C$24,0),1)</f>
        <v>1. Concluído</v>
      </c>
      <c r="H476" s="64">
        <f>VLOOKUP(A476,'Aux - pivots1'!$A:$B,2,0)</f>
        <v>1</v>
      </c>
      <c r="I476" s="84">
        <f>SUMIFS(Table1[Estimação (horas)],Table1[Tabela],Plano_V1!E476,Table1[Campo],Plano_V1!F476)</f>
        <v>4.0999999999999996</v>
      </c>
      <c r="J476" s="84">
        <f t="shared" si="37"/>
        <v>0.51249999999999996</v>
      </c>
      <c r="K476" s="87" t="s">
        <v>337</v>
      </c>
      <c r="M476" s="78"/>
      <c r="N476" s="78"/>
      <c r="O476" s="78"/>
      <c r="P476" s="78"/>
      <c r="Q476" s="78"/>
      <c r="R476" s="78"/>
      <c r="S476" s="78"/>
      <c r="T476" s="78"/>
      <c r="U476" s="78"/>
      <c r="V476" s="78"/>
      <c r="W476" s="78"/>
      <c r="X476" s="78"/>
      <c r="Y476" s="78"/>
      <c r="Z476" s="78"/>
      <c r="AA476" s="78"/>
      <c r="AB476" s="78"/>
      <c r="AC476" s="78"/>
      <c r="AD476" s="78"/>
      <c r="AE476" s="78"/>
      <c r="AF476" s="78"/>
      <c r="AG476" s="78"/>
      <c r="AH476" s="78"/>
      <c r="AI476" s="78"/>
      <c r="AJ476" s="78"/>
      <c r="AK476" s="78"/>
      <c r="AL476" s="78"/>
      <c r="AM476" s="78"/>
      <c r="AN476" s="78"/>
      <c r="AO476" s="78"/>
      <c r="AP476" s="78"/>
      <c r="AQ476" s="78"/>
      <c r="AR476" s="78"/>
      <c r="AS476" s="78"/>
      <c r="AT476" s="91"/>
      <c r="AU476" s="78"/>
      <c r="AV476" s="78"/>
      <c r="AW476" s="78"/>
      <c r="AX476" s="78"/>
      <c r="AY476" s="78"/>
      <c r="AZ476" s="78"/>
      <c r="BA476" s="78"/>
      <c r="BB476" s="78"/>
      <c r="BC476" s="78"/>
      <c r="BD476" s="78"/>
      <c r="BE476" s="78"/>
      <c r="BF476" s="78"/>
      <c r="BG476" s="78"/>
      <c r="BH476" s="78"/>
      <c r="BI476" s="78"/>
      <c r="BJ476" s="78"/>
      <c r="BK476" s="78"/>
      <c r="BL476" s="78"/>
      <c r="BM476" s="78"/>
      <c r="BN476" s="78"/>
      <c r="BO476" s="78"/>
      <c r="BP476" s="78"/>
      <c r="BQ476" s="78"/>
      <c r="BR476" s="78"/>
      <c r="BS476" s="78"/>
      <c r="BT476" s="78"/>
      <c r="BU476" s="78"/>
      <c r="BV476" s="78"/>
      <c r="BW476" s="78"/>
      <c r="BX476" s="78"/>
      <c r="BY476" s="78"/>
      <c r="BZ476" s="78"/>
      <c r="CA476" s="78"/>
      <c r="CB476" s="78"/>
      <c r="CC476" s="78"/>
      <c r="CD476" s="78"/>
      <c r="CE476" s="78"/>
      <c r="CF476" s="78"/>
      <c r="CG476" s="78"/>
      <c r="CH476" s="78"/>
      <c r="CI476" s="78"/>
      <c r="CJ476" s="78"/>
      <c r="CK476" s="78"/>
      <c r="CL476" s="78"/>
      <c r="CM476" s="78"/>
      <c r="CN476" s="78"/>
      <c r="CO476" s="78"/>
      <c r="CP476" s="78"/>
      <c r="CQ476" s="78"/>
      <c r="CR476" s="78"/>
      <c r="CS476" s="78"/>
      <c r="CT476" s="78"/>
      <c r="CU476" s="78"/>
      <c r="CV476" s="78"/>
      <c r="CW476" s="78"/>
      <c r="CX476" s="78"/>
      <c r="CY476" s="78"/>
      <c r="CZ476" s="78"/>
      <c r="DA476" s="78"/>
      <c r="DB476" s="78"/>
      <c r="DC476" s="78"/>
      <c r="DD476" s="78"/>
      <c r="DE476" s="78"/>
      <c r="DF476" s="78"/>
      <c r="DG476" s="78"/>
      <c r="DH476" s="78"/>
      <c r="DI476" s="78"/>
      <c r="DJ476" s="78"/>
      <c r="DK476" s="78"/>
      <c r="DL476" s="78"/>
      <c r="DM476" s="78"/>
      <c r="DN476" s="78"/>
      <c r="DO476" s="78"/>
      <c r="DP476" s="78"/>
      <c r="DQ476" s="78"/>
      <c r="DR476" s="78"/>
      <c r="DS476" s="78"/>
      <c r="DT476" s="78"/>
      <c r="DU476" s="78"/>
      <c r="DV476" s="78"/>
      <c r="DW476" s="78"/>
      <c r="DX476" s="78"/>
      <c r="DY476" s="78"/>
      <c r="DZ476" s="78"/>
      <c r="EA476" s="78"/>
      <c r="EB476" s="78"/>
      <c r="EC476" s="78"/>
      <c r="ED476" s="78"/>
      <c r="EE476" s="78"/>
      <c r="EF476" s="78"/>
      <c r="EG476" s="78"/>
      <c r="EH476" s="78"/>
      <c r="EI476" s="91"/>
      <c r="EJ476" s="91"/>
      <c r="EK476" s="91"/>
      <c r="EL476" s="91"/>
      <c r="EM476" s="91"/>
      <c r="EN476" s="91"/>
      <c r="EO476" s="91"/>
      <c r="EP476" s="78"/>
      <c r="EQ476" s="78"/>
      <c r="ER476" s="78"/>
      <c r="ES476" s="78"/>
      <c r="ET476" s="78"/>
      <c r="EU476" s="78"/>
      <c r="EV476" s="78"/>
      <c r="EW476" s="78"/>
      <c r="EX476" s="78"/>
      <c r="EY476" s="78"/>
      <c r="EZ476" s="78"/>
      <c r="FA476" s="78"/>
      <c r="FB476" s="78"/>
      <c r="FC476" s="78"/>
      <c r="FD476" s="78"/>
      <c r="FE476" s="78"/>
      <c r="FF476" s="78"/>
      <c r="FG476" s="78"/>
      <c r="FH476" s="78"/>
      <c r="FI476" s="78"/>
      <c r="FJ476" s="78"/>
      <c r="FK476" s="78"/>
    </row>
    <row r="477" spans="1:167" hidden="1" outlineLevel="1">
      <c r="A477" s="29" t="str">
        <f t="shared" ref="A477:A598" si="38">E477&amp;F477</f>
        <v>lt003_entitygrp_emssns_scp1</v>
      </c>
      <c r="B477" s="67" t="s">
        <v>26</v>
      </c>
      <c r="C477" s="68" t="s">
        <v>26</v>
      </c>
      <c r="D477" s="64" t="s">
        <v>40</v>
      </c>
      <c r="E477" s="70" t="s">
        <v>335</v>
      </c>
      <c r="F477" s="71" t="s">
        <v>365</v>
      </c>
      <c r="G477" s="64" t="str">
        <f>INDEX(Auxiliar!$B$16:$B$24,MATCH(Plano_V1!H477,Auxiliar!$C$16:$C$24,0),1)</f>
        <v>1. Concluído</v>
      </c>
      <c r="H477" s="64">
        <f>VLOOKUP(A477,'Aux - pivots1'!$A:$B,2,0)</f>
        <v>1</v>
      </c>
      <c r="I477" s="84">
        <f>SUMIFS(Table1[Estimação (horas)],Table1[Tabela],Plano_V1!E477,Table1[Campo],Plano_V1!F477)</f>
        <v>4.0999999999999996</v>
      </c>
      <c r="J477" s="84">
        <f t="shared" si="37"/>
        <v>0.51249999999999996</v>
      </c>
      <c r="K477" s="87" t="s">
        <v>337</v>
      </c>
      <c r="M477" s="78"/>
      <c r="N477" s="78"/>
      <c r="O477" s="78"/>
      <c r="P477" s="78"/>
      <c r="Q477" s="78"/>
      <c r="R477" s="78"/>
      <c r="S477" s="78"/>
      <c r="T477" s="78"/>
      <c r="U477" s="78"/>
      <c r="V477" s="78"/>
      <c r="W477" s="78"/>
      <c r="X477" s="78"/>
      <c r="Y477" s="78"/>
      <c r="Z477" s="78"/>
      <c r="AA477" s="78"/>
      <c r="AB477" s="78"/>
      <c r="AC477" s="78"/>
      <c r="AD477" s="78"/>
      <c r="AE477" s="78"/>
      <c r="AF477" s="78"/>
      <c r="AG477" s="78"/>
      <c r="AH477" s="78"/>
      <c r="AI477" s="78"/>
      <c r="AJ477" s="78"/>
      <c r="AK477" s="78"/>
      <c r="AL477" s="78"/>
      <c r="AM477" s="78"/>
      <c r="AN477" s="78"/>
      <c r="AO477" s="78"/>
      <c r="AP477" s="78"/>
      <c r="AQ477" s="78"/>
      <c r="AR477" s="78"/>
      <c r="AS477" s="78"/>
      <c r="AT477" s="91"/>
      <c r="AU477" s="78"/>
      <c r="AV477" s="78"/>
      <c r="AW477" s="78"/>
      <c r="AX477" s="78"/>
      <c r="AY477" s="78"/>
      <c r="AZ477" s="78"/>
      <c r="BA477" s="78"/>
      <c r="BB477" s="78"/>
      <c r="BC477" s="78"/>
      <c r="BD477" s="78"/>
      <c r="BE477" s="78"/>
      <c r="BF477" s="78"/>
      <c r="BG477" s="78"/>
      <c r="BH477" s="78"/>
      <c r="BI477" s="78"/>
      <c r="BJ477" s="78"/>
      <c r="BK477" s="78"/>
      <c r="BL477" s="78"/>
      <c r="BM477" s="78"/>
      <c r="BN477" s="78"/>
      <c r="BO477" s="78"/>
      <c r="BP477" s="78"/>
      <c r="BQ477" s="78"/>
      <c r="BR477" s="78"/>
      <c r="BS477" s="78"/>
      <c r="BT477" s="78"/>
      <c r="BU477" s="78"/>
      <c r="BV477" s="78"/>
      <c r="BW477" s="78"/>
      <c r="BX477" s="78"/>
      <c r="BY477" s="78"/>
      <c r="BZ477" s="78"/>
      <c r="CA477" s="78"/>
      <c r="CB477" s="78"/>
      <c r="CC477" s="78"/>
      <c r="CD477" s="78"/>
      <c r="CE477" s="78"/>
      <c r="CF477" s="78"/>
      <c r="CG477" s="78"/>
      <c r="CH477" s="78"/>
      <c r="CI477" s="78"/>
      <c r="CJ477" s="78"/>
      <c r="CK477" s="78"/>
      <c r="CL477" s="78"/>
      <c r="CM477" s="78"/>
      <c r="CN477" s="78"/>
      <c r="CO477" s="78"/>
      <c r="CP477" s="78"/>
      <c r="CQ477" s="78"/>
      <c r="CR477" s="78"/>
      <c r="CS477" s="78"/>
      <c r="CT477" s="78"/>
      <c r="CU477" s="78"/>
      <c r="CV477" s="78"/>
      <c r="CW477" s="78"/>
      <c r="CX477" s="78"/>
      <c r="CY477" s="78"/>
      <c r="CZ477" s="78"/>
      <c r="DA477" s="78"/>
      <c r="DB477" s="78"/>
      <c r="DC477" s="78"/>
      <c r="DD477" s="78"/>
      <c r="DE477" s="78"/>
      <c r="DF477" s="78"/>
      <c r="DG477" s="78"/>
      <c r="DH477" s="78"/>
      <c r="DI477" s="78"/>
      <c r="DJ477" s="78"/>
      <c r="DK477" s="78"/>
      <c r="DL477" s="78"/>
      <c r="DM477" s="78"/>
      <c r="DN477" s="78"/>
      <c r="DO477" s="78"/>
      <c r="DP477" s="78"/>
      <c r="DQ477" s="78"/>
      <c r="DR477" s="78"/>
      <c r="DS477" s="78"/>
      <c r="DT477" s="78"/>
      <c r="DU477" s="78"/>
      <c r="DV477" s="78"/>
      <c r="DW477" s="78"/>
      <c r="DX477" s="78"/>
      <c r="DY477" s="78"/>
      <c r="DZ477" s="78"/>
      <c r="EA477" s="78"/>
      <c r="EB477" s="78"/>
      <c r="EC477" s="78"/>
      <c r="ED477" s="78"/>
      <c r="EE477" s="78"/>
      <c r="EF477" s="78"/>
      <c r="EG477" s="78"/>
      <c r="EH477" s="78"/>
      <c r="EI477" s="91"/>
      <c r="EJ477" s="91"/>
      <c r="EK477" s="91"/>
      <c r="EL477" s="91"/>
      <c r="EM477" s="91"/>
      <c r="EN477" s="91"/>
      <c r="EO477" s="91"/>
      <c r="EP477" s="78"/>
      <c r="EQ477" s="78"/>
      <c r="ER477" s="78"/>
      <c r="ES477" s="78"/>
      <c r="ET477" s="78"/>
      <c r="EU477" s="78"/>
      <c r="EV477" s="78"/>
      <c r="EW477" s="78"/>
      <c r="EX477" s="78"/>
      <c r="EY477" s="78"/>
      <c r="EZ477" s="78"/>
      <c r="FA477" s="78"/>
      <c r="FB477" s="78"/>
      <c r="FC477" s="78"/>
      <c r="FD477" s="78"/>
      <c r="FE477" s="78"/>
      <c r="FF477" s="78"/>
      <c r="FG477" s="78"/>
      <c r="FH477" s="78"/>
      <c r="FI477" s="78"/>
      <c r="FJ477" s="78"/>
      <c r="FK477" s="78"/>
    </row>
    <row r="478" spans="1:167" hidden="1" outlineLevel="1">
      <c r="A478" s="29" t="str">
        <f t="shared" si="38"/>
        <v>lt003_entitygrp_emssns_scp2</v>
      </c>
      <c r="B478" s="67" t="s">
        <v>26</v>
      </c>
      <c r="C478" s="68" t="s">
        <v>26</v>
      </c>
      <c r="D478" s="64" t="s">
        <v>40</v>
      </c>
      <c r="E478" s="70" t="s">
        <v>335</v>
      </c>
      <c r="F478" s="71" t="s">
        <v>366</v>
      </c>
      <c r="G478" s="64" t="str">
        <f>INDEX(Auxiliar!$B$16:$B$24,MATCH(Plano_V1!H478,Auxiliar!$C$16:$C$24,0),1)</f>
        <v>1. Concluído</v>
      </c>
      <c r="H478" s="64">
        <f>VLOOKUP(A478,'Aux - pivots1'!$A:$B,2,0)</f>
        <v>1</v>
      </c>
      <c r="I478" s="84">
        <f>SUMIFS(Table1[Estimação (horas)],Table1[Tabela],Plano_V1!E478,Table1[Campo],Plano_V1!F478)</f>
        <v>4.0999999999999996</v>
      </c>
      <c r="J478" s="84">
        <f t="shared" si="37"/>
        <v>0.51249999999999996</v>
      </c>
      <c r="K478" s="87" t="s">
        <v>337</v>
      </c>
      <c r="M478" s="78"/>
      <c r="N478" s="78"/>
      <c r="O478" s="78"/>
      <c r="P478" s="78"/>
      <c r="Q478" s="78"/>
      <c r="R478" s="78"/>
      <c r="S478" s="78"/>
      <c r="T478" s="78"/>
      <c r="U478" s="78"/>
      <c r="V478" s="78"/>
      <c r="W478" s="78"/>
      <c r="X478" s="78"/>
      <c r="Y478" s="78"/>
      <c r="Z478" s="78"/>
      <c r="AA478" s="78"/>
      <c r="AB478" s="78"/>
      <c r="AC478" s="78"/>
      <c r="AD478" s="78"/>
      <c r="AE478" s="78"/>
      <c r="AF478" s="78"/>
      <c r="AG478" s="78"/>
      <c r="AH478" s="78"/>
      <c r="AI478" s="78"/>
      <c r="AJ478" s="78"/>
      <c r="AK478" s="78"/>
      <c r="AL478" s="78"/>
      <c r="AM478" s="78"/>
      <c r="AN478" s="78"/>
      <c r="AO478" s="78"/>
      <c r="AP478" s="78"/>
      <c r="AQ478" s="78"/>
      <c r="AR478" s="78"/>
      <c r="AS478" s="78"/>
      <c r="AT478" s="91"/>
      <c r="AU478" s="78"/>
      <c r="AV478" s="78"/>
      <c r="AW478" s="78"/>
      <c r="AX478" s="78"/>
      <c r="AY478" s="78"/>
      <c r="AZ478" s="78"/>
      <c r="BA478" s="78"/>
      <c r="BB478" s="78"/>
      <c r="BC478" s="78"/>
      <c r="BD478" s="78"/>
      <c r="BE478" s="78"/>
      <c r="BF478" s="78"/>
      <c r="BG478" s="78"/>
      <c r="BH478" s="78"/>
      <c r="BI478" s="78"/>
      <c r="BJ478" s="78"/>
      <c r="BK478" s="78"/>
      <c r="BL478" s="78"/>
      <c r="BM478" s="78"/>
      <c r="BN478" s="78"/>
      <c r="BO478" s="78"/>
      <c r="BP478" s="78"/>
      <c r="BQ478" s="78"/>
      <c r="BR478" s="78"/>
      <c r="BS478" s="78"/>
      <c r="BT478" s="78"/>
      <c r="BU478" s="78"/>
      <c r="BV478" s="78"/>
      <c r="BW478" s="78"/>
      <c r="BX478" s="78"/>
      <c r="BY478" s="78"/>
      <c r="BZ478" s="78"/>
      <c r="CA478" s="78"/>
      <c r="CB478" s="78"/>
      <c r="CC478" s="78"/>
      <c r="CD478" s="78"/>
      <c r="CE478" s="78"/>
      <c r="CF478" s="78"/>
      <c r="CG478" s="78"/>
      <c r="CH478" s="78"/>
      <c r="CI478" s="78"/>
      <c r="CJ478" s="78"/>
      <c r="CK478" s="78"/>
      <c r="CL478" s="78"/>
      <c r="CM478" s="78"/>
      <c r="CN478" s="78"/>
      <c r="CO478" s="78"/>
      <c r="CP478" s="78"/>
      <c r="CQ478" s="78"/>
      <c r="CR478" s="78"/>
      <c r="CS478" s="78"/>
      <c r="CT478" s="78"/>
      <c r="CU478" s="78"/>
      <c r="CV478" s="78"/>
      <c r="CW478" s="78"/>
      <c r="CX478" s="78"/>
      <c r="CY478" s="78"/>
      <c r="CZ478" s="78"/>
      <c r="DA478" s="78"/>
      <c r="DB478" s="78"/>
      <c r="DC478" s="78"/>
      <c r="DD478" s="78"/>
      <c r="DE478" s="78"/>
      <c r="DF478" s="78"/>
      <c r="DG478" s="78"/>
      <c r="DH478" s="78"/>
      <c r="DI478" s="78"/>
      <c r="DJ478" s="78"/>
      <c r="DK478" s="78"/>
      <c r="DL478" s="78"/>
      <c r="DM478" s="78"/>
      <c r="DN478" s="78"/>
      <c r="DO478" s="78"/>
      <c r="DP478" s="78"/>
      <c r="DQ478" s="78"/>
      <c r="DR478" s="78"/>
      <c r="DS478" s="78"/>
      <c r="DT478" s="78"/>
      <c r="DU478" s="78"/>
      <c r="DV478" s="78"/>
      <c r="DW478" s="78"/>
      <c r="DX478" s="78"/>
      <c r="DY478" s="78"/>
      <c r="DZ478" s="78"/>
      <c r="EA478" s="78"/>
      <c r="EB478" s="78"/>
      <c r="EC478" s="78"/>
      <c r="ED478" s="78"/>
      <c r="EE478" s="78"/>
      <c r="EF478" s="78"/>
      <c r="EG478" s="78"/>
      <c r="EH478" s="78"/>
      <c r="EI478" s="91"/>
      <c r="EJ478" s="91"/>
      <c r="EK478" s="91"/>
      <c r="EL478" s="91"/>
      <c r="EM478" s="91"/>
      <c r="EN478" s="91"/>
      <c r="EO478" s="91"/>
      <c r="EP478" s="78"/>
      <c r="EQ478" s="78"/>
      <c r="ER478" s="78"/>
      <c r="ES478" s="78"/>
      <c r="ET478" s="78"/>
      <c r="EU478" s="78"/>
      <c r="EV478" s="78"/>
      <c r="EW478" s="78"/>
      <c r="EX478" s="78"/>
      <c r="EY478" s="78"/>
      <c r="EZ478" s="78"/>
      <c r="FA478" s="78"/>
      <c r="FB478" s="78"/>
      <c r="FC478" s="78"/>
      <c r="FD478" s="78"/>
      <c r="FE478" s="78"/>
      <c r="FF478" s="78"/>
      <c r="FG478" s="78"/>
      <c r="FH478" s="78"/>
      <c r="FI478" s="78"/>
      <c r="FJ478" s="78"/>
      <c r="FK478" s="78"/>
    </row>
    <row r="479" spans="1:167" hidden="1" outlineLevel="1">
      <c r="A479" s="29" t="str">
        <f t="shared" si="38"/>
        <v>lt003_entitygrp_emssns_scp3</v>
      </c>
      <c r="B479" s="67" t="s">
        <v>26</v>
      </c>
      <c r="C479" s="68" t="s">
        <v>26</v>
      </c>
      <c r="D479" s="64" t="s">
        <v>40</v>
      </c>
      <c r="E479" s="70" t="s">
        <v>335</v>
      </c>
      <c r="F479" s="71" t="s">
        <v>367</v>
      </c>
      <c r="G479" s="64" t="str">
        <f>INDEX(Auxiliar!$B$16:$B$24,MATCH(Plano_V1!H479,Auxiliar!$C$16:$C$24,0),1)</f>
        <v>1. Concluído</v>
      </c>
      <c r="H479" s="64">
        <f>VLOOKUP(A479,'Aux - pivots1'!$A:$B,2,0)</f>
        <v>1</v>
      </c>
      <c r="I479" s="84">
        <f>SUMIFS(Table1[Estimação (horas)],Table1[Tabela],Plano_V1!E479,Table1[Campo],Plano_V1!F479)</f>
        <v>4.0999999999999996</v>
      </c>
      <c r="J479" s="84">
        <f t="shared" si="37"/>
        <v>0.51249999999999996</v>
      </c>
      <c r="K479" s="87" t="s">
        <v>337</v>
      </c>
      <c r="M479" s="78"/>
      <c r="N479" s="78"/>
      <c r="O479" s="78"/>
      <c r="P479" s="78"/>
      <c r="Q479" s="78"/>
      <c r="R479" s="78"/>
      <c r="S479" s="78"/>
      <c r="T479" s="78"/>
      <c r="U479" s="78"/>
      <c r="V479" s="78"/>
      <c r="W479" s="78"/>
      <c r="X479" s="78"/>
      <c r="Y479" s="78"/>
      <c r="Z479" s="78"/>
      <c r="AA479" s="78"/>
      <c r="AB479" s="78"/>
      <c r="AC479" s="78"/>
      <c r="AD479" s="78"/>
      <c r="AE479" s="78"/>
      <c r="AF479" s="78"/>
      <c r="AG479" s="78"/>
      <c r="AH479" s="78"/>
      <c r="AI479" s="78"/>
      <c r="AJ479" s="78"/>
      <c r="AK479" s="78"/>
      <c r="AL479" s="78"/>
      <c r="AM479" s="78"/>
      <c r="AN479" s="78"/>
      <c r="AO479" s="78"/>
      <c r="AP479" s="78"/>
      <c r="AQ479" s="78"/>
      <c r="AR479" s="78"/>
      <c r="AS479" s="78"/>
      <c r="AT479" s="91"/>
      <c r="AU479" s="78"/>
      <c r="AV479" s="78"/>
      <c r="AW479" s="78"/>
      <c r="AX479" s="78"/>
      <c r="AY479" s="78"/>
      <c r="AZ479" s="78"/>
      <c r="BA479" s="78"/>
      <c r="BB479" s="78"/>
      <c r="BC479" s="78"/>
      <c r="BD479" s="78"/>
      <c r="BE479" s="78"/>
      <c r="BF479" s="78"/>
      <c r="BG479" s="78"/>
      <c r="BH479" s="78"/>
      <c r="BI479" s="78"/>
      <c r="BJ479" s="78"/>
      <c r="BK479" s="78"/>
      <c r="BL479" s="78"/>
      <c r="BM479" s="78"/>
      <c r="BN479" s="78"/>
      <c r="BO479" s="78"/>
      <c r="BP479" s="78"/>
      <c r="BQ479" s="78"/>
      <c r="BR479" s="78"/>
      <c r="BS479" s="78"/>
      <c r="BT479" s="78"/>
      <c r="BU479" s="78"/>
      <c r="BV479" s="78"/>
      <c r="BW479" s="78"/>
      <c r="BX479" s="78"/>
      <c r="BY479" s="78"/>
      <c r="BZ479" s="78"/>
      <c r="CA479" s="78"/>
      <c r="CB479" s="78"/>
      <c r="CC479" s="78"/>
      <c r="CD479" s="78"/>
      <c r="CE479" s="78"/>
      <c r="CF479" s="78"/>
      <c r="CG479" s="78"/>
      <c r="CH479" s="78"/>
      <c r="CI479" s="78"/>
      <c r="CJ479" s="78"/>
      <c r="CK479" s="78"/>
      <c r="CL479" s="78"/>
      <c r="CM479" s="78"/>
      <c r="CN479" s="78"/>
      <c r="CO479" s="78"/>
      <c r="CP479" s="78"/>
      <c r="CQ479" s="78"/>
      <c r="CR479" s="78"/>
      <c r="CS479" s="78"/>
      <c r="CT479" s="78"/>
      <c r="CU479" s="78"/>
      <c r="CV479" s="78"/>
      <c r="CW479" s="78"/>
      <c r="CX479" s="78"/>
      <c r="CY479" s="78"/>
      <c r="CZ479" s="78"/>
      <c r="DA479" s="78"/>
      <c r="DB479" s="78"/>
      <c r="DC479" s="78"/>
      <c r="DD479" s="78"/>
      <c r="DE479" s="78"/>
      <c r="DF479" s="78"/>
      <c r="DG479" s="78"/>
      <c r="DH479" s="78"/>
      <c r="DI479" s="78"/>
      <c r="DJ479" s="78"/>
      <c r="DK479" s="78"/>
      <c r="DL479" s="78"/>
      <c r="DM479" s="78"/>
      <c r="DN479" s="78"/>
      <c r="DO479" s="78"/>
      <c r="DP479" s="78"/>
      <c r="DQ479" s="78"/>
      <c r="DR479" s="78"/>
      <c r="DS479" s="78"/>
      <c r="DT479" s="78"/>
      <c r="DU479" s="78"/>
      <c r="DV479" s="78"/>
      <c r="DW479" s="78"/>
      <c r="DX479" s="78"/>
      <c r="DY479" s="78"/>
      <c r="DZ479" s="78"/>
      <c r="EA479" s="78"/>
      <c r="EB479" s="78"/>
      <c r="EC479" s="78"/>
      <c r="ED479" s="78"/>
      <c r="EE479" s="78"/>
      <c r="EF479" s="78"/>
      <c r="EG479" s="78"/>
      <c r="EH479" s="78"/>
      <c r="EI479" s="91"/>
      <c r="EJ479" s="91"/>
      <c r="EK479" s="91"/>
      <c r="EL479" s="91"/>
      <c r="EM479" s="91"/>
      <c r="EN479" s="91"/>
      <c r="EO479" s="91"/>
      <c r="EP479" s="78"/>
      <c r="EQ479" s="78"/>
      <c r="ER479" s="78"/>
      <c r="ES479" s="78"/>
      <c r="ET479" s="78"/>
      <c r="EU479" s="78"/>
      <c r="EV479" s="78"/>
      <c r="EW479" s="78"/>
      <c r="EX479" s="78"/>
      <c r="EY479" s="78"/>
      <c r="EZ479" s="78"/>
      <c r="FA479" s="78"/>
      <c r="FB479" s="78"/>
      <c r="FC479" s="78"/>
      <c r="FD479" s="78"/>
      <c r="FE479" s="78"/>
      <c r="FF479" s="78"/>
      <c r="FG479" s="78"/>
      <c r="FH479" s="78"/>
      <c r="FI479" s="78"/>
      <c r="FJ479" s="78"/>
      <c r="FK479" s="78"/>
    </row>
    <row r="480" spans="1:167" hidden="1" outlineLevel="1">
      <c r="A480" s="29" t="str">
        <f t="shared" si="38"/>
        <v>lt004_protectiontyp_ep_scr</v>
      </c>
      <c r="B480" s="67" t="s">
        <v>26</v>
      </c>
      <c r="C480" s="68" t="s">
        <v>26</v>
      </c>
      <c r="D480" s="64" t="s">
        <v>40</v>
      </c>
      <c r="E480" s="70" t="s">
        <v>368</v>
      </c>
      <c r="F480" s="71" t="s">
        <v>369</v>
      </c>
      <c r="G480" s="64" t="str">
        <f>INDEX(Auxiliar!$B$16:$B$24,MATCH(Plano_V1!H480,Auxiliar!$C$16:$C$24,0),1)</f>
        <v>1. Concluído</v>
      </c>
      <c r="H480" s="64">
        <f>VLOOKUP(A480,'Aux - pivots1'!$A:$B,2,0)</f>
        <v>1</v>
      </c>
      <c r="I480" s="84">
        <f>SUMIFS(Table1[Estimação (horas)],Table1[Tabela],Plano_V1!E480,Table1[Campo],Plano_V1!F480)</f>
        <v>4.0999999999999996</v>
      </c>
      <c r="J480" s="84">
        <f t="shared" si="37"/>
        <v>0.51249999999999996</v>
      </c>
      <c r="K480" s="89" t="s">
        <v>39</v>
      </c>
      <c r="M480" s="78"/>
      <c r="N480" s="78"/>
      <c r="O480" s="78"/>
      <c r="P480" s="78"/>
      <c r="Q480" s="78"/>
      <c r="R480" s="78"/>
      <c r="S480" s="78"/>
      <c r="T480" s="78"/>
      <c r="U480" s="78"/>
      <c r="V480" s="78"/>
      <c r="W480" s="78"/>
      <c r="X480" s="78"/>
      <c r="Y480" s="78"/>
      <c r="Z480" s="78"/>
      <c r="AA480" s="78"/>
      <c r="AB480" s="78"/>
      <c r="AC480" s="78"/>
      <c r="AD480" s="78"/>
      <c r="AE480" s="78"/>
      <c r="AF480" s="78"/>
      <c r="AG480" s="78"/>
      <c r="AH480" s="78"/>
      <c r="AI480" s="78"/>
      <c r="AJ480" s="78"/>
      <c r="AK480" s="78"/>
      <c r="AL480" s="78"/>
      <c r="AM480" s="78"/>
      <c r="AN480" s="78"/>
      <c r="AO480" s="78"/>
      <c r="AP480" s="78"/>
      <c r="AQ480" s="78"/>
      <c r="AR480" s="78"/>
      <c r="AS480" s="78"/>
      <c r="AT480" s="91"/>
      <c r="AU480" s="78"/>
      <c r="AV480" s="78"/>
      <c r="AW480" s="78"/>
      <c r="AX480" s="78"/>
      <c r="AY480" s="78"/>
      <c r="AZ480" s="78"/>
      <c r="BA480" s="78"/>
      <c r="BB480" s="78"/>
      <c r="BC480" s="78"/>
      <c r="BD480" s="78"/>
      <c r="BE480" s="78"/>
      <c r="BF480" s="78"/>
      <c r="BG480" s="78"/>
      <c r="BH480" s="78"/>
      <c r="BI480" s="78"/>
      <c r="BJ480" s="78"/>
      <c r="BK480" s="78"/>
      <c r="BL480" s="78"/>
      <c r="BM480" s="78"/>
      <c r="BN480" s="78"/>
      <c r="BO480" s="78"/>
      <c r="BP480" s="78"/>
      <c r="BQ480" s="78"/>
      <c r="BR480" s="78"/>
      <c r="BS480" s="78"/>
      <c r="BT480" s="78"/>
      <c r="BU480" s="78"/>
      <c r="BV480" s="78"/>
      <c r="BW480" s="78"/>
      <c r="BX480" s="78"/>
      <c r="BY480" s="78"/>
      <c r="BZ480" s="78"/>
      <c r="CA480" s="78"/>
      <c r="CB480" s="78"/>
      <c r="CC480" s="78"/>
      <c r="CD480" s="78"/>
      <c r="CE480" s="78"/>
      <c r="CF480" s="78"/>
      <c r="CG480" s="78"/>
      <c r="CH480" s="78"/>
      <c r="CI480" s="78"/>
      <c r="CJ480" s="78"/>
      <c r="CK480" s="78"/>
      <c r="CL480" s="78"/>
      <c r="CM480" s="78"/>
      <c r="CN480" s="78"/>
      <c r="CO480" s="78"/>
      <c r="CP480" s="78"/>
      <c r="CQ480" s="78"/>
      <c r="CR480" s="78"/>
      <c r="CS480" s="78"/>
      <c r="CT480" s="78"/>
      <c r="CU480" s="78"/>
      <c r="CV480" s="78"/>
      <c r="CW480" s="78"/>
      <c r="CX480" s="78"/>
      <c r="CY480" s="78"/>
      <c r="CZ480" s="78"/>
      <c r="DA480" s="78"/>
      <c r="DB480" s="78"/>
      <c r="DC480" s="78"/>
      <c r="DD480" s="78"/>
      <c r="DE480" s="78"/>
      <c r="DF480" s="78"/>
      <c r="DG480" s="78"/>
      <c r="DH480" s="78"/>
      <c r="DI480" s="78"/>
      <c r="DJ480" s="78"/>
      <c r="DK480" s="78"/>
      <c r="DL480" s="78"/>
      <c r="DM480" s="78"/>
      <c r="DN480" s="78"/>
      <c r="DO480" s="78"/>
      <c r="DP480" s="78"/>
      <c r="DQ480" s="78"/>
      <c r="DR480" s="78"/>
      <c r="DS480" s="78"/>
      <c r="DT480" s="78"/>
      <c r="DU480" s="78"/>
      <c r="DV480" s="78"/>
      <c r="DW480" s="78"/>
      <c r="DX480" s="78"/>
      <c r="DY480" s="78"/>
      <c r="DZ480" s="78"/>
      <c r="EA480" s="78"/>
      <c r="EB480" s="78"/>
      <c r="EC480" s="78"/>
      <c r="ED480" s="78"/>
      <c r="EE480" s="78"/>
      <c r="EF480" s="78"/>
      <c r="EG480" s="78"/>
      <c r="EH480" s="78"/>
      <c r="EI480" s="91"/>
      <c r="EJ480" s="91"/>
      <c r="EK480" s="91"/>
      <c r="EL480" s="91"/>
      <c r="EM480" s="91"/>
      <c r="EN480" s="91"/>
      <c r="EO480" s="91"/>
      <c r="EP480" s="78"/>
      <c r="EQ480" s="78"/>
      <c r="ER480" s="78"/>
      <c r="ES480" s="78"/>
      <c r="ET480" s="78"/>
      <c r="EU480" s="78"/>
      <c r="EV480" s="78"/>
      <c r="EW480" s="78"/>
      <c r="EX480" s="78"/>
      <c r="EY480" s="78"/>
      <c r="EZ480" s="78"/>
      <c r="FA480" s="78"/>
      <c r="FB480" s="78"/>
      <c r="FC480" s="78"/>
      <c r="FD480" s="78"/>
      <c r="FE480" s="78"/>
      <c r="FF480" s="78"/>
      <c r="FG480" s="78"/>
      <c r="FH480" s="78"/>
      <c r="FI480" s="78"/>
      <c r="FJ480" s="78"/>
      <c r="FK480" s="78"/>
    </row>
    <row r="481" spans="1:167" hidden="1" outlineLevel="1">
      <c r="A481" s="29" t="str">
        <f t="shared" si="38"/>
        <v>lt004_protectionep_scr</v>
      </c>
      <c r="B481" s="67" t="s">
        <v>26</v>
      </c>
      <c r="C481" s="68" t="s">
        <v>26</v>
      </c>
      <c r="D481" s="64" t="s">
        <v>40</v>
      </c>
      <c r="E481" s="70" t="s">
        <v>368</v>
      </c>
      <c r="F481" s="71" t="s">
        <v>370</v>
      </c>
      <c r="G481" s="64" t="str">
        <f>INDEX(Auxiliar!$B$16:$B$24,MATCH(Plano_V1!H481,Auxiliar!$C$16:$C$24,0),1)</f>
        <v>1. Concluído</v>
      </c>
      <c r="H481" s="64">
        <f>VLOOKUP(A481,'Aux - pivots1'!$A:$B,2,0)</f>
        <v>1</v>
      </c>
      <c r="I481" s="84">
        <f>SUMIFS(Table1[Estimação (horas)],Table1[Tabela],Plano_V1!E481,Table1[Campo],Plano_V1!F481)</f>
        <v>4.0999999999999996</v>
      </c>
      <c r="J481" s="84">
        <f t="shared" si="37"/>
        <v>0.51249999999999996</v>
      </c>
      <c r="K481" s="89" t="s">
        <v>39</v>
      </c>
      <c r="M481" s="78"/>
      <c r="N481" s="78"/>
      <c r="O481" s="78"/>
      <c r="P481" s="78"/>
      <c r="Q481" s="78"/>
      <c r="R481" s="78"/>
      <c r="S481" s="78"/>
      <c r="T481" s="78"/>
      <c r="U481" s="78"/>
      <c r="V481" s="78"/>
      <c r="W481" s="78"/>
      <c r="X481" s="78"/>
      <c r="Y481" s="78"/>
      <c r="Z481" s="78"/>
      <c r="AA481" s="78"/>
      <c r="AB481" s="78"/>
      <c r="AC481" s="78"/>
      <c r="AD481" s="78"/>
      <c r="AE481" s="78"/>
      <c r="AF481" s="78"/>
      <c r="AG481" s="78"/>
      <c r="AH481" s="78"/>
      <c r="AI481" s="78"/>
      <c r="AJ481" s="78"/>
      <c r="AK481" s="78"/>
      <c r="AL481" s="78"/>
      <c r="AM481" s="78"/>
      <c r="AN481" s="78"/>
      <c r="AO481" s="78"/>
      <c r="AP481" s="78"/>
      <c r="AQ481" s="78"/>
      <c r="AR481" s="78"/>
      <c r="AS481" s="78"/>
      <c r="AT481" s="91"/>
      <c r="AU481" s="78"/>
      <c r="AV481" s="78"/>
      <c r="AW481" s="78"/>
      <c r="AX481" s="78"/>
      <c r="AY481" s="78"/>
      <c r="AZ481" s="78"/>
      <c r="BA481" s="78"/>
      <c r="BB481" s="78"/>
      <c r="BC481" s="78"/>
      <c r="BD481" s="78"/>
      <c r="BE481" s="78"/>
      <c r="BF481" s="78"/>
      <c r="BG481" s="78"/>
      <c r="BH481" s="78"/>
      <c r="BI481" s="78"/>
      <c r="BJ481" s="78"/>
      <c r="BK481" s="78"/>
      <c r="BL481" s="78"/>
      <c r="BM481" s="78"/>
      <c r="BN481" s="78"/>
      <c r="BO481" s="78"/>
      <c r="BP481" s="78"/>
      <c r="BQ481" s="78"/>
      <c r="BR481" s="78"/>
      <c r="BS481" s="78"/>
      <c r="BT481" s="78"/>
      <c r="BU481" s="78"/>
      <c r="BV481" s="78"/>
      <c r="BW481" s="78"/>
      <c r="BX481" s="78"/>
      <c r="BY481" s="78"/>
      <c r="BZ481" s="78"/>
      <c r="CA481" s="78"/>
      <c r="CB481" s="78"/>
      <c r="CC481" s="78"/>
      <c r="CD481" s="78"/>
      <c r="CE481" s="78"/>
      <c r="CF481" s="78"/>
      <c r="CG481" s="78"/>
      <c r="CH481" s="78"/>
      <c r="CI481" s="78"/>
      <c r="CJ481" s="78"/>
      <c r="CK481" s="78"/>
      <c r="CL481" s="78"/>
      <c r="CM481" s="78"/>
      <c r="CN481" s="78"/>
      <c r="CO481" s="78"/>
      <c r="CP481" s="78"/>
      <c r="CQ481" s="78"/>
      <c r="CR481" s="78"/>
      <c r="CS481" s="78"/>
      <c r="CT481" s="78"/>
      <c r="CU481" s="78"/>
      <c r="CV481" s="78"/>
      <c r="CW481" s="78"/>
      <c r="CX481" s="78"/>
      <c r="CY481" s="78"/>
      <c r="CZ481" s="78"/>
      <c r="DA481" s="78"/>
      <c r="DB481" s="78"/>
      <c r="DC481" s="78"/>
      <c r="DD481" s="78"/>
      <c r="DE481" s="78"/>
      <c r="DF481" s="78"/>
      <c r="DG481" s="78"/>
      <c r="DH481" s="78"/>
      <c r="DI481" s="78"/>
      <c r="DJ481" s="78"/>
      <c r="DK481" s="78"/>
      <c r="DL481" s="78"/>
      <c r="DM481" s="78"/>
      <c r="DN481" s="78"/>
      <c r="DO481" s="78"/>
      <c r="DP481" s="78"/>
      <c r="DQ481" s="78"/>
      <c r="DR481" s="78"/>
      <c r="DS481" s="78"/>
      <c r="DT481" s="78"/>
      <c r="DU481" s="78"/>
      <c r="DV481" s="78"/>
      <c r="DW481" s="78"/>
      <c r="DX481" s="78"/>
      <c r="DY481" s="78"/>
      <c r="DZ481" s="78"/>
      <c r="EA481" s="78"/>
      <c r="EB481" s="78"/>
      <c r="EC481" s="78"/>
      <c r="ED481" s="78"/>
      <c r="EE481" s="78"/>
      <c r="EF481" s="78"/>
      <c r="EG481" s="78"/>
      <c r="EH481" s="78"/>
      <c r="EI481" s="91"/>
      <c r="EJ481" s="91"/>
      <c r="EK481" s="91"/>
      <c r="EL481" s="91"/>
      <c r="EM481" s="91"/>
      <c r="EN481" s="91"/>
      <c r="EO481" s="91"/>
      <c r="EP481" s="78"/>
      <c r="EQ481" s="78"/>
      <c r="ER481" s="78"/>
      <c r="ES481" s="78"/>
      <c r="ET481" s="78"/>
      <c r="EU481" s="78"/>
      <c r="EV481" s="78"/>
      <c r="EW481" s="78"/>
      <c r="EX481" s="78"/>
      <c r="EY481" s="78"/>
      <c r="EZ481" s="78"/>
      <c r="FA481" s="78"/>
      <c r="FB481" s="78"/>
      <c r="FC481" s="78"/>
      <c r="FD481" s="78"/>
      <c r="FE481" s="78"/>
      <c r="FF481" s="78"/>
      <c r="FG481" s="78"/>
      <c r="FH481" s="78"/>
      <c r="FI481" s="78"/>
      <c r="FJ481" s="78"/>
      <c r="FK481" s="78"/>
    </row>
    <row r="482" spans="1:167" hidden="1" outlineLevel="1">
      <c r="A482" s="29" t="str">
        <f t="shared" si="38"/>
        <v>lt004_protectiontyp_epc_lbl</v>
      </c>
      <c r="B482" s="67" t="s">
        <v>26</v>
      </c>
      <c r="C482" s="68" t="s">
        <v>26</v>
      </c>
      <c r="D482" s="64" t="s">
        <v>40</v>
      </c>
      <c r="E482" s="70" t="s">
        <v>368</v>
      </c>
      <c r="F482" s="71" t="s">
        <v>371</v>
      </c>
      <c r="G482" s="64" t="str">
        <f>INDEX(Auxiliar!$B$16:$B$24,MATCH(Plano_V1!H482,Auxiliar!$C$16:$C$24,0),1)</f>
        <v>1. Concluído</v>
      </c>
      <c r="H482" s="64">
        <f>VLOOKUP(A482,'Aux - pivots1'!$A:$B,2,0)</f>
        <v>1</v>
      </c>
      <c r="I482" s="84">
        <f>SUMIFS(Table1[Estimação (horas)],Table1[Tabela],Plano_V1!E482,Table1[Campo],Plano_V1!F482)</f>
        <v>4.0999999999999996</v>
      </c>
      <c r="J482" s="84">
        <f t="shared" si="37"/>
        <v>0.51249999999999996</v>
      </c>
      <c r="K482" s="89" t="s">
        <v>39</v>
      </c>
      <c r="M482" s="78"/>
      <c r="N482" s="78"/>
      <c r="O482" s="78"/>
      <c r="P482" s="78"/>
      <c r="Q482" s="78"/>
      <c r="R482" s="78"/>
      <c r="S482" s="78"/>
      <c r="T482" s="78"/>
      <c r="U482" s="78"/>
      <c r="V482" s="78"/>
      <c r="W482" s="78"/>
      <c r="X482" s="78"/>
      <c r="Y482" s="78"/>
      <c r="Z482" s="78"/>
      <c r="AA482" s="78"/>
      <c r="AB482" s="78"/>
      <c r="AC482" s="78"/>
      <c r="AD482" s="78"/>
      <c r="AE482" s="78"/>
      <c r="AF482" s="78"/>
      <c r="AG482" s="78"/>
      <c r="AH482" s="78"/>
      <c r="AI482" s="78"/>
      <c r="AJ482" s="78"/>
      <c r="AK482" s="78"/>
      <c r="AL482" s="78"/>
      <c r="AM482" s="78"/>
      <c r="AN482" s="78"/>
      <c r="AO482" s="78"/>
      <c r="AP482" s="78"/>
      <c r="AQ482" s="78"/>
      <c r="AR482" s="78"/>
      <c r="AS482" s="78"/>
      <c r="AT482" s="91"/>
      <c r="AU482" s="78"/>
      <c r="AV482" s="78"/>
      <c r="AW482" s="78"/>
      <c r="AX482" s="78"/>
      <c r="AY482" s="78"/>
      <c r="AZ482" s="78"/>
      <c r="BA482" s="78"/>
      <c r="BB482" s="78"/>
      <c r="BC482" s="78"/>
      <c r="BD482" s="78"/>
      <c r="BE482" s="78"/>
      <c r="BF482" s="78"/>
      <c r="BG482" s="78"/>
      <c r="BH482" s="78"/>
      <c r="BI482" s="78"/>
      <c r="BJ482" s="78"/>
      <c r="BK482" s="78"/>
      <c r="BL482" s="78"/>
      <c r="BM482" s="78"/>
      <c r="BN482" s="78"/>
      <c r="BO482" s="78"/>
      <c r="BP482" s="78"/>
      <c r="BQ482" s="78"/>
      <c r="BR482" s="78"/>
      <c r="BS482" s="78"/>
      <c r="BT482" s="78"/>
      <c r="BU482" s="78"/>
      <c r="BV482" s="78"/>
      <c r="BW482" s="78"/>
      <c r="BX482" s="78"/>
      <c r="BY482" s="78"/>
      <c r="BZ482" s="78"/>
      <c r="CA482" s="78"/>
      <c r="CB482" s="78"/>
      <c r="CC482" s="78"/>
      <c r="CD482" s="78"/>
      <c r="CE482" s="78"/>
      <c r="CF482" s="78"/>
      <c r="CG482" s="78"/>
      <c r="CH482" s="78"/>
      <c r="CI482" s="78"/>
      <c r="CJ482" s="78"/>
      <c r="CK482" s="78"/>
      <c r="CL482" s="78"/>
      <c r="CM482" s="78"/>
      <c r="CN482" s="78"/>
      <c r="CO482" s="78"/>
      <c r="CP482" s="78"/>
      <c r="CQ482" s="78"/>
      <c r="CR482" s="78"/>
      <c r="CS482" s="78"/>
      <c r="CT482" s="78"/>
      <c r="CU482" s="78"/>
      <c r="CV482" s="78"/>
      <c r="CW482" s="78"/>
      <c r="CX482" s="78"/>
      <c r="CY482" s="78"/>
      <c r="CZ482" s="78"/>
      <c r="DA482" s="78"/>
      <c r="DB482" s="78"/>
      <c r="DC482" s="78"/>
      <c r="DD482" s="78"/>
      <c r="DE482" s="78"/>
      <c r="DF482" s="78"/>
      <c r="DG482" s="78"/>
      <c r="DH482" s="78"/>
      <c r="DI482" s="78"/>
      <c r="DJ482" s="78"/>
      <c r="DK482" s="78"/>
      <c r="DL482" s="78"/>
      <c r="DM482" s="78"/>
      <c r="DN482" s="78"/>
      <c r="DO482" s="78"/>
      <c r="DP482" s="78"/>
      <c r="DQ482" s="78"/>
      <c r="DR482" s="78"/>
      <c r="DS482" s="78"/>
      <c r="DT482" s="78"/>
      <c r="DU482" s="78"/>
      <c r="DV482" s="78"/>
      <c r="DW482" s="78"/>
      <c r="DX482" s="78"/>
      <c r="DY482" s="78"/>
      <c r="DZ482" s="78"/>
      <c r="EA482" s="78"/>
      <c r="EB482" s="78"/>
      <c r="EC482" s="78"/>
      <c r="ED482" s="78"/>
      <c r="EE482" s="78"/>
      <c r="EF482" s="78"/>
      <c r="EG482" s="78"/>
      <c r="EH482" s="78"/>
      <c r="EI482" s="91"/>
      <c r="EJ482" s="91"/>
      <c r="EK482" s="91"/>
      <c r="EL482" s="91"/>
      <c r="EM482" s="91"/>
      <c r="EN482" s="91"/>
      <c r="EO482" s="91"/>
      <c r="EP482" s="78"/>
      <c r="EQ482" s="78"/>
      <c r="ER482" s="78"/>
      <c r="ES482" s="78"/>
      <c r="ET482" s="78"/>
      <c r="EU482" s="78"/>
      <c r="EV482" s="78"/>
      <c r="EW482" s="78"/>
      <c r="EX482" s="78"/>
      <c r="EY482" s="78"/>
      <c r="EZ482" s="78"/>
      <c r="FA482" s="78"/>
      <c r="FB482" s="78"/>
      <c r="FC482" s="78"/>
      <c r="FD482" s="78"/>
      <c r="FE482" s="78"/>
      <c r="FF482" s="78"/>
      <c r="FG482" s="78"/>
      <c r="FH482" s="78"/>
      <c r="FI482" s="78"/>
      <c r="FJ482" s="78"/>
      <c r="FK482" s="78"/>
    </row>
    <row r="483" spans="1:167" hidden="1" outlineLevel="1">
      <c r="A483" s="29" t="str">
        <f t="shared" si="38"/>
        <v>lt004_protectionepc_lbl</v>
      </c>
      <c r="B483" s="67" t="s">
        <v>26</v>
      </c>
      <c r="C483" s="68" t="s">
        <v>26</v>
      </c>
      <c r="D483" s="64" t="s">
        <v>40</v>
      </c>
      <c r="E483" s="70" t="s">
        <v>368</v>
      </c>
      <c r="F483" s="71" t="s">
        <v>372</v>
      </c>
      <c r="G483" s="64" t="str">
        <f>INDEX(Auxiliar!$B$16:$B$24,MATCH(Plano_V1!H483,Auxiliar!$C$16:$C$24,0),1)</f>
        <v>1. Concluído</v>
      </c>
      <c r="H483" s="64">
        <f>VLOOKUP(A483,'Aux - pivots1'!$A:$B,2,0)</f>
        <v>1</v>
      </c>
      <c r="I483" s="84">
        <f>SUMIFS(Table1[Estimação (horas)],Table1[Tabela],Plano_V1!E483,Table1[Campo],Plano_V1!F483)</f>
        <v>4.0999999999999996</v>
      </c>
      <c r="J483" s="84">
        <f t="shared" si="37"/>
        <v>0.51249999999999996</v>
      </c>
      <c r="K483" s="89" t="s">
        <v>39</v>
      </c>
      <c r="M483" s="78"/>
      <c r="N483" s="78"/>
      <c r="O483" s="78"/>
      <c r="P483" s="78"/>
      <c r="Q483" s="78"/>
      <c r="R483" s="78"/>
      <c r="S483" s="78"/>
      <c r="T483" s="78"/>
      <c r="U483" s="78"/>
      <c r="V483" s="78"/>
      <c r="W483" s="78"/>
      <c r="X483" s="78"/>
      <c r="Y483" s="78"/>
      <c r="Z483" s="78"/>
      <c r="AA483" s="78"/>
      <c r="AB483" s="78"/>
      <c r="AC483" s="78"/>
      <c r="AD483" s="78"/>
      <c r="AE483" s="78"/>
      <c r="AF483" s="78"/>
      <c r="AG483" s="78"/>
      <c r="AH483" s="78"/>
      <c r="AI483" s="78"/>
      <c r="AJ483" s="78"/>
      <c r="AK483" s="78"/>
      <c r="AL483" s="78"/>
      <c r="AM483" s="78"/>
      <c r="AN483" s="78"/>
      <c r="AO483" s="78"/>
      <c r="AP483" s="78"/>
      <c r="AQ483" s="78"/>
      <c r="AR483" s="78"/>
      <c r="AS483" s="78"/>
      <c r="AT483" s="91"/>
      <c r="AU483" s="78"/>
      <c r="AV483" s="78"/>
      <c r="AW483" s="78"/>
      <c r="AX483" s="78"/>
      <c r="AY483" s="78"/>
      <c r="AZ483" s="78"/>
      <c r="BA483" s="78"/>
      <c r="BB483" s="78"/>
      <c r="BC483" s="78"/>
      <c r="BD483" s="78"/>
      <c r="BE483" s="78"/>
      <c r="BF483" s="78"/>
      <c r="BG483" s="78"/>
      <c r="BH483" s="78"/>
      <c r="BI483" s="78"/>
      <c r="BJ483" s="78"/>
      <c r="BK483" s="78"/>
      <c r="BL483" s="78"/>
      <c r="BM483" s="78"/>
      <c r="BN483" s="78"/>
      <c r="BO483" s="78"/>
      <c r="BP483" s="78"/>
      <c r="BQ483" s="78"/>
      <c r="BR483" s="78"/>
      <c r="BS483" s="78"/>
      <c r="BT483" s="78"/>
      <c r="BU483" s="78"/>
      <c r="BV483" s="78"/>
      <c r="BW483" s="78"/>
      <c r="BX483" s="78"/>
      <c r="BY483" s="78"/>
      <c r="BZ483" s="78"/>
      <c r="CA483" s="78"/>
      <c r="CB483" s="78"/>
      <c r="CC483" s="78"/>
      <c r="CD483" s="78"/>
      <c r="CE483" s="78"/>
      <c r="CF483" s="78"/>
      <c r="CG483" s="78"/>
      <c r="CH483" s="78"/>
      <c r="CI483" s="78"/>
      <c r="CJ483" s="78"/>
      <c r="CK483" s="78"/>
      <c r="CL483" s="78"/>
      <c r="CM483" s="78"/>
      <c r="CN483" s="78"/>
      <c r="CO483" s="78"/>
      <c r="CP483" s="78"/>
      <c r="CQ483" s="78"/>
      <c r="CR483" s="78"/>
      <c r="CS483" s="78"/>
      <c r="CT483" s="78"/>
      <c r="CU483" s="78"/>
      <c r="CV483" s="78"/>
      <c r="CW483" s="78"/>
      <c r="CX483" s="78"/>
      <c r="CY483" s="78"/>
      <c r="CZ483" s="78"/>
      <c r="DA483" s="78"/>
      <c r="DB483" s="78"/>
      <c r="DC483" s="78"/>
      <c r="DD483" s="78"/>
      <c r="DE483" s="78"/>
      <c r="DF483" s="78"/>
      <c r="DG483" s="78"/>
      <c r="DH483" s="78"/>
      <c r="DI483" s="78"/>
      <c r="DJ483" s="78"/>
      <c r="DK483" s="78"/>
      <c r="DL483" s="78"/>
      <c r="DM483" s="78"/>
      <c r="DN483" s="78"/>
      <c r="DO483" s="78"/>
      <c r="DP483" s="78"/>
      <c r="DQ483" s="78"/>
      <c r="DR483" s="78"/>
      <c r="DS483" s="78"/>
      <c r="DT483" s="78"/>
      <c r="DU483" s="78"/>
      <c r="DV483" s="78"/>
      <c r="DW483" s="78"/>
      <c r="DX483" s="78"/>
      <c r="DY483" s="78"/>
      <c r="DZ483" s="78"/>
      <c r="EA483" s="78"/>
      <c r="EB483" s="78"/>
      <c r="EC483" s="78"/>
      <c r="ED483" s="78"/>
      <c r="EE483" s="78"/>
      <c r="EF483" s="78"/>
      <c r="EG483" s="78"/>
      <c r="EH483" s="78"/>
      <c r="EI483" s="91"/>
      <c r="EJ483" s="91"/>
      <c r="EK483" s="91"/>
      <c r="EL483" s="91"/>
      <c r="EM483" s="91"/>
      <c r="EN483" s="91"/>
      <c r="EO483" s="91"/>
      <c r="EP483" s="78"/>
      <c r="EQ483" s="78"/>
      <c r="ER483" s="78"/>
      <c r="ES483" s="78"/>
      <c r="ET483" s="78"/>
      <c r="EU483" s="78"/>
      <c r="EV483" s="78"/>
      <c r="EW483" s="78"/>
      <c r="EX483" s="78"/>
      <c r="EY483" s="78"/>
      <c r="EZ483" s="78"/>
      <c r="FA483" s="78"/>
      <c r="FB483" s="78"/>
      <c r="FC483" s="78"/>
      <c r="FD483" s="78"/>
      <c r="FE483" s="78"/>
      <c r="FF483" s="78"/>
      <c r="FG483" s="78"/>
      <c r="FH483" s="78"/>
      <c r="FI483" s="78"/>
      <c r="FJ483" s="78"/>
      <c r="FK483" s="78"/>
    </row>
    <row r="484" spans="1:167" hidden="1" outlineLevel="1">
      <c r="A484" s="29" t="str">
        <f t="shared" si="38"/>
        <v>lt004_protectionemssns_scp1_prtctn</v>
      </c>
      <c r="B484" s="67" t="s">
        <v>26</v>
      </c>
      <c r="C484" s="68" t="s">
        <v>26</v>
      </c>
      <c r="D484" s="64" t="s">
        <v>40</v>
      </c>
      <c r="E484" s="70" t="s">
        <v>368</v>
      </c>
      <c r="F484" s="71" t="s">
        <v>373</v>
      </c>
      <c r="G484" s="64" t="str">
        <f>INDEX(Auxiliar!$B$16:$B$24,MATCH(Plano_V1!H484,Auxiliar!$C$16:$C$24,0),1)</f>
        <v>1. Concluído</v>
      </c>
      <c r="H484" s="64">
        <f>VLOOKUP(A484,'Aux - pivots1'!$A:$B,2,0)</f>
        <v>1</v>
      </c>
      <c r="I484" s="84">
        <f>SUMIFS(Table1[Estimação (horas)],Table1[Tabela],Plano_V1!E484,Table1[Campo],Plano_V1!F484)</f>
        <v>4.0999999999999996</v>
      </c>
      <c r="J484" s="84">
        <f t="shared" si="37"/>
        <v>0.51249999999999996</v>
      </c>
      <c r="K484" s="89" t="s">
        <v>39</v>
      </c>
      <c r="M484" s="78"/>
      <c r="N484" s="78"/>
      <c r="O484" s="78"/>
      <c r="P484" s="78"/>
      <c r="Q484" s="78"/>
      <c r="R484" s="78"/>
      <c r="S484" s="78"/>
      <c r="T484" s="78"/>
      <c r="U484" s="78"/>
      <c r="V484" s="78"/>
      <c r="W484" s="78"/>
      <c r="X484" s="78"/>
      <c r="Y484" s="78"/>
      <c r="Z484" s="78"/>
      <c r="AA484" s="78"/>
      <c r="AB484" s="78"/>
      <c r="AC484" s="78"/>
      <c r="AD484" s="78"/>
      <c r="AE484" s="78"/>
      <c r="AF484" s="78"/>
      <c r="AG484" s="78"/>
      <c r="AH484" s="78"/>
      <c r="AI484" s="78"/>
      <c r="AJ484" s="78"/>
      <c r="AK484" s="78"/>
      <c r="AL484" s="78"/>
      <c r="AM484" s="78"/>
      <c r="AN484" s="78"/>
      <c r="AO484" s="78"/>
      <c r="AP484" s="78"/>
      <c r="AQ484" s="78"/>
      <c r="AR484" s="78"/>
      <c r="AS484" s="78"/>
      <c r="AT484" s="91"/>
      <c r="AU484" s="78"/>
      <c r="AV484" s="78"/>
      <c r="AW484" s="78"/>
      <c r="AX484" s="78"/>
      <c r="AY484" s="78"/>
      <c r="AZ484" s="78"/>
      <c r="BA484" s="78"/>
      <c r="BB484" s="78"/>
      <c r="BC484" s="78"/>
      <c r="BD484" s="78"/>
      <c r="BE484" s="78"/>
      <c r="BF484" s="78"/>
      <c r="BG484" s="78"/>
      <c r="BH484" s="78"/>
      <c r="BI484" s="78"/>
      <c r="BJ484" s="78"/>
      <c r="BK484" s="78"/>
      <c r="BL484" s="78"/>
      <c r="BM484" s="78"/>
      <c r="BN484" s="78"/>
      <c r="BO484" s="78"/>
      <c r="BP484" s="78"/>
      <c r="BQ484" s="78"/>
      <c r="BR484" s="78"/>
      <c r="BS484" s="78"/>
      <c r="BT484" s="78"/>
      <c r="BU484" s="78"/>
      <c r="BV484" s="78"/>
      <c r="BW484" s="78"/>
      <c r="BX484" s="78"/>
      <c r="BY484" s="78"/>
      <c r="BZ484" s="78"/>
      <c r="CA484" s="78"/>
      <c r="CB484" s="78"/>
      <c r="CC484" s="78"/>
      <c r="CD484" s="78"/>
      <c r="CE484" s="78"/>
      <c r="CF484" s="78"/>
      <c r="CG484" s="78"/>
      <c r="CH484" s="78"/>
      <c r="CI484" s="78"/>
      <c r="CJ484" s="78"/>
      <c r="CK484" s="78"/>
      <c r="CL484" s="78"/>
      <c r="CM484" s="78"/>
      <c r="CN484" s="78"/>
      <c r="CO484" s="78"/>
      <c r="CP484" s="78"/>
      <c r="CQ484" s="78"/>
      <c r="CR484" s="78"/>
      <c r="CS484" s="78"/>
      <c r="CT484" s="78"/>
      <c r="CU484" s="78"/>
      <c r="CV484" s="78"/>
      <c r="CW484" s="78"/>
      <c r="CX484" s="78"/>
      <c r="CY484" s="78"/>
      <c r="CZ484" s="78"/>
      <c r="DA484" s="78"/>
      <c r="DB484" s="78"/>
      <c r="DC484" s="78"/>
      <c r="DD484" s="78"/>
      <c r="DE484" s="78"/>
      <c r="DF484" s="78"/>
      <c r="DG484" s="78"/>
      <c r="DH484" s="78"/>
      <c r="DI484" s="78"/>
      <c r="DJ484" s="78"/>
      <c r="DK484" s="78"/>
      <c r="DL484" s="78"/>
      <c r="DM484" s="78"/>
      <c r="DN484" s="78"/>
      <c r="DO484" s="78"/>
      <c r="DP484" s="78"/>
      <c r="DQ484" s="78"/>
      <c r="DR484" s="78"/>
      <c r="DS484" s="78"/>
      <c r="DT484" s="78"/>
      <c r="DU484" s="78"/>
      <c r="DV484" s="78"/>
      <c r="DW484" s="78"/>
      <c r="DX484" s="78"/>
      <c r="DY484" s="78"/>
      <c r="DZ484" s="78"/>
      <c r="EA484" s="78"/>
      <c r="EB484" s="78"/>
      <c r="EC484" s="78"/>
      <c r="ED484" s="78"/>
      <c r="EE484" s="78"/>
      <c r="EF484" s="78"/>
      <c r="EG484" s="78"/>
      <c r="EH484" s="78"/>
      <c r="EI484" s="91"/>
      <c r="EJ484" s="91"/>
      <c r="EK484" s="91"/>
      <c r="EL484" s="91"/>
      <c r="EM484" s="91"/>
      <c r="EN484" s="91"/>
      <c r="EO484" s="91"/>
      <c r="EP484" s="78"/>
      <c r="EQ484" s="78"/>
      <c r="ER484" s="78"/>
      <c r="ES484" s="78"/>
      <c r="ET484" s="78"/>
      <c r="EU484" s="78"/>
      <c r="EV484" s="78"/>
      <c r="EW484" s="78"/>
      <c r="EX484" s="78"/>
      <c r="EY484" s="78"/>
      <c r="EZ484" s="78"/>
      <c r="FA484" s="78"/>
      <c r="FB484" s="78"/>
      <c r="FC484" s="78"/>
      <c r="FD484" s="78"/>
      <c r="FE484" s="78"/>
      <c r="FF484" s="78"/>
      <c r="FG484" s="78"/>
      <c r="FH484" s="78"/>
      <c r="FI484" s="78"/>
      <c r="FJ484" s="78"/>
      <c r="FK484" s="78"/>
    </row>
    <row r="485" spans="1:167" hidden="1" outlineLevel="1">
      <c r="A485" s="29" t="str">
        <f t="shared" si="38"/>
        <v>lt004_protectionemssns_scp2_prtctn</v>
      </c>
      <c r="B485" s="67" t="s">
        <v>26</v>
      </c>
      <c r="C485" s="68" t="s">
        <v>26</v>
      </c>
      <c r="D485" s="64" t="s">
        <v>40</v>
      </c>
      <c r="E485" s="70" t="s">
        <v>368</v>
      </c>
      <c r="F485" s="71" t="s">
        <v>374</v>
      </c>
      <c r="G485" s="64" t="str">
        <f>INDEX(Auxiliar!$B$16:$B$24,MATCH(Plano_V1!H485,Auxiliar!$C$16:$C$24,0),1)</f>
        <v>1. Concluído</v>
      </c>
      <c r="H485" s="64">
        <f>VLOOKUP(A485,'Aux - pivots1'!$A:$B,2,0)</f>
        <v>1</v>
      </c>
      <c r="I485" s="84">
        <f>SUMIFS(Table1[Estimação (horas)],Table1[Tabela],Plano_V1!E485,Table1[Campo],Plano_V1!F485)</f>
        <v>4.0999999999999996</v>
      </c>
      <c r="J485" s="84">
        <f t="shared" si="37"/>
        <v>0.51249999999999996</v>
      </c>
      <c r="K485" s="89" t="s">
        <v>39</v>
      </c>
      <c r="M485" s="78"/>
      <c r="N485" s="78"/>
      <c r="O485" s="78"/>
      <c r="P485" s="78"/>
      <c r="Q485" s="78"/>
      <c r="R485" s="78"/>
      <c r="S485" s="78"/>
      <c r="T485" s="78"/>
      <c r="U485" s="78"/>
      <c r="V485" s="78"/>
      <c r="W485" s="78"/>
      <c r="X485" s="78"/>
      <c r="Y485" s="78"/>
      <c r="Z485" s="78"/>
      <c r="AA485" s="78"/>
      <c r="AB485" s="78"/>
      <c r="AC485" s="78"/>
      <c r="AD485" s="78"/>
      <c r="AE485" s="78"/>
      <c r="AF485" s="78"/>
      <c r="AG485" s="78"/>
      <c r="AH485" s="78"/>
      <c r="AI485" s="78"/>
      <c r="AJ485" s="78"/>
      <c r="AK485" s="78"/>
      <c r="AL485" s="78"/>
      <c r="AM485" s="78"/>
      <c r="AN485" s="78"/>
      <c r="AO485" s="78"/>
      <c r="AP485" s="78"/>
      <c r="AQ485" s="78"/>
      <c r="AR485" s="78"/>
      <c r="AS485" s="78"/>
      <c r="AT485" s="91"/>
      <c r="AU485" s="78"/>
      <c r="AV485" s="78"/>
      <c r="AW485" s="78"/>
      <c r="AX485" s="78"/>
      <c r="AY485" s="78"/>
      <c r="AZ485" s="78"/>
      <c r="BA485" s="78"/>
      <c r="BB485" s="78"/>
      <c r="BC485" s="78"/>
      <c r="BD485" s="78"/>
      <c r="BE485" s="78"/>
      <c r="BF485" s="78"/>
      <c r="BG485" s="78"/>
      <c r="BH485" s="78"/>
      <c r="BI485" s="78"/>
      <c r="BJ485" s="78"/>
      <c r="BK485" s="78"/>
      <c r="BL485" s="78"/>
      <c r="BM485" s="78"/>
      <c r="BN485" s="78"/>
      <c r="BO485" s="78"/>
      <c r="BP485" s="78"/>
      <c r="BQ485" s="78"/>
      <c r="BR485" s="78"/>
      <c r="BS485" s="78"/>
      <c r="BT485" s="78"/>
      <c r="BU485" s="78"/>
      <c r="BV485" s="78"/>
      <c r="BW485" s="78"/>
      <c r="BX485" s="78"/>
      <c r="BY485" s="78"/>
      <c r="BZ485" s="78"/>
      <c r="CA485" s="78"/>
      <c r="CB485" s="78"/>
      <c r="CC485" s="78"/>
      <c r="CD485" s="78"/>
      <c r="CE485" s="78"/>
      <c r="CF485" s="78"/>
      <c r="CG485" s="78"/>
      <c r="CH485" s="78"/>
      <c r="CI485" s="78"/>
      <c r="CJ485" s="78"/>
      <c r="CK485" s="78"/>
      <c r="CL485" s="78"/>
      <c r="CM485" s="78"/>
      <c r="CN485" s="78"/>
      <c r="CO485" s="78"/>
      <c r="CP485" s="78"/>
      <c r="CQ485" s="78"/>
      <c r="CR485" s="78"/>
      <c r="CS485" s="78"/>
      <c r="CT485" s="78"/>
      <c r="CU485" s="78"/>
      <c r="CV485" s="78"/>
      <c r="CW485" s="78"/>
      <c r="CX485" s="78"/>
      <c r="CY485" s="78"/>
      <c r="CZ485" s="78"/>
      <c r="DA485" s="78"/>
      <c r="DB485" s="78"/>
      <c r="DC485" s="78"/>
      <c r="DD485" s="78"/>
      <c r="DE485" s="78"/>
      <c r="DF485" s="78"/>
      <c r="DG485" s="78"/>
      <c r="DH485" s="78"/>
      <c r="DI485" s="78"/>
      <c r="DJ485" s="78"/>
      <c r="DK485" s="78"/>
      <c r="DL485" s="78"/>
      <c r="DM485" s="78"/>
      <c r="DN485" s="78"/>
      <c r="DO485" s="78"/>
      <c r="DP485" s="78"/>
      <c r="DQ485" s="78"/>
      <c r="DR485" s="78"/>
      <c r="DS485" s="78"/>
      <c r="DT485" s="78"/>
      <c r="DU485" s="78"/>
      <c r="DV485" s="78"/>
      <c r="DW485" s="78"/>
      <c r="DX485" s="78"/>
      <c r="DY485" s="78"/>
      <c r="DZ485" s="78"/>
      <c r="EA485" s="78"/>
      <c r="EB485" s="78"/>
      <c r="EC485" s="78"/>
      <c r="ED485" s="78"/>
      <c r="EE485" s="78"/>
      <c r="EF485" s="78"/>
      <c r="EG485" s="78"/>
      <c r="EH485" s="78"/>
      <c r="EI485" s="91"/>
      <c r="EJ485" s="91"/>
      <c r="EK485" s="91"/>
      <c r="EL485" s="91"/>
      <c r="EM485" s="91"/>
      <c r="EN485" s="91"/>
      <c r="EO485" s="91"/>
      <c r="EP485" s="78"/>
      <c r="EQ485" s="78"/>
      <c r="ER485" s="78"/>
      <c r="ES485" s="78"/>
      <c r="ET485" s="78"/>
      <c r="EU485" s="78"/>
      <c r="EV485" s="78"/>
      <c r="EW485" s="78"/>
      <c r="EX485" s="78"/>
      <c r="EY485" s="78"/>
      <c r="EZ485" s="78"/>
      <c r="FA485" s="78"/>
      <c r="FB485" s="78"/>
      <c r="FC485" s="78"/>
      <c r="FD485" s="78"/>
      <c r="FE485" s="78"/>
      <c r="FF485" s="78"/>
      <c r="FG485" s="78"/>
      <c r="FH485" s="78"/>
      <c r="FI485" s="78"/>
      <c r="FJ485" s="78"/>
      <c r="FK485" s="78"/>
    </row>
    <row r="486" spans="1:167" hidden="1" outlineLevel="1">
      <c r="A486" s="29" t="str">
        <f t="shared" si="38"/>
        <v>lt004_protectionemssns_scp3_prtctn</v>
      </c>
      <c r="B486" s="67" t="s">
        <v>26</v>
      </c>
      <c r="C486" s="68" t="s">
        <v>26</v>
      </c>
      <c r="D486" s="64" t="s">
        <v>40</v>
      </c>
      <c r="E486" s="70" t="s">
        <v>368</v>
      </c>
      <c r="F486" s="71" t="s">
        <v>375</v>
      </c>
      <c r="G486" s="64" t="str">
        <f>INDEX(Auxiliar!$B$16:$B$24,MATCH(Plano_V1!H486,Auxiliar!$C$16:$C$24,0),1)</f>
        <v>1. Concluído</v>
      </c>
      <c r="H486" s="64">
        <f>VLOOKUP(A486,'Aux - pivots1'!$A:$B,2,0)</f>
        <v>1</v>
      </c>
      <c r="I486" s="84">
        <f>SUMIFS(Table1[Estimação (horas)],Table1[Tabela],Plano_V1!E486,Table1[Campo],Plano_V1!F486)</f>
        <v>4.0999999999999996</v>
      </c>
      <c r="J486" s="84">
        <f t="shared" si="37"/>
        <v>0.51249999999999996</v>
      </c>
      <c r="K486" s="89" t="s">
        <v>39</v>
      </c>
      <c r="M486" s="78"/>
      <c r="N486" s="78"/>
      <c r="O486" s="78"/>
      <c r="P486" s="78"/>
      <c r="Q486" s="78"/>
      <c r="R486" s="78"/>
      <c r="S486" s="78"/>
      <c r="T486" s="78"/>
      <c r="U486" s="78"/>
      <c r="V486" s="78"/>
      <c r="W486" s="78"/>
      <c r="X486" s="78"/>
      <c r="Y486" s="78"/>
      <c r="Z486" s="78"/>
      <c r="AA486" s="78"/>
      <c r="AB486" s="78"/>
      <c r="AC486" s="78"/>
      <c r="AD486" s="78"/>
      <c r="AE486" s="78"/>
      <c r="AF486" s="78"/>
      <c r="AG486" s="78"/>
      <c r="AH486" s="78"/>
      <c r="AI486" s="78"/>
      <c r="AJ486" s="78"/>
      <c r="AK486" s="78"/>
      <c r="AL486" s="78"/>
      <c r="AM486" s="78"/>
      <c r="AN486" s="78"/>
      <c r="AO486" s="78"/>
      <c r="AP486" s="78"/>
      <c r="AQ486" s="78"/>
      <c r="AR486" s="78"/>
      <c r="AS486" s="78"/>
      <c r="AT486" s="91"/>
      <c r="AU486" s="78"/>
      <c r="AV486" s="78"/>
      <c r="AW486" s="78"/>
      <c r="AX486" s="78"/>
      <c r="AY486" s="78"/>
      <c r="AZ486" s="78"/>
      <c r="BA486" s="78"/>
      <c r="BB486" s="78"/>
      <c r="BC486" s="78"/>
      <c r="BD486" s="78"/>
      <c r="BE486" s="78"/>
      <c r="BF486" s="78"/>
      <c r="BG486" s="78"/>
      <c r="BH486" s="78"/>
      <c r="BI486" s="78"/>
      <c r="BJ486" s="78"/>
      <c r="BK486" s="78"/>
      <c r="BL486" s="78"/>
      <c r="BM486" s="78"/>
      <c r="BN486" s="78"/>
      <c r="BO486" s="78"/>
      <c r="BP486" s="78"/>
      <c r="BQ486" s="78"/>
      <c r="BR486" s="78"/>
      <c r="BS486" s="78"/>
      <c r="BT486" s="78"/>
      <c r="BU486" s="78"/>
      <c r="BV486" s="78"/>
      <c r="BW486" s="78"/>
      <c r="BX486" s="78"/>
      <c r="BY486" s="78"/>
      <c r="BZ486" s="78"/>
      <c r="CA486" s="78"/>
      <c r="CB486" s="78"/>
      <c r="CC486" s="78"/>
      <c r="CD486" s="78"/>
      <c r="CE486" s="78"/>
      <c r="CF486" s="78"/>
      <c r="CG486" s="78"/>
      <c r="CH486" s="78"/>
      <c r="CI486" s="78"/>
      <c r="CJ486" s="78"/>
      <c r="CK486" s="78"/>
      <c r="CL486" s="78"/>
      <c r="CM486" s="78"/>
      <c r="CN486" s="78"/>
      <c r="CO486" s="78"/>
      <c r="CP486" s="78"/>
      <c r="CQ486" s="78"/>
      <c r="CR486" s="78"/>
      <c r="CS486" s="78"/>
      <c r="CT486" s="78"/>
      <c r="CU486" s="78"/>
      <c r="CV486" s="78"/>
      <c r="CW486" s="78"/>
      <c r="CX486" s="78"/>
      <c r="CY486" s="78"/>
      <c r="CZ486" s="78"/>
      <c r="DA486" s="78"/>
      <c r="DB486" s="78"/>
      <c r="DC486" s="78"/>
      <c r="DD486" s="78"/>
      <c r="DE486" s="78"/>
      <c r="DF486" s="78"/>
      <c r="DG486" s="78"/>
      <c r="DH486" s="78"/>
      <c r="DI486" s="78"/>
      <c r="DJ486" s="78"/>
      <c r="DK486" s="78"/>
      <c r="DL486" s="78"/>
      <c r="DM486" s="78"/>
      <c r="DN486" s="78"/>
      <c r="DO486" s="78"/>
      <c r="DP486" s="78"/>
      <c r="DQ486" s="78"/>
      <c r="DR486" s="78"/>
      <c r="DS486" s="78"/>
      <c r="DT486" s="78"/>
      <c r="DU486" s="78"/>
      <c r="DV486" s="78"/>
      <c r="DW486" s="78"/>
      <c r="DX486" s="78"/>
      <c r="DY486" s="78"/>
      <c r="DZ486" s="78"/>
      <c r="EA486" s="78"/>
      <c r="EB486" s="78"/>
      <c r="EC486" s="78"/>
      <c r="ED486" s="78"/>
      <c r="EE486" s="78"/>
      <c r="EF486" s="78"/>
      <c r="EG486" s="78"/>
      <c r="EH486" s="78"/>
      <c r="EI486" s="91"/>
      <c r="EJ486" s="91"/>
      <c r="EK486" s="91"/>
      <c r="EL486" s="91"/>
      <c r="EM486" s="91"/>
      <c r="EN486" s="91"/>
      <c r="EO486" s="91"/>
      <c r="EP486" s="78"/>
      <c r="EQ486" s="78"/>
      <c r="ER486" s="78"/>
      <c r="ES486" s="78"/>
      <c r="ET486" s="78"/>
      <c r="EU486" s="78"/>
      <c r="EV486" s="78"/>
      <c r="EW486" s="78"/>
      <c r="EX486" s="78"/>
      <c r="EY486" s="78"/>
      <c r="EZ486" s="78"/>
      <c r="FA486" s="78"/>
      <c r="FB486" s="78"/>
      <c r="FC486" s="78"/>
      <c r="FD486" s="78"/>
      <c r="FE486" s="78"/>
      <c r="FF486" s="78"/>
      <c r="FG486" s="78"/>
      <c r="FH486" s="78"/>
      <c r="FI486" s="78"/>
      <c r="FJ486" s="78"/>
      <c r="FK486" s="78"/>
    </row>
    <row r="487" spans="1:167" hidden="1" outlineLevel="1">
      <c r="A487" s="29" t="str">
        <f t="shared" si="38"/>
        <v>lt004_protectionmthd_usd_prtctn_scp_1</v>
      </c>
      <c r="B487" s="67" t="s">
        <v>26</v>
      </c>
      <c r="C487" s="68" t="s">
        <v>26</v>
      </c>
      <c r="D487" s="64" t="s">
        <v>40</v>
      </c>
      <c r="E487" s="70" t="s">
        <v>368</v>
      </c>
      <c r="F487" s="71" t="s">
        <v>376</v>
      </c>
      <c r="G487" s="64" t="str">
        <f>INDEX(Auxiliar!$B$16:$B$24,MATCH(Plano_V1!H487,Auxiliar!$C$16:$C$24,0),1)</f>
        <v>1. Concluído</v>
      </c>
      <c r="H487" s="64">
        <f>VLOOKUP(A487,'Aux - pivots1'!$A:$B,2,0)</f>
        <v>1</v>
      </c>
      <c r="I487" s="84">
        <f>SUMIFS(Table1[Estimação (horas)],Table1[Tabela],Plano_V1!E487,Table1[Campo],Plano_V1!F487)</f>
        <v>4.0999999999999996</v>
      </c>
      <c r="J487" s="84">
        <f t="shared" si="37"/>
        <v>0.51249999999999996</v>
      </c>
      <c r="K487" s="89" t="s">
        <v>39</v>
      </c>
      <c r="M487" s="78"/>
      <c r="N487" s="78"/>
      <c r="O487" s="78"/>
      <c r="P487" s="78"/>
      <c r="Q487" s="78"/>
      <c r="R487" s="78"/>
      <c r="S487" s="78"/>
      <c r="T487" s="78"/>
      <c r="U487" s="78"/>
      <c r="V487" s="78"/>
      <c r="W487" s="78"/>
      <c r="X487" s="78"/>
      <c r="Y487" s="78"/>
      <c r="Z487" s="78"/>
      <c r="AA487" s="78"/>
      <c r="AB487" s="78"/>
      <c r="AC487" s="78"/>
      <c r="AD487" s="78"/>
      <c r="AE487" s="78"/>
      <c r="AF487" s="78"/>
      <c r="AG487" s="78"/>
      <c r="AH487" s="78"/>
      <c r="AI487" s="78"/>
      <c r="AJ487" s="78"/>
      <c r="AK487" s="78"/>
      <c r="AL487" s="78"/>
      <c r="AM487" s="78"/>
      <c r="AN487" s="78"/>
      <c r="AO487" s="78"/>
      <c r="AP487" s="78"/>
      <c r="AQ487" s="78"/>
      <c r="AR487" s="78"/>
      <c r="AS487" s="78"/>
      <c r="AT487" s="91"/>
      <c r="AU487" s="78"/>
      <c r="AV487" s="78"/>
      <c r="AW487" s="78"/>
      <c r="AX487" s="78"/>
      <c r="AY487" s="78"/>
      <c r="AZ487" s="78"/>
      <c r="BA487" s="78"/>
      <c r="BB487" s="78"/>
      <c r="BC487" s="78"/>
      <c r="BD487" s="78"/>
      <c r="BE487" s="78"/>
      <c r="BF487" s="78"/>
      <c r="BG487" s="78"/>
      <c r="BH487" s="78"/>
      <c r="BI487" s="78"/>
      <c r="BJ487" s="78"/>
      <c r="BK487" s="78"/>
      <c r="BL487" s="78"/>
      <c r="BM487" s="78"/>
      <c r="BN487" s="78"/>
      <c r="BO487" s="78"/>
      <c r="BP487" s="78"/>
      <c r="BQ487" s="78"/>
      <c r="BR487" s="78"/>
      <c r="BS487" s="78"/>
      <c r="BT487" s="78"/>
      <c r="BU487" s="78"/>
      <c r="BV487" s="78"/>
      <c r="BW487" s="78"/>
      <c r="BX487" s="78"/>
      <c r="BY487" s="78"/>
      <c r="BZ487" s="78"/>
      <c r="CA487" s="78"/>
      <c r="CB487" s="78"/>
      <c r="CC487" s="78"/>
      <c r="CD487" s="78"/>
      <c r="CE487" s="78"/>
      <c r="CF487" s="78"/>
      <c r="CG487" s="78"/>
      <c r="CH487" s="78"/>
      <c r="CI487" s="78"/>
      <c r="CJ487" s="78"/>
      <c r="CK487" s="78"/>
      <c r="CL487" s="78"/>
      <c r="CM487" s="78"/>
      <c r="CN487" s="78"/>
      <c r="CO487" s="78"/>
      <c r="CP487" s="78"/>
      <c r="CQ487" s="78"/>
      <c r="CR487" s="78"/>
      <c r="CS487" s="78"/>
      <c r="CT487" s="78"/>
      <c r="CU487" s="78"/>
      <c r="CV487" s="78"/>
      <c r="CW487" s="78"/>
      <c r="CX487" s="78"/>
      <c r="CY487" s="78"/>
      <c r="CZ487" s="78"/>
      <c r="DA487" s="78"/>
      <c r="DB487" s="78"/>
      <c r="DC487" s="78"/>
      <c r="DD487" s="78"/>
      <c r="DE487" s="78"/>
      <c r="DF487" s="78"/>
      <c r="DG487" s="78"/>
      <c r="DH487" s="78"/>
      <c r="DI487" s="78"/>
      <c r="DJ487" s="78"/>
      <c r="DK487" s="78"/>
      <c r="DL487" s="78"/>
      <c r="DM487" s="78"/>
      <c r="DN487" s="78"/>
      <c r="DO487" s="78"/>
      <c r="DP487" s="78"/>
      <c r="DQ487" s="78"/>
      <c r="DR487" s="78"/>
      <c r="DS487" s="78"/>
      <c r="DT487" s="78"/>
      <c r="DU487" s="78"/>
      <c r="DV487" s="78"/>
      <c r="DW487" s="78"/>
      <c r="DX487" s="78"/>
      <c r="DY487" s="78"/>
      <c r="DZ487" s="78"/>
      <c r="EA487" s="78"/>
      <c r="EB487" s="78"/>
      <c r="EC487" s="78"/>
      <c r="ED487" s="78"/>
      <c r="EE487" s="78"/>
      <c r="EF487" s="78"/>
      <c r="EG487" s="78"/>
      <c r="EH487" s="78"/>
      <c r="EI487" s="91"/>
      <c r="EJ487" s="91"/>
      <c r="EK487" s="91"/>
      <c r="EL487" s="91"/>
      <c r="EM487" s="91"/>
      <c r="EN487" s="91"/>
      <c r="EO487" s="91"/>
      <c r="EP487" s="78"/>
      <c r="EQ487" s="78"/>
      <c r="ER487" s="78"/>
      <c r="ES487" s="78"/>
      <c r="ET487" s="78"/>
      <c r="EU487" s="78"/>
      <c r="EV487" s="78"/>
      <c r="EW487" s="78"/>
      <c r="EX487" s="78"/>
      <c r="EY487" s="78"/>
      <c r="EZ487" s="78"/>
      <c r="FA487" s="78"/>
      <c r="FB487" s="78"/>
      <c r="FC487" s="78"/>
      <c r="FD487" s="78"/>
      <c r="FE487" s="78"/>
      <c r="FF487" s="78"/>
      <c r="FG487" s="78"/>
      <c r="FH487" s="78"/>
      <c r="FI487" s="78"/>
      <c r="FJ487" s="78"/>
      <c r="FK487" s="78"/>
    </row>
    <row r="488" spans="1:167" hidden="1" outlineLevel="1">
      <c r="A488" s="29" t="str">
        <f t="shared" si="38"/>
        <v>lt004_protectionmthd_usd_prtctn_scp_2</v>
      </c>
      <c r="B488" s="67" t="s">
        <v>26</v>
      </c>
      <c r="C488" s="68" t="s">
        <v>26</v>
      </c>
      <c r="D488" s="64" t="s">
        <v>40</v>
      </c>
      <c r="E488" s="70" t="s">
        <v>368</v>
      </c>
      <c r="F488" s="71" t="s">
        <v>377</v>
      </c>
      <c r="G488" s="64" t="str">
        <f>INDEX(Auxiliar!$B$16:$B$24,MATCH(Plano_V1!H488,Auxiliar!$C$16:$C$24,0),1)</f>
        <v>1. Concluído</v>
      </c>
      <c r="H488" s="64">
        <f>VLOOKUP(A488,'Aux - pivots1'!$A:$B,2,0)</f>
        <v>1</v>
      </c>
      <c r="I488" s="84">
        <f>SUMIFS(Table1[Estimação (horas)],Table1[Tabela],Plano_V1!E488,Table1[Campo],Plano_V1!F488)</f>
        <v>4.0999999999999996</v>
      </c>
      <c r="J488" s="84">
        <f t="shared" si="37"/>
        <v>0.51249999999999996</v>
      </c>
      <c r="K488" s="89" t="s">
        <v>39</v>
      </c>
      <c r="M488" s="78"/>
      <c r="N488" s="78"/>
      <c r="O488" s="78"/>
      <c r="P488" s="78"/>
      <c r="Q488" s="78"/>
      <c r="R488" s="78"/>
      <c r="S488" s="78"/>
      <c r="T488" s="78"/>
      <c r="U488" s="78"/>
      <c r="V488" s="78"/>
      <c r="W488" s="78"/>
      <c r="X488" s="78"/>
      <c r="Y488" s="78"/>
      <c r="Z488" s="78"/>
      <c r="AA488" s="78"/>
      <c r="AB488" s="78"/>
      <c r="AC488" s="78"/>
      <c r="AD488" s="78"/>
      <c r="AE488" s="78"/>
      <c r="AF488" s="78"/>
      <c r="AG488" s="78"/>
      <c r="AH488" s="78"/>
      <c r="AI488" s="78"/>
      <c r="AJ488" s="78"/>
      <c r="AK488" s="78"/>
      <c r="AL488" s="78"/>
      <c r="AM488" s="78"/>
      <c r="AN488" s="78"/>
      <c r="AO488" s="78"/>
      <c r="AP488" s="78"/>
      <c r="AQ488" s="78"/>
      <c r="AR488" s="78"/>
      <c r="AS488" s="78"/>
      <c r="AT488" s="91"/>
      <c r="AU488" s="78"/>
      <c r="AV488" s="78"/>
      <c r="AW488" s="78"/>
      <c r="AX488" s="78"/>
      <c r="AY488" s="78"/>
      <c r="AZ488" s="78"/>
      <c r="BA488" s="78"/>
      <c r="BB488" s="78"/>
      <c r="BC488" s="78"/>
      <c r="BD488" s="78"/>
      <c r="BE488" s="78"/>
      <c r="BF488" s="78"/>
      <c r="BG488" s="78"/>
      <c r="BH488" s="78"/>
      <c r="BI488" s="78"/>
      <c r="BJ488" s="78"/>
      <c r="BK488" s="78"/>
      <c r="BL488" s="78"/>
      <c r="BM488" s="78"/>
      <c r="BN488" s="78"/>
      <c r="BO488" s="78"/>
      <c r="BP488" s="78"/>
      <c r="BQ488" s="78"/>
      <c r="BR488" s="78"/>
      <c r="BS488" s="78"/>
      <c r="BT488" s="78"/>
      <c r="BU488" s="78"/>
      <c r="BV488" s="78"/>
      <c r="BW488" s="78"/>
      <c r="BX488" s="78"/>
      <c r="BY488" s="78"/>
      <c r="BZ488" s="78"/>
      <c r="CA488" s="78"/>
      <c r="CB488" s="78"/>
      <c r="CC488" s="78"/>
      <c r="CD488" s="78"/>
      <c r="CE488" s="78"/>
      <c r="CF488" s="78"/>
      <c r="CG488" s="78"/>
      <c r="CH488" s="78"/>
      <c r="CI488" s="78"/>
      <c r="CJ488" s="78"/>
      <c r="CK488" s="78"/>
      <c r="CL488" s="78"/>
      <c r="CM488" s="78"/>
      <c r="CN488" s="78"/>
      <c r="CO488" s="78"/>
      <c r="CP488" s="78"/>
      <c r="CQ488" s="78"/>
      <c r="CR488" s="78"/>
      <c r="CS488" s="78"/>
      <c r="CT488" s="78"/>
      <c r="CU488" s="78"/>
      <c r="CV488" s="78"/>
      <c r="CW488" s="78"/>
      <c r="CX488" s="78"/>
      <c r="CY488" s="78"/>
      <c r="CZ488" s="78"/>
      <c r="DA488" s="78"/>
      <c r="DB488" s="78"/>
      <c r="DC488" s="78"/>
      <c r="DD488" s="78"/>
      <c r="DE488" s="78"/>
      <c r="DF488" s="78"/>
      <c r="DG488" s="78"/>
      <c r="DH488" s="78"/>
      <c r="DI488" s="78"/>
      <c r="DJ488" s="78"/>
      <c r="DK488" s="78"/>
      <c r="DL488" s="78"/>
      <c r="DM488" s="78"/>
      <c r="DN488" s="78"/>
      <c r="DO488" s="78"/>
      <c r="DP488" s="78"/>
      <c r="DQ488" s="78"/>
      <c r="DR488" s="78"/>
      <c r="DS488" s="78"/>
      <c r="DT488" s="78"/>
      <c r="DU488" s="78"/>
      <c r="DV488" s="78"/>
      <c r="DW488" s="78"/>
      <c r="DX488" s="78"/>
      <c r="DY488" s="78"/>
      <c r="DZ488" s="78"/>
      <c r="EA488" s="78"/>
      <c r="EB488" s="78"/>
      <c r="EC488" s="78"/>
      <c r="ED488" s="78"/>
      <c r="EE488" s="78"/>
      <c r="EF488" s="78"/>
      <c r="EG488" s="78"/>
      <c r="EH488" s="78"/>
      <c r="EI488" s="91"/>
      <c r="EJ488" s="91"/>
      <c r="EK488" s="91"/>
      <c r="EL488" s="91"/>
      <c r="EM488" s="91"/>
      <c r="EN488" s="91"/>
      <c r="EO488" s="91"/>
      <c r="EP488" s="78"/>
      <c r="EQ488" s="78"/>
      <c r="ER488" s="78"/>
      <c r="ES488" s="78"/>
      <c r="ET488" s="78"/>
      <c r="EU488" s="78"/>
      <c r="EV488" s="78"/>
      <c r="EW488" s="78"/>
      <c r="EX488" s="78"/>
      <c r="EY488" s="78"/>
      <c r="EZ488" s="78"/>
      <c r="FA488" s="78"/>
      <c r="FB488" s="78"/>
      <c r="FC488" s="78"/>
      <c r="FD488" s="78"/>
      <c r="FE488" s="78"/>
      <c r="FF488" s="78"/>
      <c r="FG488" s="78"/>
      <c r="FH488" s="78"/>
      <c r="FI488" s="78"/>
      <c r="FJ488" s="78"/>
      <c r="FK488" s="78"/>
    </row>
    <row r="489" spans="1:167" hidden="1" outlineLevel="1">
      <c r="A489" s="29" t="str">
        <f t="shared" si="38"/>
        <v>lt004_protectionmthd_usd_prtctn_scp_3</v>
      </c>
      <c r="B489" s="67" t="s">
        <v>26</v>
      </c>
      <c r="C489" s="68" t="s">
        <v>26</v>
      </c>
      <c r="D489" s="64" t="s">
        <v>40</v>
      </c>
      <c r="E489" s="70" t="s">
        <v>368</v>
      </c>
      <c r="F489" s="71" t="s">
        <v>378</v>
      </c>
      <c r="G489" s="64" t="str">
        <f>INDEX(Auxiliar!$B$16:$B$24,MATCH(Plano_V1!H489,Auxiliar!$C$16:$C$24,0),1)</f>
        <v>1. Concluído</v>
      </c>
      <c r="H489" s="64">
        <f>VLOOKUP(A489,'Aux - pivots1'!$A:$B,2,0)</f>
        <v>1</v>
      </c>
      <c r="I489" s="84">
        <f>SUMIFS(Table1[Estimação (horas)],Table1[Tabela],Plano_V1!E489,Table1[Campo],Plano_V1!F489)</f>
        <v>4.0999999999999996</v>
      </c>
      <c r="J489" s="84">
        <f t="shared" si="37"/>
        <v>0.51249999999999996</v>
      </c>
      <c r="K489" s="89" t="s">
        <v>39</v>
      </c>
      <c r="M489" s="78"/>
      <c r="N489" s="78"/>
      <c r="O489" s="78"/>
      <c r="P489" s="78"/>
      <c r="Q489" s="78"/>
      <c r="R489" s="78"/>
      <c r="S489" s="78"/>
      <c r="T489" s="78"/>
      <c r="U489" s="78"/>
      <c r="V489" s="78"/>
      <c r="W489" s="78"/>
      <c r="X489" s="78"/>
      <c r="Y489" s="78"/>
      <c r="Z489" s="78"/>
      <c r="AA489" s="78"/>
      <c r="AB489" s="78"/>
      <c r="AC489" s="78"/>
      <c r="AD489" s="78"/>
      <c r="AE489" s="78"/>
      <c r="AF489" s="78"/>
      <c r="AG489" s="78"/>
      <c r="AH489" s="78"/>
      <c r="AI489" s="78"/>
      <c r="AJ489" s="78"/>
      <c r="AK489" s="78"/>
      <c r="AL489" s="78"/>
      <c r="AM489" s="78"/>
      <c r="AN489" s="78"/>
      <c r="AO489" s="78"/>
      <c r="AP489" s="78"/>
      <c r="AQ489" s="78"/>
      <c r="AR489" s="78"/>
      <c r="AS489" s="78"/>
      <c r="AT489" s="91"/>
      <c r="AU489" s="78"/>
      <c r="AV489" s="78"/>
      <c r="AW489" s="78"/>
      <c r="AX489" s="78"/>
      <c r="AY489" s="78"/>
      <c r="AZ489" s="78"/>
      <c r="BA489" s="78"/>
      <c r="BB489" s="78"/>
      <c r="BC489" s="78"/>
      <c r="BD489" s="78"/>
      <c r="BE489" s="78"/>
      <c r="BF489" s="78"/>
      <c r="BG489" s="78"/>
      <c r="BH489" s="78"/>
      <c r="BI489" s="78"/>
      <c r="BJ489" s="78"/>
      <c r="BK489" s="78"/>
      <c r="BL489" s="78"/>
      <c r="BM489" s="78"/>
      <c r="BN489" s="78"/>
      <c r="BO489" s="78"/>
      <c r="BP489" s="78"/>
      <c r="BQ489" s="78"/>
      <c r="BR489" s="78"/>
      <c r="BS489" s="78"/>
      <c r="BT489" s="78"/>
      <c r="BU489" s="78"/>
      <c r="BV489" s="78"/>
      <c r="BW489" s="78"/>
      <c r="BX489" s="78"/>
      <c r="BY489" s="78"/>
      <c r="BZ489" s="78"/>
      <c r="CA489" s="78"/>
      <c r="CB489" s="78"/>
      <c r="CC489" s="78"/>
      <c r="CD489" s="78"/>
      <c r="CE489" s="78"/>
      <c r="CF489" s="78"/>
      <c r="CG489" s="78"/>
      <c r="CH489" s="78"/>
      <c r="CI489" s="78"/>
      <c r="CJ489" s="78"/>
      <c r="CK489" s="78"/>
      <c r="CL489" s="78"/>
      <c r="CM489" s="78"/>
      <c r="CN489" s="78"/>
      <c r="CO489" s="78"/>
      <c r="CP489" s="78"/>
      <c r="CQ489" s="78"/>
      <c r="CR489" s="78"/>
      <c r="CS489" s="78"/>
      <c r="CT489" s="78"/>
      <c r="CU489" s="78"/>
      <c r="CV489" s="78"/>
      <c r="CW489" s="78"/>
      <c r="CX489" s="78"/>
      <c r="CY489" s="78"/>
      <c r="CZ489" s="78"/>
      <c r="DA489" s="78"/>
      <c r="DB489" s="78"/>
      <c r="DC489" s="78"/>
      <c r="DD489" s="78"/>
      <c r="DE489" s="78"/>
      <c r="DF489" s="78"/>
      <c r="DG489" s="78"/>
      <c r="DH489" s="78"/>
      <c r="DI489" s="78"/>
      <c r="DJ489" s="78"/>
      <c r="DK489" s="78"/>
      <c r="DL489" s="78"/>
      <c r="DM489" s="78"/>
      <c r="DN489" s="78"/>
      <c r="DO489" s="78"/>
      <c r="DP489" s="78"/>
      <c r="DQ489" s="78"/>
      <c r="DR489" s="78"/>
      <c r="DS489" s="78"/>
      <c r="DT489" s="78"/>
      <c r="DU489" s="78"/>
      <c r="DV489" s="78"/>
      <c r="DW489" s="78"/>
      <c r="DX489" s="78"/>
      <c r="DY489" s="78"/>
      <c r="DZ489" s="78"/>
      <c r="EA489" s="78"/>
      <c r="EB489" s="78"/>
      <c r="EC489" s="78"/>
      <c r="ED489" s="78"/>
      <c r="EE489" s="78"/>
      <c r="EF489" s="78"/>
      <c r="EG489" s="78"/>
      <c r="EH489" s="78"/>
      <c r="EI489" s="91"/>
      <c r="EJ489" s="91"/>
      <c r="EK489" s="91"/>
      <c r="EL489" s="91"/>
      <c r="EM489" s="91"/>
      <c r="EN489" s="91"/>
      <c r="EO489" s="91"/>
      <c r="EP489" s="78"/>
      <c r="EQ489" s="78"/>
      <c r="ER489" s="78"/>
      <c r="ES489" s="78"/>
      <c r="ET489" s="78"/>
      <c r="EU489" s="78"/>
      <c r="EV489" s="78"/>
      <c r="EW489" s="78"/>
      <c r="EX489" s="78"/>
      <c r="EY489" s="78"/>
      <c r="EZ489" s="78"/>
      <c r="FA489" s="78"/>
      <c r="FB489" s="78"/>
      <c r="FC489" s="78"/>
      <c r="FD489" s="78"/>
      <c r="FE489" s="78"/>
      <c r="FF489" s="78"/>
      <c r="FG489" s="78"/>
      <c r="FH489" s="78"/>
      <c r="FI489" s="78"/>
      <c r="FJ489" s="78"/>
      <c r="FK489" s="78"/>
    </row>
    <row r="490" spans="1:167" hidden="1" outlineLevel="1">
      <c r="A490" s="29" t="str">
        <f t="shared" si="38"/>
        <v>lt004_protectionflg_act_physcl_rsk</v>
      </c>
      <c r="B490" s="67" t="s">
        <v>26</v>
      </c>
      <c r="C490" s="68" t="s">
        <v>26</v>
      </c>
      <c r="D490" s="64" t="s">
        <v>40</v>
      </c>
      <c r="E490" s="70" t="s">
        <v>368</v>
      </c>
      <c r="F490" s="71" t="s">
        <v>357</v>
      </c>
      <c r="G490" s="64" t="str">
        <f>INDEX(Auxiliar!$B$16:$B$24,MATCH(Plano_V1!H490,Auxiliar!$C$16:$C$24,0),1)</f>
        <v>1. Concluído</v>
      </c>
      <c r="H490" s="64">
        <f>VLOOKUP(A490,'Aux - pivots1'!$A:$B,2,0)</f>
        <v>1</v>
      </c>
      <c r="I490" s="84">
        <f>SUMIFS(Table1[Estimação (horas)],Table1[Tabela],Plano_V1!E490,Table1[Campo],Plano_V1!F490)</f>
        <v>4.0999999999999996</v>
      </c>
      <c r="J490" s="84">
        <f t="shared" si="37"/>
        <v>0.51249999999999996</v>
      </c>
      <c r="K490" s="89" t="s">
        <v>39</v>
      </c>
      <c r="M490" s="78"/>
      <c r="N490" s="78"/>
      <c r="O490" s="78"/>
      <c r="P490" s="78"/>
      <c r="Q490" s="78"/>
      <c r="R490" s="78"/>
      <c r="S490" s="78"/>
      <c r="T490" s="78"/>
      <c r="U490" s="78"/>
      <c r="V490" s="78"/>
      <c r="W490" s="78"/>
      <c r="X490" s="78"/>
      <c r="Y490" s="78"/>
      <c r="Z490" s="78"/>
      <c r="AA490" s="78"/>
      <c r="AB490" s="78"/>
      <c r="AC490" s="78"/>
      <c r="AD490" s="78"/>
      <c r="AE490" s="78"/>
      <c r="AF490" s="78"/>
      <c r="AG490" s="78"/>
      <c r="AH490" s="78"/>
      <c r="AI490" s="78"/>
      <c r="AJ490" s="78"/>
      <c r="AK490" s="78"/>
      <c r="AL490" s="78"/>
      <c r="AM490" s="78"/>
      <c r="AN490" s="78"/>
      <c r="AO490" s="78"/>
      <c r="AP490" s="78"/>
      <c r="AQ490" s="78"/>
      <c r="AR490" s="78"/>
      <c r="AS490" s="78"/>
      <c r="AT490" s="91"/>
      <c r="AU490" s="78"/>
      <c r="AV490" s="78"/>
      <c r="AW490" s="78"/>
      <c r="AX490" s="78"/>
      <c r="AY490" s="78"/>
      <c r="AZ490" s="78"/>
      <c r="BA490" s="78"/>
      <c r="BB490" s="78"/>
      <c r="BC490" s="78"/>
      <c r="BD490" s="78"/>
      <c r="BE490" s="78"/>
      <c r="BF490" s="78"/>
      <c r="BG490" s="78"/>
      <c r="BH490" s="78"/>
      <c r="BI490" s="78"/>
      <c r="BJ490" s="78"/>
      <c r="BK490" s="78"/>
      <c r="BL490" s="78"/>
      <c r="BM490" s="78"/>
      <c r="BN490" s="78"/>
      <c r="BO490" s="78"/>
      <c r="BP490" s="78"/>
      <c r="BQ490" s="78"/>
      <c r="BR490" s="78"/>
      <c r="BS490" s="78"/>
      <c r="BT490" s="78"/>
      <c r="BU490" s="78"/>
      <c r="BV490" s="78"/>
      <c r="BW490" s="78"/>
      <c r="BX490" s="78"/>
      <c r="BY490" s="78"/>
      <c r="BZ490" s="78"/>
      <c r="CA490" s="78"/>
      <c r="CB490" s="78"/>
      <c r="CC490" s="78"/>
      <c r="CD490" s="78"/>
      <c r="CE490" s="78"/>
      <c r="CF490" s="78"/>
      <c r="CG490" s="78"/>
      <c r="CH490" s="78"/>
      <c r="CI490" s="78"/>
      <c r="CJ490" s="78"/>
      <c r="CK490" s="78"/>
      <c r="CL490" s="78"/>
      <c r="CM490" s="78"/>
      <c r="CN490" s="78"/>
      <c r="CO490" s="78"/>
      <c r="CP490" s="78"/>
      <c r="CQ490" s="78"/>
      <c r="CR490" s="78"/>
      <c r="CS490" s="78"/>
      <c r="CT490" s="78"/>
      <c r="CU490" s="78"/>
      <c r="CV490" s="78"/>
      <c r="CW490" s="78"/>
      <c r="CX490" s="78"/>
      <c r="CY490" s="78"/>
      <c r="CZ490" s="78"/>
      <c r="DA490" s="78"/>
      <c r="DB490" s="78"/>
      <c r="DC490" s="78"/>
      <c r="DD490" s="78"/>
      <c r="DE490" s="78"/>
      <c r="DF490" s="78"/>
      <c r="DG490" s="78"/>
      <c r="DH490" s="78"/>
      <c r="DI490" s="78"/>
      <c r="DJ490" s="78"/>
      <c r="DK490" s="78"/>
      <c r="DL490" s="78"/>
      <c r="DM490" s="78"/>
      <c r="DN490" s="78"/>
      <c r="DO490" s="78"/>
      <c r="DP490" s="78"/>
      <c r="DQ490" s="78"/>
      <c r="DR490" s="78"/>
      <c r="DS490" s="78"/>
      <c r="DT490" s="78"/>
      <c r="DU490" s="78"/>
      <c r="DV490" s="78"/>
      <c r="DW490" s="78"/>
      <c r="DX490" s="78"/>
      <c r="DY490" s="78"/>
      <c r="DZ490" s="78"/>
      <c r="EA490" s="78"/>
      <c r="EB490" s="78"/>
      <c r="EC490" s="78"/>
      <c r="ED490" s="78"/>
      <c r="EE490" s="78"/>
      <c r="EF490" s="78"/>
      <c r="EG490" s="78"/>
      <c r="EH490" s="78"/>
      <c r="EI490" s="91"/>
      <c r="EJ490" s="91"/>
      <c r="EK490" s="91"/>
      <c r="EL490" s="91"/>
      <c r="EM490" s="91"/>
      <c r="EN490" s="91"/>
      <c r="EO490" s="91"/>
      <c r="EP490" s="78"/>
      <c r="EQ490" s="78"/>
      <c r="ER490" s="78"/>
      <c r="ES490" s="78"/>
      <c r="ET490" s="78"/>
      <c r="EU490" s="78"/>
      <c r="EV490" s="78"/>
      <c r="EW490" s="78"/>
      <c r="EX490" s="78"/>
      <c r="EY490" s="78"/>
      <c r="EZ490" s="78"/>
      <c r="FA490" s="78"/>
      <c r="FB490" s="78"/>
      <c r="FC490" s="78"/>
      <c r="FD490" s="78"/>
      <c r="FE490" s="78"/>
      <c r="FF490" s="78"/>
      <c r="FG490" s="78"/>
      <c r="FH490" s="78"/>
      <c r="FI490" s="78"/>
      <c r="FJ490" s="78"/>
      <c r="FK490" s="78"/>
    </row>
    <row r="491" spans="1:167" hidden="1" outlineLevel="1">
      <c r="A491" s="29" t="str">
        <f t="shared" si="38"/>
        <v>lt004_protectionflg_chrnc_physcl_rsk</v>
      </c>
      <c r="B491" s="67" t="s">
        <v>26</v>
      </c>
      <c r="C491" s="68" t="s">
        <v>26</v>
      </c>
      <c r="D491" s="64" t="s">
        <v>40</v>
      </c>
      <c r="E491" s="70" t="s">
        <v>368</v>
      </c>
      <c r="F491" s="71" t="s">
        <v>358</v>
      </c>
      <c r="G491" s="64" t="str">
        <f>INDEX(Auxiliar!$B$16:$B$24,MATCH(Plano_V1!H491,Auxiliar!$C$16:$C$24,0),1)</f>
        <v>1. Concluído</v>
      </c>
      <c r="H491" s="64">
        <f>VLOOKUP(A491,'Aux - pivots1'!$A:$B,2,0)</f>
        <v>1</v>
      </c>
      <c r="I491" s="84">
        <f>SUMIFS(Table1[Estimação (horas)],Table1[Tabela],Plano_V1!E491,Table1[Campo],Plano_V1!F491)</f>
        <v>4.0999999999999996</v>
      </c>
      <c r="J491" s="84">
        <f t="shared" si="37"/>
        <v>0.51249999999999996</v>
      </c>
      <c r="K491" s="89" t="s">
        <v>39</v>
      </c>
      <c r="M491" s="78"/>
      <c r="N491" s="78"/>
      <c r="O491" s="78"/>
      <c r="P491" s="78"/>
      <c r="Q491" s="78"/>
      <c r="R491" s="78"/>
      <c r="S491" s="78"/>
      <c r="T491" s="78"/>
      <c r="U491" s="78"/>
      <c r="V491" s="78"/>
      <c r="W491" s="78"/>
      <c r="X491" s="78"/>
      <c r="Y491" s="78"/>
      <c r="Z491" s="78"/>
      <c r="AA491" s="78"/>
      <c r="AB491" s="78"/>
      <c r="AC491" s="78"/>
      <c r="AD491" s="78"/>
      <c r="AE491" s="78"/>
      <c r="AF491" s="78"/>
      <c r="AG491" s="78"/>
      <c r="AH491" s="78"/>
      <c r="AI491" s="78"/>
      <c r="AJ491" s="78"/>
      <c r="AK491" s="78"/>
      <c r="AL491" s="78"/>
      <c r="AM491" s="78"/>
      <c r="AN491" s="78"/>
      <c r="AO491" s="78"/>
      <c r="AP491" s="78"/>
      <c r="AQ491" s="78"/>
      <c r="AR491" s="78"/>
      <c r="AS491" s="78"/>
      <c r="AT491" s="91"/>
      <c r="AU491" s="78"/>
      <c r="AV491" s="78"/>
      <c r="AW491" s="78"/>
      <c r="AX491" s="78"/>
      <c r="AY491" s="78"/>
      <c r="AZ491" s="78"/>
      <c r="BA491" s="78"/>
      <c r="BB491" s="78"/>
      <c r="BC491" s="78"/>
      <c r="BD491" s="78"/>
      <c r="BE491" s="78"/>
      <c r="BF491" s="78"/>
      <c r="BG491" s="78"/>
      <c r="BH491" s="78"/>
      <c r="BI491" s="78"/>
      <c r="BJ491" s="78"/>
      <c r="BK491" s="78"/>
      <c r="BL491" s="78"/>
      <c r="BM491" s="78"/>
      <c r="BN491" s="78"/>
      <c r="BO491" s="78"/>
      <c r="BP491" s="78"/>
      <c r="BQ491" s="78"/>
      <c r="BR491" s="78"/>
      <c r="BS491" s="78"/>
      <c r="BT491" s="78"/>
      <c r="BU491" s="78"/>
      <c r="BV491" s="78"/>
      <c r="BW491" s="78"/>
      <c r="BX491" s="78"/>
      <c r="BY491" s="78"/>
      <c r="BZ491" s="78"/>
      <c r="CA491" s="78"/>
      <c r="CB491" s="78"/>
      <c r="CC491" s="78"/>
      <c r="CD491" s="78"/>
      <c r="CE491" s="78"/>
      <c r="CF491" s="78"/>
      <c r="CG491" s="78"/>
      <c r="CH491" s="78"/>
      <c r="CI491" s="78"/>
      <c r="CJ491" s="78"/>
      <c r="CK491" s="78"/>
      <c r="CL491" s="78"/>
      <c r="CM491" s="78"/>
      <c r="CN491" s="78"/>
      <c r="CO491" s="78"/>
      <c r="CP491" s="78"/>
      <c r="CQ491" s="78"/>
      <c r="CR491" s="78"/>
      <c r="CS491" s="78"/>
      <c r="CT491" s="78"/>
      <c r="CU491" s="78"/>
      <c r="CV491" s="78"/>
      <c r="CW491" s="78"/>
      <c r="CX491" s="78"/>
      <c r="CY491" s="78"/>
      <c r="CZ491" s="78"/>
      <c r="DA491" s="78"/>
      <c r="DB491" s="78"/>
      <c r="DC491" s="78"/>
      <c r="DD491" s="78"/>
      <c r="DE491" s="78"/>
      <c r="DF491" s="78"/>
      <c r="DG491" s="78"/>
      <c r="DH491" s="78"/>
      <c r="DI491" s="78"/>
      <c r="DJ491" s="78"/>
      <c r="DK491" s="78"/>
      <c r="DL491" s="78"/>
      <c r="DM491" s="78"/>
      <c r="DN491" s="78"/>
      <c r="DO491" s="78"/>
      <c r="DP491" s="78"/>
      <c r="DQ491" s="78"/>
      <c r="DR491" s="78"/>
      <c r="DS491" s="78"/>
      <c r="DT491" s="78"/>
      <c r="DU491" s="78"/>
      <c r="DV491" s="78"/>
      <c r="DW491" s="78"/>
      <c r="DX491" s="78"/>
      <c r="DY491" s="78"/>
      <c r="DZ491" s="78"/>
      <c r="EA491" s="78"/>
      <c r="EB491" s="78"/>
      <c r="EC491" s="78"/>
      <c r="ED491" s="78"/>
      <c r="EE491" s="78"/>
      <c r="EF491" s="78"/>
      <c r="EG491" s="78"/>
      <c r="EH491" s="78"/>
      <c r="EI491" s="91"/>
      <c r="EJ491" s="91"/>
      <c r="EK491" s="91"/>
      <c r="EL491" s="91"/>
      <c r="EM491" s="91"/>
      <c r="EN491" s="91"/>
      <c r="EO491" s="91"/>
      <c r="EP491" s="78"/>
      <c r="EQ491" s="78"/>
      <c r="ER491" s="78"/>
      <c r="ES491" s="78"/>
      <c r="ET491" s="78"/>
      <c r="EU491" s="78"/>
      <c r="EV491" s="78"/>
      <c r="EW491" s="78"/>
      <c r="EX491" s="78"/>
      <c r="EY491" s="78"/>
      <c r="EZ491" s="78"/>
      <c r="FA491" s="78"/>
      <c r="FB491" s="78"/>
      <c r="FC491" s="78"/>
      <c r="FD491" s="78"/>
      <c r="FE491" s="78"/>
      <c r="FF491" s="78"/>
      <c r="FG491" s="78"/>
      <c r="FH491" s="78"/>
      <c r="FI491" s="78"/>
      <c r="FJ491" s="78"/>
      <c r="FK491" s="78"/>
    </row>
    <row r="492" spans="1:167" hidden="1" outlineLevel="1">
      <c r="A492" s="29" t="str">
        <f t="shared" si="38"/>
        <v>lt002_instrumentrsk_mtgtd_cct</v>
      </c>
      <c r="B492" s="67" t="s">
        <v>26</v>
      </c>
      <c r="C492" s="68" t="s">
        <v>26</v>
      </c>
      <c r="D492" s="64" t="s">
        <v>40</v>
      </c>
      <c r="E492" s="70" t="s">
        <v>379</v>
      </c>
      <c r="F492" s="71" t="s">
        <v>380</v>
      </c>
      <c r="G492" s="64" t="str">
        <f>INDEX(Auxiliar!$B$16:$B$24,MATCH(Plano_V1!H492,Auxiliar!$C$16:$C$24,0),1)</f>
        <v>1. Concluído</v>
      </c>
      <c r="H492" s="64">
        <f>VLOOKUP(A492,'Aux - pivots1'!$A:$B,2,0)</f>
        <v>1</v>
      </c>
      <c r="I492" s="84">
        <f>SUMIFS(Table1[Estimação (horas)],Table1[Tabela],Plano_V1!E492,Table1[Campo],Plano_V1!F492)</f>
        <v>4.0999999999999996</v>
      </c>
      <c r="J492" s="84">
        <f t="shared" si="37"/>
        <v>0.51249999999999996</v>
      </c>
      <c r="K492" s="89" t="s">
        <v>39</v>
      </c>
      <c r="M492" s="78"/>
      <c r="N492" s="78"/>
      <c r="O492" s="78"/>
      <c r="P492" s="78"/>
      <c r="Q492" s="78"/>
      <c r="R492" s="78"/>
      <c r="S492" s="78"/>
      <c r="T492" s="78"/>
      <c r="U492" s="78"/>
      <c r="V492" s="78"/>
      <c r="W492" s="78"/>
      <c r="X492" s="78"/>
      <c r="Y492" s="78"/>
      <c r="Z492" s="78"/>
      <c r="AA492" s="78"/>
      <c r="AB492" s="78"/>
      <c r="AC492" s="78"/>
      <c r="AD492" s="78"/>
      <c r="AE492" s="78"/>
      <c r="AF492" s="78"/>
      <c r="AG492" s="78"/>
      <c r="AH492" s="78"/>
      <c r="AI492" s="78"/>
      <c r="AJ492" s="78"/>
      <c r="AK492" s="78"/>
      <c r="AL492" s="78"/>
      <c r="AM492" s="78"/>
      <c r="AN492" s="78"/>
      <c r="AO492" s="78"/>
      <c r="AP492" s="78"/>
      <c r="AQ492" s="78"/>
      <c r="AR492" s="78"/>
      <c r="AS492" s="78"/>
      <c r="AT492" s="91"/>
      <c r="AU492" s="78"/>
      <c r="AV492" s="78"/>
      <c r="AW492" s="78"/>
      <c r="AX492" s="78"/>
      <c r="AY492" s="78"/>
      <c r="AZ492" s="78"/>
      <c r="BA492" s="78"/>
      <c r="BB492" s="78"/>
      <c r="BC492" s="78"/>
      <c r="BD492" s="78"/>
      <c r="BE492" s="78"/>
      <c r="BF492" s="78"/>
      <c r="BG492" s="78"/>
      <c r="BH492" s="78"/>
      <c r="BI492" s="78"/>
      <c r="BJ492" s="78"/>
      <c r="BK492" s="78"/>
      <c r="BL492" s="78"/>
      <c r="BM492" s="78"/>
      <c r="BN492" s="78"/>
      <c r="BO492" s="78"/>
      <c r="BP492" s="78"/>
      <c r="BQ492" s="78"/>
      <c r="BR492" s="78"/>
      <c r="BS492" s="78"/>
      <c r="BT492" s="78"/>
      <c r="BU492" s="78"/>
      <c r="BV492" s="78"/>
      <c r="BW492" s="78"/>
      <c r="BX492" s="78"/>
      <c r="BY492" s="78"/>
      <c r="BZ492" s="78"/>
      <c r="CA492" s="78"/>
      <c r="CB492" s="78"/>
      <c r="CC492" s="78"/>
      <c r="CD492" s="78"/>
      <c r="CE492" s="78"/>
      <c r="CF492" s="78"/>
      <c r="CG492" s="78"/>
      <c r="CH492" s="78"/>
      <c r="CI492" s="78"/>
      <c r="CJ492" s="78"/>
      <c r="CK492" s="78"/>
      <c r="CL492" s="78"/>
      <c r="CM492" s="78"/>
      <c r="CN492" s="78"/>
      <c r="CO492" s="78"/>
      <c r="CP492" s="78"/>
      <c r="CQ492" s="78"/>
      <c r="CR492" s="78"/>
      <c r="CS492" s="78"/>
      <c r="CT492" s="78"/>
      <c r="CU492" s="78"/>
      <c r="CV492" s="78"/>
      <c r="CW492" s="78"/>
      <c r="CX492" s="78"/>
      <c r="CY492" s="78"/>
      <c r="CZ492" s="78"/>
      <c r="DA492" s="78"/>
      <c r="DB492" s="78"/>
      <c r="DC492" s="78"/>
      <c r="DD492" s="78"/>
      <c r="DE492" s="78"/>
      <c r="DF492" s="78"/>
      <c r="DG492" s="78"/>
      <c r="DH492" s="78"/>
      <c r="DI492" s="78"/>
      <c r="DJ492" s="78"/>
      <c r="DK492" s="78"/>
      <c r="DL492" s="78"/>
      <c r="DM492" s="78"/>
      <c r="DN492" s="78"/>
      <c r="DO492" s="78"/>
      <c r="DP492" s="78"/>
      <c r="DQ492" s="78"/>
      <c r="DR492" s="78"/>
      <c r="DS492" s="78"/>
      <c r="DT492" s="78"/>
      <c r="DU492" s="78"/>
      <c r="DV492" s="78"/>
      <c r="DW492" s="78"/>
      <c r="DX492" s="78"/>
      <c r="DY492" s="78"/>
      <c r="DZ492" s="78"/>
      <c r="EA492" s="78"/>
      <c r="EB492" s="78"/>
      <c r="EC492" s="78"/>
      <c r="ED492" s="78"/>
      <c r="EE492" s="78"/>
      <c r="EF492" s="78"/>
      <c r="EG492" s="78"/>
      <c r="EH492" s="78"/>
      <c r="EI492" s="91"/>
      <c r="EJ492" s="91"/>
      <c r="EK492" s="91"/>
      <c r="EL492" s="91"/>
      <c r="EM492" s="91"/>
      <c r="EN492" s="91"/>
      <c r="EO492" s="91"/>
      <c r="EP492" s="78"/>
      <c r="EQ492" s="78"/>
      <c r="ER492" s="78"/>
      <c r="ES492" s="78"/>
      <c r="ET492" s="78"/>
      <c r="EU492" s="78"/>
      <c r="EV492" s="78"/>
      <c r="EW492" s="78"/>
      <c r="EX492" s="78"/>
      <c r="EY492" s="78"/>
      <c r="EZ492" s="78"/>
      <c r="FA492" s="78"/>
      <c r="FB492" s="78"/>
      <c r="FC492" s="78"/>
      <c r="FD492" s="78"/>
      <c r="FE492" s="78"/>
      <c r="FF492" s="78"/>
      <c r="FG492" s="78"/>
      <c r="FH492" s="78"/>
      <c r="FI492" s="78"/>
      <c r="FJ492" s="78"/>
      <c r="FK492" s="78"/>
    </row>
    <row r="493" spans="1:167" hidden="1" outlineLevel="1">
      <c r="A493" s="29" t="str">
        <f t="shared" si="38"/>
        <v>lt002_instrumentrsk_mtgtd_ccp</v>
      </c>
      <c r="B493" s="67" t="s">
        <v>26</v>
      </c>
      <c r="C493" s="68" t="s">
        <v>26</v>
      </c>
      <c r="D493" s="64" t="s">
        <v>40</v>
      </c>
      <c r="E493" s="70" t="s">
        <v>379</v>
      </c>
      <c r="F493" s="71" t="s">
        <v>381</v>
      </c>
      <c r="G493" s="64" t="str">
        <f>INDEX(Auxiliar!$B$16:$B$24,MATCH(Plano_V1!H493,Auxiliar!$C$16:$C$24,0),1)</f>
        <v>5. Em Correção</v>
      </c>
      <c r="H493" s="64">
        <f>VLOOKUP(A493,'Aux - pivots1'!$A:$B,2,0)</f>
        <v>6</v>
      </c>
      <c r="I493" s="84">
        <f>SUMIFS(Table1[Estimação (horas)],Table1[Tabela],Plano_V1!E493,Table1[Campo],Plano_V1!F493)</f>
        <v>4.0999999999999996</v>
      </c>
      <c r="J493" s="84">
        <f t="shared" si="37"/>
        <v>0.51249999999999996</v>
      </c>
      <c r="K493" s="89" t="s">
        <v>39</v>
      </c>
      <c r="M493" s="78"/>
      <c r="N493" s="78"/>
      <c r="O493" s="78"/>
      <c r="P493" s="78"/>
      <c r="Q493" s="78"/>
      <c r="R493" s="78"/>
      <c r="S493" s="78"/>
      <c r="T493" s="78"/>
      <c r="U493" s="78"/>
      <c r="V493" s="78"/>
      <c r="W493" s="78"/>
      <c r="X493" s="78"/>
      <c r="Y493" s="78"/>
      <c r="Z493" s="78"/>
      <c r="AA493" s="78"/>
      <c r="AB493" s="78"/>
      <c r="AC493" s="78"/>
      <c r="AD493" s="78"/>
      <c r="AE493" s="78"/>
      <c r="AF493" s="78"/>
      <c r="AG493" s="78"/>
      <c r="AH493" s="78"/>
      <c r="AI493" s="78"/>
      <c r="AJ493" s="78"/>
      <c r="AK493" s="78"/>
      <c r="AL493" s="78"/>
      <c r="AM493" s="78"/>
      <c r="AN493" s="78"/>
      <c r="AO493" s="78"/>
      <c r="AP493" s="78"/>
      <c r="AQ493" s="78"/>
      <c r="AR493" s="78"/>
      <c r="AS493" s="78"/>
      <c r="AT493" s="91"/>
      <c r="AU493" s="78"/>
      <c r="AV493" s="78"/>
      <c r="AW493" s="78"/>
      <c r="AX493" s="78"/>
      <c r="AY493" s="78"/>
      <c r="AZ493" s="78"/>
      <c r="BA493" s="78"/>
      <c r="BB493" s="78"/>
      <c r="BC493" s="78"/>
      <c r="BD493" s="78"/>
      <c r="BE493" s="78"/>
      <c r="BF493" s="78"/>
      <c r="BG493" s="78"/>
      <c r="BH493" s="78"/>
      <c r="BI493" s="78"/>
      <c r="BJ493" s="78"/>
      <c r="BK493" s="78"/>
      <c r="BL493" s="78"/>
      <c r="BM493" s="78"/>
      <c r="BN493" s="78"/>
      <c r="BO493" s="78"/>
      <c r="BP493" s="78"/>
      <c r="BQ493" s="78"/>
      <c r="BR493" s="78"/>
      <c r="BS493" s="78"/>
      <c r="BT493" s="78"/>
      <c r="BU493" s="78"/>
      <c r="BV493" s="78"/>
      <c r="BW493" s="78"/>
      <c r="BX493" s="78"/>
      <c r="BY493" s="78"/>
      <c r="BZ493" s="78"/>
      <c r="CA493" s="78"/>
      <c r="CB493" s="78"/>
      <c r="CC493" s="78"/>
      <c r="CD493" s="78"/>
      <c r="CE493" s="78"/>
      <c r="CF493" s="78"/>
      <c r="CG493" s="78"/>
      <c r="CH493" s="78"/>
      <c r="CI493" s="78"/>
      <c r="CJ493" s="78"/>
      <c r="CK493" s="78"/>
      <c r="CL493" s="78"/>
      <c r="CM493" s="78"/>
      <c r="CN493" s="78"/>
      <c r="CO493" s="78"/>
      <c r="CP493" s="78"/>
      <c r="CQ493" s="78"/>
      <c r="CR493" s="78"/>
      <c r="CS493" s="78"/>
      <c r="CT493" s="78"/>
      <c r="CU493" s="78"/>
      <c r="CV493" s="78"/>
      <c r="CW493" s="78"/>
      <c r="CX493" s="78"/>
      <c r="CY493" s="78"/>
      <c r="CZ493" s="78"/>
      <c r="DA493" s="78"/>
      <c r="DB493" s="78"/>
      <c r="DC493" s="78"/>
      <c r="DD493" s="78"/>
      <c r="DE493" s="78"/>
      <c r="DF493" s="78"/>
      <c r="DG493" s="78"/>
      <c r="DH493" s="78"/>
      <c r="DI493" s="78"/>
      <c r="DJ493" s="78"/>
      <c r="DK493" s="78"/>
      <c r="DL493" s="78"/>
      <c r="DM493" s="78"/>
      <c r="DN493" s="78"/>
      <c r="DO493" s="78"/>
      <c r="DP493" s="78"/>
      <c r="DQ493" s="78"/>
      <c r="DR493" s="78"/>
      <c r="DS493" s="78"/>
      <c r="DT493" s="78"/>
      <c r="DU493" s="78"/>
      <c r="DV493" s="78"/>
      <c r="DW493" s="78"/>
      <c r="DX493" s="78"/>
      <c r="DY493" s="78"/>
      <c r="DZ493" s="78"/>
      <c r="EA493" s="78"/>
      <c r="EB493" s="78"/>
      <c r="EC493" s="78"/>
      <c r="ED493" s="78"/>
      <c r="EE493" s="78"/>
      <c r="EF493" s="78"/>
      <c r="EG493" s="78"/>
      <c r="EH493" s="78"/>
      <c r="EI493" s="91"/>
      <c r="EJ493" s="91"/>
      <c r="EK493" s="91"/>
      <c r="EL493" s="91"/>
      <c r="EM493" s="91"/>
      <c r="EN493" s="91"/>
      <c r="EO493" s="91"/>
      <c r="EP493" s="78"/>
      <c r="EQ493" s="78"/>
      <c r="ER493" s="78"/>
      <c r="ES493" s="78"/>
      <c r="ET493" s="78"/>
      <c r="EU493" s="78"/>
      <c r="EV493" s="78"/>
      <c r="EW493" s="78"/>
      <c r="EX493" s="78"/>
      <c r="EY493" s="78"/>
      <c r="EZ493" s="78"/>
      <c r="FA493" s="78"/>
      <c r="FB493" s="78"/>
      <c r="FC493" s="78"/>
      <c r="FD493" s="78"/>
      <c r="FE493" s="78"/>
      <c r="FF493" s="78"/>
      <c r="FG493" s="78"/>
      <c r="FH493" s="78"/>
      <c r="FI493" s="78"/>
      <c r="FJ493" s="78"/>
      <c r="FK493" s="78"/>
    </row>
    <row r="494" spans="1:167" hidden="1" outlineLevel="1">
      <c r="A494" s="29" t="str">
        <f t="shared" si="38"/>
        <v>lt002_instrumentenvrnmntl_objctv</v>
      </c>
      <c r="B494" s="67" t="s">
        <v>26</v>
      </c>
      <c r="C494" s="68" t="s">
        <v>26</v>
      </c>
      <c r="D494" s="64" t="s">
        <v>40</v>
      </c>
      <c r="E494" s="70" t="s">
        <v>379</v>
      </c>
      <c r="F494" s="71" t="s">
        <v>382</v>
      </c>
      <c r="G494" s="64" t="e">
        <f>INDEX(Auxiliar!$B$16:$B$24,MATCH(Plano_V1!H494,Auxiliar!$C$16:$C$24,0),1)</f>
        <v>#N/A</v>
      </c>
      <c r="H494" s="64" t="e">
        <f>VLOOKUP(A494,'Aux - pivots1'!$A:$B,2,0)</f>
        <v>#N/A</v>
      </c>
      <c r="I494" s="84">
        <f>SUMIFS(Table1[Estimação (horas)],Table1[Tabela],Plano_V1!E494,Table1[Campo],Plano_V1!F494)</f>
        <v>0</v>
      </c>
      <c r="J494" s="84">
        <f t="shared" si="37"/>
        <v>0</v>
      </c>
      <c r="K494" s="89" t="s">
        <v>39</v>
      </c>
      <c r="M494" s="78"/>
      <c r="N494" s="78"/>
      <c r="O494" s="78"/>
      <c r="P494" s="78"/>
      <c r="Q494" s="78"/>
      <c r="R494" s="78"/>
      <c r="S494" s="78"/>
      <c r="T494" s="78"/>
      <c r="U494" s="78"/>
      <c r="V494" s="78"/>
      <c r="W494" s="78"/>
      <c r="X494" s="78"/>
      <c r="Y494" s="78"/>
      <c r="Z494" s="78"/>
      <c r="AA494" s="78"/>
      <c r="AB494" s="78"/>
      <c r="AC494" s="78"/>
      <c r="AD494" s="78"/>
      <c r="AE494" s="78"/>
      <c r="AF494" s="78"/>
      <c r="AG494" s="78"/>
      <c r="AH494" s="78"/>
      <c r="AI494" s="78"/>
      <c r="AJ494" s="78"/>
      <c r="AK494" s="78"/>
      <c r="AL494" s="78"/>
      <c r="AM494" s="78"/>
      <c r="AN494" s="78"/>
      <c r="AO494" s="78"/>
      <c r="AP494" s="78"/>
      <c r="AQ494" s="78"/>
      <c r="AR494" s="78"/>
      <c r="AS494" s="78"/>
      <c r="AT494" s="91"/>
      <c r="AU494" s="78"/>
      <c r="AV494" s="78"/>
      <c r="AW494" s="78"/>
      <c r="AX494" s="78"/>
      <c r="AY494" s="78"/>
      <c r="AZ494" s="78"/>
      <c r="BA494" s="78"/>
      <c r="BB494" s="78"/>
      <c r="BC494" s="78"/>
      <c r="BD494" s="78"/>
      <c r="BE494" s="78"/>
      <c r="BF494" s="78"/>
      <c r="BG494" s="78"/>
      <c r="BH494" s="78"/>
      <c r="BI494" s="78"/>
      <c r="BJ494" s="78"/>
      <c r="BK494" s="78"/>
      <c r="BL494" s="78"/>
      <c r="BM494" s="78"/>
      <c r="BN494" s="78"/>
      <c r="BO494" s="78"/>
      <c r="BP494" s="78"/>
      <c r="BQ494" s="78"/>
      <c r="BR494" s="78"/>
      <c r="BS494" s="78"/>
      <c r="BT494" s="78"/>
      <c r="BU494" s="78"/>
      <c r="BV494" s="78"/>
      <c r="BW494" s="78"/>
      <c r="BX494" s="78"/>
      <c r="BY494" s="78"/>
      <c r="BZ494" s="78"/>
      <c r="CA494" s="78"/>
      <c r="CB494" s="78"/>
      <c r="CC494" s="78"/>
      <c r="CD494" s="78"/>
      <c r="CE494" s="78"/>
      <c r="CF494" s="78"/>
      <c r="CG494" s="78"/>
      <c r="CH494" s="78"/>
      <c r="CI494" s="78"/>
      <c r="CJ494" s="78"/>
      <c r="CK494" s="78"/>
      <c r="CL494" s="78"/>
      <c r="CM494" s="78"/>
      <c r="CN494" s="78"/>
      <c r="CO494" s="78"/>
      <c r="CP494" s="78"/>
      <c r="CQ494" s="78"/>
      <c r="CR494" s="78"/>
      <c r="CS494" s="78"/>
      <c r="CT494" s="78"/>
      <c r="CU494" s="78"/>
      <c r="CV494" s="78"/>
      <c r="CW494" s="78"/>
      <c r="CX494" s="78"/>
      <c r="CY494" s="78"/>
      <c r="CZ494" s="78"/>
      <c r="DA494" s="78"/>
      <c r="DB494" s="78"/>
      <c r="DC494" s="78"/>
      <c r="DD494" s="78"/>
      <c r="DE494" s="78"/>
      <c r="DF494" s="78"/>
      <c r="DG494" s="78"/>
      <c r="DH494" s="78"/>
      <c r="DI494" s="78"/>
      <c r="DJ494" s="78"/>
      <c r="DK494" s="78"/>
      <c r="DL494" s="78"/>
      <c r="DM494" s="78"/>
      <c r="DN494" s="78"/>
      <c r="DO494" s="78"/>
      <c r="DP494" s="78"/>
      <c r="DQ494" s="78"/>
      <c r="DR494" s="78"/>
      <c r="DS494" s="78"/>
      <c r="DT494" s="78"/>
      <c r="DU494" s="78"/>
      <c r="DV494" s="78"/>
      <c r="DW494" s="78"/>
      <c r="DX494" s="78"/>
      <c r="DY494" s="78"/>
      <c r="DZ494" s="78"/>
      <c r="EA494" s="78"/>
      <c r="EB494" s="78"/>
      <c r="EC494" s="78"/>
      <c r="ED494" s="78"/>
      <c r="EE494" s="78"/>
      <c r="EF494" s="78"/>
      <c r="EG494" s="78"/>
      <c r="EH494" s="78"/>
      <c r="EI494" s="91"/>
      <c r="EJ494" s="91"/>
      <c r="EK494" s="91"/>
      <c r="EL494" s="91"/>
      <c r="EM494" s="91"/>
      <c r="EN494" s="91"/>
      <c r="EO494" s="91"/>
      <c r="EP494" s="78"/>
      <c r="EQ494" s="78"/>
      <c r="ER494" s="78"/>
      <c r="ES494" s="78"/>
      <c r="ET494" s="78"/>
      <c r="EU494" s="78"/>
      <c r="EV494" s="78"/>
      <c r="EW494" s="78"/>
      <c r="EX494" s="78"/>
      <c r="EY494" s="78"/>
      <c r="EZ494" s="78"/>
      <c r="FA494" s="78"/>
      <c r="FB494" s="78"/>
      <c r="FC494" s="78"/>
      <c r="FD494" s="78"/>
      <c r="FE494" s="78"/>
      <c r="FF494" s="78"/>
      <c r="FG494" s="78"/>
      <c r="FH494" s="78"/>
      <c r="FI494" s="78"/>
      <c r="FJ494" s="78"/>
      <c r="FK494" s="78"/>
    </row>
    <row r="495" spans="1:167" hidden="1" outlineLevel="1">
      <c r="A495" s="29" t="str">
        <f t="shared" si="38"/>
        <v>lt002_instrumenttyp_actvty</v>
      </c>
      <c r="B495" s="67" t="s">
        <v>26</v>
      </c>
      <c r="C495" s="68" t="s">
        <v>26</v>
      </c>
      <c r="D495" s="64" t="s">
        <v>40</v>
      </c>
      <c r="E495" s="70" t="s">
        <v>379</v>
      </c>
      <c r="F495" s="71" t="s">
        <v>383</v>
      </c>
      <c r="G495" s="64" t="e">
        <f>INDEX(Auxiliar!$B$16:$B$24,MATCH(Plano_V1!H495,Auxiliar!$C$16:$C$24,0),1)</f>
        <v>#N/A</v>
      </c>
      <c r="H495" s="64" t="e">
        <f>VLOOKUP(A495,'Aux - pivots1'!$A:$B,2,0)</f>
        <v>#N/A</v>
      </c>
      <c r="I495" s="84">
        <f>SUMIFS(Table1[Estimação (horas)],Table1[Tabela],Plano_V1!E495,Table1[Campo],Plano_V1!F495)</f>
        <v>0</v>
      </c>
      <c r="J495" s="84">
        <f t="shared" si="37"/>
        <v>0</v>
      </c>
      <c r="K495" s="89" t="s">
        <v>39</v>
      </c>
      <c r="M495" s="78"/>
      <c r="N495" s="78"/>
      <c r="O495" s="78"/>
      <c r="P495" s="78"/>
      <c r="Q495" s="78"/>
      <c r="R495" s="78"/>
      <c r="S495" s="78"/>
      <c r="T495" s="78"/>
      <c r="U495" s="78"/>
      <c r="V495" s="78"/>
      <c r="W495" s="78"/>
      <c r="X495" s="78"/>
      <c r="Y495" s="78"/>
      <c r="Z495" s="78"/>
      <c r="AA495" s="78"/>
      <c r="AB495" s="78"/>
      <c r="AC495" s="78"/>
      <c r="AD495" s="78"/>
      <c r="AE495" s="78"/>
      <c r="AF495" s="78"/>
      <c r="AG495" s="78"/>
      <c r="AH495" s="78"/>
      <c r="AI495" s="78"/>
      <c r="AJ495" s="78"/>
      <c r="AK495" s="78"/>
      <c r="AL495" s="78"/>
      <c r="AM495" s="78"/>
      <c r="AN495" s="78"/>
      <c r="AO495" s="78"/>
      <c r="AP495" s="78"/>
      <c r="AQ495" s="78"/>
      <c r="AR495" s="78"/>
      <c r="AS495" s="78"/>
      <c r="AT495" s="91"/>
      <c r="AU495" s="78"/>
      <c r="AV495" s="78"/>
      <c r="AW495" s="78"/>
      <c r="AX495" s="78"/>
      <c r="AY495" s="78"/>
      <c r="AZ495" s="78"/>
      <c r="BA495" s="78"/>
      <c r="BB495" s="78"/>
      <c r="BC495" s="78"/>
      <c r="BD495" s="78"/>
      <c r="BE495" s="78"/>
      <c r="BF495" s="78"/>
      <c r="BG495" s="78"/>
      <c r="BH495" s="78"/>
      <c r="BI495" s="78"/>
      <c r="BJ495" s="78"/>
      <c r="BK495" s="78"/>
      <c r="BL495" s="78"/>
      <c r="BM495" s="78"/>
      <c r="BN495" s="78"/>
      <c r="BO495" s="78"/>
      <c r="BP495" s="78"/>
      <c r="BQ495" s="78"/>
      <c r="BR495" s="78"/>
      <c r="BS495" s="78"/>
      <c r="BT495" s="78"/>
      <c r="BU495" s="78"/>
      <c r="BV495" s="78"/>
      <c r="BW495" s="78"/>
      <c r="BX495" s="78"/>
      <c r="BY495" s="78"/>
      <c r="BZ495" s="78"/>
      <c r="CA495" s="78"/>
      <c r="CB495" s="78"/>
      <c r="CC495" s="78"/>
      <c r="CD495" s="78"/>
      <c r="CE495" s="78"/>
      <c r="CF495" s="78"/>
      <c r="CG495" s="78"/>
      <c r="CH495" s="78"/>
      <c r="CI495" s="78"/>
      <c r="CJ495" s="78"/>
      <c r="CK495" s="78"/>
      <c r="CL495" s="78"/>
      <c r="CM495" s="78"/>
      <c r="CN495" s="78"/>
      <c r="CO495" s="78"/>
      <c r="CP495" s="78"/>
      <c r="CQ495" s="78"/>
      <c r="CR495" s="78"/>
      <c r="CS495" s="78"/>
      <c r="CT495" s="78"/>
      <c r="CU495" s="78"/>
      <c r="CV495" s="78"/>
      <c r="CW495" s="78"/>
      <c r="CX495" s="78"/>
      <c r="CY495" s="78"/>
      <c r="CZ495" s="78"/>
      <c r="DA495" s="78"/>
      <c r="DB495" s="78"/>
      <c r="DC495" s="78"/>
      <c r="DD495" s="78"/>
      <c r="DE495" s="78"/>
      <c r="DF495" s="78"/>
      <c r="DG495" s="78"/>
      <c r="DH495" s="78"/>
      <c r="DI495" s="78"/>
      <c r="DJ495" s="78"/>
      <c r="DK495" s="78"/>
      <c r="DL495" s="78"/>
      <c r="DM495" s="78"/>
      <c r="DN495" s="78"/>
      <c r="DO495" s="78"/>
      <c r="DP495" s="78"/>
      <c r="DQ495" s="78"/>
      <c r="DR495" s="78"/>
      <c r="DS495" s="78"/>
      <c r="DT495" s="78"/>
      <c r="DU495" s="78"/>
      <c r="DV495" s="78"/>
      <c r="DW495" s="78"/>
      <c r="DX495" s="78"/>
      <c r="DY495" s="78"/>
      <c r="DZ495" s="78"/>
      <c r="EA495" s="78"/>
      <c r="EB495" s="78"/>
      <c r="EC495" s="78"/>
      <c r="ED495" s="78"/>
      <c r="EE495" s="78"/>
      <c r="EF495" s="78"/>
      <c r="EG495" s="78"/>
      <c r="EH495" s="78"/>
      <c r="EI495" s="91"/>
      <c r="EJ495" s="91"/>
      <c r="EK495" s="91"/>
      <c r="EL495" s="91"/>
      <c r="EM495" s="91"/>
      <c r="EN495" s="91"/>
      <c r="EO495" s="91"/>
      <c r="EP495" s="78"/>
      <c r="EQ495" s="78"/>
      <c r="ER495" s="78"/>
      <c r="ES495" s="78"/>
      <c r="ET495" s="78"/>
      <c r="EU495" s="78"/>
      <c r="EV495" s="78"/>
      <c r="EW495" s="78"/>
      <c r="EX495" s="78"/>
      <c r="EY495" s="78"/>
      <c r="EZ495" s="78"/>
      <c r="FA495" s="78"/>
      <c r="FB495" s="78"/>
      <c r="FC495" s="78"/>
      <c r="FD495" s="78"/>
      <c r="FE495" s="78"/>
      <c r="FF495" s="78"/>
      <c r="FG495" s="78"/>
      <c r="FH495" s="78"/>
      <c r="FI495" s="78"/>
      <c r="FJ495" s="78"/>
      <c r="FK495" s="78"/>
    </row>
    <row r="496" spans="1:167" hidden="1" outlineLevel="1">
      <c r="A496" s="29" t="str">
        <f t="shared" si="38"/>
        <v>lt002_instrumentlns_clltrlzd_clssfctn</v>
      </c>
      <c r="B496" s="67" t="s">
        <v>26</v>
      </c>
      <c r="C496" s="68" t="s">
        <v>26</v>
      </c>
      <c r="D496" s="64" t="s">
        <v>40</v>
      </c>
      <c r="E496" s="70" t="s">
        <v>379</v>
      </c>
      <c r="F496" s="71" t="s">
        <v>384</v>
      </c>
      <c r="G496" s="64" t="str">
        <f>INDEX(Auxiliar!$B$16:$B$24,MATCH(Plano_V1!H496,Auxiliar!$C$16:$C$24,0),1)</f>
        <v>1. Concluído</v>
      </c>
      <c r="H496" s="64">
        <f>VLOOKUP(A496,'Aux - pivots1'!$A:$B,2,0)</f>
        <v>1</v>
      </c>
      <c r="I496" s="84">
        <f>SUMIFS(Table1[Estimação (horas)],Table1[Tabela],Plano_V1!E496,Table1[Campo],Plano_V1!F496)</f>
        <v>4.0999999999999996</v>
      </c>
      <c r="J496" s="84">
        <f t="shared" si="37"/>
        <v>0.51249999999999996</v>
      </c>
      <c r="K496" s="89" t="s">
        <v>39</v>
      </c>
      <c r="M496" s="78"/>
      <c r="N496" s="78"/>
      <c r="O496" s="78"/>
      <c r="P496" s="78"/>
      <c r="Q496" s="78"/>
      <c r="R496" s="78"/>
      <c r="S496" s="78"/>
      <c r="T496" s="78"/>
      <c r="U496" s="78"/>
      <c r="V496" s="78"/>
      <c r="W496" s="78"/>
      <c r="X496" s="78"/>
      <c r="Y496" s="78"/>
      <c r="Z496" s="78"/>
      <c r="AA496" s="78"/>
      <c r="AB496" s="78"/>
      <c r="AC496" s="78"/>
      <c r="AD496" s="78"/>
      <c r="AE496" s="78"/>
      <c r="AF496" s="78"/>
      <c r="AG496" s="78"/>
      <c r="AH496" s="78"/>
      <c r="AI496" s="78"/>
      <c r="AJ496" s="78"/>
      <c r="AK496" s="78"/>
      <c r="AL496" s="78"/>
      <c r="AM496" s="78"/>
      <c r="AN496" s="78"/>
      <c r="AO496" s="78"/>
      <c r="AP496" s="78"/>
      <c r="AQ496" s="78"/>
      <c r="AR496" s="78"/>
      <c r="AS496" s="78"/>
      <c r="AT496" s="91"/>
      <c r="AU496" s="78"/>
      <c r="AV496" s="78"/>
      <c r="AW496" s="78"/>
      <c r="AX496" s="78"/>
      <c r="AY496" s="78"/>
      <c r="AZ496" s="78"/>
      <c r="BA496" s="78"/>
      <c r="BB496" s="78"/>
      <c r="BC496" s="78"/>
      <c r="BD496" s="78"/>
      <c r="BE496" s="78"/>
      <c r="BF496" s="78"/>
      <c r="BG496" s="78"/>
      <c r="BH496" s="78"/>
      <c r="BI496" s="78"/>
      <c r="BJ496" s="78"/>
      <c r="BK496" s="78"/>
      <c r="BL496" s="78"/>
      <c r="BM496" s="78"/>
      <c r="BN496" s="78"/>
      <c r="BO496" s="78"/>
      <c r="BP496" s="78"/>
      <c r="BQ496" s="78"/>
      <c r="BR496" s="78"/>
      <c r="BS496" s="78"/>
      <c r="BT496" s="78"/>
      <c r="BU496" s="78"/>
      <c r="BV496" s="78"/>
      <c r="BW496" s="78"/>
      <c r="BX496" s="78"/>
      <c r="BY496" s="78"/>
      <c r="BZ496" s="78"/>
      <c r="CA496" s="78"/>
      <c r="CB496" s="78"/>
      <c r="CC496" s="78"/>
      <c r="CD496" s="78"/>
      <c r="CE496" s="78"/>
      <c r="CF496" s="78"/>
      <c r="CG496" s="78"/>
      <c r="CH496" s="78"/>
      <c r="CI496" s="78"/>
      <c r="CJ496" s="78"/>
      <c r="CK496" s="78"/>
      <c r="CL496" s="78"/>
      <c r="CM496" s="78"/>
      <c r="CN496" s="78"/>
      <c r="CO496" s="78"/>
      <c r="CP496" s="78"/>
      <c r="CQ496" s="78"/>
      <c r="CR496" s="78"/>
      <c r="CS496" s="78"/>
      <c r="CT496" s="78"/>
      <c r="CU496" s="78"/>
      <c r="CV496" s="78"/>
      <c r="CW496" s="78"/>
      <c r="CX496" s="78"/>
      <c r="CY496" s="78"/>
      <c r="CZ496" s="78"/>
      <c r="DA496" s="78"/>
      <c r="DB496" s="78"/>
      <c r="DC496" s="78"/>
      <c r="DD496" s="78"/>
      <c r="DE496" s="78"/>
      <c r="DF496" s="78"/>
      <c r="DG496" s="78"/>
      <c r="DH496" s="78"/>
      <c r="DI496" s="78"/>
      <c r="DJ496" s="78"/>
      <c r="DK496" s="78"/>
      <c r="DL496" s="78"/>
      <c r="DM496" s="78"/>
      <c r="DN496" s="78"/>
      <c r="DO496" s="78"/>
      <c r="DP496" s="78"/>
      <c r="DQ496" s="78"/>
      <c r="DR496" s="78"/>
      <c r="DS496" s="78"/>
      <c r="DT496" s="78"/>
      <c r="DU496" s="78"/>
      <c r="DV496" s="78"/>
      <c r="DW496" s="78"/>
      <c r="DX496" s="78"/>
      <c r="DY496" s="78"/>
      <c r="DZ496" s="78"/>
      <c r="EA496" s="78"/>
      <c r="EB496" s="78"/>
      <c r="EC496" s="78"/>
      <c r="ED496" s="78"/>
      <c r="EE496" s="78"/>
      <c r="EF496" s="78"/>
      <c r="EG496" s="78"/>
      <c r="EH496" s="78"/>
      <c r="EI496" s="91"/>
      <c r="EJ496" s="91"/>
      <c r="EK496" s="91"/>
      <c r="EL496" s="91"/>
      <c r="EM496" s="91"/>
      <c r="EN496" s="91"/>
      <c r="EO496" s="91"/>
      <c r="EP496" s="78"/>
      <c r="EQ496" s="78"/>
      <c r="ER496" s="78"/>
      <c r="ES496" s="78"/>
      <c r="ET496" s="78"/>
      <c r="EU496" s="78"/>
      <c r="EV496" s="78"/>
      <c r="EW496" s="78"/>
      <c r="EX496" s="78"/>
      <c r="EY496" s="78"/>
      <c r="EZ496" s="78"/>
      <c r="FA496" s="78"/>
      <c r="FB496" s="78"/>
      <c r="FC496" s="78"/>
      <c r="FD496" s="78"/>
      <c r="FE496" s="78"/>
      <c r="FF496" s="78"/>
      <c r="FG496" s="78"/>
      <c r="FH496" s="78"/>
      <c r="FI496" s="78"/>
      <c r="FJ496" s="78"/>
      <c r="FK496" s="78"/>
    </row>
    <row r="497" spans="1:167" hidden="1" outlineLevel="1">
      <c r="A497" s="29" t="str">
        <f t="shared" si="38"/>
        <v>lt002_instrumentmthd_usd_instrmnt_scp_1</v>
      </c>
      <c r="B497" s="67" t="s">
        <v>26</v>
      </c>
      <c r="C497" s="68" t="s">
        <v>26</v>
      </c>
      <c r="D497" s="64" t="s">
        <v>40</v>
      </c>
      <c r="E497" s="70" t="s">
        <v>379</v>
      </c>
      <c r="F497" s="71" t="s">
        <v>385</v>
      </c>
      <c r="G497" s="64" t="str">
        <f>INDEX(Auxiliar!$B$16:$B$24,MATCH(Plano_V1!H497,Auxiliar!$C$16:$C$24,0),1)</f>
        <v>5. Em Correção</v>
      </c>
      <c r="H497" s="64">
        <f>VLOOKUP(A497,'Aux - pivots1'!$A:$B,2,0)</f>
        <v>6</v>
      </c>
      <c r="I497" s="84">
        <f>SUMIFS(Table1[Estimação (horas)],Table1[Tabela],Plano_V1!E497,Table1[Campo],Plano_V1!F497)</f>
        <v>4.0999999999999996</v>
      </c>
      <c r="J497" s="84">
        <f t="shared" si="37"/>
        <v>0.51249999999999996</v>
      </c>
      <c r="K497" s="89" t="s">
        <v>39</v>
      </c>
      <c r="M497" s="78"/>
      <c r="N497" s="78"/>
      <c r="O497" s="78"/>
      <c r="P497" s="78"/>
      <c r="Q497" s="78"/>
      <c r="R497" s="78"/>
      <c r="S497" s="78"/>
      <c r="T497" s="78"/>
      <c r="U497" s="78"/>
      <c r="V497" s="78"/>
      <c r="W497" s="78"/>
      <c r="X497" s="78"/>
      <c r="Y497" s="78"/>
      <c r="Z497" s="78"/>
      <c r="AA497" s="78"/>
      <c r="AB497" s="78"/>
      <c r="AC497" s="78"/>
      <c r="AD497" s="78"/>
      <c r="AE497" s="78"/>
      <c r="AF497" s="78"/>
      <c r="AG497" s="78"/>
      <c r="AH497" s="78"/>
      <c r="AI497" s="78"/>
      <c r="AJ497" s="78"/>
      <c r="AK497" s="78"/>
      <c r="AL497" s="78"/>
      <c r="AM497" s="78"/>
      <c r="AN497" s="78"/>
      <c r="AO497" s="78"/>
      <c r="AP497" s="78"/>
      <c r="AQ497" s="78"/>
      <c r="AR497" s="78"/>
      <c r="AS497" s="78"/>
      <c r="AT497" s="91"/>
      <c r="AU497" s="78"/>
      <c r="AV497" s="78"/>
      <c r="AW497" s="78"/>
      <c r="AX497" s="78"/>
      <c r="AY497" s="78"/>
      <c r="AZ497" s="78"/>
      <c r="BA497" s="78"/>
      <c r="BB497" s="78"/>
      <c r="BC497" s="78"/>
      <c r="BD497" s="78"/>
      <c r="BE497" s="78"/>
      <c r="BF497" s="78"/>
      <c r="BG497" s="78"/>
      <c r="BH497" s="78"/>
      <c r="BI497" s="78"/>
      <c r="BJ497" s="78"/>
      <c r="BK497" s="78"/>
      <c r="BL497" s="78"/>
      <c r="BM497" s="78"/>
      <c r="BN497" s="78"/>
      <c r="BO497" s="78"/>
      <c r="BP497" s="78"/>
      <c r="BQ497" s="78"/>
      <c r="BR497" s="78"/>
      <c r="BS497" s="78"/>
      <c r="BT497" s="78"/>
      <c r="BU497" s="78"/>
      <c r="BV497" s="78"/>
      <c r="BW497" s="78"/>
      <c r="BX497" s="78"/>
      <c r="BY497" s="78"/>
      <c r="BZ497" s="78"/>
      <c r="CA497" s="78"/>
      <c r="CB497" s="78"/>
      <c r="CC497" s="78"/>
      <c r="CD497" s="78"/>
      <c r="CE497" s="78"/>
      <c r="CF497" s="78"/>
      <c r="CG497" s="78"/>
      <c r="CH497" s="78"/>
      <c r="CI497" s="78"/>
      <c r="CJ497" s="78"/>
      <c r="CK497" s="78"/>
      <c r="CL497" s="78"/>
      <c r="CM497" s="78"/>
      <c r="CN497" s="78"/>
      <c r="CO497" s="78"/>
      <c r="CP497" s="78"/>
      <c r="CQ497" s="78"/>
      <c r="CR497" s="78"/>
      <c r="CS497" s="78"/>
      <c r="CT497" s="78"/>
      <c r="CU497" s="78"/>
      <c r="CV497" s="78"/>
      <c r="CW497" s="78"/>
      <c r="CX497" s="78"/>
      <c r="CY497" s="78"/>
      <c r="CZ497" s="78"/>
      <c r="DA497" s="78"/>
      <c r="DB497" s="78"/>
      <c r="DC497" s="78"/>
      <c r="DD497" s="78"/>
      <c r="DE497" s="78"/>
      <c r="DF497" s="78"/>
      <c r="DG497" s="78"/>
      <c r="DH497" s="78"/>
      <c r="DI497" s="78"/>
      <c r="DJ497" s="78"/>
      <c r="DK497" s="78"/>
      <c r="DL497" s="78"/>
      <c r="DM497" s="78"/>
      <c r="DN497" s="78"/>
      <c r="DO497" s="78"/>
      <c r="DP497" s="78"/>
      <c r="DQ497" s="78"/>
      <c r="DR497" s="78"/>
      <c r="DS497" s="78"/>
      <c r="DT497" s="78"/>
      <c r="DU497" s="78"/>
      <c r="DV497" s="78"/>
      <c r="DW497" s="78"/>
      <c r="DX497" s="78"/>
      <c r="DY497" s="78"/>
      <c r="DZ497" s="78"/>
      <c r="EA497" s="78"/>
      <c r="EB497" s="78"/>
      <c r="EC497" s="78"/>
      <c r="ED497" s="78"/>
      <c r="EE497" s="78"/>
      <c r="EF497" s="78"/>
      <c r="EG497" s="78"/>
      <c r="EH497" s="78"/>
      <c r="EI497" s="91"/>
      <c r="EJ497" s="91"/>
      <c r="EK497" s="91"/>
      <c r="EL497" s="91"/>
      <c r="EM497" s="91"/>
      <c r="EN497" s="91"/>
      <c r="EO497" s="91"/>
      <c r="EP497" s="78"/>
      <c r="EQ497" s="78"/>
      <c r="ER497" s="78"/>
      <c r="ES497" s="78"/>
      <c r="ET497" s="78"/>
      <c r="EU497" s="78"/>
      <c r="EV497" s="78"/>
      <c r="EW497" s="78"/>
      <c r="EX497" s="78"/>
      <c r="EY497" s="78"/>
      <c r="EZ497" s="78"/>
      <c r="FA497" s="78"/>
      <c r="FB497" s="78"/>
      <c r="FC497" s="78"/>
      <c r="FD497" s="78"/>
      <c r="FE497" s="78"/>
      <c r="FF497" s="78"/>
      <c r="FG497" s="78"/>
      <c r="FH497" s="78"/>
      <c r="FI497" s="78"/>
      <c r="FJ497" s="78"/>
      <c r="FK497" s="78"/>
    </row>
    <row r="498" spans="1:167" hidden="1" outlineLevel="1">
      <c r="A498" s="29" t="str">
        <f t="shared" si="38"/>
        <v>lt002_instrumentmthd_usd_instrmnt_scp_2</v>
      </c>
      <c r="B498" s="67" t="s">
        <v>26</v>
      </c>
      <c r="C498" s="68" t="s">
        <v>26</v>
      </c>
      <c r="D498" s="64" t="s">
        <v>40</v>
      </c>
      <c r="E498" s="70" t="s">
        <v>379</v>
      </c>
      <c r="F498" s="71" t="s">
        <v>386</v>
      </c>
      <c r="G498" s="64" t="str">
        <f>INDEX(Auxiliar!$B$16:$B$24,MATCH(Plano_V1!H498,Auxiliar!$C$16:$C$24,0),1)</f>
        <v>5. Em Correção</v>
      </c>
      <c r="H498" s="64">
        <f>VLOOKUP(A498,'Aux - pivots1'!$A:$B,2,0)</f>
        <v>6</v>
      </c>
      <c r="I498" s="84">
        <f>SUMIFS(Table1[Estimação (horas)],Table1[Tabela],Plano_V1!E498,Table1[Campo],Plano_V1!F498)</f>
        <v>4.0999999999999996</v>
      </c>
      <c r="J498" s="84">
        <f t="shared" si="37"/>
        <v>0.51249999999999996</v>
      </c>
      <c r="K498" s="89" t="s">
        <v>39</v>
      </c>
      <c r="M498" s="78"/>
      <c r="N498" s="78"/>
      <c r="O498" s="78"/>
      <c r="P498" s="78"/>
      <c r="Q498" s="78"/>
      <c r="R498" s="78"/>
      <c r="S498" s="78"/>
      <c r="T498" s="78"/>
      <c r="U498" s="78"/>
      <c r="V498" s="78"/>
      <c r="W498" s="78"/>
      <c r="X498" s="78"/>
      <c r="Y498" s="78"/>
      <c r="Z498" s="78"/>
      <c r="AA498" s="78"/>
      <c r="AB498" s="78"/>
      <c r="AC498" s="78"/>
      <c r="AD498" s="78"/>
      <c r="AE498" s="78"/>
      <c r="AF498" s="78"/>
      <c r="AG498" s="78"/>
      <c r="AH498" s="78"/>
      <c r="AI498" s="78"/>
      <c r="AJ498" s="78"/>
      <c r="AK498" s="78"/>
      <c r="AL498" s="78"/>
      <c r="AM498" s="78"/>
      <c r="AN498" s="78"/>
      <c r="AO498" s="78"/>
      <c r="AP498" s="78"/>
      <c r="AQ498" s="78"/>
      <c r="AR498" s="78"/>
      <c r="AS498" s="78"/>
      <c r="AT498" s="91"/>
      <c r="AU498" s="78"/>
      <c r="AV498" s="78"/>
      <c r="AW498" s="78"/>
      <c r="AX498" s="78"/>
      <c r="AY498" s="78"/>
      <c r="AZ498" s="78"/>
      <c r="BA498" s="78"/>
      <c r="BB498" s="78"/>
      <c r="BC498" s="78"/>
      <c r="BD498" s="78"/>
      <c r="BE498" s="78"/>
      <c r="BF498" s="78"/>
      <c r="BG498" s="78"/>
      <c r="BH498" s="78"/>
      <c r="BI498" s="78"/>
      <c r="BJ498" s="78"/>
      <c r="BK498" s="78"/>
      <c r="BL498" s="78"/>
      <c r="BM498" s="78"/>
      <c r="BN498" s="78"/>
      <c r="BO498" s="78"/>
      <c r="BP498" s="78"/>
      <c r="BQ498" s="78"/>
      <c r="BR498" s="78"/>
      <c r="BS498" s="78"/>
      <c r="BT498" s="78"/>
      <c r="BU498" s="78"/>
      <c r="BV498" s="78"/>
      <c r="BW498" s="78"/>
      <c r="BX498" s="78"/>
      <c r="BY498" s="78"/>
      <c r="BZ498" s="78"/>
      <c r="CA498" s="78"/>
      <c r="CB498" s="78"/>
      <c r="CC498" s="78"/>
      <c r="CD498" s="78"/>
      <c r="CE498" s="78"/>
      <c r="CF498" s="78"/>
      <c r="CG498" s="78"/>
      <c r="CH498" s="78"/>
      <c r="CI498" s="78"/>
      <c r="CJ498" s="78"/>
      <c r="CK498" s="78"/>
      <c r="CL498" s="78"/>
      <c r="CM498" s="78"/>
      <c r="CN498" s="78"/>
      <c r="CO498" s="78"/>
      <c r="CP498" s="78"/>
      <c r="CQ498" s="78"/>
      <c r="CR498" s="78"/>
      <c r="CS498" s="78"/>
      <c r="CT498" s="78"/>
      <c r="CU498" s="78"/>
      <c r="CV498" s="78"/>
      <c r="CW498" s="78"/>
      <c r="CX498" s="78"/>
      <c r="CY498" s="78"/>
      <c r="CZ498" s="78"/>
      <c r="DA498" s="78"/>
      <c r="DB498" s="78"/>
      <c r="DC498" s="78"/>
      <c r="DD498" s="78"/>
      <c r="DE498" s="78"/>
      <c r="DF498" s="78"/>
      <c r="DG498" s="78"/>
      <c r="DH498" s="78"/>
      <c r="DI498" s="78"/>
      <c r="DJ498" s="78"/>
      <c r="DK498" s="78"/>
      <c r="DL498" s="78"/>
      <c r="DM498" s="78"/>
      <c r="DN498" s="78"/>
      <c r="DO498" s="78"/>
      <c r="DP498" s="78"/>
      <c r="DQ498" s="78"/>
      <c r="DR498" s="78"/>
      <c r="DS498" s="78"/>
      <c r="DT498" s="78"/>
      <c r="DU498" s="78"/>
      <c r="DV498" s="78"/>
      <c r="DW498" s="78"/>
      <c r="DX498" s="78"/>
      <c r="DY498" s="78"/>
      <c r="DZ498" s="78"/>
      <c r="EA498" s="78"/>
      <c r="EB498" s="78"/>
      <c r="EC498" s="78"/>
      <c r="ED498" s="78"/>
      <c r="EE498" s="78"/>
      <c r="EF498" s="78"/>
      <c r="EG498" s="78"/>
      <c r="EH498" s="78"/>
      <c r="EI498" s="91"/>
      <c r="EJ498" s="91"/>
      <c r="EK498" s="91"/>
      <c r="EL498" s="91"/>
      <c r="EM498" s="91"/>
      <c r="EN498" s="91"/>
      <c r="EO498" s="91"/>
      <c r="EP498" s="78"/>
      <c r="EQ498" s="78"/>
      <c r="ER498" s="78"/>
      <c r="ES498" s="78"/>
      <c r="ET498" s="78"/>
      <c r="EU498" s="78"/>
      <c r="EV498" s="78"/>
      <c r="EW498" s="78"/>
      <c r="EX498" s="78"/>
      <c r="EY498" s="78"/>
      <c r="EZ498" s="78"/>
      <c r="FA498" s="78"/>
      <c r="FB498" s="78"/>
      <c r="FC498" s="78"/>
      <c r="FD498" s="78"/>
      <c r="FE498" s="78"/>
      <c r="FF498" s="78"/>
      <c r="FG498" s="78"/>
      <c r="FH498" s="78"/>
      <c r="FI498" s="78"/>
      <c r="FJ498" s="78"/>
      <c r="FK498" s="78"/>
    </row>
    <row r="499" spans="1:167" hidden="1" outlineLevel="1">
      <c r="A499" s="29" t="str">
        <f t="shared" si="38"/>
        <v>lt002_instrumentmthd_usd_instrmnt_scp_3</v>
      </c>
      <c r="B499" s="67" t="s">
        <v>26</v>
      </c>
      <c r="C499" s="68" t="s">
        <v>26</v>
      </c>
      <c r="D499" s="64" t="s">
        <v>40</v>
      </c>
      <c r="E499" s="70" t="s">
        <v>379</v>
      </c>
      <c r="F499" s="71" t="s">
        <v>387</v>
      </c>
      <c r="G499" s="64" t="str">
        <f>INDEX(Auxiliar!$B$16:$B$24,MATCH(Plano_V1!H499,Auxiliar!$C$16:$C$24,0),1)</f>
        <v>5. Em Correção</v>
      </c>
      <c r="H499" s="64">
        <f>VLOOKUP(A499,'Aux - pivots1'!$A:$B,2,0)</f>
        <v>6</v>
      </c>
      <c r="I499" s="84">
        <f>SUMIFS(Table1[Estimação (horas)],Table1[Tabela],Plano_V1!E499,Table1[Campo],Plano_V1!F499)</f>
        <v>4.0999999999999996</v>
      </c>
      <c r="J499" s="84">
        <f t="shared" si="37"/>
        <v>0.51249999999999996</v>
      </c>
      <c r="K499" s="89" t="s">
        <v>39</v>
      </c>
      <c r="M499" s="78"/>
      <c r="N499" s="78"/>
      <c r="O499" s="78"/>
      <c r="P499" s="78"/>
      <c r="Q499" s="78"/>
      <c r="R499" s="78"/>
      <c r="S499" s="78"/>
      <c r="T499" s="78"/>
      <c r="U499" s="78"/>
      <c r="V499" s="78"/>
      <c r="W499" s="78"/>
      <c r="X499" s="78"/>
      <c r="Y499" s="78"/>
      <c r="Z499" s="78"/>
      <c r="AA499" s="78"/>
      <c r="AB499" s="78"/>
      <c r="AC499" s="78"/>
      <c r="AD499" s="78"/>
      <c r="AE499" s="78"/>
      <c r="AF499" s="78"/>
      <c r="AG499" s="78"/>
      <c r="AH499" s="78"/>
      <c r="AI499" s="78"/>
      <c r="AJ499" s="78"/>
      <c r="AK499" s="78"/>
      <c r="AL499" s="78"/>
      <c r="AM499" s="78"/>
      <c r="AN499" s="78"/>
      <c r="AO499" s="78"/>
      <c r="AP499" s="78"/>
      <c r="AQ499" s="78"/>
      <c r="AR499" s="78"/>
      <c r="AS499" s="78"/>
      <c r="AT499" s="91"/>
      <c r="AU499" s="78"/>
      <c r="AV499" s="78"/>
      <c r="AW499" s="78"/>
      <c r="AX499" s="78"/>
      <c r="AY499" s="78"/>
      <c r="AZ499" s="78"/>
      <c r="BA499" s="78"/>
      <c r="BB499" s="78"/>
      <c r="BC499" s="78"/>
      <c r="BD499" s="78"/>
      <c r="BE499" s="78"/>
      <c r="BF499" s="78"/>
      <c r="BG499" s="78"/>
      <c r="BH499" s="78"/>
      <c r="BI499" s="78"/>
      <c r="BJ499" s="78"/>
      <c r="BK499" s="78"/>
      <c r="BL499" s="78"/>
      <c r="BM499" s="78"/>
      <c r="BN499" s="78"/>
      <c r="BO499" s="78"/>
      <c r="BP499" s="78"/>
      <c r="BQ499" s="78"/>
      <c r="BR499" s="78"/>
      <c r="BS499" s="78"/>
      <c r="BT499" s="78"/>
      <c r="BU499" s="78"/>
      <c r="BV499" s="78"/>
      <c r="BW499" s="78"/>
      <c r="BX499" s="78"/>
      <c r="BY499" s="78"/>
      <c r="BZ499" s="78"/>
      <c r="CA499" s="78"/>
      <c r="CB499" s="78"/>
      <c r="CC499" s="78"/>
      <c r="CD499" s="78"/>
      <c r="CE499" s="78"/>
      <c r="CF499" s="78"/>
      <c r="CG499" s="78"/>
      <c r="CH499" s="78"/>
      <c r="CI499" s="78"/>
      <c r="CJ499" s="78"/>
      <c r="CK499" s="78"/>
      <c r="CL499" s="78"/>
      <c r="CM499" s="78"/>
      <c r="CN499" s="78"/>
      <c r="CO499" s="78"/>
      <c r="CP499" s="78"/>
      <c r="CQ499" s="78"/>
      <c r="CR499" s="78"/>
      <c r="CS499" s="78"/>
      <c r="CT499" s="78"/>
      <c r="CU499" s="78"/>
      <c r="CV499" s="78"/>
      <c r="CW499" s="78"/>
      <c r="CX499" s="78"/>
      <c r="CY499" s="78"/>
      <c r="CZ499" s="78"/>
      <c r="DA499" s="78"/>
      <c r="DB499" s="78"/>
      <c r="DC499" s="78"/>
      <c r="DD499" s="78"/>
      <c r="DE499" s="78"/>
      <c r="DF499" s="78"/>
      <c r="DG499" s="78"/>
      <c r="DH499" s="78"/>
      <c r="DI499" s="78"/>
      <c r="DJ499" s="78"/>
      <c r="DK499" s="78"/>
      <c r="DL499" s="78"/>
      <c r="DM499" s="78"/>
      <c r="DN499" s="78"/>
      <c r="DO499" s="78"/>
      <c r="DP499" s="78"/>
      <c r="DQ499" s="78"/>
      <c r="DR499" s="78"/>
      <c r="DS499" s="78"/>
      <c r="DT499" s="78"/>
      <c r="DU499" s="78"/>
      <c r="DV499" s="78"/>
      <c r="DW499" s="78"/>
      <c r="DX499" s="78"/>
      <c r="DY499" s="78"/>
      <c r="DZ499" s="78"/>
      <c r="EA499" s="78"/>
      <c r="EB499" s="78"/>
      <c r="EC499" s="78"/>
      <c r="ED499" s="78"/>
      <c r="EE499" s="78"/>
      <c r="EF499" s="78"/>
      <c r="EG499" s="78"/>
      <c r="EH499" s="78"/>
      <c r="EI499" s="91"/>
      <c r="EJ499" s="91"/>
      <c r="EK499" s="91"/>
      <c r="EL499" s="91"/>
      <c r="EM499" s="91"/>
      <c r="EN499" s="91"/>
      <c r="EO499" s="91"/>
      <c r="EP499" s="78"/>
      <c r="EQ499" s="78"/>
      <c r="ER499" s="78"/>
      <c r="ES499" s="78"/>
      <c r="ET499" s="78"/>
      <c r="EU499" s="78"/>
      <c r="EV499" s="78"/>
      <c r="EW499" s="78"/>
      <c r="EX499" s="78"/>
      <c r="EY499" s="78"/>
      <c r="EZ499" s="78"/>
      <c r="FA499" s="78"/>
      <c r="FB499" s="78"/>
      <c r="FC499" s="78"/>
      <c r="FD499" s="78"/>
      <c r="FE499" s="78"/>
      <c r="FF499" s="78"/>
      <c r="FG499" s="78"/>
      <c r="FH499" s="78"/>
      <c r="FI499" s="78"/>
      <c r="FJ499" s="78"/>
      <c r="FK499" s="78"/>
    </row>
    <row r="500" spans="1:167" hidden="1" outlineLevel="1">
      <c r="A500" s="29" t="str">
        <f t="shared" si="38"/>
        <v>lt002_instrumentsstnbl_ctgry_txnmy</v>
      </c>
      <c r="B500" s="67" t="s">
        <v>26</v>
      </c>
      <c r="C500" s="68" t="s">
        <v>26</v>
      </c>
      <c r="D500" s="64" t="s">
        <v>40</v>
      </c>
      <c r="E500" s="70" t="s">
        <v>379</v>
      </c>
      <c r="F500" s="71" t="s">
        <v>388</v>
      </c>
      <c r="G500" s="64" t="e">
        <f>INDEX(Auxiliar!$B$16:$B$24,MATCH(Plano_V1!H500,Auxiliar!$C$16:$C$24,0),1)</f>
        <v>#N/A</v>
      </c>
      <c r="H500" s="64" t="e">
        <f>VLOOKUP(A500,'Aux - pivots1'!$A:$B,2,0)</f>
        <v>#N/A</v>
      </c>
      <c r="I500" s="84">
        <f>SUMIFS(Table1[Estimação (horas)],Table1[Tabela],Plano_V1!E500,Table1[Campo],Plano_V1!F500)</f>
        <v>0</v>
      </c>
      <c r="J500" s="84">
        <f t="shared" si="37"/>
        <v>0</v>
      </c>
      <c r="K500" s="89" t="s">
        <v>39</v>
      </c>
      <c r="M500" s="78"/>
      <c r="N500" s="78"/>
      <c r="O500" s="78"/>
      <c r="P500" s="78"/>
      <c r="Q500" s="78"/>
      <c r="R500" s="78"/>
      <c r="S500" s="78"/>
      <c r="T500" s="78"/>
      <c r="U500" s="78"/>
      <c r="V500" s="78"/>
      <c r="W500" s="78"/>
      <c r="X500" s="78"/>
      <c r="Y500" s="78"/>
      <c r="Z500" s="78"/>
      <c r="AA500" s="78"/>
      <c r="AB500" s="78"/>
      <c r="AC500" s="78"/>
      <c r="AD500" s="78"/>
      <c r="AE500" s="78"/>
      <c r="AF500" s="78"/>
      <c r="AG500" s="78"/>
      <c r="AH500" s="78"/>
      <c r="AI500" s="78"/>
      <c r="AJ500" s="78"/>
      <c r="AK500" s="78"/>
      <c r="AL500" s="78"/>
      <c r="AM500" s="78"/>
      <c r="AN500" s="78"/>
      <c r="AO500" s="78"/>
      <c r="AP500" s="78"/>
      <c r="AQ500" s="78"/>
      <c r="AR500" s="78"/>
      <c r="AS500" s="78"/>
      <c r="AT500" s="91"/>
      <c r="AU500" s="78"/>
      <c r="AV500" s="78"/>
      <c r="AW500" s="78"/>
      <c r="AX500" s="78"/>
      <c r="AY500" s="78"/>
      <c r="AZ500" s="78"/>
      <c r="BA500" s="78"/>
      <c r="BB500" s="78"/>
      <c r="BC500" s="78"/>
      <c r="BD500" s="78"/>
      <c r="BE500" s="78"/>
      <c r="BF500" s="78"/>
      <c r="BG500" s="78"/>
      <c r="BH500" s="78"/>
      <c r="BI500" s="78"/>
      <c r="BJ500" s="78"/>
      <c r="BK500" s="78"/>
      <c r="BL500" s="78"/>
      <c r="BM500" s="78"/>
      <c r="BN500" s="78"/>
      <c r="BO500" s="78"/>
      <c r="BP500" s="78"/>
      <c r="BQ500" s="78"/>
      <c r="BR500" s="78"/>
      <c r="BS500" s="78"/>
      <c r="BT500" s="78"/>
      <c r="BU500" s="78"/>
      <c r="BV500" s="78"/>
      <c r="BW500" s="78"/>
      <c r="BX500" s="78"/>
      <c r="BY500" s="78"/>
      <c r="BZ500" s="78"/>
      <c r="CA500" s="78"/>
      <c r="CB500" s="78"/>
      <c r="CC500" s="78"/>
      <c r="CD500" s="78"/>
      <c r="CE500" s="78"/>
      <c r="CF500" s="78"/>
      <c r="CG500" s="78"/>
      <c r="CH500" s="78"/>
      <c r="CI500" s="78"/>
      <c r="CJ500" s="78"/>
      <c r="CK500" s="78"/>
      <c r="CL500" s="78"/>
      <c r="CM500" s="78"/>
      <c r="CN500" s="78"/>
      <c r="CO500" s="78"/>
      <c r="CP500" s="78"/>
      <c r="CQ500" s="78"/>
      <c r="CR500" s="78"/>
      <c r="CS500" s="78"/>
      <c r="CT500" s="78"/>
      <c r="CU500" s="78"/>
      <c r="CV500" s="78"/>
      <c r="CW500" s="78"/>
      <c r="CX500" s="78"/>
      <c r="CY500" s="78"/>
      <c r="CZ500" s="78"/>
      <c r="DA500" s="78"/>
      <c r="DB500" s="78"/>
      <c r="DC500" s="78"/>
      <c r="DD500" s="78"/>
      <c r="DE500" s="78"/>
      <c r="DF500" s="78"/>
      <c r="DG500" s="78"/>
      <c r="DH500" s="78"/>
      <c r="DI500" s="78"/>
      <c r="DJ500" s="78"/>
      <c r="DK500" s="78"/>
      <c r="DL500" s="78"/>
      <c r="DM500" s="78"/>
      <c r="DN500" s="78"/>
      <c r="DO500" s="78"/>
      <c r="DP500" s="78"/>
      <c r="DQ500" s="78"/>
      <c r="DR500" s="78"/>
      <c r="DS500" s="78"/>
      <c r="DT500" s="78"/>
      <c r="DU500" s="78"/>
      <c r="DV500" s="78"/>
      <c r="DW500" s="78"/>
      <c r="DX500" s="78"/>
      <c r="DY500" s="78"/>
      <c r="DZ500" s="78"/>
      <c r="EA500" s="78"/>
      <c r="EB500" s="78"/>
      <c r="EC500" s="78"/>
      <c r="ED500" s="78"/>
      <c r="EE500" s="78"/>
      <c r="EF500" s="78"/>
      <c r="EG500" s="78"/>
      <c r="EH500" s="78"/>
      <c r="EI500" s="91"/>
      <c r="EJ500" s="91"/>
      <c r="EK500" s="91"/>
      <c r="EL500" s="91"/>
      <c r="EM500" s="91"/>
      <c r="EN500" s="91"/>
      <c r="EO500" s="91"/>
      <c r="EP500" s="78"/>
      <c r="EQ500" s="78"/>
      <c r="ER500" s="78"/>
      <c r="ES500" s="78"/>
      <c r="ET500" s="78"/>
      <c r="EU500" s="78"/>
      <c r="EV500" s="78"/>
      <c r="EW500" s="78"/>
      <c r="EX500" s="78"/>
      <c r="EY500" s="78"/>
      <c r="EZ500" s="78"/>
      <c r="FA500" s="78"/>
      <c r="FB500" s="78"/>
      <c r="FC500" s="78"/>
      <c r="FD500" s="78"/>
      <c r="FE500" s="78"/>
      <c r="FF500" s="78"/>
      <c r="FG500" s="78"/>
      <c r="FH500" s="78"/>
      <c r="FI500" s="78"/>
      <c r="FJ500" s="78"/>
      <c r="FK500" s="78"/>
    </row>
    <row r="501" spans="1:167" hidden="1" outlineLevel="1">
      <c r="A501" s="29" t="str">
        <f t="shared" si="38"/>
        <v>lt825_mthd_usd_instrmntambito</v>
      </c>
      <c r="B501" s="67" t="s">
        <v>26</v>
      </c>
      <c r="C501" s="68" t="s">
        <v>26</v>
      </c>
      <c r="D501" s="64" t="s">
        <v>40</v>
      </c>
      <c r="E501" s="70" t="s">
        <v>389</v>
      </c>
      <c r="F501" s="72" t="s">
        <v>390</v>
      </c>
      <c r="G501" s="64" t="e">
        <f>INDEX(Auxiliar!$B$16:$B$24,MATCH(Plano_V1!H501,Auxiliar!$C$16:$C$24,0),1)</f>
        <v>#N/A</v>
      </c>
      <c r="H501" s="64" t="e">
        <f>VLOOKUP(A501,'Aux - pivots1'!$A:$B,2,0)</f>
        <v>#N/A</v>
      </c>
      <c r="I501" s="84">
        <f>SUMIFS(Table1[Estimação (horas)],Table1[Tabela],Plano_V1!E501,Table1[Campo],Plano_V1!F501)</f>
        <v>0</v>
      </c>
      <c r="J501" s="84">
        <f t="shared" si="37"/>
        <v>0</v>
      </c>
      <c r="K501" s="89" t="s">
        <v>39</v>
      </c>
      <c r="M501" s="78"/>
      <c r="N501" s="78"/>
      <c r="O501" s="78"/>
      <c r="P501" s="78"/>
      <c r="Q501" s="78"/>
      <c r="R501" s="78"/>
      <c r="S501" s="78"/>
      <c r="T501" s="78"/>
      <c r="U501" s="78"/>
      <c r="V501" s="78"/>
      <c r="W501" s="78"/>
      <c r="X501" s="78"/>
      <c r="Y501" s="78"/>
      <c r="Z501" s="78"/>
      <c r="AA501" s="78"/>
      <c r="AB501" s="78"/>
      <c r="AC501" s="78"/>
      <c r="AD501" s="78"/>
      <c r="AE501" s="78"/>
      <c r="AF501" s="78"/>
      <c r="AG501" s="78"/>
      <c r="AH501" s="78"/>
      <c r="AI501" s="78"/>
      <c r="AJ501" s="78"/>
      <c r="AK501" s="78"/>
      <c r="AL501" s="78"/>
      <c r="AM501" s="78"/>
      <c r="AN501" s="78"/>
      <c r="AO501" s="78"/>
      <c r="AP501" s="78"/>
      <c r="AQ501" s="78"/>
      <c r="AR501" s="78"/>
      <c r="AS501" s="78"/>
      <c r="AT501" s="91"/>
      <c r="AU501" s="78"/>
      <c r="AV501" s="78"/>
      <c r="AW501" s="78"/>
      <c r="AX501" s="78"/>
      <c r="AY501" s="78"/>
      <c r="AZ501" s="78"/>
      <c r="BA501" s="78"/>
      <c r="BB501" s="78"/>
      <c r="BC501" s="78"/>
      <c r="BD501" s="78"/>
      <c r="BE501" s="78"/>
      <c r="BF501" s="78"/>
      <c r="BG501" s="78"/>
      <c r="BH501" s="78"/>
      <c r="BI501" s="78"/>
      <c r="BJ501" s="78"/>
      <c r="BK501" s="78"/>
      <c r="BL501" s="78"/>
      <c r="BM501" s="78"/>
      <c r="BN501" s="78"/>
      <c r="BO501" s="78"/>
      <c r="BP501" s="78"/>
      <c r="BQ501" s="78"/>
      <c r="BR501" s="78"/>
      <c r="BS501" s="78"/>
      <c r="BT501" s="78"/>
      <c r="BU501" s="78"/>
      <c r="BV501" s="78"/>
      <c r="BW501" s="78"/>
      <c r="BX501" s="78"/>
      <c r="BY501" s="78"/>
      <c r="BZ501" s="78"/>
      <c r="CA501" s="78"/>
      <c r="CB501" s="78"/>
      <c r="CC501" s="78"/>
      <c r="CD501" s="78"/>
      <c r="CE501" s="78"/>
      <c r="CF501" s="78"/>
      <c r="CG501" s="78"/>
      <c r="CH501" s="78"/>
      <c r="CI501" s="78"/>
      <c r="CJ501" s="78"/>
      <c r="CK501" s="78"/>
      <c r="CL501" s="78"/>
      <c r="CM501" s="78"/>
      <c r="CN501" s="78"/>
      <c r="CO501" s="78"/>
      <c r="CP501" s="78"/>
      <c r="CQ501" s="78"/>
      <c r="CR501" s="78"/>
      <c r="CS501" s="78"/>
      <c r="CT501" s="78"/>
      <c r="CU501" s="78"/>
      <c r="CV501" s="78"/>
      <c r="CW501" s="78"/>
      <c r="CX501" s="78"/>
      <c r="CY501" s="78"/>
      <c r="CZ501" s="78"/>
      <c r="DA501" s="78"/>
      <c r="DB501" s="78"/>
      <c r="DC501" s="78"/>
      <c r="DD501" s="78"/>
      <c r="DE501" s="78"/>
      <c r="DF501" s="78"/>
      <c r="DG501" s="78"/>
      <c r="DH501" s="78"/>
      <c r="DI501" s="78"/>
      <c r="DJ501" s="78"/>
      <c r="DK501" s="78"/>
      <c r="DL501" s="78"/>
      <c r="DM501" s="78"/>
      <c r="DN501" s="78"/>
      <c r="DO501" s="78"/>
      <c r="DP501" s="78"/>
      <c r="DQ501" s="78"/>
      <c r="DR501" s="78"/>
      <c r="DS501" s="78"/>
      <c r="DT501" s="78"/>
      <c r="DU501" s="78"/>
      <c r="DV501" s="78"/>
      <c r="DW501" s="78"/>
      <c r="DX501" s="78"/>
      <c r="DY501" s="78"/>
      <c r="DZ501" s="78"/>
      <c r="EA501" s="78"/>
      <c r="EB501" s="78"/>
      <c r="EC501" s="78"/>
      <c r="ED501" s="78"/>
      <c r="EE501" s="78"/>
      <c r="EF501" s="78"/>
      <c r="EG501" s="78"/>
      <c r="EH501" s="78"/>
      <c r="EI501" s="91"/>
      <c r="EJ501" s="91"/>
      <c r="EK501" s="91"/>
      <c r="EL501" s="91"/>
      <c r="EM501" s="91"/>
      <c r="EN501" s="91"/>
      <c r="EO501" s="91"/>
      <c r="EP501" s="78"/>
      <c r="EQ501" s="78"/>
      <c r="ER501" s="78"/>
      <c r="ES501" s="78"/>
      <c r="ET501" s="78"/>
      <c r="EU501" s="78"/>
      <c r="EV501" s="78"/>
      <c r="EW501" s="78"/>
      <c r="EX501" s="78"/>
      <c r="EY501" s="78"/>
      <c r="EZ501" s="78"/>
      <c r="FA501" s="78"/>
      <c r="FB501" s="78"/>
      <c r="FC501" s="78"/>
      <c r="FD501" s="78"/>
      <c r="FE501" s="78"/>
      <c r="FF501" s="78"/>
      <c r="FG501" s="78"/>
      <c r="FH501" s="78"/>
      <c r="FI501" s="78"/>
      <c r="FJ501" s="78"/>
      <c r="FK501" s="78"/>
    </row>
    <row r="502" spans="1:167" hidden="1" outlineLevel="1">
      <c r="A502" s="29" t="str">
        <f t="shared" si="38"/>
        <v>lt825_mthd_usd_instrmntref_date</v>
      </c>
      <c r="B502" s="67" t="s">
        <v>26</v>
      </c>
      <c r="C502" s="68" t="s">
        <v>26</v>
      </c>
      <c r="D502" s="64" t="s">
        <v>40</v>
      </c>
      <c r="E502" s="70" t="s">
        <v>389</v>
      </c>
      <c r="F502" s="72" t="s">
        <v>208</v>
      </c>
      <c r="G502" s="64" t="e">
        <f>INDEX(Auxiliar!$B$16:$B$24,MATCH(Plano_V1!H502,Auxiliar!$C$16:$C$24,0),1)</f>
        <v>#N/A</v>
      </c>
      <c r="H502" s="64" t="e">
        <f>VLOOKUP(A502,'Aux - pivots1'!$A:$B,2,0)</f>
        <v>#N/A</v>
      </c>
      <c r="I502" s="84">
        <f>SUMIFS(Table1[Estimação (horas)],Table1[Tabela],Plano_V1!E502,Table1[Campo],Plano_V1!F502)</f>
        <v>0</v>
      </c>
      <c r="J502" s="84">
        <f t="shared" si="37"/>
        <v>0</v>
      </c>
      <c r="K502" s="89" t="s">
        <v>39</v>
      </c>
      <c r="M502" s="78"/>
      <c r="N502" s="78"/>
      <c r="O502" s="78"/>
      <c r="P502" s="78"/>
      <c r="Q502" s="78"/>
      <c r="R502" s="78"/>
      <c r="S502" s="78"/>
      <c r="T502" s="78"/>
      <c r="U502" s="78"/>
      <c r="V502" s="78"/>
      <c r="W502" s="78"/>
      <c r="X502" s="78"/>
      <c r="Y502" s="78"/>
      <c r="Z502" s="78"/>
      <c r="AA502" s="78"/>
      <c r="AB502" s="78"/>
      <c r="AC502" s="78"/>
      <c r="AD502" s="78"/>
      <c r="AE502" s="78"/>
      <c r="AF502" s="78"/>
      <c r="AG502" s="78"/>
      <c r="AH502" s="78"/>
      <c r="AI502" s="78"/>
      <c r="AJ502" s="78"/>
      <c r="AK502" s="78"/>
      <c r="AL502" s="78"/>
      <c r="AM502" s="78"/>
      <c r="AN502" s="78"/>
      <c r="AO502" s="78"/>
      <c r="AP502" s="78"/>
      <c r="AQ502" s="78"/>
      <c r="AR502" s="78"/>
      <c r="AS502" s="78"/>
      <c r="AT502" s="91"/>
      <c r="AU502" s="78"/>
      <c r="AV502" s="78"/>
      <c r="AW502" s="78"/>
      <c r="AX502" s="78"/>
      <c r="AY502" s="78"/>
      <c r="AZ502" s="78"/>
      <c r="BA502" s="78"/>
      <c r="BB502" s="78"/>
      <c r="BC502" s="78"/>
      <c r="BD502" s="78"/>
      <c r="BE502" s="78"/>
      <c r="BF502" s="78"/>
      <c r="BG502" s="78"/>
      <c r="BH502" s="78"/>
      <c r="BI502" s="78"/>
      <c r="BJ502" s="78"/>
      <c r="BK502" s="78"/>
      <c r="BL502" s="78"/>
      <c r="BM502" s="78"/>
      <c r="BN502" s="78"/>
      <c r="BO502" s="78"/>
      <c r="BP502" s="78"/>
      <c r="BQ502" s="78"/>
      <c r="BR502" s="78"/>
      <c r="BS502" s="78"/>
      <c r="BT502" s="78"/>
      <c r="BU502" s="78"/>
      <c r="BV502" s="78"/>
      <c r="BW502" s="78"/>
      <c r="BX502" s="78"/>
      <c r="BY502" s="78"/>
      <c r="BZ502" s="78"/>
      <c r="CA502" s="78"/>
      <c r="CB502" s="78"/>
      <c r="CC502" s="78"/>
      <c r="CD502" s="78"/>
      <c r="CE502" s="78"/>
      <c r="CF502" s="78"/>
      <c r="CG502" s="78"/>
      <c r="CH502" s="78"/>
      <c r="CI502" s="78"/>
      <c r="CJ502" s="78"/>
      <c r="CK502" s="78"/>
      <c r="CL502" s="78"/>
      <c r="CM502" s="78"/>
      <c r="CN502" s="78"/>
      <c r="CO502" s="78"/>
      <c r="CP502" s="78"/>
      <c r="CQ502" s="78"/>
      <c r="CR502" s="78"/>
      <c r="CS502" s="78"/>
      <c r="CT502" s="78"/>
      <c r="CU502" s="78"/>
      <c r="CV502" s="78"/>
      <c r="CW502" s="78"/>
      <c r="CX502" s="78"/>
      <c r="CY502" s="78"/>
      <c r="CZ502" s="78"/>
      <c r="DA502" s="78"/>
      <c r="DB502" s="78"/>
      <c r="DC502" s="78"/>
      <c r="DD502" s="78"/>
      <c r="DE502" s="78"/>
      <c r="DF502" s="78"/>
      <c r="DG502" s="78"/>
      <c r="DH502" s="78"/>
      <c r="DI502" s="78"/>
      <c r="DJ502" s="78"/>
      <c r="DK502" s="78"/>
      <c r="DL502" s="78"/>
      <c r="DM502" s="78"/>
      <c r="DN502" s="78"/>
      <c r="DO502" s="78"/>
      <c r="DP502" s="78"/>
      <c r="DQ502" s="78"/>
      <c r="DR502" s="78"/>
      <c r="DS502" s="78"/>
      <c r="DT502" s="78"/>
      <c r="DU502" s="78"/>
      <c r="DV502" s="78"/>
      <c r="DW502" s="78"/>
      <c r="DX502" s="78"/>
      <c r="DY502" s="78"/>
      <c r="DZ502" s="78"/>
      <c r="EA502" s="78"/>
      <c r="EB502" s="78"/>
      <c r="EC502" s="78"/>
      <c r="ED502" s="78"/>
      <c r="EE502" s="78"/>
      <c r="EF502" s="78"/>
      <c r="EG502" s="78"/>
      <c r="EH502" s="78"/>
      <c r="EI502" s="91"/>
      <c r="EJ502" s="91"/>
      <c r="EK502" s="91"/>
      <c r="EL502" s="91"/>
      <c r="EM502" s="91"/>
      <c r="EN502" s="91"/>
      <c r="EO502" s="91"/>
      <c r="EP502" s="78"/>
      <c r="EQ502" s="78"/>
      <c r="ER502" s="78"/>
      <c r="ES502" s="78"/>
      <c r="ET502" s="78"/>
      <c r="EU502" s="78"/>
      <c r="EV502" s="78"/>
      <c r="EW502" s="78"/>
      <c r="EX502" s="78"/>
      <c r="EY502" s="78"/>
      <c r="EZ502" s="78"/>
      <c r="FA502" s="78"/>
      <c r="FB502" s="78"/>
      <c r="FC502" s="78"/>
      <c r="FD502" s="78"/>
      <c r="FE502" s="78"/>
      <c r="FF502" s="78"/>
      <c r="FG502" s="78"/>
      <c r="FH502" s="78"/>
      <c r="FI502" s="78"/>
      <c r="FJ502" s="78"/>
      <c r="FK502" s="78"/>
    </row>
    <row r="503" spans="1:167" hidden="1" outlineLevel="1">
      <c r="A503" s="29" t="str">
        <f t="shared" si="38"/>
        <v>lt825_mthd_usd_instrmntordem</v>
      </c>
      <c r="B503" s="67" t="s">
        <v>26</v>
      </c>
      <c r="C503" s="68" t="s">
        <v>26</v>
      </c>
      <c r="D503" s="64" t="s">
        <v>40</v>
      </c>
      <c r="E503" s="70" t="s">
        <v>389</v>
      </c>
      <c r="F503" s="72" t="s">
        <v>211</v>
      </c>
      <c r="G503" s="64" t="e">
        <f>INDEX(Auxiliar!$B$16:$B$24,MATCH(Plano_V1!H503,Auxiliar!$C$16:$C$24,0),1)</f>
        <v>#N/A</v>
      </c>
      <c r="H503" s="64" t="e">
        <f>VLOOKUP(A503,'Aux - pivots1'!$A:$B,2,0)</f>
        <v>#N/A</v>
      </c>
      <c r="I503" s="84">
        <f>SUMIFS(Table1[Estimação (horas)],Table1[Tabela],Plano_V1!E503,Table1[Campo],Plano_V1!F503)</f>
        <v>0</v>
      </c>
      <c r="J503" s="84">
        <f t="shared" si="37"/>
        <v>0</v>
      </c>
      <c r="K503" s="89" t="s">
        <v>39</v>
      </c>
      <c r="M503" s="78"/>
      <c r="N503" s="78"/>
      <c r="O503" s="78"/>
      <c r="P503" s="78"/>
      <c r="Q503" s="78"/>
      <c r="R503" s="78"/>
      <c r="S503" s="78"/>
      <c r="T503" s="78"/>
      <c r="U503" s="78"/>
      <c r="V503" s="78"/>
      <c r="W503" s="78"/>
      <c r="X503" s="78"/>
      <c r="Y503" s="78"/>
      <c r="Z503" s="78"/>
      <c r="AA503" s="78"/>
      <c r="AB503" s="78"/>
      <c r="AC503" s="78"/>
      <c r="AD503" s="78"/>
      <c r="AE503" s="78"/>
      <c r="AF503" s="78"/>
      <c r="AG503" s="78"/>
      <c r="AH503" s="78"/>
      <c r="AI503" s="78"/>
      <c r="AJ503" s="78"/>
      <c r="AK503" s="78"/>
      <c r="AL503" s="78"/>
      <c r="AM503" s="78"/>
      <c r="AN503" s="78"/>
      <c r="AO503" s="78"/>
      <c r="AP503" s="78"/>
      <c r="AQ503" s="78"/>
      <c r="AR503" s="78"/>
      <c r="AS503" s="78"/>
      <c r="AT503" s="91"/>
      <c r="AU503" s="78"/>
      <c r="AV503" s="78"/>
      <c r="AW503" s="78"/>
      <c r="AX503" s="78"/>
      <c r="AY503" s="78"/>
      <c r="AZ503" s="78"/>
      <c r="BA503" s="78"/>
      <c r="BB503" s="78"/>
      <c r="BC503" s="78"/>
      <c r="BD503" s="78"/>
      <c r="BE503" s="78"/>
      <c r="BF503" s="78"/>
      <c r="BG503" s="78"/>
      <c r="BH503" s="78"/>
      <c r="BI503" s="78"/>
      <c r="BJ503" s="78"/>
      <c r="BK503" s="78"/>
      <c r="BL503" s="78"/>
      <c r="BM503" s="78"/>
      <c r="BN503" s="78"/>
      <c r="BO503" s="78"/>
      <c r="BP503" s="78"/>
      <c r="BQ503" s="78"/>
      <c r="BR503" s="78"/>
      <c r="BS503" s="78"/>
      <c r="BT503" s="78"/>
      <c r="BU503" s="78"/>
      <c r="BV503" s="78"/>
      <c r="BW503" s="78"/>
      <c r="BX503" s="78"/>
      <c r="BY503" s="78"/>
      <c r="BZ503" s="78"/>
      <c r="CA503" s="78"/>
      <c r="CB503" s="78"/>
      <c r="CC503" s="78"/>
      <c r="CD503" s="78"/>
      <c r="CE503" s="78"/>
      <c r="CF503" s="78"/>
      <c r="CG503" s="78"/>
      <c r="CH503" s="78"/>
      <c r="CI503" s="78"/>
      <c r="CJ503" s="78"/>
      <c r="CK503" s="78"/>
      <c r="CL503" s="78"/>
      <c r="CM503" s="78"/>
      <c r="CN503" s="78"/>
      <c r="CO503" s="78"/>
      <c r="CP503" s="78"/>
      <c r="CQ503" s="78"/>
      <c r="CR503" s="78"/>
      <c r="CS503" s="78"/>
      <c r="CT503" s="78"/>
      <c r="CU503" s="78"/>
      <c r="CV503" s="78"/>
      <c r="CW503" s="78"/>
      <c r="CX503" s="78"/>
      <c r="CY503" s="78"/>
      <c r="CZ503" s="78"/>
      <c r="DA503" s="78"/>
      <c r="DB503" s="78"/>
      <c r="DC503" s="78"/>
      <c r="DD503" s="78"/>
      <c r="DE503" s="78"/>
      <c r="DF503" s="78"/>
      <c r="DG503" s="78"/>
      <c r="DH503" s="78"/>
      <c r="DI503" s="78"/>
      <c r="DJ503" s="78"/>
      <c r="DK503" s="78"/>
      <c r="DL503" s="78"/>
      <c r="DM503" s="78"/>
      <c r="DN503" s="78"/>
      <c r="DO503" s="78"/>
      <c r="DP503" s="78"/>
      <c r="DQ503" s="78"/>
      <c r="DR503" s="78"/>
      <c r="DS503" s="78"/>
      <c r="DT503" s="78"/>
      <c r="DU503" s="78"/>
      <c r="DV503" s="78"/>
      <c r="DW503" s="78"/>
      <c r="DX503" s="78"/>
      <c r="DY503" s="78"/>
      <c r="DZ503" s="78"/>
      <c r="EA503" s="78"/>
      <c r="EB503" s="78"/>
      <c r="EC503" s="78"/>
      <c r="ED503" s="78"/>
      <c r="EE503" s="78"/>
      <c r="EF503" s="78"/>
      <c r="EG503" s="78"/>
      <c r="EH503" s="78"/>
      <c r="EI503" s="91"/>
      <c r="EJ503" s="91"/>
      <c r="EK503" s="91"/>
      <c r="EL503" s="91"/>
      <c r="EM503" s="91"/>
      <c r="EN503" s="91"/>
      <c r="EO503" s="91"/>
      <c r="EP503" s="78"/>
      <c r="EQ503" s="78"/>
      <c r="ER503" s="78"/>
      <c r="ES503" s="78"/>
      <c r="ET503" s="78"/>
      <c r="EU503" s="78"/>
      <c r="EV503" s="78"/>
      <c r="EW503" s="78"/>
      <c r="EX503" s="78"/>
      <c r="EY503" s="78"/>
      <c r="EZ503" s="78"/>
      <c r="FA503" s="78"/>
      <c r="FB503" s="78"/>
      <c r="FC503" s="78"/>
      <c r="FD503" s="78"/>
      <c r="FE503" s="78"/>
      <c r="FF503" s="78"/>
      <c r="FG503" s="78"/>
      <c r="FH503" s="78"/>
      <c r="FI503" s="78"/>
      <c r="FJ503" s="78"/>
      <c r="FK503" s="78"/>
    </row>
    <row r="504" spans="1:167" hidden="1" outlineLevel="1">
      <c r="A504" s="29" t="str">
        <f t="shared" si="38"/>
        <v>lt825_mthd_usd_instrmnttabela</v>
      </c>
      <c r="B504" s="67" t="s">
        <v>26</v>
      </c>
      <c r="C504" s="68" t="s">
        <v>26</v>
      </c>
      <c r="D504" s="64" t="s">
        <v>40</v>
      </c>
      <c r="E504" s="70" t="s">
        <v>389</v>
      </c>
      <c r="F504" s="72" t="s">
        <v>391</v>
      </c>
      <c r="G504" s="64" t="e">
        <f>INDEX(Auxiliar!$B$16:$B$24,MATCH(Plano_V1!H504,Auxiliar!$C$16:$C$24,0),1)</f>
        <v>#N/A</v>
      </c>
      <c r="H504" s="64" t="e">
        <f>VLOOKUP(A504,'Aux - pivots1'!$A:$B,2,0)</f>
        <v>#N/A</v>
      </c>
      <c r="I504" s="84">
        <f>SUMIFS(Table1[Estimação (horas)],Table1[Tabela],Plano_V1!E504,Table1[Campo],Plano_V1!F504)</f>
        <v>0</v>
      </c>
      <c r="J504" s="84">
        <f t="shared" si="37"/>
        <v>0</v>
      </c>
      <c r="K504" s="89" t="s">
        <v>39</v>
      </c>
      <c r="M504" s="78"/>
      <c r="N504" s="78"/>
      <c r="O504" s="78"/>
      <c r="P504" s="78"/>
      <c r="Q504" s="78"/>
      <c r="R504" s="78"/>
      <c r="S504" s="78"/>
      <c r="T504" s="78"/>
      <c r="U504" s="78"/>
      <c r="V504" s="78"/>
      <c r="W504" s="78"/>
      <c r="X504" s="78"/>
      <c r="Y504" s="78"/>
      <c r="Z504" s="78"/>
      <c r="AA504" s="78"/>
      <c r="AB504" s="78"/>
      <c r="AC504" s="78"/>
      <c r="AD504" s="78"/>
      <c r="AE504" s="78"/>
      <c r="AF504" s="78"/>
      <c r="AG504" s="78"/>
      <c r="AH504" s="78"/>
      <c r="AI504" s="78"/>
      <c r="AJ504" s="78"/>
      <c r="AK504" s="78"/>
      <c r="AL504" s="78"/>
      <c r="AM504" s="78"/>
      <c r="AN504" s="78"/>
      <c r="AO504" s="78"/>
      <c r="AP504" s="78"/>
      <c r="AQ504" s="78"/>
      <c r="AR504" s="78"/>
      <c r="AS504" s="78"/>
      <c r="AT504" s="91"/>
      <c r="AU504" s="78"/>
      <c r="AV504" s="78"/>
      <c r="AW504" s="78"/>
      <c r="AX504" s="78"/>
      <c r="AY504" s="78"/>
      <c r="AZ504" s="78"/>
      <c r="BA504" s="78"/>
      <c r="BB504" s="78"/>
      <c r="BC504" s="78"/>
      <c r="BD504" s="78"/>
      <c r="BE504" s="78"/>
      <c r="BF504" s="78"/>
      <c r="BG504" s="78"/>
      <c r="BH504" s="78"/>
      <c r="BI504" s="78"/>
      <c r="BJ504" s="78"/>
      <c r="BK504" s="78"/>
      <c r="BL504" s="78"/>
      <c r="BM504" s="78"/>
      <c r="BN504" s="78"/>
      <c r="BO504" s="78"/>
      <c r="BP504" s="78"/>
      <c r="BQ504" s="78"/>
      <c r="BR504" s="78"/>
      <c r="BS504" s="78"/>
      <c r="BT504" s="78"/>
      <c r="BU504" s="78"/>
      <c r="BV504" s="78"/>
      <c r="BW504" s="78"/>
      <c r="BX504" s="78"/>
      <c r="BY504" s="78"/>
      <c r="BZ504" s="78"/>
      <c r="CA504" s="78"/>
      <c r="CB504" s="78"/>
      <c r="CC504" s="78"/>
      <c r="CD504" s="78"/>
      <c r="CE504" s="78"/>
      <c r="CF504" s="78"/>
      <c r="CG504" s="78"/>
      <c r="CH504" s="78"/>
      <c r="CI504" s="78"/>
      <c r="CJ504" s="78"/>
      <c r="CK504" s="78"/>
      <c r="CL504" s="78"/>
      <c r="CM504" s="78"/>
      <c r="CN504" s="78"/>
      <c r="CO504" s="78"/>
      <c r="CP504" s="78"/>
      <c r="CQ504" s="78"/>
      <c r="CR504" s="78"/>
      <c r="CS504" s="78"/>
      <c r="CT504" s="78"/>
      <c r="CU504" s="78"/>
      <c r="CV504" s="78"/>
      <c r="CW504" s="78"/>
      <c r="CX504" s="78"/>
      <c r="CY504" s="78"/>
      <c r="CZ504" s="78"/>
      <c r="DA504" s="78"/>
      <c r="DB504" s="78"/>
      <c r="DC504" s="78"/>
      <c r="DD504" s="78"/>
      <c r="DE504" s="78"/>
      <c r="DF504" s="78"/>
      <c r="DG504" s="78"/>
      <c r="DH504" s="78"/>
      <c r="DI504" s="78"/>
      <c r="DJ504" s="78"/>
      <c r="DK504" s="78"/>
      <c r="DL504" s="78"/>
      <c r="DM504" s="78"/>
      <c r="DN504" s="78"/>
      <c r="DO504" s="78"/>
      <c r="DP504" s="78"/>
      <c r="DQ504" s="78"/>
      <c r="DR504" s="78"/>
      <c r="DS504" s="78"/>
      <c r="DT504" s="78"/>
      <c r="DU504" s="78"/>
      <c r="DV504" s="78"/>
      <c r="DW504" s="78"/>
      <c r="DX504" s="78"/>
      <c r="DY504" s="78"/>
      <c r="DZ504" s="78"/>
      <c r="EA504" s="78"/>
      <c r="EB504" s="78"/>
      <c r="EC504" s="78"/>
      <c r="ED504" s="78"/>
      <c r="EE504" s="78"/>
      <c r="EF504" s="78"/>
      <c r="EG504" s="78"/>
      <c r="EH504" s="78"/>
      <c r="EI504" s="91"/>
      <c r="EJ504" s="91"/>
      <c r="EK504" s="91"/>
      <c r="EL504" s="91"/>
      <c r="EM504" s="91"/>
      <c r="EN504" s="91"/>
      <c r="EO504" s="91"/>
      <c r="EP504" s="78"/>
      <c r="EQ504" s="78"/>
      <c r="ER504" s="78"/>
      <c r="ES504" s="78"/>
      <c r="ET504" s="78"/>
      <c r="EU504" s="78"/>
      <c r="EV504" s="78"/>
      <c r="EW504" s="78"/>
      <c r="EX504" s="78"/>
      <c r="EY504" s="78"/>
      <c r="EZ504" s="78"/>
      <c r="FA504" s="78"/>
      <c r="FB504" s="78"/>
      <c r="FC504" s="78"/>
      <c r="FD504" s="78"/>
      <c r="FE504" s="78"/>
      <c r="FF504" s="78"/>
      <c r="FG504" s="78"/>
      <c r="FH504" s="78"/>
      <c r="FI504" s="78"/>
      <c r="FJ504" s="78"/>
      <c r="FK504" s="78"/>
    </row>
    <row r="505" spans="1:167" hidden="1" outlineLevel="1">
      <c r="A505" s="29" t="str">
        <f t="shared" si="38"/>
        <v>lt825_mthd_usd_instrmntorigem_scp1_emss</v>
      </c>
      <c r="B505" s="67" t="s">
        <v>26</v>
      </c>
      <c r="C505" s="68" t="s">
        <v>26</v>
      </c>
      <c r="D505" s="64" t="s">
        <v>40</v>
      </c>
      <c r="E505" s="70" t="s">
        <v>389</v>
      </c>
      <c r="F505" s="71" t="s">
        <v>319</v>
      </c>
      <c r="G505" s="64" t="e">
        <f>INDEX(Auxiliar!$B$16:$B$24,MATCH(Plano_V1!H505,Auxiliar!$C$16:$C$24,0),1)</f>
        <v>#N/A</v>
      </c>
      <c r="H505" s="64" t="e">
        <f>VLOOKUP(A505,'Aux - pivots1'!$A:$B,2,0)</f>
        <v>#N/A</v>
      </c>
      <c r="I505" s="84">
        <f>SUMIFS(Table1[Estimação (horas)],Table1[Tabela],Plano_V1!E505,Table1[Campo],Plano_V1!F505)</f>
        <v>0</v>
      </c>
      <c r="J505" s="84">
        <f t="shared" si="37"/>
        <v>0</v>
      </c>
      <c r="K505" s="89" t="s">
        <v>39</v>
      </c>
      <c r="M505" s="78"/>
      <c r="N505" s="78"/>
      <c r="O505" s="78"/>
      <c r="P505" s="78"/>
      <c r="Q505" s="78"/>
      <c r="R505" s="78"/>
      <c r="S505" s="78"/>
      <c r="T505" s="78"/>
      <c r="U505" s="78"/>
      <c r="V505" s="78"/>
      <c r="W505" s="78"/>
      <c r="X505" s="78"/>
      <c r="Y505" s="78"/>
      <c r="Z505" s="78"/>
      <c r="AA505" s="78"/>
      <c r="AB505" s="78"/>
      <c r="AC505" s="78"/>
      <c r="AD505" s="78"/>
      <c r="AE505" s="78"/>
      <c r="AF505" s="78"/>
      <c r="AG505" s="78"/>
      <c r="AH505" s="78"/>
      <c r="AI505" s="78"/>
      <c r="AJ505" s="78"/>
      <c r="AK505" s="78"/>
      <c r="AL505" s="78"/>
      <c r="AM505" s="78"/>
      <c r="AN505" s="78"/>
      <c r="AO505" s="78"/>
      <c r="AP505" s="78"/>
      <c r="AQ505" s="78"/>
      <c r="AR505" s="78"/>
      <c r="AS505" s="78"/>
      <c r="AT505" s="91"/>
      <c r="AU505" s="78"/>
      <c r="AV505" s="78"/>
      <c r="AW505" s="78"/>
      <c r="AX505" s="78"/>
      <c r="AY505" s="78"/>
      <c r="AZ505" s="78"/>
      <c r="BA505" s="78"/>
      <c r="BB505" s="78"/>
      <c r="BC505" s="78"/>
      <c r="BD505" s="78"/>
      <c r="BE505" s="78"/>
      <c r="BF505" s="78"/>
      <c r="BG505" s="78"/>
      <c r="BH505" s="78"/>
      <c r="BI505" s="78"/>
      <c r="BJ505" s="78"/>
      <c r="BK505" s="78"/>
      <c r="BL505" s="78"/>
      <c r="BM505" s="78"/>
      <c r="BN505" s="78"/>
      <c r="BO505" s="78"/>
      <c r="BP505" s="78"/>
      <c r="BQ505" s="78"/>
      <c r="BR505" s="78"/>
      <c r="BS505" s="78"/>
      <c r="BT505" s="78"/>
      <c r="BU505" s="78"/>
      <c r="BV505" s="78"/>
      <c r="BW505" s="78"/>
      <c r="BX505" s="78"/>
      <c r="BY505" s="78"/>
      <c r="BZ505" s="78"/>
      <c r="CA505" s="78"/>
      <c r="CB505" s="78"/>
      <c r="CC505" s="78"/>
      <c r="CD505" s="78"/>
      <c r="CE505" s="78"/>
      <c r="CF505" s="78"/>
      <c r="CG505" s="78"/>
      <c r="CH505" s="78"/>
      <c r="CI505" s="78"/>
      <c r="CJ505" s="78"/>
      <c r="CK505" s="78"/>
      <c r="CL505" s="78"/>
      <c r="CM505" s="78"/>
      <c r="CN505" s="78"/>
      <c r="CO505" s="78"/>
      <c r="CP505" s="78"/>
      <c r="CQ505" s="78"/>
      <c r="CR505" s="78"/>
      <c r="CS505" s="78"/>
      <c r="CT505" s="78"/>
      <c r="CU505" s="78"/>
      <c r="CV505" s="78"/>
      <c r="CW505" s="78"/>
      <c r="CX505" s="78"/>
      <c r="CY505" s="78"/>
      <c r="CZ505" s="78"/>
      <c r="DA505" s="78"/>
      <c r="DB505" s="78"/>
      <c r="DC505" s="78"/>
      <c r="DD505" s="78"/>
      <c r="DE505" s="78"/>
      <c r="DF505" s="78"/>
      <c r="DG505" s="78"/>
      <c r="DH505" s="78"/>
      <c r="DI505" s="78"/>
      <c r="DJ505" s="78"/>
      <c r="DK505" s="78"/>
      <c r="DL505" s="78"/>
      <c r="DM505" s="78"/>
      <c r="DN505" s="78"/>
      <c r="DO505" s="78"/>
      <c r="DP505" s="78"/>
      <c r="DQ505" s="78"/>
      <c r="DR505" s="78"/>
      <c r="DS505" s="78"/>
      <c r="DT505" s="78"/>
      <c r="DU505" s="78"/>
      <c r="DV505" s="78"/>
      <c r="DW505" s="78"/>
      <c r="DX505" s="78"/>
      <c r="DY505" s="78"/>
      <c r="DZ505" s="78"/>
      <c r="EA505" s="78"/>
      <c r="EB505" s="78"/>
      <c r="EC505" s="78"/>
      <c r="ED505" s="78"/>
      <c r="EE505" s="78"/>
      <c r="EF505" s="78"/>
      <c r="EG505" s="78"/>
      <c r="EH505" s="78"/>
      <c r="EI505" s="91"/>
      <c r="EJ505" s="91"/>
      <c r="EK505" s="91"/>
      <c r="EL505" s="91"/>
      <c r="EM505" s="91"/>
      <c r="EN505" s="91"/>
      <c r="EO505" s="91"/>
      <c r="EP505" s="78"/>
      <c r="EQ505" s="78"/>
      <c r="ER505" s="78"/>
      <c r="ES505" s="78"/>
      <c r="ET505" s="78"/>
      <c r="EU505" s="78"/>
      <c r="EV505" s="78"/>
      <c r="EW505" s="78"/>
      <c r="EX505" s="78"/>
      <c r="EY505" s="78"/>
      <c r="EZ505" s="78"/>
      <c r="FA505" s="78"/>
      <c r="FB505" s="78"/>
      <c r="FC505" s="78"/>
      <c r="FD505" s="78"/>
      <c r="FE505" s="78"/>
      <c r="FF505" s="78"/>
      <c r="FG505" s="78"/>
      <c r="FH505" s="78"/>
      <c r="FI505" s="78"/>
      <c r="FJ505" s="78"/>
      <c r="FK505" s="78"/>
    </row>
    <row r="506" spans="1:167" hidden="1" outlineLevel="1">
      <c r="A506" s="29" t="str">
        <f t="shared" si="38"/>
        <v>lt825_mthd_usd_instrmntorigem_scp2_emss</v>
      </c>
      <c r="B506" s="67" t="s">
        <v>26</v>
      </c>
      <c r="C506" s="68" t="s">
        <v>26</v>
      </c>
      <c r="D506" s="64" t="s">
        <v>40</v>
      </c>
      <c r="E506" s="70" t="s">
        <v>389</v>
      </c>
      <c r="F506" s="71" t="s">
        <v>320</v>
      </c>
      <c r="G506" s="64" t="e">
        <f>INDEX(Auxiliar!$B$16:$B$24,MATCH(Plano_V1!H506,Auxiliar!$C$16:$C$24,0),1)</f>
        <v>#N/A</v>
      </c>
      <c r="H506" s="64" t="e">
        <f>VLOOKUP(A506,'Aux - pivots1'!$A:$B,2,0)</f>
        <v>#N/A</v>
      </c>
      <c r="I506" s="84">
        <f>SUMIFS(Table1[Estimação (horas)],Table1[Tabela],Plano_V1!E506,Table1[Campo],Plano_V1!F506)</f>
        <v>0</v>
      </c>
      <c r="J506" s="84">
        <f t="shared" si="37"/>
        <v>0</v>
      </c>
      <c r="K506" s="89" t="s">
        <v>39</v>
      </c>
      <c r="M506" s="78"/>
      <c r="N506" s="78"/>
      <c r="O506" s="78"/>
      <c r="P506" s="78"/>
      <c r="Q506" s="78"/>
      <c r="R506" s="78"/>
      <c r="S506" s="78"/>
      <c r="T506" s="78"/>
      <c r="U506" s="78"/>
      <c r="V506" s="78"/>
      <c r="W506" s="78"/>
      <c r="X506" s="78"/>
      <c r="Y506" s="78"/>
      <c r="Z506" s="78"/>
      <c r="AA506" s="78"/>
      <c r="AB506" s="78"/>
      <c r="AC506" s="78"/>
      <c r="AD506" s="78"/>
      <c r="AE506" s="78"/>
      <c r="AF506" s="78"/>
      <c r="AG506" s="78"/>
      <c r="AH506" s="78"/>
      <c r="AI506" s="78"/>
      <c r="AJ506" s="78"/>
      <c r="AK506" s="78"/>
      <c r="AL506" s="78"/>
      <c r="AM506" s="78"/>
      <c r="AN506" s="78"/>
      <c r="AO506" s="78"/>
      <c r="AP506" s="78"/>
      <c r="AQ506" s="78"/>
      <c r="AR506" s="78"/>
      <c r="AS506" s="78"/>
      <c r="AT506" s="91"/>
      <c r="AU506" s="78"/>
      <c r="AV506" s="78"/>
      <c r="AW506" s="78"/>
      <c r="AX506" s="78"/>
      <c r="AY506" s="78"/>
      <c r="AZ506" s="78"/>
      <c r="BA506" s="78"/>
      <c r="BB506" s="78"/>
      <c r="BC506" s="78"/>
      <c r="BD506" s="78"/>
      <c r="BE506" s="78"/>
      <c r="BF506" s="78"/>
      <c r="BG506" s="78"/>
      <c r="BH506" s="78"/>
      <c r="BI506" s="78"/>
      <c r="BJ506" s="78"/>
      <c r="BK506" s="78"/>
      <c r="BL506" s="78"/>
      <c r="BM506" s="78"/>
      <c r="BN506" s="78"/>
      <c r="BO506" s="78"/>
      <c r="BP506" s="78"/>
      <c r="BQ506" s="78"/>
      <c r="BR506" s="78"/>
      <c r="BS506" s="78"/>
      <c r="BT506" s="78"/>
      <c r="BU506" s="78"/>
      <c r="BV506" s="78"/>
      <c r="BW506" s="78"/>
      <c r="BX506" s="78"/>
      <c r="BY506" s="78"/>
      <c r="BZ506" s="78"/>
      <c r="CA506" s="78"/>
      <c r="CB506" s="78"/>
      <c r="CC506" s="78"/>
      <c r="CD506" s="78"/>
      <c r="CE506" s="78"/>
      <c r="CF506" s="78"/>
      <c r="CG506" s="78"/>
      <c r="CH506" s="78"/>
      <c r="CI506" s="78"/>
      <c r="CJ506" s="78"/>
      <c r="CK506" s="78"/>
      <c r="CL506" s="78"/>
      <c r="CM506" s="78"/>
      <c r="CN506" s="78"/>
      <c r="CO506" s="78"/>
      <c r="CP506" s="78"/>
      <c r="CQ506" s="78"/>
      <c r="CR506" s="78"/>
      <c r="CS506" s="78"/>
      <c r="CT506" s="78"/>
      <c r="CU506" s="78"/>
      <c r="CV506" s="78"/>
      <c r="CW506" s="78"/>
      <c r="CX506" s="78"/>
      <c r="CY506" s="78"/>
      <c r="CZ506" s="78"/>
      <c r="DA506" s="78"/>
      <c r="DB506" s="78"/>
      <c r="DC506" s="78"/>
      <c r="DD506" s="78"/>
      <c r="DE506" s="78"/>
      <c r="DF506" s="78"/>
      <c r="DG506" s="78"/>
      <c r="DH506" s="78"/>
      <c r="DI506" s="78"/>
      <c r="DJ506" s="78"/>
      <c r="DK506" s="78"/>
      <c r="DL506" s="78"/>
      <c r="DM506" s="78"/>
      <c r="DN506" s="78"/>
      <c r="DO506" s="78"/>
      <c r="DP506" s="78"/>
      <c r="DQ506" s="78"/>
      <c r="DR506" s="78"/>
      <c r="DS506" s="78"/>
      <c r="DT506" s="78"/>
      <c r="DU506" s="78"/>
      <c r="DV506" s="78"/>
      <c r="DW506" s="78"/>
      <c r="DX506" s="78"/>
      <c r="DY506" s="78"/>
      <c r="DZ506" s="78"/>
      <c r="EA506" s="78"/>
      <c r="EB506" s="78"/>
      <c r="EC506" s="78"/>
      <c r="ED506" s="78"/>
      <c r="EE506" s="78"/>
      <c r="EF506" s="78"/>
      <c r="EG506" s="78"/>
      <c r="EH506" s="78"/>
      <c r="EI506" s="91"/>
      <c r="EJ506" s="91"/>
      <c r="EK506" s="91"/>
      <c r="EL506" s="91"/>
      <c r="EM506" s="91"/>
      <c r="EN506" s="91"/>
      <c r="EO506" s="91"/>
      <c r="EP506" s="78"/>
      <c r="EQ506" s="78"/>
      <c r="ER506" s="78"/>
      <c r="ES506" s="78"/>
      <c r="ET506" s="78"/>
      <c r="EU506" s="78"/>
      <c r="EV506" s="78"/>
      <c r="EW506" s="78"/>
      <c r="EX506" s="78"/>
      <c r="EY506" s="78"/>
      <c r="EZ506" s="78"/>
      <c r="FA506" s="78"/>
      <c r="FB506" s="78"/>
      <c r="FC506" s="78"/>
      <c r="FD506" s="78"/>
      <c r="FE506" s="78"/>
      <c r="FF506" s="78"/>
      <c r="FG506" s="78"/>
      <c r="FH506" s="78"/>
      <c r="FI506" s="78"/>
      <c r="FJ506" s="78"/>
      <c r="FK506" s="78"/>
    </row>
    <row r="507" spans="1:167" hidden="1" outlineLevel="1">
      <c r="A507" s="29" t="str">
        <f t="shared" si="38"/>
        <v>lt825_mthd_usd_instrmntorigem_scp3_emss</v>
      </c>
      <c r="B507" s="67" t="s">
        <v>26</v>
      </c>
      <c r="C507" s="68" t="s">
        <v>26</v>
      </c>
      <c r="D507" s="64" t="s">
        <v>40</v>
      </c>
      <c r="E507" s="70" t="s">
        <v>389</v>
      </c>
      <c r="F507" s="71" t="s">
        <v>321</v>
      </c>
      <c r="G507" s="64" t="e">
        <f>INDEX(Auxiliar!$B$16:$B$24,MATCH(Plano_V1!H507,Auxiliar!$C$16:$C$24,0),1)</f>
        <v>#N/A</v>
      </c>
      <c r="H507" s="64" t="e">
        <f>VLOOKUP(A507,'Aux - pivots1'!$A:$B,2,0)</f>
        <v>#N/A</v>
      </c>
      <c r="I507" s="84">
        <f>SUMIFS(Table1[Estimação (horas)],Table1[Tabela],Plano_V1!E507,Table1[Campo],Plano_V1!F507)</f>
        <v>0</v>
      </c>
      <c r="J507" s="84">
        <f t="shared" si="37"/>
        <v>0</v>
      </c>
      <c r="K507" s="89" t="s">
        <v>39</v>
      </c>
      <c r="M507" s="78"/>
      <c r="N507" s="78"/>
      <c r="O507" s="78"/>
      <c r="P507" s="78"/>
      <c r="Q507" s="78"/>
      <c r="R507" s="78"/>
      <c r="S507" s="78"/>
      <c r="T507" s="78"/>
      <c r="U507" s="78"/>
      <c r="V507" s="78"/>
      <c r="W507" s="78"/>
      <c r="X507" s="78"/>
      <c r="Y507" s="78"/>
      <c r="Z507" s="78"/>
      <c r="AA507" s="78"/>
      <c r="AB507" s="78"/>
      <c r="AC507" s="78"/>
      <c r="AD507" s="78"/>
      <c r="AE507" s="78"/>
      <c r="AF507" s="78"/>
      <c r="AG507" s="78"/>
      <c r="AH507" s="78"/>
      <c r="AI507" s="78"/>
      <c r="AJ507" s="78"/>
      <c r="AK507" s="78"/>
      <c r="AL507" s="78"/>
      <c r="AM507" s="78"/>
      <c r="AN507" s="78"/>
      <c r="AO507" s="78"/>
      <c r="AP507" s="78"/>
      <c r="AQ507" s="78"/>
      <c r="AR507" s="78"/>
      <c r="AS507" s="78"/>
      <c r="AT507" s="91"/>
      <c r="AU507" s="78"/>
      <c r="AV507" s="78"/>
      <c r="AW507" s="78"/>
      <c r="AX507" s="78"/>
      <c r="AY507" s="78"/>
      <c r="AZ507" s="78"/>
      <c r="BA507" s="78"/>
      <c r="BB507" s="78"/>
      <c r="BC507" s="78"/>
      <c r="BD507" s="78"/>
      <c r="BE507" s="78"/>
      <c r="BF507" s="78"/>
      <c r="BG507" s="78"/>
      <c r="BH507" s="78"/>
      <c r="BI507" s="78"/>
      <c r="BJ507" s="78"/>
      <c r="BK507" s="78"/>
      <c r="BL507" s="78"/>
      <c r="BM507" s="78"/>
      <c r="BN507" s="78"/>
      <c r="BO507" s="78"/>
      <c r="BP507" s="78"/>
      <c r="BQ507" s="78"/>
      <c r="BR507" s="78"/>
      <c r="BS507" s="78"/>
      <c r="BT507" s="78"/>
      <c r="BU507" s="78"/>
      <c r="BV507" s="78"/>
      <c r="BW507" s="78"/>
      <c r="BX507" s="78"/>
      <c r="BY507" s="78"/>
      <c r="BZ507" s="78"/>
      <c r="CA507" s="78"/>
      <c r="CB507" s="78"/>
      <c r="CC507" s="78"/>
      <c r="CD507" s="78"/>
      <c r="CE507" s="78"/>
      <c r="CF507" s="78"/>
      <c r="CG507" s="78"/>
      <c r="CH507" s="78"/>
      <c r="CI507" s="78"/>
      <c r="CJ507" s="78"/>
      <c r="CK507" s="78"/>
      <c r="CL507" s="78"/>
      <c r="CM507" s="78"/>
      <c r="CN507" s="78"/>
      <c r="CO507" s="78"/>
      <c r="CP507" s="78"/>
      <c r="CQ507" s="78"/>
      <c r="CR507" s="78"/>
      <c r="CS507" s="78"/>
      <c r="CT507" s="78"/>
      <c r="CU507" s="78"/>
      <c r="CV507" s="78"/>
      <c r="CW507" s="78"/>
      <c r="CX507" s="78"/>
      <c r="CY507" s="78"/>
      <c r="CZ507" s="78"/>
      <c r="DA507" s="78"/>
      <c r="DB507" s="78"/>
      <c r="DC507" s="78"/>
      <c r="DD507" s="78"/>
      <c r="DE507" s="78"/>
      <c r="DF507" s="78"/>
      <c r="DG507" s="78"/>
      <c r="DH507" s="78"/>
      <c r="DI507" s="78"/>
      <c r="DJ507" s="78"/>
      <c r="DK507" s="78"/>
      <c r="DL507" s="78"/>
      <c r="DM507" s="78"/>
      <c r="DN507" s="78"/>
      <c r="DO507" s="78"/>
      <c r="DP507" s="78"/>
      <c r="DQ507" s="78"/>
      <c r="DR507" s="78"/>
      <c r="DS507" s="78"/>
      <c r="DT507" s="78"/>
      <c r="DU507" s="78"/>
      <c r="DV507" s="78"/>
      <c r="DW507" s="78"/>
      <c r="DX507" s="78"/>
      <c r="DY507" s="78"/>
      <c r="DZ507" s="78"/>
      <c r="EA507" s="78"/>
      <c r="EB507" s="78"/>
      <c r="EC507" s="78"/>
      <c r="ED507" s="78"/>
      <c r="EE507" s="78"/>
      <c r="EF507" s="78"/>
      <c r="EG507" s="78"/>
      <c r="EH507" s="78"/>
      <c r="EI507" s="91"/>
      <c r="EJ507" s="91"/>
      <c r="EK507" s="91"/>
      <c r="EL507" s="91"/>
      <c r="EM507" s="91"/>
      <c r="EN507" s="91"/>
      <c r="EO507" s="91"/>
      <c r="EP507" s="78"/>
      <c r="EQ507" s="78"/>
      <c r="ER507" s="78"/>
      <c r="ES507" s="78"/>
      <c r="ET507" s="78"/>
      <c r="EU507" s="78"/>
      <c r="EV507" s="78"/>
      <c r="EW507" s="78"/>
      <c r="EX507" s="78"/>
      <c r="EY507" s="78"/>
      <c r="EZ507" s="78"/>
      <c r="FA507" s="78"/>
      <c r="FB507" s="78"/>
      <c r="FC507" s="78"/>
      <c r="FD507" s="78"/>
      <c r="FE507" s="78"/>
      <c r="FF507" s="78"/>
      <c r="FG507" s="78"/>
      <c r="FH507" s="78"/>
      <c r="FI507" s="78"/>
      <c r="FJ507" s="78"/>
      <c r="FK507" s="78"/>
    </row>
    <row r="508" spans="1:167" hidden="1" outlineLevel="1">
      <c r="A508" s="29" t="str">
        <f t="shared" si="38"/>
        <v>lt825_mthd_usd_instrmntmthd_usd_instrmnt_scp_1</v>
      </c>
      <c r="B508" s="67" t="s">
        <v>26</v>
      </c>
      <c r="C508" s="68" t="s">
        <v>26</v>
      </c>
      <c r="D508" s="64" t="s">
        <v>40</v>
      </c>
      <c r="E508" s="70" t="s">
        <v>389</v>
      </c>
      <c r="F508" s="71" t="s">
        <v>385</v>
      </c>
      <c r="G508" s="64" t="e">
        <f>INDEX(Auxiliar!$B$16:$B$24,MATCH(Plano_V1!H508,Auxiliar!$C$16:$C$24,0),1)</f>
        <v>#N/A</v>
      </c>
      <c r="H508" s="64" t="e">
        <f>VLOOKUP(A508,'Aux - pivots1'!$A:$B,2,0)</f>
        <v>#N/A</v>
      </c>
      <c r="I508" s="84">
        <f>SUMIFS(Table1[Estimação (horas)],Table1[Tabela],Plano_V1!E508,Table1[Campo],Plano_V1!F508)</f>
        <v>0</v>
      </c>
      <c r="J508" s="84">
        <f t="shared" si="37"/>
        <v>0</v>
      </c>
      <c r="K508" s="89" t="s">
        <v>39</v>
      </c>
      <c r="M508" s="78"/>
      <c r="N508" s="78"/>
      <c r="O508" s="78"/>
      <c r="P508" s="78"/>
      <c r="Q508" s="78"/>
      <c r="R508" s="78"/>
      <c r="S508" s="78"/>
      <c r="T508" s="78"/>
      <c r="U508" s="78"/>
      <c r="V508" s="78"/>
      <c r="W508" s="78"/>
      <c r="X508" s="78"/>
      <c r="Y508" s="78"/>
      <c r="Z508" s="78"/>
      <c r="AA508" s="78"/>
      <c r="AB508" s="78"/>
      <c r="AC508" s="78"/>
      <c r="AD508" s="78"/>
      <c r="AE508" s="78"/>
      <c r="AF508" s="78"/>
      <c r="AG508" s="78"/>
      <c r="AH508" s="78"/>
      <c r="AI508" s="78"/>
      <c r="AJ508" s="78"/>
      <c r="AK508" s="78"/>
      <c r="AL508" s="78"/>
      <c r="AM508" s="78"/>
      <c r="AN508" s="78"/>
      <c r="AO508" s="78"/>
      <c r="AP508" s="78"/>
      <c r="AQ508" s="78"/>
      <c r="AR508" s="78"/>
      <c r="AS508" s="78"/>
      <c r="AT508" s="91"/>
      <c r="AU508" s="78"/>
      <c r="AV508" s="78"/>
      <c r="AW508" s="78"/>
      <c r="AX508" s="78"/>
      <c r="AY508" s="78"/>
      <c r="AZ508" s="78"/>
      <c r="BA508" s="78"/>
      <c r="BB508" s="78"/>
      <c r="BC508" s="78"/>
      <c r="BD508" s="78"/>
      <c r="BE508" s="78"/>
      <c r="BF508" s="78"/>
      <c r="BG508" s="78"/>
      <c r="BH508" s="78"/>
      <c r="BI508" s="78"/>
      <c r="BJ508" s="78"/>
      <c r="BK508" s="78"/>
      <c r="BL508" s="78"/>
      <c r="BM508" s="78"/>
      <c r="BN508" s="78"/>
      <c r="BO508" s="78"/>
      <c r="BP508" s="78"/>
      <c r="BQ508" s="78"/>
      <c r="BR508" s="78"/>
      <c r="BS508" s="78"/>
      <c r="BT508" s="78"/>
      <c r="BU508" s="78"/>
      <c r="BV508" s="78"/>
      <c r="BW508" s="78"/>
      <c r="BX508" s="78"/>
      <c r="BY508" s="78"/>
      <c r="BZ508" s="78"/>
      <c r="CA508" s="78"/>
      <c r="CB508" s="78"/>
      <c r="CC508" s="78"/>
      <c r="CD508" s="78"/>
      <c r="CE508" s="78"/>
      <c r="CF508" s="78"/>
      <c r="CG508" s="78"/>
      <c r="CH508" s="78"/>
      <c r="CI508" s="78"/>
      <c r="CJ508" s="78"/>
      <c r="CK508" s="78"/>
      <c r="CL508" s="78"/>
      <c r="CM508" s="78"/>
      <c r="CN508" s="78"/>
      <c r="CO508" s="78"/>
      <c r="CP508" s="78"/>
      <c r="CQ508" s="78"/>
      <c r="CR508" s="78"/>
      <c r="CS508" s="78"/>
      <c r="CT508" s="78"/>
      <c r="CU508" s="78"/>
      <c r="CV508" s="78"/>
      <c r="CW508" s="78"/>
      <c r="CX508" s="78"/>
      <c r="CY508" s="78"/>
      <c r="CZ508" s="78"/>
      <c r="DA508" s="78"/>
      <c r="DB508" s="78"/>
      <c r="DC508" s="78"/>
      <c r="DD508" s="78"/>
      <c r="DE508" s="78"/>
      <c r="DF508" s="78"/>
      <c r="DG508" s="78"/>
      <c r="DH508" s="78"/>
      <c r="DI508" s="78"/>
      <c r="DJ508" s="78"/>
      <c r="DK508" s="78"/>
      <c r="DL508" s="78"/>
      <c r="DM508" s="78"/>
      <c r="DN508" s="78"/>
      <c r="DO508" s="78"/>
      <c r="DP508" s="78"/>
      <c r="DQ508" s="78"/>
      <c r="DR508" s="78"/>
      <c r="DS508" s="78"/>
      <c r="DT508" s="78"/>
      <c r="DU508" s="78"/>
      <c r="DV508" s="78"/>
      <c r="DW508" s="78"/>
      <c r="DX508" s="78"/>
      <c r="DY508" s="78"/>
      <c r="DZ508" s="78"/>
      <c r="EA508" s="78"/>
      <c r="EB508" s="78"/>
      <c r="EC508" s="78"/>
      <c r="ED508" s="78"/>
      <c r="EE508" s="78"/>
      <c r="EF508" s="78"/>
      <c r="EG508" s="78"/>
      <c r="EH508" s="78"/>
      <c r="EI508" s="91"/>
      <c r="EJ508" s="91"/>
      <c r="EK508" s="91"/>
      <c r="EL508" s="91"/>
      <c r="EM508" s="91"/>
      <c r="EN508" s="91"/>
      <c r="EO508" s="91"/>
      <c r="EP508" s="78"/>
      <c r="EQ508" s="78"/>
      <c r="ER508" s="78"/>
      <c r="ES508" s="78"/>
      <c r="ET508" s="78"/>
      <c r="EU508" s="78"/>
      <c r="EV508" s="78"/>
      <c r="EW508" s="78"/>
      <c r="EX508" s="78"/>
      <c r="EY508" s="78"/>
      <c r="EZ508" s="78"/>
      <c r="FA508" s="78"/>
      <c r="FB508" s="78"/>
      <c r="FC508" s="78"/>
      <c r="FD508" s="78"/>
      <c r="FE508" s="78"/>
      <c r="FF508" s="78"/>
      <c r="FG508" s="78"/>
      <c r="FH508" s="78"/>
      <c r="FI508" s="78"/>
      <c r="FJ508" s="78"/>
      <c r="FK508" s="78"/>
    </row>
    <row r="509" spans="1:167" hidden="1" outlineLevel="1">
      <c r="A509" s="29" t="str">
        <f t="shared" si="38"/>
        <v>lt825_mthd_usd_instrmntmthd_usd_instrmnt_scp_2</v>
      </c>
      <c r="B509" s="67" t="s">
        <v>26</v>
      </c>
      <c r="C509" s="68" t="s">
        <v>26</v>
      </c>
      <c r="D509" s="64" t="s">
        <v>40</v>
      </c>
      <c r="E509" s="70" t="s">
        <v>389</v>
      </c>
      <c r="F509" s="71" t="s">
        <v>386</v>
      </c>
      <c r="G509" s="64" t="e">
        <f>INDEX(Auxiliar!$B$16:$B$24,MATCH(Plano_V1!H509,Auxiliar!$C$16:$C$24,0),1)</f>
        <v>#N/A</v>
      </c>
      <c r="H509" s="64" t="e">
        <f>VLOOKUP(A509,'Aux - pivots1'!$A:$B,2,0)</f>
        <v>#N/A</v>
      </c>
      <c r="I509" s="84">
        <f>SUMIFS(Table1[Estimação (horas)],Table1[Tabela],Plano_V1!E509,Table1[Campo],Plano_V1!F509)</f>
        <v>0</v>
      </c>
      <c r="J509" s="84">
        <f t="shared" si="37"/>
        <v>0</v>
      </c>
      <c r="K509" s="89" t="s">
        <v>39</v>
      </c>
      <c r="M509" s="78"/>
      <c r="N509" s="78"/>
      <c r="O509" s="78"/>
      <c r="P509" s="78"/>
      <c r="Q509" s="78"/>
      <c r="R509" s="78"/>
      <c r="S509" s="78"/>
      <c r="T509" s="78"/>
      <c r="U509" s="78"/>
      <c r="V509" s="78"/>
      <c r="W509" s="78"/>
      <c r="X509" s="78"/>
      <c r="Y509" s="78"/>
      <c r="Z509" s="78"/>
      <c r="AA509" s="78"/>
      <c r="AB509" s="78"/>
      <c r="AC509" s="78"/>
      <c r="AD509" s="78"/>
      <c r="AE509" s="78"/>
      <c r="AF509" s="78"/>
      <c r="AG509" s="78"/>
      <c r="AH509" s="78"/>
      <c r="AI509" s="78"/>
      <c r="AJ509" s="78"/>
      <c r="AK509" s="78"/>
      <c r="AL509" s="78"/>
      <c r="AM509" s="78"/>
      <c r="AN509" s="78"/>
      <c r="AO509" s="78"/>
      <c r="AP509" s="78"/>
      <c r="AQ509" s="78"/>
      <c r="AR509" s="78"/>
      <c r="AS509" s="78"/>
      <c r="AT509" s="91"/>
      <c r="AU509" s="78"/>
      <c r="AV509" s="78"/>
      <c r="AW509" s="78"/>
      <c r="AX509" s="78"/>
      <c r="AY509" s="78"/>
      <c r="AZ509" s="78"/>
      <c r="BA509" s="78"/>
      <c r="BB509" s="78"/>
      <c r="BC509" s="78"/>
      <c r="BD509" s="78"/>
      <c r="BE509" s="78"/>
      <c r="BF509" s="78"/>
      <c r="BG509" s="78"/>
      <c r="BH509" s="78"/>
      <c r="BI509" s="78"/>
      <c r="BJ509" s="78"/>
      <c r="BK509" s="78"/>
      <c r="BL509" s="78"/>
      <c r="BM509" s="78"/>
      <c r="BN509" s="78"/>
      <c r="BO509" s="78"/>
      <c r="BP509" s="78"/>
      <c r="BQ509" s="78"/>
      <c r="BR509" s="78"/>
      <c r="BS509" s="78"/>
      <c r="BT509" s="78"/>
      <c r="BU509" s="78"/>
      <c r="BV509" s="78"/>
      <c r="BW509" s="78"/>
      <c r="BX509" s="78"/>
      <c r="BY509" s="78"/>
      <c r="BZ509" s="78"/>
      <c r="CA509" s="78"/>
      <c r="CB509" s="78"/>
      <c r="CC509" s="78"/>
      <c r="CD509" s="78"/>
      <c r="CE509" s="78"/>
      <c r="CF509" s="78"/>
      <c r="CG509" s="78"/>
      <c r="CH509" s="78"/>
      <c r="CI509" s="78"/>
      <c r="CJ509" s="78"/>
      <c r="CK509" s="78"/>
      <c r="CL509" s="78"/>
      <c r="CM509" s="78"/>
      <c r="CN509" s="78"/>
      <c r="CO509" s="78"/>
      <c r="CP509" s="78"/>
      <c r="CQ509" s="78"/>
      <c r="CR509" s="78"/>
      <c r="CS509" s="78"/>
      <c r="CT509" s="78"/>
      <c r="CU509" s="78"/>
      <c r="CV509" s="78"/>
      <c r="CW509" s="78"/>
      <c r="CX509" s="78"/>
      <c r="CY509" s="78"/>
      <c r="CZ509" s="78"/>
      <c r="DA509" s="78"/>
      <c r="DB509" s="78"/>
      <c r="DC509" s="78"/>
      <c r="DD509" s="78"/>
      <c r="DE509" s="78"/>
      <c r="DF509" s="78"/>
      <c r="DG509" s="78"/>
      <c r="DH509" s="78"/>
      <c r="DI509" s="78"/>
      <c r="DJ509" s="78"/>
      <c r="DK509" s="78"/>
      <c r="DL509" s="78"/>
      <c r="DM509" s="78"/>
      <c r="DN509" s="78"/>
      <c r="DO509" s="78"/>
      <c r="DP509" s="78"/>
      <c r="DQ509" s="78"/>
      <c r="DR509" s="78"/>
      <c r="DS509" s="78"/>
      <c r="DT509" s="78"/>
      <c r="DU509" s="78"/>
      <c r="DV509" s="78"/>
      <c r="DW509" s="78"/>
      <c r="DX509" s="78"/>
      <c r="DY509" s="78"/>
      <c r="DZ509" s="78"/>
      <c r="EA509" s="78"/>
      <c r="EB509" s="78"/>
      <c r="EC509" s="78"/>
      <c r="ED509" s="78"/>
      <c r="EE509" s="78"/>
      <c r="EF509" s="78"/>
      <c r="EG509" s="78"/>
      <c r="EH509" s="78"/>
      <c r="EI509" s="91"/>
      <c r="EJ509" s="91"/>
      <c r="EK509" s="91"/>
      <c r="EL509" s="91"/>
      <c r="EM509" s="91"/>
      <c r="EN509" s="91"/>
      <c r="EO509" s="91"/>
      <c r="EP509" s="78"/>
      <c r="EQ509" s="78"/>
      <c r="ER509" s="78"/>
      <c r="ES509" s="78"/>
      <c r="ET509" s="78"/>
      <c r="EU509" s="78"/>
      <c r="EV509" s="78"/>
      <c r="EW509" s="78"/>
      <c r="EX509" s="78"/>
      <c r="EY509" s="78"/>
      <c r="EZ509" s="78"/>
      <c r="FA509" s="78"/>
      <c r="FB509" s="78"/>
      <c r="FC509" s="78"/>
      <c r="FD509" s="78"/>
      <c r="FE509" s="78"/>
      <c r="FF509" s="78"/>
      <c r="FG509" s="78"/>
      <c r="FH509" s="78"/>
      <c r="FI509" s="78"/>
      <c r="FJ509" s="78"/>
      <c r="FK509" s="78"/>
    </row>
    <row r="510" spans="1:167" hidden="1" outlineLevel="1">
      <c r="A510" s="29" t="str">
        <f t="shared" si="38"/>
        <v>lt825_mthd_usd_instrmntmthd_usd_instrmnt_scp_3</v>
      </c>
      <c r="B510" s="67" t="s">
        <v>26</v>
      </c>
      <c r="C510" s="68" t="s">
        <v>26</v>
      </c>
      <c r="D510" s="64" t="s">
        <v>40</v>
      </c>
      <c r="E510" s="70" t="s">
        <v>389</v>
      </c>
      <c r="F510" s="71" t="s">
        <v>387</v>
      </c>
      <c r="G510" s="64" t="e">
        <f>INDEX(Auxiliar!$B$16:$B$24,MATCH(Plano_V1!H510,Auxiliar!$C$16:$C$24,0),1)</f>
        <v>#N/A</v>
      </c>
      <c r="H510" s="64" t="e">
        <f>VLOOKUP(A510,'Aux - pivots1'!$A:$B,2,0)</f>
        <v>#N/A</v>
      </c>
      <c r="I510" s="84">
        <f>SUMIFS(Table1[Estimação (horas)],Table1[Tabela],Plano_V1!E510,Table1[Campo],Plano_V1!F510)</f>
        <v>0</v>
      </c>
      <c r="J510" s="84">
        <f t="shared" si="37"/>
        <v>0</v>
      </c>
      <c r="K510" s="89" t="s">
        <v>39</v>
      </c>
      <c r="M510" s="78"/>
      <c r="N510" s="78"/>
      <c r="O510" s="78"/>
      <c r="P510" s="78"/>
      <c r="Q510" s="78"/>
      <c r="R510" s="78"/>
      <c r="S510" s="78"/>
      <c r="T510" s="78"/>
      <c r="U510" s="78"/>
      <c r="V510" s="78"/>
      <c r="W510" s="78"/>
      <c r="X510" s="78"/>
      <c r="Y510" s="78"/>
      <c r="Z510" s="78"/>
      <c r="AA510" s="78"/>
      <c r="AB510" s="78"/>
      <c r="AC510" s="78"/>
      <c r="AD510" s="78"/>
      <c r="AE510" s="78"/>
      <c r="AF510" s="78"/>
      <c r="AG510" s="78"/>
      <c r="AH510" s="78"/>
      <c r="AI510" s="78"/>
      <c r="AJ510" s="78"/>
      <c r="AK510" s="78"/>
      <c r="AL510" s="78"/>
      <c r="AM510" s="78"/>
      <c r="AN510" s="78"/>
      <c r="AO510" s="78"/>
      <c r="AP510" s="78"/>
      <c r="AQ510" s="78"/>
      <c r="AR510" s="78"/>
      <c r="AS510" s="78"/>
      <c r="AT510" s="91"/>
      <c r="AU510" s="78"/>
      <c r="AV510" s="78"/>
      <c r="AW510" s="78"/>
      <c r="AX510" s="78"/>
      <c r="AY510" s="78"/>
      <c r="AZ510" s="78"/>
      <c r="BA510" s="78"/>
      <c r="BB510" s="78"/>
      <c r="BC510" s="78"/>
      <c r="BD510" s="78"/>
      <c r="BE510" s="78"/>
      <c r="BF510" s="78"/>
      <c r="BG510" s="78"/>
      <c r="BH510" s="78"/>
      <c r="BI510" s="78"/>
      <c r="BJ510" s="78"/>
      <c r="BK510" s="78"/>
      <c r="BL510" s="78"/>
      <c r="BM510" s="78"/>
      <c r="BN510" s="78"/>
      <c r="BO510" s="78"/>
      <c r="BP510" s="78"/>
      <c r="BQ510" s="78"/>
      <c r="BR510" s="78"/>
      <c r="BS510" s="78"/>
      <c r="BT510" s="78"/>
      <c r="BU510" s="78"/>
      <c r="BV510" s="78"/>
      <c r="BW510" s="78"/>
      <c r="BX510" s="78"/>
      <c r="BY510" s="78"/>
      <c r="BZ510" s="78"/>
      <c r="CA510" s="78"/>
      <c r="CB510" s="78"/>
      <c r="CC510" s="78"/>
      <c r="CD510" s="78"/>
      <c r="CE510" s="78"/>
      <c r="CF510" s="78"/>
      <c r="CG510" s="78"/>
      <c r="CH510" s="78"/>
      <c r="CI510" s="78"/>
      <c r="CJ510" s="78"/>
      <c r="CK510" s="78"/>
      <c r="CL510" s="78"/>
      <c r="CM510" s="78"/>
      <c r="CN510" s="78"/>
      <c r="CO510" s="78"/>
      <c r="CP510" s="78"/>
      <c r="CQ510" s="78"/>
      <c r="CR510" s="78"/>
      <c r="CS510" s="78"/>
      <c r="CT510" s="78"/>
      <c r="CU510" s="78"/>
      <c r="CV510" s="78"/>
      <c r="CW510" s="78"/>
      <c r="CX510" s="78"/>
      <c r="CY510" s="78"/>
      <c r="CZ510" s="78"/>
      <c r="DA510" s="78"/>
      <c r="DB510" s="78"/>
      <c r="DC510" s="78"/>
      <c r="DD510" s="78"/>
      <c r="DE510" s="78"/>
      <c r="DF510" s="78"/>
      <c r="DG510" s="78"/>
      <c r="DH510" s="78"/>
      <c r="DI510" s="78"/>
      <c r="DJ510" s="78"/>
      <c r="DK510" s="78"/>
      <c r="DL510" s="78"/>
      <c r="DM510" s="78"/>
      <c r="DN510" s="78"/>
      <c r="DO510" s="78"/>
      <c r="DP510" s="78"/>
      <c r="DQ510" s="78"/>
      <c r="DR510" s="78"/>
      <c r="DS510" s="78"/>
      <c r="DT510" s="78"/>
      <c r="DU510" s="78"/>
      <c r="DV510" s="78"/>
      <c r="DW510" s="78"/>
      <c r="DX510" s="78"/>
      <c r="DY510" s="78"/>
      <c r="DZ510" s="78"/>
      <c r="EA510" s="78"/>
      <c r="EB510" s="78"/>
      <c r="EC510" s="78"/>
      <c r="ED510" s="78"/>
      <c r="EE510" s="78"/>
      <c r="EF510" s="78"/>
      <c r="EG510" s="78"/>
      <c r="EH510" s="78"/>
      <c r="EI510" s="91"/>
      <c r="EJ510" s="91"/>
      <c r="EK510" s="91"/>
      <c r="EL510" s="91"/>
      <c r="EM510" s="91"/>
      <c r="EN510" s="91"/>
      <c r="EO510" s="91"/>
      <c r="EP510" s="78"/>
      <c r="EQ510" s="78"/>
      <c r="ER510" s="78"/>
      <c r="ES510" s="78"/>
      <c r="ET510" s="78"/>
      <c r="EU510" s="78"/>
      <c r="EV510" s="78"/>
      <c r="EW510" s="78"/>
      <c r="EX510" s="78"/>
      <c r="EY510" s="78"/>
      <c r="EZ510" s="78"/>
      <c r="FA510" s="78"/>
      <c r="FB510" s="78"/>
      <c r="FC510" s="78"/>
      <c r="FD510" s="78"/>
      <c r="FE510" s="78"/>
      <c r="FF510" s="78"/>
      <c r="FG510" s="78"/>
      <c r="FH510" s="78"/>
      <c r="FI510" s="78"/>
      <c r="FJ510" s="78"/>
      <c r="FK510" s="78"/>
    </row>
    <row r="511" spans="1:167" hidden="1" outlineLevel="1">
      <c r="A511" s="29" t="str">
        <f t="shared" si="38"/>
        <v>lt826_esg_sbsctrambito</v>
      </c>
      <c r="B511" s="67" t="s">
        <v>26</v>
      </c>
      <c r="C511" s="68" t="s">
        <v>26</v>
      </c>
      <c r="D511" s="64" t="s">
        <v>40</v>
      </c>
      <c r="E511" s="70" t="s">
        <v>392</v>
      </c>
      <c r="F511" s="72" t="s">
        <v>390</v>
      </c>
      <c r="G511" s="64" t="str">
        <f>INDEX(Auxiliar!$B$16:$B$24,MATCH(Plano_V1!H511,Auxiliar!$C$16:$C$24,0),1)</f>
        <v>1. Concluído</v>
      </c>
      <c r="H511" s="64">
        <f>VLOOKUP(A511,'Aux - pivots1'!$A:$B,2,0)</f>
        <v>1</v>
      </c>
      <c r="I511" s="84">
        <f>SUMIFS(Table1[Estimação (horas)],Table1[Tabela],Plano_V1!E511,Table1[Campo],Plano_V1!F511)</f>
        <v>4.0999999999999996</v>
      </c>
      <c r="J511" s="84">
        <f t="shared" si="37"/>
        <v>0.51249999999999996</v>
      </c>
      <c r="K511" s="89" t="s">
        <v>39</v>
      </c>
      <c r="M511" s="78"/>
      <c r="N511" s="78"/>
      <c r="O511" s="78"/>
      <c r="P511" s="78"/>
      <c r="Q511" s="78"/>
      <c r="R511" s="78"/>
      <c r="S511" s="78"/>
      <c r="T511" s="78"/>
      <c r="U511" s="78"/>
      <c r="V511" s="78"/>
      <c r="W511" s="78"/>
      <c r="X511" s="78"/>
      <c r="Y511" s="78"/>
      <c r="Z511" s="78"/>
      <c r="AA511" s="78"/>
      <c r="AB511" s="78"/>
      <c r="AC511" s="78"/>
      <c r="AD511" s="78"/>
      <c r="AE511" s="78"/>
      <c r="AF511" s="78"/>
      <c r="AG511" s="78"/>
      <c r="AH511" s="78"/>
      <c r="AI511" s="78"/>
      <c r="AJ511" s="78"/>
      <c r="AK511" s="78"/>
      <c r="AL511" s="78"/>
      <c r="AM511" s="78"/>
      <c r="AN511" s="78"/>
      <c r="AO511" s="78"/>
      <c r="AP511" s="78"/>
      <c r="AQ511" s="78"/>
      <c r="AR511" s="78"/>
      <c r="AS511" s="78"/>
      <c r="AT511" s="91"/>
      <c r="AU511" s="78"/>
      <c r="AV511" s="78"/>
      <c r="AW511" s="78"/>
      <c r="AX511" s="78"/>
      <c r="AY511" s="78"/>
      <c r="AZ511" s="78"/>
      <c r="BA511" s="78"/>
      <c r="BB511" s="78"/>
      <c r="BC511" s="78"/>
      <c r="BD511" s="78"/>
      <c r="BE511" s="78"/>
      <c r="BF511" s="78"/>
      <c r="BG511" s="78"/>
      <c r="BH511" s="78"/>
      <c r="BI511" s="78"/>
      <c r="BJ511" s="78"/>
      <c r="BK511" s="78"/>
      <c r="BL511" s="78"/>
      <c r="BM511" s="78"/>
      <c r="BN511" s="78"/>
      <c r="BO511" s="78"/>
      <c r="BP511" s="78"/>
      <c r="BQ511" s="78"/>
      <c r="BR511" s="78"/>
      <c r="BS511" s="78"/>
      <c r="BT511" s="78"/>
      <c r="BU511" s="78"/>
      <c r="BV511" s="78"/>
      <c r="BW511" s="78"/>
      <c r="BX511" s="78"/>
      <c r="BY511" s="78"/>
      <c r="BZ511" s="78"/>
      <c r="CA511" s="78"/>
      <c r="CB511" s="78"/>
      <c r="CC511" s="78"/>
      <c r="CD511" s="78"/>
      <c r="CE511" s="78"/>
      <c r="CF511" s="78"/>
      <c r="CG511" s="78"/>
      <c r="CH511" s="78"/>
      <c r="CI511" s="78"/>
      <c r="CJ511" s="78"/>
      <c r="CK511" s="78"/>
      <c r="CL511" s="78"/>
      <c r="CM511" s="78"/>
      <c r="CN511" s="78"/>
      <c r="CO511" s="78"/>
      <c r="CP511" s="78"/>
      <c r="CQ511" s="78"/>
      <c r="CR511" s="78"/>
      <c r="CS511" s="78"/>
      <c r="CT511" s="78"/>
      <c r="CU511" s="78"/>
      <c r="CV511" s="78"/>
      <c r="CW511" s="78"/>
      <c r="CX511" s="78"/>
      <c r="CY511" s="78"/>
      <c r="CZ511" s="78"/>
      <c r="DA511" s="78"/>
      <c r="DB511" s="78"/>
      <c r="DC511" s="78"/>
      <c r="DD511" s="78"/>
      <c r="DE511" s="78"/>
      <c r="DF511" s="78"/>
      <c r="DG511" s="78"/>
      <c r="DH511" s="78"/>
      <c r="DI511" s="78"/>
      <c r="DJ511" s="78"/>
      <c r="DK511" s="78"/>
      <c r="DL511" s="78"/>
      <c r="DM511" s="78"/>
      <c r="DN511" s="78"/>
      <c r="DO511" s="78"/>
      <c r="DP511" s="78"/>
      <c r="DQ511" s="78"/>
      <c r="DR511" s="78"/>
      <c r="DS511" s="78"/>
      <c r="DT511" s="78"/>
      <c r="DU511" s="78"/>
      <c r="DV511" s="78"/>
      <c r="DW511" s="78"/>
      <c r="DX511" s="78"/>
      <c r="DY511" s="78"/>
      <c r="DZ511" s="78"/>
      <c r="EA511" s="78"/>
      <c r="EB511" s="78"/>
      <c r="EC511" s="78"/>
      <c r="ED511" s="78"/>
      <c r="EE511" s="78"/>
      <c r="EF511" s="78"/>
      <c r="EG511" s="78"/>
      <c r="EH511" s="78"/>
      <c r="EI511" s="91"/>
      <c r="EJ511" s="91"/>
      <c r="EK511" s="91"/>
      <c r="EL511" s="91"/>
      <c r="EM511" s="91"/>
      <c r="EN511" s="91"/>
      <c r="EO511" s="91"/>
      <c r="EP511" s="78"/>
      <c r="EQ511" s="78"/>
      <c r="ER511" s="78"/>
      <c r="ES511" s="78"/>
      <c r="ET511" s="78"/>
      <c r="EU511" s="78"/>
      <c r="EV511" s="78"/>
      <c r="EW511" s="78"/>
      <c r="EX511" s="78"/>
      <c r="EY511" s="78"/>
      <c r="EZ511" s="78"/>
      <c r="FA511" s="78"/>
      <c r="FB511" s="78"/>
      <c r="FC511" s="78"/>
      <c r="FD511" s="78"/>
      <c r="FE511" s="78"/>
      <c r="FF511" s="78"/>
      <c r="FG511" s="78"/>
      <c r="FH511" s="78"/>
      <c r="FI511" s="78"/>
      <c r="FJ511" s="78"/>
      <c r="FK511" s="78"/>
    </row>
    <row r="512" spans="1:167" hidden="1" outlineLevel="1">
      <c r="A512" s="29" t="str">
        <f t="shared" si="38"/>
        <v>lt826_esg_sbsctrref_date</v>
      </c>
      <c r="B512" s="67" t="s">
        <v>26</v>
      </c>
      <c r="C512" s="68" t="s">
        <v>26</v>
      </c>
      <c r="D512" s="64" t="s">
        <v>40</v>
      </c>
      <c r="E512" s="70" t="s">
        <v>392</v>
      </c>
      <c r="F512" s="72" t="s">
        <v>208</v>
      </c>
      <c r="G512" s="64" t="str">
        <f>INDEX(Auxiliar!$B$16:$B$24,MATCH(Plano_V1!H512,Auxiliar!$C$16:$C$24,0),1)</f>
        <v>1. Concluído</v>
      </c>
      <c r="H512" s="64">
        <f>VLOOKUP(A512,'Aux - pivots1'!$A:$B,2,0)</f>
        <v>1</v>
      </c>
      <c r="I512" s="84">
        <f>SUMIFS(Table1[Estimação (horas)],Table1[Tabela],Plano_V1!E512,Table1[Campo],Plano_V1!F512)</f>
        <v>4.0999999999999996</v>
      </c>
      <c r="J512" s="84">
        <f t="shared" ref="J512:J573" si="39">I512/8</f>
        <v>0.51249999999999996</v>
      </c>
      <c r="K512" s="89" t="s">
        <v>39</v>
      </c>
      <c r="M512" s="78"/>
      <c r="N512" s="78"/>
      <c r="O512" s="78"/>
      <c r="P512" s="78"/>
      <c r="Q512" s="78"/>
      <c r="R512" s="78"/>
      <c r="S512" s="78"/>
      <c r="T512" s="78"/>
      <c r="U512" s="78"/>
      <c r="V512" s="78"/>
      <c r="W512" s="78"/>
      <c r="X512" s="78"/>
      <c r="Y512" s="78"/>
      <c r="Z512" s="78"/>
      <c r="AA512" s="78"/>
      <c r="AB512" s="78"/>
      <c r="AC512" s="78"/>
      <c r="AD512" s="78"/>
      <c r="AE512" s="78"/>
      <c r="AF512" s="78"/>
      <c r="AG512" s="78"/>
      <c r="AH512" s="78"/>
      <c r="AI512" s="78"/>
      <c r="AJ512" s="78"/>
      <c r="AK512" s="78"/>
      <c r="AL512" s="78"/>
      <c r="AM512" s="78"/>
      <c r="AN512" s="78"/>
      <c r="AO512" s="78"/>
      <c r="AP512" s="78"/>
      <c r="AQ512" s="78"/>
      <c r="AR512" s="78"/>
      <c r="AS512" s="78"/>
      <c r="AT512" s="91"/>
      <c r="AU512" s="78"/>
      <c r="AV512" s="78"/>
      <c r="AW512" s="78"/>
      <c r="AX512" s="78"/>
      <c r="AY512" s="78"/>
      <c r="AZ512" s="78"/>
      <c r="BA512" s="78"/>
      <c r="BB512" s="78"/>
      <c r="BC512" s="78"/>
      <c r="BD512" s="78"/>
      <c r="BE512" s="78"/>
      <c r="BF512" s="78"/>
      <c r="BG512" s="78"/>
      <c r="BH512" s="78"/>
      <c r="BI512" s="78"/>
      <c r="BJ512" s="78"/>
      <c r="BK512" s="78"/>
      <c r="BL512" s="78"/>
      <c r="BM512" s="78"/>
      <c r="BN512" s="78"/>
      <c r="BO512" s="78"/>
      <c r="BP512" s="78"/>
      <c r="BQ512" s="78"/>
      <c r="BR512" s="78"/>
      <c r="BS512" s="78"/>
      <c r="BT512" s="78"/>
      <c r="BU512" s="78"/>
      <c r="BV512" s="78"/>
      <c r="BW512" s="78"/>
      <c r="BX512" s="78"/>
      <c r="BY512" s="78"/>
      <c r="BZ512" s="78"/>
      <c r="CA512" s="78"/>
      <c r="CB512" s="78"/>
      <c r="CC512" s="78"/>
      <c r="CD512" s="78"/>
      <c r="CE512" s="78"/>
      <c r="CF512" s="78"/>
      <c r="CG512" s="78"/>
      <c r="CH512" s="78"/>
      <c r="CI512" s="78"/>
      <c r="CJ512" s="78"/>
      <c r="CK512" s="78"/>
      <c r="CL512" s="78"/>
      <c r="CM512" s="78"/>
      <c r="CN512" s="78"/>
      <c r="CO512" s="78"/>
      <c r="CP512" s="78"/>
      <c r="CQ512" s="78"/>
      <c r="CR512" s="78"/>
      <c r="CS512" s="78"/>
      <c r="CT512" s="78"/>
      <c r="CU512" s="78"/>
      <c r="CV512" s="78"/>
      <c r="CW512" s="78"/>
      <c r="CX512" s="78"/>
      <c r="CY512" s="78"/>
      <c r="CZ512" s="78"/>
      <c r="DA512" s="78"/>
      <c r="DB512" s="78"/>
      <c r="DC512" s="78"/>
      <c r="DD512" s="78"/>
      <c r="DE512" s="78"/>
      <c r="DF512" s="78"/>
      <c r="DG512" s="78"/>
      <c r="DH512" s="78"/>
      <c r="DI512" s="78"/>
      <c r="DJ512" s="78"/>
      <c r="DK512" s="78"/>
      <c r="DL512" s="78"/>
      <c r="DM512" s="78"/>
      <c r="DN512" s="78"/>
      <c r="DO512" s="78"/>
      <c r="DP512" s="78"/>
      <c r="DQ512" s="78"/>
      <c r="DR512" s="78"/>
      <c r="DS512" s="78"/>
      <c r="DT512" s="78"/>
      <c r="DU512" s="78"/>
      <c r="DV512" s="78"/>
      <c r="DW512" s="78"/>
      <c r="DX512" s="78"/>
      <c r="DY512" s="78"/>
      <c r="DZ512" s="78"/>
      <c r="EA512" s="78"/>
      <c r="EB512" s="78"/>
      <c r="EC512" s="78"/>
      <c r="ED512" s="78"/>
      <c r="EE512" s="78"/>
      <c r="EF512" s="78"/>
      <c r="EG512" s="78"/>
      <c r="EH512" s="78"/>
      <c r="EI512" s="91"/>
      <c r="EJ512" s="91"/>
      <c r="EK512" s="91"/>
      <c r="EL512" s="91"/>
      <c r="EM512" s="91"/>
      <c r="EN512" s="91"/>
      <c r="EO512" s="91"/>
      <c r="EP512" s="78"/>
      <c r="EQ512" s="78"/>
      <c r="ER512" s="78"/>
      <c r="ES512" s="78"/>
      <c r="ET512" s="78"/>
      <c r="EU512" s="78"/>
      <c r="EV512" s="78"/>
      <c r="EW512" s="78"/>
      <c r="EX512" s="78"/>
      <c r="EY512" s="78"/>
      <c r="EZ512" s="78"/>
      <c r="FA512" s="78"/>
      <c r="FB512" s="78"/>
      <c r="FC512" s="78"/>
      <c r="FD512" s="78"/>
      <c r="FE512" s="78"/>
      <c r="FF512" s="78"/>
      <c r="FG512" s="78"/>
      <c r="FH512" s="78"/>
      <c r="FI512" s="78"/>
      <c r="FJ512" s="78"/>
      <c r="FK512" s="78"/>
    </row>
    <row r="513" spans="1:167" hidden="1" outlineLevel="1">
      <c r="A513" s="29" t="str">
        <f t="shared" si="38"/>
        <v>lt826_esg_sbsctrordem</v>
      </c>
      <c r="B513" s="67" t="s">
        <v>26</v>
      </c>
      <c r="C513" s="68" t="s">
        <v>26</v>
      </c>
      <c r="D513" s="64" t="s">
        <v>40</v>
      </c>
      <c r="E513" s="70" t="s">
        <v>392</v>
      </c>
      <c r="F513" s="72" t="s">
        <v>211</v>
      </c>
      <c r="G513" s="64" t="str">
        <f>INDEX(Auxiliar!$B$16:$B$24,MATCH(Plano_V1!H513,Auxiliar!$C$16:$C$24,0),1)</f>
        <v>1. Concluído</v>
      </c>
      <c r="H513" s="64">
        <f>VLOOKUP(A513,'Aux - pivots1'!$A:$B,2,0)</f>
        <v>1</v>
      </c>
      <c r="I513" s="84">
        <f>SUMIFS(Table1[Estimação (horas)],Table1[Tabela],Plano_V1!E513,Table1[Campo],Plano_V1!F513)</f>
        <v>4.0999999999999996</v>
      </c>
      <c r="J513" s="84">
        <f t="shared" si="39"/>
        <v>0.51249999999999996</v>
      </c>
      <c r="K513" s="89" t="s">
        <v>39</v>
      </c>
      <c r="M513" s="78"/>
      <c r="N513" s="78"/>
      <c r="O513" s="78"/>
      <c r="P513" s="78"/>
      <c r="Q513" s="78"/>
      <c r="R513" s="78"/>
      <c r="S513" s="78"/>
      <c r="T513" s="78"/>
      <c r="U513" s="78"/>
      <c r="V513" s="78"/>
      <c r="W513" s="78"/>
      <c r="X513" s="78"/>
      <c r="Y513" s="78"/>
      <c r="Z513" s="78"/>
      <c r="AA513" s="78"/>
      <c r="AB513" s="78"/>
      <c r="AC513" s="78"/>
      <c r="AD513" s="78"/>
      <c r="AE513" s="78"/>
      <c r="AF513" s="78"/>
      <c r="AG513" s="78"/>
      <c r="AH513" s="78"/>
      <c r="AI513" s="78"/>
      <c r="AJ513" s="78"/>
      <c r="AK513" s="78"/>
      <c r="AL513" s="78"/>
      <c r="AM513" s="78"/>
      <c r="AN513" s="78"/>
      <c r="AO513" s="78"/>
      <c r="AP513" s="78"/>
      <c r="AQ513" s="78"/>
      <c r="AR513" s="78"/>
      <c r="AS513" s="78"/>
      <c r="AT513" s="91"/>
      <c r="AU513" s="78"/>
      <c r="AV513" s="78"/>
      <c r="AW513" s="78"/>
      <c r="AX513" s="78"/>
      <c r="AY513" s="78"/>
      <c r="AZ513" s="78"/>
      <c r="BA513" s="78"/>
      <c r="BB513" s="78"/>
      <c r="BC513" s="78"/>
      <c r="BD513" s="78"/>
      <c r="BE513" s="78"/>
      <c r="BF513" s="78"/>
      <c r="BG513" s="78"/>
      <c r="BH513" s="78"/>
      <c r="BI513" s="78"/>
      <c r="BJ513" s="78"/>
      <c r="BK513" s="78"/>
      <c r="BL513" s="78"/>
      <c r="BM513" s="78"/>
      <c r="BN513" s="78"/>
      <c r="BO513" s="78"/>
      <c r="BP513" s="78"/>
      <c r="BQ513" s="78"/>
      <c r="BR513" s="78"/>
      <c r="BS513" s="78"/>
      <c r="BT513" s="78"/>
      <c r="BU513" s="78"/>
      <c r="BV513" s="78"/>
      <c r="BW513" s="78"/>
      <c r="BX513" s="78"/>
      <c r="BY513" s="78"/>
      <c r="BZ513" s="78"/>
      <c r="CA513" s="78"/>
      <c r="CB513" s="78"/>
      <c r="CC513" s="78"/>
      <c r="CD513" s="78"/>
      <c r="CE513" s="78"/>
      <c r="CF513" s="78"/>
      <c r="CG513" s="78"/>
      <c r="CH513" s="78"/>
      <c r="CI513" s="78"/>
      <c r="CJ513" s="78"/>
      <c r="CK513" s="78"/>
      <c r="CL513" s="78"/>
      <c r="CM513" s="78"/>
      <c r="CN513" s="78"/>
      <c r="CO513" s="78"/>
      <c r="CP513" s="78"/>
      <c r="CQ513" s="78"/>
      <c r="CR513" s="78"/>
      <c r="CS513" s="78"/>
      <c r="CT513" s="78"/>
      <c r="CU513" s="78"/>
      <c r="CV513" s="78"/>
      <c r="CW513" s="78"/>
      <c r="CX513" s="78"/>
      <c r="CY513" s="78"/>
      <c r="CZ513" s="78"/>
      <c r="DA513" s="78"/>
      <c r="DB513" s="78"/>
      <c r="DC513" s="78"/>
      <c r="DD513" s="78"/>
      <c r="DE513" s="78"/>
      <c r="DF513" s="78"/>
      <c r="DG513" s="78"/>
      <c r="DH513" s="78"/>
      <c r="DI513" s="78"/>
      <c r="DJ513" s="78"/>
      <c r="DK513" s="78"/>
      <c r="DL513" s="78"/>
      <c r="DM513" s="78"/>
      <c r="DN513" s="78"/>
      <c r="DO513" s="78"/>
      <c r="DP513" s="78"/>
      <c r="DQ513" s="78"/>
      <c r="DR513" s="78"/>
      <c r="DS513" s="78"/>
      <c r="DT513" s="78"/>
      <c r="DU513" s="78"/>
      <c r="DV513" s="78"/>
      <c r="DW513" s="78"/>
      <c r="DX513" s="78"/>
      <c r="DY513" s="78"/>
      <c r="DZ513" s="78"/>
      <c r="EA513" s="78"/>
      <c r="EB513" s="78"/>
      <c r="EC513" s="78"/>
      <c r="ED513" s="78"/>
      <c r="EE513" s="78"/>
      <c r="EF513" s="78"/>
      <c r="EG513" s="78"/>
      <c r="EH513" s="78"/>
      <c r="EI513" s="91"/>
      <c r="EJ513" s="91"/>
      <c r="EK513" s="91"/>
      <c r="EL513" s="91"/>
      <c r="EM513" s="91"/>
      <c r="EN513" s="91"/>
      <c r="EO513" s="91"/>
      <c r="EP513" s="78"/>
      <c r="EQ513" s="78"/>
      <c r="ER513" s="78"/>
      <c r="ES513" s="78"/>
      <c r="ET513" s="78"/>
      <c r="EU513" s="78"/>
      <c r="EV513" s="78"/>
      <c r="EW513" s="78"/>
      <c r="EX513" s="78"/>
      <c r="EY513" s="78"/>
      <c r="EZ513" s="78"/>
      <c r="FA513" s="78"/>
      <c r="FB513" s="78"/>
      <c r="FC513" s="78"/>
      <c r="FD513" s="78"/>
      <c r="FE513" s="78"/>
      <c r="FF513" s="78"/>
      <c r="FG513" s="78"/>
      <c r="FH513" s="78"/>
      <c r="FI513" s="78"/>
      <c r="FJ513" s="78"/>
      <c r="FK513" s="78"/>
    </row>
    <row r="514" spans="1:167" hidden="1" outlineLevel="1">
      <c r="A514" s="29" t="str">
        <f t="shared" si="38"/>
        <v>lt826_esg_sbsctrnace_code</v>
      </c>
      <c r="B514" s="67" t="s">
        <v>26</v>
      </c>
      <c r="C514" s="68" t="s">
        <v>26</v>
      </c>
      <c r="D514" s="64" t="s">
        <v>40</v>
      </c>
      <c r="E514" s="70" t="s">
        <v>392</v>
      </c>
      <c r="F514" s="71" t="s">
        <v>393</v>
      </c>
      <c r="G514" s="64" t="str">
        <f>INDEX(Auxiliar!$B$16:$B$24,MATCH(Plano_V1!H514,Auxiliar!$C$16:$C$24,0),1)</f>
        <v>1. Concluído</v>
      </c>
      <c r="H514" s="64">
        <f>VLOOKUP(A514,'Aux - pivots1'!$A:$B,2,0)</f>
        <v>1</v>
      </c>
      <c r="I514" s="84">
        <f>SUMIFS(Table1[Estimação (horas)],Table1[Tabela],Plano_V1!E514,Table1[Campo],Plano_V1!F514)</f>
        <v>4.0999999999999996</v>
      </c>
      <c r="J514" s="84">
        <f t="shared" si="39"/>
        <v>0.51249999999999996</v>
      </c>
      <c r="K514" s="89" t="s">
        <v>39</v>
      </c>
      <c r="M514" s="78"/>
      <c r="N514" s="78"/>
      <c r="O514" s="78"/>
      <c r="P514" s="78"/>
      <c r="Q514" s="78"/>
      <c r="R514" s="78"/>
      <c r="S514" s="78"/>
      <c r="T514" s="78"/>
      <c r="U514" s="78"/>
      <c r="V514" s="78"/>
      <c r="W514" s="78"/>
      <c r="X514" s="78"/>
      <c r="Y514" s="78"/>
      <c r="Z514" s="78"/>
      <c r="AA514" s="78"/>
      <c r="AB514" s="78"/>
      <c r="AC514" s="78"/>
      <c r="AD514" s="78"/>
      <c r="AE514" s="78"/>
      <c r="AF514" s="78"/>
      <c r="AG514" s="78"/>
      <c r="AH514" s="78"/>
      <c r="AI514" s="78"/>
      <c r="AJ514" s="78"/>
      <c r="AK514" s="78"/>
      <c r="AL514" s="78"/>
      <c r="AM514" s="78"/>
      <c r="AN514" s="78"/>
      <c r="AO514" s="78"/>
      <c r="AP514" s="78"/>
      <c r="AQ514" s="78"/>
      <c r="AR514" s="78"/>
      <c r="AS514" s="78"/>
      <c r="AT514" s="91"/>
      <c r="AU514" s="78"/>
      <c r="AV514" s="78"/>
      <c r="AW514" s="78"/>
      <c r="AX514" s="78"/>
      <c r="AY514" s="78"/>
      <c r="AZ514" s="78"/>
      <c r="BA514" s="78"/>
      <c r="BB514" s="78"/>
      <c r="BC514" s="78"/>
      <c r="BD514" s="78"/>
      <c r="BE514" s="78"/>
      <c r="BF514" s="78"/>
      <c r="BG514" s="78"/>
      <c r="BH514" s="78"/>
      <c r="BI514" s="78"/>
      <c r="BJ514" s="78"/>
      <c r="BK514" s="78"/>
      <c r="BL514" s="78"/>
      <c r="BM514" s="78"/>
      <c r="BN514" s="78"/>
      <c r="BO514" s="78"/>
      <c r="BP514" s="78"/>
      <c r="BQ514" s="78"/>
      <c r="BR514" s="78"/>
      <c r="BS514" s="78"/>
      <c r="BT514" s="78"/>
      <c r="BU514" s="78"/>
      <c r="BV514" s="78"/>
      <c r="BW514" s="78"/>
      <c r="BX514" s="78"/>
      <c r="BY514" s="78"/>
      <c r="BZ514" s="78"/>
      <c r="CA514" s="78"/>
      <c r="CB514" s="78"/>
      <c r="CC514" s="78"/>
      <c r="CD514" s="78"/>
      <c r="CE514" s="78"/>
      <c r="CF514" s="78"/>
      <c r="CG514" s="78"/>
      <c r="CH514" s="78"/>
      <c r="CI514" s="78"/>
      <c r="CJ514" s="78"/>
      <c r="CK514" s="78"/>
      <c r="CL514" s="78"/>
      <c r="CM514" s="78"/>
      <c r="CN514" s="78"/>
      <c r="CO514" s="78"/>
      <c r="CP514" s="78"/>
      <c r="CQ514" s="78"/>
      <c r="CR514" s="78"/>
      <c r="CS514" s="78"/>
      <c r="CT514" s="78"/>
      <c r="CU514" s="78"/>
      <c r="CV514" s="78"/>
      <c r="CW514" s="78"/>
      <c r="CX514" s="78"/>
      <c r="CY514" s="78"/>
      <c r="CZ514" s="78"/>
      <c r="DA514" s="78"/>
      <c r="DB514" s="78"/>
      <c r="DC514" s="78"/>
      <c r="DD514" s="78"/>
      <c r="DE514" s="78"/>
      <c r="DF514" s="78"/>
      <c r="DG514" s="78"/>
      <c r="DH514" s="78"/>
      <c r="DI514" s="78"/>
      <c r="DJ514" s="78"/>
      <c r="DK514" s="78"/>
      <c r="DL514" s="78"/>
      <c r="DM514" s="78"/>
      <c r="DN514" s="78"/>
      <c r="DO514" s="78"/>
      <c r="DP514" s="78"/>
      <c r="DQ514" s="78"/>
      <c r="DR514" s="78"/>
      <c r="DS514" s="78"/>
      <c r="DT514" s="78"/>
      <c r="DU514" s="78"/>
      <c r="DV514" s="78"/>
      <c r="DW514" s="78"/>
      <c r="DX514" s="78"/>
      <c r="DY514" s="78"/>
      <c r="DZ514" s="78"/>
      <c r="EA514" s="78"/>
      <c r="EB514" s="78"/>
      <c r="EC514" s="78"/>
      <c r="ED514" s="78"/>
      <c r="EE514" s="78"/>
      <c r="EF514" s="78"/>
      <c r="EG514" s="78"/>
      <c r="EH514" s="78"/>
      <c r="EI514" s="91"/>
      <c r="EJ514" s="91"/>
      <c r="EK514" s="91"/>
      <c r="EL514" s="91"/>
      <c r="EM514" s="91"/>
      <c r="EN514" s="91"/>
      <c r="EO514" s="91"/>
      <c r="EP514" s="78"/>
      <c r="EQ514" s="78"/>
      <c r="ER514" s="78"/>
      <c r="ES514" s="78"/>
      <c r="ET514" s="78"/>
      <c r="EU514" s="78"/>
      <c r="EV514" s="78"/>
      <c r="EW514" s="78"/>
      <c r="EX514" s="78"/>
      <c r="EY514" s="78"/>
      <c r="EZ514" s="78"/>
      <c r="FA514" s="78"/>
      <c r="FB514" s="78"/>
      <c r="FC514" s="78"/>
      <c r="FD514" s="78"/>
      <c r="FE514" s="78"/>
      <c r="FF514" s="78"/>
      <c r="FG514" s="78"/>
      <c r="FH514" s="78"/>
      <c r="FI514" s="78"/>
      <c r="FJ514" s="78"/>
      <c r="FK514" s="78"/>
    </row>
    <row r="515" spans="1:167" hidden="1" outlineLevel="1">
      <c r="A515" s="29" t="str">
        <f t="shared" si="38"/>
        <v>lt826_esg_sbsctrcontraparte</v>
      </c>
      <c r="B515" s="67" t="s">
        <v>26</v>
      </c>
      <c r="C515" s="68" t="s">
        <v>26</v>
      </c>
      <c r="D515" s="64" t="s">
        <v>40</v>
      </c>
      <c r="E515" s="70" t="s">
        <v>392</v>
      </c>
      <c r="F515" s="71" t="s">
        <v>394</v>
      </c>
      <c r="G515" s="64" t="str">
        <f>INDEX(Auxiliar!$B$16:$B$24,MATCH(Plano_V1!H515,Auxiliar!$C$16:$C$24,0),1)</f>
        <v>1. Concluído</v>
      </c>
      <c r="H515" s="64">
        <f>VLOOKUP(A515,'Aux - pivots1'!$A:$B,2,0)</f>
        <v>1</v>
      </c>
      <c r="I515" s="84">
        <f>SUMIFS(Table1[Estimação (horas)],Table1[Tabela],Plano_V1!E515,Table1[Campo],Plano_V1!F515)</f>
        <v>4.0999999999999996</v>
      </c>
      <c r="J515" s="84">
        <f t="shared" si="39"/>
        <v>0.51249999999999996</v>
      </c>
      <c r="K515" s="89" t="s">
        <v>39</v>
      </c>
      <c r="M515" s="78"/>
      <c r="N515" s="78"/>
      <c r="O515" s="78"/>
      <c r="P515" s="78"/>
      <c r="Q515" s="78"/>
      <c r="R515" s="78"/>
      <c r="S515" s="78"/>
      <c r="T515" s="78"/>
      <c r="U515" s="78"/>
      <c r="V515" s="78"/>
      <c r="W515" s="78"/>
      <c r="X515" s="78"/>
      <c r="Y515" s="78"/>
      <c r="Z515" s="78"/>
      <c r="AA515" s="78"/>
      <c r="AB515" s="78"/>
      <c r="AC515" s="78"/>
      <c r="AD515" s="78"/>
      <c r="AE515" s="78"/>
      <c r="AF515" s="78"/>
      <c r="AG515" s="78"/>
      <c r="AH515" s="78"/>
      <c r="AI515" s="78"/>
      <c r="AJ515" s="78"/>
      <c r="AK515" s="78"/>
      <c r="AL515" s="78"/>
      <c r="AM515" s="78"/>
      <c r="AN515" s="78"/>
      <c r="AO515" s="78"/>
      <c r="AP515" s="78"/>
      <c r="AQ515" s="78"/>
      <c r="AR515" s="78"/>
      <c r="AS515" s="78"/>
      <c r="AT515" s="91"/>
      <c r="AU515" s="78"/>
      <c r="AV515" s="78"/>
      <c r="AW515" s="78"/>
      <c r="AX515" s="78"/>
      <c r="AY515" s="78"/>
      <c r="AZ515" s="78"/>
      <c r="BA515" s="78"/>
      <c r="BB515" s="78"/>
      <c r="BC515" s="78"/>
      <c r="BD515" s="78"/>
      <c r="BE515" s="78"/>
      <c r="BF515" s="78"/>
      <c r="BG515" s="78"/>
      <c r="BH515" s="78"/>
      <c r="BI515" s="78"/>
      <c r="BJ515" s="78"/>
      <c r="BK515" s="78"/>
      <c r="BL515" s="78"/>
      <c r="BM515" s="78"/>
      <c r="BN515" s="78"/>
      <c r="BO515" s="78"/>
      <c r="BP515" s="78"/>
      <c r="BQ515" s="78"/>
      <c r="BR515" s="78"/>
      <c r="BS515" s="78"/>
      <c r="BT515" s="78"/>
      <c r="BU515" s="78"/>
      <c r="BV515" s="78"/>
      <c r="BW515" s="78"/>
      <c r="BX515" s="78"/>
      <c r="BY515" s="78"/>
      <c r="BZ515" s="78"/>
      <c r="CA515" s="78"/>
      <c r="CB515" s="78"/>
      <c r="CC515" s="78"/>
      <c r="CD515" s="78"/>
      <c r="CE515" s="78"/>
      <c r="CF515" s="78"/>
      <c r="CG515" s="78"/>
      <c r="CH515" s="78"/>
      <c r="CI515" s="78"/>
      <c r="CJ515" s="78"/>
      <c r="CK515" s="78"/>
      <c r="CL515" s="78"/>
      <c r="CM515" s="78"/>
      <c r="CN515" s="78"/>
      <c r="CO515" s="78"/>
      <c r="CP515" s="78"/>
      <c r="CQ515" s="78"/>
      <c r="CR515" s="78"/>
      <c r="CS515" s="78"/>
      <c r="CT515" s="78"/>
      <c r="CU515" s="78"/>
      <c r="CV515" s="78"/>
      <c r="CW515" s="78"/>
      <c r="CX515" s="78"/>
      <c r="CY515" s="78"/>
      <c r="CZ515" s="78"/>
      <c r="DA515" s="78"/>
      <c r="DB515" s="78"/>
      <c r="DC515" s="78"/>
      <c r="DD515" s="78"/>
      <c r="DE515" s="78"/>
      <c r="DF515" s="78"/>
      <c r="DG515" s="78"/>
      <c r="DH515" s="78"/>
      <c r="DI515" s="78"/>
      <c r="DJ515" s="78"/>
      <c r="DK515" s="78"/>
      <c r="DL515" s="78"/>
      <c r="DM515" s="78"/>
      <c r="DN515" s="78"/>
      <c r="DO515" s="78"/>
      <c r="DP515" s="78"/>
      <c r="DQ515" s="78"/>
      <c r="DR515" s="78"/>
      <c r="DS515" s="78"/>
      <c r="DT515" s="78"/>
      <c r="DU515" s="78"/>
      <c r="DV515" s="78"/>
      <c r="DW515" s="78"/>
      <c r="DX515" s="78"/>
      <c r="DY515" s="78"/>
      <c r="DZ515" s="78"/>
      <c r="EA515" s="78"/>
      <c r="EB515" s="78"/>
      <c r="EC515" s="78"/>
      <c r="ED515" s="78"/>
      <c r="EE515" s="78"/>
      <c r="EF515" s="78"/>
      <c r="EG515" s="78"/>
      <c r="EH515" s="78"/>
      <c r="EI515" s="91"/>
      <c r="EJ515" s="91"/>
      <c r="EK515" s="91"/>
      <c r="EL515" s="91"/>
      <c r="EM515" s="91"/>
      <c r="EN515" s="91"/>
      <c r="EO515" s="91"/>
      <c r="EP515" s="78"/>
      <c r="EQ515" s="78"/>
      <c r="ER515" s="78"/>
      <c r="ES515" s="78"/>
      <c r="ET515" s="78"/>
      <c r="EU515" s="78"/>
      <c r="EV515" s="78"/>
      <c r="EW515" s="78"/>
      <c r="EX515" s="78"/>
      <c r="EY515" s="78"/>
      <c r="EZ515" s="78"/>
      <c r="FA515" s="78"/>
      <c r="FB515" s="78"/>
      <c r="FC515" s="78"/>
      <c r="FD515" s="78"/>
      <c r="FE515" s="78"/>
      <c r="FF515" s="78"/>
      <c r="FG515" s="78"/>
      <c r="FH515" s="78"/>
      <c r="FI515" s="78"/>
      <c r="FJ515" s="78"/>
      <c r="FK515" s="78"/>
    </row>
    <row r="516" spans="1:167" hidden="1" outlineLevel="1">
      <c r="A516" s="29" t="str">
        <f t="shared" si="38"/>
        <v>lt826_esg_sbsctrcnatureza_juri</v>
      </c>
      <c r="B516" s="67" t="s">
        <v>26</v>
      </c>
      <c r="C516" s="68" t="s">
        <v>26</v>
      </c>
      <c r="D516" s="64" t="s">
        <v>40</v>
      </c>
      <c r="E516" s="70" t="s">
        <v>392</v>
      </c>
      <c r="F516" s="71" t="s">
        <v>395</v>
      </c>
      <c r="G516" s="64" t="str">
        <f>INDEX(Auxiliar!$B$16:$B$24,MATCH(Plano_V1!H516,Auxiliar!$C$16:$C$24,0),1)</f>
        <v>1. Concluído</v>
      </c>
      <c r="H516" s="64">
        <f>VLOOKUP(A516,'Aux - pivots1'!$A:$B,2,0)</f>
        <v>1</v>
      </c>
      <c r="I516" s="84">
        <f>SUMIFS(Table1[Estimação (horas)],Table1[Tabela],Plano_V1!E516,Table1[Campo],Plano_V1!F516)</f>
        <v>4.0999999999999996</v>
      </c>
      <c r="J516" s="84">
        <f t="shared" si="39"/>
        <v>0.51249999999999996</v>
      </c>
      <c r="K516" s="89" t="s">
        <v>39</v>
      </c>
      <c r="M516" s="78"/>
      <c r="N516" s="78"/>
      <c r="O516" s="78"/>
      <c r="P516" s="78"/>
      <c r="Q516" s="78"/>
      <c r="R516" s="78"/>
      <c r="S516" s="78"/>
      <c r="T516" s="78"/>
      <c r="U516" s="78"/>
      <c r="V516" s="78"/>
      <c r="W516" s="78"/>
      <c r="X516" s="78"/>
      <c r="Y516" s="78"/>
      <c r="Z516" s="78"/>
      <c r="AA516" s="78"/>
      <c r="AB516" s="78"/>
      <c r="AC516" s="78"/>
      <c r="AD516" s="78"/>
      <c r="AE516" s="78"/>
      <c r="AF516" s="78"/>
      <c r="AG516" s="78"/>
      <c r="AH516" s="78"/>
      <c r="AI516" s="78"/>
      <c r="AJ516" s="78"/>
      <c r="AK516" s="78"/>
      <c r="AL516" s="78"/>
      <c r="AM516" s="78"/>
      <c r="AN516" s="78"/>
      <c r="AO516" s="78"/>
      <c r="AP516" s="78"/>
      <c r="AQ516" s="78"/>
      <c r="AR516" s="78"/>
      <c r="AS516" s="78"/>
      <c r="AT516" s="91"/>
      <c r="AU516" s="78"/>
      <c r="AV516" s="78"/>
      <c r="AW516" s="78"/>
      <c r="AX516" s="78"/>
      <c r="AY516" s="78"/>
      <c r="AZ516" s="78"/>
      <c r="BA516" s="78"/>
      <c r="BB516" s="78"/>
      <c r="BC516" s="78"/>
      <c r="BD516" s="78"/>
      <c r="BE516" s="78"/>
      <c r="BF516" s="78"/>
      <c r="BG516" s="78"/>
      <c r="BH516" s="78"/>
      <c r="BI516" s="78"/>
      <c r="BJ516" s="78"/>
      <c r="BK516" s="78"/>
      <c r="BL516" s="78"/>
      <c r="BM516" s="78"/>
      <c r="BN516" s="78"/>
      <c r="BO516" s="78"/>
      <c r="BP516" s="78"/>
      <c r="BQ516" s="78"/>
      <c r="BR516" s="78"/>
      <c r="BS516" s="78"/>
      <c r="BT516" s="78"/>
      <c r="BU516" s="78"/>
      <c r="BV516" s="78"/>
      <c r="BW516" s="78"/>
      <c r="BX516" s="78"/>
      <c r="BY516" s="78"/>
      <c r="BZ516" s="78"/>
      <c r="CA516" s="78"/>
      <c r="CB516" s="78"/>
      <c r="CC516" s="78"/>
      <c r="CD516" s="78"/>
      <c r="CE516" s="78"/>
      <c r="CF516" s="78"/>
      <c r="CG516" s="78"/>
      <c r="CH516" s="78"/>
      <c r="CI516" s="78"/>
      <c r="CJ516" s="78"/>
      <c r="CK516" s="78"/>
      <c r="CL516" s="78"/>
      <c r="CM516" s="78"/>
      <c r="CN516" s="78"/>
      <c r="CO516" s="78"/>
      <c r="CP516" s="78"/>
      <c r="CQ516" s="78"/>
      <c r="CR516" s="78"/>
      <c r="CS516" s="78"/>
      <c r="CT516" s="78"/>
      <c r="CU516" s="78"/>
      <c r="CV516" s="78"/>
      <c r="CW516" s="78"/>
      <c r="CX516" s="78"/>
      <c r="CY516" s="78"/>
      <c r="CZ516" s="78"/>
      <c r="DA516" s="78"/>
      <c r="DB516" s="78"/>
      <c r="DC516" s="78"/>
      <c r="DD516" s="78"/>
      <c r="DE516" s="78"/>
      <c r="DF516" s="78"/>
      <c r="DG516" s="78"/>
      <c r="DH516" s="78"/>
      <c r="DI516" s="78"/>
      <c r="DJ516" s="78"/>
      <c r="DK516" s="78"/>
      <c r="DL516" s="78"/>
      <c r="DM516" s="78"/>
      <c r="DN516" s="78"/>
      <c r="DO516" s="78"/>
      <c r="DP516" s="78"/>
      <c r="DQ516" s="78"/>
      <c r="DR516" s="78"/>
      <c r="DS516" s="78"/>
      <c r="DT516" s="78"/>
      <c r="DU516" s="78"/>
      <c r="DV516" s="78"/>
      <c r="DW516" s="78"/>
      <c r="DX516" s="78"/>
      <c r="DY516" s="78"/>
      <c r="DZ516" s="78"/>
      <c r="EA516" s="78"/>
      <c r="EB516" s="78"/>
      <c r="EC516" s="78"/>
      <c r="ED516" s="78"/>
      <c r="EE516" s="78"/>
      <c r="EF516" s="78"/>
      <c r="EG516" s="78"/>
      <c r="EH516" s="78"/>
      <c r="EI516" s="91"/>
      <c r="EJ516" s="91"/>
      <c r="EK516" s="91"/>
      <c r="EL516" s="91"/>
      <c r="EM516" s="91"/>
      <c r="EN516" s="91"/>
      <c r="EO516" s="91"/>
      <c r="EP516" s="78"/>
      <c r="EQ516" s="78"/>
      <c r="ER516" s="78"/>
      <c r="ES516" s="78"/>
      <c r="ET516" s="78"/>
      <c r="EU516" s="78"/>
      <c r="EV516" s="78"/>
      <c r="EW516" s="78"/>
      <c r="EX516" s="78"/>
      <c r="EY516" s="78"/>
      <c r="EZ516" s="78"/>
      <c r="FA516" s="78"/>
      <c r="FB516" s="78"/>
      <c r="FC516" s="78"/>
      <c r="FD516" s="78"/>
      <c r="FE516" s="78"/>
      <c r="FF516" s="78"/>
      <c r="FG516" s="78"/>
      <c r="FH516" s="78"/>
      <c r="FI516" s="78"/>
      <c r="FJ516" s="78"/>
      <c r="FK516" s="78"/>
    </row>
    <row r="517" spans="1:167" hidden="1" outlineLevel="1">
      <c r="A517" s="29" t="str">
        <f t="shared" si="38"/>
        <v>lt826_esg_sbsctridcomb</v>
      </c>
      <c r="B517" s="67" t="s">
        <v>26</v>
      </c>
      <c r="C517" s="68" t="s">
        <v>26</v>
      </c>
      <c r="D517" s="64" t="s">
        <v>40</v>
      </c>
      <c r="E517" s="70" t="s">
        <v>392</v>
      </c>
      <c r="F517" s="71" t="s">
        <v>396</v>
      </c>
      <c r="G517" s="64" t="str">
        <f>INDEX(Auxiliar!$B$16:$B$24,MATCH(Plano_V1!H517,Auxiliar!$C$16:$C$24,0),1)</f>
        <v>1. Concluído</v>
      </c>
      <c r="H517" s="64">
        <f>VLOOKUP(A517,'Aux - pivots1'!$A:$B,2,0)</f>
        <v>1</v>
      </c>
      <c r="I517" s="84">
        <f>SUMIFS(Table1[Estimação (horas)],Table1[Tabela],Plano_V1!E517,Table1[Campo],Plano_V1!F517)</f>
        <v>4.0999999999999996</v>
      </c>
      <c r="J517" s="84">
        <f t="shared" si="39"/>
        <v>0.51249999999999996</v>
      </c>
      <c r="K517" s="89" t="s">
        <v>39</v>
      </c>
      <c r="M517" s="78"/>
      <c r="N517" s="78"/>
      <c r="O517" s="78"/>
      <c r="P517" s="78"/>
      <c r="Q517" s="78"/>
      <c r="R517" s="78"/>
      <c r="S517" s="78"/>
      <c r="T517" s="78"/>
      <c r="U517" s="78"/>
      <c r="V517" s="78"/>
      <c r="W517" s="78"/>
      <c r="X517" s="78"/>
      <c r="Y517" s="78"/>
      <c r="Z517" s="78"/>
      <c r="AA517" s="78"/>
      <c r="AB517" s="78"/>
      <c r="AC517" s="78"/>
      <c r="AD517" s="78"/>
      <c r="AE517" s="78"/>
      <c r="AF517" s="78"/>
      <c r="AG517" s="78"/>
      <c r="AH517" s="78"/>
      <c r="AI517" s="78"/>
      <c r="AJ517" s="78"/>
      <c r="AK517" s="78"/>
      <c r="AL517" s="78"/>
      <c r="AM517" s="78"/>
      <c r="AN517" s="78"/>
      <c r="AO517" s="78"/>
      <c r="AP517" s="78"/>
      <c r="AQ517" s="78"/>
      <c r="AR517" s="78"/>
      <c r="AS517" s="78"/>
      <c r="AT517" s="91"/>
      <c r="AU517" s="78"/>
      <c r="AV517" s="78"/>
      <c r="AW517" s="78"/>
      <c r="AX517" s="78"/>
      <c r="AY517" s="78"/>
      <c r="AZ517" s="78"/>
      <c r="BA517" s="78"/>
      <c r="BB517" s="78"/>
      <c r="BC517" s="78"/>
      <c r="BD517" s="78"/>
      <c r="BE517" s="78"/>
      <c r="BF517" s="78"/>
      <c r="BG517" s="78"/>
      <c r="BH517" s="78"/>
      <c r="BI517" s="78"/>
      <c r="BJ517" s="78"/>
      <c r="BK517" s="78"/>
      <c r="BL517" s="78"/>
      <c r="BM517" s="78"/>
      <c r="BN517" s="78"/>
      <c r="BO517" s="78"/>
      <c r="BP517" s="78"/>
      <c r="BQ517" s="78"/>
      <c r="BR517" s="78"/>
      <c r="BS517" s="78"/>
      <c r="BT517" s="78"/>
      <c r="BU517" s="78"/>
      <c r="BV517" s="78"/>
      <c r="BW517" s="78"/>
      <c r="BX517" s="78"/>
      <c r="BY517" s="78"/>
      <c r="BZ517" s="78"/>
      <c r="CA517" s="78"/>
      <c r="CB517" s="78"/>
      <c r="CC517" s="78"/>
      <c r="CD517" s="78"/>
      <c r="CE517" s="78"/>
      <c r="CF517" s="78"/>
      <c r="CG517" s="78"/>
      <c r="CH517" s="78"/>
      <c r="CI517" s="78"/>
      <c r="CJ517" s="78"/>
      <c r="CK517" s="78"/>
      <c r="CL517" s="78"/>
      <c r="CM517" s="78"/>
      <c r="CN517" s="78"/>
      <c r="CO517" s="78"/>
      <c r="CP517" s="78"/>
      <c r="CQ517" s="78"/>
      <c r="CR517" s="78"/>
      <c r="CS517" s="78"/>
      <c r="CT517" s="78"/>
      <c r="CU517" s="78"/>
      <c r="CV517" s="78"/>
      <c r="CW517" s="78"/>
      <c r="CX517" s="78"/>
      <c r="CY517" s="78"/>
      <c r="CZ517" s="78"/>
      <c r="DA517" s="78"/>
      <c r="DB517" s="78"/>
      <c r="DC517" s="78"/>
      <c r="DD517" s="78"/>
      <c r="DE517" s="78"/>
      <c r="DF517" s="78"/>
      <c r="DG517" s="78"/>
      <c r="DH517" s="78"/>
      <c r="DI517" s="78"/>
      <c r="DJ517" s="78"/>
      <c r="DK517" s="78"/>
      <c r="DL517" s="78"/>
      <c r="DM517" s="78"/>
      <c r="DN517" s="78"/>
      <c r="DO517" s="78"/>
      <c r="DP517" s="78"/>
      <c r="DQ517" s="78"/>
      <c r="DR517" s="78"/>
      <c r="DS517" s="78"/>
      <c r="DT517" s="78"/>
      <c r="DU517" s="78"/>
      <c r="DV517" s="78"/>
      <c r="DW517" s="78"/>
      <c r="DX517" s="78"/>
      <c r="DY517" s="78"/>
      <c r="DZ517" s="78"/>
      <c r="EA517" s="78"/>
      <c r="EB517" s="78"/>
      <c r="EC517" s="78"/>
      <c r="ED517" s="78"/>
      <c r="EE517" s="78"/>
      <c r="EF517" s="78"/>
      <c r="EG517" s="78"/>
      <c r="EH517" s="78"/>
      <c r="EI517" s="91"/>
      <c r="EJ517" s="91"/>
      <c r="EK517" s="91"/>
      <c r="EL517" s="91"/>
      <c r="EM517" s="91"/>
      <c r="EN517" s="91"/>
      <c r="EO517" s="91"/>
      <c r="EP517" s="78"/>
      <c r="EQ517" s="78"/>
      <c r="ER517" s="78"/>
      <c r="ES517" s="78"/>
      <c r="ET517" s="78"/>
      <c r="EU517" s="78"/>
      <c r="EV517" s="78"/>
      <c r="EW517" s="78"/>
      <c r="EX517" s="78"/>
      <c r="EY517" s="78"/>
      <c r="EZ517" s="78"/>
      <c r="FA517" s="78"/>
      <c r="FB517" s="78"/>
      <c r="FC517" s="78"/>
      <c r="FD517" s="78"/>
      <c r="FE517" s="78"/>
      <c r="FF517" s="78"/>
      <c r="FG517" s="78"/>
      <c r="FH517" s="78"/>
      <c r="FI517" s="78"/>
      <c r="FJ517" s="78"/>
      <c r="FK517" s="78"/>
    </row>
    <row r="518" spans="1:167" hidden="1" outlineLevel="1">
      <c r="A518" s="29" t="str">
        <f t="shared" si="38"/>
        <v>lt826_esg_sbsctresg_sbsctr</v>
      </c>
      <c r="B518" s="67" t="s">
        <v>26</v>
      </c>
      <c r="C518" s="68" t="s">
        <v>26</v>
      </c>
      <c r="D518" s="64" t="s">
        <v>40</v>
      </c>
      <c r="E518" s="70" t="s">
        <v>392</v>
      </c>
      <c r="F518" s="71" t="s">
        <v>360</v>
      </c>
      <c r="G518" s="64" t="str">
        <f>INDEX(Auxiliar!$B$16:$B$24,MATCH(Plano_V1!H518,Auxiliar!$C$16:$C$24,0),1)</f>
        <v>1. Concluído</v>
      </c>
      <c r="H518" s="64">
        <f>VLOOKUP(A518,'Aux - pivots1'!$A:$B,2,0)</f>
        <v>1</v>
      </c>
      <c r="I518" s="84">
        <f>SUMIFS(Table1[Estimação (horas)],Table1[Tabela],Plano_V1!E518,Table1[Campo],Plano_V1!F518)</f>
        <v>4.0999999999999996</v>
      </c>
      <c r="J518" s="84">
        <f t="shared" si="39"/>
        <v>0.51249999999999996</v>
      </c>
      <c r="K518" s="89" t="s">
        <v>39</v>
      </c>
      <c r="M518" s="78"/>
      <c r="N518" s="78"/>
      <c r="O518" s="78"/>
      <c r="P518" s="78"/>
      <c r="Q518" s="78"/>
      <c r="R518" s="78"/>
      <c r="S518" s="78"/>
      <c r="T518" s="78"/>
      <c r="U518" s="78"/>
      <c r="V518" s="78"/>
      <c r="W518" s="78"/>
      <c r="X518" s="78"/>
      <c r="Y518" s="78"/>
      <c r="Z518" s="78"/>
      <c r="AA518" s="78"/>
      <c r="AB518" s="78"/>
      <c r="AC518" s="78"/>
      <c r="AD518" s="78"/>
      <c r="AE518" s="78"/>
      <c r="AF518" s="78"/>
      <c r="AG518" s="78"/>
      <c r="AH518" s="78"/>
      <c r="AI518" s="78"/>
      <c r="AJ518" s="78"/>
      <c r="AK518" s="78"/>
      <c r="AL518" s="78"/>
      <c r="AM518" s="78"/>
      <c r="AN518" s="78"/>
      <c r="AO518" s="78"/>
      <c r="AP518" s="78"/>
      <c r="AQ518" s="78"/>
      <c r="AR518" s="78"/>
      <c r="AS518" s="78"/>
      <c r="AT518" s="91"/>
      <c r="AU518" s="78"/>
      <c r="AV518" s="78"/>
      <c r="AW518" s="78"/>
      <c r="AX518" s="78"/>
      <c r="AY518" s="78"/>
      <c r="AZ518" s="78"/>
      <c r="BA518" s="78"/>
      <c r="BB518" s="78"/>
      <c r="BC518" s="78"/>
      <c r="BD518" s="78"/>
      <c r="BE518" s="78"/>
      <c r="BF518" s="78"/>
      <c r="BG518" s="78"/>
      <c r="BH518" s="78"/>
      <c r="BI518" s="78"/>
      <c r="BJ518" s="78"/>
      <c r="BK518" s="78"/>
      <c r="BL518" s="78"/>
      <c r="BM518" s="78"/>
      <c r="BN518" s="78"/>
      <c r="BO518" s="78"/>
      <c r="BP518" s="78"/>
      <c r="BQ518" s="78"/>
      <c r="BR518" s="78"/>
      <c r="BS518" s="78"/>
      <c r="BT518" s="78"/>
      <c r="BU518" s="78"/>
      <c r="BV518" s="78"/>
      <c r="BW518" s="78"/>
      <c r="BX518" s="78"/>
      <c r="BY518" s="78"/>
      <c r="BZ518" s="78"/>
      <c r="CA518" s="78"/>
      <c r="CB518" s="78"/>
      <c r="CC518" s="78"/>
      <c r="CD518" s="78"/>
      <c r="CE518" s="78"/>
      <c r="CF518" s="78"/>
      <c r="CG518" s="78"/>
      <c r="CH518" s="78"/>
      <c r="CI518" s="78"/>
      <c r="CJ518" s="78"/>
      <c r="CK518" s="78"/>
      <c r="CL518" s="78"/>
      <c r="CM518" s="78"/>
      <c r="CN518" s="78"/>
      <c r="CO518" s="78"/>
      <c r="CP518" s="78"/>
      <c r="CQ518" s="78"/>
      <c r="CR518" s="78"/>
      <c r="CS518" s="78"/>
      <c r="CT518" s="78"/>
      <c r="CU518" s="78"/>
      <c r="CV518" s="78"/>
      <c r="CW518" s="78"/>
      <c r="CX518" s="78"/>
      <c r="CY518" s="78"/>
      <c r="CZ518" s="78"/>
      <c r="DA518" s="78"/>
      <c r="DB518" s="78"/>
      <c r="DC518" s="78"/>
      <c r="DD518" s="78"/>
      <c r="DE518" s="78"/>
      <c r="DF518" s="78"/>
      <c r="DG518" s="78"/>
      <c r="DH518" s="78"/>
      <c r="DI518" s="78"/>
      <c r="DJ518" s="78"/>
      <c r="DK518" s="78"/>
      <c r="DL518" s="78"/>
      <c r="DM518" s="78"/>
      <c r="DN518" s="78"/>
      <c r="DO518" s="78"/>
      <c r="DP518" s="78"/>
      <c r="DQ518" s="78"/>
      <c r="DR518" s="78"/>
      <c r="DS518" s="78"/>
      <c r="DT518" s="78"/>
      <c r="DU518" s="78"/>
      <c r="DV518" s="78"/>
      <c r="DW518" s="78"/>
      <c r="DX518" s="78"/>
      <c r="DY518" s="78"/>
      <c r="DZ518" s="78"/>
      <c r="EA518" s="78"/>
      <c r="EB518" s="78"/>
      <c r="EC518" s="78"/>
      <c r="ED518" s="78"/>
      <c r="EE518" s="78"/>
      <c r="EF518" s="78"/>
      <c r="EG518" s="78"/>
      <c r="EH518" s="78"/>
      <c r="EI518" s="91"/>
      <c r="EJ518" s="91"/>
      <c r="EK518" s="91"/>
      <c r="EL518" s="91"/>
      <c r="EM518" s="91"/>
      <c r="EN518" s="91"/>
      <c r="EO518" s="91"/>
      <c r="EP518" s="78"/>
      <c r="EQ518" s="78"/>
      <c r="ER518" s="78"/>
      <c r="ES518" s="78"/>
      <c r="ET518" s="78"/>
      <c r="EU518" s="78"/>
      <c r="EV518" s="78"/>
      <c r="EW518" s="78"/>
      <c r="EX518" s="78"/>
      <c r="EY518" s="78"/>
      <c r="EZ518" s="78"/>
      <c r="FA518" s="78"/>
      <c r="FB518" s="78"/>
      <c r="FC518" s="78"/>
      <c r="FD518" s="78"/>
      <c r="FE518" s="78"/>
      <c r="FF518" s="78"/>
      <c r="FG518" s="78"/>
      <c r="FH518" s="78"/>
      <c r="FI518" s="78"/>
      <c r="FJ518" s="78"/>
      <c r="FK518" s="78"/>
    </row>
    <row r="519" spans="1:167" hidden="1" outlineLevel="1">
      <c r="A519" s="29" t="str">
        <f t="shared" si="38"/>
        <v>lt826_esg_sbsctrdescrição</v>
      </c>
      <c r="B519" s="67" t="s">
        <v>26</v>
      </c>
      <c r="C519" s="68" t="s">
        <v>26</v>
      </c>
      <c r="D519" s="64" t="s">
        <v>40</v>
      </c>
      <c r="E519" s="70" t="s">
        <v>392</v>
      </c>
      <c r="F519" s="71" t="s">
        <v>397</v>
      </c>
      <c r="G519" s="64" t="str">
        <f>INDEX(Auxiliar!$B$16:$B$24,MATCH(Plano_V1!H519,Auxiliar!$C$16:$C$24,0),1)</f>
        <v>1. Concluído</v>
      </c>
      <c r="H519" s="64">
        <f>VLOOKUP(A519,'Aux - pivots1'!$A:$B,2,0)</f>
        <v>1</v>
      </c>
      <c r="I519" s="84">
        <f>SUMIFS(Table1[Estimação (horas)],Table1[Tabela],Plano_V1!E519,Table1[Campo],Plano_V1!F519)</f>
        <v>4.0999999999999996</v>
      </c>
      <c r="J519" s="84">
        <f t="shared" si="39"/>
        <v>0.51249999999999996</v>
      </c>
      <c r="K519" s="89" t="s">
        <v>39</v>
      </c>
      <c r="M519" s="78"/>
      <c r="N519" s="78"/>
      <c r="O519" s="78"/>
      <c r="P519" s="78"/>
      <c r="Q519" s="78"/>
      <c r="R519" s="78"/>
      <c r="S519" s="78"/>
      <c r="T519" s="78"/>
      <c r="U519" s="78"/>
      <c r="V519" s="78"/>
      <c r="W519" s="78"/>
      <c r="X519" s="78"/>
      <c r="Y519" s="78"/>
      <c r="Z519" s="78"/>
      <c r="AA519" s="78"/>
      <c r="AB519" s="78"/>
      <c r="AC519" s="78"/>
      <c r="AD519" s="78"/>
      <c r="AE519" s="78"/>
      <c r="AF519" s="78"/>
      <c r="AG519" s="78"/>
      <c r="AH519" s="78"/>
      <c r="AI519" s="78"/>
      <c r="AJ519" s="78"/>
      <c r="AK519" s="78"/>
      <c r="AL519" s="78"/>
      <c r="AM519" s="78"/>
      <c r="AN519" s="78"/>
      <c r="AO519" s="78"/>
      <c r="AP519" s="78"/>
      <c r="AQ519" s="78"/>
      <c r="AR519" s="78"/>
      <c r="AS519" s="78"/>
      <c r="AT519" s="91"/>
      <c r="AU519" s="78"/>
      <c r="AV519" s="78"/>
      <c r="AW519" s="78"/>
      <c r="AX519" s="78"/>
      <c r="AY519" s="78"/>
      <c r="AZ519" s="78"/>
      <c r="BA519" s="78"/>
      <c r="BB519" s="78"/>
      <c r="BC519" s="78"/>
      <c r="BD519" s="78"/>
      <c r="BE519" s="78"/>
      <c r="BF519" s="78"/>
      <c r="BG519" s="78"/>
      <c r="BH519" s="78"/>
      <c r="BI519" s="78"/>
      <c r="BJ519" s="78"/>
      <c r="BK519" s="78"/>
      <c r="BL519" s="78"/>
      <c r="BM519" s="78"/>
      <c r="BN519" s="78"/>
      <c r="BO519" s="78"/>
      <c r="BP519" s="78"/>
      <c r="BQ519" s="78"/>
      <c r="BR519" s="78"/>
      <c r="BS519" s="78"/>
      <c r="BT519" s="78"/>
      <c r="BU519" s="78"/>
      <c r="BV519" s="78"/>
      <c r="BW519" s="78"/>
      <c r="BX519" s="78"/>
      <c r="BY519" s="78"/>
      <c r="BZ519" s="78"/>
      <c r="CA519" s="78"/>
      <c r="CB519" s="78"/>
      <c r="CC519" s="78"/>
      <c r="CD519" s="78"/>
      <c r="CE519" s="78"/>
      <c r="CF519" s="78"/>
      <c r="CG519" s="78"/>
      <c r="CH519" s="78"/>
      <c r="CI519" s="78"/>
      <c r="CJ519" s="78"/>
      <c r="CK519" s="78"/>
      <c r="CL519" s="78"/>
      <c r="CM519" s="78"/>
      <c r="CN519" s="78"/>
      <c r="CO519" s="78"/>
      <c r="CP519" s="78"/>
      <c r="CQ519" s="78"/>
      <c r="CR519" s="78"/>
      <c r="CS519" s="78"/>
      <c r="CT519" s="78"/>
      <c r="CU519" s="78"/>
      <c r="CV519" s="78"/>
      <c r="CW519" s="78"/>
      <c r="CX519" s="78"/>
      <c r="CY519" s="78"/>
      <c r="CZ519" s="78"/>
      <c r="DA519" s="78"/>
      <c r="DB519" s="78"/>
      <c r="DC519" s="78"/>
      <c r="DD519" s="78"/>
      <c r="DE519" s="78"/>
      <c r="DF519" s="78"/>
      <c r="DG519" s="78"/>
      <c r="DH519" s="78"/>
      <c r="DI519" s="78"/>
      <c r="DJ519" s="78"/>
      <c r="DK519" s="78"/>
      <c r="DL519" s="78"/>
      <c r="DM519" s="78"/>
      <c r="DN519" s="78"/>
      <c r="DO519" s="78"/>
      <c r="DP519" s="78"/>
      <c r="DQ519" s="78"/>
      <c r="DR519" s="78"/>
      <c r="DS519" s="78"/>
      <c r="DT519" s="78"/>
      <c r="DU519" s="78"/>
      <c r="DV519" s="78"/>
      <c r="DW519" s="78"/>
      <c r="DX519" s="78"/>
      <c r="DY519" s="78"/>
      <c r="DZ519" s="78"/>
      <c r="EA519" s="78"/>
      <c r="EB519" s="78"/>
      <c r="EC519" s="78"/>
      <c r="ED519" s="78"/>
      <c r="EE519" s="78"/>
      <c r="EF519" s="78"/>
      <c r="EG519" s="78"/>
      <c r="EH519" s="78"/>
      <c r="EI519" s="91"/>
      <c r="EJ519" s="91"/>
      <c r="EK519" s="91"/>
      <c r="EL519" s="91"/>
      <c r="EM519" s="91"/>
      <c r="EN519" s="91"/>
      <c r="EO519" s="91"/>
      <c r="EP519" s="78"/>
      <c r="EQ519" s="78"/>
      <c r="ER519" s="78"/>
      <c r="ES519" s="78"/>
      <c r="ET519" s="78"/>
      <c r="EU519" s="78"/>
      <c r="EV519" s="78"/>
      <c r="EW519" s="78"/>
      <c r="EX519" s="78"/>
      <c r="EY519" s="78"/>
      <c r="EZ519" s="78"/>
      <c r="FA519" s="78"/>
      <c r="FB519" s="78"/>
      <c r="FC519" s="78"/>
      <c r="FD519" s="78"/>
      <c r="FE519" s="78"/>
      <c r="FF519" s="78"/>
      <c r="FG519" s="78"/>
      <c r="FH519" s="78"/>
      <c r="FI519" s="78"/>
      <c r="FJ519" s="78"/>
      <c r="FK519" s="78"/>
    </row>
    <row r="520" spans="1:167" hidden="1" outlineLevel="1">
      <c r="A520" s="29" t="str">
        <f t="shared" si="38"/>
        <v>lt002_instrumentdt_rfrnc</v>
      </c>
      <c r="B520" s="67" t="s">
        <v>26</v>
      </c>
      <c r="C520" s="68" t="s">
        <v>26</v>
      </c>
      <c r="D520" s="64" t="s">
        <v>40</v>
      </c>
      <c r="E520" s="70" t="s">
        <v>379</v>
      </c>
      <c r="F520" s="71" t="s">
        <v>398</v>
      </c>
      <c r="G520" s="64" t="str">
        <f>INDEX(Auxiliar!$B$16:$B$24,MATCH(Plano_V1!H520,Auxiliar!$C$16:$C$24,0),1)</f>
        <v>1. Concluído</v>
      </c>
      <c r="H520" s="64">
        <f>VLOOKUP(A520,'Aux - pivots1'!$A:$B,2,0)</f>
        <v>1</v>
      </c>
      <c r="I520" s="84">
        <f>SUMIFS(Table1[Estimação (horas)],Table1[Tabela],Plano_V1!E520,Table1[Campo],Plano_V1!F520)</f>
        <v>0.1</v>
      </c>
      <c r="J520" s="84">
        <f t="shared" si="39"/>
        <v>1.2500000000000001E-2</v>
      </c>
      <c r="K520" s="89" t="s">
        <v>399</v>
      </c>
      <c r="M520" s="78"/>
      <c r="N520" s="78"/>
      <c r="O520" s="78"/>
      <c r="P520" s="78"/>
      <c r="Q520" s="78"/>
      <c r="R520" s="78"/>
      <c r="S520" s="78"/>
      <c r="T520" s="78"/>
      <c r="U520" s="78"/>
      <c r="V520" s="78"/>
      <c r="W520" s="78"/>
      <c r="X520" s="78"/>
      <c r="Y520" s="78"/>
      <c r="Z520" s="78"/>
      <c r="AA520" s="78"/>
      <c r="AB520" s="78"/>
      <c r="AC520" s="78"/>
      <c r="AD520" s="78"/>
      <c r="AE520" s="78"/>
      <c r="AF520" s="78"/>
      <c r="AG520" s="78"/>
      <c r="AH520" s="78"/>
      <c r="AI520" s="78"/>
      <c r="AJ520" s="78"/>
      <c r="AK520" s="78"/>
      <c r="AL520" s="78"/>
      <c r="AM520" s="78"/>
      <c r="AN520" s="78"/>
      <c r="AO520" s="78"/>
      <c r="AP520" s="78"/>
      <c r="AQ520" s="78"/>
      <c r="AR520" s="78"/>
      <c r="AS520" s="78"/>
      <c r="AT520" s="91"/>
      <c r="AU520" s="78"/>
      <c r="AV520" s="78"/>
      <c r="AW520" s="78"/>
      <c r="AX520" s="78"/>
      <c r="AY520" s="78"/>
      <c r="AZ520" s="78"/>
      <c r="BA520" s="78"/>
      <c r="BB520" s="78"/>
      <c r="BC520" s="78"/>
      <c r="BD520" s="78"/>
      <c r="BE520" s="78"/>
      <c r="BF520" s="78"/>
      <c r="BG520" s="78"/>
      <c r="BH520" s="78"/>
      <c r="BI520" s="78"/>
      <c r="BJ520" s="78"/>
      <c r="BK520" s="78"/>
      <c r="BL520" s="78"/>
      <c r="BM520" s="78"/>
      <c r="BN520" s="78"/>
      <c r="BO520" s="78"/>
      <c r="BP520" s="78"/>
      <c r="BQ520" s="78"/>
      <c r="BR520" s="78"/>
      <c r="BS520" s="78"/>
      <c r="BT520" s="78"/>
      <c r="BU520" s="78"/>
      <c r="BV520" s="78"/>
      <c r="BW520" s="78"/>
      <c r="BX520" s="78"/>
      <c r="BY520" s="78"/>
      <c r="BZ520" s="78"/>
      <c r="CA520" s="78"/>
      <c r="CB520" s="78"/>
      <c r="CC520" s="78"/>
      <c r="CD520" s="78"/>
      <c r="CE520" s="78"/>
      <c r="CF520" s="78"/>
      <c r="CG520" s="78"/>
      <c r="CH520" s="78"/>
      <c r="CI520" s="78"/>
      <c r="CJ520" s="78"/>
      <c r="CK520" s="78"/>
      <c r="CL520" s="78"/>
      <c r="CM520" s="78"/>
      <c r="CN520" s="78"/>
      <c r="CO520" s="78"/>
      <c r="CP520" s="78"/>
      <c r="CQ520" s="78"/>
      <c r="CR520" s="78"/>
      <c r="CS520" s="78"/>
      <c r="CT520" s="78"/>
      <c r="CU520" s="78"/>
      <c r="CV520" s="78"/>
      <c r="CW520" s="78"/>
      <c r="CX520" s="78"/>
      <c r="CY520" s="78"/>
      <c r="CZ520" s="78"/>
      <c r="DA520" s="78"/>
      <c r="DB520" s="78"/>
      <c r="DC520" s="78"/>
      <c r="DD520" s="78"/>
      <c r="DE520" s="78"/>
      <c r="DF520" s="78"/>
      <c r="DG520" s="78"/>
      <c r="DH520" s="78"/>
      <c r="DI520" s="78"/>
      <c r="DJ520" s="78"/>
      <c r="DK520" s="78"/>
      <c r="DL520" s="78"/>
      <c r="DM520" s="78"/>
      <c r="DN520" s="78"/>
      <c r="DO520" s="78"/>
      <c r="DP520" s="78"/>
      <c r="DQ520" s="78"/>
      <c r="DR520" s="78"/>
      <c r="DS520" s="78"/>
      <c r="DT520" s="78"/>
      <c r="DU520" s="78"/>
      <c r="DV520" s="78"/>
      <c r="DW520" s="78"/>
      <c r="DX520" s="78"/>
      <c r="DY520" s="78"/>
      <c r="DZ520" s="78"/>
      <c r="EA520" s="78"/>
      <c r="EB520" s="78"/>
      <c r="EC520" s="78"/>
      <c r="ED520" s="78"/>
      <c r="EE520" s="78"/>
      <c r="EF520" s="78"/>
      <c r="EG520" s="78"/>
      <c r="EH520" s="78"/>
      <c r="EI520" s="91"/>
      <c r="EJ520" s="91"/>
      <c r="EK520" s="91"/>
      <c r="EL520" s="91"/>
      <c r="EM520" s="91"/>
      <c r="EN520" s="91"/>
      <c r="EO520" s="91"/>
      <c r="EP520" s="78"/>
      <c r="EQ520" s="78"/>
      <c r="ER520" s="78"/>
      <c r="ES520" s="78"/>
      <c r="ET520" s="78"/>
      <c r="EU520" s="78"/>
      <c r="EV520" s="78"/>
      <c r="EW520" s="78"/>
      <c r="EX520" s="78"/>
      <c r="EY520" s="78"/>
      <c r="EZ520" s="78"/>
      <c r="FA520" s="78"/>
      <c r="FB520" s="78"/>
      <c r="FC520" s="78"/>
      <c r="FD520" s="78"/>
      <c r="FE520" s="78"/>
      <c r="FF520" s="78"/>
      <c r="FG520" s="78"/>
      <c r="FH520" s="78"/>
      <c r="FI520" s="78"/>
      <c r="FJ520" s="78"/>
      <c r="FK520" s="78"/>
    </row>
    <row r="521" spans="1:167" hidden="1" outlineLevel="1">
      <c r="A521" s="29" t="str">
        <f t="shared" si="38"/>
        <v>lt002_instrumentinstrmnt_id</v>
      </c>
      <c r="B521" s="67" t="s">
        <v>26</v>
      </c>
      <c r="C521" s="68" t="s">
        <v>26</v>
      </c>
      <c r="D521" s="64" t="s">
        <v>40</v>
      </c>
      <c r="E521" s="70" t="s">
        <v>379</v>
      </c>
      <c r="F521" s="71" t="s">
        <v>400</v>
      </c>
      <c r="G521" s="64" t="str">
        <f>INDEX(Auxiliar!$B$16:$B$24,MATCH(Plano_V1!H521,Auxiliar!$C$16:$C$24,0),1)</f>
        <v>1. Concluído</v>
      </c>
      <c r="H521" s="64">
        <f>VLOOKUP(A521,'Aux - pivots1'!$A:$B,2,0)</f>
        <v>1</v>
      </c>
      <c r="I521" s="84">
        <f>SUMIFS(Table1[Estimação (horas)],Table1[Tabela],Plano_V1!E521,Table1[Campo],Plano_V1!F521)</f>
        <v>0.1</v>
      </c>
      <c r="J521" s="84">
        <f t="shared" si="39"/>
        <v>1.2500000000000001E-2</v>
      </c>
      <c r="K521" s="89" t="s">
        <v>399</v>
      </c>
      <c r="M521" s="78"/>
      <c r="N521" s="78"/>
      <c r="O521" s="78"/>
      <c r="P521" s="78"/>
      <c r="Q521" s="78"/>
      <c r="R521" s="78"/>
      <c r="S521" s="78"/>
      <c r="T521" s="78"/>
      <c r="U521" s="78"/>
      <c r="V521" s="78"/>
      <c r="W521" s="78"/>
      <c r="X521" s="78"/>
      <c r="Y521" s="78"/>
      <c r="Z521" s="78"/>
      <c r="AA521" s="78"/>
      <c r="AB521" s="78"/>
      <c r="AC521" s="78"/>
      <c r="AD521" s="78"/>
      <c r="AE521" s="78"/>
      <c r="AF521" s="78"/>
      <c r="AG521" s="78"/>
      <c r="AH521" s="78"/>
      <c r="AI521" s="78"/>
      <c r="AJ521" s="78"/>
      <c r="AK521" s="78"/>
      <c r="AL521" s="78"/>
      <c r="AM521" s="78"/>
      <c r="AN521" s="78"/>
      <c r="AO521" s="78"/>
      <c r="AP521" s="78"/>
      <c r="AQ521" s="78"/>
      <c r="AR521" s="78"/>
      <c r="AS521" s="78"/>
      <c r="AT521" s="91"/>
      <c r="AU521" s="78"/>
      <c r="AV521" s="78"/>
      <c r="AW521" s="78"/>
      <c r="AX521" s="78"/>
      <c r="AY521" s="78"/>
      <c r="AZ521" s="78"/>
      <c r="BA521" s="78"/>
      <c r="BB521" s="78"/>
      <c r="BC521" s="78"/>
      <c r="BD521" s="78"/>
      <c r="BE521" s="78"/>
      <c r="BF521" s="78"/>
      <c r="BG521" s="78"/>
      <c r="BH521" s="78"/>
      <c r="BI521" s="78"/>
      <c r="BJ521" s="78"/>
      <c r="BK521" s="78"/>
      <c r="BL521" s="78"/>
      <c r="BM521" s="78"/>
      <c r="BN521" s="78"/>
      <c r="BO521" s="78"/>
      <c r="BP521" s="78"/>
      <c r="BQ521" s="78"/>
      <c r="BR521" s="78"/>
      <c r="BS521" s="78"/>
      <c r="BT521" s="78"/>
      <c r="BU521" s="78"/>
      <c r="BV521" s="78"/>
      <c r="BW521" s="78"/>
      <c r="BX521" s="78"/>
      <c r="BY521" s="78"/>
      <c r="BZ521" s="78"/>
      <c r="CA521" s="78"/>
      <c r="CB521" s="78"/>
      <c r="CC521" s="78"/>
      <c r="CD521" s="78"/>
      <c r="CE521" s="78"/>
      <c r="CF521" s="78"/>
      <c r="CG521" s="78"/>
      <c r="CH521" s="78"/>
      <c r="CI521" s="78"/>
      <c r="CJ521" s="78"/>
      <c r="CK521" s="78"/>
      <c r="CL521" s="78"/>
      <c r="CM521" s="78"/>
      <c r="CN521" s="78"/>
      <c r="CO521" s="78"/>
      <c r="CP521" s="78"/>
      <c r="CQ521" s="78"/>
      <c r="CR521" s="78"/>
      <c r="CS521" s="78"/>
      <c r="CT521" s="78"/>
      <c r="CU521" s="78"/>
      <c r="CV521" s="78"/>
      <c r="CW521" s="78"/>
      <c r="CX521" s="78"/>
      <c r="CY521" s="78"/>
      <c r="CZ521" s="78"/>
      <c r="DA521" s="78"/>
      <c r="DB521" s="78"/>
      <c r="DC521" s="78"/>
      <c r="DD521" s="78"/>
      <c r="DE521" s="78"/>
      <c r="DF521" s="78"/>
      <c r="DG521" s="78"/>
      <c r="DH521" s="78"/>
      <c r="DI521" s="78"/>
      <c r="DJ521" s="78"/>
      <c r="DK521" s="78"/>
      <c r="DL521" s="78"/>
      <c r="DM521" s="78"/>
      <c r="DN521" s="78"/>
      <c r="DO521" s="78"/>
      <c r="DP521" s="78"/>
      <c r="DQ521" s="78"/>
      <c r="DR521" s="78"/>
      <c r="DS521" s="78"/>
      <c r="DT521" s="78"/>
      <c r="DU521" s="78"/>
      <c r="DV521" s="78"/>
      <c r="DW521" s="78"/>
      <c r="DX521" s="78"/>
      <c r="DY521" s="78"/>
      <c r="DZ521" s="78"/>
      <c r="EA521" s="78"/>
      <c r="EB521" s="78"/>
      <c r="EC521" s="78"/>
      <c r="ED521" s="78"/>
      <c r="EE521" s="78"/>
      <c r="EF521" s="78"/>
      <c r="EG521" s="78"/>
      <c r="EH521" s="78"/>
      <c r="EI521" s="91"/>
      <c r="EJ521" s="91"/>
      <c r="EK521" s="91"/>
      <c r="EL521" s="91"/>
      <c r="EM521" s="91"/>
      <c r="EN521" s="91"/>
      <c r="EO521" s="91"/>
      <c r="EP521" s="78"/>
      <c r="EQ521" s="78"/>
      <c r="ER521" s="78"/>
      <c r="ES521" s="78"/>
      <c r="ET521" s="78"/>
      <c r="EU521" s="78"/>
      <c r="EV521" s="78"/>
      <c r="EW521" s="78"/>
      <c r="EX521" s="78"/>
      <c r="EY521" s="78"/>
      <c r="EZ521" s="78"/>
      <c r="FA521" s="78"/>
      <c r="FB521" s="78"/>
      <c r="FC521" s="78"/>
      <c r="FD521" s="78"/>
      <c r="FE521" s="78"/>
      <c r="FF521" s="78"/>
      <c r="FG521" s="78"/>
      <c r="FH521" s="78"/>
      <c r="FI521" s="78"/>
      <c r="FJ521" s="78"/>
      <c r="FK521" s="78"/>
    </row>
    <row r="522" spans="1:167" hidden="1" outlineLevel="1">
      <c r="A522" s="29" t="str">
        <f t="shared" si="38"/>
        <v>lt002_instrumentdt_incptn</v>
      </c>
      <c r="B522" s="67" t="s">
        <v>26</v>
      </c>
      <c r="C522" s="68" t="s">
        <v>26</v>
      </c>
      <c r="D522" s="64" t="s">
        <v>40</v>
      </c>
      <c r="E522" s="70" t="s">
        <v>379</v>
      </c>
      <c r="F522" s="71" t="s">
        <v>401</v>
      </c>
      <c r="G522" s="64" t="str">
        <f>INDEX(Auxiliar!$B$16:$B$24,MATCH(Plano_V1!H522,Auxiliar!$C$16:$C$24,0),1)</f>
        <v>1. Concluído</v>
      </c>
      <c r="H522" s="64">
        <f>VLOOKUP(A522,'Aux - pivots1'!$A:$B,2,0)</f>
        <v>1</v>
      </c>
      <c r="I522" s="84">
        <f>SUMIFS(Table1[Estimação (horas)],Table1[Tabela],Plano_V1!E522,Table1[Campo],Plano_V1!F522)</f>
        <v>0.1</v>
      </c>
      <c r="J522" s="84">
        <f t="shared" si="39"/>
        <v>1.2500000000000001E-2</v>
      </c>
      <c r="K522" s="89" t="s">
        <v>399</v>
      </c>
      <c r="M522" s="78"/>
      <c r="N522" s="78"/>
      <c r="O522" s="78"/>
      <c r="P522" s="78"/>
      <c r="Q522" s="78"/>
      <c r="R522" s="78"/>
      <c r="S522" s="78"/>
      <c r="T522" s="78"/>
      <c r="U522" s="78"/>
      <c r="V522" s="78"/>
      <c r="W522" s="78"/>
      <c r="X522" s="78"/>
      <c r="Y522" s="78"/>
      <c r="Z522" s="78"/>
      <c r="AA522" s="78"/>
      <c r="AB522" s="78"/>
      <c r="AC522" s="78"/>
      <c r="AD522" s="78"/>
      <c r="AE522" s="78"/>
      <c r="AF522" s="78"/>
      <c r="AG522" s="78"/>
      <c r="AH522" s="78"/>
      <c r="AI522" s="78"/>
      <c r="AJ522" s="78"/>
      <c r="AK522" s="78"/>
      <c r="AL522" s="78"/>
      <c r="AM522" s="78"/>
      <c r="AN522" s="78"/>
      <c r="AO522" s="78"/>
      <c r="AP522" s="78"/>
      <c r="AQ522" s="78"/>
      <c r="AR522" s="78"/>
      <c r="AS522" s="78"/>
      <c r="AT522" s="91"/>
      <c r="AU522" s="78"/>
      <c r="AV522" s="78"/>
      <c r="AW522" s="78"/>
      <c r="AX522" s="78"/>
      <c r="AY522" s="78"/>
      <c r="AZ522" s="78"/>
      <c r="BA522" s="78"/>
      <c r="BB522" s="78"/>
      <c r="BC522" s="78"/>
      <c r="BD522" s="78"/>
      <c r="BE522" s="78"/>
      <c r="BF522" s="78"/>
      <c r="BG522" s="78"/>
      <c r="BH522" s="78"/>
      <c r="BI522" s="78"/>
      <c r="BJ522" s="78"/>
      <c r="BK522" s="78"/>
      <c r="BL522" s="78"/>
      <c r="BM522" s="78"/>
      <c r="BN522" s="78"/>
      <c r="BO522" s="78"/>
      <c r="BP522" s="78"/>
      <c r="BQ522" s="78"/>
      <c r="BR522" s="78"/>
      <c r="BS522" s="78"/>
      <c r="BT522" s="78"/>
      <c r="BU522" s="78"/>
      <c r="BV522" s="78"/>
      <c r="BW522" s="78"/>
      <c r="BX522" s="78"/>
      <c r="BY522" s="78"/>
      <c r="BZ522" s="78"/>
      <c r="CA522" s="78"/>
      <c r="CB522" s="78"/>
      <c r="CC522" s="78"/>
      <c r="CD522" s="78"/>
      <c r="CE522" s="78"/>
      <c r="CF522" s="78"/>
      <c r="CG522" s="78"/>
      <c r="CH522" s="78"/>
      <c r="CI522" s="78"/>
      <c r="CJ522" s="78"/>
      <c r="CK522" s="78"/>
      <c r="CL522" s="78"/>
      <c r="CM522" s="78"/>
      <c r="CN522" s="78"/>
      <c r="CO522" s="78"/>
      <c r="CP522" s="78"/>
      <c r="CQ522" s="78"/>
      <c r="CR522" s="78"/>
      <c r="CS522" s="78"/>
      <c r="CT522" s="78"/>
      <c r="CU522" s="78"/>
      <c r="CV522" s="78"/>
      <c r="CW522" s="78"/>
      <c r="CX522" s="78"/>
      <c r="CY522" s="78"/>
      <c r="CZ522" s="78"/>
      <c r="DA522" s="78"/>
      <c r="DB522" s="78"/>
      <c r="DC522" s="78"/>
      <c r="DD522" s="78"/>
      <c r="DE522" s="78"/>
      <c r="DF522" s="78"/>
      <c r="DG522" s="78"/>
      <c r="DH522" s="78"/>
      <c r="DI522" s="78"/>
      <c r="DJ522" s="78"/>
      <c r="DK522" s="78"/>
      <c r="DL522" s="78"/>
      <c r="DM522" s="78"/>
      <c r="DN522" s="78"/>
      <c r="DO522" s="78"/>
      <c r="DP522" s="78"/>
      <c r="DQ522" s="78"/>
      <c r="DR522" s="78"/>
      <c r="DS522" s="78"/>
      <c r="DT522" s="78"/>
      <c r="DU522" s="78"/>
      <c r="DV522" s="78"/>
      <c r="DW522" s="78"/>
      <c r="DX522" s="78"/>
      <c r="DY522" s="78"/>
      <c r="DZ522" s="78"/>
      <c r="EA522" s="78"/>
      <c r="EB522" s="78"/>
      <c r="EC522" s="78"/>
      <c r="ED522" s="78"/>
      <c r="EE522" s="78"/>
      <c r="EF522" s="78"/>
      <c r="EG522" s="78"/>
      <c r="EH522" s="78"/>
      <c r="EI522" s="91"/>
      <c r="EJ522" s="91"/>
      <c r="EK522" s="91"/>
      <c r="EL522" s="91"/>
      <c r="EM522" s="91"/>
      <c r="EN522" s="91"/>
      <c r="EO522" s="91"/>
      <c r="EP522" s="78"/>
      <c r="EQ522" s="78"/>
      <c r="ER522" s="78"/>
      <c r="ES522" s="78"/>
      <c r="ET522" s="78"/>
      <c r="EU522" s="78"/>
      <c r="EV522" s="78"/>
      <c r="EW522" s="78"/>
      <c r="EX522" s="78"/>
      <c r="EY522" s="78"/>
      <c r="EZ522" s="78"/>
      <c r="FA522" s="78"/>
      <c r="FB522" s="78"/>
      <c r="FC522" s="78"/>
      <c r="FD522" s="78"/>
      <c r="FE522" s="78"/>
      <c r="FF522" s="78"/>
      <c r="FG522" s="78"/>
      <c r="FH522" s="78"/>
      <c r="FI522" s="78"/>
      <c r="FJ522" s="78"/>
      <c r="FK522" s="78"/>
    </row>
    <row r="523" spans="1:167" hidden="1" outlineLevel="1">
      <c r="A523" s="29" t="str">
        <f t="shared" si="38"/>
        <v>lt002_instrumentdflt_stts_instrmnt</v>
      </c>
      <c r="B523" s="67" t="s">
        <v>26</v>
      </c>
      <c r="C523" s="68" t="s">
        <v>26</v>
      </c>
      <c r="D523" s="64" t="s">
        <v>40</v>
      </c>
      <c r="E523" s="70" t="s">
        <v>379</v>
      </c>
      <c r="F523" s="71" t="s">
        <v>402</v>
      </c>
      <c r="G523" s="64" t="str">
        <f>INDEX(Auxiliar!$B$16:$B$24,MATCH(Plano_V1!H523,Auxiliar!$C$16:$C$24,0),1)</f>
        <v>1. Concluído</v>
      </c>
      <c r="H523" s="64">
        <f>VLOOKUP(A523,'Aux - pivots1'!$A:$B,2,0)</f>
        <v>1</v>
      </c>
      <c r="I523" s="84">
        <f>SUMIFS(Table1[Estimação (horas)],Table1[Tabela],Plano_V1!E523,Table1[Campo],Plano_V1!F523)</f>
        <v>0.1</v>
      </c>
      <c r="J523" s="84">
        <f t="shared" si="39"/>
        <v>1.2500000000000001E-2</v>
      </c>
      <c r="K523" s="89" t="s">
        <v>399</v>
      </c>
      <c r="M523" s="78"/>
      <c r="N523" s="78"/>
      <c r="O523" s="78"/>
      <c r="P523" s="78"/>
      <c r="Q523" s="78"/>
      <c r="R523" s="78"/>
      <c r="S523" s="78"/>
      <c r="T523" s="78"/>
      <c r="U523" s="78"/>
      <c r="V523" s="78"/>
      <c r="W523" s="78"/>
      <c r="X523" s="78"/>
      <c r="Y523" s="78"/>
      <c r="Z523" s="78"/>
      <c r="AA523" s="78"/>
      <c r="AB523" s="78"/>
      <c r="AC523" s="78"/>
      <c r="AD523" s="78"/>
      <c r="AE523" s="78"/>
      <c r="AF523" s="78"/>
      <c r="AG523" s="78"/>
      <c r="AH523" s="78"/>
      <c r="AI523" s="78"/>
      <c r="AJ523" s="78"/>
      <c r="AK523" s="78"/>
      <c r="AL523" s="78"/>
      <c r="AM523" s="78"/>
      <c r="AN523" s="78"/>
      <c r="AO523" s="78"/>
      <c r="AP523" s="78"/>
      <c r="AQ523" s="78"/>
      <c r="AR523" s="78"/>
      <c r="AS523" s="78"/>
      <c r="AT523" s="91"/>
      <c r="AU523" s="78"/>
      <c r="AV523" s="78"/>
      <c r="AW523" s="78"/>
      <c r="AX523" s="78"/>
      <c r="AY523" s="78"/>
      <c r="AZ523" s="78"/>
      <c r="BA523" s="78"/>
      <c r="BB523" s="78"/>
      <c r="BC523" s="78"/>
      <c r="BD523" s="78"/>
      <c r="BE523" s="78"/>
      <c r="BF523" s="78"/>
      <c r="BG523" s="78"/>
      <c r="BH523" s="78"/>
      <c r="BI523" s="78"/>
      <c r="BJ523" s="78"/>
      <c r="BK523" s="78"/>
      <c r="BL523" s="78"/>
      <c r="BM523" s="78"/>
      <c r="BN523" s="78"/>
      <c r="BO523" s="78"/>
      <c r="BP523" s="78"/>
      <c r="BQ523" s="78"/>
      <c r="BR523" s="78"/>
      <c r="BS523" s="78"/>
      <c r="BT523" s="78"/>
      <c r="BU523" s="78"/>
      <c r="BV523" s="78"/>
      <c r="BW523" s="78"/>
      <c r="BX523" s="78"/>
      <c r="BY523" s="78"/>
      <c r="BZ523" s="78"/>
      <c r="CA523" s="78"/>
      <c r="CB523" s="78"/>
      <c r="CC523" s="78"/>
      <c r="CD523" s="78"/>
      <c r="CE523" s="78"/>
      <c r="CF523" s="78"/>
      <c r="CG523" s="78"/>
      <c r="CH523" s="78"/>
      <c r="CI523" s="78"/>
      <c r="CJ523" s="78"/>
      <c r="CK523" s="78"/>
      <c r="CL523" s="78"/>
      <c r="CM523" s="78"/>
      <c r="CN523" s="78"/>
      <c r="CO523" s="78"/>
      <c r="CP523" s="78"/>
      <c r="CQ523" s="78"/>
      <c r="CR523" s="78"/>
      <c r="CS523" s="78"/>
      <c r="CT523" s="78"/>
      <c r="CU523" s="78"/>
      <c r="CV523" s="78"/>
      <c r="CW523" s="78"/>
      <c r="CX523" s="78"/>
      <c r="CY523" s="78"/>
      <c r="CZ523" s="78"/>
      <c r="DA523" s="78"/>
      <c r="DB523" s="78"/>
      <c r="DC523" s="78"/>
      <c r="DD523" s="78"/>
      <c r="DE523" s="78"/>
      <c r="DF523" s="78"/>
      <c r="DG523" s="78"/>
      <c r="DH523" s="78"/>
      <c r="DI523" s="78"/>
      <c r="DJ523" s="78"/>
      <c r="DK523" s="78"/>
      <c r="DL523" s="78"/>
      <c r="DM523" s="78"/>
      <c r="DN523" s="78"/>
      <c r="DO523" s="78"/>
      <c r="DP523" s="78"/>
      <c r="DQ523" s="78"/>
      <c r="DR523" s="78"/>
      <c r="DS523" s="78"/>
      <c r="DT523" s="78"/>
      <c r="DU523" s="78"/>
      <c r="DV523" s="78"/>
      <c r="DW523" s="78"/>
      <c r="DX523" s="78"/>
      <c r="DY523" s="78"/>
      <c r="DZ523" s="78"/>
      <c r="EA523" s="78"/>
      <c r="EB523" s="78"/>
      <c r="EC523" s="78"/>
      <c r="ED523" s="78"/>
      <c r="EE523" s="78"/>
      <c r="EF523" s="78"/>
      <c r="EG523" s="78"/>
      <c r="EH523" s="78"/>
      <c r="EI523" s="91"/>
      <c r="EJ523" s="91"/>
      <c r="EK523" s="91"/>
      <c r="EL523" s="91"/>
      <c r="EM523" s="91"/>
      <c r="EN523" s="91"/>
      <c r="EO523" s="91"/>
      <c r="EP523" s="78"/>
      <c r="EQ523" s="78"/>
      <c r="ER523" s="78"/>
      <c r="ES523" s="78"/>
      <c r="ET523" s="78"/>
      <c r="EU523" s="78"/>
      <c r="EV523" s="78"/>
      <c r="EW523" s="78"/>
      <c r="EX523" s="78"/>
      <c r="EY523" s="78"/>
      <c r="EZ523" s="78"/>
      <c r="FA523" s="78"/>
      <c r="FB523" s="78"/>
      <c r="FC523" s="78"/>
      <c r="FD523" s="78"/>
      <c r="FE523" s="78"/>
      <c r="FF523" s="78"/>
      <c r="FG523" s="78"/>
      <c r="FH523" s="78"/>
      <c r="FI523" s="78"/>
      <c r="FJ523" s="78"/>
      <c r="FK523" s="78"/>
    </row>
    <row r="524" spans="1:167" hidden="1" outlineLevel="1">
      <c r="A524" s="29" t="str">
        <f t="shared" si="38"/>
        <v>lt002_instrumentimprmnt_stts</v>
      </c>
      <c r="B524" s="67" t="s">
        <v>26</v>
      </c>
      <c r="C524" s="68" t="s">
        <v>26</v>
      </c>
      <c r="D524" s="64" t="s">
        <v>40</v>
      </c>
      <c r="E524" s="70" t="s">
        <v>379</v>
      </c>
      <c r="F524" s="71" t="s">
        <v>403</v>
      </c>
      <c r="G524" s="64" t="str">
        <f>INDEX(Auxiliar!$B$16:$B$24,MATCH(Plano_V1!H524,Auxiliar!$C$16:$C$24,0),1)</f>
        <v>1. Concluído</v>
      </c>
      <c r="H524" s="64">
        <f>VLOOKUP(A524,'Aux - pivots1'!$A:$B,2,0)</f>
        <v>1</v>
      </c>
      <c r="I524" s="84">
        <f>SUMIFS(Table1[Estimação (horas)],Table1[Tabela],Plano_V1!E524,Table1[Campo],Plano_V1!F524)</f>
        <v>0.1</v>
      </c>
      <c r="J524" s="84">
        <f t="shared" si="39"/>
        <v>1.2500000000000001E-2</v>
      </c>
      <c r="K524" s="89" t="s">
        <v>399</v>
      </c>
      <c r="M524" s="78"/>
      <c r="N524" s="78"/>
      <c r="O524" s="78"/>
      <c r="P524" s="78"/>
      <c r="Q524" s="78"/>
      <c r="R524" s="78"/>
      <c r="S524" s="78"/>
      <c r="T524" s="78"/>
      <c r="U524" s="78"/>
      <c r="V524" s="78"/>
      <c r="W524" s="78"/>
      <c r="X524" s="78"/>
      <c r="Y524" s="78"/>
      <c r="Z524" s="78"/>
      <c r="AA524" s="78"/>
      <c r="AB524" s="78"/>
      <c r="AC524" s="78"/>
      <c r="AD524" s="78"/>
      <c r="AE524" s="78"/>
      <c r="AF524" s="78"/>
      <c r="AG524" s="78"/>
      <c r="AH524" s="78"/>
      <c r="AI524" s="78"/>
      <c r="AJ524" s="78"/>
      <c r="AK524" s="78"/>
      <c r="AL524" s="78"/>
      <c r="AM524" s="78"/>
      <c r="AN524" s="78"/>
      <c r="AO524" s="78"/>
      <c r="AP524" s="78"/>
      <c r="AQ524" s="78"/>
      <c r="AR524" s="78"/>
      <c r="AS524" s="78"/>
      <c r="AT524" s="91"/>
      <c r="AU524" s="78"/>
      <c r="AV524" s="78"/>
      <c r="AW524" s="78"/>
      <c r="AX524" s="78"/>
      <c r="AY524" s="78"/>
      <c r="AZ524" s="78"/>
      <c r="BA524" s="78"/>
      <c r="BB524" s="78"/>
      <c r="BC524" s="78"/>
      <c r="BD524" s="78"/>
      <c r="BE524" s="78"/>
      <c r="BF524" s="78"/>
      <c r="BG524" s="78"/>
      <c r="BH524" s="78"/>
      <c r="BI524" s="78"/>
      <c r="BJ524" s="78"/>
      <c r="BK524" s="78"/>
      <c r="BL524" s="78"/>
      <c r="BM524" s="78"/>
      <c r="BN524" s="78"/>
      <c r="BO524" s="78"/>
      <c r="BP524" s="78"/>
      <c r="BQ524" s="78"/>
      <c r="BR524" s="78"/>
      <c r="BS524" s="78"/>
      <c r="BT524" s="78"/>
      <c r="BU524" s="78"/>
      <c r="BV524" s="78"/>
      <c r="BW524" s="78"/>
      <c r="BX524" s="78"/>
      <c r="BY524" s="78"/>
      <c r="BZ524" s="78"/>
      <c r="CA524" s="78"/>
      <c r="CB524" s="78"/>
      <c r="CC524" s="78"/>
      <c r="CD524" s="78"/>
      <c r="CE524" s="78"/>
      <c r="CF524" s="78"/>
      <c r="CG524" s="78"/>
      <c r="CH524" s="78"/>
      <c r="CI524" s="78"/>
      <c r="CJ524" s="78"/>
      <c r="CK524" s="78"/>
      <c r="CL524" s="78"/>
      <c r="CM524" s="78"/>
      <c r="CN524" s="78"/>
      <c r="CO524" s="78"/>
      <c r="CP524" s="78"/>
      <c r="CQ524" s="78"/>
      <c r="CR524" s="78"/>
      <c r="CS524" s="78"/>
      <c r="CT524" s="78"/>
      <c r="CU524" s="78"/>
      <c r="CV524" s="78"/>
      <c r="CW524" s="78"/>
      <c r="CX524" s="78"/>
      <c r="CY524" s="78"/>
      <c r="CZ524" s="78"/>
      <c r="DA524" s="78"/>
      <c r="DB524" s="78"/>
      <c r="DC524" s="78"/>
      <c r="DD524" s="78"/>
      <c r="DE524" s="78"/>
      <c r="DF524" s="78"/>
      <c r="DG524" s="78"/>
      <c r="DH524" s="78"/>
      <c r="DI524" s="78"/>
      <c r="DJ524" s="78"/>
      <c r="DK524" s="78"/>
      <c r="DL524" s="78"/>
      <c r="DM524" s="78"/>
      <c r="DN524" s="78"/>
      <c r="DO524" s="78"/>
      <c r="DP524" s="78"/>
      <c r="DQ524" s="78"/>
      <c r="DR524" s="78"/>
      <c r="DS524" s="78"/>
      <c r="DT524" s="78"/>
      <c r="DU524" s="78"/>
      <c r="DV524" s="78"/>
      <c r="DW524" s="78"/>
      <c r="DX524" s="78"/>
      <c r="DY524" s="78"/>
      <c r="DZ524" s="78"/>
      <c r="EA524" s="78"/>
      <c r="EB524" s="78"/>
      <c r="EC524" s="78"/>
      <c r="ED524" s="78"/>
      <c r="EE524" s="78"/>
      <c r="EF524" s="78"/>
      <c r="EG524" s="78"/>
      <c r="EH524" s="78"/>
      <c r="EI524" s="91"/>
      <c r="EJ524" s="91"/>
      <c r="EK524" s="91"/>
      <c r="EL524" s="91"/>
      <c r="EM524" s="91"/>
      <c r="EN524" s="91"/>
      <c r="EO524" s="91"/>
      <c r="EP524" s="78"/>
      <c r="EQ524" s="78"/>
      <c r="ER524" s="78"/>
      <c r="ES524" s="78"/>
      <c r="ET524" s="78"/>
      <c r="EU524" s="78"/>
      <c r="EV524" s="78"/>
      <c r="EW524" s="78"/>
      <c r="EX524" s="78"/>
      <c r="EY524" s="78"/>
      <c r="EZ524" s="78"/>
      <c r="FA524" s="78"/>
      <c r="FB524" s="78"/>
      <c r="FC524" s="78"/>
      <c r="FD524" s="78"/>
      <c r="FE524" s="78"/>
      <c r="FF524" s="78"/>
      <c r="FG524" s="78"/>
      <c r="FH524" s="78"/>
      <c r="FI524" s="78"/>
      <c r="FJ524" s="78"/>
      <c r="FK524" s="78"/>
    </row>
    <row r="525" spans="1:167" hidden="1" outlineLevel="1">
      <c r="A525" s="29" t="str">
        <f t="shared" si="38"/>
        <v>lt002_instrumentprfrmng_stts</v>
      </c>
      <c r="B525" s="67" t="s">
        <v>26</v>
      </c>
      <c r="C525" s="68" t="s">
        <v>26</v>
      </c>
      <c r="D525" s="64" t="s">
        <v>40</v>
      </c>
      <c r="E525" s="70" t="s">
        <v>379</v>
      </c>
      <c r="F525" s="71" t="s">
        <v>404</v>
      </c>
      <c r="G525" s="64" t="str">
        <f>INDEX(Auxiliar!$B$16:$B$24,MATCH(Plano_V1!H525,Auxiliar!$C$16:$C$24,0),1)</f>
        <v>1. Concluído</v>
      </c>
      <c r="H525" s="64">
        <f>VLOOKUP(A525,'Aux - pivots1'!$A:$B,2,0)</f>
        <v>1</v>
      </c>
      <c r="I525" s="84">
        <f>SUMIFS(Table1[Estimação (horas)],Table1[Tabela],Plano_V1!E525,Table1[Campo],Plano_V1!F525)</f>
        <v>0.1</v>
      </c>
      <c r="J525" s="84">
        <f t="shared" si="39"/>
        <v>1.2500000000000001E-2</v>
      </c>
      <c r="K525" s="89" t="s">
        <v>399</v>
      </c>
      <c r="M525" s="78"/>
      <c r="N525" s="78"/>
      <c r="O525" s="78"/>
      <c r="P525" s="78"/>
      <c r="Q525" s="78"/>
      <c r="R525" s="78"/>
      <c r="S525" s="78"/>
      <c r="T525" s="78"/>
      <c r="U525" s="78"/>
      <c r="V525" s="78"/>
      <c r="W525" s="78"/>
      <c r="X525" s="78"/>
      <c r="Y525" s="78"/>
      <c r="Z525" s="78"/>
      <c r="AA525" s="78"/>
      <c r="AB525" s="78"/>
      <c r="AC525" s="78"/>
      <c r="AD525" s="78"/>
      <c r="AE525" s="78"/>
      <c r="AF525" s="78"/>
      <c r="AG525" s="78"/>
      <c r="AH525" s="78"/>
      <c r="AI525" s="78"/>
      <c r="AJ525" s="78"/>
      <c r="AK525" s="78"/>
      <c r="AL525" s="78"/>
      <c r="AM525" s="78"/>
      <c r="AN525" s="78"/>
      <c r="AO525" s="78"/>
      <c r="AP525" s="78"/>
      <c r="AQ525" s="78"/>
      <c r="AR525" s="78"/>
      <c r="AS525" s="78"/>
      <c r="AT525" s="91"/>
      <c r="AU525" s="78"/>
      <c r="AV525" s="78"/>
      <c r="AW525" s="78"/>
      <c r="AX525" s="78"/>
      <c r="AY525" s="78"/>
      <c r="AZ525" s="78"/>
      <c r="BA525" s="78"/>
      <c r="BB525" s="78"/>
      <c r="BC525" s="78"/>
      <c r="BD525" s="78"/>
      <c r="BE525" s="78"/>
      <c r="BF525" s="78"/>
      <c r="BG525" s="78"/>
      <c r="BH525" s="78"/>
      <c r="BI525" s="78"/>
      <c r="BJ525" s="78"/>
      <c r="BK525" s="78"/>
      <c r="BL525" s="78"/>
      <c r="BM525" s="78"/>
      <c r="BN525" s="78"/>
      <c r="BO525" s="78"/>
      <c r="BP525" s="78"/>
      <c r="BQ525" s="78"/>
      <c r="BR525" s="78"/>
      <c r="BS525" s="78"/>
      <c r="BT525" s="78"/>
      <c r="BU525" s="78"/>
      <c r="BV525" s="78"/>
      <c r="BW525" s="78"/>
      <c r="BX525" s="78"/>
      <c r="BY525" s="78"/>
      <c r="BZ525" s="78"/>
      <c r="CA525" s="78"/>
      <c r="CB525" s="78"/>
      <c r="CC525" s="78"/>
      <c r="CD525" s="78"/>
      <c r="CE525" s="78"/>
      <c r="CF525" s="78"/>
      <c r="CG525" s="78"/>
      <c r="CH525" s="78"/>
      <c r="CI525" s="78"/>
      <c r="CJ525" s="78"/>
      <c r="CK525" s="78"/>
      <c r="CL525" s="78"/>
      <c r="CM525" s="78"/>
      <c r="CN525" s="78"/>
      <c r="CO525" s="78"/>
      <c r="CP525" s="78"/>
      <c r="CQ525" s="78"/>
      <c r="CR525" s="78"/>
      <c r="CS525" s="78"/>
      <c r="CT525" s="78"/>
      <c r="CU525" s="78"/>
      <c r="CV525" s="78"/>
      <c r="CW525" s="78"/>
      <c r="CX525" s="78"/>
      <c r="CY525" s="78"/>
      <c r="CZ525" s="78"/>
      <c r="DA525" s="78"/>
      <c r="DB525" s="78"/>
      <c r="DC525" s="78"/>
      <c r="DD525" s="78"/>
      <c r="DE525" s="78"/>
      <c r="DF525" s="78"/>
      <c r="DG525" s="78"/>
      <c r="DH525" s="78"/>
      <c r="DI525" s="78"/>
      <c r="DJ525" s="78"/>
      <c r="DK525" s="78"/>
      <c r="DL525" s="78"/>
      <c r="DM525" s="78"/>
      <c r="DN525" s="78"/>
      <c r="DO525" s="78"/>
      <c r="DP525" s="78"/>
      <c r="DQ525" s="78"/>
      <c r="DR525" s="78"/>
      <c r="DS525" s="78"/>
      <c r="DT525" s="78"/>
      <c r="DU525" s="78"/>
      <c r="DV525" s="78"/>
      <c r="DW525" s="78"/>
      <c r="DX525" s="78"/>
      <c r="DY525" s="78"/>
      <c r="DZ525" s="78"/>
      <c r="EA525" s="78"/>
      <c r="EB525" s="78"/>
      <c r="EC525" s="78"/>
      <c r="ED525" s="78"/>
      <c r="EE525" s="78"/>
      <c r="EF525" s="78"/>
      <c r="EG525" s="78"/>
      <c r="EH525" s="78"/>
      <c r="EI525" s="91"/>
      <c r="EJ525" s="91"/>
      <c r="EK525" s="91"/>
      <c r="EL525" s="91"/>
      <c r="EM525" s="91"/>
      <c r="EN525" s="91"/>
      <c r="EO525" s="91"/>
      <c r="EP525" s="78"/>
      <c r="EQ525" s="78"/>
      <c r="ER525" s="78"/>
      <c r="ES525" s="78"/>
      <c r="ET525" s="78"/>
      <c r="EU525" s="78"/>
      <c r="EV525" s="78"/>
      <c r="EW525" s="78"/>
      <c r="EX525" s="78"/>
      <c r="EY525" s="78"/>
      <c r="EZ525" s="78"/>
      <c r="FA525" s="78"/>
      <c r="FB525" s="78"/>
      <c r="FC525" s="78"/>
      <c r="FD525" s="78"/>
      <c r="FE525" s="78"/>
      <c r="FF525" s="78"/>
      <c r="FG525" s="78"/>
      <c r="FH525" s="78"/>
      <c r="FI525" s="78"/>
      <c r="FJ525" s="78"/>
      <c r="FK525" s="78"/>
    </row>
    <row r="526" spans="1:167" hidden="1" outlineLevel="1">
      <c r="A526" s="29" t="str">
        <f t="shared" si="38"/>
        <v>lt002_instrumentprjct_fnnc_ln</v>
      </c>
      <c r="B526" s="67" t="s">
        <v>26</v>
      </c>
      <c r="C526" s="68" t="s">
        <v>26</v>
      </c>
      <c r="D526" s="64" t="s">
        <v>40</v>
      </c>
      <c r="E526" s="70" t="s">
        <v>379</v>
      </c>
      <c r="F526" s="71" t="s">
        <v>405</v>
      </c>
      <c r="G526" s="64" t="str">
        <f>INDEX(Auxiliar!$B$16:$B$24,MATCH(Plano_V1!H526,Auxiliar!$C$16:$C$24,0),1)</f>
        <v>1. Concluído</v>
      </c>
      <c r="H526" s="64">
        <f>VLOOKUP(A526,'Aux - pivots1'!$A:$B,2,0)</f>
        <v>1</v>
      </c>
      <c r="I526" s="84">
        <f>SUMIFS(Table1[Estimação (horas)],Table1[Tabela],Plano_V1!E526,Table1[Campo],Plano_V1!F526)</f>
        <v>0.1</v>
      </c>
      <c r="J526" s="84">
        <f t="shared" si="39"/>
        <v>1.2500000000000001E-2</v>
      </c>
      <c r="K526" s="89" t="s">
        <v>399</v>
      </c>
      <c r="M526" s="78"/>
      <c r="N526" s="78"/>
      <c r="O526" s="78"/>
      <c r="P526" s="78"/>
      <c r="Q526" s="78"/>
      <c r="R526" s="78"/>
      <c r="S526" s="78"/>
      <c r="T526" s="78"/>
      <c r="U526" s="78"/>
      <c r="V526" s="78"/>
      <c r="W526" s="78"/>
      <c r="X526" s="78"/>
      <c r="Y526" s="78"/>
      <c r="Z526" s="78"/>
      <c r="AA526" s="78"/>
      <c r="AB526" s="78"/>
      <c r="AC526" s="78"/>
      <c r="AD526" s="78"/>
      <c r="AE526" s="78"/>
      <c r="AF526" s="78"/>
      <c r="AG526" s="78"/>
      <c r="AH526" s="78"/>
      <c r="AI526" s="78"/>
      <c r="AJ526" s="78"/>
      <c r="AK526" s="78"/>
      <c r="AL526" s="78"/>
      <c r="AM526" s="78"/>
      <c r="AN526" s="78"/>
      <c r="AO526" s="78"/>
      <c r="AP526" s="78"/>
      <c r="AQ526" s="78"/>
      <c r="AR526" s="78"/>
      <c r="AS526" s="78"/>
      <c r="AT526" s="91"/>
      <c r="AU526" s="78"/>
      <c r="AV526" s="78"/>
      <c r="AW526" s="78"/>
      <c r="AX526" s="78"/>
      <c r="AY526" s="78"/>
      <c r="AZ526" s="78"/>
      <c r="BA526" s="78"/>
      <c r="BB526" s="78"/>
      <c r="BC526" s="78"/>
      <c r="BD526" s="78"/>
      <c r="BE526" s="78"/>
      <c r="BF526" s="78"/>
      <c r="BG526" s="78"/>
      <c r="BH526" s="78"/>
      <c r="BI526" s="78"/>
      <c r="BJ526" s="78"/>
      <c r="BK526" s="78"/>
      <c r="BL526" s="78"/>
      <c r="BM526" s="78"/>
      <c r="BN526" s="78"/>
      <c r="BO526" s="78"/>
      <c r="BP526" s="78"/>
      <c r="BQ526" s="78"/>
      <c r="BR526" s="78"/>
      <c r="BS526" s="78"/>
      <c r="BT526" s="78"/>
      <c r="BU526" s="78"/>
      <c r="BV526" s="78"/>
      <c r="BW526" s="78"/>
      <c r="BX526" s="78"/>
      <c r="BY526" s="78"/>
      <c r="BZ526" s="78"/>
      <c r="CA526" s="78"/>
      <c r="CB526" s="78"/>
      <c r="CC526" s="78"/>
      <c r="CD526" s="78"/>
      <c r="CE526" s="78"/>
      <c r="CF526" s="78"/>
      <c r="CG526" s="78"/>
      <c r="CH526" s="78"/>
      <c r="CI526" s="78"/>
      <c r="CJ526" s="78"/>
      <c r="CK526" s="78"/>
      <c r="CL526" s="78"/>
      <c r="CM526" s="78"/>
      <c r="CN526" s="78"/>
      <c r="CO526" s="78"/>
      <c r="CP526" s="78"/>
      <c r="CQ526" s="78"/>
      <c r="CR526" s="78"/>
      <c r="CS526" s="78"/>
      <c r="CT526" s="78"/>
      <c r="CU526" s="78"/>
      <c r="CV526" s="78"/>
      <c r="CW526" s="78"/>
      <c r="CX526" s="78"/>
      <c r="CY526" s="78"/>
      <c r="CZ526" s="78"/>
      <c r="DA526" s="78"/>
      <c r="DB526" s="78"/>
      <c r="DC526" s="78"/>
      <c r="DD526" s="78"/>
      <c r="DE526" s="78"/>
      <c r="DF526" s="78"/>
      <c r="DG526" s="78"/>
      <c r="DH526" s="78"/>
      <c r="DI526" s="78"/>
      <c r="DJ526" s="78"/>
      <c r="DK526" s="78"/>
      <c r="DL526" s="78"/>
      <c r="DM526" s="78"/>
      <c r="DN526" s="78"/>
      <c r="DO526" s="78"/>
      <c r="DP526" s="78"/>
      <c r="DQ526" s="78"/>
      <c r="DR526" s="78"/>
      <c r="DS526" s="78"/>
      <c r="DT526" s="78"/>
      <c r="DU526" s="78"/>
      <c r="DV526" s="78"/>
      <c r="DW526" s="78"/>
      <c r="DX526" s="78"/>
      <c r="DY526" s="78"/>
      <c r="DZ526" s="78"/>
      <c r="EA526" s="78"/>
      <c r="EB526" s="78"/>
      <c r="EC526" s="78"/>
      <c r="ED526" s="78"/>
      <c r="EE526" s="78"/>
      <c r="EF526" s="78"/>
      <c r="EG526" s="78"/>
      <c r="EH526" s="78"/>
      <c r="EI526" s="91"/>
      <c r="EJ526" s="91"/>
      <c r="EK526" s="91"/>
      <c r="EL526" s="91"/>
      <c r="EM526" s="91"/>
      <c r="EN526" s="91"/>
      <c r="EO526" s="91"/>
      <c r="EP526" s="78"/>
      <c r="EQ526" s="78"/>
      <c r="ER526" s="78"/>
      <c r="ES526" s="78"/>
      <c r="ET526" s="78"/>
      <c r="EU526" s="78"/>
      <c r="EV526" s="78"/>
      <c r="EW526" s="78"/>
      <c r="EX526" s="78"/>
      <c r="EY526" s="78"/>
      <c r="EZ526" s="78"/>
      <c r="FA526" s="78"/>
      <c r="FB526" s="78"/>
      <c r="FC526" s="78"/>
      <c r="FD526" s="78"/>
      <c r="FE526" s="78"/>
      <c r="FF526" s="78"/>
      <c r="FG526" s="78"/>
      <c r="FH526" s="78"/>
      <c r="FI526" s="78"/>
      <c r="FJ526" s="78"/>
      <c r="FK526" s="78"/>
    </row>
    <row r="527" spans="1:167" hidden="1" outlineLevel="1">
      <c r="A527" s="29" t="str">
        <f t="shared" si="38"/>
        <v>lt002_instrumenttyp_instrmnt</v>
      </c>
      <c r="B527" s="67" t="s">
        <v>26</v>
      </c>
      <c r="C527" s="68" t="s">
        <v>26</v>
      </c>
      <c r="D527" s="64" t="s">
        <v>40</v>
      </c>
      <c r="E527" s="70" t="s">
        <v>379</v>
      </c>
      <c r="F527" s="71" t="s">
        <v>406</v>
      </c>
      <c r="G527" s="64" t="str">
        <f>INDEX(Auxiliar!$B$16:$B$24,MATCH(Plano_V1!H527,Auxiliar!$C$16:$C$24,0),1)</f>
        <v>1. Concluído</v>
      </c>
      <c r="H527" s="64">
        <f>VLOOKUP(A527,'Aux - pivots1'!$A:$B,2,0)</f>
        <v>1</v>
      </c>
      <c r="I527" s="84">
        <f>SUMIFS(Table1[Estimação (horas)],Table1[Tabela],Plano_V1!E527,Table1[Campo],Plano_V1!F527)</f>
        <v>0.1</v>
      </c>
      <c r="J527" s="84">
        <f t="shared" si="39"/>
        <v>1.2500000000000001E-2</v>
      </c>
      <c r="K527" s="89" t="s">
        <v>399</v>
      </c>
      <c r="M527" s="78"/>
      <c r="N527" s="78"/>
      <c r="O527" s="78"/>
      <c r="P527" s="78"/>
      <c r="Q527" s="78"/>
      <c r="R527" s="78"/>
      <c r="S527" s="78"/>
      <c r="T527" s="78"/>
      <c r="U527" s="78"/>
      <c r="V527" s="78"/>
      <c r="W527" s="78"/>
      <c r="X527" s="78"/>
      <c r="Y527" s="78"/>
      <c r="Z527" s="78"/>
      <c r="AA527" s="78"/>
      <c r="AB527" s="78"/>
      <c r="AC527" s="78"/>
      <c r="AD527" s="78"/>
      <c r="AE527" s="78"/>
      <c r="AF527" s="78"/>
      <c r="AG527" s="78"/>
      <c r="AH527" s="78"/>
      <c r="AI527" s="78"/>
      <c r="AJ527" s="78"/>
      <c r="AK527" s="78"/>
      <c r="AL527" s="78"/>
      <c r="AM527" s="78"/>
      <c r="AN527" s="78"/>
      <c r="AO527" s="78"/>
      <c r="AP527" s="78"/>
      <c r="AQ527" s="78"/>
      <c r="AR527" s="78"/>
      <c r="AS527" s="78"/>
      <c r="AT527" s="91"/>
      <c r="AU527" s="78"/>
      <c r="AV527" s="78"/>
      <c r="AW527" s="78"/>
      <c r="AX527" s="78"/>
      <c r="AY527" s="78"/>
      <c r="AZ527" s="78"/>
      <c r="BA527" s="78"/>
      <c r="BB527" s="78"/>
      <c r="BC527" s="78"/>
      <c r="BD527" s="78"/>
      <c r="BE527" s="78"/>
      <c r="BF527" s="78"/>
      <c r="BG527" s="78"/>
      <c r="BH527" s="78"/>
      <c r="BI527" s="78"/>
      <c r="BJ527" s="78"/>
      <c r="BK527" s="78"/>
      <c r="BL527" s="78"/>
      <c r="BM527" s="78"/>
      <c r="BN527" s="78"/>
      <c r="BO527" s="78"/>
      <c r="BP527" s="78"/>
      <c r="BQ527" s="78"/>
      <c r="BR527" s="78"/>
      <c r="BS527" s="78"/>
      <c r="BT527" s="78"/>
      <c r="BU527" s="78"/>
      <c r="BV527" s="78"/>
      <c r="BW527" s="78"/>
      <c r="BX527" s="78"/>
      <c r="BY527" s="78"/>
      <c r="BZ527" s="78"/>
      <c r="CA527" s="78"/>
      <c r="CB527" s="78"/>
      <c r="CC527" s="78"/>
      <c r="CD527" s="78"/>
      <c r="CE527" s="78"/>
      <c r="CF527" s="78"/>
      <c r="CG527" s="78"/>
      <c r="CH527" s="78"/>
      <c r="CI527" s="78"/>
      <c r="CJ527" s="78"/>
      <c r="CK527" s="78"/>
      <c r="CL527" s="78"/>
      <c r="CM527" s="78"/>
      <c r="CN527" s="78"/>
      <c r="CO527" s="78"/>
      <c r="CP527" s="78"/>
      <c r="CQ527" s="78"/>
      <c r="CR527" s="78"/>
      <c r="CS527" s="78"/>
      <c r="CT527" s="78"/>
      <c r="CU527" s="78"/>
      <c r="CV527" s="78"/>
      <c r="CW527" s="78"/>
      <c r="CX527" s="78"/>
      <c r="CY527" s="78"/>
      <c r="CZ527" s="78"/>
      <c r="DA527" s="78"/>
      <c r="DB527" s="78"/>
      <c r="DC527" s="78"/>
      <c r="DD527" s="78"/>
      <c r="DE527" s="78"/>
      <c r="DF527" s="78"/>
      <c r="DG527" s="78"/>
      <c r="DH527" s="78"/>
      <c r="DI527" s="78"/>
      <c r="DJ527" s="78"/>
      <c r="DK527" s="78"/>
      <c r="DL527" s="78"/>
      <c r="DM527" s="78"/>
      <c r="DN527" s="78"/>
      <c r="DO527" s="78"/>
      <c r="DP527" s="78"/>
      <c r="DQ527" s="78"/>
      <c r="DR527" s="78"/>
      <c r="DS527" s="78"/>
      <c r="DT527" s="78"/>
      <c r="DU527" s="78"/>
      <c r="DV527" s="78"/>
      <c r="DW527" s="78"/>
      <c r="DX527" s="78"/>
      <c r="DY527" s="78"/>
      <c r="DZ527" s="78"/>
      <c r="EA527" s="78"/>
      <c r="EB527" s="78"/>
      <c r="EC527" s="78"/>
      <c r="ED527" s="78"/>
      <c r="EE527" s="78"/>
      <c r="EF527" s="78"/>
      <c r="EG527" s="78"/>
      <c r="EH527" s="78"/>
      <c r="EI527" s="91"/>
      <c r="EJ527" s="91"/>
      <c r="EK527" s="91"/>
      <c r="EL527" s="91"/>
      <c r="EM527" s="91"/>
      <c r="EN527" s="91"/>
      <c r="EO527" s="91"/>
      <c r="EP527" s="78"/>
      <c r="EQ527" s="78"/>
      <c r="ER527" s="78"/>
      <c r="ES527" s="78"/>
      <c r="ET527" s="78"/>
      <c r="EU527" s="78"/>
      <c r="EV527" s="78"/>
      <c r="EW527" s="78"/>
      <c r="EX527" s="78"/>
      <c r="EY527" s="78"/>
      <c r="EZ527" s="78"/>
      <c r="FA527" s="78"/>
      <c r="FB527" s="78"/>
      <c r="FC527" s="78"/>
      <c r="FD527" s="78"/>
      <c r="FE527" s="78"/>
      <c r="FF527" s="78"/>
      <c r="FG527" s="78"/>
      <c r="FH527" s="78"/>
      <c r="FI527" s="78"/>
      <c r="FJ527" s="78"/>
      <c r="FK527" s="78"/>
    </row>
    <row r="528" spans="1:167" hidden="1" outlineLevel="1">
      <c r="A528" s="29" t="str">
        <f t="shared" si="38"/>
        <v>lt002_instrumentgrss_crryng_amnt_instrmnt</v>
      </c>
      <c r="B528" s="67" t="s">
        <v>26</v>
      </c>
      <c r="C528" s="68" t="s">
        <v>26</v>
      </c>
      <c r="D528" s="64" t="s">
        <v>40</v>
      </c>
      <c r="E528" s="70" t="s">
        <v>379</v>
      </c>
      <c r="F528" s="71" t="s">
        <v>407</v>
      </c>
      <c r="G528" s="64" t="str">
        <f>INDEX(Auxiliar!$B$16:$B$24,MATCH(Plano_V1!H528,Auxiliar!$C$16:$C$24,0),1)</f>
        <v>1. Concluído</v>
      </c>
      <c r="H528" s="64">
        <f>VLOOKUP(A528,'Aux - pivots1'!$A:$B,2,0)</f>
        <v>1</v>
      </c>
      <c r="I528" s="84">
        <f>SUMIFS(Table1[Estimação (horas)],Table1[Tabela],Plano_V1!E528,Table1[Campo],Plano_V1!F528)</f>
        <v>0.1</v>
      </c>
      <c r="J528" s="84">
        <f t="shared" si="39"/>
        <v>1.2500000000000001E-2</v>
      </c>
      <c r="K528" s="89" t="s">
        <v>399</v>
      </c>
      <c r="M528" s="78"/>
      <c r="N528" s="78"/>
      <c r="O528" s="78"/>
      <c r="P528" s="78"/>
      <c r="Q528" s="78"/>
      <c r="R528" s="78"/>
      <c r="S528" s="78"/>
      <c r="T528" s="78"/>
      <c r="U528" s="78"/>
      <c r="V528" s="78"/>
      <c r="W528" s="78"/>
      <c r="X528" s="78"/>
      <c r="Y528" s="78"/>
      <c r="Z528" s="78"/>
      <c r="AA528" s="78"/>
      <c r="AB528" s="78"/>
      <c r="AC528" s="78"/>
      <c r="AD528" s="78"/>
      <c r="AE528" s="78"/>
      <c r="AF528" s="78"/>
      <c r="AG528" s="78"/>
      <c r="AH528" s="78"/>
      <c r="AI528" s="78"/>
      <c r="AJ528" s="78"/>
      <c r="AK528" s="78"/>
      <c r="AL528" s="78"/>
      <c r="AM528" s="78"/>
      <c r="AN528" s="78"/>
      <c r="AO528" s="78"/>
      <c r="AP528" s="78"/>
      <c r="AQ528" s="78"/>
      <c r="AR528" s="78"/>
      <c r="AS528" s="78"/>
      <c r="AT528" s="91"/>
      <c r="AU528" s="78"/>
      <c r="AV528" s="78"/>
      <c r="AW528" s="78"/>
      <c r="AX528" s="78"/>
      <c r="AY528" s="78"/>
      <c r="AZ528" s="78"/>
      <c r="BA528" s="78"/>
      <c r="BB528" s="78"/>
      <c r="BC528" s="78"/>
      <c r="BD528" s="78"/>
      <c r="BE528" s="78"/>
      <c r="BF528" s="78"/>
      <c r="BG528" s="78"/>
      <c r="BH528" s="78"/>
      <c r="BI528" s="78"/>
      <c r="BJ528" s="78"/>
      <c r="BK528" s="78"/>
      <c r="BL528" s="78"/>
      <c r="BM528" s="78"/>
      <c r="BN528" s="78"/>
      <c r="BO528" s="78"/>
      <c r="BP528" s="78"/>
      <c r="BQ528" s="78"/>
      <c r="BR528" s="78"/>
      <c r="BS528" s="78"/>
      <c r="BT528" s="78"/>
      <c r="BU528" s="78"/>
      <c r="BV528" s="78"/>
      <c r="BW528" s="78"/>
      <c r="BX528" s="78"/>
      <c r="BY528" s="78"/>
      <c r="BZ528" s="78"/>
      <c r="CA528" s="78"/>
      <c r="CB528" s="78"/>
      <c r="CC528" s="78"/>
      <c r="CD528" s="78"/>
      <c r="CE528" s="78"/>
      <c r="CF528" s="78"/>
      <c r="CG528" s="78"/>
      <c r="CH528" s="78"/>
      <c r="CI528" s="78"/>
      <c r="CJ528" s="78"/>
      <c r="CK528" s="78"/>
      <c r="CL528" s="78"/>
      <c r="CM528" s="78"/>
      <c r="CN528" s="78"/>
      <c r="CO528" s="78"/>
      <c r="CP528" s="78"/>
      <c r="CQ528" s="78"/>
      <c r="CR528" s="78"/>
      <c r="CS528" s="78"/>
      <c r="CT528" s="78"/>
      <c r="CU528" s="78"/>
      <c r="CV528" s="78"/>
      <c r="CW528" s="78"/>
      <c r="CX528" s="78"/>
      <c r="CY528" s="78"/>
      <c r="CZ528" s="78"/>
      <c r="DA528" s="78"/>
      <c r="DB528" s="78"/>
      <c r="DC528" s="78"/>
      <c r="DD528" s="78"/>
      <c r="DE528" s="78"/>
      <c r="DF528" s="78"/>
      <c r="DG528" s="78"/>
      <c r="DH528" s="78"/>
      <c r="DI528" s="78"/>
      <c r="DJ528" s="78"/>
      <c r="DK528" s="78"/>
      <c r="DL528" s="78"/>
      <c r="DM528" s="78"/>
      <c r="DN528" s="78"/>
      <c r="DO528" s="78"/>
      <c r="DP528" s="78"/>
      <c r="DQ528" s="78"/>
      <c r="DR528" s="78"/>
      <c r="DS528" s="78"/>
      <c r="DT528" s="78"/>
      <c r="DU528" s="78"/>
      <c r="DV528" s="78"/>
      <c r="DW528" s="78"/>
      <c r="DX528" s="78"/>
      <c r="DY528" s="78"/>
      <c r="DZ528" s="78"/>
      <c r="EA528" s="78"/>
      <c r="EB528" s="78"/>
      <c r="EC528" s="78"/>
      <c r="ED528" s="78"/>
      <c r="EE528" s="78"/>
      <c r="EF528" s="78"/>
      <c r="EG528" s="78"/>
      <c r="EH528" s="78"/>
      <c r="EI528" s="91"/>
      <c r="EJ528" s="91"/>
      <c r="EK528" s="91"/>
      <c r="EL528" s="91"/>
      <c r="EM528" s="91"/>
      <c r="EN528" s="91"/>
      <c r="EO528" s="91"/>
      <c r="EP528" s="78"/>
      <c r="EQ528" s="78"/>
      <c r="ER528" s="78"/>
      <c r="ES528" s="78"/>
      <c r="ET528" s="78"/>
      <c r="EU528" s="78"/>
      <c r="EV528" s="78"/>
      <c r="EW528" s="78"/>
      <c r="EX528" s="78"/>
      <c r="EY528" s="78"/>
      <c r="EZ528" s="78"/>
      <c r="FA528" s="78"/>
      <c r="FB528" s="78"/>
      <c r="FC528" s="78"/>
      <c r="FD528" s="78"/>
      <c r="FE528" s="78"/>
      <c r="FF528" s="78"/>
      <c r="FG528" s="78"/>
      <c r="FH528" s="78"/>
      <c r="FI528" s="78"/>
      <c r="FJ528" s="78"/>
      <c r="FK528" s="78"/>
    </row>
    <row r="529" spans="1:167" hidden="1" outlineLevel="1">
      <c r="A529" s="29" t="str">
        <f t="shared" si="38"/>
        <v>lt002_instrumentaccmltd_chngs_fv_cr_instrmnt</v>
      </c>
      <c r="B529" s="67" t="s">
        <v>26</v>
      </c>
      <c r="C529" s="68" t="s">
        <v>26</v>
      </c>
      <c r="D529" s="64" t="s">
        <v>40</v>
      </c>
      <c r="E529" s="70" t="s">
        <v>379</v>
      </c>
      <c r="F529" s="71" t="s">
        <v>408</v>
      </c>
      <c r="G529" s="64" t="str">
        <f>INDEX(Auxiliar!$B$16:$B$24,MATCH(Plano_V1!H529,Auxiliar!$C$16:$C$24,0),1)</f>
        <v>1. Concluído</v>
      </c>
      <c r="H529" s="64">
        <f>VLOOKUP(A529,'Aux - pivots1'!$A:$B,2,0)</f>
        <v>1</v>
      </c>
      <c r="I529" s="84">
        <f>SUMIFS(Table1[Estimação (horas)],Table1[Tabela],Plano_V1!E529,Table1[Campo],Plano_V1!F529)</f>
        <v>0.1</v>
      </c>
      <c r="J529" s="84">
        <f t="shared" si="39"/>
        <v>1.2500000000000001E-2</v>
      </c>
      <c r="K529" s="89" t="s">
        <v>399</v>
      </c>
      <c r="M529" s="78"/>
      <c r="N529" s="78"/>
      <c r="O529" s="78"/>
      <c r="P529" s="78"/>
      <c r="Q529" s="78"/>
      <c r="R529" s="78"/>
      <c r="S529" s="78"/>
      <c r="T529" s="78"/>
      <c r="U529" s="78"/>
      <c r="V529" s="78"/>
      <c r="W529" s="78"/>
      <c r="X529" s="78"/>
      <c r="Y529" s="78"/>
      <c r="Z529" s="78"/>
      <c r="AA529" s="78"/>
      <c r="AB529" s="78"/>
      <c r="AC529" s="78"/>
      <c r="AD529" s="78"/>
      <c r="AE529" s="78"/>
      <c r="AF529" s="78"/>
      <c r="AG529" s="78"/>
      <c r="AH529" s="78"/>
      <c r="AI529" s="78"/>
      <c r="AJ529" s="78"/>
      <c r="AK529" s="78"/>
      <c r="AL529" s="78"/>
      <c r="AM529" s="78"/>
      <c r="AN529" s="78"/>
      <c r="AO529" s="78"/>
      <c r="AP529" s="78"/>
      <c r="AQ529" s="78"/>
      <c r="AR529" s="78"/>
      <c r="AS529" s="78"/>
      <c r="AT529" s="91"/>
      <c r="AU529" s="78"/>
      <c r="AV529" s="78"/>
      <c r="AW529" s="78"/>
      <c r="AX529" s="78"/>
      <c r="AY529" s="78"/>
      <c r="AZ529" s="78"/>
      <c r="BA529" s="78"/>
      <c r="BB529" s="78"/>
      <c r="BC529" s="78"/>
      <c r="BD529" s="78"/>
      <c r="BE529" s="78"/>
      <c r="BF529" s="78"/>
      <c r="BG529" s="78"/>
      <c r="BH529" s="78"/>
      <c r="BI529" s="78"/>
      <c r="BJ529" s="78"/>
      <c r="BK529" s="78"/>
      <c r="BL529" s="78"/>
      <c r="BM529" s="78"/>
      <c r="BN529" s="78"/>
      <c r="BO529" s="78"/>
      <c r="BP529" s="78"/>
      <c r="BQ529" s="78"/>
      <c r="BR529" s="78"/>
      <c r="BS529" s="78"/>
      <c r="BT529" s="78"/>
      <c r="BU529" s="78"/>
      <c r="BV529" s="78"/>
      <c r="BW529" s="78"/>
      <c r="BX529" s="78"/>
      <c r="BY529" s="78"/>
      <c r="BZ529" s="78"/>
      <c r="CA529" s="78"/>
      <c r="CB529" s="78"/>
      <c r="CC529" s="78"/>
      <c r="CD529" s="78"/>
      <c r="CE529" s="78"/>
      <c r="CF529" s="78"/>
      <c r="CG529" s="78"/>
      <c r="CH529" s="78"/>
      <c r="CI529" s="78"/>
      <c r="CJ529" s="78"/>
      <c r="CK529" s="78"/>
      <c r="CL529" s="78"/>
      <c r="CM529" s="78"/>
      <c r="CN529" s="78"/>
      <c r="CO529" s="78"/>
      <c r="CP529" s="78"/>
      <c r="CQ529" s="78"/>
      <c r="CR529" s="78"/>
      <c r="CS529" s="78"/>
      <c r="CT529" s="78"/>
      <c r="CU529" s="78"/>
      <c r="CV529" s="78"/>
      <c r="CW529" s="78"/>
      <c r="CX529" s="78"/>
      <c r="CY529" s="78"/>
      <c r="CZ529" s="78"/>
      <c r="DA529" s="78"/>
      <c r="DB529" s="78"/>
      <c r="DC529" s="78"/>
      <c r="DD529" s="78"/>
      <c r="DE529" s="78"/>
      <c r="DF529" s="78"/>
      <c r="DG529" s="78"/>
      <c r="DH529" s="78"/>
      <c r="DI529" s="78"/>
      <c r="DJ529" s="78"/>
      <c r="DK529" s="78"/>
      <c r="DL529" s="78"/>
      <c r="DM529" s="78"/>
      <c r="DN529" s="78"/>
      <c r="DO529" s="78"/>
      <c r="DP529" s="78"/>
      <c r="DQ529" s="78"/>
      <c r="DR529" s="78"/>
      <c r="DS529" s="78"/>
      <c r="DT529" s="78"/>
      <c r="DU529" s="78"/>
      <c r="DV529" s="78"/>
      <c r="DW529" s="78"/>
      <c r="DX529" s="78"/>
      <c r="DY529" s="78"/>
      <c r="DZ529" s="78"/>
      <c r="EA529" s="78"/>
      <c r="EB529" s="78"/>
      <c r="EC529" s="78"/>
      <c r="ED529" s="78"/>
      <c r="EE529" s="78"/>
      <c r="EF529" s="78"/>
      <c r="EG529" s="78"/>
      <c r="EH529" s="78"/>
      <c r="EI529" s="91"/>
      <c r="EJ529" s="91"/>
      <c r="EK529" s="91"/>
      <c r="EL529" s="91"/>
      <c r="EM529" s="91"/>
      <c r="EN529" s="91"/>
      <c r="EO529" s="91"/>
      <c r="EP529" s="78"/>
      <c r="EQ529" s="78"/>
      <c r="ER529" s="78"/>
      <c r="ES529" s="78"/>
      <c r="ET529" s="78"/>
      <c r="EU529" s="78"/>
      <c r="EV529" s="78"/>
      <c r="EW529" s="78"/>
      <c r="EX529" s="78"/>
      <c r="EY529" s="78"/>
      <c r="EZ529" s="78"/>
      <c r="FA529" s="78"/>
      <c r="FB529" s="78"/>
      <c r="FC529" s="78"/>
      <c r="FD529" s="78"/>
      <c r="FE529" s="78"/>
      <c r="FF529" s="78"/>
      <c r="FG529" s="78"/>
      <c r="FH529" s="78"/>
      <c r="FI529" s="78"/>
      <c r="FJ529" s="78"/>
      <c r="FK529" s="78"/>
    </row>
    <row r="530" spans="1:167" hidden="1" outlineLevel="1">
      <c r="A530" s="29" t="str">
        <f t="shared" si="38"/>
        <v>lt002_instrumentaccntng_clssfctn</v>
      </c>
      <c r="B530" s="67" t="s">
        <v>26</v>
      </c>
      <c r="C530" s="68" t="s">
        <v>26</v>
      </c>
      <c r="D530" s="64" t="s">
        <v>40</v>
      </c>
      <c r="E530" s="70" t="s">
        <v>379</v>
      </c>
      <c r="F530" s="71" t="s">
        <v>409</v>
      </c>
      <c r="G530" s="64" t="str">
        <f>INDEX(Auxiliar!$B$16:$B$24,MATCH(Plano_V1!H530,Auxiliar!$C$16:$C$24,0),1)</f>
        <v>1. Concluído</v>
      </c>
      <c r="H530" s="64">
        <f>VLOOKUP(A530,'Aux - pivots1'!$A:$B,2,0)</f>
        <v>1</v>
      </c>
      <c r="I530" s="84">
        <f>SUMIFS(Table1[Estimação (horas)],Table1[Tabela],Plano_V1!E530,Table1[Campo],Plano_V1!F530)</f>
        <v>0.1</v>
      </c>
      <c r="J530" s="84">
        <f t="shared" si="39"/>
        <v>1.2500000000000001E-2</v>
      </c>
      <c r="K530" s="89" t="s">
        <v>399</v>
      </c>
      <c r="M530" s="78"/>
      <c r="N530" s="78"/>
      <c r="O530" s="78"/>
      <c r="P530" s="78"/>
      <c r="Q530" s="78"/>
      <c r="R530" s="78"/>
      <c r="S530" s="78"/>
      <c r="T530" s="78"/>
      <c r="U530" s="78"/>
      <c r="V530" s="78"/>
      <c r="W530" s="78"/>
      <c r="X530" s="78"/>
      <c r="Y530" s="78"/>
      <c r="Z530" s="78"/>
      <c r="AA530" s="78"/>
      <c r="AB530" s="78"/>
      <c r="AC530" s="78"/>
      <c r="AD530" s="78"/>
      <c r="AE530" s="78"/>
      <c r="AF530" s="78"/>
      <c r="AG530" s="78"/>
      <c r="AH530" s="78"/>
      <c r="AI530" s="78"/>
      <c r="AJ530" s="78"/>
      <c r="AK530" s="78"/>
      <c r="AL530" s="78"/>
      <c r="AM530" s="78"/>
      <c r="AN530" s="78"/>
      <c r="AO530" s="78"/>
      <c r="AP530" s="78"/>
      <c r="AQ530" s="78"/>
      <c r="AR530" s="78"/>
      <c r="AS530" s="78"/>
      <c r="AT530" s="91"/>
      <c r="AU530" s="78"/>
      <c r="AV530" s="78"/>
      <c r="AW530" s="78"/>
      <c r="AX530" s="78"/>
      <c r="AY530" s="78"/>
      <c r="AZ530" s="78"/>
      <c r="BA530" s="78"/>
      <c r="BB530" s="78"/>
      <c r="BC530" s="78"/>
      <c r="BD530" s="78"/>
      <c r="BE530" s="78"/>
      <c r="BF530" s="78"/>
      <c r="BG530" s="78"/>
      <c r="BH530" s="78"/>
      <c r="BI530" s="78"/>
      <c r="BJ530" s="78"/>
      <c r="BK530" s="78"/>
      <c r="BL530" s="78"/>
      <c r="BM530" s="78"/>
      <c r="BN530" s="78"/>
      <c r="BO530" s="78"/>
      <c r="BP530" s="78"/>
      <c r="BQ530" s="78"/>
      <c r="BR530" s="78"/>
      <c r="BS530" s="78"/>
      <c r="BT530" s="78"/>
      <c r="BU530" s="78"/>
      <c r="BV530" s="78"/>
      <c r="BW530" s="78"/>
      <c r="BX530" s="78"/>
      <c r="BY530" s="78"/>
      <c r="BZ530" s="78"/>
      <c r="CA530" s="78"/>
      <c r="CB530" s="78"/>
      <c r="CC530" s="78"/>
      <c r="CD530" s="78"/>
      <c r="CE530" s="78"/>
      <c r="CF530" s="78"/>
      <c r="CG530" s="78"/>
      <c r="CH530" s="78"/>
      <c r="CI530" s="78"/>
      <c r="CJ530" s="78"/>
      <c r="CK530" s="78"/>
      <c r="CL530" s="78"/>
      <c r="CM530" s="78"/>
      <c r="CN530" s="78"/>
      <c r="CO530" s="78"/>
      <c r="CP530" s="78"/>
      <c r="CQ530" s="78"/>
      <c r="CR530" s="78"/>
      <c r="CS530" s="78"/>
      <c r="CT530" s="78"/>
      <c r="CU530" s="78"/>
      <c r="CV530" s="78"/>
      <c r="CW530" s="78"/>
      <c r="CX530" s="78"/>
      <c r="CY530" s="78"/>
      <c r="CZ530" s="78"/>
      <c r="DA530" s="78"/>
      <c r="DB530" s="78"/>
      <c r="DC530" s="78"/>
      <c r="DD530" s="78"/>
      <c r="DE530" s="78"/>
      <c r="DF530" s="78"/>
      <c r="DG530" s="78"/>
      <c r="DH530" s="78"/>
      <c r="DI530" s="78"/>
      <c r="DJ530" s="78"/>
      <c r="DK530" s="78"/>
      <c r="DL530" s="78"/>
      <c r="DM530" s="78"/>
      <c r="DN530" s="78"/>
      <c r="DO530" s="78"/>
      <c r="DP530" s="78"/>
      <c r="DQ530" s="78"/>
      <c r="DR530" s="78"/>
      <c r="DS530" s="78"/>
      <c r="DT530" s="78"/>
      <c r="DU530" s="78"/>
      <c r="DV530" s="78"/>
      <c r="DW530" s="78"/>
      <c r="DX530" s="78"/>
      <c r="DY530" s="78"/>
      <c r="DZ530" s="78"/>
      <c r="EA530" s="78"/>
      <c r="EB530" s="78"/>
      <c r="EC530" s="78"/>
      <c r="ED530" s="78"/>
      <c r="EE530" s="78"/>
      <c r="EF530" s="78"/>
      <c r="EG530" s="78"/>
      <c r="EH530" s="78"/>
      <c r="EI530" s="91"/>
      <c r="EJ530" s="91"/>
      <c r="EK530" s="91"/>
      <c r="EL530" s="91"/>
      <c r="EM530" s="91"/>
      <c r="EN530" s="91"/>
      <c r="EO530" s="91"/>
      <c r="EP530" s="78"/>
      <c r="EQ530" s="78"/>
      <c r="ER530" s="78"/>
      <c r="ES530" s="78"/>
      <c r="ET530" s="78"/>
      <c r="EU530" s="78"/>
      <c r="EV530" s="78"/>
      <c r="EW530" s="78"/>
      <c r="EX530" s="78"/>
      <c r="EY530" s="78"/>
      <c r="EZ530" s="78"/>
      <c r="FA530" s="78"/>
      <c r="FB530" s="78"/>
      <c r="FC530" s="78"/>
      <c r="FD530" s="78"/>
      <c r="FE530" s="78"/>
      <c r="FF530" s="78"/>
      <c r="FG530" s="78"/>
      <c r="FH530" s="78"/>
      <c r="FI530" s="78"/>
      <c r="FJ530" s="78"/>
      <c r="FK530" s="78"/>
    </row>
    <row r="531" spans="1:167" hidden="1" outlineLevel="1">
      <c r="A531" s="29" t="str">
        <f t="shared" si="38"/>
        <v>lt002_instrumentdt_lgl_fnl_mtrty</v>
      </c>
      <c r="B531" s="67" t="s">
        <v>26</v>
      </c>
      <c r="C531" s="68" t="s">
        <v>26</v>
      </c>
      <c r="D531" s="64" t="s">
        <v>40</v>
      </c>
      <c r="E531" s="70" t="s">
        <v>379</v>
      </c>
      <c r="F531" s="71" t="s">
        <v>410</v>
      </c>
      <c r="G531" s="64" t="str">
        <f>INDEX(Auxiliar!$B$16:$B$24,MATCH(Plano_V1!H531,Auxiliar!$C$16:$C$24,0),1)</f>
        <v>1. Concluído</v>
      </c>
      <c r="H531" s="64">
        <f>VLOOKUP(A531,'Aux - pivots1'!$A:$B,2,0)</f>
        <v>1</v>
      </c>
      <c r="I531" s="84">
        <f>SUMIFS(Table1[Estimação (horas)],Table1[Tabela],Plano_V1!E531,Table1[Campo],Plano_V1!F531)</f>
        <v>0.1</v>
      </c>
      <c r="J531" s="84">
        <f t="shared" si="39"/>
        <v>1.2500000000000001E-2</v>
      </c>
      <c r="K531" s="89" t="s">
        <v>399</v>
      </c>
      <c r="M531" s="78"/>
      <c r="N531" s="78"/>
      <c r="O531" s="78"/>
      <c r="P531" s="78"/>
      <c r="Q531" s="78"/>
      <c r="R531" s="78"/>
      <c r="S531" s="78"/>
      <c r="T531" s="78"/>
      <c r="U531" s="78"/>
      <c r="V531" s="78"/>
      <c r="W531" s="78"/>
      <c r="X531" s="78"/>
      <c r="Y531" s="78"/>
      <c r="Z531" s="78"/>
      <c r="AA531" s="78"/>
      <c r="AB531" s="78"/>
      <c r="AC531" s="78"/>
      <c r="AD531" s="78"/>
      <c r="AE531" s="78"/>
      <c r="AF531" s="78"/>
      <c r="AG531" s="78"/>
      <c r="AH531" s="78"/>
      <c r="AI531" s="78"/>
      <c r="AJ531" s="78"/>
      <c r="AK531" s="78"/>
      <c r="AL531" s="78"/>
      <c r="AM531" s="78"/>
      <c r="AN531" s="78"/>
      <c r="AO531" s="78"/>
      <c r="AP531" s="78"/>
      <c r="AQ531" s="78"/>
      <c r="AR531" s="78"/>
      <c r="AS531" s="78"/>
      <c r="AT531" s="91"/>
      <c r="AU531" s="78"/>
      <c r="AV531" s="78"/>
      <c r="AW531" s="78"/>
      <c r="AX531" s="78"/>
      <c r="AY531" s="78"/>
      <c r="AZ531" s="78"/>
      <c r="BA531" s="78"/>
      <c r="BB531" s="78"/>
      <c r="BC531" s="78"/>
      <c r="BD531" s="78"/>
      <c r="BE531" s="78"/>
      <c r="BF531" s="78"/>
      <c r="BG531" s="78"/>
      <c r="BH531" s="78"/>
      <c r="BI531" s="78"/>
      <c r="BJ531" s="78"/>
      <c r="BK531" s="78"/>
      <c r="BL531" s="78"/>
      <c r="BM531" s="78"/>
      <c r="BN531" s="78"/>
      <c r="BO531" s="78"/>
      <c r="BP531" s="78"/>
      <c r="BQ531" s="78"/>
      <c r="BR531" s="78"/>
      <c r="BS531" s="78"/>
      <c r="BT531" s="78"/>
      <c r="BU531" s="78"/>
      <c r="BV531" s="78"/>
      <c r="BW531" s="78"/>
      <c r="BX531" s="78"/>
      <c r="BY531" s="78"/>
      <c r="BZ531" s="78"/>
      <c r="CA531" s="78"/>
      <c r="CB531" s="78"/>
      <c r="CC531" s="78"/>
      <c r="CD531" s="78"/>
      <c r="CE531" s="78"/>
      <c r="CF531" s="78"/>
      <c r="CG531" s="78"/>
      <c r="CH531" s="78"/>
      <c r="CI531" s="78"/>
      <c r="CJ531" s="78"/>
      <c r="CK531" s="78"/>
      <c r="CL531" s="78"/>
      <c r="CM531" s="78"/>
      <c r="CN531" s="78"/>
      <c r="CO531" s="78"/>
      <c r="CP531" s="78"/>
      <c r="CQ531" s="78"/>
      <c r="CR531" s="78"/>
      <c r="CS531" s="78"/>
      <c r="CT531" s="78"/>
      <c r="CU531" s="78"/>
      <c r="CV531" s="78"/>
      <c r="CW531" s="78"/>
      <c r="CX531" s="78"/>
      <c r="CY531" s="78"/>
      <c r="CZ531" s="78"/>
      <c r="DA531" s="78"/>
      <c r="DB531" s="78"/>
      <c r="DC531" s="78"/>
      <c r="DD531" s="78"/>
      <c r="DE531" s="78"/>
      <c r="DF531" s="78"/>
      <c r="DG531" s="78"/>
      <c r="DH531" s="78"/>
      <c r="DI531" s="78"/>
      <c r="DJ531" s="78"/>
      <c r="DK531" s="78"/>
      <c r="DL531" s="78"/>
      <c r="DM531" s="78"/>
      <c r="DN531" s="78"/>
      <c r="DO531" s="78"/>
      <c r="DP531" s="78"/>
      <c r="DQ531" s="78"/>
      <c r="DR531" s="78"/>
      <c r="DS531" s="78"/>
      <c r="DT531" s="78"/>
      <c r="DU531" s="78"/>
      <c r="DV531" s="78"/>
      <c r="DW531" s="78"/>
      <c r="DX531" s="78"/>
      <c r="DY531" s="78"/>
      <c r="DZ531" s="78"/>
      <c r="EA531" s="78"/>
      <c r="EB531" s="78"/>
      <c r="EC531" s="78"/>
      <c r="ED531" s="78"/>
      <c r="EE531" s="78"/>
      <c r="EF531" s="78"/>
      <c r="EG531" s="78"/>
      <c r="EH531" s="78"/>
      <c r="EI531" s="91"/>
      <c r="EJ531" s="91"/>
      <c r="EK531" s="91"/>
      <c r="EL531" s="91"/>
      <c r="EM531" s="91"/>
      <c r="EN531" s="91"/>
      <c r="EO531" s="91"/>
      <c r="EP531" s="78"/>
      <c r="EQ531" s="78"/>
      <c r="ER531" s="78"/>
      <c r="ES531" s="78"/>
      <c r="ET531" s="78"/>
      <c r="EU531" s="78"/>
      <c r="EV531" s="78"/>
      <c r="EW531" s="78"/>
      <c r="EX531" s="78"/>
      <c r="EY531" s="78"/>
      <c r="EZ531" s="78"/>
      <c r="FA531" s="78"/>
      <c r="FB531" s="78"/>
      <c r="FC531" s="78"/>
      <c r="FD531" s="78"/>
      <c r="FE531" s="78"/>
      <c r="FF531" s="78"/>
      <c r="FG531" s="78"/>
      <c r="FH531" s="78"/>
      <c r="FI531" s="78"/>
      <c r="FJ531" s="78"/>
      <c r="FK531" s="78"/>
    </row>
    <row r="532" spans="1:167" hidden="1" outlineLevel="1">
      <c r="A532" s="29" t="str">
        <f t="shared" si="38"/>
        <v>lt002_instrumentaccmltd_imprmnt_instrmnt</v>
      </c>
      <c r="B532" s="67" t="s">
        <v>26</v>
      </c>
      <c r="C532" s="68" t="s">
        <v>26</v>
      </c>
      <c r="D532" s="64" t="s">
        <v>40</v>
      </c>
      <c r="E532" s="70" t="s">
        <v>379</v>
      </c>
      <c r="F532" s="71" t="s">
        <v>411</v>
      </c>
      <c r="G532" s="64" t="str">
        <f>INDEX(Auxiliar!$B$16:$B$24,MATCH(Plano_V1!H532,Auxiliar!$C$16:$C$24,0),1)</f>
        <v>1. Concluído</v>
      </c>
      <c r="H532" s="64">
        <f>VLOOKUP(A532,'Aux - pivots1'!$A:$B,2,0)</f>
        <v>1</v>
      </c>
      <c r="I532" s="84">
        <f>SUMIFS(Table1[Estimação (horas)],Table1[Tabela],Plano_V1!E532,Table1[Campo],Plano_V1!F532)</f>
        <v>0.1</v>
      </c>
      <c r="J532" s="84">
        <f t="shared" si="39"/>
        <v>1.2500000000000001E-2</v>
      </c>
      <c r="K532" s="89" t="s">
        <v>399</v>
      </c>
      <c r="M532" s="78"/>
      <c r="N532" s="78"/>
      <c r="O532" s="78"/>
      <c r="P532" s="78"/>
      <c r="Q532" s="78"/>
      <c r="R532" s="78"/>
      <c r="S532" s="78"/>
      <c r="T532" s="78"/>
      <c r="U532" s="78"/>
      <c r="V532" s="78"/>
      <c r="W532" s="78"/>
      <c r="X532" s="78"/>
      <c r="Y532" s="78"/>
      <c r="Z532" s="78"/>
      <c r="AA532" s="78"/>
      <c r="AB532" s="78"/>
      <c r="AC532" s="78"/>
      <c r="AD532" s="78"/>
      <c r="AE532" s="78"/>
      <c r="AF532" s="78"/>
      <c r="AG532" s="78"/>
      <c r="AH532" s="78"/>
      <c r="AI532" s="78"/>
      <c r="AJ532" s="78"/>
      <c r="AK532" s="78"/>
      <c r="AL532" s="78"/>
      <c r="AM532" s="78"/>
      <c r="AN532" s="78"/>
      <c r="AO532" s="78"/>
      <c r="AP532" s="78"/>
      <c r="AQ532" s="78"/>
      <c r="AR532" s="78"/>
      <c r="AS532" s="78"/>
      <c r="AT532" s="91"/>
      <c r="AU532" s="78"/>
      <c r="AV532" s="78"/>
      <c r="AW532" s="78"/>
      <c r="AX532" s="78"/>
      <c r="AY532" s="78"/>
      <c r="AZ532" s="78"/>
      <c r="BA532" s="78"/>
      <c r="BB532" s="78"/>
      <c r="BC532" s="78"/>
      <c r="BD532" s="78"/>
      <c r="BE532" s="78"/>
      <c r="BF532" s="78"/>
      <c r="BG532" s="78"/>
      <c r="BH532" s="78"/>
      <c r="BI532" s="78"/>
      <c r="BJ532" s="78"/>
      <c r="BK532" s="78"/>
      <c r="BL532" s="78"/>
      <c r="BM532" s="78"/>
      <c r="BN532" s="78"/>
      <c r="BO532" s="78"/>
      <c r="BP532" s="78"/>
      <c r="BQ532" s="78"/>
      <c r="BR532" s="78"/>
      <c r="BS532" s="78"/>
      <c r="BT532" s="78"/>
      <c r="BU532" s="78"/>
      <c r="BV532" s="78"/>
      <c r="BW532" s="78"/>
      <c r="BX532" s="78"/>
      <c r="BY532" s="78"/>
      <c r="BZ532" s="78"/>
      <c r="CA532" s="78"/>
      <c r="CB532" s="78"/>
      <c r="CC532" s="78"/>
      <c r="CD532" s="78"/>
      <c r="CE532" s="78"/>
      <c r="CF532" s="78"/>
      <c r="CG532" s="78"/>
      <c r="CH532" s="78"/>
      <c r="CI532" s="78"/>
      <c r="CJ532" s="78"/>
      <c r="CK532" s="78"/>
      <c r="CL532" s="78"/>
      <c r="CM532" s="78"/>
      <c r="CN532" s="78"/>
      <c r="CO532" s="78"/>
      <c r="CP532" s="78"/>
      <c r="CQ532" s="78"/>
      <c r="CR532" s="78"/>
      <c r="CS532" s="78"/>
      <c r="CT532" s="78"/>
      <c r="CU532" s="78"/>
      <c r="CV532" s="78"/>
      <c r="CW532" s="78"/>
      <c r="CX532" s="78"/>
      <c r="CY532" s="78"/>
      <c r="CZ532" s="78"/>
      <c r="DA532" s="78"/>
      <c r="DB532" s="78"/>
      <c r="DC532" s="78"/>
      <c r="DD532" s="78"/>
      <c r="DE532" s="78"/>
      <c r="DF532" s="78"/>
      <c r="DG532" s="78"/>
      <c r="DH532" s="78"/>
      <c r="DI532" s="78"/>
      <c r="DJ532" s="78"/>
      <c r="DK532" s="78"/>
      <c r="DL532" s="78"/>
      <c r="DM532" s="78"/>
      <c r="DN532" s="78"/>
      <c r="DO532" s="78"/>
      <c r="DP532" s="78"/>
      <c r="DQ532" s="78"/>
      <c r="DR532" s="78"/>
      <c r="DS532" s="78"/>
      <c r="DT532" s="78"/>
      <c r="DU532" s="78"/>
      <c r="DV532" s="78"/>
      <c r="DW532" s="78"/>
      <c r="DX532" s="78"/>
      <c r="DY532" s="78"/>
      <c r="DZ532" s="78"/>
      <c r="EA532" s="78"/>
      <c r="EB532" s="78"/>
      <c r="EC532" s="78"/>
      <c r="ED532" s="78"/>
      <c r="EE532" s="78"/>
      <c r="EF532" s="78"/>
      <c r="EG532" s="78"/>
      <c r="EH532" s="78"/>
      <c r="EI532" s="91"/>
      <c r="EJ532" s="91"/>
      <c r="EK532" s="91"/>
      <c r="EL532" s="91"/>
      <c r="EM532" s="91"/>
      <c r="EN532" s="91"/>
      <c r="EO532" s="91"/>
      <c r="EP532" s="78"/>
      <c r="EQ532" s="78"/>
      <c r="ER532" s="78"/>
      <c r="ES532" s="78"/>
      <c r="ET532" s="78"/>
      <c r="EU532" s="78"/>
      <c r="EV532" s="78"/>
      <c r="EW532" s="78"/>
      <c r="EX532" s="78"/>
      <c r="EY532" s="78"/>
      <c r="EZ532" s="78"/>
      <c r="FA532" s="78"/>
      <c r="FB532" s="78"/>
      <c r="FC532" s="78"/>
      <c r="FD532" s="78"/>
      <c r="FE532" s="78"/>
      <c r="FF532" s="78"/>
      <c r="FG532" s="78"/>
      <c r="FH532" s="78"/>
      <c r="FI532" s="78"/>
      <c r="FJ532" s="78"/>
      <c r="FK532" s="78"/>
    </row>
    <row r="533" spans="1:167" hidden="1" outlineLevel="1">
      <c r="A533" s="29" t="str">
        <f t="shared" si="38"/>
        <v>lt002_instrumentissr_cntry</v>
      </c>
      <c r="B533" s="67" t="s">
        <v>26</v>
      </c>
      <c r="C533" s="68" t="s">
        <v>26</v>
      </c>
      <c r="D533" s="64" t="s">
        <v>40</v>
      </c>
      <c r="E533" s="70" t="s">
        <v>379</v>
      </c>
      <c r="F533" s="71" t="s">
        <v>412</v>
      </c>
      <c r="G533" s="64" t="str">
        <f>INDEX(Auxiliar!$B$16:$B$24,MATCH(Plano_V1!H533,Auxiliar!$C$16:$C$24,0),1)</f>
        <v>1. Concluído</v>
      </c>
      <c r="H533" s="64">
        <f>VLOOKUP(A533,'Aux - pivots1'!$A:$B,2,0)</f>
        <v>1</v>
      </c>
      <c r="I533" s="84">
        <f>SUMIFS(Table1[Estimação (horas)],Table1[Tabela],Plano_V1!E533,Table1[Campo],Plano_V1!F533)</f>
        <v>0.1</v>
      </c>
      <c r="J533" s="84">
        <f t="shared" si="39"/>
        <v>1.2500000000000001E-2</v>
      </c>
      <c r="K533" s="89" t="s">
        <v>399</v>
      </c>
      <c r="M533" s="78"/>
      <c r="N533" s="78"/>
      <c r="O533" s="78"/>
      <c r="P533" s="78"/>
      <c r="Q533" s="78"/>
      <c r="R533" s="78"/>
      <c r="S533" s="78"/>
      <c r="T533" s="78"/>
      <c r="U533" s="78"/>
      <c r="V533" s="78"/>
      <c r="W533" s="78"/>
      <c r="X533" s="78"/>
      <c r="Y533" s="78"/>
      <c r="Z533" s="78"/>
      <c r="AA533" s="78"/>
      <c r="AB533" s="78"/>
      <c r="AC533" s="78"/>
      <c r="AD533" s="78"/>
      <c r="AE533" s="78"/>
      <c r="AF533" s="78"/>
      <c r="AG533" s="78"/>
      <c r="AH533" s="78"/>
      <c r="AI533" s="78"/>
      <c r="AJ533" s="78"/>
      <c r="AK533" s="78"/>
      <c r="AL533" s="78"/>
      <c r="AM533" s="78"/>
      <c r="AN533" s="78"/>
      <c r="AO533" s="78"/>
      <c r="AP533" s="78"/>
      <c r="AQ533" s="78"/>
      <c r="AR533" s="78"/>
      <c r="AS533" s="78"/>
      <c r="AT533" s="91"/>
      <c r="AU533" s="78"/>
      <c r="AV533" s="78"/>
      <c r="AW533" s="78"/>
      <c r="AX533" s="78"/>
      <c r="AY533" s="78"/>
      <c r="AZ533" s="78"/>
      <c r="BA533" s="78"/>
      <c r="BB533" s="78"/>
      <c r="BC533" s="78"/>
      <c r="BD533" s="78"/>
      <c r="BE533" s="78"/>
      <c r="BF533" s="78"/>
      <c r="BG533" s="78"/>
      <c r="BH533" s="78"/>
      <c r="BI533" s="78"/>
      <c r="BJ533" s="78"/>
      <c r="BK533" s="78"/>
      <c r="BL533" s="78"/>
      <c r="BM533" s="78"/>
      <c r="BN533" s="78"/>
      <c r="BO533" s="78"/>
      <c r="BP533" s="78"/>
      <c r="BQ533" s="78"/>
      <c r="BR533" s="78"/>
      <c r="BS533" s="78"/>
      <c r="BT533" s="78"/>
      <c r="BU533" s="78"/>
      <c r="BV533" s="78"/>
      <c r="BW533" s="78"/>
      <c r="BX533" s="78"/>
      <c r="BY533" s="78"/>
      <c r="BZ533" s="78"/>
      <c r="CA533" s="78"/>
      <c r="CB533" s="78"/>
      <c r="CC533" s="78"/>
      <c r="CD533" s="78"/>
      <c r="CE533" s="78"/>
      <c r="CF533" s="78"/>
      <c r="CG533" s="78"/>
      <c r="CH533" s="78"/>
      <c r="CI533" s="78"/>
      <c r="CJ533" s="78"/>
      <c r="CK533" s="78"/>
      <c r="CL533" s="78"/>
      <c r="CM533" s="78"/>
      <c r="CN533" s="78"/>
      <c r="CO533" s="78"/>
      <c r="CP533" s="78"/>
      <c r="CQ533" s="78"/>
      <c r="CR533" s="78"/>
      <c r="CS533" s="78"/>
      <c r="CT533" s="78"/>
      <c r="CU533" s="78"/>
      <c r="CV533" s="78"/>
      <c r="CW533" s="78"/>
      <c r="CX533" s="78"/>
      <c r="CY533" s="78"/>
      <c r="CZ533" s="78"/>
      <c r="DA533" s="78"/>
      <c r="DB533" s="78"/>
      <c r="DC533" s="78"/>
      <c r="DD533" s="78"/>
      <c r="DE533" s="78"/>
      <c r="DF533" s="78"/>
      <c r="DG533" s="78"/>
      <c r="DH533" s="78"/>
      <c r="DI533" s="78"/>
      <c r="DJ533" s="78"/>
      <c r="DK533" s="78"/>
      <c r="DL533" s="78"/>
      <c r="DM533" s="78"/>
      <c r="DN533" s="78"/>
      <c r="DO533" s="78"/>
      <c r="DP533" s="78"/>
      <c r="DQ533" s="78"/>
      <c r="DR533" s="78"/>
      <c r="DS533" s="78"/>
      <c r="DT533" s="78"/>
      <c r="DU533" s="78"/>
      <c r="DV533" s="78"/>
      <c r="DW533" s="78"/>
      <c r="DX533" s="78"/>
      <c r="DY533" s="78"/>
      <c r="DZ533" s="78"/>
      <c r="EA533" s="78"/>
      <c r="EB533" s="78"/>
      <c r="EC533" s="78"/>
      <c r="ED533" s="78"/>
      <c r="EE533" s="78"/>
      <c r="EF533" s="78"/>
      <c r="EG533" s="78"/>
      <c r="EH533" s="78"/>
      <c r="EI533" s="91"/>
      <c r="EJ533" s="91"/>
      <c r="EK533" s="91"/>
      <c r="EL533" s="91"/>
      <c r="EM533" s="91"/>
      <c r="EN533" s="91"/>
      <c r="EO533" s="91"/>
      <c r="EP533" s="78"/>
      <c r="EQ533" s="78"/>
      <c r="ER533" s="78"/>
      <c r="ES533" s="78"/>
      <c r="ET533" s="78"/>
      <c r="EU533" s="78"/>
      <c r="EV533" s="78"/>
      <c r="EW533" s="78"/>
      <c r="EX533" s="78"/>
      <c r="EY533" s="78"/>
      <c r="EZ533" s="78"/>
      <c r="FA533" s="78"/>
      <c r="FB533" s="78"/>
      <c r="FC533" s="78"/>
      <c r="FD533" s="78"/>
      <c r="FE533" s="78"/>
      <c r="FF533" s="78"/>
      <c r="FG533" s="78"/>
      <c r="FH533" s="78"/>
      <c r="FI533" s="78"/>
      <c r="FJ533" s="78"/>
      <c r="FK533" s="78"/>
    </row>
    <row r="534" spans="1:167" hidden="1" outlineLevel="1">
      <c r="A534" s="29" t="str">
        <f t="shared" si="38"/>
        <v>lt002_instrumentissr_nace_sctr</v>
      </c>
      <c r="B534" s="67" t="s">
        <v>26</v>
      </c>
      <c r="C534" s="68" t="s">
        <v>26</v>
      </c>
      <c r="D534" s="64" t="s">
        <v>40</v>
      </c>
      <c r="E534" s="70" t="s">
        <v>379</v>
      </c>
      <c r="F534" s="71" t="s">
        <v>413</v>
      </c>
      <c r="G534" s="64" t="str">
        <f>INDEX(Auxiliar!$B$16:$B$24,MATCH(Plano_V1!H534,Auxiliar!$C$16:$C$24,0),1)</f>
        <v>1. Concluído</v>
      </c>
      <c r="H534" s="64">
        <f>VLOOKUP(A534,'Aux - pivots1'!$A:$B,2,0)</f>
        <v>1</v>
      </c>
      <c r="I534" s="84">
        <f>SUMIFS(Table1[Estimação (horas)],Table1[Tabela],Plano_V1!E534,Table1[Campo],Plano_V1!F534)</f>
        <v>0.1</v>
      </c>
      <c r="J534" s="84">
        <f t="shared" si="39"/>
        <v>1.2500000000000001E-2</v>
      </c>
      <c r="K534" s="89" t="s">
        <v>399</v>
      </c>
      <c r="M534" s="78"/>
      <c r="N534" s="78"/>
      <c r="O534" s="78"/>
      <c r="P534" s="78"/>
      <c r="Q534" s="78"/>
      <c r="R534" s="78"/>
      <c r="S534" s="78"/>
      <c r="T534" s="78"/>
      <c r="U534" s="78"/>
      <c r="V534" s="78"/>
      <c r="W534" s="78"/>
      <c r="X534" s="78"/>
      <c r="Y534" s="78"/>
      <c r="Z534" s="78"/>
      <c r="AA534" s="78"/>
      <c r="AB534" s="78"/>
      <c r="AC534" s="78"/>
      <c r="AD534" s="78"/>
      <c r="AE534" s="78"/>
      <c r="AF534" s="78"/>
      <c r="AG534" s="78"/>
      <c r="AH534" s="78"/>
      <c r="AI534" s="78"/>
      <c r="AJ534" s="78"/>
      <c r="AK534" s="78"/>
      <c r="AL534" s="78"/>
      <c r="AM534" s="78"/>
      <c r="AN534" s="78"/>
      <c r="AO534" s="78"/>
      <c r="AP534" s="78"/>
      <c r="AQ534" s="78"/>
      <c r="AR534" s="78"/>
      <c r="AS534" s="78"/>
      <c r="AT534" s="91"/>
      <c r="AU534" s="78"/>
      <c r="AV534" s="78"/>
      <c r="AW534" s="78"/>
      <c r="AX534" s="78"/>
      <c r="AY534" s="78"/>
      <c r="AZ534" s="78"/>
      <c r="BA534" s="78"/>
      <c r="BB534" s="78"/>
      <c r="BC534" s="78"/>
      <c r="BD534" s="78"/>
      <c r="BE534" s="78"/>
      <c r="BF534" s="78"/>
      <c r="BG534" s="78"/>
      <c r="BH534" s="78"/>
      <c r="BI534" s="78"/>
      <c r="BJ534" s="78"/>
      <c r="BK534" s="78"/>
      <c r="BL534" s="78"/>
      <c r="BM534" s="78"/>
      <c r="BN534" s="78"/>
      <c r="BO534" s="78"/>
      <c r="BP534" s="78"/>
      <c r="BQ534" s="78"/>
      <c r="BR534" s="78"/>
      <c r="BS534" s="78"/>
      <c r="BT534" s="78"/>
      <c r="BU534" s="78"/>
      <c r="BV534" s="78"/>
      <c r="BW534" s="78"/>
      <c r="BX534" s="78"/>
      <c r="BY534" s="78"/>
      <c r="BZ534" s="78"/>
      <c r="CA534" s="78"/>
      <c r="CB534" s="78"/>
      <c r="CC534" s="78"/>
      <c r="CD534" s="78"/>
      <c r="CE534" s="78"/>
      <c r="CF534" s="78"/>
      <c r="CG534" s="78"/>
      <c r="CH534" s="78"/>
      <c r="CI534" s="78"/>
      <c r="CJ534" s="78"/>
      <c r="CK534" s="78"/>
      <c r="CL534" s="78"/>
      <c r="CM534" s="78"/>
      <c r="CN534" s="78"/>
      <c r="CO534" s="78"/>
      <c r="CP534" s="78"/>
      <c r="CQ534" s="78"/>
      <c r="CR534" s="78"/>
      <c r="CS534" s="78"/>
      <c r="CT534" s="78"/>
      <c r="CU534" s="78"/>
      <c r="CV534" s="78"/>
      <c r="CW534" s="78"/>
      <c r="CX534" s="78"/>
      <c r="CY534" s="78"/>
      <c r="CZ534" s="78"/>
      <c r="DA534" s="78"/>
      <c r="DB534" s="78"/>
      <c r="DC534" s="78"/>
      <c r="DD534" s="78"/>
      <c r="DE534" s="78"/>
      <c r="DF534" s="78"/>
      <c r="DG534" s="78"/>
      <c r="DH534" s="78"/>
      <c r="DI534" s="78"/>
      <c r="DJ534" s="78"/>
      <c r="DK534" s="78"/>
      <c r="DL534" s="78"/>
      <c r="DM534" s="78"/>
      <c r="DN534" s="78"/>
      <c r="DO534" s="78"/>
      <c r="DP534" s="78"/>
      <c r="DQ534" s="78"/>
      <c r="DR534" s="78"/>
      <c r="DS534" s="78"/>
      <c r="DT534" s="78"/>
      <c r="DU534" s="78"/>
      <c r="DV534" s="78"/>
      <c r="DW534" s="78"/>
      <c r="DX534" s="78"/>
      <c r="DY534" s="78"/>
      <c r="DZ534" s="78"/>
      <c r="EA534" s="78"/>
      <c r="EB534" s="78"/>
      <c r="EC534" s="78"/>
      <c r="ED534" s="78"/>
      <c r="EE534" s="78"/>
      <c r="EF534" s="78"/>
      <c r="EG534" s="78"/>
      <c r="EH534" s="78"/>
      <c r="EI534" s="91"/>
      <c r="EJ534" s="91"/>
      <c r="EK534" s="91"/>
      <c r="EL534" s="91"/>
      <c r="EM534" s="91"/>
      <c r="EN534" s="91"/>
      <c r="EO534" s="91"/>
      <c r="EP534" s="78"/>
      <c r="EQ534" s="78"/>
      <c r="ER534" s="78"/>
      <c r="ES534" s="78"/>
      <c r="ET534" s="78"/>
      <c r="EU534" s="78"/>
      <c r="EV534" s="78"/>
      <c r="EW534" s="78"/>
      <c r="EX534" s="78"/>
      <c r="EY534" s="78"/>
      <c r="EZ534" s="78"/>
      <c r="FA534" s="78"/>
      <c r="FB534" s="78"/>
      <c r="FC534" s="78"/>
      <c r="FD534" s="78"/>
      <c r="FE534" s="78"/>
      <c r="FF534" s="78"/>
      <c r="FG534" s="78"/>
      <c r="FH534" s="78"/>
      <c r="FI534" s="78"/>
      <c r="FJ534" s="78"/>
      <c r="FK534" s="78"/>
    </row>
    <row r="535" spans="1:167" hidden="1" outlineLevel="1">
      <c r="A535" s="29" t="str">
        <f t="shared" si="38"/>
        <v>lt002_instrumentprmry_asst_clssf</v>
      </c>
      <c r="B535" s="67" t="s">
        <v>26</v>
      </c>
      <c r="C535" s="68" t="s">
        <v>26</v>
      </c>
      <c r="D535" s="64" t="s">
        <v>40</v>
      </c>
      <c r="E535" s="70" t="s">
        <v>379</v>
      </c>
      <c r="F535" s="71" t="s">
        <v>414</v>
      </c>
      <c r="G535" s="64" t="str">
        <f>INDEX(Auxiliar!$B$16:$B$24,MATCH(Plano_V1!H535,Auxiliar!$C$16:$C$24,0),1)</f>
        <v>1. Concluído</v>
      </c>
      <c r="H535" s="64">
        <f>VLOOKUP(A535,'Aux - pivots1'!$A:$B,2,0)</f>
        <v>1</v>
      </c>
      <c r="I535" s="84">
        <f>SUMIFS(Table1[Estimação (horas)],Table1[Tabela],Plano_V1!E535,Table1[Campo],Plano_V1!F535)</f>
        <v>0.1</v>
      </c>
      <c r="J535" s="84">
        <f t="shared" si="39"/>
        <v>1.2500000000000001E-2</v>
      </c>
      <c r="K535" s="89" t="s">
        <v>399</v>
      </c>
      <c r="M535" s="78"/>
      <c r="N535" s="78"/>
      <c r="O535" s="78"/>
      <c r="P535" s="78"/>
      <c r="Q535" s="78"/>
      <c r="R535" s="78"/>
      <c r="S535" s="78"/>
      <c r="T535" s="78"/>
      <c r="U535" s="78"/>
      <c r="V535" s="78"/>
      <c r="W535" s="78"/>
      <c r="X535" s="78"/>
      <c r="Y535" s="78"/>
      <c r="Z535" s="78"/>
      <c r="AA535" s="78"/>
      <c r="AB535" s="78"/>
      <c r="AC535" s="78"/>
      <c r="AD535" s="78"/>
      <c r="AE535" s="78"/>
      <c r="AF535" s="78"/>
      <c r="AG535" s="78"/>
      <c r="AH535" s="78"/>
      <c r="AI535" s="78"/>
      <c r="AJ535" s="78"/>
      <c r="AK535" s="78"/>
      <c r="AL535" s="78"/>
      <c r="AM535" s="78"/>
      <c r="AN535" s="78"/>
      <c r="AO535" s="78"/>
      <c r="AP535" s="78"/>
      <c r="AQ535" s="78"/>
      <c r="AR535" s="78"/>
      <c r="AS535" s="78"/>
      <c r="AT535" s="91"/>
      <c r="AU535" s="78"/>
      <c r="AV535" s="78"/>
      <c r="AW535" s="78"/>
      <c r="AX535" s="78"/>
      <c r="AY535" s="78"/>
      <c r="AZ535" s="78"/>
      <c r="BA535" s="78"/>
      <c r="BB535" s="78"/>
      <c r="BC535" s="78"/>
      <c r="BD535" s="78"/>
      <c r="BE535" s="78"/>
      <c r="BF535" s="78"/>
      <c r="BG535" s="78"/>
      <c r="BH535" s="78"/>
      <c r="BI535" s="78"/>
      <c r="BJ535" s="78"/>
      <c r="BK535" s="78"/>
      <c r="BL535" s="78"/>
      <c r="BM535" s="78"/>
      <c r="BN535" s="78"/>
      <c r="BO535" s="78"/>
      <c r="BP535" s="78"/>
      <c r="BQ535" s="78"/>
      <c r="BR535" s="78"/>
      <c r="BS535" s="78"/>
      <c r="BT535" s="78"/>
      <c r="BU535" s="78"/>
      <c r="BV535" s="78"/>
      <c r="BW535" s="78"/>
      <c r="BX535" s="78"/>
      <c r="BY535" s="78"/>
      <c r="BZ535" s="78"/>
      <c r="CA535" s="78"/>
      <c r="CB535" s="78"/>
      <c r="CC535" s="78"/>
      <c r="CD535" s="78"/>
      <c r="CE535" s="78"/>
      <c r="CF535" s="78"/>
      <c r="CG535" s="78"/>
      <c r="CH535" s="78"/>
      <c r="CI535" s="78"/>
      <c r="CJ535" s="78"/>
      <c r="CK535" s="78"/>
      <c r="CL535" s="78"/>
      <c r="CM535" s="78"/>
      <c r="CN535" s="78"/>
      <c r="CO535" s="78"/>
      <c r="CP535" s="78"/>
      <c r="CQ535" s="78"/>
      <c r="CR535" s="78"/>
      <c r="CS535" s="78"/>
      <c r="CT535" s="78"/>
      <c r="CU535" s="78"/>
      <c r="CV535" s="78"/>
      <c r="CW535" s="78"/>
      <c r="CX535" s="78"/>
      <c r="CY535" s="78"/>
      <c r="CZ535" s="78"/>
      <c r="DA535" s="78"/>
      <c r="DB535" s="78"/>
      <c r="DC535" s="78"/>
      <c r="DD535" s="78"/>
      <c r="DE535" s="78"/>
      <c r="DF535" s="78"/>
      <c r="DG535" s="78"/>
      <c r="DH535" s="78"/>
      <c r="DI535" s="78"/>
      <c r="DJ535" s="78"/>
      <c r="DK535" s="78"/>
      <c r="DL535" s="78"/>
      <c r="DM535" s="78"/>
      <c r="DN535" s="78"/>
      <c r="DO535" s="78"/>
      <c r="DP535" s="78"/>
      <c r="DQ535" s="78"/>
      <c r="DR535" s="78"/>
      <c r="DS535" s="78"/>
      <c r="DT535" s="78"/>
      <c r="DU535" s="78"/>
      <c r="DV535" s="78"/>
      <c r="DW535" s="78"/>
      <c r="DX535" s="78"/>
      <c r="DY535" s="78"/>
      <c r="DZ535" s="78"/>
      <c r="EA535" s="78"/>
      <c r="EB535" s="78"/>
      <c r="EC535" s="78"/>
      <c r="ED535" s="78"/>
      <c r="EE535" s="78"/>
      <c r="EF535" s="78"/>
      <c r="EG535" s="78"/>
      <c r="EH535" s="78"/>
      <c r="EI535" s="91"/>
      <c r="EJ535" s="91"/>
      <c r="EK535" s="91"/>
      <c r="EL535" s="91"/>
      <c r="EM535" s="91"/>
      <c r="EN535" s="91"/>
      <c r="EO535" s="91"/>
      <c r="EP535" s="78"/>
      <c r="EQ535" s="78"/>
      <c r="ER535" s="78"/>
      <c r="ES535" s="78"/>
      <c r="ET535" s="78"/>
      <c r="EU535" s="78"/>
      <c r="EV535" s="78"/>
      <c r="EW535" s="78"/>
      <c r="EX535" s="78"/>
      <c r="EY535" s="78"/>
      <c r="EZ535" s="78"/>
      <c r="FA535" s="78"/>
      <c r="FB535" s="78"/>
      <c r="FC535" s="78"/>
      <c r="FD535" s="78"/>
      <c r="FE535" s="78"/>
      <c r="FF535" s="78"/>
      <c r="FG535" s="78"/>
      <c r="FH535" s="78"/>
      <c r="FI535" s="78"/>
      <c r="FJ535" s="78"/>
      <c r="FK535" s="78"/>
    </row>
    <row r="536" spans="1:167" hidden="1" outlineLevel="1">
      <c r="A536" s="29" t="str">
        <f t="shared" si="38"/>
        <v>lt002_instrumentsubportfolio_id</v>
      </c>
      <c r="B536" s="67" t="s">
        <v>26</v>
      </c>
      <c r="C536" s="68" t="s">
        <v>26</v>
      </c>
      <c r="D536" s="64" t="s">
        <v>40</v>
      </c>
      <c r="E536" s="70" t="s">
        <v>379</v>
      </c>
      <c r="F536" s="71" t="s">
        <v>415</v>
      </c>
      <c r="G536" s="64" t="str">
        <f>INDEX(Auxiliar!$B$16:$B$24,MATCH(Plano_V1!H536,Auxiliar!$C$16:$C$24,0),1)</f>
        <v>1. Concluído</v>
      </c>
      <c r="H536" s="64">
        <f>VLOOKUP(A536,'Aux - pivots1'!$A:$B,2,0)</f>
        <v>1</v>
      </c>
      <c r="I536" s="84">
        <f>SUMIFS(Table1[Estimação (horas)],Table1[Tabela],Plano_V1!E536,Table1[Campo],Plano_V1!F536)</f>
        <v>0.1</v>
      </c>
      <c r="J536" s="84">
        <f t="shared" si="39"/>
        <v>1.2500000000000001E-2</v>
      </c>
      <c r="K536" s="89" t="s">
        <v>399</v>
      </c>
      <c r="M536" s="78"/>
      <c r="N536" s="78"/>
      <c r="O536" s="78"/>
      <c r="P536" s="78"/>
      <c r="Q536" s="78"/>
      <c r="R536" s="78"/>
      <c r="S536" s="78"/>
      <c r="T536" s="78"/>
      <c r="U536" s="78"/>
      <c r="V536" s="78"/>
      <c r="W536" s="78"/>
      <c r="X536" s="78"/>
      <c r="Y536" s="78"/>
      <c r="Z536" s="78"/>
      <c r="AA536" s="78"/>
      <c r="AB536" s="78"/>
      <c r="AC536" s="78"/>
      <c r="AD536" s="78"/>
      <c r="AE536" s="78"/>
      <c r="AF536" s="78"/>
      <c r="AG536" s="78"/>
      <c r="AH536" s="78"/>
      <c r="AI536" s="78"/>
      <c r="AJ536" s="78"/>
      <c r="AK536" s="78"/>
      <c r="AL536" s="78"/>
      <c r="AM536" s="78"/>
      <c r="AN536" s="78"/>
      <c r="AO536" s="78"/>
      <c r="AP536" s="78"/>
      <c r="AQ536" s="78"/>
      <c r="AR536" s="78"/>
      <c r="AS536" s="78"/>
      <c r="AT536" s="91"/>
      <c r="AU536" s="78"/>
      <c r="AV536" s="78"/>
      <c r="AW536" s="78"/>
      <c r="AX536" s="78"/>
      <c r="AY536" s="78"/>
      <c r="AZ536" s="78"/>
      <c r="BA536" s="78"/>
      <c r="BB536" s="78"/>
      <c r="BC536" s="78"/>
      <c r="BD536" s="78"/>
      <c r="BE536" s="78"/>
      <c r="BF536" s="78"/>
      <c r="BG536" s="78"/>
      <c r="BH536" s="78"/>
      <c r="BI536" s="78"/>
      <c r="BJ536" s="78"/>
      <c r="BK536" s="78"/>
      <c r="BL536" s="78"/>
      <c r="BM536" s="78"/>
      <c r="BN536" s="78"/>
      <c r="BO536" s="78"/>
      <c r="BP536" s="78"/>
      <c r="BQ536" s="78"/>
      <c r="BR536" s="78"/>
      <c r="BS536" s="78"/>
      <c r="BT536" s="78"/>
      <c r="BU536" s="78"/>
      <c r="BV536" s="78"/>
      <c r="BW536" s="78"/>
      <c r="BX536" s="78"/>
      <c r="BY536" s="78"/>
      <c r="BZ536" s="78"/>
      <c r="CA536" s="78"/>
      <c r="CB536" s="78"/>
      <c r="CC536" s="78"/>
      <c r="CD536" s="78"/>
      <c r="CE536" s="78"/>
      <c r="CF536" s="78"/>
      <c r="CG536" s="78"/>
      <c r="CH536" s="78"/>
      <c r="CI536" s="78"/>
      <c r="CJ536" s="78"/>
      <c r="CK536" s="78"/>
      <c r="CL536" s="78"/>
      <c r="CM536" s="78"/>
      <c r="CN536" s="78"/>
      <c r="CO536" s="78"/>
      <c r="CP536" s="78"/>
      <c r="CQ536" s="78"/>
      <c r="CR536" s="78"/>
      <c r="CS536" s="78"/>
      <c r="CT536" s="78"/>
      <c r="CU536" s="78"/>
      <c r="CV536" s="78"/>
      <c r="CW536" s="78"/>
      <c r="CX536" s="78"/>
      <c r="CY536" s="78"/>
      <c r="CZ536" s="78"/>
      <c r="DA536" s="78"/>
      <c r="DB536" s="78"/>
      <c r="DC536" s="78"/>
      <c r="DD536" s="78"/>
      <c r="DE536" s="78"/>
      <c r="DF536" s="78"/>
      <c r="DG536" s="78"/>
      <c r="DH536" s="78"/>
      <c r="DI536" s="78"/>
      <c r="DJ536" s="78"/>
      <c r="DK536" s="78"/>
      <c r="DL536" s="78"/>
      <c r="DM536" s="78"/>
      <c r="DN536" s="78"/>
      <c r="DO536" s="78"/>
      <c r="DP536" s="78"/>
      <c r="DQ536" s="78"/>
      <c r="DR536" s="78"/>
      <c r="DS536" s="78"/>
      <c r="DT536" s="78"/>
      <c r="DU536" s="78"/>
      <c r="DV536" s="78"/>
      <c r="DW536" s="78"/>
      <c r="DX536" s="78"/>
      <c r="DY536" s="78"/>
      <c r="DZ536" s="78"/>
      <c r="EA536" s="78"/>
      <c r="EB536" s="78"/>
      <c r="EC536" s="78"/>
      <c r="ED536" s="78"/>
      <c r="EE536" s="78"/>
      <c r="EF536" s="78"/>
      <c r="EG536" s="78"/>
      <c r="EH536" s="78"/>
      <c r="EI536" s="91"/>
      <c r="EJ536" s="91"/>
      <c r="EK536" s="91"/>
      <c r="EL536" s="91"/>
      <c r="EM536" s="91"/>
      <c r="EN536" s="91"/>
      <c r="EO536" s="91"/>
      <c r="EP536" s="78"/>
      <c r="EQ536" s="78"/>
      <c r="ER536" s="78"/>
      <c r="ES536" s="78"/>
      <c r="ET536" s="78"/>
      <c r="EU536" s="78"/>
      <c r="EV536" s="78"/>
      <c r="EW536" s="78"/>
      <c r="EX536" s="78"/>
      <c r="EY536" s="78"/>
      <c r="EZ536" s="78"/>
      <c r="FA536" s="78"/>
      <c r="FB536" s="78"/>
      <c r="FC536" s="78"/>
      <c r="FD536" s="78"/>
      <c r="FE536" s="78"/>
      <c r="FF536" s="78"/>
      <c r="FG536" s="78"/>
      <c r="FH536" s="78"/>
      <c r="FI536" s="78"/>
      <c r="FJ536" s="78"/>
      <c r="FK536" s="78"/>
    </row>
    <row r="537" spans="1:167" hidden="1" outlineLevel="1">
      <c r="A537" s="29" t="str">
        <f t="shared" si="38"/>
        <v>lt002_instrumentcod_soc</v>
      </c>
      <c r="B537" s="67" t="s">
        <v>26</v>
      </c>
      <c r="C537" s="68" t="s">
        <v>26</v>
      </c>
      <c r="D537" s="64" t="s">
        <v>40</v>
      </c>
      <c r="E537" s="70" t="s">
        <v>379</v>
      </c>
      <c r="F537" s="71" t="s">
        <v>416</v>
      </c>
      <c r="G537" s="64" t="str">
        <f>INDEX(Auxiliar!$B$16:$B$24,MATCH(Plano_V1!H537,Auxiliar!$C$16:$C$24,0),1)</f>
        <v>1. Concluído</v>
      </c>
      <c r="H537" s="64">
        <f>VLOOKUP(A537,'Aux - pivots1'!$A:$B,2,0)</f>
        <v>1</v>
      </c>
      <c r="I537" s="84">
        <f>SUMIFS(Table1[Estimação (horas)],Table1[Tabela],Plano_V1!E537,Table1[Campo],Plano_V1!F537)</f>
        <v>0.1</v>
      </c>
      <c r="J537" s="84">
        <f t="shared" si="39"/>
        <v>1.2500000000000001E-2</v>
      </c>
      <c r="K537" s="89" t="s">
        <v>399</v>
      </c>
      <c r="M537" s="78"/>
      <c r="N537" s="78"/>
      <c r="O537" s="78"/>
      <c r="P537" s="78"/>
      <c r="Q537" s="78"/>
      <c r="R537" s="78"/>
      <c r="S537" s="78"/>
      <c r="T537" s="78"/>
      <c r="U537" s="78"/>
      <c r="V537" s="78"/>
      <c r="W537" s="78"/>
      <c r="X537" s="78"/>
      <c r="Y537" s="78"/>
      <c r="Z537" s="78"/>
      <c r="AA537" s="78"/>
      <c r="AB537" s="78"/>
      <c r="AC537" s="78"/>
      <c r="AD537" s="78"/>
      <c r="AE537" s="78"/>
      <c r="AF537" s="78"/>
      <c r="AG537" s="78"/>
      <c r="AH537" s="78"/>
      <c r="AI537" s="78"/>
      <c r="AJ537" s="78"/>
      <c r="AK537" s="78"/>
      <c r="AL537" s="78"/>
      <c r="AM537" s="78"/>
      <c r="AN537" s="78"/>
      <c r="AO537" s="78"/>
      <c r="AP537" s="78"/>
      <c r="AQ537" s="78"/>
      <c r="AR537" s="78"/>
      <c r="AS537" s="78"/>
      <c r="AT537" s="91"/>
      <c r="AU537" s="78"/>
      <c r="AV537" s="78"/>
      <c r="AW537" s="78"/>
      <c r="AX537" s="78"/>
      <c r="AY537" s="78"/>
      <c r="AZ537" s="78"/>
      <c r="BA537" s="78"/>
      <c r="BB537" s="78"/>
      <c r="BC537" s="78"/>
      <c r="BD537" s="78"/>
      <c r="BE537" s="78"/>
      <c r="BF537" s="78"/>
      <c r="BG537" s="78"/>
      <c r="BH537" s="78"/>
      <c r="BI537" s="78"/>
      <c r="BJ537" s="78"/>
      <c r="BK537" s="78"/>
      <c r="BL537" s="78"/>
      <c r="BM537" s="78"/>
      <c r="BN537" s="78"/>
      <c r="BO537" s="78"/>
      <c r="BP537" s="78"/>
      <c r="BQ537" s="78"/>
      <c r="BR537" s="78"/>
      <c r="BS537" s="78"/>
      <c r="BT537" s="78"/>
      <c r="BU537" s="78"/>
      <c r="BV537" s="78"/>
      <c r="BW537" s="78"/>
      <c r="BX537" s="78"/>
      <c r="BY537" s="78"/>
      <c r="BZ537" s="78"/>
      <c r="CA537" s="78"/>
      <c r="CB537" s="78"/>
      <c r="CC537" s="78"/>
      <c r="CD537" s="78"/>
      <c r="CE537" s="78"/>
      <c r="CF537" s="78"/>
      <c r="CG537" s="78"/>
      <c r="CH537" s="78"/>
      <c r="CI537" s="78"/>
      <c r="CJ537" s="78"/>
      <c r="CK537" s="78"/>
      <c r="CL537" s="78"/>
      <c r="CM537" s="78"/>
      <c r="CN537" s="78"/>
      <c r="CO537" s="78"/>
      <c r="CP537" s="78"/>
      <c r="CQ537" s="78"/>
      <c r="CR537" s="78"/>
      <c r="CS537" s="78"/>
      <c r="CT537" s="78"/>
      <c r="CU537" s="78"/>
      <c r="CV537" s="78"/>
      <c r="CW537" s="78"/>
      <c r="CX537" s="78"/>
      <c r="CY537" s="78"/>
      <c r="CZ537" s="78"/>
      <c r="DA537" s="78"/>
      <c r="DB537" s="78"/>
      <c r="DC537" s="78"/>
      <c r="DD537" s="78"/>
      <c r="DE537" s="78"/>
      <c r="DF537" s="78"/>
      <c r="DG537" s="78"/>
      <c r="DH537" s="78"/>
      <c r="DI537" s="78"/>
      <c r="DJ537" s="78"/>
      <c r="DK537" s="78"/>
      <c r="DL537" s="78"/>
      <c r="DM537" s="78"/>
      <c r="DN537" s="78"/>
      <c r="DO537" s="78"/>
      <c r="DP537" s="78"/>
      <c r="DQ537" s="78"/>
      <c r="DR537" s="78"/>
      <c r="DS537" s="78"/>
      <c r="DT537" s="78"/>
      <c r="DU537" s="78"/>
      <c r="DV537" s="78"/>
      <c r="DW537" s="78"/>
      <c r="DX537" s="78"/>
      <c r="DY537" s="78"/>
      <c r="DZ537" s="78"/>
      <c r="EA537" s="78"/>
      <c r="EB537" s="78"/>
      <c r="EC537" s="78"/>
      <c r="ED537" s="78"/>
      <c r="EE537" s="78"/>
      <c r="EF537" s="78"/>
      <c r="EG537" s="78"/>
      <c r="EH537" s="78"/>
      <c r="EI537" s="91"/>
      <c r="EJ537" s="91"/>
      <c r="EK537" s="91"/>
      <c r="EL537" s="91"/>
      <c r="EM537" s="91"/>
      <c r="EN537" s="91"/>
      <c r="EO537" s="91"/>
      <c r="EP537" s="78"/>
      <c r="EQ537" s="78"/>
      <c r="ER537" s="78"/>
      <c r="ES537" s="78"/>
      <c r="ET537" s="78"/>
      <c r="EU537" s="78"/>
      <c r="EV537" s="78"/>
      <c r="EW537" s="78"/>
      <c r="EX537" s="78"/>
      <c r="EY537" s="78"/>
      <c r="EZ537" s="78"/>
      <c r="FA537" s="78"/>
      <c r="FB537" s="78"/>
      <c r="FC537" s="78"/>
      <c r="FD537" s="78"/>
      <c r="FE537" s="78"/>
      <c r="FF537" s="78"/>
      <c r="FG537" s="78"/>
      <c r="FH537" s="78"/>
      <c r="FI537" s="78"/>
      <c r="FJ537" s="78"/>
      <c r="FK537" s="78"/>
    </row>
    <row r="538" spans="1:167" hidden="1" outlineLevel="1">
      <c r="A538" s="29" t="str">
        <f t="shared" si="38"/>
        <v>lt002_instrumentlcl_instmrnt_id</v>
      </c>
      <c r="B538" s="67" t="s">
        <v>26</v>
      </c>
      <c r="C538" s="68" t="s">
        <v>26</v>
      </c>
      <c r="D538" s="64" t="s">
        <v>40</v>
      </c>
      <c r="E538" s="70" t="s">
        <v>379</v>
      </c>
      <c r="F538" s="71" t="s">
        <v>417</v>
      </c>
      <c r="G538" s="64" t="str">
        <f>INDEX(Auxiliar!$B$16:$B$24,MATCH(Plano_V1!H538,Auxiliar!$C$16:$C$24,0),1)</f>
        <v>1. Concluído</v>
      </c>
      <c r="H538" s="64">
        <f>VLOOKUP(A538,'Aux - pivots1'!$A:$B,2,0)</f>
        <v>1</v>
      </c>
      <c r="I538" s="84">
        <f>SUMIFS(Table1[Estimação (horas)],Table1[Tabela],Plano_V1!E538,Table1[Campo],Plano_V1!F538)</f>
        <v>0.1</v>
      </c>
      <c r="J538" s="84">
        <f t="shared" si="39"/>
        <v>1.2500000000000001E-2</v>
      </c>
      <c r="K538" s="89" t="s">
        <v>399</v>
      </c>
      <c r="M538" s="78"/>
      <c r="N538" s="78"/>
      <c r="O538" s="78"/>
      <c r="P538" s="78"/>
      <c r="Q538" s="78"/>
      <c r="R538" s="78"/>
      <c r="S538" s="78"/>
      <c r="T538" s="78"/>
      <c r="U538" s="78"/>
      <c r="V538" s="78"/>
      <c r="W538" s="78"/>
      <c r="X538" s="78"/>
      <c r="Y538" s="78"/>
      <c r="Z538" s="78"/>
      <c r="AA538" s="78"/>
      <c r="AB538" s="78"/>
      <c r="AC538" s="78"/>
      <c r="AD538" s="78"/>
      <c r="AE538" s="78"/>
      <c r="AF538" s="78"/>
      <c r="AG538" s="78"/>
      <c r="AH538" s="78"/>
      <c r="AI538" s="78"/>
      <c r="AJ538" s="78"/>
      <c r="AK538" s="78"/>
      <c r="AL538" s="78"/>
      <c r="AM538" s="78"/>
      <c r="AN538" s="78"/>
      <c r="AO538" s="78"/>
      <c r="AP538" s="78"/>
      <c r="AQ538" s="78"/>
      <c r="AR538" s="78"/>
      <c r="AS538" s="78"/>
      <c r="AT538" s="91"/>
      <c r="AU538" s="78"/>
      <c r="AV538" s="78"/>
      <c r="AW538" s="78"/>
      <c r="AX538" s="78"/>
      <c r="AY538" s="78"/>
      <c r="AZ538" s="78"/>
      <c r="BA538" s="78"/>
      <c r="BB538" s="78"/>
      <c r="BC538" s="78"/>
      <c r="BD538" s="78"/>
      <c r="BE538" s="78"/>
      <c r="BF538" s="78"/>
      <c r="BG538" s="78"/>
      <c r="BH538" s="78"/>
      <c r="BI538" s="78"/>
      <c r="BJ538" s="78"/>
      <c r="BK538" s="78"/>
      <c r="BL538" s="78"/>
      <c r="BM538" s="78"/>
      <c r="BN538" s="78"/>
      <c r="BO538" s="78"/>
      <c r="BP538" s="78"/>
      <c r="BQ538" s="78"/>
      <c r="BR538" s="78"/>
      <c r="BS538" s="78"/>
      <c r="BT538" s="78"/>
      <c r="BU538" s="78"/>
      <c r="BV538" s="78"/>
      <c r="BW538" s="78"/>
      <c r="BX538" s="78"/>
      <c r="BY538" s="78"/>
      <c r="BZ538" s="78"/>
      <c r="CA538" s="78"/>
      <c r="CB538" s="78"/>
      <c r="CC538" s="78"/>
      <c r="CD538" s="78"/>
      <c r="CE538" s="78"/>
      <c r="CF538" s="78"/>
      <c r="CG538" s="78"/>
      <c r="CH538" s="78"/>
      <c r="CI538" s="78"/>
      <c r="CJ538" s="78"/>
      <c r="CK538" s="78"/>
      <c r="CL538" s="78"/>
      <c r="CM538" s="78"/>
      <c r="CN538" s="78"/>
      <c r="CO538" s="78"/>
      <c r="CP538" s="78"/>
      <c r="CQ538" s="78"/>
      <c r="CR538" s="78"/>
      <c r="CS538" s="78"/>
      <c r="CT538" s="78"/>
      <c r="CU538" s="78"/>
      <c r="CV538" s="78"/>
      <c r="CW538" s="78"/>
      <c r="CX538" s="78"/>
      <c r="CY538" s="78"/>
      <c r="CZ538" s="78"/>
      <c r="DA538" s="78"/>
      <c r="DB538" s="78"/>
      <c r="DC538" s="78"/>
      <c r="DD538" s="78"/>
      <c r="DE538" s="78"/>
      <c r="DF538" s="78"/>
      <c r="DG538" s="78"/>
      <c r="DH538" s="78"/>
      <c r="DI538" s="78"/>
      <c r="DJ538" s="78"/>
      <c r="DK538" s="78"/>
      <c r="DL538" s="78"/>
      <c r="DM538" s="78"/>
      <c r="DN538" s="78"/>
      <c r="DO538" s="78"/>
      <c r="DP538" s="78"/>
      <c r="DQ538" s="78"/>
      <c r="DR538" s="78"/>
      <c r="DS538" s="78"/>
      <c r="DT538" s="78"/>
      <c r="DU538" s="78"/>
      <c r="DV538" s="78"/>
      <c r="DW538" s="78"/>
      <c r="DX538" s="78"/>
      <c r="DY538" s="78"/>
      <c r="DZ538" s="78"/>
      <c r="EA538" s="78"/>
      <c r="EB538" s="78"/>
      <c r="EC538" s="78"/>
      <c r="ED538" s="78"/>
      <c r="EE538" s="78"/>
      <c r="EF538" s="78"/>
      <c r="EG538" s="78"/>
      <c r="EH538" s="78"/>
      <c r="EI538" s="91"/>
      <c r="EJ538" s="91"/>
      <c r="EK538" s="91"/>
      <c r="EL538" s="91"/>
      <c r="EM538" s="91"/>
      <c r="EN538" s="91"/>
      <c r="EO538" s="91"/>
      <c r="EP538" s="78"/>
      <c r="EQ538" s="78"/>
      <c r="ER538" s="78"/>
      <c r="ES538" s="78"/>
      <c r="ET538" s="78"/>
      <c r="EU538" s="78"/>
      <c r="EV538" s="78"/>
      <c r="EW538" s="78"/>
      <c r="EX538" s="78"/>
      <c r="EY538" s="78"/>
      <c r="EZ538" s="78"/>
      <c r="FA538" s="78"/>
      <c r="FB538" s="78"/>
      <c r="FC538" s="78"/>
      <c r="FD538" s="78"/>
      <c r="FE538" s="78"/>
      <c r="FF538" s="78"/>
      <c r="FG538" s="78"/>
      <c r="FH538" s="78"/>
      <c r="FI538" s="78"/>
      <c r="FJ538" s="78"/>
      <c r="FK538" s="78"/>
    </row>
    <row r="539" spans="1:167" hidden="1" outlineLevel="1">
      <c r="A539" s="29" t="str">
        <f t="shared" si="38"/>
        <v>lt002_instrumentsstnbl_indctr</v>
      </c>
      <c r="B539" s="67" t="s">
        <v>26</v>
      </c>
      <c r="C539" s="68" t="s">
        <v>26</v>
      </c>
      <c r="D539" s="64" t="s">
        <v>40</v>
      </c>
      <c r="E539" s="70" t="s">
        <v>379</v>
      </c>
      <c r="F539" s="71" t="s">
        <v>418</v>
      </c>
      <c r="G539" s="64" t="e">
        <f>INDEX(Auxiliar!$B$16:$B$24,MATCH(Plano_V1!H539,Auxiliar!$C$16:$C$24,0),1)</f>
        <v>#N/A</v>
      </c>
      <c r="H539" s="64" t="e">
        <f>VLOOKUP(A539,'Aux - pivots1'!$A:$B,2,0)</f>
        <v>#N/A</v>
      </c>
      <c r="I539" s="84">
        <f>SUMIFS(Table1[Estimação (horas)],Table1[Tabela],Plano_V1!E539,Table1[Campo],Plano_V1!F539)</f>
        <v>0</v>
      </c>
      <c r="J539" s="84">
        <f t="shared" si="39"/>
        <v>0</v>
      </c>
      <c r="K539" s="89" t="s">
        <v>31</v>
      </c>
      <c r="M539" s="78"/>
      <c r="N539" s="78"/>
      <c r="O539" s="78"/>
      <c r="P539" s="78"/>
      <c r="Q539" s="78"/>
      <c r="R539" s="78"/>
      <c r="S539" s="78"/>
      <c r="T539" s="78"/>
      <c r="U539" s="78"/>
      <c r="V539" s="78"/>
      <c r="W539" s="78"/>
      <c r="X539" s="78"/>
      <c r="Y539" s="78"/>
      <c r="Z539" s="78"/>
      <c r="AA539" s="78"/>
      <c r="AB539" s="78"/>
      <c r="AC539" s="78"/>
      <c r="AD539" s="78"/>
      <c r="AE539" s="78"/>
      <c r="AF539" s="78"/>
      <c r="AG539" s="78"/>
      <c r="AH539" s="78"/>
      <c r="AI539" s="78"/>
      <c r="AJ539" s="78"/>
      <c r="AK539" s="78"/>
      <c r="AL539" s="78"/>
      <c r="AM539" s="78"/>
      <c r="AN539" s="78"/>
      <c r="AO539" s="78"/>
      <c r="AP539" s="78"/>
      <c r="AQ539" s="78"/>
      <c r="AR539" s="78"/>
      <c r="AS539" s="78"/>
      <c r="AT539" s="91"/>
      <c r="AU539" s="78"/>
      <c r="AV539" s="78"/>
      <c r="AW539" s="78"/>
      <c r="AX539" s="78"/>
      <c r="AY539" s="78"/>
      <c r="AZ539" s="78"/>
      <c r="BA539" s="78"/>
      <c r="BB539" s="78"/>
      <c r="BC539" s="78"/>
      <c r="BD539" s="78"/>
      <c r="BE539" s="78"/>
      <c r="BF539" s="78"/>
      <c r="BG539" s="78"/>
      <c r="BH539" s="78"/>
      <c r="BI539" s="78"/>
      <c r="BJ539" s="78"/>
      <c r="BK539" s="78"/>
      <c r="BL539" s="78"/>
      <c r="BM539" s="78"/>
      <c r="BN539" s="78"/>
      <c r="BO539" s="78"/>
      <c r="BP539" s="78"/>
      <c r="BQ539" s="78"/>
      <c r="BR539" s="78"/>
      <c r="BS539" s="78"/>
      <c r="BT539" s="78"/>
      <c r="BU539" s="78"/>
      <c r="BV539" s="78"/>
      <c r="BW539" s="78"/>
      <c r="BX539" s="78"/>
      <c r="BY539" s="78"/>
      <c r="BZ539" s="78"/>
      <c r="CA539" s="78"/>
      <c r="CB539" s="78"/>
      <c r="CC539" s="78"/>
      <c r="CD539" s="78"/>
      <c r="CE539" s="78"/>
      <c r="CF539" s="78"/>
      <c r="CG539" s="78"/>
      <c r="CH539" s="78"/>
      <c r="CI539" s="78"/>
      <c r="CJ539" s="78"/>
      <c r="CK539" s="78"/>
      <c r="CL539" s="78"/>
      <c r="CM539" s="78"/>
      <c r="CN539" s="78"/>
      <c r="CO539" s="78"/>
      <c r="CP539" s="78"/>
      <c r="CQ539" s="78"/>
      <c r="CR539" s="78"/>
      <c r="CS539" s="78"/>
      <c r="CT539" s="78"/>
      <c r="CU539" s="78"/>
      <c r="CV539" s="78"/>
      <c r="CW539" s="78"/>
      <c r="CX539" s="78"/>
      <c r="CY539" s="78"/>
      <c r="CZ539" s="78"/>
      <c r="DA539" s="78"/>
      <c r="DB539" s="78"/>
      <c r="DC539" s="78"/>
      <c r="DD539" s="78"/>
      <c r="DE539" s="78"/>
      <c r="DF539" s="78"/>
      <c r="DG539" s="78"/>
      <c r="DH539" s="78"/>
      <c r="DI539" s="78"/>
      <c r="DJ539" s="78"/>
      <c r="DK539" s="78"/>
      <c r="DL539" s="78"/>
      <c r="DM539" s="78"/>
      <c r="DN539" s="78"/>
      <c r="DO539" s="78"/>
      <c r="DP539" s="78"/>
      <c r="DQ539" s="78"/>
      <c r="DR539" s="78"/>
      <c r="DS539" s="78"/>
      <c r="DT539" s="78"/>
      <c r="DU539" s="78"/>
      <c r="DV539" s="78"/>
      <c r="DW539" s="78"/>
      <c r="DX539" s="78"/>
      <c r="DY539" s="78"/>
      <c r="DZ539" s="78"/>
      <c r="EA539" s="78"/>
      <c r="EB539" s="78"/>
      <c r="EC539" s="78"/>
      <c r="ED539" s="78"/>
      <c r="EE539" s="78"/>
      <c r="EF539" s="78"/>
      <c r="EG539" s="78"/>
      <c r="EH539" s="78"/>
      <c r="EI539" s="91"/>
      <c r="EJ539" s="91"/>
      <c r="EK539" s="91"/>
      <c r="EL539" s="91"/>
      <c r="EM539" s="91"/>
      <c r="EN539" s="91"/>
      <c r="EO539" s="91"/>
      <c r="EP539" s="78"/>
      <c r="EQ539" s="78"/>
      <c r="ER539" s="78"/>
      <c r="ES539" s="78"/>
      <c r="ET539" s="78"/>
      <c r="EU539" s="78"/>
      <c r="EV539" s="78"/>
      <c r="EW539" s="78"/>
      <c r="EX539" s="78"/>
      <c r="EY539" s="78"/>
      <c r="EZ539" s="78"/>
      <c r="FA539" s="78"/>
      <c r="FB539" s="78"/>
      <c r="FC539" s="78"/>
      <c r="FD539" s="78"/>
      <c r="FE539" s="78"/>
      <c r="FF539" s="78"/>
      <c r="FG539" s="78"/>
      <c r="FH539" s="78"/>
      <c r="FI539" s="78"/>
      <c r="FJ539" s="78"/>
      <c r="FK539" s="78"/>
    </row>
    <row r="540" spans="1:167" hidden="1" outlineLevel="1">
      <c r="A540" s="29" t="str">
        <f t="shared" si="38"/>
        <v>lt002_instrumentsstnbl_ctgry</v>
      </c>
      <c r="B540" s="67" t="s">
        <v>26</v>
      </c>
      <c r="C540" s="68" t="s">
        <v>26</v>
      </c>
      <c r="D540" s="64" t="s">
        <v>40</v>
      </c>
      <c r="E540" s="70" t="s">
        <v>379</v>
      </c>
      <c r="F540" s="71" t="s">
        <v>419</v>
      </c>
      <c r="G540" s="64" t="e">
        <f>INDEX(Auxiliar!$B$16:$B$24,MATCH(Plano_V1!H540,Auxiliar!$C$16:$C$24,0),1)</f>
        <v>#N/A</v>
      </c>
      <c r="H540" s="64" t="e">
        <f>VLOOKUP(A540,'Aux - pivots1'!$A:$B,2,0)</f>
        <v>#N/A</v>
      </c>
      <c r="I540" s="84">
        <f>SUMIFS(Table1[Estimação (horas)],Table1[Tabela],Plano_V1!E540,Table1[Campo],Plano_V1!F540)</f>
        <v>0</v>
      </c>
      <c r="J540" s="84">
        <f t="shared" si="39"/>
        <v>0</v>
      </c>
      <c r="K540" s="89" t="s">
        <v>31</v>
      </c>
      <c r="M540" s="78"/>
      <c r="N540" s="78"/>
      <c r="O540" s="78"/>
      <c r="P540" s="78"/>
      <c r="Q540" s="78"/>
      <c r="R540" s="78"/>
      <c r="S540" s="78"/>
      <c r="T540" s="78"/>
      <c r="U540" s="78"/>
      <c r="V540" s="78"/>
      <c r="W540" s="78"/>
      <c r="X540" s="78"/>
      <c r="Y540" s="78"/>
      <c r="Z540" s="78"/>
      <c r="AA540" s="78"/>
      <c r="AB540" s="78"/>
      <c r="AC540" s="78"/>
      <c r="AD540" s="78"/>
      <c r="AE540" s="78"/>
      <c r="AF540" s="78"/>
      <c r="AG540" s="78"/>
      <c r="AH540" s="78"/>
      <c r="AI540" s="78"/>
      <c r="AJ540" s="78"/>
      <c r="AK540" s="78"/>
      <c r="AL540" s="78"/>
      <c r="AM540" s="78"/>
      <c r="AN540" s="78"/>
      <c r="AO540" s="78"/>
      <c r="AP540" s="78"/>
      <c r="AQ540" s="78"/>
      <c r="AR540" s="78"/>
      <c r="AS540" s="78"/>
      <c r="AT540" s="91"/>
      <c r="AU540" s="78"/>
      <c r="AV540" s="78"/>
      <c r="AW540" s="78"/>
      <c r="AX540" s="78"/>
      <c r="AY540" s="78"/>
      <c r="AZ540" s="78"/>
      <c r="BA540" s="78"/>
      <c r="BB540" s="78"/>
      <c r="BC540" s="78"/>
      <c r="BD540" s="78"/>
      <c r="BE540" s="78"/>
      <c r="BF540" s="78"/>
      <c r="BG540" s="78"/>
      <c r="BH540" s="78"/>
      <c r="BI540" s="78"/>
      <c r="BJ540" s="78"/>
      <c r="BK540" s="78"/>
      <c r="BL540" s="78"/>
      <c r="BM540" s="78"/>
      <c r="BN540" s="78"/>
      <c r="BO540" s="78"/>
      <c r="BP540" s="78"/>
      <c r="BQ540" s="78"/>
      <c r="BR540" s="78"/>
      <c r="BS540" s="78"/>
      <c r="BT540" s="78"/>
      <c r="BU540" s="78"/>
      <c r="BV540" s="78"/>
      <c r="BW540" s="78"/>
      <c r="BX540" s="78"/>
      <c r="BY540" s="78"/>
      <c r="BZ540" s="78"/>
      <c r="CA540" s="78"/>
      <c r="CB540" s="78"/>
      <c r="CC540" s="78"/>
      <c r="CD540" s="78"/>
      <c r="CE540" s="78"/>
      <c r="CF540" s="78"/>
      <c r="CG540" s="78"/>
      <c r="CH540" s="78"/>
      <c r="CI540" s="78"/>
      <c r="CJ540" s="78"/>
      <c r="CK540" s="78"/>
      <c r="CL540" s="78"/>
      <c r="CM540" s="78"/>
      <c r="CN540" s="78"/>
      <c r="CO540" s="78"/>
      <c r="CP540" s="78"/>
      <c r="CQ540" s="78"/>
      <c r="CR540" s="78"/>
      <c r="CS540" s="78"/>
      <c r="CT540" s="78"/>
      <c r="CU540" s="78"/>
      <c r="CV540" s="78"/>
      <c r="CW540" s="78"/>
      <c r="CX540" s="78"/>
      <c r="CY540" s="78"/>
      <c r="CZ540" s="78"/>
      <c r="DA540" s="78"/>
      <c r="DB540" s="78"/>
      <c r="DC540" s="78"/>
      <c r="DD540" s="78"/>
      <c r="DE540" s="78"/>
      <c r="DF540" s="78"/>
      <c r="DG540" s="78"/>
      <c r="DH540" s="78"/>
      <c r="DI540" s="78"/>
      <c r="DJ540" s="78"/>
      <c r="DK540" s="78"/>
      <c r="DL540" s="78"/>
      <c r="DM540" s="78"/>
      <c r="DN540" s="78"/>
      <c r="DO540" s="78"/>
      <c r="DP540" s="78"/>
      <c r="DQ540" s="78"/>
      <c r="DR540" s="78"/>
      <c r="DS540" s="78"/>
      <c r="DT540" s="78"/>
      <c r="DU540" s="78"/>
      <c r="DV540" s="78"/>
      <c r="DW540" s="78"/>
      <c r="DX540" s="78"/>
      <c r="DY540" s="78"/>
      <c r="DZ540" s="78"/>
      <c r="EA540" s="78"/>
      <c r="EB540" s="78"/>
      <c r="EC540" s="78"/>
      <c r="ED540" s="78"/>
      <c r="EE540" s="78"/>
      <c r="EF540" s="78"/>
      <c r="EG540" s="78"/>
      <c r="EH540" s="78"/>
      <c r="EI540" s="91"/>
      <c r="EJ540" s="91"/>
      <c r="EK540" s="91"/>
      <c r="EL540" s="91"/>
      <c r="EM540" s="91"/>
      <c r="EN540" s="91"/>
      <c r="EO540" s="91"/>
      <c r="EP540" s="78"/>
      <c r="EQ540" s="78"/>
      <c r="ER540" s="78"/>
      <c r="ES540" s="78"/>
      <c r="ET540" s="78"/>
      <c r="EU540" s="78"/>
      <c r="EV540" s="78"/>
      <c r="EW540" s="78"/>
      <c r="EX540" s="78"/>
      <c r="EY540" s="78"/>
      <c r="EZ540" s="78"/>
      <c r="FA540" s="78"/>
      <c r="FB540" s="78"/>
      <c r="FC540" s="78"/>
      <c r="FD540" s="78"/>
      <c r="FE540" s="78"/>
      <c r="FF540" s="78"/>
      <c r="FG540" s="78"/>
      <c r="FH540" s="78"/>
      <c r="FI540" s="78"/>
      <c r="FJ540" s="78"/>
      <c r="FK540" s="78"/>
    </row>
    <row r="541" spans="1:167" hidden="1" outlineLevel="1">
      <c r="A541" s="29" t="str">
        <f t="shared" si="38"/>
        <v>lt002_instrumentgrss_intrst_incm</v>
      </c>
      <c r="B541" s="67" t="s">
        <v>26</v>
      </c>
      <c r="C541" s="68" t="s">
        <v>26</v>
      </c>
      <c r="D541" s="64" t="s">
        <v>40</v>
      </c>
      <c r="E541" s="70" t="s">
        <v>379</v>
      </c>
      <c r="F541" s="71" t="s">
        <v>420</v>
      </c>
      <c r="G541" s="64" t="str">
        <f>INDEX(Auxiliar!$B$16:$B$24,MATCH(Plano_V1!H541,Auxiliar!$C$16:$C$24,0),1)</f>
        <v xml:space="preserve">6. Em implementação </v>
      </c>
      <c r="H541" s="64">
        <f>VLOOKUP(A541,'Aux - pivots1'!$A:$B,2,0)</f>
        <v>7</v>
      </c>
      <c r="I541" s="84">
        <f>SUMIFS(Table1[Estimação (horas)],Table1[Tabela],Plano_V1!E541,Table1[Campo],Plano_V1!F541)</f>
        <v>0.1</v>
      </c>
      <c r="J541" s="84">
        <f t="shared" si="39"/>
        <v>1.2500000000000001E-2</v>
      </c>
      <c r="K541" s="89" t="s">
        <v>31</v>
      </c>
      <c r="M541" s="78"/>
      <c r="N541" s="78"/>
      <c r="O541" s="78"/>
      <c r="P541" s="78"/>
      <c r="Q541" s="78"/>
      <c r="R541" s="78"/>
      <c r="S541" s="78"/>
      <c r="T541" s="78"/>
      <c r="U541" s="78"/>
      <c r="V541" s="78"/>
      <c r="W541" s="78"/>
      <c r="X541" s="78"/>
      <c r="Y541" s="78"/>
      <c r="Z541" s="78"/>
      <c r="AA541" s="78"/>
      <c r="AB541" s="78"/>
      <c r="AC541" s="78"/>
      <c r="AD541" s="78"/>
      <c r="AE541" s="78"/>
      <c r="AF541" s="78"/>
      <c r="AG541" s="78"/>
      <c r="AH541" s="78"/>
      <c r="AI541" s="78"/>
      <c r="AJ541" s="78"/>
      <c r="AK541" s="78"/>
      <c r="AL541" s="78"/>
      <c r="AM541" s="78"/>
      <c r="AN541" s="78"/>
      <c r="AO541" s="78"/>
      <c r="AP541" s="78"/>
      <c r="AQ541" s="78"/>
      <c r="AR541" s="78"/>
      <c r="AS541" s="78"/>
      <c r="AT541" s="91"/>
      <c r="AU541" s="78"/>
      <c r="AV541" s="78"/>
      <c r="AW541" s="78"/>
      <c r="AX541" s="78"/>
      <c r="AY541" s="78"/>
      <c r="AZ541" s="78"/>
      <c r="BA541" s="78"/>
      <c r="BB541" s="78"/>
      <c r="BC541" s="78"/>
      <c r="BD541" s="78"/>
      <c r="BE541" s="78"/>
      <c r="BF541" s="78"/>
      <c r="BG541" s="78"/>
      <c r="BH541" s="78"/>
      <c r="BI541" s="78"/>
      <c r="BJ541" s="78"/>
      <c r="BK541" s="78"/>
      <c r="BL541" s="78"/>
      <c r="BM541" s="78"/>
      <c r="BN541" s="78"/>
      <c r="BO541" s="78"/>
      <c r="BP541" s="78"/>
      <c r="BQ541" s="78"/>
      <c r="BR541" s="78"/>
      <c r="BS541" s="78"/>
      <c r="BT541" s="78"/>
      <c r="BU541" s="78"/>
      <c r="BV541" s="78"/>
      <c r="BW541" s="78"/>
      <c r="BX541" s="78"/>
      <c r="BY541" s="78"/>
      <c r="BZ541" s="78"/>
      <c r="CA541" s="78"/>
      <c r="CB541" s="78"/>
      <c r="CC541" s="78"/>
      <c r="CD541" s="78"/>
      <c r="CE541" s="78"/>
      <c r="CF541" s="78"/>
      <c r="CG541" s="78"/>
      <c r="CH541" s="78"/>
      <c r="CI541" s="78"/>
      <c r="CJ541" s="78"/>
      <c r="CK541" s="78"/>
      <c r="CL541" s="78"/>
      <c r="CM541" s="78"/>
      <c r="CN541" s="78"/>
      <c r="CO541" s="78"/>
      <c r="CP541" s="78"/>
      <c r="CQ541" s="78"/>
      <c r="CR541" s="78"/>
      <c r="CS541" s="78"/>
      <c r="CT541" s="78"/>
      <c r="CU541" s="78"/>
      <c r="CV541" s="78"/>
      <c r="CW541" s="78"/>
      <c r="CX541" s="78"/>
      <c r="CY541" s="78"/>
      <c r="CZ541" s="78"/>
      <c r="DA541" s="78"/>
      <c r="DB541" s="78"/>
      <c r="DC541" s="78"/>
      <c r="DD541" s="78"/>
      <c r="DE541" s="78"/>
      <c r="DF541" s="78"/>
      <c r="DG541" s="78"/>
      <c r="DH541" s="78"/>
      <c r="DI541" s="78"/>
      <c r="DJ541" s="78"/>
      <c r="DK541" s="78"/>
      <c r="DL541" s="78"/>
      <c r="DM541" s="78"/>
      <c r="DN541" s="78"/>
      <c r="DO541" s="78"/>
      <c r="DP541" s="78"/>
      <c r="DQ541" s="78"/>
      <c r="DR541" s="78"/>
      <c r="DS541" s="78"/>
      <c r="DT541" s="78"/>
      <c r="DU541" s="78"/>
      <c r="DV541" s="78"/>
      <c r="DW541" s="78"/>
      <c r="DX541" s="78"/>
      <c r="DY541" s="78"/>
      <c r="DZ541" s="78"/>
      <c r="EA541" s="78"/>
      <c r="EB541" s="78"/>
      <c r="EC541" s="78"/>
      <c r="ED541" s="78"/>
      <c r="EE541" s="78"/>
      <c r="EF541" s="78"/>
      <c r="EG541" s="78"/>
      <c r="EH541" s="78"/>
      <c r="EI541" s="91"/>
      <c r="EJ541" s="91"/>
      <c r="EK541" s="91"/>
      <c r="EL541" s="91"/>
      <c r="EM541" s="91"/>
      <c r="EN541" s="91"/>
      <c r="EO541" s="91"/>
      <c r="EP541" s="78"/>
      <c r="EQ541" s="78"/>
      <c r="ER541" s="78"/>
      <c r="ES541" s="78"/>
      <c r="ET541" s="78"/>
      <c r="EU541" s="78"/>
      <c r="EV541" s="78"/>
      <c r="EW541" s="78"/>
      <c r="EX541" s="78"/>
      <c r="EY541" s="78"/>
      <c r="EZ541" s="78"/>
      <c r="FA541" s="78"/>
      <c r="FB541" s="78"/>
      <c r="FC541" s="78"/>
      <c r="FD541" s="78"/>
      <c r="FE541" s="78"/>
      <c r="FF541" s="78"/>
      <c r="FG541" s="78"/>
      <c r="FH541" s="78"/>
      <c r="FI541" s="78"/>
      <c r="FJ541" s="78"/>
      <c r="FK541" s="78"/>
    </row>
    <row r="542" spans="1:167" hidden="1" outlineLevel="1">
      <c r="A542" s="29" t="str">
        <f t="shared" si="38"/>
        <v>lt002_instrumentgrss_cmmssn_incm</v>
      </c>
      <c r="B542" s="67" t="s">
        <v>26</v>
      </c>
      <c r="C542" s="68" t="s">
        <v>26</v>
      </c>
      <c r="D542" s="64" t="s">
        <v>40</v>
      </c>
      <c r="E542" s="70" t="s">
        <v>379</v>
      </c>
      <c r="F542" s="71" t="s">
        <v>421</v>
      </c>
      <c r="G542" s="64" t="str">
        <f>INDEX(Auxiliar!$B$16:$B$24,MATCH(Plano_V1!H542,Auxiliar!$C$16:$C$24,0),1)</f>
        <v xml:space="preserve">6. Em implementação </v>
      </c>
      <c r="H542" s="64">
        <f>VLOOKUP(A542,'Aux - pivots1'!$A:$B,2,0)</f>
        <v>7</v>
      </c>
      <c r="I542" s="84">
        <f>SUMIFS(Table1[Estimação (horas)],Table1[Tabela],Plano_V1!E542,Table1[Campo],Plano_V1!F542)</f>
        <v>0.1</v>
      </c>
      <c r="J542" s="84">
        <f t="shared" si="39"/>
        <v>1.2500000000000001E-2</v>
      </c>
      <c r="K542" s="89" t="s">
        <v>31</v>
      </c>
      <c r="M542" s="78"/>
      <c r="N542" s="78"/>
      <c r="O542" s="78"/>
      <c r="P542" s="78"/>
      <c r="Q542" s="78"/>
      <c r="R542" s="78"/>
      <c r="S542" s="78"/>
      <c r="T542" s="78"/>
      <c r="U542" s="78"/>
      <c r="V542" s="78"/>
      <c r="W542" s="78"/>
      <c r="X542" s="78"/>
      <c r="Y542" s="78"/>
      <c r="Z542" s="78"/>
      <c r="AA542" s="78"/>
      <c r="AB542" s="78"/>
      <c r="AC542" s="78"/>
      <c r="AD542" s="78"/>
      <c r="AE542" s="78"/>
      <c r="AF542" s="78"/>
      <c r="AG542" s="78"/>
      <c r="AH542" s="78"/>
      <c r="AI542" s="78"/>
      <c r="AJ542" s="78"/>
      <c r="AK542" s="78"/>
      <c r="AL542" s="78"/>
      <c r="AM542" s="78"/>
      <c r="AN542" s="78"/>
      <c r="AO542" s="78"/>
      <c r="AP542" s="78"/>
      <c r="AQ542" s="78"/>
      <c r="AR542" s="78"/>
      <c r="AS542" s="78"/>
      <c r="AT542" s="91"/>
      <c r="AU542" s="78"/>
      <c r="AV542" s="78"/>
      <c r="AW542" s="78"/>
      <c r="AX542" s="78"/>
      <c r="AY542" s="78"/>
      <c r="AZ542" s="78"/>
      <c r="BA542" s="78"/>
      <c r="BB542" s="78"/>
      <c r="BC542" s="78"/>
      <c r="BD542" s="78"/>
      <c r="BE542" s="78"/>
      <c r="BF542" s="78"/>
      <c r="BG542" s="78"/>
      <c r="BH542" s="78"/>
      <c r="BI542" s="78"/>
      <c r="BJ542" s="78"/>
      <c r="BK542" s="78"/>
      <c r="BL542" s="78"/>
      <c r="BM542" s="78"/>
      <c r="BN542" s="78"/>
      <c r="BO542" s="78"/>
      <c r="BP542" s="78"/>
      <c r="BQ542" s="78"/>
      <c r="BR542" s="78"/>
      <c r="BS542" s="78"/>
      <c r="BT542" s="78"/>
      <c r="BU542" s="78"/>
      <c r="BV542" s="78"/>
      <c r="BW542" s="78"/>
      <c r="BX542" s="78"/>
      <c r="BY542" s="78"/>
      <c r="BZ542" s="78"/>
      <c r="CA542" s="78"/>
      <c r="CB542" s="78"/>
      <c r="CC542" s="78"/>
      <c r="CD542" s="78"/>
      <c r="CE542" s="78"/>
      <c r="CF542" s="78"/>
      <c r="CG542" s="78"/>
      <c r="CH542" s="78"/>
      <c r="CI542" s="78"/>
      <c r="CJ542" s="78"/>
      <c r="CK542" s="78"/>
      <c r="CL542" s="78"/>
      <c r="CM542" s="78"/>
      <c r="CN542" s="78"/>
      <c r="CO542" s="78"/>
      <c r="CP542" s="78"/>
      <c r="CQ542" s="78"/>
      <c r="CR542" s="78"/>
      <c r="CS542" s="78"/>
      <c r="CT542" s="78"/>
      <c r="CU542" s="78"/>
      <c r="CV542" s="78"/>
      <c r="CW542" s="78"/>
      <c r="CX542" s="78"/>
      <c r="CY542" s="78"/>
      <c r="CZ542" s="78"/>
      <c r="DA542" s="78"/>
      <c r="DB542" s="78"/>
      <c r="DC542" s="78"/>
      <c r="DD542" s="78"/>
      <c r="DE542" s="78"/>
      <c r="DF542" s="78"/>
      <c r="DG542" s="78"/>
      <c r="DH542" s="78"/>
      <c r="DI542" s="78"/>
      <c r="DJ542" s="78"/>
      <c r="DK542" s="78"/>
      <c r="DL542" s="78"/>
      <c r="DM542" s="78"/>
      <c r="DN542" s="78"/>
      <c r="DO542" s="78"/>
      <c r="DP542" s="78"/>
      <c r="DQ542" s="78"/>
      <c r="DR542" s="78"/>
      <c r="DS542" s="78"/>
      <c r="DT542" s="78"/>
      <c r="DU542" s="78"/>
      <c r="DV542" s="78"/>
      <c r="DW542" s="78"/>
      <c r="DX542" s="78"/>
      <c r="DY542" s="78"/>
      <c r="DZ542" s="78"/>
      <c r="EA542" s="78"/>
      <c r="EB542" s="78"/>
      <c r="EC542" s="78"/>
      <c r="ED542" s="78"/>
      <c r="EE542" s="78"/>
      <c r="EF542" s="78"/>
      <c r="EG542" s="78"/>
      <c r="EH542" s="78"/>
      <c r="EI542" s="91"/>
      <c r="EJ542" s="91"/>
      <c r="EK542" s="91"/>
      <c r="EL542" s="91"/>
      <c r="EM542" s="91"/>
      <c r="EN542" s="91"/>
      <c r="EO542" s="91"/>
      <c r="EP542" s="78"/>
      <c r="EQ542" s="78"/>
      <c r="ER542" s="78"/>
      <c r="ES542" s="78"/>
      <c r="ET542" s="78"/>
      <c r="EU542" s="78"/>
      <c r="EV542" s="78"/>
      <c r="EW542" s="78"/>
      <c r="EX542" s="78"/>
      <c r="EY542" s="78"/>
      <c r="EZ542" s="78"/>
      <c r="FA542" s="78"/>
      <c r="FB542" s="78"/>
      <c r="FC542" s="78"/>
      <c r="FD542" s="78"/>
      <c r="FE542" s="78"/>
      <c r="FF542" s="78"/>
      <c r="FG542" s="78"/>
      <c r="FH542" s="78"/>
      <c r="FI542" s="78"/>
      <c r="FJ542" s="78"/>
      <c r="FK542" s="78"/>
    </row>
    <row r="543" spans="1:167" hidden="1" outlineLevel="1">
      <c r="A543" s="29" t="str">
        <f t="shared" si="38"/>
        <v>lt002_instrumentgrss_cmmssn_incm_off_blnc</v>
      </c>
      <c r="B543" s="67" t="s">
        <v>26</v>
      </c>
      <c r="C543" s="68" t="s">
        <v>26</v>
      </c>
      <c r="D543" s="64" t="s">
        <v>40</v>
      </c>
      <c r="E543" s="70" t="s">
        <v>379</v>
      </c>
      <c r="F543" s="71" t="s">
        <v>422</v>
      </c>
      <c r="G543" s="64" t="str">
        <f>INDEX(Auxiliar!$B$16:$B$24,MATCH(Plano_V1!H543,Auxiliar!$C$16:$C$24,0),1)</f>
        <v xml:space="preserve">6. Em implementação </v>
      </c>
      <c r="H543" s="64">
        <f>VLOOKUP(A543,'Aux - pivots1'!$A:$B,2,0)</f>
        <v>7</v>
      </c>
      <c r="I543" s="84">
        <f>SUMIFS(Table1[Estimação (horas)],Table1[Tabela],Plano_V1!E543,Table1[Campo],Plano_V1!F543)</f>
        <v>0.1</v>
      </c>
      <c r="J543" s="84">
        <f t="shared" si="39"/>
        <v>1.2500000000000001E-2</v>
      </c>
      <c r="K543" s="89" t="s">
        <v>31</v>
      </c>
      <c r="M543" s="78"/>
      <c r="N543" s="78"/>
      <c r="O543" s="78"/>
      <c r="P543" s="78"/>
      <c r="Q543" s="78"/>
      <c r="R543" s="78"/>
      <c r="S543" s="78"/>
      <c r="T543" s="78"/>
      <c r="U543" s="78"/>
      <c r="V543" s="78"/>
      <c r="W543" s="78"/>
      <c r="X543" s="78"/>
      <c r="Y543" s="78"/>
      <c r="Z543" s="78"/>
      <c r="AA543" s="78"/>
      <c r="AB543" s="78"/>
      <c r="AC543" s="78"/>
      <c r="AD543" s="78"/>
      <c r="AE543" s="78"/>
      <c r="AF543" s="78"/>
      <c r="AG543" s="78"/>
      <c r="AH543" s="78"/>
      <c r="AI543" s="78"/>
      <c r="AJ543" s="78"/>
      <c r="AK543" s="78"/>
      <c r="AL543" s="78"/>
      <c r="AM543" s="78"/>
      <c r="AN543" s="78"/>
      <c r="AO543" s="78"/>
      <c r="AP543" s="78"/>
      <c r="AQ543" s="78"/>
      <c r="AR543" s="78"/>
      <c r="AS543" s="78"/>
      <c r="AT543" s="91"/>
      <c r="AU543" s="78"/>
      <c r="AV543" s="78"/>
      <c r="AW543" s="78"/>
      <c r="AX543" s="78"/>
      <c r="AY543" s="78"/>
      <c r="AZ543" s="78"/>
      <c r="BA543" s="78"/>
      <c r="BB543" s="78"/>
      <c r="BC543" s="78"/>
      <c r="BD543" s="78"/>
      <c r="BE543" s="78"/>
      <c r="BF543" s="78"/>
      <c r="BG543" s="78"/>
      <c r="BH543" s="78"/>
      <c r="BI543" s="78"/>
      <c r="BJ543" s="78"/>
      <c r="BK543" s="78"/>
      <c r="BL543" s="78"/>
      <c r="BM543" s="78"/>
      <c r="BN543" s="78"/>
      <c r="BO543" s="78"/>
      <c r="BP543" s="78"/>
      <c r="BQ543" s="78"/>
      <c r="BR543" s="78"/>
      <c r="BS543" s="78"/>
      <c r="BT543" s="78"/>
      <c r="BU543" s="78"/>
      <c r="BV543" s="78"/>
      <c r="BW543" s="78"/>
      <c r="BX543" s="78"/>
      <c r="BY543" s="78"/>
      <c r="BZ543" s="78"/>
      <c r="CA543" s="78"/>
      <c r="CB543" s="78"/>
      <c r="CC543" s="78"/>
      <c r="CD543" s="78"/>
      <c r="CE543" s="78"/>
      <c r="CF543" s="78"/>
      <c r="CG543" s="78"/>
      <c r="CH543" s="78"/>
      <c r="CI543" s="78"/>
      <c r="CJ543" s="78"/>
      <c r="CK543" s="78"/>
      <c r="CL543" s="78"/>
      <c r="CM543" s="78"/>
      <c r="CN543" s="78"/>
      <c r="CO543" s="78"/>
      <c r="CP543" s="78"/>
      <c r="CQ543" s="78"/>
      <c r="CR543" s="78"/>
      <c r="CS543" s="78"/>
      <c r="CT543" s="78"/>
      <c r="CU543" s="78"/>
      <c r="CV543" s="78"/>
      <c r="CW543" s="78"/>
      <c r="CX543" s="78"/>
      <c r="CY543" s="78"/>
      <c r="CZ543" s="78"/>
      <c r="DA543" s="78"/>
      <c r="DB543" s="78"/>
      <c r="DC543" s="78"/>
      <c r="DD543" s="78"/>
      <c r="DE543" s="78"/>
      <c r="DF543" s="78"/>
      <c r="DG543" s="78"/>
      <c r="DH543" s="78"/>
      <c r="DI543" s="78"/>
      <c r="DJ543" s="78"/>
      <c r="DK543" s="78"/>
      <c r="DL543" s="78"/>
      <c r="DM543" s="78"/>
      <c r="DN543" s="78"/>
      <c r="DO543" s="78"/>
      <c r="DP543" s="78"/>
      <c r="DQ543" s="78"/>
      <c r="DR543" s="78"/>
      <c r="DS543" s="78"/>
      <c r="DT543" s="78"/>
      <c r="DU543" s="78"/>
      <c r="DV543" s="78"/>
      <c r="DW543" s="78"/>
      <c r="DX543" s="78"/>
      <c r="DY543" s="78"/>
      <c r="DZ543" s="78"/>
      <c r="EA543" s="78"/>
      <c r="EB543" s="78"/>
      <c r="EC543" s="78"/>
      <c r="ED543" s="78"/>
      <c r="EE543" s="78"/>
      <c r="EF543" s="78"/>
      <c r="EG543" s="78"/>
      <c r="EH543" s="78"/>
      <c r="EI543" s="91"/>
      <c r="EJ543" s="91"/>
      <c r="EK543" s="91"/>
      <c r="EL543" s="91"/>
      <c r="EM543" s="91"/>
      <c r="EN543" s="91"/>
      <c r="EO543" s="91"/>
      <c r="EP543" s="78"/>
      <c r="EQ543" s="78"/>
      <c r="ER543" s="78"/>
      <c r="ES543" s="78"/>
      <c r="ET543" s="78"/>
      <c r="EU543" s="78"/>
      <c r="EV543" s="78"/>
      <c r="EW543" s="78"/>
      <c r="EX543" s="78"/>
      <c r="EY543" s="78"/>
      <c r="EZ543" s="78"/>
      <c r="FA543" s="78"/>
      <c r="FB543" s="78"/>
      <c r="FC543" s="78"/>
      <c r="FD543" s="78"/>
      <c r="FE543" s="78"/>
      <c r="FF543" s="78"/>
      <c r="FG543" s="78"/>
      <c r="FH543" s="78"/>
      <c r="FI543" s="78"/>
      <c r="FJ543" s="78"/>
      <c r="FK543" s="78"/>
    </row>
    <row r="544" spans="1:167" hidden="1" outlineLevel="1">
      <c r="A544" s="29" t="str">
        <f t="shared" si="38"/>
        <v>lt002_instrumentidcmb</v>
      </c>
      <c r="B544" s="67" t="s">
        <v>26</v>
      </c>
      <c r="C544" s="68" t="s">
        <v>26</v>
      </c>
      <c r="D544" s="64" t="s">
        <v>40</v>
      </c>
      <c r="E544" s="70" t="s">
        <v>379</v>
      </c>
      <c r="F544" s="71" t="s">
        <v>423</v>
      </c>
      <c r="G544" s="64" t="str">
        <f>INDEX(Auxiliar!$B$16:$B$24,MATCH(Plano_V1!H544,Auxiliar!$C$16:$C$24,0),1)</f>
        <v>1. Concluído</v>
      </c>
      <c r="H544" s="64">
        <f>VLOOKUP(A544,'Aux - pivots1'!$A:$B,2,0)</f>
        <v>1</v>
      </c>
      <c r="I544" s="84">
        <f>SUMIFS(Table1[Estimação (horas)],Table1[Tabela],Plano_V1!E544,Table1[Campo],Plano_V1!F544)</f>
        <v>0.1</v>
      </c>
      <c r="J544" s="84">
        <f t="shared" si="39"/>
        <v>1.2500000000000001E-2</v>
      </c>
      <c r="K544" s="89" t="s">
        <v>399</v>
      </c>
      <c r="M544" s="78"/>
      <c r="N544" s="78"/>
      <c r="O544" s="78"/>
      <c r="P544" s="78"/>
      <c r="Q544" s="78"/>
      <c r="R544" s="78"/>
      <c r="S544" s="78"/>
      <c r="T544" s="78"/>
      <c r="U544" s="78"/>
      <c r="V544" s="78"/>
      <c r="W544" s="78"/>
      <c r="X544" s="78"/>
      <c r="Y544" s="78"/>
      <c r="Z544" s="78"/>
      <c r="AA544" s="78"/>
      <c r="AB544" s="78"/>
      <c r="AC544" s="78"/>
      <c r="AD544" s="78"/>
      <c r="AE544" s="78"/>
      <c r="AF544" s="78"/>
      <c r="AG544" s="78"/>
      <c r="AH544" s="78"/>
      <c r="AI544" s="78"/>
      <c r="AJ544" s="78"/>
      <c r="AK544" s="78"/>
      <c r="AL544" s="78"/>
      <c r="AM544" s="78"/>
      <c r="AN544" s="78"/>
      <c r="AO544" s="78"/>
      <c r="AP544" s="78"/>
      <c r="AQ544" s="78"/>
      <c r="AR544" s="78"/>
      <c r="AS544" s="78"/>
      <c r="AT544" s="91"/>
      <c r="AU544" s="78"/>
      <c r="AV544" s="78"/>
      <c r="AW544" s="78"/>
      <c r="AX544" s="78"/>
      <c r="AY544" s="78"/>
      <c r="AZ544" s="78"/>
      <c r="BA544" s="78"/>
      <c r="BB544" s="78"/>
      <c r="BC544" s="78"/>
      <c r="BD544" s="78"/>
      <c r="BE544" s="78"/>
      <c r="BF544" s="78"/>
      <c r="BG544" s="78"/>
      <c r="BH544" s="78"/>
      <c r="BI544" s="78"/>
      <c r="BJ544" s="78"/>
      <c r="BK544" s="78"/>
      <c r="BL544" s="78"/>
      <c r="BM544" s="78"/>
      <c r="BN544" s="78"/>
      <c r="BO544" s="78"/>
      <c r="BP544" s="78"/>
      <c r="BQ544" s="78"/>
      <c r="BR544" s="78"/>
      <c r="BS544" s="78"/>
      <c r="BT544" s="78"/>
      <c r="BU544" s="78"/>
      <c r="BV544" s="78"/>
      <c r="BW544" s="78"/>
      <c r="BX544" s="78"/>
      <c r="BY544" s="78"/>
      <c r="BZ544" s="78"/>
      <c r="CA544" s="78"/>
      <c r="CB544" s="78"/>
      <c r="CC544" s="78"/>
      <c r="CD544" s="78"/>
      <c r="CE544" s="78"/>
      <c r="CF544" s="78"/>
      <c r="CG544" s="78"/>
      <c r="CH544" s="78"/>
      <c r="CI544" s="78"/>
      <c r="CJ544" s="78"/>
      <c r="CK544" s="78"/>
      <c r="CL544" s="78"/>
      <c r="CM544" s="78"/>
      <c r="CN544" s="78"/>
      <c r="CO544" s="78"/>
      <c r="CP544" s="78"/>
      <c r="CQ544" s="78"/>
      <c r="CR544" s="78"/>
      <c r="CS544" s="78"/>
      <c r="CT544" s="78"/>
      <c r="CU544" s="78"/>
      <c r="CV544" s="78"/>
      <c r="CW544" s="78"/>
      <c r="CX544" s="78"/>
      <c r="CY544" s="78"/>
      <c r="CZ544" s="78"/>
      <c r="DA544" s="78"/>
      <c r="DB544" s="78"/>
      <c r="DC544" s="78"/>
      <c r="DD544" s="78"/>
      <c r="DE544" s="78"/>
      <c r="DF544" s="78"/>
      <c r="DG544" s="78"/>
      <c r="DH544" s="78"/>
      <c r="DI544" s="78"/>
      <c r="DJ544" s="78"/>
      <c r="DK544" s="78"/>
      <c r="DL544" s="78"/>
      <c r="DM544" s="78"/>
      <c r="DN544" s="78"/>
      <c r="DO544" s="78"/>
      <c r="DP544" s="78"/>
      <c r="DQ544" s="78"/>
      <c r="DR544" s="78"/>
      <c r="DS544" s="78"/>
      <c r="DT544" s="78"/>
      <c r="DU544" s="78"/>
      <c r="DV544" s="78"/>
      <c r="DW544" s="78"/>
      <c r="DX544" s="78"/>
      <c r="DY544" s="78"/>
      <c r="DZ544" s="78"/>
      <c r="EA544" s="78"/>
      <c r="EB544" s="78"/>
      <c r="EC544" s="78"/>
      <c r="ED544" s="78"/>
      <c r="EE544" s="78"/>
      <c r="EF544" s="78"/>
      <c r="EG544" s="78"/>
      <c r="EH544" s="78"/>
      <c r="EI544" s="91"/>
      <c r="EJ544" s="91"/>
      <c r="EK544" s="91"/>
      <c r="EL544" s="91"/>
      <c r="EM544" s="91"/>
      <c r="EN544" s="91"/>
      <c r="EO544" s="91"/>
      <c r="EP544" s="78"/>
      <c r="EQ544" s="78"/>
      <c r="ER544" s="78"/>
      <c r="ES544" s="78"/>
      <c r="ET544" s="78"/>
      <c r="EU544" s="78"/>
      <c r="EV544" s="78"/>
      <c r="EW544" s="78"/>
      <c r="EX544" s="78"/>
      <c r="EY544" s="78"/>
      <c r="EZ544" s="78"/>
      <c r="FA544" s="78"/>
      <c r="FB544" s="78"/>
      <c r="FC544" s="78"/>
      <c r="FD544" s="78"/>
      <c r="FE544" s="78"/>
      <c r="FF544" s="78"/>
      <c r="FG544" s="78"/>
      <c r="FH544" s="78"/>
      <c r="FI544" s="78"/>
      <c r="FJ544" s="78"/>
      <c r="FK544" s="78"/>
    </row>
    <row r="545" spans="1:167" hidden="1" outlineLevel="1">
      <c r="A545" s="29" t="str">
        <f t="shared" si="38"/>
        <v>lt003_entitycntry</v>
      </c>
      <c r="B545" s="67" t="s">
        <v>26</v>
      </c>
      <c r="C545" s="68" t="s">
        <v>26</v>
      </c>
      <c r="D545" s="64" t="s">
        <v>40</v>
      </c>
      <c r="E545" s="70" t="s">
        <v>335</v>
      </c>
      <c r="F545" s="71" t="s">
        <v>424</v>
      </c>
      <c r="G545" s="64" t="str">
        <f>INDEX(Auxiliar!$B$16:$B$24,MATCH(Plano_V1!H545,Auxiliar!$C$16:$C$24,0),1)</f>
        <v>1. Concluído</v>
      </c>
      <c r="H545" s="64">
        <f>VLOOKUP(A545,'Aux - pivots1'!$A:$B,2,0)</f>
        <v>1</v>
      </c>
      <c r="I545" s="84">
        <f>SUMIFS(Table1[Estimação (horas)],Table1[Tabela],Plano_V1!E545,Table1[Campo],Plano_V1!F545)</f>
        <v>0.1</v>
      </c>
      <c r="J545" s="84">
        <f t="shared" si="39"/>
        <v>1.2500000000000001E-2</v>
      </c>
      <c r="K545" s="89" t="s">
        <v>399</v>
      </c>
      <c r="M545" s="78"/>
      <c r="N545" s="78"/>
      <c r="O545" s="78"/>
      <c r="P545" s="78"/>
      <c r="Q545" s="78"/>
      <c r="R545" s="78"/>
      <c r="S545" s="78"/>
      <c r="T545" s="78"/>
      <c r="U545" s="78"/>
      <c r="V545" s="78"/>
      <c r="W545" s="78"/>
      <c r="X545" s="78"/>
      <c r="Y545" s="78"/>
      <c r="Z545" s="78"/>
      <c r="AA545" s="78"/>
      <c r="AB545" s="78"/>
      <c r="AC545" s="78"/>
      <c r="AD545" s="78"/>
      <c r="AE545" s="78"/>
      <c r="AF545" s="78"/>
      <c r="AG545" s="78"/>
      <c r="AH545" s="78"/>
      <c r="AI545" s="78"/>
      <c r="AJ545" s="78"/>
      <c r="AK545" s="78"/>
      <c r="AL545" s="78"/>
      <c r="AM545" s="78"/>
      <c r="AN545" s="78"/>
      <c r="AO545" s="78"/>
      <c r="AP545" s="78"/>
      <c r="AQ545" s="78"/>
      <c r="AR545" s="78"/>
      <c r="AS545" s="78"/>
      <c r="AT545" s="91"/>
      <c r="AU545" s="78"/>
      <c r="AV545" s="78"/>
      <c r="AW545" s="78"/>
      <c r="AX545" s="78"/>
      <c r="AY545" s="78"/>
      <c r="AZ545" s="78"/>
      <c r="BA545" s="78"/>
      <c r="BB545" s="78"/>
      <c r="BC545" s="78"/>
      <c r="BD545" s="78"/>
      <c r="BE545" s="78"/>
      <c r="BF545" s="78"/>
      <c r="BG545" s="78"/>
      <c r="BH545" s="78"/>
      <c r="BI545" s="78"/>
      <c r="BJ545" s="78"/>
      <c r="BK545" s="78"/>
      <c r="BL545" s="78"/>
      <c r="BM545" s="78"/>
      <c r="BN545" s="78"/>
      <c r="BO545" s="78"/>
      <c r="BP545" s="78"/>
      <c r="BQ545" s="78"/>
      <c r="BR545" s="78"/>
      <c r="BS545" s="78"/>
      <c r="BT545" s="78"/>
      <c r="BU545" s="78"/>
      <c r="BV545" s="78"/>
      <c r="BW545" s="78"/>
      <c r="BX545" s="78"/>
      <c r="BY545" s="78"/>
      <c r="BZ545" s="78"/>
      <c r="CA545" s="78"/>
      <c r="CB545" s="78"/>
      <c r="CC545" s="78"/>
      <c r="CD545" s="78"/>
      <c r="CE545" s="78"/>
      <c r="CF545" s="78"/>
      <c r="CG545" s="78"/>
      <c r="CH545" s="78"/>
      <c r="CI545" s="78"/>
      <c r="CJ545" s="78"/>
      <c r="CK545" s="78"/>
      <c r="CL545" s="78"/>
      <c r="CM545" s="78"/>
      <c r="CN545" s="78"/>
      <c r="CO545" s="78"/>
      <c r="CP545" s="78"/>
      <c r="CQ545" s="78"/>
      <c r="CR545" s="78"/>
      <c r="CS545" s="78"/>
      <c r="CT545" s="78"/>
      <c r="CU545" s="78"/>
      <c r="CV545" s="78"/>
      <c r="CW545" s="78"/>
      <c r="CX545" s="78"/>
      <c r="CY545" s="78"/>
      <c r="CZ545" s="78"/>
      <c r="DA545" s="78"/>
      <c r="DB545" s="78"/>
      <c r="DC545" s="78"/>
      <c r="DD545" s="78"/>
      <c r="DE545" s="78"/>
      <c r="DF545" s="78"/>
      <c r="DG545" s="78"/>
      <c r="DH545" s="78"/>
      <c r="DI545" s="78"/>
      <c r="DJ545" s="78"/>
      <c r="DK545" s="78"/>
      <c r="DL545" s="78"/>
      <c r="DM545" s="78"/>
      <c r="DN545" s="78"/>
      <c r="DO545" s="78"/>
      <c r="DP545" s="78"/>
      <c r="DQ545" s="78"/>
      <c r="DR545" s="78"/>
      <c r="DS545" s="78"/>
      <c r="DT545" s="78"/>
      <c r="DU545" s="78"/>
      <c r="DV545" s="78"/>
      <c r="DW545" s="78"/>
      <c r="DX545" s="78"/>
      <c r="DY545" s="78"/>
      <c r="DZ545" s="78"/>
      <c r="EA545" s="78"/>
      <c r="EB545" s="78"/>
      <c r="EC545" s="78"/>
      <c r="ED545" s="78"/>
      <c r="EE545" s="78"/>
      <c r="EF545" s="78"/>
      <c r="EG545" s="78"/>
      <c r="EH545" s="78"/>
      <c r="EI545" s="91"/>
      <c r="EJ545" s="91"/>
      <c r="EK545" s="91"/>
      <c r="EL545" s="91"/>
      <c r="EM545" s="91"/>
      <c r="EN545" s="91"/>
      <c r="EO545" s="91"/>
      <c r="EP545" s="78"/>
      <c r="EQ545" s="78"/>
      <c r="ER545" s="78"/>
      <c r="ES545" s="78"/>
      <c r="ET545" s="78"/>
      <c r="EU545" s="78"/>
      <c r="EV545" s="78"/>
      <c r="EW545" s="78"/>
      <c r="EX545" s="78"/>
      <c r="EY545" s="78"/>
      <c r="EZ545" s="78"/>
      <c r="FA545" s="78"/>
      <c r="FB545" s="78"/>
      <c r="FC545" s="78"/>
      <c r="FD545" s="78"/>
      <c r="FE545" s="78"/>
      <c r="FF545" s="78"/>
      <c r="FG545" s="78"/>
      <c r="FH545" s="78"/>
      <c r="FI545" s="78"/>
      <c r="FJ545" s="78"/>
      <c r="FK545" s="78"/>
    </row>
    <row r="546" spans="1:167" hidden="1" outlineLevel="1">
      <c r="A546" s="29" t="str">
        <f t="shared" si="38"/>
        <v>lt003_entitydt_rfrnc</v>
      </c>
      <c r="B546" s="67" t="s">
        <v>26</v>
      </c>
      <c r="C546" s="68" t="s">
        <v>26</v>
      </c>
      <c r="D546" s="64" t="s">
        <v>40</v>
      </c>
      <c r="E546" s="70" t="s">
        <v>335</v>
      </c>
      <c r="F546" s="71" t="s">
        <v>398</v>
      </c>
      <c r="G546" s="64" t="str">
        <f>INDEX(Auxiliar!$B$16:$B$24,MATCH(Plano_V1!H546,Auxiliar!$C$16:$C$24,0),1)</f>
        <v>1. Concluído</v>
      </c>
      <c r="H546" s="64">
        <f>VLOOKUP(A546,'Aux - pivots1'!$A:$B,2,0)</f>
        <v>1</v>
      </c>
      <c r="I546" s="84">
        <f>SUMIFS(Table1[Estimação (horas)],Table1[Tabela],Plano_V1!E546,Table1[Campo],Plano_V1!F546)</f>
        <v>0.1</v>
      </c>
      <c r="J546" s="84">
        <f t="shared" si="39"/>
        <v>1.2500000000000001E-2</v>
      </c>
      <c r="K546" s="89" t="s">
        <v>399</v>
      </c>
      <c r="M546" s="78"/>
      <c r="N546" s="78"/>
      <c r="O546" s="78"/>
      <c r="P546" s="78"/>
      <c r="Q546" s="78"/>
      <c r="R546" s="78"/>
      <c r="S546" s="78"/>
      <c r="T546" s="78"/>
      <c r="U546" s="78"/>
      <c r="V546" s="78"/>
      <c r="W546" s="78"/>
      <c r="X546" s="78"/>
      <c r="Y546" s="78"/>
      <c r="Z546" s="78"/>
      <c r="AA546" s="78"/>
      <c r="AB546" s="78"/>
      <c r="AC546" s="78"/>
      <c r="AD546" s="78"/>
      <c r="AE546" s="78"/>
      <c r="AF546" s="78"/>
      <c r="AG546" s="78"/>
      <c r="AH546" s="78"/>
      <c r="AI546" s="78"/>
      <c r="AJ546" s="78"/>
      <c r="AK546" s="78"/>
      <c r="AL546" s="78"/>
      <c r="AM546" s="78"/>
      <c r="AN546" s="78"/>
      <c r="AO546" s="78"/>
      <c r="AP546" s="78"/>
      <c r="AQ546" s="78"/>
      <c r="AR546" s="78"/>
      <c r="AS546" s="78"/>
      <c r="AT546" s="91"/>
      <c r="AU546" s="78"/>
      <c r="AV546" s="78"/>
      <c r="AW546" s="78"/>
      <c r="AX546" s="78"/>
      <c r="AY546" s="78"/>
      <c r="AZ546" s="78"/>
      <c r="BA546" s="78"/>
      <c r="BB546" s="78"/>
      <c r="BC546" s="78"/>
      <c r="BD546" s="78"/>
      <c r="BE546" s="78"/>
      <c r="BF546" s="78"/>
      <c r="BG546" s="78"/>
      <c r="BH546" s="78"/>
      <c r="BI546" s="78"/>
      <c r="BJ546" s="78"/>
      <c r="BK546" s="78"/>
      <c r="BL546" s="78"/>
      <c r="BM546" s="78"/>
      <c r="BN546" s="78"/>
      <c r="BO546" s="78"/>
      <c r="BP546" s="78"/>
      <c r="BQ546" s="78"/>
      <c r="BR546" s="78"/>
      <c r="BS546" s="78"/>
      <c r="BT546" s="78"/>
      <c r="BU546" s="78"/>
      <c r="BV546" s="78"/>
      <c r="BW546" s="78"/>
      <c r="BX546" s="78"/>
      <c r="BY546" s="78"/>
      <c r="BZ546" s="78"/>
      <c r="CA546" s="78"/>
      <c r="CB546" s="78"/>
      <c r="CC546" s="78"/>
      <c r="CD546" s="78"/>
      <c r="CE546" s="78"/>
      <c r="CF546" s="78"/>
      <c r="CG546" s="78"/>
      <c r="CH546" s="78"/>
      <c r="CI546" s="78"/>
      <c r="CJ546" s="78"/>
      <c r="CK546" s="78"/>
      <c r="CL546" s="78"/>
      <c r="CM546" s="78"/>
      <c r="CN546" s="78"/>
      <c r="CO546" s="78"/>
      <c r="CP546" s="78"/>
      <c r="CQ546" s="78"/>
      <c r="CR546" s="78"/>
      <c r="CS546" s="78"/>
      <c r="CT546" s="78"/>
      <c r="CU546" s="78"/>
      <c r="CV546" s="78"/>
      <c r="CW546" s="78"/>
      <c r="CX546" s="78"/>
      <c r="CY546" s="78"/>
      <c r="CZ546" s="78"/>
      <c r="DA546" s="78"/>
      <c r="DB546" s="78"/>
      <c r="DC546" s="78"/>
      <c r="DD546" s="78"/>
      <c r="DE546" s="78"/>
      <c r="DF546" s="78"/>
      <c r="DG546" s="78"/>
      <c r="DH546" s="78"/>
      <c r="DI546" s="78"/>
      <c r="DJ546" s="78"/>
      <c r="DK546" s="78"/>
      <c r="DL546" s="78"/>
      <c r="DM546" s="78"/>
      <c r="DN546" s="78"/>
      <c r="DO546" s="78"/>
      <c r="DP546" s="78"/>
      <c r="DQ546" s="78"/>
      <c r="DR546" s="78"/>
      <c r="DS546" s="78"/>
      <c r="DT546" s="78"/>
      <c r="DU546" s="78"/>
      <c r="DV546" s="78"/>
      <c r="DW546" s="78"/>
      <c r="DX546" s="78"/>
      <c r="DY546" s="78"/>
      <c r="DZ546" s="78"/>
      <c r="EA546" s="78"/>
      <c r="EB546" s="78"/>
      <c r="EC546" s="78"/>
      <c r="ED546" s="78"/>
      <c r="EE546" s="78"/>
      <c r="EF546" s="78"/>
      <c r="EG546" s="78"/>
      <c r="EH546" s="78"/>
      <c r="EI546" s="91"/>
      <c r="EJ546" s="91"/>
      <c r="EK546" s="91"/>
      <c r="EL546" s="91"/>
      <c r="EM546" s="91"/>
      <c r="EN546" s="91"/>
      <c r="EO546" s="91"/>
      <c r="EP546" s="78"/>
      <c r="EQ546" s="78"/>
      <c r="ER546" s="78"/>
      <c r="ES546" s="78"/>
      <c r="ET546" s="78"/>
      <c r="EU546" s="78"/>
      <c r="EV546" s="78"/>
      <c r="EW546" s="78"/>
      <c r="EX546" s="78"/>
      <c r="EY546" s="78"/>
      <c r="EZ546" s="78"/>
      <c r="FA546" s="78"/>
      <c r="FB546" s="78"/>
      <c r="FC546" s="78"/>
      <c r="FD546" s="78"/>
      <c r="FE546" s="78"/>
      <c r="FF546" s="78"/>
      <c r="FG546" s="78"/>
      <c r="FH546" s="78"/>
      <c r="FI546" s="78"/>
      <c r="FJ546" s="78"/>
      <c r="FK546" s="78"/>
    </row>
    <row r="547" spans="1:167" hidden="1" outlineLevel="1">
      <c r="A547" s="29" t="str">
        <f t="shared" si="38"/>
        <v>lt003_entityentty_id</v>
      </c>
      <c r="B547" s="67" t="s">
        <v>26</v>
      </c>
      <c r="C547" s="68" t="s">
        <v>26</v>
      </c>
      <c r="D547" s="64" t="s">
        <v>40</v>
      </c>
      <c r="E547" s="70" t="s">
        <v>335</v>
      </c>
      <c r="F547" s="71" t="s">
        <v>425</v>
      </c>
      <c r="G547" s="64" t="str">
        <f>INDEX(Auxiliar!$B$16:$B$24,MATCH(Plano_V1!H547,Auxiliar!$C$16:$C$24,0),1)</f>
        <v>1. Concluído</v>
      </c>
      <c r="H547" s="64">
        <f>VLOOKUP(A547,'Aux - pivots1'!$A:$B,2,0)</f>
        <v>1</v>
      </c>
      <c r="I547" s="84">
        <f>SUMIFS(Table1[Estimação (horas)],Table1[Tabela],Plano_V1!E547,Table1[Campo],Plano_V1!F547)</f>
        <v>0.1</v>
      </c>
      <c r="J547" s="84">
        <f t="shared" si="39"/>
        <v>1.2500000000000001E-2</v>
      </c>
      <c r="K547" s="89" t="s">
        <v>399</v>
      </c>
      <c r="M547" s="78"/>
      <c r="N547" s="78"/>
      <c r="O547" s="78"/>
      <c r="P547" s="78"/>
      <c r="Q547" s="78"/>
      <c r="R547" s="78"/>
      <c r="S547" s="78"/>
      <c r="T547" s="78"/>
      <c r="U547" s="78"/>
      <c r="V547" s="78"/>
      <c r="W547" s="78"/>
      <c r="X547" s="78"/>
      <c r="Y547" s="78"/>
      <c r="Z547" s="78"/>
      <c r="AA547" s="78"/>
      <c r="AB547" s="78"/>
      <c r="AC547" s="78"/>
      <c r="AD547" s="78"/>
      <c r="AE547" s="78"/>
      <c r="AF547" s="78"/>
      <c r="AG547" s="78"/>
      <c r="AH547" s="78"/>
      <c r="AI547" s="78"/>
      <c r="AJ547" s="78"/>
      <c r="AK547" s="78"/>
      <c r="AL547" s="78"/>
      <c r="AM547" s="78"/>
      <c r="AN547" s="78"/>
      <c r="AO547" s="78"/>
      <c r="AP547" s="78"/>
      <c r="AQ547" s="78"/>
      <c r="AR547" s="78"/>
      <c r="AS547" s="78"/>
      <c r="AT547" s="91"/>
      <c r="AU547" s="78"/>
      <c r="AV547" s="78"/>
      <c r="AW547" s="78"/>
      <c r="AX547" s="78"/>
      <c r="AY547" s="78"/>
      <c r="AZ547" s="78"/>
      <c r="BA547" s="78"/>
      <c r="BB547" s="78"/>
      <c r="BC547" s="78"/>
      <c r="BD547" s="78"/>
      <c r="BE547" s="78"/>
      <c r="BF547" s="78"/>
      <c r="BG547" s="78"/>
      <c r="BH547" s="78"/>
      <c r="BI547" s="78"/>
      <c r="BJ547" s="78"/>
      <c r="BK547" s="78"/>
      <c r="BL547" s="78"/>
      <c r="BM547" s="78"/>
      <c r="BN547" s="78"/>
      <c r="BO547" s="78"/>
      <c r="BP547" s="78"/>
      <c r="BQ547" s="78"/>
      <c r="BR547" s="78"/>
      <c r="BS547" s="78"/>
      <c r="BT547" s="78"/>
      <c r="BU547" s="78"/>
      <c r="BV547" s="78"/>
      <c r="BW547" s="78"/>
      <c r="BX547" s="78"/>
      <c r="BY547" s="78"/>
      <c r="BZ547" s="78"/>
      <c r="CA547" s="78"/>
      <c r="CB547" s="78"/>
      <c r="CC547" s="78"/>
      <c r="CD547" s="78"/>
      <c r="CE547" s="78"/>
      <c r="CF547" s="78"/>
      <c r="CG547" s="78"/>
      <c r="CH547" s="78"/>
      <c r="CI547" s="78"/>
      <c r="CJ547" s="78"/>
      <c r="CK547" s="78"/>
      <c r="CL547" s="78"/>
      <c r="CM547" s="78"/>
      <c r="CN547" s="78"/>
      <c r="CO547" s="78"/>
      <c r="CP547" s="78"/>
      <c r="CQ547" s="78"/>
      <c r="CR547" s="78"/>
      <c r="CS547" s="78"/>
      <c r="CT547" s="78"/>
      <c r="CU547" s="78"/>
      <c r="CV547" s="78"/>
      <c r="CW547" s="78"/>
      <c r="CX547" s="78"/>
      <c r="CY547" s="78"/>
      <c r="CZ547" s="78"/>
      <c r="DA547" s="78"/>
      <c r="DB547" s="78"/>
      <c r="DC547" s="78"/>
      <c r="DD547" s="78"/>
      <c r="DE547" s="78"/>
      <c r="DF547" s="78"/>
      <c r="DG547" s="78"/>
      <c r="DH547" s="78"/>
      <c r="DI547" s="78"/>
      <c r="DJ547" s="78"/>
      <c r="DK547" s="78"/>
      <c r="DL547" s="78"/>
      <c r="DM547" s="78"/>
      <c r="DN547" s="78"/>
      <c r="DO547" s="78"/>
      <c r="DP547" s="78"/>
      <c r="DQ547" s="78"/>
      <c r="DR547" s="78"/>
      <c r="DS547" s="78"/>
      <c r="DT547" s="78"/>
      <c r="DU547" s="78"/>
      <c r="DV547" s="78"/>
      <c r="DW547" s="78"/>
      <c r="DX547" s="78"/>
      <c r="DY547" s="78"/>
      <c r="DZ547" s="78"/>
      <c r="EA547" s="78"/>
      <c r="EB547" s="78"/>
      <c r="EC547" s="78"/>
      <c r="ED547" s="78"/>
      <c r="EE547" s="78"/>
      <c r="EF547" s="78"/>
      <c r="EG547" s="78"/>
      <c r="EH547" s="78"/>
      <c r="EI547" s="91"/>
      <c r="EJ547" s="91"/>
      <c r="EK547" s="91"/>
      <c r="EL547" s="91"/>
      <c r="EM547" s="91"/>
      <c r="EN547" s="91"/>
      <c r="EO547" s="91"/>
      <c r="EP547" s="78"/>
      <c r="EQ547" s="78"/>
      <c r="ER547" s="78"/>
      <c r="ES547" s="78"/>
      <c r="ET547" s="78"/>
      <c r="EU547" s="78"/>
      <c r="EV547" s="78"/>
      <c r="EW547" s="78"/>
      <c r="EX547" s="78"/>
      <c r="EY547" s="78"/>
      <c r="EZ547" s="78"/>
      <c r="FA547" s="78"/>
      <c r="FB547" s="78"/>
      <c r="FC547" s="78"/>
      <c r="FD547" s="78"/>
      <c r="FE547" s="78"/>
      <c r="FF547" s="78"/>
      <c r="FG547" s="78"/>
      <c r="FH547" s="78"/>
      <c r="FI547" s="78"/>
      <c r="FJ547" s="78"/>
      <c r="FK547" s="78"/>
    </row>
    <row r="548" spans="1:167" hidden="1" outlineLevel="1">
      <c r="A548" s="29" t="str">
        <f t="shared" si="38"/>
        <v>lt003_entitylei</v>
      </c>
      <c r="B548" s="67" t="s">
        <v>26</v>
      </c>
      <c r="C548" s="68" t="s">
        <v>26</v>
      </c>
      <c r="D548" s="64" t="s">
        <v>40</v>
      </c>
      <c r="E548" s="70" t="s">
        <v>335</v>
      </c>
      <c r="F548" s="71" t="s">
        <v>426</v>
      </c>
      <c r="G548" s="64" t="str">
        <f>INDEX(Auxiliar!$B$16:$B$24,MATCH(Plano_V1!H548,Auxiliar!$C$16:$C$24,0),1)</f>
        <v>1. Concluído</v>
      </c>
      <c r="H548" s="64">
        <f>VLOOKUP(A548,'Aux - pivots1'!$A:$B,2,0)</f>
        <v>1</v>
      </c>
      <c r="I548" s="84">
        <f>SUMIFS(Table1[Estimação (horas)],Table1[Tabela],Plano_V1!E548,Table1[Campo],Plano_V1!F548)</f>
        <v>0.1</v>
      </c>
      <c r="J548" s="84">
        <f t="shared" si="39"/>
        <v>1.2500000000000001E-2</v>
      </c>
      <c r="K548" s="89" t="s">
        <v>399</v>
      </c>
      <c r="M548" s="78"/>
      <c r="N548" s="78"/>
      <c r="O548" s="78"/>
      <c r="P548" s="78"/>
      <c r="Q548" s="78"/>
      <c r="R548" s="78"/>
      <c r="S548" s="78"/>
      <c r="T548" s="78"/>
      <c r="U548" s="78"/>
      <c r="V548" s="78"/>
      <c r="W548" s="78"/>
      <c r="X548" s="78"/>
      <c r="Y548" s="78"/>
      <c r="Z548" s="78"/>
      <c r="AA548" s="78"/>
      <c r="AB548" s="78"/>
      <c r="AC548" s="78"/>
      <c r="AD548" s="78"/>
      <c r="AE548" s="78"/>
      <c r="AF548" s="78"/>
      <c r="AG548" s="78"/>
      <c r="AH548" s="78"/>
      <c r="AI548" s="78"/>
      <c r="AJ548" s="78"/>
      <c r="AK548" s="78"/>
      <c r="AL548" s="78"/>
      <c r="AM548" s="78"/>
      <c r="AN548" s="78"/>
      <c r="AO548" s="78"/>
      <c r="AP548" s="78"/>
      <c r="AQ548" s="78"/>
      <c r="AR548" s="78"/>
      <c r="AS548" s="78"/>
      <c r="AT548" s="91"/>
      <c r="AU548" s="78"/>
      <c r="AV548" s="78"/>
      <c r="AW548" s="78"/>
      <c r="AX548" s="78"/>
      <c r="AY548" s="78"/>
      <c r="AZ548" s="78"/>
      <c r="BA548" s="78"/>
      <c r="BB548" s="78"/>
      <c r="BC548" s="78"/>
      <c r="BD548" s="78"/>
      <c r="BE548" s="78"/>
      <c r="BF548" s="78"/>
      <c r="BG548" s="78"/>
      <c r="BH548" s="78"/>
      <c r="BI548" s="78"/>
      <c r="BJ548" s="78"/>
      <c r="BK548" s="78"/>
      <c r="BL548" s="78"/>
      <c r="BM548" s="78"/>
      <c r="BN548" s="78"/>
      <c r="BO548" s="78"/>
      <c r="BP548" s="78"/>
      <c r="BQ548" s="78"/>
      <c r="BR548" s="78"/>
      <c r="BS548" s="78"/>
      <c r="BT548" s="78"/>
      <c r="BU548" s="78"/>
      <c r="BV548" s="78"/>
      <c r="BW548" s="78"/>
      <c r="BX548" s="78"/>
      <c r="BY548" s="78"/>
      <c r="BZ548" s="78"/>
      <c r="CA548" s="78"/>
      <c r="CB548" s="78"/>
      <c r="CC548" s="78"/>
      <c r="CD548" s="78"/>
      <c r="CE548" s="78"/>
      <c r="CF548" s="78"/>
      <c r="CG548" s="78"/>
      <c r="CH548" s="78"/>
      <c r="CI548" s="78"/>
      <c r="CJ548" s="78"/>
      <c r="CK548" s="78"/>
      <c r="CL548" s="78"/>
      <c r="CM548" s="78"/>
      <c r="CN548" s="78"/>
      <c r="CO548" s="78"/>
      <c r="CP548" s="78"/>
      <c r="CQ548" s="78"/>
      <c r="CR548" s="78"/>
      <c r="CS548" s="78"/>
      <c r="CT548" s="78"/>
      <c r="CU548" s="78"/>
      <c r="CV548" s="78"/>
      <c r="CW548" s="78"/>
      <c r="CX548" s="78"/>
      <c r="CY548" s="78"/>
      <c r="CZ548" s="78"/>
      <c r="DA548" s="78"/>
      <c r="DB548" s="78"/>
      <c r="DC548" s="78"/>
      <c r="DD548" s="78"/>
      <c r="DE548" s="78"/>
      <c r="DF548" s="78"/>
      <c r="DG548" s="78"/>
      <c r="DH548" s="78"/>
      <c r="DI548" s="78"/>
      <c r="DJ548" s="78"/>
      <c r="DK548" s="78"/>
      <c r="DL548" s="78"/>
      <c r="DM548" s="78"/>
      <c r="DN548" s="78"/>
      <c r="DO548" s="78"/>
      <c r="DP548" s="78"/>
      <c r="DQ548" s="78"/>
      <c r="DR548" s="78"/>
      <c r="DS548" s="78"/>
      <c r="DT548" s="78"/>
      <c r="DU548" s="78"/>
      <c r="DV548" s="78"/>
      <c r="DW548" s="78"/>
      <c r="DX548" s="78"/>
      <c r="DY548" s="78"/>
      <c r="DZ548" s="78"/>
      <c r="EA548" s="78"/>
      <c r="EB548" s="78"/>
      <c r="EC548" s="78"/>
      <c r="ED548" s="78"/>
      <c r="EE548" s="78"/>
      <c r="EF548" s="78"/>
      <c r="EG548" s="78"/>
      <c r="EH548" s="78"/>
      <c r="EI548" s="91"/>
      <c r="EJ548" s="91"/>
      <c r="EK548" s="91"/>
      <c r="EL548" s="91"/>
      <c r="EM548" s="91"/>
      <c r="EN548" s="91"/>
      <c r="EO548" s="91"/>
      <c r="EP548" s="78"/>
      <c r="EQ548" s="78"/>
      <c r="ER548" s="78"/>
      <c r="ES548" s="78"/>
      <c r="ET548" s="78"/>
      <c r="EU548" s="78"/>
      <c r="EV548" s="78"/>
      <c r="EW548" s="78"/>
      <c r="EX548" s="78"/>
      <c r="EY548" s="78"/>
      <c r="EZ548" s="78"/>
      <c r="FA548" s="78"/>
      <c r="FB548" s="78"/>
      <c r="FC548" s="78"/>
      <c r="FD548" s="78"/>
      <c r="FE548" s="78"/>
      <c r="FF548" s="78"/>
      <c r="FG548" s="78"/>
      <c r="FH548" s="78"/>
      <c r="FI548" s="78"/>
      <c r="FJ548" s="78"/>
      <c r="FK548" s="78"/>
    </row>
    <row r="549" spans="1:167" hidden="1" outlineLevel="1">
      <c r="A549" s="29" t="str">
        <f t="shared" si="38"/>
        <v>lt003_entityecnmc_actvty</v>
      </c>
      <c r="B549" s="67" t="s">
        <v>26</v>
      </c>
      <c r="C549" s="68" t="s">
        <v>26</v>
      </c>
      <c r="D549" s="64" t="s">
        <v>40</v>
      </c>
      <c r="E549" s="70" t="s">
        <v>335</v>
      </c>
      <c r="F549" s="71" t="s">
        <v>427</v>
      </c>
      <c r="G549" s="64" t="str">
        <f>INDEX(Auxiliar!$B$16:$B$24,MATCH(Plano_V1!H549,Auxiliar!$C$16:$C$24,0),1)</f>
        <v>1. Concluído</v>
      </c>
      <c r="H549" s="64">
        <f>VLOOKUP(A549,'Aux - pivots1'!$A:$B,2,0)</f>
        <v>1</v>
      </c>
      <c r="I549" s="84">
        <f>SUMIFS(Table1[Estimação (horas)],Table1[Tabela],Plano_V1!E549,Table1[Campo],Plano_V1!F549)</f>
        <v>0.1</v>
      </c>
      <c r="J549" s="84">
        <f t="shared" si="39"/>
        <v>1.2500000000000001E-2</v>
      </c>
      <c r="K549" s="89" t="s">
        <v>399</v>
      </c>
      <c r="M549" s="78"/>
      <c r="N549" s="78"/>
      <c r="O549" s="78"/>
      <c r="P549" s="78"/>
      <c r="Q549" s="78"/>
      <c r="R549" s="78"/>
      <c r="S549" s="78"/>
      <c r="T549" s="78"/>
      <c r="U549" s="78"/>
      <c r="V549" s="78"/>
      <c r="W549" s="78"/>
      <c r="X549" s="78"/>
      <c r="Y549" s="78"/>
      <c r="Z549" s="78"/>
      <c r="AA549" s="78"/>
      <c r="AB549" s="78"/>
      <c r="AC549" s="78"/>
      <c r="AD549" s="78"/>
      <c r="AE549" s="78"/>
      <c r="AF549" s="78"/>
      <c r="AG549" s="78"/>
      <c r="AH549" s="78"/>
      <c r="AI549" s="78"/>
      <c r="AJ549" s="78"/>
      <c r="AK549" s="78"/>
      <c r="AL549" s="78"/>
      <c r="AM549" s="78"/>
      <c r="AN549" s="78"/>
      <c r="AO549" s="78"/>
      <c r="AP549" s="78"/>
      <c r="AQ549" s="78"/>
      <c r="AR549" s="78"/>
      <c r="AS549" s="78"/>
      <c r="AT549" s="91"/>
      <c r="AU549" s="78"/>
      <c r="AV549" s="78"/>
      <c r="AW549" s="78"/>
      <c r="AX549" s="78"/>
      <c r="AY549" s="78"/>
      <c r="AZ549" s="78"/>
      <c r="BA549" s="78"/>
      <c r="BB549" s="78"/>
      <c r="BC549" s="78"/>
      <c r="BD549" s="78"/>
      <c r="BE549" s="78"/>
      <c r="BF549" s="78"/>
      <c r="BG549" s="78"/>
      <c r="BH549" s="78"/>
      <c r="BI549" s="78"/>
      <c r="BJ549" s="78"/>
      <c r="BK549" s="78"/>
      <c r="BL549" s="78"/>
      <c r="BM549" s="78"/>
      <c r="BN549" s="78"/>
      <c r="BO549" s="78"/>
      <c r="BP549" s="78"/>
      <c r="BQ549" s="78"/>
      <c r="BR549" s="78"/>
      <c r="BS549" s="78"/>
      <c r="BT549" s="78"/>
      <c r="BU549" s="78"/>
      <c r="BV549" s="78"/>
      <c r="BW549" s="78"/>
      <c r="BX549" s="78"/>
      <c r="BY549" s="78"/>
      <c r="BZ549" s="78"/>
      <c r="CA549" s="78"/>
      <c r="CB549" s="78"/>
      <c r="CC549" s="78"/>
      <c r="CD549" s="78"/>
      <c r="CE549" s="78"/>
      <c r="CF549" s="78"/>
      <c r="CG549" s="78"/>
      <c r="CH549" s="78"/>
      <c r="CI549" s="78"/>
      <c r="CJ549" s="78"/>
      <c r="CK549" s="78"/>
      <c r="CL549" s="78"/>
      <c r="CM549" s="78"/>
      <c r="CN549" s="78"/>
      <c r="CO549" s="78"/>
      <c r="CP549" s="78"/>
      <c r="CQ549" s="78"/>
      <c r="CR549" s="78"/>
      <c r="CS549" s="78"/>
      <c r="CT549" s="78"/>
      <c r="CU549" s="78"/>
      <c r="CV549" s="78"/>
      <c r="CW549" s="78"/>
      <c r="CX549" s="78"/>
      <c r="CY549" s="78"/>
      <c r="CZ549" s="78"/>
      <c r="DA549" s="78"/>
      <c r="DB549" s="78"/>
      <c r="DC549" s="78"/>
      <c r="DD549" s="78"/>
      <c r="DE549" s="78"/>
      <c r="DF549" s="78"/>
      <c r="DG549" s="78"/>
      <c r="DH549" s="78"/>
      <c r="DI549" s="78"/>
      <c r="DJ549" s="78"/>
      <c r="DK549" s="78"/>
      <c r="DL549" s="78"/>
      <c r="DM549" s="78"/>
      <c r="DN549" s="78"/>
      <c r="DO549" s="78"/>
      <c r="DP549" s="78"/>
      <c r="DQ549" s="78"/>
      <c r="DR549" s="78"/>
      <c r="DS549" s="78"/>
      <c r="DT549" s="78"/>
      <c r="DU549" s="78"/>
      <c r="DV549" s="78"/>
      <c r="DW549" s="78"/>
      <c r="DX549" s="78"/>
      <c r="DY549" s="78"/>
      <c r="DZ549" s="78"/>
      <c r="EA549" s="78"/>
      <c r="EB549" s="78"/>
      <c r="EC549" s="78"/>
      <c r="ED549" s="78"/>
      <c r="EE549" s="78"/>
      <c r="EF549" s="78"/>
      <c r="EG549" s="78"/>
      <c r="EH549" s="78"/>
      <c r="EI549" s="91"/>
      <c r="EJ549" s="91"/>
      <c r="EK549" s="91"/>
      <c r="EL549" s="91"/>
      <c r="EM549" s="91"/>
      <c r="EN549" s="91"/>
      <c r="EO549" s="91"/>
      <c r="EP549" s="78"/>
      <c r="EQ549" s="78"/>
      <c r="ER549" s="78"/>
      <c r="ES549" s="78"/>
      <c r="ET549" s="78"/>
      <c r="EU549" s="78"/>
      <c r="EV549" s="78"/>
      <c r="EW549" s="78"/>
      <c r="EX549" s="78"/>
      <c r="EY549" s="78"/>
      <c r="EZ549" s="78"/>
      <c r="FA549" s="78"/>
      <c r="FB549" s="78"/>
      <c r="FC549" s="78"/>
      <c r="FD549" s="78"/>
      <c r="FE549" s="78"/>
      <c r="FF549" s="78"/>
      <c r="FG549" s="78"/>
      <c r="FH549" s="78"/>
      <c r="FI549" s="78"/>
      <c r="FJ549" s="78"/>
      <c r="FK549" s="78"/>
    </row>
    <row r="550" spans="1:167" hidden="1" outlineLevel="1">
      <c r="A550" s="29" t="str">
        <f t="shared" si="38"/>
        <v>lt003_entitygrp_eqty</v>
      </c>
      <c r="B550" s="67" t="s">
        <v>26</v>
      </c>
      <c r="C550" s="68" t="s">
        <v>26</v>
      </c>
      <c r="D550" s="64" t="s">
        <v>40</v>
      </c>
      <c r="E550" s="70" t="s">
        <v>335</v>
      </c>
      <c r="F550" s="71" t="s">
        <v>428</v>
      </c>
      <c r="G550" s="64" t="str">
        <f>INDEX(Auxiliar!$B$16:$B$24,MATCH(Plano_V1!H550,Auxiliar!$C$16:$C$24,0),1)</f>
        <v>1. Concluído</v>
      </c>
      <c r="H550" s="64">
        <f>VLOOKUP(A550,'Aux - pivots1'!$A:$B,2,0)</f>
        <v>1</v>
      </c>
      <c r="I550" s="84">
        <f>SUMIFS(Table1[Estimação (horas)],Table1[Tabela],Plano_V1!E550,Table1[Campo],Plano_V1!F550)</f>
        <v>0.1</v>
      </c>
      <c r="J550" s="84">
        <f t="shared" si="39"/>
        <v>1.2500000000000001E-2</v>
      </c>
      <c r="K550" s="89" t="s">
        <v>399</v>
      </c>
      <c r="M550" s="78"/>
      <c r="N550" s="78"/>
      <c r="O550" s="78"/>
      <c r="P550" s="78"/>
      <c r="Q550" s="78"/>
      <c r="R550" s="78"/>
      <c r="S550" s="78"/>
      <c r="T550" s="78"/>
      <c r="U550" s="78"/>
      <c r="V550" s="78"/>
      <c r="W550" s="78"/>
      <c r="X550" s="78"/>
      <c r="Y550" s="78"/>
      <c r="Z550" s="78"/>
      <c r="AA550" s="78"/>
      <c r="AB550" s="78"/>
      <c r="AC550" s="78"/>
      <c r="AD550" s="78"/>
      <c r="AE550" s="78"/>
      <c r="AF550" s="78"/>
      <c r="AG550" s="78"/>
      <c r="AH550" s="78"/>
      <c r="AI550" s="78"/>
      <c r="AJ550" s="78"/>
      <c r="AK550" s="78"/>
      <c r="AL550" s="78"/>
      <c r="AM550" s="78"/>
      <c r="AN550" s="78"/>
      <c r="AO550" s="78"/>
      <c r="AP550" s="78"/>
      <c r="AQ550" s="78"/>
      <c r="AR550" s="78"/>
      <c r="AS550" s="78"/>
      <c r="AT550" s="91"/>
      <c r="AU550" s="78"/>
      <c r="AV550" s="78"/>
      <c r="AW550" s="78"/>
      <c r="AX550" s="78"/>
      <c r="AY550" s="78"/>
      <c r="AZ550" s="78"/>
      <c r="BA550" s="78"/>
      <c r="BB550" s="78"/>
      <c r="BC550" s="78"/>
      <c r="BD550" s="78"/>
      <c r="BE550" s="78"/>
      <c r="BF550" s="78"/>
      <c r="BG550" s="78"/>
      <c r="BH550" s="78"/>
      <c r="BI550" s="78"/>
      <c r="BJ550" s="78"/>
      <c r="BK550" s="78"/>
      <c r="BL550" s="78"/>
      <c r="BM550" s="78"/>
      <c r="BN550" s="78"/>
      <c r="BO550" s="78"/>
      <c r="BP550" s="78"/>
      <c r="BQ550" s="78"/>
      <c r="BR550" s="78"/>
      <c r="BS550" s="78"/>
      <c r="BT550" s="78"/>
      <c r="BU550" s="78"/>
      <c r="BV550" s="78"/>
      <c r="BW550" s="78"/>
      <c r="BX550" s="78"/>
      <c r="BY550" s="78"/>
      <c r="BZ550" s="78"/>
      <c r="CA550" s="78"/>
      <c r="CB550" s="78"/>
      <c r="CC550" s="78"/>
      <c r="CD550" s="78"/>
      <c r="CE550" s="78"/>
      <c r="CF550" s="78"/>
      <c r="CG550" s="78"/>
      <c r="CH550" s="78"/>
      <c r="CI550" s="78"/>
      <c r="CJ550" s="78"/>
      <c r="CK550" s="78"/>
      <c r="CL550" s="78"/>
      <c r="CM550" s="78"/>
      <c r="CN550" s="78"/>
      <c r="CO550" s="78"/>
      <c r="CP550" s="78"/>
      <c r="CQ550" s="78"/>
      <c r="CR550" s="78"/>
      <c r="CS550" s="78"/>
      <c r="CT550" s="78"/>
      <c r="CU550" s="78"/>
      <c r="CV550" s="78"/>
      <c r="CW550" s="78"/>
      <c r="CX550" s="78"/>
      <c r="CY550" s="78"/>
      <c r="CZ550" s="78"/>
      <c r="DA550" s="78"/>
      <c r="DB550" s="78"/>
      <c r="DC550" s="78"/>
      <c r="DD550" s="78"/>
      <c r="DE550" s="78"/>
      <c r="DF550" s="78"/>
      <c r="DG550" s="78"/>
      <c r="DH550" s="78"/>
      <c r="DI550" s="78"/>
      <c r="DJ550" s="78"/>
      <c r="DK550" s="78"/>
      <c r="DL550" s="78"/>
      <c r="DM550" s="78"/>
      <c r="DN550" s="78"/>
      <c r="DO550" s="78"/>
      <c r="DP550" s="78"/>
      <c r="DQ550" s="78"/>
      <c r="DR550" s="78"/>
      <c r="DS550" s="78"/>
      <c r="DT550" s="78"/>
      <c r="DU550" s="78"/>
      <c r="DV550" s="78"/>
      <c r="DW550" s="78"/>
      <c r="DX550" s="78"/>
      <c r="DY550" s="78"/>
      <c r="DZ550" s="78"/>
      <c r="EA550" s="78"/>
      <c r="EB550" s="78"/>
      <c r="EC550" s="78"/>
      <c r="ED550" s="78"/>
      <c r="EE550" s="78"/>
      <c r="EF550" s="78"/>
      <c r="EG550" s="78"/>
      <c r="EH550" s="78"/>
      <c r="EI550" s="91"/>
      <c r="EJ550" s="91"/>
      <c r="EK550" s="91"/>
      <c r="EL550" s="91"/>
      <c r="EM550" s="91"/>
      <c r="EN550" s="91"/>
      <c r="EO550" s="91"/>
      <c r="EP550" s="78"/>
      <c r="EQ550" s="78"/>
      <c r="ER550" s="78"/>
      <c r="ES550" s="78"/>
      <c r="ET550" s="78"/>
      <c r="EU550" s="78"/>
      <c r="EV550" s="78"/>
      <c r="EW550" s="78"/>
      <c r="EX550" s="78"/>
      <c r="EY550" s="78"/>
      <c r="EZ550" s="78"/>
      <c r="FA550" s="78"/>
      <c r="FB550" s="78"/>
      <c r="FC550" s="78"/>
      <c r="FD550" s="78"/>
      <c r="FE550" s="78"/>
      <c r="FF550" s="78"/>
      <c r="FG550" s="78"/>
      <c r="FH550" s="78"/>
      <c r="FI550" s="78"/>
      <c r="FJ550" s="78"/>
      <c r="FK550" s="78"/>
    </row>
    <row r="551" spans="1:167" hidden="1" outlineLevel="1">
      <c r="A551" s="29" t="str">
        <f t="shared" si="38"/>
        <v>lt003_entityannl_trnvr_le</v>
      </c>
      <c r="B551" s="67" t="s">
        <v>26</v>
      </c>
      <c r="C551" s="68" t="s">
        <v>26</v>
      </c>
      <c r="D551" s="64" t="s">
        <v>40</v>
      </c>
      <c r="E551" s="70" t="s">
        <v>335</v>
      </c>
      <c r="F551" s="71" t="s">
        <v>429</v>
      </c>
      <c r="G551" s="64" t="str">
        <f>INDEX(Auxiliar!$B$16:$B$24,MATCH(Plano_V1!H551,Auxiliar!$C$16:$C$24,0),1)</f>
        <v>1. Concluído</v>
      </c>
      <c r="H551" s="64">
        <f>VLOOKUP(A551,'Aux - pivots1'!$A:$B,2,0)</f>
        <v>1</v>
      </c>
      <c r="I551" s="84">
        <f>SUMIFS(Table1[Estimação (horas)],Table1[Tabela],Plano_V1!E551,Table1[Campo],Plano_V1!F551)</f>
        <v>0.1</v>
      </c>
      <c r="J551" s="84">
        <f t="shared" si="39"/>
        <v>1.2500000000000001E-2</v>
      </c>
      <c r="K551" s="89" t="s">
        <v>399</v>
      </c>
      <c r="M551" s="78"/>
      <c r="N551" s="78"/>
      <c r="O551" s="78"/>
      <c r="P551" s="78"/>
      <c r="Q551" s="78"/>
      <c r="R551" s="78"/>
      <c r="S551" s="78"/>
      <c r="T551" s="78"/>
      <c r="U551" s="78"/>
      <c r="V551" s="78"/>
      <c r="W551" s="78"/>
      <c r="X551" s="78"/>
      <c r="Y551" s="78"/>
      <c r="Z551" s="78"/>
      <c r="AA551" s="78"/>
      <c r="AB551" s="78"/>
      <c r="AC551" s="78"/>
      <c r="AD551" s="78"/>
      <c r="AE551" s="78"/>
      <c r="AF551" s="78"/>
      <c r="AG551" s="78"/>
      <c r="AH551" s="78"/>
      <c r="AI551" s="78"/>
      <c r="AJ551" s="78"/>
      <c r="AK551" s="78"/>
      <c r="AL551" s="78"/>
      <c r="AM551" s="78"/>
      <c r="AN551" s="78"/>
      <c r="AO551" s="78"/>
      <c r="AP551" s="78"/>
      <c r="AQ551" s="78"/>
      <c r="AR551" s="78"/>
      <c r="AS551" s="78"/>
      <c r="AT551" s="91"/>
      <c r="AU551" s="78"/>
      <c r="AV551" s="78"/>
      <c r="AW551" s="78"/>
      <c r="AX551" s="78"/>
      <c r="AY551" s="78"/>
      <c r="AZ551" s="78"/>
      <c r="BA551" s="78"/>
      <c r="BB551" s="78"/>
      <c r="BC551" s="78"/>
      <c r="BD551" s="78"/>
      <c r="BE551" s="78"/>
      <c r="BF551" s="78"/>
      <c r="BG551" s="78"/>
      <c r="BH551" s="78"/>
      <c r="BI551" s="78"/>
      <c r="BJ551" s="78"/>
      <c r="BK551" s="78"/>
      <c r="BL551" s="78"/>
      <c r="BM551" s="78"/>
      <c r="BN551" s="78"/>
      <c r="BO551" s="78"/>
      <c r="BP551" s="78"/>
      <c r="BQ551" s="78"/>
      <c r="BR551" s="78"/>
      <c r="BS551" s="78"/>
      <c r="BT551" s="78"/>
      <c r="BU551" s="78"/>
      <c r="BV551" s="78"/>
      <c r="BW551" s="78"/>
      <c r="BX551" s="78"/>
      <c r="BY551" s="78"/>
      <c r="BZ551" s="78"/>
      <c r="CA551" s="78"/>
      <c r="CB551" s="78"/>
      <c r="CC551" s="78"/>
      <c r="CD551" s="78"/>
      <c r="CE551" s="78"/>
      <c r="CF551" s="78"/>
      <c r="CG551" s="78"/>
      <c r="CH551" s="78"/>
      <c r="CI551" s="78"/>
      <c r="CJ551" s="78"/>
      <c r="CK551" s="78"/>
      <c r="CL551" s="78"/>
      <c r="CM551" s="78"/>
      <c r="CN551" s="78"/>
      <c r="CO551" s="78"/>
      <c r="CP551" s="78"/>
      <c r="CQ551" s="78"/>
      <c r="CR551" s="78"/>
      <c r="CS551" s="78"/>
      <c r="CT551" s="78"/>
      <c r="CU551" s="78"/>
      <c r="CV551" s="78"/>
      <c r="CW551" s="78"/>
      <c r="CX551" s="78"/>
      <c r="CY551" s="78"/>
      <c r="CZ551" s="78"/>
      <c r="DA551" s="78"/>
      <c r="DB551" s="78"/>
      <c r="DC551" s="78"/>
      <c r="DD551" s="78"/>
      <c r="DE551" s="78"/>
      <c r="DF551" s="78"/>
      <c r="DG551" s="78"/>
      <c r="DH551" s="78"/>
      <c r="DI551" s="78"/>
      <c r="DJ551" s="78"/>
      <c r="DK551" s="78"/>
      <c r="DL551" s="78"/>
      <c r="DM551" s="78"/>
      <c r="DN551" s="78"/>
      <c r="DO551" s="78"/>
      <c r="DP551" s="78"/>
      <c r="DQ551" s="78"/>
      <c r="DR551" s="78"/>
      <c r="DS551" s="78"/>
      <c r="DT551" s="78"/>
      <c r="DU551" s="78"/>
      <c r="DV551" s="78"/>
      <c r="DW551" s="78"/>
      <c r="DX551" s="78"/>
      <c r="DY551" s="78"/>
      <c r="DZ551" s="78"/>
      <c r="EA551" s="78"/>
      <c r="EB551" s="78"/>
      <c r="EC551" s="78"/>
      <c r="ED551" s="78"/>
      <c r="EE551" s="78"/>
      <c r="EF551" s="78"/>
      <c r="EG551" s="78"/>
      <c r="EH551" s="78"/>
      <c r="EI551" s="91"/>
      <c r="EJ551" s="91"/>
      <c r="EK551" s="91"/>
      <c r="EL551" s="91"/>
      <c r="EM551" s="91"/>
      <c r="EN551" s="91"/>
      <c r="EO551" s="91"/>
      <c r="EP551" s="78"/>
      <c r="EQ551" s="78"/>
      <c r="ER551" s="78"/>
      <c r="ES551" s="78"/>
      <c r="ET551" s="78"/>
      <c r="EU551" s="78"/>
      <c r="EV551" s="78"/>
      <c r="EW551" s="78"/>
      <c r="EX551" s="78"/>
      <c r="EY551" s="78"/>
      <c r="EZ551" s="78"/>
      <c r="FA551" s="78"/>
      <c r="FB551" s="78"/>
      <c r="FC551" s="78"/>
      <c r="FD551" s="78"/>
      <c r="FE551" s="78"/>
      <c r="FF551" s="78"/>
      <c r="FG551" s="78"/>
      <c r="FH551" s="78"/>
      <c r="FI551" s="78"/>
      <c r="FJ551" s="78"/>
      <c r="FK551" s="78"/>
    </row>
    <row r="552" spans="1:167" hidden="1" outlineLevel="1">
      <c r="A552" s="29" t="str">
        <f t="shared" si="38"/>
        <v>lt003_entityeqty</v>
      </c>
      <c r="B552" s="67" t="s">
        <v>26</v>
      </c>
      <c r="C552" s="68" t="s">
        <v>26</v>
      </c>
      <c r="D552" s="64" t="s">
        <v>40</v>
      </c>
      <c r="E552" s="70" t="s">
        <v>335</v>
      </c>
      <c r="F552" s="71" t="s">
        <v>430</v>
      </c>
      <c r="G552" s="64" t="str">
        <f>INDEX(Auxiliar!$B$16:$B$24,MATCH(Plano_V1!H552,Auxiliar!$C$16:$C$24,0),1)</f>
        <v>1. Concluído</v>
      </c>
      <c r="H552" s="64">
        <f>VLOOKUP(A552,'Aux - pivots1'!$A:$B,2,0)</f>
        <v>1</v>
      </c>
      <c r="I552" s="84">
        <f>SUMIFS(Table1[Estimação (horas)],Table1[Tabela],Plano_V1!E552,Table1[Campo],Plano_V1!F552)</f>
        <v>0.1</v>
      </c>
      <c r="J552" s="84">
        <f t="shared" si="39"/>
        <v>1.2500000000000001E-2</v>
      </c>
      <c r="K552" s="89" t="s">
        <v>399</v>
      </c>
      <c r="M552" s="78"/>
      <c r="N552" s="78"/>
      <c r="O552" s="78"/>
      <c r="P552" s="78"/>
      <c r="Q552" s="78"/>
      <c r="R552" s="78"/>
      <c r="S552" s="78"/>
      <c r="T552" s="78"/>
      <c r="U552" s="78"/>
      <c r="V552" s="78"/>
      <c r="W552" s="78"/>
      <c r="X552" s="78"/>
      <c r="Y552" s="78"/>
      <c r="Z552" s="78"/>
      <c r="AA552" s="78"/>
      <c r="AB552" s="78"/>
      <c r="AC552" s="78"/>
      <c r="AD552" s="78"/>
      <c r="AE552" s="78"/>
      <c r="AF552" s="78"/>
      <c r="AG552" s="78"/>
      <c r="AH552" s="78"/>
      <c r="AI552" s="78"/>
      <c r="AJ552" s="78"/>
      <c r="AK552" s="78"/>
      <c r="AL552" s="78"/>
      <c r="AM552" s="78"/>
      <c r="AN552" s="78"/>
      <c r="AO552" s="78"/>
      <c r="AP552" s="78"/>
      <c r="AQ552" s="78"/>
      <c r="AR552" s="78"/>
      <c r="AS552" s="78"/>
      <c r="AT552" s="91"/>
      <c r="AU552" s="78"/>
      <c r="AV552" s="78"/>
      <c r="AW552" s="78"/>
      <c r="AX552" s="78"/>
      <c r="AY552" s="78"/>
      <c r="AZ552" s="78"/>
      <c r="BA552" s="78"/>
      <c r="BB552" s="78"/>
      <c r="BC552" s="78"/>
      <c r="BD552" s="78"/>
      <c r="BE552" s="78"/>
      <c r="BF552" s="78"/>
      <c r="BG552" s="78"/>
      <c r="BH552" s="78"/>
      <c r="BI552" s="78"/>
      <c r="BJ552" s="78"/>
      <c r="BK552" s="78"/>
      <c r="BL552" s="78"/>
      <c r="BM552" s="78"/>
      <c r="BN552" s="78"/>
      <c r="BO552" s="78"/>
      <c r="BP552" s="78"/>
      <c r="BQ552" s="78"/>
      <c r="BR552" s="78"/>
      <c r="BS552" s="78"/>
      <c r="BT552" s="78"/>
      <c r="BU552" s="78"/>
      <c r="BV552" s="78"/>
      <c r="BW552" s="78"/>
      <c r="BX552" s="78"/>
      <c r="BY552" s="78"/>
      <c r="BZ552" s="78"/>
      <c r="CA552" s="78"/>
      <c r="CB552" s="78"/>
      <c r="CC552" s="78"/>
      <c r="CD552" s="78"/>
      <c r="CE552" s="78"/>
      <c r="CF552" s="78"/>
      <c r="CG552" s="78"/>
      <c r="CH552" s="78"/>
      <c r="CI552" s="78"/>
      <c r="CJ552" s="78"/>
      <c r="CK552" s="78"/>
      <c r="CL552" s="78"/>
      <c r="CM552" s="78"/>
      <c r="CN552" s="78"/>
      <c r="CO552" s="78"/>
      <c r="CP552" s="78"/>
      <c r="CQ552" s="78"/>
      <c r="CR552" s="78"/>
      <c r="CS552" s="78"/>
      <c r="CT552" s="78"/>
      <c r="CU552" s="78"/>
      <c r="CV552" s="78"/>
      <c r="CW552" s="78"/>
      <c r="CX552" s="78"/>
      <c r="CY552" s="78"/>
      <c r="CZ552" s="78"/>
      <c r="DA552" s="78"/>
      <c r="DB552" s="78"/>
      <c r="DC552" s="78"/>
      <c r="DD552" s="78"/>
      <c r="DE552" s="78"/>
      <c r="DF552" s="78"/>
      <c r="DG552" s="78"/>
      <c r="DH552" s="78"/>
      <c r="DI552" s="78"/>
      <c r="DJ552" s="78"/>
      <c r="DK552" s="78"/>
      <c r="DL552" s="78"/>
      <c r="DM552" s="78"/>
      <c r="DN552" s="78"/>
      <c r="DO552" s="78"/>
      <c r="DP552" s="78"/>
      <c r="DQ552" s="78"/>
      <c r="DR552" s="78"/>
      <c r="DS552" s="78"/>
      <c r="DT552" s="78"/>
      <c r="DU552" s="78"/>
      <c r="DV552" s="78"/>
      <c r="DW552" s="78"/>
      <c r="DX552" s="78"/>
      <c r="DY552" s="78"/>
      <c r="DZ552" s="78"/>
      <c r="EA552" s="78"/>
      <c r="EB552" s="78"/>
      <c r="EC552" s="78"/>
      <c r="ED552" s="78"/>
      <c r="EE552" s="78"/>
      <c r="EF552" s="78"/>
      <c r="EG552" s="78"/>
      <c r="EH552" s="78"/>
      <c r="EI552" s="91"/>
      <c r="EJ552" s="91"/>
      <c r="EK552" s="91"/>
      <c r="EL552" s="91"/>
      <c r="EM552" s="91"/>
      <c r="EN552" s="91"/>
      <c r="EO552" s="91"/>
      <c r="EP552" s="78"/>
      <c r="EQ552" s="78"/>
      <c r="ER552" s="78"/>
      <c r="ES552" s="78"/>
      <c r="ET552" s="78"/>
      <c r="EU552" s="78"/>
      <c r="EV552" s="78"/>
      <c r="EW552" s="78"/>
      <c r="EX552" s="78"/>
      <c r="EY552" s="78"/>
      <c r="EZ552" s="78"/>
      <c r="FA552" s="78"/>
      <c r="FB552" s="78"/>
      <c r="FC552" s="78"/>
      <c r="FD552" s="78"/>
      <c r="FE552" s="78"/>
      <c r="FF552" s="78"/>
      <c r="FG552" s="78"/>
      <c r="FH552" s="78"/>
      <c r="FI552" s="78"/>
      <c r="FJ552" s="78"/>
      <c r="FK552" s="78"/>
    </row>
    <row r="553" spans="1:167" hidden="1" outlineLevel="1">
      <c r="A553" s="29" t="str">
        <f t="shared" si="38"/>
        <v>lt003_entitygrp_ttl_dbt</v>
      </c>
      <c r="B553" s="67" t="s">
        <v>26</v>
      </c>
      <c r="C553" s="68" t="s">
        <v>26</v>
      </c>
      <c r="D553" s="64" t="s">
        <v>40</v>
      </c>
      <c r="E553" s="70" t="s">
        <v>335</v>
      </c>
      <c r="F553" s="71" t="s">
        <v>431</v>
      </c>
      <c r="G553" s="64" t="str">
        <f>INDEX(Auxiliar!$B$16:$B$24,MATCH(Plano_V1!H553,Auxiliar!$C$16:$C$24,0),1)</f>
        <v>1. Concluído</v>
      </c>
      <c r="H553" s="64">
        <f>VLOOKUP(A553,'Aux - pivots1'!$A:$B,2,0)</f>
        <v>1</v>
      </c>
      <c r="I553" s="84">
        <f>SUMIFS(Table1[Estimação (horas)],Table1[Tabela],Plano_V1!E553,Table1[Campo],Plano_V1!F553)</f>
        <v>0.1</v>
      </c>
      <c r="J553" s="84">
        <f t="shared" si="39"/>
        <v>1.2500000000000001E-2</v>
      </c>
      <c r="K553" s="89" t="s">
        <v>399</v>
      </c>
      <c r="M553" s="78"/>
      <c r="N553" s="78"/>
      <c r="O553" s="78"/>
      <c r="P553" s="78"/>
      <c r="Q553" s="78"/>
      <c r="R553" s="78"/>
      <c r="S553" s="78"/>
      <c r="T553" s="78"/>
      <c r="U553" s="78"/>
      <c r="V553" s="78"/>
      <c r="W553" s="78"/>
      <c r="X553" s="78"/>
      <c r="Y553" s="78"/>
      <c r="Z553" s="78"/>
      <c r="AA553" s="78"/>
      <c r="AB553" s="78"/>
      <c r="AC553" s="78"/>
      <c r="AD553" s="78"/>
      <c r="AE553" s="78"/>
      <c r="AF553" s="78"/>
      <c r="AG553" s="78"/>
      <c r="AH553" s="78"/>
      <c r="AI553" s="78"/>
      <c r="AJ553" s="78"/>
      <c r="AK553" s="78"/>
      <c r="AL553" s="78"/>
      <c r="AM553" s="78"/>
      <c r="AN553" s="78"/>
      <c r="AO553" s="78"/>
      <c r="AP553" s="78"/>
      <c r="AQ553" s="78"/>
      <c r="AR553" s="78"/>
      <c r="AS553" s="78"/>
      <c r="AT553" s="91"/>
      <c r="AU553" s="78"/>
      <c r="AV553" s="78"/>
      <c r="AW553" s="78"/>
      <c r="AX553" s="78"/>
      <c r="AY553" s="78"/>
      <c r="AZ553" s="78"/>
      <c r="BA553" s="78"/>
      <c r="BB553" s="78"/>
      <c r="BC553" s="78"/>
      <c r="BD553" s="78"/>
      <c r="BE553" s="78"/>
      <c r="BF553" s="78"/>
      <c r="BG553" s="78"/>
      <c r="BH553" s="78"/>
      <c r="BI553" s="78"/>
      <c r="BJ553" s="78"/>
      <c r="BK553" s="78"/>
      <c r="BL553" s="78"/>
      <c r="BM553" s="78"/>
      <c r="BN553" s="78"/>
      <c r="BO553" s="78"/>
      <c r="BP553" s="78"/>
      <c r="BQ553" s="78"/>
      <c r="BR553" s="78"/>
      <c r="BS553" s="78"/>
      <c r="BT553" s="78"/>
      <c r="BU553" s="78"/>
      <c r="BV553" s="78"/>
      <c r="BW553" s="78"/>
      <c r="BX553" s="78"/>
      <c r="BY553" s="78"/>
      <c r="BZ553" s="78"/>
      <c r="CA553" s="78"/>
      <c r="CB553" s="78"/>
      <c r="CC553" s="78"/>
      <c r="CD553" s="78"/>
      <c r="CE553" s="78"/>
      <c r="CF553" s="78"/>
      <c r="CG553" s="78"/>
      <c r="CH553" s="78"/>
      <c r="CI553" s="78"/>
      <c r="CJ553" s="78"/>
      <c r="CK553" s="78"/>
      <c r="CL553" s="78"/>
      <c r="CM553" s="78"/>
      <c r="CN553" s="78"/>
      <c r="CO553" s="78"/>
      <c r="CP553" s="78"/>
      <c r="CQ553" s="78"/>
      <c r="CR553" s="78"/>
      <c r="CS553" s="78"/>
      <c r="CT553" s="78"/>
      <c r="CU553" s="78"/>
      <c r="CV553" s="78"/>
      <c r="CW553" s="78"/>
      <c r="CX553" s="78"/>
      <c r="CY553" s="78"/>
      <c r="CZ553" s="78"/>
      <c r="DA553" s="78"/>
      <c r="DB553" s="78"/>
      <c r="DC553" s="78"/>
      <c r="DD553" s="78"/>
      <c r="DE553" s="78"/>
      <c r="DF553" s="78"/>
      <c r="DG553" s="78"/>
      <c r="DH553" s="78"/>
      <c r="DI553" s="78"/>
      <c r="DJ553" s="78"/>
      <c r="DK553" s="78"/>
      <c r="DL553" s="78"/>
      <c r="DM553" s="78"/>
      <c r="DN553" s="78"/>
      <c r="DO553" s="78"/>
      <c r="DP553" s="78"/>
      <c r="DQ553" s="78"/>
      <c r="DR553" s="78"/>
      <c r="DS553" s="78"/>
      <c r="DT553" s="78"/>
      <c r="DU553" s="78"/>
      <c r="DV553" s="78"/>
      <c r="DW553" s="78"/>
      <c r="DX553" s="78"/>
      <c r="DY553" s="78"/>
      <c r="DZ553" s="78"/>
      <c r="EA553" s="78"/>
      <c r="EB553" s="78"/>
      <c r="EC553" s="78"/>
      <c r="ED553" s="78"/>
      <c r="EE553" s="78"/>
      <c r="EF553" s="78"/>
      <c r="EG553" s="78"/>
      <c r="EH553" s="78"/>
      <c r="EI553" s="91"/>
      <c r="EJ553" s="91"/>
      <c r="EK553" s="91"/>
      <c r="EL553" s="91"/>
      <c r="EM553" s="91"/>
      <c r="EN553" s="91"/>
      <c r="EO553" s="91"/>
      <c r="EP553" s="78"/>
      <c r="EQ553" s="78"/>
      <c r="ER553" s="78"/>
      <c r="ES553" s="78"/>
      <c r="ET553" s="78"/>
      <c r="EU553" s="78"/>
      <c r="EV553" s="78"/>
      <c r="EW553" s="78"/>
      <c r="EX553" s="78"/>
      <c r="EY553" s="78"/>
      <c r="EZ553" s="78"/>
      <c r="FA553" s="78"/>
      <c r="FB553" s="78"/>
      <c r="FC553" s="78"/>
      <c r="FD553" s="78"/>
      <c r="FE553" s="78"/>
      <c r="FF553" s="78"/>
      <c r="FG553" s="78"/>
      <c r="FH553" s="78"/>
      <c r="FI553" s="78"/>
      <c r="FJ553" s="78"/>
      <c r="FK553" s="78"/>
    </row>
    <row r="554" spans="1:167" hidden="1" outlineLevel="1">
      <c r="A554" s="29" t="str">
        <f t="shared" si="38"/>
        <v>lt003_entityttl_dbt</v>
      </c>
      <c r="B554" s="67" t="s">
        <v>26</v>
      </c>
      <c r="C554" s="68" t="s">
        <v>26</v>
      </c>
      <c r="D554" s="64" t="s">
        <v>40</v>
      </c>
      <c r="E554" s="70" t="s">
        <v>335</v>
      </c>
      <c r="F554" s="71" t="s">
        <v>432</v>
      </c>
      <c r="G554" s="64" t="str">
        <f>INDEX(Auxiliar!$B$16:$B$24,MATCH(Plano_V1!H554,Auxiliar!$C$16:$C$24,0),1)</f>
        <v>1. Concluído</v>
      </c>
      <c r="H554" s="64">
        <f>VLOOKUP(A554,'Aux - pivots1'!$A:$B,2,0)</f>
        <v>1</v>
      </c>
      <c r="I554" s="84">
        <f>SUMIFS(Table1[Estimação (horas)],Table1[Tabela],Plano_V1!E554,Table1[Campo],Plano_V1!F554)</f>
        <v>0.1</v>
      </c>
      <c r="J554" s="84">
        <f t="shared" si="39"/>
        <v>1.2500000000000001E-2</v>
      </c>
      <c r="K554" s="89" t="s">
        <v>399</v>
      </c>
      <c r="M554" s="78"/>
      <c r="N554" s="78"/>
      <c r="O554" s="78"/>
      <c r="P554" s="78"/>
      <c r="Q554" s="78"/>
      <c r="R554" s="78"/>
      <c r="S554" s="78"/>
      <c r="T554" s="78"/>
      <c r="U554" s="78"/>
      <c r="V554" s="78"/>
      <c r="W554" s="78"/>
      <c r="X554" s="78"/>
      <c r="Y554" s="78"/>
      <c r="Z554" s="78"/>
      <c r="AA554" s="78"/>
      <c r="AB554" s="78"/>
      <c r="AC554" s="78"/>
      <c r="AD554" s="78"/>
      <c r="AE554" s="78"/>
      <c r="AF554" s="78"/>
      <c r="AG554" s="78"/>
      <c r="AH554" s="78"/>
      <c r="AI554" s="78"/>
      <c r="AJ554" s="78"/>
      <c r="AK554" s="78"/>
      <c r="AL554" s="78"/>
      <c r="AM554" s="78"/>
      <c r="AN554" s="78"/>
      <c r="AO554" s="78"/>
      <c r="AP554" s="78"/>
      <c r="AQ554" s="78"/>
      <c r="AR554" s="78"/>
      <c r="AS554" s="78"/>
      <c r="AT554" s="91"/>
      <c r="AU554" s="78"/>
      <c r="AV554" s="78"/>
      <c r="AW554" s="78"/>
      <c r="AX554" s="78"/>
      <c r="AY554" s="78"/>
      <c r="AZ554" s="78"/>
      <c r="BA554" s="78"/>
      <c r="BB554" s="78"/>
      <c r="BC554" s="78"/>
      <c r="BD554" s="78"/>
      <c r="BE554" s="78"/>
      <c r="BF554" s="78"/>
      <c r="BG554" s="78"/>
      <c r="BH554" s="78"/>
      <c r="BI554" s="78"/>
      <c r="BJ554" s="78"/>
      <c r="BK554" s="78"/>
      <c r="BL554" s="78"/>
      <c r="BM554" s="78"/>
      <c r="BN554" s="78"/>
      <c r="BO554" s="78"/>
      <c r="BP554" s="78"/>
      <c r="BQ554" s="78"/>
      <c r="BR554" s="78"/>
      <c r="BS554" s="78"/>
      <c r="BT554" s="78"/>
      <c r="BU554" s="78"/>
      <c r="BV554" s="78"/>
      <c r="BW554" s="78"/>
      <c r="BX554" s="78"/>
      <c r="BY554" s="78"/>
      <c r="BZ554" s="78"/>
      <c r="CA554" s="78"/>
      <c r="CB554" s="78"/>
      <c r="CC554" s="78"/>
      <c r="CD554" s="78"/>
      <c r="CE554" s="78"/>
      <c r="CF554" s="78"/>
      <c r="CG554" s="78"/>
      <c r="CH554" s="78"/>
      <c r="CI554" s="78"/>
      <c r="CJ554" s="78"/>
      <c r="CK554" s="78"/>
      <c r="CL554" s="78"/>
      <c r="CM554" s="78"/>
      <c r="CN554" s="78"/>
      <c r="CO554" s="78"/>
      <c r="CP554" s="78"/>
      <c r="CQ554" s="78"/>
      <c r="CR554" s="78"/>
      <c r="CS554" s="78"/>
      <c r="CT554" s="78"/>
      <c r="CU554" s="78"/>
      <c r="CV554" s="78"/>
      <c r="CW554" s="78"/>
      <c r="CX554" s="78"/>
      <c r="CY554" s="78"/>
      <c r="CZ554" s="78"/>
      <c r="DA554" s="78"/>
      <c r="DB554" s="78"/>
      <c r="DC554" s="78"/>
      <c r="DD554" s="78"/>
      <c r="DE554" s="78"/>
      <c r="DF554" s="78"/>
      <c r="DG554" s="78"/>
      <c r="DH554" s="78"/>
      <c r="DI554" s="78"/>
      <c r="DJ554" s="78"/>
      <c r="DK554" s="78"/>
      <c r="DL554" s="78"/>
      <c r="DM554" s="78"/>
      <c r="DN554" s="78"/>
      <c r="DO554" s="78"/>
      <c r="DP554" s="78"/>
      <c r="DQ554" s="78"/>
      <c r="DR554" s="78"/>
      <c r="DS554" s="78"/>
      <c r="DT554" s="78"/>
      <c r="DU554" s="78"/>
      <c r="DV554" s="78"/>
      <c r="DW554" s="78"/>
      <c r="DX554" s="78"/>
      <c r="DY554" s="78"/>
      <c r="DZ554" s="78"/>
      <c r="EA554" s="78"/>
      <c r="EB554" s="78"/>
      <c r="EC554" s="78"/>
      <c r="ED554" s="78"/>
      <c r="EE554" s="78"/>
      <c r="EF554" s="78"/>
      <c r="EG554" s="78"/>
      <c r="EH554" s="78"/>
      <c r="EI554" s="91"/>
      <c r="EJ554" s="91"/>
      <c r="EK554" s="91"/>
      <c r="EL554" s="91"/>
      <c r="EM554" s="91"/>
      <c r="EN554" s="91"/>
      <c r="EO554" s="91"/>
      <c r="EP554" s="78"/>
      <c r="EQ554" s="78"/>
      <c r="ER554" s="78"/>
      <c r="ES554" s="78"/>
      <c r="ET554" s="78"/>
      <c r="EU554" s="78"/>
      <c r="EV554" s="78"/>
      <c r="EW554" s="78"/>
      <c r="EX554" s="78"/>
      <c r="EY554" s="78"/>
      <c r="EZ554" s="78"/>
      <c r="FA554" s="78"/>
      <c r="FB554" s="78"/>
      <c r="FC554" s="78"/>
      <c r="FD554" s="78"/>
      <c r="FE554" s="78"/>
      <c r="FF554" s="78"/>
      <c r="FG554" s="78"/>
      <c r="FH554" s="78"/>
      <c r="FI554" s="78"/>
      <c r="FJ554" s="78"/>
      <c r="FK554" s="78"/>
    </row>
    <row r="555" spans="1:167" hidden="1" outlineLevel="1">
      <c r="A555" s="29" t="str">
        <f t="shared" si="38"/>
        <v>lt003_entitycod_soc</v>
      </c>
      <c r="B555" s="67" t="s">
        <v>26</v>
      </c>
      <c r="C555" s="68" t="s">
        <v>26</v>
      </c>
      <c r="D555" s="64" t="s">
        <v>40</v>
      </c>
      <c r="E555" s="70" t="s">
        <v>335</v>
      </c>
      <c r="F555" s="71" t="s">
        <v>416</v>
      </c>
      <c r="G555" s="64" t="str">
        <f>INDEX(Auxiliar!$B$16:$B$24,MATCH(Plano_V1!H555,Auxiliar!$C$16:$C$24,0),1)</f>
        <v>1. Concluído</v>
      </c>
      <c r="H555" s="64">
        <f>VLOOKUP(A555,'Aux - pivots1'!$A:$B,2,0)</f>
        <v>1</v>
      </c>
      <c r="I555" s="84">
        <f>SUMIFS(Table1[Estimação (horas)],Table1[Tabela],Plano_V1!E555,Table1[Campo],Plano_V1!F555)</f>
        <v>0.1</v>
      </c>
      <c r="J555" s="84">
        <f t="shared" si="39"/>
        <v>1.2500000000000001E-2</v>
      </c>
      <c r="K555" s="89" t="s">
        <v>399</v>
      </c>
      <c r="M555" s="78"/>
      <c r="N555" s="78"/>
      <c r="O555" s="78"/>
      <c r="P555" s="78"/>
      <c r="Q555" s="78"/>
      <c r="R555" s="78"/>
      <c r="S555" s="78"/>
      <c r="T555" s="78"/>
      <c r="U555" s="78"/>
      <c r="V555" s="78"/>
      <c r="W555" s="78"/>
      <c r="X555" s="78"/>
      <c r="Y555" s="78"/>
      <c r="Z555" s="78"/>
      <c r="AA555" s="78"/>
      <c r="AB555" s="78"/>
      <c r="AC555" s="78"/>
      <c r="AD555" s="78"/>
      <c r="AE555" s="78"/>
      <c r="AF555" s="78"/>
      <c r="AG555" s="78"/>
      <c r="AH555" s="78"/>
      <c r="AI555" s="78"/>
      <c r="AJ555" s="78"/>
      <c r="AK555" s="78"/>
      <c r="AL555" s="78"/>
      <c r="AM555" s="78"/>
      <c r="AN555" s="78"/>
      <c r="AO555" s="78"/>
      <c r="AP555" s="78"/>
      <c r="AQ555" s="78"/>
      <c r="AR555" s="78"/>
      <c r="AS555" s="78"/>
      <c r="AT555" s="91"/>
      <c r="AU555" s="78"/>
      <c r="AV555" s="78"/>
      <c r="AW555" s="78"/>
      <c r="AX555" s="78"/>
      <c r="AY555" s="78"/>
      <c r="AZ555" s="78"/>
      <c r="BA555" s="78"/>
      <c r="BB555" s="78"/>
      <c r="BC555" s="78"/>
      <c r="BD555" s="78"/>
      <c r="BE555" s="78"/>
      <c r="BF555" s="78"/>
      <c r="BG555" s="78"/>
      <c r="BH555" s="78"/>
      <c r="BI555" s="78"/>
      <c r="BJ555" s="78"/>
      <c r="BK555" s="78"/>
      <c r="BL555" s="78"/>
      <c r="BM555" s="78"/>
      <c r="BN555" s="78"/>
      <c r="BO555" s="78"/>
      <c r="BP555" s="78"/>
      <c r="BQ555" s="78"/>
      <c r="BR555" s="78"/>
      <c r="BS555" s="78"/>
      <c r="BT555" s="78"/>
      <c r="BU555" s="78"/>
      <c r="BV555" s="78"/>
      <c r="BW555" s="78"/>
      <c r="BX555" s="78"/>
      <c r="BY555" s="78"/>
      <c r="BZ555" s="78"/>
      <c r="CA555" s="78"/>
      <c r="CB555" s="78"/>
      <c r="CC555" s="78"/>
      <c r="CD555" s="78"/>
      <c r="CE555" s="78"/>
      <c r="CF555" s="78"/>
      <c r="CG555" s="78"/>
      <c r="CH555" s="78"/>
      <c r="CI555" s="78"/>
      <c r="CJ555" s="78"/>
      <c r="CK555" s="78"/>
      <c r="CL555" s="78"/>
      <c r="CM555" s="78"/>
      <c r="CN555" s="78"/>
      <c r="CO555" s="78"/>
      <c r="CP555" s="78"/>
      <c r="CQ555" s="78"/>
      <c r="CR555" s="78"/>
      <c r="CS555" s="78"/>
      <c r="CT555" s="78"/>
      <c r="CU555" s="78"/>
      <c r="CV555" s="78"/>
      <c r="CW555" s="78"/>
      <c r="CX555" s="78"/>
      <c r="CY555" s="78"/>
      <c r="CZ555" s="78"/>
      <c r="DA555" s="78"/>
      <c r="DB555" s="78"/>
      <c r="DC555" s="78"/>
      <c r="DD555" s="78"/>
      <c r="DE555" s="78"/>
      <c r="DF555" s="78"/>
      <c r="DG555" s="78"/>
      <c r="DH555" s="78"/>
      <c r="DI555" s="78"/>
      <c r="DJ555" s="78"/>
      <c r="DK555" s="78"/>
      <c r="DL555" s="78"/>
      <c r="DM555" s="78"/>
      <c r="DN555" s="78"/>
      <c r="DO555" s="78"/>
      <c r="DP555" s="78"/>
      <c r="DQ555" s="78"/>
      <c r="DR555" s="78"/>
      <c r="DS555" s="78"/>
      <c r="DT555" s="78"/>
      <c r="DU555" s="78"/>
      <c r="DV555" s="78"/>
      <c r="DW555" s="78"/>
      <c r="DX555" s="78"/>
      <c r="DY555" s="78"/>
      <c r="DZ555" s="78"/>
      <c r="EA555" s="78"/>
      <c r="EB555" s="78"/>
      <c r="EC555" s="78"/>
      <c r="ED555" s="78"/>
      <c r="EE555" s="78"/>
      <c r="EF555" s="78"/>
      <c r="EG555" s="78"/>
      <c r="EH555" s="78"/>
      <c r="EI555" s="91"/>
      <c r="EJ555" s="91"/>
      <c r="EK555" s="91"/>
      <c r="EL555" s="91"/>
      <c r="EM555" s="91"/>
      <c r="EN555" s="91"/>
      <c r="EO555" s="91"/>
      <c r="EP555" s="78"/>
      <c r="EQ555" s="78"/>
      <c r="ER555" s="78"/>
      <c r="ES555" s="78"/>
      <c r="ET555" s="78"/>
      <c r="EU555" s="78"/>
      <c r="EV555" s="78"/>
      <c r="EW555" s="78"/>
      <c r="EX555" s="78"/>
      <c r="EY555" s="78"/>
      <c r="EZ555" s="78"/>
      <c r="FA555" s="78"/>
      <c r="FB555" s="78"/>
      <c r="FC555" s="78"/>
      <c r="FD555" s="78"/>
      <c r="FE555" s="78"/>
      <c r="FF555" s="78"/>
      <c r="FG555" s="78"/>
      <c r="FH555" s="78"/>
      <c r="FI555" s="78"/>
      <c r="FJ555" s="78"/>
      <c r="FK555" s="78"/>
    </row>
    <row r="556" spans="1:167" hidden="1" outlineLevel="1">
      <c r="A556" s="29" t="str">
        <f t="shared" si="38"/>
        <v>lt004_protectiondt_rfrnc</v>
      </c>
      <c r="B556" s="67" t="s">
        <v>26</v>
      </c>
      <c r="C556" s="68" t="s">
        <v>26</v>
      </c>
      <c r="D556" s="64" t="s">
        <v>40</v>
      </c>
      <c r="E556" s="70" t="s">
        <v>368</v>
      </c>
      <c r="F556" s="71" t="s">
        <v>398</v>
      </c>
      <c r="G556" s="64" t="str">
        <f>INDEX(Auxiliar!$B$16:$B$24,MATCH(Plano_V1!H556,Auxiliar!$C$16:$C$24,0),1)</f>
        <v>1. Concluído</v>
      </c>
      <c r="H556" s="64">
        <f>VLOOKUP(A556,'Aux - pivots1'!$A:$B,2,0)</f>
        <v>1</v>
      </c>
      <c r="I556" s="84">
        <f>SUMIFS(Table1[Estimação (horas)],Table1[Tabela],Plano_V1!E556,Table1[Campo],Plano_V1!F556)</f>
        <v>0.1</v>
      </c>
      <c r="J556" s="84">
        <f t="shared" si="39"/>
        <v>1.2500000000000001E-2</v>
      </c>
      <c r="K556" s="89" t="s">
        <v>399</v>
      </c>
      <c r="M556" s="78"/>
      <c r="N556" s="78"/>
      <c r="O556" s="78"/>
      <c r="P556" s="78"/>
      <c r="Q556" s="78"/>
      <c r="R556" s="78"/>
      <c r="S556" s="78"/>
      <c r="T556" s="78"/>
      <c r="U556" s="78"/>
      <c r="V556" s="78"/>
      <c r="W556" s="78"/>
      <c r="X556" s="78"/>
      <c r="Y556" s="78"/>
      <c r="Z556" s="78"/>
      <c r="AA556" s="78"/>
      <c r="AB556" s="78"/>
      <c r="AC556" s="78"/>
      <c r="AD556" s="78"/>
      <c r="AE556" s="78"/>
      <c r="AF556" s="78"/>
      <c r="AG556" s="78"/>
      <c r="AH556" s="78"/>
      <c r="AI556" s="78"/>
      <c r="AJ556" s="78"/>
      <c r="AK556" s="78"/>
      <c r="AL556" s="78"/>
      <c r="AM556" s="78"/>
      <c r="AN556" s="78"/>
      <c r="AO556" s="78"/>
      <c r="AP556" s="78"/>
      <c r="AQ556" s="78"/>
      <c r="AR556" s="78"/>
      <c r="AS556" s="78"/>
      <c r="AT556" s="91"/>
      <c r="AU556" s="78"/>
      <c r="AV556" s="78"/>
      <c r="AW556" s="78"/>
      <c r="AX556" s="78"/>
      <c r="AY556" s="78"/>
      <c r="AZ556" s="78"/>
      <c r="BA556" s="78"/>
      <c r="BB556" s="78"/>
      <c r="BC556" s="78"/>
      <c r="BD556" s="78"/>
      <c r="BE556" s="78"/>
      <c r="BF556" s="78"/>
      <c r="BG556" s="78"/>
      <c r="BH556" s="78"/>
      <c r="BI556" s="78"/>
      <c r="BJ556" s="78"/>
      <c r="BK556" s="78"/>
      <c r="BL556" s="78"/>
      <c r="BM556" s="78"/>
      <c r="BN556" s="78"/>
      <c r="BO556" s="78"/>
      <c r="BP556" s="78"/>
      <c r="BQ556" s="78"/>
      <c r="BR556" s="78"/>
      <c r="BS556" s="78"/>
      <c r="BT556" s="78"/>
      <c r="BU556" s="78"/>
      <c r="BV556" s="78"/>
      <c r="BW556" s="78"/>
      <c r="BX556" s="78"/>
      <c r="BY556" s="78"/>
      <c r="BZ556" s="78"/>
      <c r="CA556" s="78"/>
      <c r="CB556" s="78"/>
      <c r="CC556" s="78"/>
      <c r="CD556" s="78"/>
      <c r="CE556" s="78"/>
      <c r="CF556" s="78"/>
      <c r="CG556" s="78"/>
      <c r="CH556" s="78"/>
      <c r="CI556" s="78"/>
      <c r="CJ556" s="78"/>
      <c r="CK556" s="78"/>
      <c r="CL556" s="78"/>
      <c r="CM556" s="78"/>
      <c r="CN556" s="78"/>
      <c r="CO556" s="78"/>
      <c r="CP556" s="78"/>
      <c r="CQ556" s="78"/>
      <c r="CR556" s="78"/>
      <c r="CS556" s="78"/>
      <c r="CT556" s="78"/>
      <c r="CU556" s="78"/>
      <c r="CV556" s="78"/>
      <c r="CW556" s="78"/>
      <c r="CX556" s="78"/>
      <c r="CY556" s="78"/>
      <c r="CZ556" s="78"/>
      <c r="DA556" s="78"/>
      <c r="DB556" s="78"/>
      <c r="DC556" s="78"/>
      <c r="DD556" s="78"/>
      <c r="DE556" s="78"/>
      <c r="DF556" s="78"/>
      <c r="DG556" s="78"/>
      <c r="DH556" s="78"/>
      <c r="DI556" s="78"/>
      <c r="DJ556" s="78"/>
      <c r="DK556" s="78"/>
      <c r="DL556" s="78"/>
      <c r="DM556" s="78"/>
      <c r="DN556" s="78"/>
      <c r="DO556" s="78"/>
      <c r="DP556" s="78"/>
      <c r="DQ556" s="78"/>
      <c r="DR556" s="78"/>
      <c r="DS556" s="78"/>
      <c r="DT556" s="78"/>
      <c r="DU556" s="78"/>
      <c r="DV556" s="78"/>
      <c r="DW556" s="78"/>
      <c r="DX556" s="78"/>
      <c r="DY556" s="78"/>
      <c r="DZ556" s="78"/>
      <c r="EA556" s="78"/>
      <c r="EB556" s="78"/>
      <c r="EC556" s="78"/>
      <c r="ED556" s="78"/>
      <c r="EE556" s="78"/>
      <c r="EF556" s="78"/>
      <c r="EG556" s="78"/>
      <c r="EH556" s="78"/>
      <c r="EI556" s="91"/>
      <c r="EJ556" s="91"/>
      <c r="EK556" s="91"/>
      <c r="EL556" s="91"/>
      <c r="EM556" s="91"/>
      <c r="EN556" s="91"/>
      <c r="EO556" s="91"/>
      <c r="EP556" s="78"/>
      <c r="EQ556" s="78"/>
      <c r="ER556" s="78"/>
      <c r="ES556" s="78"/>
      <c r="ET556" s="78"/>
      <c r="EU556" s="78"/>
      <c r="EV556" s="78"/>
      <c r="EW556" s="78"/>
      <c r="EX556" s="78"/>
      <c r="EY556" s="78"/>
      <c r="EZ556" s="78"/>
      <c r="FA556" s="78"/>
      <c r="FB556" s="78"/>
      <c r="FC556" s="78"/>
      <c r="FD556" s="78"/>
      <c r="FE556" s="78"/>
      <c r="FF556" s="78"/>
      <c r="FG556" s="78"/>
      <c r="FH556" s="78"/>
      <c r="FI556" s="78"/>
      <c r="FJ556" s="78"/>
      <c r="FK556" s="78"/>
    </row>
    <row r="557" spans="1:167" hidden="1" outlineLevel="1">
      <c r="A557" s="29" t="str">
        <f t="shared" si="38"/>
        <v>lt004_protectionprtctn_id</v>
      </c>
      <c r="B557" s="67" t="s">
        <v>26</v>
      </c>
      <c r="C557" s="68" t="s">
        <v>26</v>
      </c>
      <c r="D557" s="64" t="s">
        <v>40</v>
      </c>
      <c r="E557" s="70" t="s">
        <v>368</v>
      </c>
      <c r="F557" s="71" t="s">
        <v>433</v>
      </c>
      <c r="G557" s="64" t="str">
        <f>INDEX(Auxiliar!$B$16:$B$24,MATCH(Plano_V1!H557,Auxiliar!$C$16:$C$24,0),1)</f>
        <v>1. Concluído</v>
      </c>
      <c r="H557" s="64">
        <f>VLOOKUP(A557,'Aux - pivots1'!$A:$B,2,0)</f>
        <v>1</v>
      </c>
      <c r="I557" s="84">
        <f>SUMIFS(Table1[Estimação (horas)],Table1[Tabela],Plano_V1!E557,Table1[Campo],Plano_V1!F557)</f>
        <v>0.1</v>
      </c>
      <c r="J557" s="84">
        <f t="shared" si="39"/>
        <v>1.2500000000000001E-2</v>
      </c>
      <c r="K557" s="89" t="s">
        <v>399</v>
      </c>
      <c r="M557" s="78"/>
      <c r="N557" s="78"/>
      <c r="O557" s="78"/>
      <c r="P557" s="78"/>
      <c r="Q557" s="78"/>
      <c r="R557" s="78"/>
      <c r="S557" s="78"/>
      <c r="T557" s="78"/>
      <c r="U557" s="78"/>
      <c r="V557" s="78"/>
      <c r="W557" s="78"/>
      <c r="X557" s="78"/>
      <c r="Y557" s="78"/>
      <c r="Z557" s="78"/>
      <c r="AA557" s="78"/>
      <c r="AB557" s="78"/>
      <c r="AC557" s="78"/>
      <c r="AD557" s="78"/>
      <c r="AE557" s="78"/>
      <c r="AF557" s="78"/>
      <c r="AG557" s="78"/>
      <c r="AH557" s="78"/>
      <c r="AI557" s="78"/>
      <c r="AJ557" s="78"/>
      <c r="AK557" s="78"/>
      <c r="AL557" s="78"/>
      <c r="AM557" s="78"/>
      <c r="AN557" s="78"/>
      <c r="AO557" s="78"/>
      <c r="AP557" s="78"/>
      <c r="AQ557" s="78"/>
      <c r="AR557" s="78"/>
      <c r="AS557" s="78"/>
      <c r="AT557" s="91"/>
      <c r="AU557" s="78"/>
      <c r="AV557" s="78"/>
      <c r="AW557" s="78"/>
      <c r="AX557" s="78"/>
      <c r="AY557" s="78"/>
      <c r="AZ557" s="78"/>
      <c r="BA557" s="78"/>
      <c r="BB557" s="78"/>
      <c r="BC557" s="78"/>
      <c r="BD557" s="78"/>
      <c r="BE557" s="78"/>
      <c r="BF557" s="78"/>
      <c r="BG557" s="78"/>
      <c r="BH557" s="78"/>
      <c r="BI557" s="78"/>
      <c r="BJ557" s="78"/>
      <c r="BK557" s="78"/>
      <c r="BL557" s="78"/>
      <c r="BM557" s="78"/>
      <c r="BN557" s="78"/>
      <c r="BO557" s="78"/>
      <c r="BP557" s="78"/>
      <c r="BQ557" s="78"/>
      <c r="BR557" s="78"/>
      <c r="BS557" s="78"/>
      <c r="BT557" s="78"/>
      <c r="BU557" s="78"/>
      <c r="BV557" s="78"/>
      <c r="BW557" s="78"/>
      <c r="BX557" s="78"/>
      <c r="BY557" s="78"/>
      <c r="BZ557" s="78"/>
      <c r="CA557" s="78"/>
      <c r="CB557" s="78"/>
      <c r="CC557" s="78"/>
      <c r="CD557" s="78"/>
      <c r="CE557" s="78"/>
      <c r="CF557" s="78"/>
      <c r="CG557" s="78"/>
      <c r="CH557" s="78"/>
      <c r="CI557" s="78"/>
      <c r="CJ557" s="78"/>
      <c r="CK557" s="78"/>
      <c r="CL557" s="78"/>
      <c r="CM557" s="78"/>
      <c r="CN557" s="78"/>
      <c r="CO557" s="78"/>
      <c r="CP557" s="78"/>
      <c r="CQ557" s="78"/>
      <c r="CR557" s="78"/>
      <c r="CS557" s="78"/>
      <c r="CT557" s="78"/>
      <c r="CU557" s="78"/>
      <c r="CV557" s="78"/>
      <c r="CW557" s="78"/>
      <c r="CX557" s="78"/>
      <c r="CY557" s="78"/>
      <c r="CZ557" s="78"/>
      <c r="DA557" s="78"/>
      <c r="DB557" s="78"/>
      <c r="DC557" s="78"/>
      <c r="DD557" s="78"/>
      <c r="DE557" s="78"/>
      <c r="DF557" s="78"/>
      <c r="DG557" s="78"/>
      <c r="DH557" s="78"/>
      <c r="DI557" s="78"/>
      <c r="DJ557" s="78"/>
      <c r="DK557" s="78"/>
      <c r="DL557" s="78"/>
      <c r="DM557" s="78"/>
      <c r="DN557" s="78"/>
      <c r="DO557" s="78"/>
      <c r="DP557" s="78"/>
      <c r="DQ557" s="78"/>
      <c r="DR557" s="78"/>
      <c r="DS557" s="78"/>
      <c r="DT557" s="78"/>
      <c r="DU557" s="78"/>
      <c r="DV557" s="78"/>
      <c r="DW557" s="78"/>
      <c r="DX557" s="78"/>
      <c r="DY557" s="78"/>
      <c r="DZ557" s="78"/>
      <c r="EA557" s="78"/>
      <c r="EB557" s="78"/>
      <c r="EC557" s="78"/>
      <c r="ED557" s="78"/>
      <c r="EE557" s="78"/>
      <c r="EF557" s="78"/>
      <c r="EG557" s="78"/>
      <c r="EH557" s="78"/>
      <c r="EI557" s="91"/>
      <c r="EJ557" s="91"/>
      <c r="EK557" s="91"/>
      <c r="EL557" s="91"/>
      <c r="EM557" s="91"/>
      <c r="EN557" s="91"/>
      <c r="EO557" s="91"/>
      <c r="EP557" s="78"/>
      <c r="EQ557" s="78"/>
      <c r="ER557" s="78"/>
      <c r="ES557" s="78"/>
      <c r="ET557" s="78"/>
      <c r="EU557" s="78"/>
      <c r="EV557" s="78"/>
      <c r="EW557" s="78"/>
      <c r="EX557" s="78"/>
      <c r="EY557" s="78"/>
      <c r="EZ557" s="78"/>
      <c r="FA557" s="78"/>
      <c r="FB557" s="78"/>
      <c r="FC557" s="78"/>
      <c r="FD557" s="78"/>
      <c r="FE557" s="78"/>
      <c r="FF557" s="78"/>
      <c r="FG557" s="78"/>
      <c r="FH557" s="78"/>
      <c r="FI557" s="78"/>
      <c r="FJ557" s="78"/>
      <c r="FK557" s="78"/>
    </row>
    <row r="558" spans="1:167" hidden="1" outlineLevel="1">
      <c r="A558" s="29" t="str">
        <f t="shared" si="38"/>
        <v>lt004_protectionrl_estt_clltrl_lctn</v>
      </c>
      <c r="B558" s="67" t="s">
        <v>26</v>
      </c>
      <c r="C558" s="68" t="s">
        <v>26</v>
      </c>
      <c r="D558" s="64" t="s">
        <v>40</v>
      </c>
      <c r="E558" s="70" t="s">
        <v>368</v>
      </c>
      <c r="F558" s="71" t="s">
        <v>434</v>
      </c>
      <c r="G558" s="64" t="str">
        <f>INDEX(Auxiliar!$B$16:$B$24,MATCH(Plano_V1!H558,Auxiliar!$C$16:$C$24,0),1)</f>
        <v>1. Concluído</v>
      </c>
      <c r="H558" s="64">
        <f>VLOOKUP(A558,'Aux - pivots1'!$A:$B,2,0)</f>
        <v>1</v>
      </c>
      <c r="I558" s="84">
        <f>SUMIFS(Table1[Estimação (horas)],Table1[Tabela],Plano_V1!E558,Table1[Campo],Plano_V1!F558)</f>
        <v>0.1</v>
      </c>
      <c r="J558" s="84">
        <f t="shared" si="39"/>
        <v>1.2500000000000001E-2</v>
      </c>
      <c r="K558" s="89" t="s">
        <v>399</v>
      </c>
      <c r="M558" s="78"/>
      <c r="N558" s="78"/>
      <c r="O558" s="78"/>
      <c r="P558" s="78"/>
      <c r="Q558" s="78"/>
      <c r="R558" s="78"/>
      <c r="S558" s="78"/>
      <c r="T558" s="78"/>
      <c r="U558" s="78"/>
      <c r="V558" s="78"/>
      <c r="W558" s="78"/>
      <c r="X558" s="78"/>
      <c r="Y558" s="78"/>
      <c r="Z558" s="78"/>
      <c r="AA558" s="78"/>
      <c r="AB558" s="78"/>
      <c r="AC558" s="78"/>
      <c r="AD558" s="78"/>
      <c r="AE558" s="78"/>
      <c r="AF558" s="78"/>
      <c r="AG558" s="78"/>
      <c r="AH558" s="78"/>
      <c r="AI558" s="78"/>
      <c r="AJ558" s="78"/>
      <c r="AK558" s="78"/>
      <c r="AL558" s="78"/>
      <c r="AM558" s="78"/>
      <c r="AN558" s="78"/>
      <c r="AO558" s="78"/>
      <c r="AP558" s="78"/>
      <c r="AQ558" s="78"/>
      <c r="AR558" s="78"/>
      <c r="AS558" s="78"/>
      <c r="AT558" s="91"/>
      <c r="AU558" s="78"/>
      <c r="AV558" s="78"/>
      <c r="AW558" s="78"/>
      <c r="AX558" s="78"/>
      <c r="AY558" s="78"/>
      <c r="AZ558" s="78"/>
      <c r="BA558" s="78"/>
      <c r="BB558" s="78"/>
      <c r="BC558" s="78"/>
      <c r="BD558" s="78"/>
      <c r="BE558" s="78"/>
      <c r="BF558" s="78"/>
      <c r="BG558" s="78"/>
      <c r="BH558" s="78"/>
      <c r="BI558" s="78"/>
      <c r="BJ558" s="78"/>
      <c r="BK558" s="78"/>
      <c r="BL558" s="78"/>
      <c r="BM558" s="78"/>
      <c r="BN558" s="78"/>
      <c r="BO558" s="78"/>
      <c r="BP558" s="78"/>
      <c r="BQ558" s="78"/>
      <c r="BR558" s="78"/>
      <c r="BS558" s="78"/>
      <c r="BT558" s="78"/>
      <c r="BU558" s="78"/>
      <c r="BV558" s="78"/>
      <c r="BW558" s="78"/>
      <c r="BX558" s="78"/>
      <c r="BY558" s="78"/>
      <c r="BZ558" s="78"/>
      <c r="CA558" s="78"/>
      <c r="CB558" s="78"/>
      <c r="CC558" s="78"/>
      <c r="CD558" s="78"/>
      <c r="CE558" s="78"/>
      <c r="CF558" s="78"/>
      <c r="CG558" s="78"/>
      <c r="CH558" s="78"/>
      <c r="CI558" s="78"/>
      <c r="CJ558" s="78"/>
      <c r="CK558" s="78"/>
      <c r="CL558" s="78"/>
      <c r="CM558" s="78"/>
      <c r="CN558" s="78"/>
      <c r="CO558" s="78"/>
      <c r="CP558" s="78"/>
      <c r="CQ558" s="78"/>
      <c r="CR558" s="78"/>
      <c r="CS558" s="78"/>
      <c r="CT558" s="78"/>
      <c r="CU558" s="78"/>
      <c r="CV558" s="78"/>
      <c r="CW558" s="78"/>
      <c r="CX558" s="78"/>
      <c r="CY558" s="78"/>
      <c r="CZ558" s="78"/>
      <c r="DA558" s="78"/>
      <c r="DB558" s="78"/>
      <c r="DC558" s="78"/>
      <c r="DD558" s="78"/>
      <c r="DE558" s="78"/>
      <c r="DF558" s="78"/>
      <c r="DG558" s="78"/>
      <c r="DH558" s="78"/>
      <c r="DI558" s="78"/>
      <c r="DJ558" s="78"/>
      <c r="DK558" s="78"/>
      <c r="DL558" s="78"/>
      <c r="DM558" s="78"/>
      <c r="DN558" s="78"/>
      <c r="DO558" s="78"/>
      <c r="DP558" s="78"/>
      <c r="DQ558" s="78"/>
      <c r="DR558" s="78"/>
      <c r="DS558" s="78"/>
      <c r="DT558" s="78"/>
      <c r="DU558" s="78"/>
      <c r="DV558" s="78"/>
      <c r="DW558" s="78"/>
      <c r="DX558" s="78"/>
      <c r="DY558" s="78"/>
      <c r="DZ558" s="78"/>
      <c r="EA558" s="78"/>
      <c r="EB558" s="78"/>
      <c r="EC558" s="78"/>
      <c r="ED558" s="78"/>
      <c r="EE558" s="78"/>
      <c r="EF558" s="78"/>
      <c r="EG558" s="78"/>
      <c r="EH558" s="78"/>
      <c r="EI558" s="91"/>
      <c r="EJ558" s="91"/>
      <c r="EK558" s="91"/>
      <c r="EL558" s="91"/>
      <c r="EM558" s="91"/>
      <c r="EN558" s="91"/>
      <c r="EO558" s="91"/>
      <c r="EP558" s="78"/>
      <c r="EQ558" s="78"/>
      <c r="ER558" s="78"/>
      <c r="ES558" s="78"/>
      <c r="ET558" s="78"/>
      <c r="EU558" s="78"/>
      <c r="EV558" s="78"/>
      <c r="EW558" s="78"/>
      <c r="EX558" s="78"/>
      <c r="EY558" s="78"/>
      <c r="EZ558" s="78"/>
      <c r="FA558" s="78"/>
      <c r="FB558" s="78"/>
      <c r="FC558" s="78"/>
      <c r="FD558" s="78"/>
      <c r="FE558" s="78"/>
      <c r="FF558" s="78"/>
      <c r="FG558" s="78"/>
      <c r="FH558" s="78"/>
      <c r="FI558" s="78"/>
      <c r="FJ558" s="78"/>
      <c r="FK558" s="78"/>
    </row>
    <row r="559" spans="1:167" hidden="1" outlineLevel="1">
      <c r="A559" s="29" t="str">
        <f t="shared" si="38"/>
        <v>lt004_protectionrl_estt_pst_cd</v>
      </c>
      <c r="B559" s="67" t="s">
        <v>26</v>
      </c>
      <c r="C559" s="68" t="s">
        <v>26</v>
      </c>
      <c r="D559" s="64" t="s">
        <v>40</v>
      </c>
      <c r="E559" s="70" t="s">
        <v>368</v>
      </c>
      <c r="F559" s="71" t="s">
        <v>435</v>
      </c>
      <c r="G559" s="64" t="str">
        <f>INDEX(Auxiliar!$B$16:$B$24,MATCH(Plano_V1!H559,Auxiliar!$C$16:$C$24,0),1)</f>
        <v>1. Concluído</v>
      </c>
      <c r="H559" s="64">
        <f>VLOOKUP(A559,'Aux - pivots1'!$A:$B,2,0)</f>
        <v>1</v>
      </c>
      <c r="I559" s="84">
        <f>SUMIFS(Table1[Estimação (horas)],Table1[Tabela],Plano_V1!E559,Table1[Campo],Plano_V1!F559)</f>
        <v>0.1</v>
      </c>
      <c r="J559" s="84">
        <f t="shared" si="39"/>
        <v>1.2500000000000001E-2</v>
      </c>
      <c r="K559" s="89" t="s">
        <v>399</v>
      </c>
      <c r="M559" s="78"/>
      <c r="N559" s="78"/>
      <c r="O559" s="78"/>
      <c r="P559" s="78"/>
      <c r="Q559" s="78"/>
      <c r="R559" s="78"/>
      <c r="S559" s="78"/>
      <c r="T559" s="78"/>
      <c r="U559" s="78"/>
      <c r="V559" s="78"/>
      <c r="W559" s="78"/>
      <c r="X559" s="78"/>
      <c r="Y559" s="78"/>
      <c r="Z559" s="78"/>
      <c r="AA559" s="78"/>
      <c r="AB559" s="78"/>
      <c r="AC559" s="78"/>
      <c r="AD559" s="78"/>
      <c r="AE559" s="78"/>
      <c r="AF559" s="78"/>
      <c r="AG559" s="78"/>
      <c r="AH559" s="78"/>
      <c r="AI559" s="78"/>
      <c r="AJ559" s="78"/>
      <c r="AK559" s="78"/>
      <c r="AL559" s="78"/>
      <c r="AM559" s="78"/>
      <c r="AN559" s="78"/>
      <c r="AO559" s="78"/>
      <c r="AP559" s="78"/>
      <c r="AQ559" s="78"/>
      <c r="AR559" s="78"/>
      <c r="AS559" s="78"/>
      <c r="AT559" s="91"/>
      <c r="AU559" s="78"/>
      <c r="AV559" s="78"/>
      <c r="AW559" s="78"/>
      <c r="AX559" s="78"/>
      <c r="AY559" s="78"/>
      <c r="AZ559" s="78"/>
      <c r="BA559" s="78"/>
      <c r="BB559" s="78"/>
      <c r="BC559" s="78"/>
      <c r="BD559" s="78"/>
      <c r="BE559" s="78"/>
      <c r="BF559" s="78"/>
      <c r="BG559" s="78"/>
      <c r="BH559" s="78"/>
      <c r="BI559" s="78"/>
      <c r="BJ559" s="78"/>
      <c r="BK559" s="78"/>
      <c r="BL559" s="78"/>
      <c r="BM559" s="78"/>
      <c r="BN559" s="78"/>
      <c r="BO559" s="78"/>
      <c r="BP559" s="78"/>
      <c r="BQ559" s="78"/>
      <c r="BR559" s="78"/>
      <c r="BS559" s="78"/>
      <c r="BT559" s="78"/>
      <c r="BU559" s="78"/>
      <c r="BV559" s="78"/>
      <c r="BW559" s="78"/>
      <c r="BX559" s="78"/>
      <c r="BY559" s="78"/>
      <c r="BZ559" s="78"/>
      <c r="CA559" s="78"/>
      <c r="CB559" s="78"/>
      <c r="CC559" s="78"/>
      <c r="CD559" s="78"/>
      <c r="CE559" s="78"/>
      <c r="CF559" s="78"/>
      <c r="CG559" s="78"/>
      <c r="CH559" s="78"/>
      <c r="CI559" s="78"/>
      <c r="CJ559" s="78"/>
      <c r="CK559" s="78"/>
      <c r="CL559" s="78"/>
      <c r="CM559" s="78"/>
      <c r="CN559" s="78"/>
      <c r="CO559" s="78"/>
      <c r="CP559" s="78"/>
      <c r="CQ559" s="78"/>
      <c r="CR559" s="78"/>
      <c r="CS559" s="78"/>
      <c r="CT559" s="78"/>
      <c r="CU559" s="78"/>
      <c r="CV559" s="78"/>
      <c r="CW559" s="78"/>
      <c r="CX559" s="78"/>
      <c r="CY559" s="78"/>
      <c r="CZ559" s="78"/>
      <c r="DA559" s="78"/>
      <c r="DB559" s="78"/>
      <c r="DC559" s="78"/>
      <c r="DD559" s="78"/>
      <c r="DE559" s="78"/>
      <c r="DF559" s="78"/>
      <c r="DG559" s="78"/>
      <c r="DH559" s="78"/>
      <c r="DI559" s="78"/>
      <c r="DJ559" s="78"/>
      <c r="DK559" s="78"/>
      <c r="DL559" s="78"/>
      <c r="DM559" s="78"/>
      <c r="DN559" s="78"/>
      <c r="DO559" s="78"/>
      <c r="DP559" s="78"/>
      <c r="DQ559" s="78"/>
      <c r="DR559" s="78"/>
      <c r="DS559" s="78"/>
      <c r="DT559" s="78"/>
      <c r="DU559" s="78"/>
      <c r="DV559" s="78"/>
      <c r="DW559" s="78"/>
      <c r="DX559" s="78"/>
      <c r="DY559" s="78"/>
      <c r="DZ559" s="78"/>
      <c r="EA559" s="78"/>
      <c r="EB559" s="78"/>
      <c r="EC559" s="78"/>
      <c r="ED559" s="78"/>
      <c r="EE559" s="78"/>
      <c r="EF559" s="78"/>
      <c r="EG559" s="78"/>
      <c r="EH559" s="78"/>
      <c r="EI559" s="91"/>
      <c r="EJ559" s="91"/>
      <c r="EK559" s="91"/>
      <c r="EL559" s="91"/>
      <c r="EM559" s="91"/>
      <c r="EN559" s="91"/>
      <c r="EO559" s="91"/>
      <c r="EP559" s="78"/>
      <c r="EQ559" s="78"/>
      <c r="ER559" s="78"/>
      <c r="ES559" s="78"/>
      <c r="ET559" s="78"/>
      <c r="EU559" s="78"/>
      <c r="EV559" s="78"/>
      <c r="EW559" s="78"/>
      <c r="EX559" s="78"/>
      <c r="EY559" s="78"/>
      <c r="EZ559" s="78"/>
      <c r="FA559" s="78"/>
      <c r="FB559" s="78"/>
      <c r="FC559" s="78"/>
      <c r="FD559" s="78"/>
      <c r="FE559" s="78"/>
      <c r="FF559" s="78"/>
      <c r="FG559" s="78"/>
      <c r="FH559" s="78"/>
      <c r="FI559" s="78"/>
      <c r="FJ559" s="78"/>
      <c r="FK559" s="78"/>
    </row>
    <row r="560" spans="1:167" hidden="1" outlineLevel="1">
      <c r="A560" s="29" t="str">
        <f t="shared" si="38"/>
        <v>lt004_protectiontyp_prtctn</v>
      </c>
      <c r="B560" s="67" t="s">
        <v>26</v>
      </c>
      <c r="C560" s="68" t="s">
        <v>26</v>
      </c>
      <c r="D560" s="64" t="s">
        <v>40</v>
      </c>
      <c r="E560" s="70" t="s">
        <v>368</v>
      </c>
      <c r="F560" s="71" t="s">
        <v>436</v>
      </c>
      <c r="G560" s="64" t="str">
        <f>INDEX(Auxiliar!$B$16:$B$24,MATCH(Plano_V1!H560,Auxiliar!$C$16:$C$24,0),1)</f>
        <v>1. Concluído</v>
      </c>
      <c r="H560" s="64">
        <f>VLOOKUP(A560,'Aux - pivots1'!$A:$B,2,0)</f>
        <v>1</v>
      </c>
      <c r="I560" s="84">
        <f>SUMIFS(Table1[Estimação (horas)],Table1[Tabela],Plano_V1!E560,Table1[Campo],Plano_V1!F560)</f>
        <v>0.1</v>
      </c>
      <c r="J560" s="84">
        <f t="shared" si="39"/>
        <v>1.2500000000000001E-2</v>
      </c>
      <c r="K560" s="89" t="s">
        <v>399</v>
      </c>
      <c r="M560" s="78"/>
      <c r="N560" s="78"/>
      <c r="O560" s="78"/>
      <c r="P560" s="78"/>
      <c r="Q560" s="78"/>
      <c r="R560" s="78"/>
      <c r="S560" s="78"/>
      <c r="T560" s="78"/>
      <c r="U560" s="78"/>
      <c r="V560" s="78"/>
      <c r="W560" s="78"/>
      <c r="X560" s="78"/>
      <c r="Y560" s="78"/>
      <c r="Z560" s="78"/>
      <c r="AA560" s="78"/>
      <c r="AB560" s="78"/>
      <c r="AC560" s="78"/>
      <c r="AD560" s="78"/>
      <c r="AE560" s="78"/>
      <c r="AF560" s="78"/>
      <c r="AG560" s="78"/>
      <c r="AH560" s="78"/>
      <c r="AI560" s="78"/>
      <c r="AJ560" s="78"/>
      <c r="AK560" s="78"/>
      <c r="AL560" s="78"/>
      <c r="AM560" s="78"/>
      <c r="AN560" s="78"/>
      <c r="AO560" s="78"/>
      <c r="AP560" s="78"/>
      <c r="AQ560" s="78"/>
      <c r="AR560" s="78"/>
      <c r="AS560" s="78"/>
      <c r="AT560" s="91"/>
      <c r="AU560" s="78"/>
      <c r="AV560" s="78"/>
      <c r="AW560" s="78"/>
      <c r="AX560" s="78"/>
      <c r="AY560" s="78"/>
      <c r="AZ560" s="78"/>
      <c r="BA560" s="78"/>
      <c r="BB560" s="78"/>
      <c r="BC560" s="78"/>
      <c r="BD560" s="78"/>
      <c r="BE560" s="78"/>
      <c r="BF560" s="78"/>
      <c r="BG560" s="78"/>
      <c r="BH560" s="78"/>
      <c r="BI560" s="78"/>
      <c r="BJ560" s="78"/>
      <c r="BK560" s="78"/>
      <c r="BL560" s="78"/>
      <c r="BM560" s="78"/>
      <c r="BN560" s="78"/>
      <c r="BO560" s="78"/>
      <c r="BP560" s="78"/>
      <c r="BQ560" s="78"/>
      <c r="BR560" s="78"/>
      <c r="BS560" s="78"/>
      <c r="BT560" s="78"/>
      <c r="BU560" s="78"/>
      <c r="BV560" s="78"/>
      <c r="BW560" s="78"/>
      <c r="BX560" s="78"/>
      <c r="BY560" s="78"/>
      <c r="BZ560" s="78"/>
      <c r="CA560" s="78"/>
      <c r="CB560" s="78"/>
      <c r="CC560" s="78"/>
      <c r="CD560" s="78"/>
      <c r="CE560" s="78"/>
      <c r="CF560" s="78"/>
      <c r="CG560" s="78"/>
      <c r="CH560" s="78"/>
      <c r="CI560" s="78"/>
      <c r="CJ560" s="78"/>
      <c r="CK560" s="78"/>
      <c r="CL560" s="78"/>
      <c r="CM560" s="78"/>
      <c r="CN560" s="78"/>
      <c r="CO560" s="78"/>
      <c r="CP560" s="78"/>
      <c r="CQ560" s="78"/>
      <c r="CR560" s="78"/>
      <c r="CS560" s="78"/>
      <c r="CT560" s="78"/>
      <c r="CU560" s="78"/>
      <c r="CV560" s="78"/>
      <c r="CW560" s="78"/>
      <c r="CX560" s="78"/>
      <c r="CY560" s="78"/>
      <c r="CZ560" s="78"/>
      <c r="DA560" s="78"/>
      <c r="DB560" s="78"/>
      <c r="DC560" s="78"/>
      <c r="DD560" s="78"/>
      <c r="DE560" s="78"/>
      <c r="DF560" s="78"/>
      <c r="DG560" s="78"/>
      <c r="DH560" s="78"/>
      <c r="DI560" s="78"/>
      <c r="DJ560" s="78"/>
      <c r="DK560" s="78"/>
      <c r="DL560" s="78"/>
      <c r="DM560" s="78"/>
      <c r="DN560" s="78"/>
      <c r="DO560" s="78"/>
      <c r="DP560" s="78"/>
      <c r="DQ560" s="78"/>
      <c r="DR560" s="78"/>
      <c r="DS560" s="78"/>
      <c r="DT560" s="78"/>
      <c r="DU560" s="78"/>
      <c r="DV560" s="78"/>
      <c r="DW560" s="78"/>
      <c r="DX560" s="78"/>
      <c r="DY560" s="78"/>
      <c r="DZ560" s="78"/>
      <c r="EA560" s="78"/>
      <c r="EB560" s="78"/>
      <c r="EC560" s="78"/>
      <c r="ED560" s="78"/>
      <c r="EE560" s="78"/>
      <c r="EF560" s="78"/>
      <c r="EG560" s="78"/>
      <c r="EH560" s="78"/>
      <c r="EI560" s="91"/>
      <c r="EJ560" s="91"/>
      <c r="EK560" s="91"/>
      <c r="EL560" s="91"/>
      <c r="EM560" s="91"/>
      <c r="EN560" s="91"/>
      <c r="EO560" s="91"/>
      <c r="EP560" s="78"/>
      <c r="EQ560" s="78"/>
      <c r="ER560" s="78"/>
      <c r="ES560" s="78"/>
      <c r="ET560" s="78"/>
      <c r="EU560" s="78"/>
      <c r="EV560" s="78"/>
      <c r="EW560" s="78"/>
      <c r="EX560" s="78"/>
      <c r="EY560" s="78"/>
      <c r="EZ560" s="78"/>
      <c r="FA560" s="78"/>
      <c r="FB560" s="78"/>
      <c r="FC560" s="78"/>
      <c r="FD560" s="78"/>
      <c r="FE560" s="78"/>
      <c r="FF560" s="78"/>
      <c r="FG560" s="78"/>
      <c r="FH560" s="78"/>
      <c r="FI560" s="78"/>
      <c r="FJ560" s="78"/>
      <c r="FK560" s="78"/>
    </row>
    <row r="561" spans="1:167" hidden="1" outlineLevel="1">
      <c r="A561" s="29" t="str">
        <f t="shared" si="38"/>
        <v>lt004_protectionorgnl_prtctn_vl</v>
      </c>
      <c r="B561" s="67" t="s">
        <v>26</v>
      </c>
      <c r="C561" s="68" t="s">
        <v>26</v>
      </c>
      <c r="D561" s="64" t="s">
        <v>40</v>
      </c>
      <c r="E561" s="70" t="s">
        <v>368</v>
      </c>
      <c r="F561" s="71" t="s">
        <v>437</v>
      </c>
      <c r="G561" s="64" t="str">
        <f>INDEX(Auxiliar!$B$16:$B$24,MATCH(Plano_V1!H561,Auxiliar!$C$16:$C$24,0),1)</f>
        <v>1. Concluído</v>
      </c>
      <c r="H561" s="64">
        <f>VLOOKUP(A561,'Aux - pivots1'!$A:$B,2,0)</f>
        <v>1</v>
      </c>
      <c r="I561" s="84">
        <f>SUMIFS(Table1[Estimação (horas)],Table1[Tabela],Plano_V1!E561,Table1[Campo],Plano_V1!F561)</f>
        <v>0.1</v>
      </c>
      <c r="J561" s="84">
        <f t="shared" si="39"/>
        <v>1.2500000000000001E-2</v>
      </c>
      <c r="K561" s="89" t="s">
        <v>399</v>
      </c>
      <c r="M561" s="78"/>
      <c r="N561" s="78"/>
      <c r="O561" s="78"/>
      <c r="P561" s="78"/>
      <c r="Q561" s="78"/>
      <c r="R561" s="78"/>
      <c r="S561" s="78"/>
      <c r="T561" s="78"/>
      <c r="U561" s="78"/>
      <c r="V561" s="78"/>
      <c r="W561" s="78"/>
      <c r="X561" s="78"/>
      <c r="Y561" s="78"/>
      <c r="Z561" s="78"/>
      <c r="AA561" s="78"/>
      <c r="AB561" s="78"/>
      <c r="AC561" s="78"/>
      <c r="AD561" s="78"/>
      <c r="AE561" s="78"/>
      <c r="AF561" s="78"/>
      <c r="AG561" s="78"/>
      <c r="AH561" s="78"/>
      <c r="AI561" s="78"/>
      <c r="AJ561" s="78"/>
      <c r="AK561" s="78"/>
      <c r="AL561" s="78"/>
      <c r="AM561" s="78"/>
      <c r="AN561" s="78"/>
      <c r="AO561" s="78"/>
      <c r="AP561" s="78"/>
      <c r="AQ561" s="78"/>
      <c r="AR561" s="78"/>
      <c r="AS561" s="78"/>
      <c r="AT561" s="91"/>
      <c r="AU561" s="78"/>
      <c r="AV561" s="78"/>
      <c r="AW561" s="78"/>
      <c r="AX561" s="78"/>
      <c r="AY561" s="78"/>
      <c r="AZ561" s="78"/>
      <c r="BA561" s="78"/>
      <c r="BB561" s="78"/>
      <c r="BC561" s="78"/>
      <c r="BD561" s="78"/>
      <c r="BE561" s="78"/>
      <c r="BF561" s="78"/>
      <c r="BG561" s="78"/>
      <c r="BH561" s="78"/>
      <c r="BI561" s="78"/>
      <c r="BJ561" s="78"/>
      <c r="BK561" s="78"/>
      <c r="BL561" s="78"/>
      <c r="BM561" s="78"/>
      <c r="BN561" s="78"/>
      <c r="BO561" s="78"/>
      <c r="BP561" s="78"/>
      <c r="BQ561" s="78"/>
      <c r="BR561" s="78"/>
      <c r="BS561" s="78"/>
      <c r="BT561" s="78"/>
      <c r="BU561" s="78"/>
      <c r="BV561" s="78"/>
      <c r="BW561" s="78"/>
      <c r="BX561" s="78"/>
      <c r="BY561" s="78"/>
      <c r="BZ561" s="78"/>
      <c r="CA561" s="78"/>
      <c r="CB561" s="78"/>
      <c r="CC561" s="78"/>
      <c r="CD561" s="78"/>
      <c r="CE561" s="78"/>
      <c r="CF561" s="78"/>
      <c r="CG561" s="78"/>
      <c r="CH561" s="78"/>
      <c r="CI561" s="78"/>
      <c r="CJ561" s="78"/>
      <c r="CK561" s="78"/>
      <c r="CL561" s="78"/>
      <c r="CM561" s="78"/>
      <c r="CN561" s="78"/>
      <c r="CO561" s="78"/>
      <c r="CP561" s="78"/>
      <c r="CQ561" s="78"/>
      <c r="CR561" s="78"/>
      <c r="CS561" s="78"/>
      <c r="CT561" s="78"/>
      <c r="CU561" s="78"/>
      <c r="CV561" s="78"/>
      <c r="CW561" s="78"/>
      <c r="CX561" s="78"/>
      <c r="CY561" s="78"/>
      <c r="CZ561" s="78"/>
      <c r="DA561" s="78"/>
      <c r="DB561" s="78"/>
      <c r="DC561" s="78"/>
      <c r="DD561" s="78"/>
      <c r="DE561" s="78"/>
      <c r="DF561" s="78"/>
      <c r="DG561" s="78"/>
      <c r="DH561" s="78"/>
      <c r="DI561" s="78"/>
      <c r="DJ561" s="78"/>
      <c r="DK561" s="78"/>
      <c r="DL561" s="78"/>
      <c r="DM561" s="78"/>
      <c r="DN561" s="78"/>
      <c r="DO561" s="78"/>
      <c r="DP561" s="78"/>
      <c r="DQ561" s="78"/>
      <c r="DR561" s="78"/>
      <c r="DS561" s="78"/>
      <c r="DT561" s="78"/>
      <c r="DU561" s="78"/>
      <c r="DV561" s="78"/>
      <c r="DW561" s="78"/>
      <c r="DX561" s="78"/>
      <c r="DY561" s="78"/>
      <c r="DZ561" s="78"/>
      <c r="EA561" s="78"/>
      <c r="EB561" s="78"/>
      <c r="EC561" s="78"/>
      <c r="ED561" s="78"/>
      <c r="EE561" s="78"/>
      <c r="EF561" s="78"/>
      <c r="EG561" s="78"/>
      <c r="EH561" s="78"/>
      <c r="EI561" s="91"/>
      <c r="EJ561" s="91"/>
      <c r="EK561" s="91"/>
      <c r="EL561" s="91"/>
      <c r="EM561" s="91"/>
      <c r="EN561" s="91"/>
      <c r="EO561" s="91"/>
      <c r="EP561" s="78"/>
      <c r="EQ561" s="78"/>
      <c r="ER561" s="78"/>
      <c r="ES561" s="78"/>
      <c r="ET561" s="78"/>
      <c r="EU561" s="78"/>
      <c r="EV561" s="78"/>
      <c r="EW561" s="78"/>
      <c r="EX561" s="78"/>
      <c r="EY561" s="78"/>
      <c r="EZ561" s="78"/>
      <c r="FA561" s="78"/>
      <c r="FB561" s="78"/>
      <c r="FC561" s="78"/>
      <c r="FD561" s="78"/>
      <c r="FE561" s="78"/>
      <c r="FF561" s="78"/>
      <c r="FG561" s="78"/>
      <c r="FH561" s="78"/>
      <c r="FI561" s="78"/>
      <c r="FJ561" s="78"/>
      <c r="FK561" s="78"/>
    </row>
    <row r="562" spans="1:167" hidden="1" outlineLevel="1">
      <c r="A562" s="29" t="str">
        <f t="shared" si="38"/>
        <v>lt004_protectionprtctn_vl</v>
      </c>
      <c r="B562" s="67" t="s">
        <v>26</v>
      </c>
      <c r="C562" s="68" t="s">
        <v>26</v>
      </c>
      <c r="D562" s="64" t="s">
        <v>40</v>
      </c>
      <c r="E562" s="70" t="s">
        <v>368</v>
      </c>
      <c r="F562" s="71" t="s">
        <v>438</v>
      </c>
      <c r="G562" s="64" t="str">
        <f>INDEX(Auxiliar!$B$16:$B$24,MATCH(Plano_V1!H562,Auxiliar!$C$16:$C$24,0),1)</f>
        <v>1. Concluído</v>
      </c>
      <c r="H562" s="64">
        <f>VLOOKUP(A562,'Aux - pivots1'!$A:$B,2,0)</f>
        <v>1</v>
      </c>
      <c r="I562" s="84">
        <f>SUMIFS(Table1[Estimação (horas)],Table1[Tabela],Plano_V1!E562,Table1[Campo],Plano_V1!F562)</f>
        <v>0.1</v>
      </c>
      <c r="J562" s="84">
        <f t="shared" si="39"/>
        <v>1.2500000000000001E-2</v>
      </c>
      <c r="K562" s="89" t="s">
        <v>399</v>
      </c>
      <c r="M562" s="78"/>
      <c r="N562" s="78"/>
      <c r="O562" s="78"/>
      <c r="P562" s="78"/>
      <c r="Q562" s="78"/>
      <c r="R562" s="78"/>
      <c r="S562" s="78"/>
      <c r="T562" s="78"/>
      <c r="U562" s="78"/>
      <c r="V562" s="78"/>
      <c r="W562" s="78"/>
      <c r="X562" s="78"/>
      <c r="Y562" s="78"/>
      <c r="Z562" s="78"/>
      <c r="AA562" s="78"/>
      <c r="AB562" s="78"/>
      <c r="AC562" s="78"/>
      <c r="AD562" s="78"/>
      <c r="AE562" s="78"/>
      <c r="AF562" s="78"/>
      <c r="AG562" s="78"/>
      <c r="AH562" s="78"/>
      <c r="AI562" s="78"/>
      <c r="AJ562" s="78"/>
      <c r="AK562" s="78"/>
      <c r="AL562" s="78"/>
      <c r="AM562" s="78"/>
      <c r="AN562" s="78"/>
      <c r="AO562" s="78"/>
      <c r="AP562" s="78"/>
      <c r="AQ562" s="78"/>
      <c r="AR562" s="78"/>
      <c r="AS562" s="78"/>
      <c r="AT562" s="91"/>
      <c r="AU562" s="78"/>
      <c r="AV562" s="78"/>
      <c r="AW562" s="78"/>
      <c r="AX562" s="78"/>
      <c r="AY562" s="78"/>
      <c r="AZ562" s="78"/>
      <c r="BA562" s="78"/>
      <c r="BB562" s="78"/>
      <c r="BC562" s="78"/>
      <c r="BD562" s="78"/>
      <c r="BE562" s="78"/>
      <c r="BF562" s="78"/>
      <c r="BG562" s="78"/>
      <c r="BH562" s="78"/>
      <c r="BI562" s="78"/>
      <c r="BJ562" s="78"/>
      <c r="BK562" s="78"/>
      <c r="BL562" s="78"/>
      <c r="BM562" s="78"/>
      <c r="BN562" s="78"/>
      <c r="BO562" s="78"/>
      <c r="BP562" s="78"/>
      <c r="BQ562" s="78"/>
      <c r="BR562" s="78"/>
      <c r="BS562" s="78"/>
      <c r="BT562" s="78"/>
      <c r="BU562" s="78"/>
      <c r="BV562" s="78"/>
      <c r="BW562" s="78"/>
      <c r="BX562" s="78"/>
      <c r="BY562" s="78"/>
      <c r="BZ562" s="78"/>
      <c r="CA562" s="78"/>
      <c r="CB562" s="78"/>
      <c r="CC562" s="78"/>
      <c r="CD562" s="78"/>
      <c r="CE562" s="78"/>
      <c r="CF562" s="78"/>
      <c r="CG562" s="78"/>
      <c r="CH562" s="78"/>
      <c r="CI562" s="78"/>
      <c r="CJ562" s="78"/>
      <c r="CK562" s="78"/>
      <c r="CL562" s="78"/>
      <c r="CM562" s="78"/>
      <c r="CN562" s="78"/>
      <c r="CO562" s="78"/>
      <c r="CP562" s="78"/>
      <c r="CQ562" s="78"/>
      <c r="CR562" s="78"/>
      <c r="CS562" s="78"/>
      <c r="CT562" s="78"/>
      <c r="CU562" s="78"/>
      <c r="CV562" s="78"/>
      <c r="CW562" s="78"/>
      <c r="CX562" s="78"/>
      <c r="CY562" s="78"/>
      <c r="CZ562" s="78"/>
      <c r="DA562" s="78"/>
      <c r="DB562" s="78"/>
      <c r="DC562" s="78"/>
      <c r="DD562" s="78"/>
      <c r="DE562" s="78"/>
      <c r="DF562" s="78"/>
      <c r="DG562" s="78"/>
      <c r="DH562" s="78"/>
      <c r="DI562" s="78"/>
      <c r="DJ562" s="78"/>
      <c r="DK562" s="78"/>
      <c r="DL562" s="78"/>
      <c r="DM562" s="78"/>
      <c r="DN562" s="78"/>
      <c r="DO562" s="78"/>
      <c r="DP562" s="78"/>
      <c r="DQ562" s="78"/>
      <c r="DR562" s="78"/>
      <c r="DS562" s="78"/>
      <c r="DT562" s="78"/>
      <c r="DU562" s="78"/>
      <c r="DV562" s="78"/>
      <c r="DW562" s="78"/>
      <c r="DX562" s="78"/>
      <c r="DY562" s="78"/>
      <c r="DZ562" s="78"/>
      <c r="EA562" s="78"/>
      <c r="EB562" s="78"/>
      <c r="EC562" s="78"/>
      <c r="ED562" s="78"/>
      <c r="EE562" s="78"/>
      <c r="EF562" s="78"/>
      <c r="EG562" s="78"/>
      <c r="EH562" s="78"/>
      <c r="EI562" s="91"/>
      <c r="EJ562" s="91"/>
      <c r="EK562" s="91"/>
      <c r="EL562" s="91"/>
      <c r="EM562" s="91"/>
      <c r="EN562" s="91"/>
      <c r="EO562" s="91"/>
      <c r="EP562" s="78"/>
      <c r="EQ562" s="78"/>
      <c r="ER562" s="78"/>
      <c r="ES562" s="78"/>
      <c r="ET562" s="78"/>
      <c r="EU562" s="78"/>
      <c r="EV562" s="78"/>
      <c r="EW562" s="78"/>
      <c r="EX562" s="78"/>
      <c r="EY562" s="78"/>
      <c r="EZ562" s="78"/>
      <c r="FA562" s="78"/>
      <c r="FB562" s="78"/>
      <c r="FC562" s="78"/>
      <c r="FD562" s="78"/>
      <c r="FE562" s="78"/>
      <c r="FF562" s="78"/>
      <c r="FG562" s="78"/>
      <c r="FH562" s="78"/>
      <c r="FI562" s="78"/>
      <c r="FJ562" s="78"/>
      <c r="FK562" s="78"/>
    </row>
    <row r="563" spans="1:167" hidden="1" outlineLevel="1">
      <c r="A563" s="29" t="str">
        <f t="shared" si="38"/>
        <v>lt004_protectioncod_soc</v>
      </c>
      <c r="B563" s="67" t="s">
        <v>26</v>
      </c>
      <c r="C563" s="68" t="s">
        <v>26</v>
      </c>
      <c r="D563" s="64" t="s">
        <v>40</v>
      </c>
      <c r="E563" s="70" t="s">
        <v>368</v>
      </c>
      <c r="F563" s="71" t="s">
        <v>416</v>
      </c>
      <c r="G563" s="64" t="str">
        <f>INDEX(Auxiliar!$B$16:$B$24,MATCH(Plano_V1!H563,Auxiliar!$C$16:$C$24,0),1)</f>
        <v>1. Concluído</v>
      </c>
      <c r="H563" s="64">
        <f>VLOOKUP(A563,'Aux - pivots1'!$A:$B,2,0)</f>
        <v>1</v>
      </c>
      <c r="I563" s="84">
        <f>SUMIFS(Table1[Estimação (horas)],Table1[Tabela],Plano_V1!E563,Table1[Campo],Plano_V1!F563)</f>
        <v>0.1</v>
      </c>
      <c r="J563" s="84">
        <f t="shared" si="39"/>
        <v>1.2500000000000001E-2</v>
      </c>
      <c r="K563" s="89" t="s">
        <v>399</v>
      </c>
      <c r="M563" s="78"/>
      <c r="N563" s="78"/>
      <c r="O563" s="78"/>
      <c r="P563" s="78"/>
      <c r="Q563" s="78"/>
      <c r="R563" s="78"/>
      <c r="S563" s="78"/>
      <c r="T563" s="78"/>
      <c r="U563" s="78"/>
      <c r="V563" s="78"/>
      <c r="W563" s="78"/>
      <c r="X563" s="78"/>
      <c r="Y563" s="78"/>
      <c r="Z563" s="78"/>
      <c r="AA563" s="78"/>
      <c r="AB563" s="78"/>
      <c r="AC563" s="78"/>
      <c r="AD563" s="78"/>
      <c r="AE563" s="78"/>
      <c r="AF563" s="78"/>
      <c r="AG563" s="78"/>
      <c r="AH563" s="78"/>
      <c r="AI563" s="78"/>
      <c r="AJ563" s="78"/>
      <c r="AK563" s="78"/>
      <c r="AL563" s="78"/>
      <c r="AM563" s="78"/>
      <c r="AN563" s="78"/>
      <c r="AO563" s="78"/>
      <c r="AP563" s="78"/>
      <c r="AQ563" s="78"/>
      <c r="AR563" s="78"/>
      <c r="AS563" s="78"/>
      <c r="AT563" s="91"/>
      <c r="AU563" s="78"/>
      <c r="AV563" s="78"/>
      <c r="AW563" s="78"/>
      <c r="AX563" s="78"/>
      <c r="AY563" s="78"/>
      <c r="AZ563" s="78"/>
      <c r="BA563" s="78"/>
      <c r="BB563" s="78"/>
      <c r="BC563" s="78"/>
      <c r="BD563" s="78"/>
      <c r="BE563" s="78"/>
      <c r="BF563" s="78"/>
      <c r="BG563" s="78"/>
      <c r="BH563" s="78"/>
      <c r="BI563" s="78"/>
      <c r="BJ563" s="78"/>
      <c r="BK563" s="78"/>
      <c r="BL563" s="78"/>
      <c r="BM563" s="78"/>
      <c r="BN563" s="78"/>
      <c r="BO563" s="78"/>
      <c r="BP563" s="78"/>
      <c r="BQ563" s="78"/>
      <c r="BR563" s="78"/>
      <c r="BS563" s="78"/>
      <c r="BT563" s="78"/>
      <c r="BU563" s="78"/>
      <c r="BV563" s="78"/>
      <c r="BW563" s="78"/>
      <c r="BX563" s="78"/>
      <c r="BY563" s="78"/>
      <c r="BZ563" s="78"/>
      <c r="CA563" s="78"/>
      <c r="CB563" s="78"/>
      <c r="CC563" s="78"/>
      <c r="CD563" s="78"/>
      <c r="CE563" s="78"/>
      <c r="CF563" s="78"/>
      <c r="CG563" s="78"/>
      <c r="CH563" s="78"/>
      <c r="CI563" s="78"/>
      <c r="CJ563" s="78"/>
      <c r="CK563" s="78"/>
      <c r="CL563" s="78"/>
      <c r="CM563" s="78"/>
      <c r="CN563" s="78"/>
      <c r="CO563" s="78"/>
      <c r="CP563" s="78"/>
      <c r="CQ563" s="78"/>
      <c r="CR563" s="78"/>
      <c r="CS563" s="78"/>
      <c r="CT563" s="78"/>
      <c r="CU563" s="78"/>
      <c r="CV563" s="78"/>
      <c r="CW563" s="78"/>
      <c r="CX563" s="78"/>
      <c r="CY563" s="78"/>
      <c r="CZ563" s="78"/>
      <c r="DA563" s="78"/>
      <c r="DB563" s="78"/>
      <c r="DC563" s="78"/>
      <c r="DD563" s="78"/>
      <c r="DE563" s="78"/>
      <c r="DF563" s="78"/>
      <c r="DG563" s="78"/>
      <c r="DH563" s="78"/>
      <c r="DI563" s="78"/>
      <c r="DJ563" s="78"/>
      <c r="DK563" s="78"/>
      <c r="DL563" s="78"/>
      <c r="DM563" s="78"/>
      <c r="DN563" s="78"/>
      <c r="DO563" s="78"/>
      <c r="DP563" s="78"/>
      <c r="DQ563" s="78"/>
      <c r="DR563" s="78"/>
      <c r="DS563" s="78"/>
      <c r="DT563" s="78"/>
      <c r="DU563" s="78"/>
      <c r="DV563" s="78"/>
      <c r="DW563" s="78"/>
      <c r="DX563" s="78"/>
      <c r="DY563" s="78"/>
      <c r="DZ563" s="78"/>
      <c r="EA563" s="78"/>
      <c r="EB563" s="78"/>
      <c r="EC563" s="78"/>
      <c r="ED563" s="78"/>
      <c r="EE563" s="78"/>
      <c r="EF563" s="78"/>
      <c r="EG563" s="78"/>
      <c r="EH563" s="78"/>
      <c r="EI563" s="91"/>
      <c r="EJ563" s="91"/>
      <c r="EK563" s="91"/>
      <c r="EL563" s="91"/>
      <c r="EM563" s="91"/>
      <c r="EN563" s="91"/>
      <c r="EO563" s="91"/>
      <c r="EP563" s="78"/>
      <c r="EQ563" s="78"/>
      <c r="ER563" s="78"/>
      <c r="ES563" s="78"/>
      <c r="ET563" s="78"/>
      <c r="EU563" s="78"/>
      <c r="EV563" s="78"/>
      <c r="EW563" s="78"/>
      <c r="EX563" s="78"/>
      <c r="EY563" s="78"/>
      <c r="EZ563" s="78"/>
      <c r="FA563" s="78"/>
      <c r="FB563" s="78"/>
      <c r="FC563" s="78"/>
      <c r="FD563" s="78"/>
      <c r="FE563" s="78"/>
      <c r="FF563" s="78"/>
      <c r="FG563" s="78"/>
      <c r="FH563" s="78"/>
      <c r="FI563" s="78"/>
      <c r="FJ563" s="78"/>
      <c r="FK563" s="78"/>
    </row>
    <row r="564" spans="1:167" hidden="1" outlineLevel="1">
      <c r="A564" s="29" t="str">
        <f t="shared" si="38"/>
        <v>lt005_instr_entdt_rfrnc</v>
      </c>
      <c r="B564" s="67" t="s">
        <v>26</v>
      </c>
      <c r="C564" s="68" t="s">
        <v>26</v>
      </c>
      <c r="D564" s="64" t="s">
        <v>40</v>
      </c>
      <c r="E564" s="70" t="s">
        <v>439</v>
      </c>
      <c r="F564" s="71" t="s">
        <v>398</v>
      </c>
      <c r="G564" s="64" t="str">
        <f>INDEX(Auxiliar!$B$16:$B$24,MATCH(Plano_V1!H564,Auxiliar!$C$16:$C$24,0),1)</f>
        <v>1. Concluído</v>
      </c>
      <c r="H564" s="64">
        <f>VLOOKUP(A564,'Aux - pivots1'!$A:$B,2,0)</f>
        <v>1</v>
      </c>
      <c r="I564" s="84">
        <f>SUMIFS(Table1[Estimação (horas)],Table1[Tabela],Plano_V1!E564,Table1[Campo],Plano_V1!F564)</f>
        <v>0.1</v>
      </c>
      <c r="J564" s="84">
        <f t="shared" si="39"/>
        <v>1.2500000000000001E-2</v>
      </c>
      <c r="K564" s="89" t="s">
        <v>399</v>
      </c>
      <c r="M564" s="78"/>
      <c r="N564" s="78"/>
      <c r="O564" s="78"/>
      <c r="P564" s="78"/>
      <c r="Q564" s="78"/>
      <c r="R564" s="78"/>
      <c r="S564" s="78"/>
      <c r="T564" s="78"/>
      <c r="U564" s="78"/>
      <c r="V564" s="78"/>
      <c r="W564" s="78"/>
      <c r="X564" s="78"/>
      <c r="Y564" s="78"/>
      <c r="Z564" s="78"/>
      <c r="AA564" s="78"/>
      <c r="AB564" s="78"/>
      <c r="AC564" s="78"/>
      <c r="AD564" s="78"/>
      <c r="AE564" s="78"/>
      <c r="AF564" s="78"/>
      <c r="AG564" s="78"/>
      <c r="AH564" s="78"/>
      <c r="AI564" s="78"/>
      <c r="AJ564" s="78"/>
      <c r="AK564" s="78"/>
      <c r="AL564" s="78"/>
      <c r="AM564" s="78"/>
      <c r="AN564" s="78"/>
      <c r="AO564" s="78"/>
      <c r="AP564" s="78"/>
      <c r="AQ564" s="78"/>
      <c r="AR564" s="78"/>
      <c r="AS564" s="78"/>
      <c r="AT564" s="91"/>
      <c r="AU564" s="78"/>
      <c r="AV564" s="78"/>
      <c r="AW564" s="78"/>
      <c r="AX564" s="78"/>
      <c r="AY564" s="78"/>
      <c r="AZ564" s="78"/>
      <c r="BA564" s="78"/>
      <c r="BB564" s="78"/>
      <c r="BC564" s="78"/>
      <c r="BD564" s="78"/>
      <c r="BE564" s="78"/>
      <c r="BF564" s="78"/>
      <c r="BG564" s="78"/>
      <c r="BH564" s="78"/>
      <c r="BI564" s="78"/>
      <c r="BJ564" s="78"/>
      <c r="BK564" s="78"/>
      <c r="BL564" s="78"/>
      <c r="BM564" s="78"/>
      <c r="BN564" s="78"/>
      <c r="BO564" s="78"/>
      <c r="BP564" s="78"/>
      <c r="BQ564" s="78"/>
      <c r="BR564" s="78"/>
      <c r="BS564" s="78"/>
      <c r="BT564" s="78"/>
      <c r="BU564" s="78"/>
      <c r="BV564" s="78"/>
      <c r="BW564" s="78"/>
      <c r="BX564" s="78"/>
      <c r="BY564" s="78"/>
      <c r="BZ564" s="78"/>
      <c r="CA564" s="78"/>
      <c r="CB564" s="78"/>
      <c r="CC564" s="78"/>
      <c r="CD564" s="78"/>
      <c r="CE564" s="78"/>
      <c r="CF564" s="78"/>
      <c r="CG564" s="78"/>
      <c r="CH564" s="78"/>
      <c r="CI564" s="78"/>
      <c r="CJ564" s="78"/>
      <c r="CK564" s="78"/>
      <c r="CL564" s="78"/>
      <c r="CM564" s="78"/>
      <c r="CN564" s="78"/>
      <c r="CO564" s="78"/>
      <c r="CP564" s="78"/>
      <c r="CQ564" s="78"/>
      <c r="CR564" s="78"/>
      <c r="CS564" s="78"/>
      <c r="CT564" s="78"/>
      <c r="CU564" s="78"/>
      <c r="CV564" s="78"/>
      <c r="CW564" s="78"/>
      <c r="CX564" s="78"/>
      <c r="CY564" s="78"/>
      <c r="CZ564" s="78"/>
      <c r="DA564" s="78"/>
      <c r="DB564" s="78"/>
      <c r="DC564" s="78"/>
      <c r="DD564" s="78"/>
      <c r="DE564" s="78"/>
      <c r="DF564" s="78"/>
      <c r="DG564" s="78"/>
      <c r="DH564" s="78"/>
      <c r="DI564" s="78"/>
      <c r="DJ564" s="78"/>
      <c r="DK564" s="78"/>
      <c r="DL564" s="78"/>
      <c r="DM564" s="78"/>
      <c r="DN564" s="78"/>
      <c r="DO564" s="78"/>
      <c r="DP564" s="78"/>
      <c r="DQ564" s="78"/>
      <c r="DR564" s="78"/>
      <c r="DS564" s="78"/>
      <c r="DT564" s="78"/>
      <c r="DU564" s="78"/>
      <c r="DV564" s="78"/>
      <c r="DW564" s="78"/>
      <c r="DX564" s="78"/>
      <c r="DY564" s="78"/>
      <c r="DZ564" s="78"/>
      <c r="EA564" s="78"/>
      <c r="EB564" s="78"/>
      <c r="EC564" s="78"/>
      <c r="ED564" s="78"/>
      <c r="EE564" s="78"/>
      <c r="EF564" s="78"/>
      <c r="EG564" s="78"/>
      <c r="EH564" s="78"/>
      <c r="EI564" s="91"/>
      <c r="EJ564" s="91"/>
      <c r="EK564" s="91"/>
      <c r="EL564" s="91"/>
      <c r="EM564" s="91"/>
      <c r="EN564" s="91"/>
      <c r="EO564" s="91"/>
      <c r="EP564" s="78"/>
      <c r="EQ564" s="78"/>
      <c r="ER564" s="78"/>
      <c r="ES564" s="78"/>
      <c r="ET564" s="78"/>
      <c r="EU564" s="78"/>
      <c r="EV564" s="78"/>
      <c r="EW564" s="78"/>
      <c r="EX564" s="78"/>
      <c r="EY564" s="78"/>
      <c r="EZ564" s="78"/>
      <c r="FA564" s="78"/>
      <c r="FB564" s="78"/>
      <c r="FC564" s="78"/>
      <c r="FD564" s="78"/>
      <c r="FE564" s="78"/>
      <c r="FF564" s="78"/>
      <c r="FG564" s="78"/>
      <c r="FH564" s="78"/>
      <c r="FI564" s="78"/>
      <c r="FJ564" s="78"/>
      <c r="FK564" s="78"/>
    </row>
    <row r="565" spans="1:167" hidden="1" outlineLevel="1">
      <c r="A565" s="29" t="str">
        <f t="shared" si="38"/>
        <v>lt005_instr_ententty_id</v>
      </c>
      <c r="B565" s="67" t="s">
        <v>26</v>
      </c>
      <c r="C565" s="68" t="s">
        <v>26</v>
      </c>
      <c r="D565" s="64" t="s">
        <v>40</v>
      </c>
      <c r="E565" s="70" t="s">
        <v>439</v>
      </c>
      <c r="F565" s="71" t="s">
        <v>425</v>
      </c>
      <c r="G565" s="64" t="str">
        <f>INDEX(Auxiliar!$B$16:$B$24,MATCH(Plano_V1!H565,Auxiliar!$C$16:$C$24,0),1)</f>
        <v>1. Concluído</v>
      </c>
      <c r="H565" s="64">
        <f>VLOOKUP(A565,'Aux - pivots1'!$A:$B,2,0)</f>
        <v>1</v>
      </c>
      <c r="I565" s="84">
        <f>SUMIFS(Table1[Estimação (horas)],Table1[Tabela],Plano_V1!E565,Table1[Campo],Plano_V1!F565)</f>
        <v>0.1</v>
      </c>
      <c r="J565" s="84">
        <f t="shared" si="39"/>
        <v>1.2500000000000001E-2</v>
      </c>
      <c r="K565" s="89" t="s">
        <v>399</v>
      </c>
      <c r="M565" s="78"/>
      <c r="N565" s="78"/>
      <c r="O565" s="78"/>
      <c r="P565" s="78"/>
      <c r="Q565" s="78"/>
      <c r="R565" s="78"/>
      <c r="S565" s="78"/>
      <c r="T565" s="78"/>
      <c r="U565" s="78"/>
      <c r="V565" s="78"/>
      <c r="W565" s="78"/>
      <c r="X565" s="78"/>
      <c r="Y565" s="78"/>
      <c r="Z565" s="78"/>
      <c r="AA565" s="78"/>
      <c r="AB565" s="78"/>
      <c r="AC565" s="78"/>
      <c r="AD565" s="78"/>
      <c r="AE565" s="78"/>
      <c r="AF565" s="78"/>
      <c r="AG565" s="78"/>
      <c r="AH565" s="78"/>
      <c r="AI565" s="78"/>
      <c r="AJ565" s="78"/>
      <c r="AK565" s="78"/>
      <c r="AL565" s="78"/>
      <c r="AM565" s="78"/>
      <c r="AN565" s="78"/>
      <c r="AO565" s="78"/>
      <c r="AP565" s="78"/>
      <c r="AQ565" s="78"/>
      <c r="AR565" s="78"/>
      <c r="AS565" s="78"/>
      <c r="AT565" s="91"/>
      <c r="AU565" s="78"/>
      <c r="AV565" s="78"/>
      <c r="AW565" s="78"/>
      <c r="AX565" s="78"/>
      <c r="AY565" s="78"/>
      <c r="AZ565" s="78"/>
      <c r="BA565" s="78"/>
      <c r="BB565" s="78"/>
      <c r="BC565" s="78"/>
      <c r="BD565" s="78"/>
      <c r="BE565" s="78"/>
      <c r="BF565" s="78"/>
      <c r="BG565" s="78"/>
      <c r="BH565" s="78"/>
      <c r="BI565" s="78"/>
      <c r="BJ565" s="78"/>
      <c r="BK565" s="78"/>
      <c r="BL565" s="78"/>
      <c r="BM565" s="78"/>
      <c r="BN565" s="78"/>
      <c r="BO565" s="78"/>
      <c r="BP565" s="78"/>
      <c r="BQ565" s="78"/>
      <c r="BR565" s="78"/>
      <c r="BS565" s="78"/>
      <c r="BT565" s="78"/>
      <c r="BU565" s="78"/>
      <c r="BV565" s="78"/>
      <c r="BW565" s="78"/>
      <c r="BX565" s="78"/>
      <c r="BY565" s="78"/>
      <c r="BZ565" s="78"/>
      <c r="CA565" s="78"/>
      <c r="CB565" s="78"/>
      <c r="CC565" s="78"/>
      <c r="CD565" s="78"/>
      <c r="CE565" s="78"/>
      <c r="CF565" s="78"/>
      <c r="CG565" s="78"/>
      <c r="CH565" s="78"/>
      <c r="CI565" s="78"/>
      <c r="CJ565" s="78"/>
      <c r="CK565" s="78"/>
      <c r="CL565" s="78"/>
      <c r="CM565" s="78"/>
      <c r="CN565" s="78"/>
      <c r="CO565" s="78"/>
      <c r="CP565" s="78"/>
      <c r="CQ565" s="78"/>
      <c r="CR565" s="78"/>
      <c r="CS565" s="78"/>
      <c r="CT565" s="78"/>
      <c r="CU565" s="78"/>
      <c r="CV565" s="78"/>
      <c r="CW565" s="78"/>
      <c r="CX565" s="78"/>
      <c r="CY565" s="78"/>
      <c r="CZ565" s="78"/>
      <c r="DA565" s="78"/>
      <c r="DB565" s="78"/>
      <c r="DC565" s="78"/>
      <c r="DD565" s="78"/>
      <c r="DE565" s="78"/>
      <c r="DF565" s="78"/>
      <c r="DG565" s="78"/>
      <c r="DH565" s="78"/>
      <c r="DI565" s="78"/>
      <c r="DJ565" s="78"/>
      <c r="DK565" s="78"/>
      <c r="DL565" s="78"/>
      <c r="DM565" s="78"/>
      <c r="DN565" s="78"/>
      <c r="DO565" s="78"/>
      <c r="DP565" s="78"/>
      <c r="DQ565" s="78"/>
      <c r="DR565" s="78"/>
      <c r="DS565" s="78"/>
      <c r="DT565" s="78"/>
      <c r="DU565" s="78"/>
      <c r="DV565" s="78"/>
      <c r="DW565" s="78"/>
      <c r="DX565" s="78"/>
      <c r="DY565" s="78"/>
      <c r="DZ565" s="78"/>
      <c r="EA565" s="78"/>
      <c r="EB565" s="78"/>
      <c r="EC565" s="78"/>
      <c r="ED565" s="78"/>
      <c r="EE565" s="78"/>
      <c r="EF565" s="78"/>
      <c r="EG565" s="78"/>
      <c r="EH565" s="78"/>
      <c r="EI565" s="91"/>
      <c r="EJ565" s="91"/>
      <c r="EK565" s="91"/>
      <c r="EL565" s="91"/>
      <c r="EM565" s="91"/>
      <c r="EN565" s="91"/>
      <c r="EO565" s="91"/>
      <c r="EP565" s="78"/>
      <c r="EQ565" s="78"/>
      <c r="ER565" s="78"/>
      <c r="ES565" s="78"/>
      <c r="ET565" s="78"/>
      <c r="EU565" s="78"/>
      <c r="EV565" s="78"/>
      <c r="EW565" s="78"/>
      <c r="EX565" s="78"/>
      <c r="EY565" s="78"/>
      <c r="EZ565" s="78"/>
      <c r="FA565" s="78"/>
      <c r="FB565" s="78"/>
      <c r="FC565" s="78"/>
      <c r="FD565" s="78"/>
      <c r="FE565" s="78"/>
      <c r="FF565" s="78"/>
      <c r="FG565" s="78"/>
      <c r="FH565" s="78"/>
      <c r="FI565" s="78"/>
      <c r="FJ565" s="78"/>
      <c r="FK565" s="78"/>
    </row>
    <row r="566" spans="1:167" hidden="1" outlineLevel="1">
      <c r="A566" s="29" t="str">
        <f t="shared" si="38"/>
        <v>lt005_instr_entinstrmnt_id</v>
      </c>
      <c r="B566" s="67" t="s">
        <v>26</v>
      </c>
      <c r="C566" s="68" t="s">
        <v>26</v>
      </c>
      <c r="D566" s="64" t="s">
        <v>40</v>
      </c>
      <c r="E566" s="70" t="s">
        <v>439</v>
      </c>
      <c r="F566" s="71" t="s">
        <v>400</v>
      </c>
      <c r="G566" s="64" t="str">
        <f>INDEX(Auxiliar!$B$16:$B$24,MATCH(Plano_V1!H566,Auxiliar!$C$16:$C$24,0),1)</f>
        <v>1. Concluído</v>
      </c>
      <c r="H566" s="64">
        <f>VLOOKUP(A566,'Aux - pivots1'!$A:$B,2,0)</f>
        <v>1</v>
      </c>
      <c r="I566" s="84">
        <f>SUMIFS(Table1[Estimação (horas)],Table1[Tabela],Plano_V1!E566,Table1[Campo],Plano_V1!F566)</f>
        <v>0.1</v>
      </c>
      <c r="J566" s="84">
        <f t="shared" si="39"/>
        <v>1.2500000000000001E-2</v>
      </c>
      <c r="K566" s="89" t="s">
        <v>399</v>
      </c>
      <c r="M566" s="78"/>
      <c r="N566" s="78"/>
      <c r="O566" s="78"/>
      <c r="P566" s="78"/>
      <c r="Q566" s="78"/>
      <c r="R566" s="78"/>
      <c r="S566" s="78"/>
      <c r="T566" s="78"/>
      <c r="U566" s="78"/>
      <c r="V566" s="78"/>
      <c r="W566" s="78"/>
      <c r="X566" s="78"/>
      <c r="Y566" s="78"/>
      <c r="Z566" s="78"/>
      <c r="AA566" s="78"/>
      <c r="AB566" s="78"/>
      <c r="AC566" s="78"/>
      <c r="AD566" s="78"/>
      <c r="AE566" s="78"/>
      <c r="AF566" s="78"/>
      <c r="AG566" s="78"/>
      <c r="AH566" s="78"/>
      <c r="AI566" s="78"/>
      <c r="AJ566" s="78"/>
      <c r="AK566" s="78"/>
      <c r="AL566" s="78"/>
      <c r="AM566" s="78"/>
      <c r="AN566" s="78"/>
      <c r="AO566" s="78"/>
      <c r="AP566" s="78"/>
      <c r="AQ566" s="78"/>
      <c r="AR566" s="78"/>
      <c r="AS566" s="78"/>
      <c r="AT566" s="91"/>
      <c r="AU566" s="78"/>
      <c r="AV566" s="78"/>
      <c r="AW566" s="78"/>
      <c r="AX566" s="78"/>
      <c r="AY566" s="78"/>
      <c r="AZ566" s="78"/>
      <c r="BA566" s="78"/>
      <c r="BB566" s="78"/>
      <c r="BC566" s="78"/>
      <c r="BD566" s="78"/>
      <c r="BE566" s="78"/>
      <c r="BF566" s="78"/>
      <c r="BG566" s="78"/>
      <c r="BH566" s="78"/>
      <c r="BI566" s="78"/>
      <c r="BJ566" s="78"/>
      <c r="BK566" s="78"/>
      <c r="BL566" s="78"/>
      <c r="BM566" s="78"/>
      <c r="BN566" s="78"/>
      <c r="BO566" s="78"/>
      <c r="BP566" s="78"/>
      <c r="BQ566" s="78"/>
      <c r="BR566" s="78"/>
      <c r="BS566" s="78"/>
      <c r="BT566" s="78"/>
      <c r="BU566" s="78"/>
      <c r="BV566" s="78"/>
      <c r="BW566" s="78"/>
      <c r="BX566" s="78"/>
      <c r="BY566" s="78"/>
      <c r="BZ566" s="78"/>
      <c r="CA566" s="78"/>
      <c r="CB566" s="78"/>
      <c r="CC566" s="78"/>
      <c r="CD566" s="78"/>
      <c r="CE566" s="78"/>
      <c r="CF566" s="78"/>
      <c r="CG566" s="78"/>
      <c r="CH566" s="78"/>
      <c r="CI566" s="78"/>
      <c r="CJ566" s="78"/>
      <c r="CK566" s="78"/>
      <c r="CL566" s="78"/>
      <c r="CM566" s="78"/>
      <c r="CN566" s="78"/>
      <c r="CO566" s="78"/>
      <c r="CP566" s="78"/>
      <c r="CQ566" s="78"/>
      <c r="CR566" s="78"/>
      <c r="CS566" s="78"/>
      <c r="CT566" s="78"/>
      <c r="CU566" s="78"/>
      <c r="CV566" s="78"/>
      <c r="CW566" s="78"/>
      <c r="CX566" s="78"/>
      <c r="CY566" s="78"/>
      <c r="CZ566" s="78"/>
      <c r="DA566" s="78"/>
      <c r="DB566" s="78"/>
      <c r="DC566" s="78"/>
      <c r="DD566" s="78"/>
      <c r="DE566" s="78"/>
      <c r="DF566" s="78"/>
      <c r="DG566" s="78"/>
      <c r="DH566" s="78"/>
      <c r="DI566" s="78"/>
      <c r="DJ566" s="78"/>
      <c r="DK566" s="78"/>
      <c r="DL566" s="78"/>
      <c r="DM566" s="78"/>
      <c r="DN566" s="78"/>
      <c r="DO566" s="78"/>
      <c r="DP566" s="78"/>
      <c r="DQ566" s="78"/>
      <c r="DR566" s="78"/>
      <c r="DS566" s="78"/>
      <c r="DT566" s="78"/>
      <c r="DU566" s="78"/>
      <c r="DV566" s="78"/>
      <c r="DW566" s="78"/>
      <c r="DX566" s="78"/>
      <c r="DY566" s="78"/>
      <c r="DZ566" s="78"/>
      <c r="EA566" s="78"/>
      <c r="EB566" s="78"/>
      <c r="EC566" s="78"/>
      <c r="ED566" s="78"/>
      <c r="EE566" s="78"/>
      <c r="EF566" s="78"/>
      <c r="EG566" s="78"/>
      <c r="EH566" s="78"/>
      <c r="EI566" s="91"/>
      <c r="EJ566" s="91"/>
      <c r="EK566" s="91"/>
      <c r="EL566" s="91"/>
      <c r="EM566" s="91"/>
      <c r="EN566" s="91"/>
      <c r="EO566" s="91"/>
      <c r="EP566" s="78"/>
      <c r="EQ566" s="78"/>
      <c r="ER566" s="78"/>
      <c r="ES566" s="78"/>
      <c r="ET566" s="78"/>
      <c r="EU566" s="78"/>
      <c r="EV566" s="78"/>
      <c r="EW566" s="78"/>
      <c r="EX566" s="78"/>
      <c r="EY566" s="78"/>
      <c r="EZ566" s="78"/>
      <c r="FA566" s="78"/>
      <c r="FB566" s="78"/>
      <c r="FC566" s="78"/>
      <c r="FD566" s="78"/>
      <c r="FE566" s="78"/>
      <c r="FF566" s="78"/>
      <c r="FG566" s="78"/>
      <c r="FH566" s="78"/>
      <c r="FI566" s="78"/>
      <c r="FJ566" s="78"/>
      <c r="FK566" s="78"/>
    </row>
    <row r="567" spans="1:167" hidden="1" outlineLevel="1">
      <c r="A567" s="29" t="str">
        <f t="shared" si="38"/>
        <v>lt005_instr_entcod_soc</v>
      </c>
      <c r="B567" s="67" t="s">
        <v>26</v>
      </c>
      <c r="C567" s="68" t="s">
        <v>26</v>
      </c>
      <c r="D567" s="64" t="s">
        <v>40</v>
      </c>
      <c r="E567" s="70" t="s">
        <v>439</v>
      </c>
      <c r="F567" s="71" t="s">
        <v>416</v>
      </c>
      <c r="G567" s="64" t="str">
        <f>INDEX(Auxiliar!$B$16:$B$24,MATCH(Plano_V1!H567,Auxiliar!$C$16:$C$24,0),1)</f>
        <v>1. Concluído</v>
      </c>
      <c r="H567" s="64">
        <f>VLOOKUP(A567,'Aux - pivots1'!$A:$B,2,0)</f>
        <v>1</v>
      </c>
      <c r="I567" s="84">
        <f>SUMIFS(Table1[Estimação (horas)],Table1[Tabela],Plano_V1!E567,Table1[Campo],Plano_V1!F567)</f>
        <v>0.1</v>
      </c>
      <c r="J567" s="84">
        <f t="shared" si="39"/>
        <v>1.2500000000000001E-2</v>
      </c>
      <c r="K567" s="89" t="s">
        <v>399</v>
      </c>
      <c r="M567" s="78"/>
      <c r="N567" s="78"/>
      <c r="O567" s="78"/>
      <c r="P567" s="78"/>
      <c r="Q567" s="78"/>
      <c r="R567" s="78"/>
      <c r="S567" s="78"/>
      <c r="T567" s="78"/>
      <c r="U567" s="78"/>
      <c r="V567" s="78"/>
      <c r="W567" s="78"/>
      <c r="X567" s="78"/>
      <c r="Y567" s="78"/>
      <c r="Z567" s="78"/>
      <c r="AA567" s="78"/>
      <c r="AB567" s="78"/>
      <c r="AC567" s="78"/>
      <c r="AD567" s="78"/>
      <c r="AE567" s="78"/>
      <c r="AF567" s="78"/>
      <c r="AG567" s="78"/>
      <c r="AH567" s="78"/>
      <c r="AI567" s="78"/>
      <c r="AJ567" s="78"/>
      <c r="AK567" s="78"/>
      <c r="AL567" s="78"/>
      <c r="AM567" s="78"/>
      <c r="AN567" s="78"/>
      <c r="AO567" s="78"/>
      <c r="AP567" s="78"/>
      <c r="AQ567" s="78"/>
      <c r="AR567" s="78"/>
      <c r="AS567" s="78"/>
      <c r="AT567" s="91"/>
      <c r="AU567" s="78"/>
      <c r="AV567" s="78"/>
      <c r="AW567" s="78"/>
      <c r="AX567" s="78"/>
      <c r="AY567" s="78"/>
      <c r="AZ567" s="78"/>
      <c r="BA567" s="78"/>
      <c r="BB567" s="78"/>
      <c r="BC567" s="78"/>
      <c r="BD567" s="78"/>
      <c r="BE567" s="78"/>
      <c r="BF567" s="78"/>
      <c r="BG567" s="78"/>
      <c r="BH567" s="78"/>
      <c r="BI567" s="78"/>
      <c r="BJ567" s="78"/>
      <c r="BK567" s="78"/>
      <c r="BL567" s="78"/>
      <c r="BM567" s="78"/>
      <c r="BN567" s="78"/>
      <c r="BO567" s="78"/>
      <c r="BP567" s="78"/>
      <c r="BQ567" s="78"/>
      <c r="BR567" s="78"/>
      <c r="BS567" s="78"/>
      <c r="BT567" s="78"/>
      <c r="BU567" s="78"/>
      <c r="BV567" s="78"/>
      <c r="BW567" s="78"/>
      <c r="BX567" s="78"/>
      <c r="BY567" s="78"/>
      <c r="BZ567" s="78"/>
      <c r="CA567" s="78"/>
      <c r="CB567" s="78"/>
      <c r="CC567" s="78"/>
      <c r="CD567" s="78"/>
      <c r="CE567" s="78"/>
      <c r="CF567" s="78"/>
      <c r="CG567" s="78"/>
      <c r="CH567" s="78"/>
      <c r="CI567" s="78"/>
      <c r="CJ567" s="78"/>
      <c r="CK567" s="78"/>
      <c r="CL567" s="78"/>
      <c r="CM567" s="78"/>
      <c r="CN567" s="78"/>
      <c r="CO567" s="78"/>
      <c r="CP567" s="78"/>
      <c r="CQ567" s="78"/>
      <c r="CR567" s="78"/>
      <c r="CS567" s="78"/>
      <c r="CT567" s="78"/>
      <c r="CU567" s="78"/>
      <c r="CV567" s="78"/>
      <c r="CW567" s="78"/>
      <c r="CX567" s="78"/>
      <c r="CY567" s="78"/>
      <c r="CZ567" s="78"/>
      <c r="DA567" s="78"/>
      <c r="DB567" s="78"/>
      <c r="DC567" s="78"/>
      <c r="DD567" s="78"/>
      <c r="DE567" s="78"/>
      <c r="DF567" s="78"/>
      <c r="DG567" s="78"/>
      <c r="DH567" s="78"/>
      <c r="DI567" s="78"/>
      <c r="DJ567" s="78"/>
      <c r="DK567" s="78"/>
      <c r="DL567" s="78"/>
      <c r="DM567" s="78"/>
      <c r="DN567" s="78"/>
      <c r="DO567" s="78"/>
      <c r="DP567" s="78"/>
      <c r="DQ567" s="78"/>
      <c r="DR567" s="78"/>
      <c r="DS567" s="78"/>
      <c r="DT567" s="78"/>
      <c r="DU567" s="78"/>
      <c r="DV567" s="78"/>
      <c r="DW567" s="78"/>
      <c r="DX567" s="78"/>
      <c r="DY567" s="78"/>
      <c r="DZ567" s="78"/>
      <c r="EA567" s="78"/>
      <c r="EB567" s="78"/>
      <c r="EC567" s="78"/>
      <c r="ED567" s="78"/>
      <c r="EE567" s="78"/>
      <c r="EF567" s="78"/>
      <c r="EG567" s="78"/>
      <c r="EH567" s="78"/>
      <c r="EI567" s="91"/>
      <c r="EJ567" s="91"/>
      <c r="EK567" s="91"/>
      <c r="EL567" s="91"/>
      <c r="EM567" s="91"/>
      <c r="EN567" s="91"/>
      <c r="EO567" s="91"/>
      <c r="EP567" s="78"/>
      <c r="EQ567" s="78"/>
      <c r="ER567" s="78"/>
      <c r="ES567" s="78"/>
      <c r="ET567" s="78"/>
      <c r="EU567" s="78"/>
      <c r="EV567" s="78"/>
      <c r="EW567" s="78"/>
      <c r="EX567" s="78"/>
      <c r="EY567" s="78"/>
      <c r="EZ567" s="78"/>
      <c r="FA567" s="78"/>
      <c r="FB567" s="78"/>
      <c r="FC567" s="78"/>
      <c r="FD567" s="78"/>
      <c r="FE567" s="78"/>
      <c r="FF567" s="78"/>
      <c r="FG567" s="78"/>
      <c r="FH567" s="78"/>
      <c r="FI567" s="78"/>
      <c r="FJ567" s="78"/>
      <c r="FK567" s="78"/>
    </row>
    <row r="568" spans="1:167" hidden="1" outlineLevel="1">
      <c r="A568" s="29" t="str">
        <f t="shared" si="38"/>
        <v>lt005_instr_entmn_entty_id</v>
      </c>
      <c r="B568" s="67" t="s">
        <v>26</v>
      </c>
      <c r="C568" s="68" t="s">
        <v>26</v>
      </c>
      <c r="D568" s="64" t="s">
        <v>40</v>
      </c>
      <c r="E568" s="70" t="s">
        <v>439</v>
      </c>
      <c r="F568" s="71" t="s">
        <v>440</v>
      </c>
      <c r="G568" s="64" t="str">
        <f>INDEX(Auxiliar!$B$16:$B$24,MATCH(Plano_V1!H568,Auxiliar!$C$16:$C$24,0),1)</f>
        <v>1. Concluído</v>
      </c>
      <c r="H568" s="64">
        <f>VLOOKUP(A568,'Aux - pivots1'!$A:$B,2,0)</f>
        <v>1</v>
      </c>
      <c r="I568" s="84">
        <f>SUMIFS(Table1[Estimação (horas)],Table1[Tabela],Plano_V1!E568,Table1[Campo],Plano_V1!F568)</f>
        <v>0.1</v>
      </c>
      <c r="J568" s="84">
        <f t="shared" si="39"/>
        <v>1.2500000000000001E-2</v>
      </c>
      <c r="K568" s="89" t="s">
        <v>399</v>
      </c>
      <c r="M568" s="78"/>
      <c r="N568" s="78"/>
      <c r="O568" s="78"/>
      <c r="P568" s="78"/>
      <c r="Q568" s="78"/>
      <c r="R568" s="78"/>
      <c r="S568" s="78"/>
      <c r="T568" s="78"/>
      <c r="U568" s="78"/>
      <c r="V568" s="78"/>
      <c r="W568" s="78"/>
      <c r="X568" s="78"/>
      <c r="Y568" s="78"/>
      <c r="Z568" s="78"/>
      <c r="AA568" s="78"/>
      <c r="AB568" s="78"/>
      <c r="AC568" s="78"/>
      <c r="AD568" s="78"/>
      <c r="AE568" s="78"/>
      <c r="AF568" s="78"/>
      <c r="AG568" s="78"/>
      <c r="AH568" s="78"/>
      <c r="AI568" s="78"/>
      <c r="AJ568" s="78"/>
      <c r="AK568" s="78"/>
      <c r="AL568" s="78"/>
      <c r="AM568" s="78"/>
      <c r="AN568" s="78"/>
      <c r="AO568" s="78"/>
      <c r="AP568" s="78"/>
      <c r="AQ568" s="78"/>
      <c r="AR568" s="78"/>
      <c r="AS568" s="78"/>
      <c r="AT568" s="91"/>
      <c r="AU568" s="78"/>
      <c r="AV568" s="78"/>
      <c r="AW568" s="78"/>
      <c r="AX568" s="78"/>
      <c r="AY568" s="78"/>
      <c r="AZ568" s="78"/>
      <c r="BA568" s="78"/>
      <c r="BB568" s="78"/>
      <c r="BC568" s="78"/>
      <c r="BD568" s="78"/>
      <c r="BE568" s="78"/>
      <c r="BF568" s="78"/>
      <c r="BG568" s="78"/>
      <c r="BH568" s="78"/>
      <c r="BI568" s="78"/>
      <c r="BJ568" s="78"/>
      <c r="BK568" s="78"/>
      <c r="BL568" s="78"/>
      <c r="BM568" s="78"/>
      <c r="BN568" s="78"/>
      <c r="BO568" s="78"/>
      <c r="BP568" s="78"/>
      <c r="BQ568" s="78"/>
      <c r="BR568" s="78"/>
      <c r="BS568" s="78"/>
      <c r="BT568" s="78"/>
      <c r="BU568" s="78"/>
      <c r="BV568" s="78"/>
      <c r="BW568" s="78"/>
      <c r="BX568" s="78"/>
      <c r="BY568" s="78"/>
      <c r="BZ568" s="78"/>
      <c r="CA568" s="78"/>
      <c r="CB568" s="78"/>
      <c r="CC568" s="78"/>
      <c r="CD568" s="78"/>
      <c r="CE568" s="78"/>
      <c r="CF568" s="78"/>
      <c r="CG568" s="78"/>
      <c r="CH568" s="78"/>
      <c r="CI568" s="78"/>
      <c r="CJ568" s="78"/>
      <c r="CK568" s="78"/>
      <c r="CL568" s="78"/>
      <c r="CM568" s="78"/>
      <c r="CN568" s="78"/>
      <c r="CO568" s="78"/>
      <c r="CP568" s="78"/>
      <c r="CQ568" s="78"/>
      <c r="CR568" s="78"/>
      <c r="CS568" s="78"/>
      <c r="CT568" s="78"/>
      <c r="CU568" s="78"/>
      <c r="CV568" s="78"/>
      <c r="CW568" s="78"/>
      <c r="CX568" s="78"/>
      <c r="CY568" s="78"/>
      <c r="CZ568" s="78"/>
      <c r="DA568" s="78"/>
      <c r="DB568" s="78"/>
      <c r="DC568" s="78"/>
      <c r="DD568" s="78"/>
      <c r="DE568" s="78"/>
      <c r="DF568" s="78"/>
      <c r="DG568" s="78"/>
      <c r="DH568" s="78"/>
      <c r="DI568" s="78"/>
      <c r="DJ568" s="78"/>
      <c r="DK568" s="78"/>
      <c r="DL568" s="78"/>
      <c r="DM568" s="78"/>
      <c r="DN568" s="78"/>
      <c r="DO568" s="78"/>
      <c r="DP568" s="78"/>
      <c r="DQ568" s="78"/>
      <c r="DR568" s="78"/>
      <c r="DS568" s="78"/>
      <c r="DT568" s="78"/>
      <c r="DU568" s="78"/>
      <c r="DV568" s="78"/>
      <c r="DW568" s="78"/>
      <c r="DX568" s="78"/>
      <c r="DY568" s="78"/>
      <c r="DZ568" s="78"/>
      <c r="EA568" s="78"/>
      <c r="EB568" s="78"/>
      <c r="EC568" s="78"/>
      <c r="ED568" s="78"/>
      <c r="EE568" s="78"/>
      <c r="EF568" s="78"/>
      <c r="EG568" s="78"/>
      <c r="EH568" s="78"/>
      <c r="EI568" s="91"/>
      <c r="EJ568" s="91"/>
      <c r="EK568" s="91"/>
      <c r="EL568" s="91"/>
      <c r="EM568" s="91"/>
      <c r="EN568" s="91"/>
      <c r="EO568" s="91"/>
      <c r="EP568" s="78"/>
      <c r="EQ568" s="78"/>
      <c r="ER568" s="78"/>
      <c r="ES568" s="78"/>
      <c r="ET568" s="78"/>
      <c r="EU568" s="78"/>
      <c r="EV568" s="78"/>
      <c r="EW568" s="78"/>
      <c r="EX568" s="78"/>
      <c r="EY568" s="78"/>
      <c r="EZ568" s="78"/>
      <c r="FA568" s="78"/>
      <c r="FB568" s="78"/>
      <c r="FC568" s="78"/>
      <c r="FD568" s="78"/>
      <c r="FE568" s="78"/>
      <c r="FF568" s="78"/>
      <c r="FG568" s="78"/>
      <c r="FH568" s="78"/>
      <c r="FI568" s="78"/>
      <c r="FJ568" s="78"/>
      <c r="FK568" s="78"/>
    </row>
    <row r="569" spans="1:167" hidden="1" outlineLevel="1">
      <c r="A569" s="29" t="str">
        <f t="shared" si="38"/>
        <v>lt006_instr_protdt_rfrnc</v>
      </c>
      <c r="B569" s="67" t="s">
        <v>26</v>
      </c>
      <c r="C569" s="68" t="s">
        <v>26</v>
      </c>
      <c r="D569" s="64" t="s">
        <v>40</v>
      </c>
      <c r="E569" s="70" t="s">
        <v>441</v>
      </c>
      <c r="F569" s="71" t="s">
        <v>398</v>
      </c>
      <c r="G569" s="64" t="str">
        <f>INDEX(Auxiliar!$B$16:$B$24,MATCH(Plano_V1!H569,Auxiliar!$C$16:$C$24,0),1)</f>
        <v>1. Concluído</v>
      </c>
      <c r="H569" s="64">
        <f>VLOOKUP(A569,'Aux - pivots1'!$A:$B,2,0)</f>
        <v>1</v>
      </c>
      <c r="I569" s="84">
        <f>SUMIFS(Table1[Estimação (horas)],Table1[Tabela],Plano_V1!E569,Table1[Campo],Plano_V1!F569)</f>
        <v>0.1</v>
      </c>
      <c r="J569" s="84">
        <f t="shared" si="39"/>
        <v>1.2500000000000001E-2</v>
      </c>
      <c r="K569" s="89" t="s">
        <v>399</v>
      </c>
      <c r="M569" s="78"/>
      <c r="N569" s="78"/>
      <c r="O569" s="78"/>
      <c r="P569" s="78"/>
      <c r="Q569" s="78"/>
      <c r="R569" s="78"/>
      <c r="S569" s="78"/>
      <c r="T569" s="78"/>
      <c r="U569" s="78"/>
      <c r="V569" s="78"/>
      <c r="W569" s="78"/>
      <c r="X569" s="78"/>
      <c r="Y569" s="78"/>
      <c r="Z569" s="78"/>
      <c r="AA569" s="78"/>
      <c r="AB569" s="78"/>
      <c r="AC569" s="78"/>
      <c r="AD569" s="78"/>
      <c r="AE569" s="78"/>
      <c r="AF569" s="78"/>
      <c r="AG569" s="78"/>
      <c r="AH569" s="78"/>
      <c r="AI569" s="78"/>
      <c r="AJ569" s="78"/>
      <c r="AK569" s="78"/>
      <c r="AL569" s="78"/>
      <c r="AM569" s="78"/>
      <c r="AN569" s="78"/>
      <c r="AO569" s="78"/>
      <c r="AP569" s="78"/>
      <c r="AQ569" s="78"/>
      <c r="AR569" s="78"/>
      <c r="AS569" s="78"/>
      <c r="AT569" s="91"/>
      <c r="AU569" s="78"/>
      <c r="AV569" s="78"/>
      <c r="AW569" s="78"/>
      <c r="AX569" s="78"/>
      <c r="AY569" s="78"/>
      <c r="AZ569" s="78"/>
      <c r="BA569" s="78"/>
      <c r="BB569" s="78"/>
      <c r="BC569" s="78"/>
      <c r="BD569" s="78"/>
      <c r="BE569" s="78"/>
      <c r="BF569" s="78"/>
      <c r="BG569" s="78"/>
      <c r="BH569" s="78"/>
      <c r="BI569" s="78"/>
      <c r="BJ569" s="78"/>
      <c r="BK569" s="78"/>
      <c r="BL569" s="78"/>
      <c r="BM569" s="78"/>
      <c r="BN569" s="78"/>
      <c r="BO569" s="78"/>
      <c r="BP569" s="78"/>
      <c r="BQ569" s="78"/>
      <c r="BR569" s="78"/>
      <c r="BS569" s="78"/>
      <c r="BT569" s="78"/>
      <c r="BU569" s="78"/>
      <c r="BV569" s="78"/>
      <c r="BW569" s="78"/>
      <c r="BX569" s="78"/>
      <c r="BY569" s="78"/>
      <c r="BZ569" s="78"/>
      <c r="CA569" s="78"/>
      <c r="CB569" s="78"/>
      <c r="CC569" s="78"/>
      <c r="CD569" s="78"/>
      <c r="CE569" s="78"/>
      <c r="CF569" s="78"/>
      <c r="CG569" s="78"/>
      <c r="CH569" s="78"/>
      <c r="CI569" s="78"/>
      <c r="CJ569" s="78"/>
      <c r="CK569" s="78"/>
      <c r="CL569" s="78"/>
      <c r="CM569" s="78"/>
      <c r="CN569" s="78"/>
      <c r="CO569" s="78"/>
      <c r="CP569" s="78"/>
      <c r="CQ569" s="78"/>
      <c r="CR569" s="78"/>
      <c r="CS569" s="78"/>
      <c r="CT569" s="78"/>
      <c r="CU569" s="78"/>
      <c r="CV569" s="78"/>
      <c r="CW569" s="78"/>
      <c r="CX569" s="78"/>
      <c r="CY569" s="78"/>
      <c r="CZ569" s="78"/>
      <c r="DA569" s="78"/>
      <c r="DB569" s="78"/>
      <c r="DC569" s="78"/>
      <c r="DD569" s="78"/>
      <c r="DE569" s="78"/>
      <c r="DF569" s="78"/>
      <c r="DG569" s="78"/>
      <c r="DH569" s="78"/>
      <c r="DI569" s="78"/>
      <c r="DJ569" s="78"/>
      <c r="DK569" s="78"/>
      <c r="DL569" s="78"/>
      <c r="DM569" s="78"/>
      <c r="DN569" s="78"/>
      <c r="DO569" s="78"/>
      <c r="DP569" s="78"/>
      <c r="DQ569" s="78"/>
      <c r="DR569" s="78"/>
      <c r="DS569" s="78"/>
      <c r="DT569" s="78"/>
      <c r="DU569" s="78"/>
      <c r="DV569" s="78"/>
      <c r="DW569" s="78"/>
      <c r="DX569" s="78"/>
      <c r="DY569" s="78"/>
      <c r="DZ569" s="78"/>
      <c r="EA569" s="78"/>
      <c r="EB569" s="78"/>
      <c r="EC569" s="78"/>
      <c r="ED569" s="78"/>
      <c r="EE569" s="78"/>
      <c r="EF569" s="78"/>
      <c r="EG569" s="78"/>
      <c r="EH569" s="78"/>
      <c r="EI569" s="91"/>
      <c r="EJ569" s="91"/>
      <c r="EK569" s="91"/>
      <c r="EL569" s="91"/>
      <c r="EM569" s="91"/>
      <c r="EN569" s="91"/>
      <c r="EO569" s="91"/>
      <c r="EP569" s="78"/>
      <c r="EQ569" s="78"/>
      <c r="ER569" s="78"/>
      <c r="ES569" s="78"/>
      <c r="ET569" s="78"/>
      <c r="EU569" s="78"/>
      <c r="EV569" s="78"/>
      <c r="EW569" s="78"/>
      <c r="EX569" s="78"/>
      <c r="EY569" s="78"/>
      <c r="EZ569" s="78"/>
      <c r="FA569" s="78"/>
      <c r="FB569" s="78"/>
      <c r="FC569" s="78"/>
      <c r="FD569" s="78"/>
      <c r="FE569" s="78"/>
      <c r="FF569" s="78"/>
      <c r="FG569" s="78"/>
      <c r="FH569" s="78"/>
      <c r="FI569" s="78"/>
      <c r="FJ569" s="78"/>
      <c r="FK569" s="78"/>
    </row>
    <row r="570" spans="1:167" hidden="1" outlineLevel="1">
      <c r="A570" s="29" t="str">
        <f t="shared" si="38"/>
        <v>lt006_instr_protinstrmnt_id</v>
      </c>
      <c r="B570" s="67" t="s">
        <v>26</v>
      </c>
      <c r="C570" s="68" t="s">
        <v>26</v>
      </c>
      <c r="D570" s="64" t="s">
        <v>40</v>
      </c>
      <c r="E570" s="70" t="s">
        <v>441</v>
      </c>
      <c r="F570" s="71" t="s">
        <v>400</v>
      </c>
      <c r="G570" s="64" t="str">
        <f>INDEX(Auxiliar!$B$16:$B$24,MATCH(Plano_V1!H570,Auxiliar!$C$16:$C$24,0),1)</f>
        <v>1. Concluído</v>
      </c>
      <c r="H570" s="64">
        <f>VLOOKUP(A570,'Aux - pivots1'!$A:$B,2,0)</f>
        <v>1</v>
      </c>
      <c r="I570" s="84">
        <f>SUMIFS(Table1[Estimação (horas)],Table1[Tabela],Plano_V1!E570,Table1[Campo],Plano_V1!F570)</f>
        <v>0.1</v>
      </c>
      <c r="J570" s="84">
        <f t="shared" si="39"/>
        <v>1.2500000000000001E-2</v>
      </c>
      <c r="K570" s="89" t="s">
        <v>399</v>
      </c>
      <c r="M570" s="78"/>
      <c r="N570" s="78"/>
      <c r="O570" s="78"/>
      <c r="P570" s="78"/>
      <c r="Q570" s="78"/>
      <c r="R570" s="78"/>
      <c r="S570" s="78"/>
      <c r="T570" s="78"/>
      <c r="U570" s="78"/>
      <c r="V570" s="78"/>
      <c r="W570" s="78"/>
      <c r="X570" s="78"/>
      <c r="Y570" s="78"/>
      <c r="Z570" s="78"/>
      <c r="AA570" s="78"/>
      <c r="AB570" s="78"/>
      <c r="AC570" s="78"/>
      <c r="AD570" s="78"/>
      <c r="AE570" s="78"/>
      <c r="AF570" s="78"/>
      <c r="AG570" s="78"/>
      <c r="AH570" s="78"/>
      <c r="AI570" s="78"/>
      <c r="AJ570" s="78"/>
      <c r="AK570" s="78"/>
      <c r="AL570" s="78"/>
      <c r="AM570" s="78"/>
      <c r="AN570" s="78"/>
      <c r="AO570" s="78"/>
      <c r="AP570" s="78"/>
      <c r="AQ570" s="78"/>
      <c r="AR570" s="78"/>
      <c r="AS570" s="78"/>
      <c r="AT570" s="91"/>
      <c r="AU570" s="78"/>
      <c r="AV570" s="78"/>
      <c r="AW570" s="78"/>
      <c r="AX570" s="78"/>
      <c r="AY570" s="78"/>
      <c r="AZ570" s="78"/>
      <c r="BA570" s="78"/>
      <c r="BB570" s="78"/>
      <c r="BC570" s="78"/>
      <c r="BD570" s="78"/>
      <c r="BE570" s="78"/>
      <c r="BF570" s="78"/>
      <c r="BG570" s="78"/>
      <c r="BH570" s="78"/>
      <c r="BI570" s="78"/>
      <c r="BJ570" s="78"/>
      <c r="BK570" s="78"/>
      <c r="BL570" s="78"/>
      <c r="BM570" s="78"/>
      <c r="BN570" s="78"/>
      <c r="BO570" s="78"/>
      <c r="BP570" s="78"/>
      <c r="BQ570" s="78"/>
      <c r="BR570" s="78"/>
      <c r="BS570" s="78"/>
      <c r="BT570" s="78"/>
      <c r="BU570" s="78"/>
      <c r="BV570" s="78"/>
      <c r="BW570" s="78"/>
      <c r="BX570" s="78"/>
      <c r="BY570" s="78"/>
      <c r="BZ570" s="78"/>
      <c r="CA570" s="78"/>
      <c r="CB570" s="78"/>
      <c r="CC570" s="78"/>
      <c r="CD570" s="78"/>
      <c r="CE570" s="78"/>
      <c r="CF570" s="78"/>
      <c r="CG570" s="78"/>
      <c r="CH570" s="78"/>
      <c r="CI570" s="78"/>
      <c r="CJ570" s="78"/>
      <c r="CK570" s="78"/>
      <c r="CL570" s="78"/>
      <c r="CM570" s="78"/>
      <c r="CN570" s="78"/>
      <c r="CO570" s="78"/>
      <c r="CP570" s="78"/>
      <c r="CQ570" s="78"/>
      <c r="CR570" s="78"/>
      <c r="CS570" s="78"/>
      <c r="CT570" s="78"/>
      <c r="CU570" s="78"/>
      <c r="CV570" s="78"/>
      <c r="CW570" s="78"/>
      <c r="CX570" s="78"/>
      <c r="CY570" s="78"/>
      <c r="CZ570" s="78"/>
      <c r="DA570" s="78"/>
      <c r="DB570" s="78"/>
      <c r="DC570" s="78"/>
      <c r="DD570" s="78"/>
      <c r="DE570" s="78"/>
      <c r="DF570" s="78"/>
      <c r="DG570" s="78"/>
      <c r="DH570" s="78"/>
      <c r="DI570" s="78"/>
      <c r="DJ570" s="78"/>
      <c r="DK570" s="78"/>
      <c r="DL570" s="78"/>
      <c r="DM570" s="78"/>
      <c r="DN570" s="78"/>
      <c r="DO570" s="78"/>
      <c r="DP570" s="78"/>
      <c r="DQ570" s="78"/>
      <c r="DR570" s="78"/>
      <c r="DS570" s="78"/>
      <c r="DT570" s="78"/>
      <c r="DU570" s="78"/>
      <c r="DV570" s="78"/>
      <c r="DW570" s="78"/>
      <c r="DX570" s="78"/>
      <c r="DY570" s="78"/>
      <c r="DZ570" s="78"/>
      <c r="EA570" s="78"/>
      <c r="EB570" s="78"/>
      <c r="EC570" s="78"/>
      <c r="ED570" s="78"/>
      <c r="EE570" s="78"/>
      <c r="EF570" s="78"/>
      <c r="EG570" s="78"/>
      <c r="EH570" s="78"/>
      <c r="EI570" s="91"/>
      <c r="EJ570" s="91"/>
      <c r="EK570" s="91"/>
      <c r="EL570" s="91"/>
      <c r="EM570" s="91"/>
      <c r="EN570" s="91"/>
      <c r="EO570" s="91"/>
      <c r="EP570" s="78"/>
      <c r="EQ570" s="78"/>
      <c r="ER570" s="78"/>
      <c r="ES570" s="78"/>
      <c r="ET570" s="78"/>
      <c r="EU570" s="78"/>
      <c r="EV570" s="78"/>
      <c r="EW570" s="78"/>
      <c r="EX570" s="78"/>
      <c r="EY570" s="78"/>
      <c r="EZ570" s="78"/>
      <c r="FA570" s="78"/>
      <c r="FB570" s="78"/>
      <c r="FC570" s="78"/>
      <c r="FD570" s="78"/>
      <c r="FE570" s="78"/>
      <c r="FF570" s="78"/>
      <c r="FG570" s="78"/>
      <c r="FH570" s="78"/>
      <c r="FI570" s="78"/>
      <c r="FJ570" s="78"/>
      <c r="FK570" s="78"/>
    </row>
    <row r="571" spans="1:167" hidden="1" outlineLevel="1">
      <c r="A571" s="29" t="str">
        <f t="shared" si="38"/>
        <v>lt006_instr_protprtctn_id</v>
      </c>
      <c r="B571" s="67" t="s">
        <v>26</v>
      </c>
      <c r="C571" s="68" t="s">
        <v>26</v>
      </c>
      <c r="D571" s="64" t="s">
        <v>40</v>
      </c>
      <c r="E571" s="70" t="s">
        <v>441</v>
      </c>
      <c r="F571" s="71" t="s">
        <v>433</v>
      </c>
      <c r="G571" s="64" t="str">
        <f>INDEX(Auxiliar!$B$16:$B$24,MATCH(Plano_V1!H571,Auxiliar!$C$16:$C$24,0),1)</f>
        <v>1. Concluído</v>
      </c>
      <c r="H571" s="64">
        <f>VLOOKUP(A571,'Aux - pivots1'!$A:$B,2,0)</f>
        <v>1</v>
      </c>
      <c r="I571" s="84">
        <f>SUMIFS(Table1[Estimação (horas)],Table1[Tabela],Plano_V1!E571,Table1[Campo],Plano_V1!F571)</f>
        <v>0.1</v>
      </c>
      <c r="J571" s="84">
        <f t="shared" si="39"/>
        <v>1.2500000000000001E-2</v>
      </c>
      <c r="K571" s="89" t="s">
        <v>399</v>
      </c>
      <c r="M571" s="78"/>
      <c r="N571" s="78"/>
      <c r="O571" s="78"/>
      <c r="P571" s="78"/>
      <c r="Q571" s="78"/>
      <c r="R571" s="78"/>
      <c r="S571" s="78"/>
      <c r="T571" s="78"/>
      <c r="U571" s="78"/>
      <c r="V571" s="78"/>
      <c r="W571" s="78"/>
      <c r="X571" s="78"/>
      <c r="Y571" s="78"/>
      <c r="Z571" s="78"/>
      <c r="AA571" s="78"/>
      <c r="AB571" s="78"/>
      <c r="AC571" s="78"/>
      <c r="AD571" s="78"/>
      <c r="AE571" s="78"/>
      <c r="AF571" s="78"/>
      <c r="AG571" s="78"/>
      <c r="AH571" s="78"/>
      <c r="AI571" s="78"/>
      <c r="AJ571" s="78"/>
      <c r="AK571" s="78"/>
      <c r="AL571" s="78"/>
      <c r="AM571" s="78"/>
      <c r="AN571" s="78"/>
      <c r="AO571" s="78"/>
      <c r="AP571" s="78"/>
      <c r="AQ571" s="78"/>
      <c r="AR571" s="78"/>
      <c r="AS571" s="78"/>
      <c r="AT571" s="91"/>
      <c r="AU571" s="78"/>
      <c r="AV571" s="78"/>
      <c r="AW571" s="78"/>
      <c r="AX571" s="78"/>
      <c r="AY571" s="78"/>
      <c r="AZ571" s="78"/>
      <c r="BA571" s="78"/>
      <c r="BB571" s="78"/>
      <c r="BC571" s="78"/>
      <c r="BD571" s="78"/>
      <c r="BE571" s="78"/>
      <c r="BF571" s="78"/>
      <c r="BG571" s="78"/>
      <c r="BH571" s="78"/>
      <c r="BI571" s="78"/>
      <c r="BJ571" s="78"/>
      <c r="BK571" s="78"/>
      <c r="BL571" s="78"/>
      <c r="BM571" s="78"/>
      <c r="BN571" s="78"/>
      <c r="BO571" s="78"/>
      <c r="BP571" s="78"/>
      <c r="BQ571" s="78"/>
      <c r="BR571" s="78"/>
      <c r="BS571" s="78"/>
      <c r="BT571" s="78"/>
      <c r="BU571" s="78"/>
      <c r="BV571" s="78"/>
      <c r="BW571" s="78"/>
      <c r="BX571" s="78"/>
      <c r="BY571" s="78"/>
      <c r="BZ571" s="78"/>
      <c r="CA571" s="78"/>
      <c r="CB571" s="78"/>
      <c r="CC571" s="78"/>
      <c r="CD571" s="78"/>
      <c r="CE571" s="78"/>
      <c r="CF571" s="78"/>
      <c r="CG571" s="78"/>
      <c r="CH571" s="78"/>
      <c r="CI571" s="78"/>
      <c r="CJ571" s="78"/>
      <c r="CK571" s="78"/>
      <c r="CL571" s="78"/>
      <c r="CM571" s="78"/>
      <c r="CN571" s="78"/>
      <c r="CO571" s="78"/>
      <c r="CP571" s="78"/>
      <c r="CQ571" s="78"/>
      <c r="CR571" s="78"/>
      <c r="CS571" s="78"/>
      <c r="CT571" s="78"/>
      <c r="CU571" s="78"/>
      <c r="CV571" s="78"/>
      <c r="CW571" s="78"/>
      <c r="CX571" s="78"/>
      <c r="CY571" s="78"/>
      <c r="CZ571" s="78"/>
      <c r="DA571" s="78"/>
      <c r="DB571" s="78"/>
      <c r="DC571" s="78"/>
      <c r="DD571" s="78"/>
      <c r="DE571" s="78"/>
      <c r="DF571" s="78"/>
      <c r="DG571" s="78"/>
      <c r="DH571" s="78"/>
      <c r="DI571" s="78"/>
      <c r="DJ571" s="78"/>
      <c r="DK571" s="78"/>
      <c r="DL571" s="78"/>
      <c r="DM571" s="78"/>
      <c r="DN571" s="78"/>
      <c r="DO571" s="78"/>
      <c r="DP571" s="78"/>
      <c r="DQ571" s="78"/>
      <c r="DR571" s="78"/>
      <c r="DS571" s="78"/>
      <c r="DT571" s="78"/>
      <c r="DU571" s="78"/>
      <c r="DV571" s="78"/>
      <c r="DW571" s="78"/>
      <c r="DX571" s="78"/>
      <c r="DY571" s="78"/>
      <c r="DZ571" s="78"/>
      <c r="EA571" s="78"/>
      <c r="EB571" s="78"/>
      <c r="EC571" s="78"/>
      <c r="ED571" s="78"/>
      <c r="EE571" s="78"/>
      <c r="EF571" s="78"/>
      <c r="EG571" s="78"/>
      <c r="EH571" s="78"/>
      <c r="EI571" s="91"/>
      <c r="EJ571" s="91"/>
      <c r="EK571" s="91"/>
      <c r="EL571" s="91"/>
      <c r="EM571" s="91"/>
      <c r="EN571" s="91"/>
      <c r="EO571" s="91"/>
      <c r="EP571" s="78"/>
      <c r="EQ571" s="78"/>
      <c r="ER571" s="78"/>
      <c r="ES571" s="78"/>
      <c r="ET571" s="78"/>
      <c r="EU571" s="78"/>
      <c r="EV571" s="78"/>
      <c r="EW571" s="78"/>
      <c r="EX571" s="78"/>
      <c r="EY571" s="78"/>
      <c r="EZ571" s="78"/>
      <c r="FA571" s="78"/>
      <c r="FB571" s="78"/>
      <c r="FC571" s="78"/>
      <c r="FD571" s="78"/>
      <c r="FE571" s="78"/>
      <c r="FF571" s="78"/>
      <c r="FG571" s="78"/>
      <c r="FH571" s="78"/>
      <c r="FI571" s="78"/>
      <c r="FJ571" s="78"/>
      <c r="FK571" s="78"/>
    </row>
    <row r="572" spans="1:167" hidden="1" outlineLevel="1">
      <c r="A572" s="29" t="str">
        <f t="shared" si="38"/>
        <v>lt006_instr_protprtctn_allctd_vl</v>
      </c>
      <c r="B572" s="67" t="s">
        <v>26</v>
      </c>
      <c r="C572" s="68" t="s">
        <v>26</v>
      </c>
      <c r="D572" s="64" t="s">
        <v>40</v>
      </c>
      <c r="E572" s="70" t="s">
        <v>441</v>
      </c>
      <c r="F572" s="71" t="s">
        <v>442</v>
      </c>
      <c r="G572" s="64" t="str">
        <f>INDEX(Auxiliar!$B$16:$B$24,MATCH(Plano_V1!H572,Auxiliar!$C$16:$C$24,0),1)</f>
        <v>5. Em Correção</v>
      </c>
      <c r="H572" s="64">
        <f>VLOOKUP(A572,'Aux - pivots1'!$A:$B,2,0)</f>
        <v>6</v>
      </c>
      <c r="I572" s="84">
        <f>SUMIFS(Table1[Estimação (horas)],Table1[Tabela],Plano_V1!E572,Table1[Campo],Plano_V1!F572)</f>
        <v>0.1</v>
      </c>
      <c r="J572" s="84">
        <f t="shared" si="39"/>
        <v>1.2500000000000001E-2</v>
      </c>
      <c r="K572" s="89" t="s">
        <v>399</v>
      </c>
      <c r="M572" s="78"/>
      <c r="N572" s="78"/>
      <c r="O572" s="78"/>
      <c r="P572" s="78"/>
      <c r="Q572" s="78"/>
      <c r="R572" s="78"/>
      <c r="S572" s="78"/>
      <c r="T572" s="78"/>
      <c r="U572" s="78"/>
      <c r="V572" s="78"/>
      <c r="W572" s="78"/>
      <c r="X572" s="78"/>
      <c r="Y572" s="78"/>
      <c r="Z572" s="78"/>
      <c r="AA572" s="78"/>
      <c r="AB572" s="78"/>
      <c r="AC572" s="78"/>
      <c r="AD572" s="78"/>
      <c r="AE572" s="78"/>
      <c r="AF572" s="78"/>
      <c r="AG572" s="78"/>
      <c r="AH572" s="78"/>
      <c r="AI572" s="78"/>
      <c r="AJ572" s="78"/>
      <c r="AK572" s="78"/>
      <c r="AL572" s="78"/>
      <c r="AM572" s="78"/>
      <c r="AN572" s="78"/>
      <c r="AO572" s="78"/>
      <c r="AP572" s="78"/>
      <c r="AQ572" s="78"/>
      <c r="AR572" s="78"/>
      <c r="AS572" s="78"/>
      <c r="AT572" s="91"/>
      <c r="AU572" s="78"/>
      <c r="AV572" s="78"/>
      <c r="AW572" s="78"/>
      <c r="AX572" s="78"/>
      <c r="AY572" s="78"/>
      <c r="AZ572" s="78"/>
      <c r="BA572" s="78"/>
      <c r="BB572" s="78"/>
      <c r="BC572" s="78"/>
      <c r="BD572" s="78"/>
      <c r="BE572" s="78"/>
      <c r="BF572" s="78"/>
      <c r="BG572" s="78"/>
      <c r="BH572" s="78"/>
      <c r="BI572" s="78"/>
      <c r="BJ572" s="78"/>
      <c r="BK572" s="78"/>
      <c r="BL572" s="78"/>
      <c r="BM572" s="78"/>
      <c r="BN572" s="78"/>
      <c r="BO572" s="78"/>
      <c r="BP572" s="78"/>
      <c r="BQ572" s="78"/>
      <c r="BR572" s="78"/>
      <c r="BS572" s="78"/>
      <c r="BT572" s="78"/>
      <c r="BU572" s="78"/>
      <c r="BV572" s="78"/>
      <c r="BW572" s="78"/>
      <c r="BX572" s="78"/>
      <c r="BY572" s="78"/>
      <c r="BZ572" s="78"/>
      <c r="CA572" s="78"/>
      <c r="CB572" s="78"/>
      <c r="CC572" s="78"/>
      <c r="CD572" s="78"/>
      <c r="CE572" s="78"/>
      <c r="CF572" s="78"/>
      <c r="CG572" s="78"/>
      <c r="CH572" s="78"/>
      <c r="CI572" s="78"/>
      <c r="CJ572" s="78"/>
      <c r="CK572" s="78"/>
      <c r="CL572" s="78"/>
      <c r="CM572" s="78"/>
      <c r="CN572" s="78"/>
      <c r="CO572" s="78"/>
      <c r="CP572" s="78"/>
      <c r="CQ572" s="78"/>
      <c r="CR572" s="78"/>
      <c r="CS572" s="78"/>
      <c r="CT572" s="78"/>
      <c r="CU572" s="78"/>
      <c r="CV572" s="78"/>
      <c r="CW572" s="78"/>
      <c r="CX572" s="78"/>
      <c r="CY572" s="78"/>
      <c r="CZ572" s="78"/>
      <c r="DA572" s="78"/>
      <c r="DB572" s="78"/>
      <c r="DC572" s="78"/>
      <c r="DD572" s="78"/>
      <c r="DE572" s="78"/>
      <c r="DF572" s="78"/>
      <c r="DG572" s="78"/>
      <c r="DH572" s="78"/>
      <c r="DI572" s="78"/>
      <c r="DJ572" s="78"/>
      <c r="DK572" s="78"/>
      <c r="DL572" s="78"/>
      <c r="DM572" s="78"/>
      <c r="DN572" s="78"/>
      <c r="DO572" s="78"/>
      <c r="DP572" s="78"/>
      <c r="DQ572" s="78"/>
      <c r="DR572" s="78"/>
      <c r="DS572" s="78"/>
      <c r="DT572" s="78"/>
      <c r="DU572" s="78"/>
      <c r="DV572" s="78"/>
      <c r="DW572" s="78"/>
      <c r="DX572" s="78"/>
      <c r="DY572" s="78"/>
      <c r="DZ572" s="78"/>
      <c r="EA572" s="78"/>
      <c r="EB572" s="78"/>
      <c r="EC572" s="78"/>
      <c r="ED572" s="78"/>
      <c r="EE572" s="78"/>
      <c r="EF572" s="78"/>
      <c r="EG572" s="78"/>
      <c r="EH572" s="78"/>
      <c r="EI572" s="91"/>
      <c r="EJ572" s="91"/>
      <c r="EK572" s="91"/>
      <c r="EL572" s="91"/>
      <c r="EM572" s="91"/>
      <c r="EN572" s="91"/>
      <c r="EO572" s="91"/>
      <c r="EP572" s="78"/>
      <c r="EQ572" s="78"/>
      <c r="ER572" s="78"/>
      <c r="ES572" s="78"/>
      <c r="ET572" s="78"/>
      <c r="EU572" s="78"/>
      <c r="EV572" s="78"/>
      <c r="EW572" s="78"/>
      <c r="EX572" s="78"/>
      <c r="EY572" s="78"/>
      <c r="EZ572" s="78"/>
      <c r="FA572" s="78"/>
      <c r="FB572" s="78"/>
      <c r="FC572" s="78"/>
      <c r="FD572" s="78"/>
      <c r="FE572" s="78"/>
      <c r="FF572" s="78"/>
      <c r="FG572" s="78"/>
      <c r="FH572" s="78"/>
      <c r="FI572" s="78"/>
      <c r="FJ572" s="78"/>
      <c r="FK572" s="78"/>
    </row>
    <row r="573" spans="1:167" hidden="1" outlineLevel="1">
      <c r="A573" s="29" t="str">
        <f t="shared" si="38"/>
        <v>lt006_instr_protcod_soc</v>
      </c>
      <c r="B573" s="67" t="s">
        <v>26</v>
      </c>
      <c r="C573" s="68" t="s">
        <v>26</v>
      </c>
      <c r="D573" s="64" t="s">
        <v>40</v>
      </c>
      <c r="E573" s="70" t="s">
        <v>441</v>
      </c>
      <c r="F573" s="71" t="s">
        <v>416</v>
      </c>
      <c r="G573" s="64" t="str">
        <f>INDEX(Auxiliar!$B$16:$B$24,MATCH(Plano_V1!H573,Auxiliar!$C$16:$C$24,0),1)</f>
        <v>1. Concluído</v>
      </c>
      <c r="H573" s="64">
        <f>VLOOKUP(A573,'Aux - pivots1'!$A:$B,2,0)</f>
        <v>1</v>
      </c>
      <c r="I573" s="84">
        <f>SUMIFS(Table1[Estimação (horas)],Table1[Tabela],Plano_V1!E573,Table1[Campo],Plano_V1!F573)</f>
        <v>0.1</v>
      </c>
      <c r="J573" s="84">
        <f t="shared" si="39"/>
        <v>1.2500000000000001E-2</v>
      </c>
      <c r="K573" s="89" t="s">
        <v>399</v>
      </c>
      <c r="M573" s="78"/>
      <c r="N573" s="78"/>
      <c r="O573" s="78"/>
      <c r="P573" s="78"/>
      <c r="Q573" s="78"/>
      <c r="R573" s="78"/>
      <c r="S573" s="78"/>
      <c r="T573" s="78"/>
      <c r="U573" s="78"/>
      <c r="V573" s="78"/>
      <c r="W573" s="78"/>
      <c r="X573" s="78"/>
      <c r="Y573" s="78"/>
      <c r="Z573" s="78"/>
      <c r="AA573" s="78"/>
      <c r="AB573" s="78"/>
      <c r="AC573" s="78"/>
      <c r="AD573" s="78"/>
      <c r="AE573" s="78"/>
      <c r="AF573" s="78"/>
      <c r="AG573" s="78"/>
      <c r="AH573" s="78"/>
      <c r="AI573" s="78"/>
      <c r="AJ573" s="78"/>
      <c r="AK573" s="78"/>
      <c r="AL573" s="78"/>
      <c r="AM573" s="78"/>
      <c r="AN573" s="78"/>
      <c r="AO573" s="78"/>
      <c r="AP573" s="78"/>
      <c r="AQ573" s="78"/>
      <c r="AR573" s="78"/>
      <c r="AS573" s="78"/>
      <c r="AT573" s="91"/>
      <c r="AU573" s="78"/>
      <c r="AV573" s="78"/>
      <c r="AW573" s="78"/>
      <c r="AX573" s="78"/>
      <c r="AY573" s="78"/>
      <c r="AZ573" s="78"/>
      <c r="BA573" s="78"/>
      <c r="BB573" s="78"/>
      <c r="BC573" s="78"/>
      <c r="BD573" s="78"/>
      <c r="BE573" s="78"/>
      <c r="BF573" s="78"/>
      <c r="BG573" s="78"/>
      <c r="BH573" s="78"/>
      <c r="BI573" s="78"/>
      <c r="BJ573" s="78"/>
      <c r="BK573" s="78"/>
      <c r="BL573" s="78"/>
      <c r="BM573" s="78"/>
      <c r="BN573" s="78"/>
      <c r="BO573" s="78"/>
      <c r="BP573" s="78"/>
      <c r="BQ573" s="78"/>
      <c r="BR573" s="78"/>
      <c r="BS573" s="78"/>
      <c r="BT573" s="78"/>
      <c r="BU573" s="78"/>
      <c r="BV573" s="78"/>
      <c r="BW573" s="78"/>
      <c r="BX573" s="78"/>
      <c r="BY573" s="78"/>
      <c r="BZ573" s="78"/>
      <c r="CA573" s="78"/>
      <c r="CB573" s="78"/>
      <c r="CC573" s="78"/>
      <c r="CD573" s="78"/>
      <c r="CE573" s="78"/>
      <c r="CF573" s="78"/>
      <c r="CG573" s="78"/>
      <c r="CH573" s="78"/>
      <c r="CI573" s="78"/>
      <c r="CJ573" s="78"/>
      <c r="CK573" s="78"/>
      <c r="CL573" s="78"/>
      <c r="CM573" s="78"/>
      <c r="CN573" s="78"/>
      <c r="CO573" s="78"/>
      <c r="CP573" s="78"/>
      <c r="CQ573" s="78"/>
      <c r="CR573" s="78"/>
      <c r="CS573" s="78"/>
      <c r="CT573" s="78"/>
      <c r="CU573" s="78"/>
      <c r="CV573" s="78"/>
      <c r="CW573" s="78"/>
      <c r="CX573" s="78"/>
      <c r="CY573" s="78"/>
      <c r="CZ573" s="78"/>
      <c r="DA573" s="78"/>
      <c r="DB573" s="78"/>
      <c r="DC573" s="78"/>
      <c r="DD573" s="78"/>
      <c r="DE573" s="78"/>
      <c r="DF573" s="78"/>
      <c r="DG573" s="78"/>
      <c r="DH573" s="78"/>
      <c r="DI573" s="78"/>
      <c r="DJ573" s="78"/>
      <c r="DK573" s="78"/>
      <c r="DL573" s="78"/>
      <c r="DM573" s="78"/>
      <c r="DN573" s="78"/>
      <c r="DO573" s="78"/>
      <c r="DP573" s="78"/>
      <c r="DQ573" s="78"/>
      <c r="DR573" s="78"/>
      <c r="DS573" s="78"/>
      <c r="DT573" s="78"/>
      <c r="DU573" s="78"/>
      <c r="DV573" s="78"/>
      <c r="DW573" s="78"/>
      <c r="DX573" s="78"/>
      <c r="DY573" s="78"/>
      <c r="DZ573" s="78"/>
      <c r="EA573" s="78"/>
      <c r="EB573" s="78"/>
      <c r="EC573" s="78"/>
      <c r="ED573" s="78"/>
      <c r="EE573" s="78"/>
      <c r="EF573" s="78"/>
      <c r="EG573" s="78"/>
      <c r="EH573" s="78"/>
      <c r="EI573" s="91"/>
      <c r="EJ573" s="91"/>
      <c r="EK573" s="91"/>
      <c r="EL573" s="91"/>
      <c r="EM573" s="91"/>
      <c r="EN573" s="91"/>
      <c r="EO573" s="91"/>
      <c r="EP573" s="78"/>
      <c r="EQ573" s="78"/>
      <c r="ER573" s="78"/>
      <c r="ES573" s="78"/>
      <c r="ET573" s="78"/>
      <c r="EU573" s="78"/>
      <c r="EV573" s="78"/>
      <c r="EW573" s="78"/>
      <c r="EX573" s="78"/>
      <c r="EY573" s="78"/>
      <c r="EZ573" s="78"/>
      <c r="FA573" s="78"/>
      <c r="FB573" s="78"/>
      <c r="FC573" s="78"/>
      <c r="FD573" s="78"/>
      <c r="FE573" s="78"/>
      <c r="FF573" s="78"/>
      <c r="FG573" s="78"/>
      <c r="FH573" s="78"/>
      <c r="FI573" s="78"/>
      <c r="FJ573" s="78"/>
      <c r="FK573" s="78"/>
    </row>
    <row r="574" spans="1:167" hidden="1" outlineLevel="1">
      <c r="A574" s="29" t="str">
        <f t="shared" si="38"/>
        <v>Re-testesn.a.</v>
      </c>
      <c r="B574" s="67" t="s">
        <v>26</v>
      </c>
      <c r="C574" s="68" t="s">
        <v>26</v>
      </c>
      <c r="D574" s="64" t="s">
        <v>40</v>
      </c>
      <c r="E574" s="66" t="s">
        <v>53</v>
      </c>
      <c r="F574" s="64" t="s">
        <v>38</v>
      </c>
      <c r="G574" s="64" t="s">
        <v>28</v>
      </c>
      <c r="H574" s="64"/>
      <c r="I574" s="84">
        <f>SUM(I448:I573)*D7</f>
        <v>30.887499999999935</v>
      </c>
      <c r="J574" s="84">
        <f>I574/8</f>
        <v>3.8609374999999919</v>
      </c>
      <c r="K574" s="87"/>
      <c r="M574" s="78"/>
      <c r="N574" s="78"/>
      <c r="O574" s="78"/>
      <c r="P574" s="78"/>
      <c r="Q574" s="78"/>
      <c r="R574" s="78"/>
      <c r="S574" s="78"/>
      <c r="T574" s="78"/>
      <c r="U574" s="78"/>
      <c r="V574" s="78"/>
      <c r="W574" s="78"/>
      <c r="X574" s="78"/>
      <c r="Y574" s="78"/>
      <c r="Z574" s="78"/>
      <c r="AA574" s="78"/>
      <c r="AB574" s="78"/>
      <c r="AC574" s="78"/>
      <c r="AD574" s="78"/>
      <c r="AE574" s="78"/>
      <c r="AF574" s="78"/>
      <c r="AG574" s="78"/>
      <c r="AH574" s="78"/>
      <c r="AI574" s="78"/>
      <c r="AJ574" s="78"/>
      <c r="AK574" s="78"/>
      <c r="AL574" s="78"/>
      <c r="AM574" s="78"/>
      <c r="AN574" s="78"/>
      <c r="AO574" s="78"/>
      <c r="AP574" s="78"/>
      <c r="AQ574" s="78"/>
      <c r="AR574" s="78"/>
      <c r="AS574" s="78"/>
      <c r="AT574" s="91"/>
      <c r="AU574" s="78"/>
      <c r="AV574" s="78"/>
      <c r="AW574" s="78"/>
      <c r="AX574" s="78"/>
      <c r="AY574" s="78"/>
      <c r="AZ574" s="78"/>
      <c r="BA574" s="78"/>
      <c r="BB574" s="78"/>
      <c r="BC574" s="78"/>
      <c r="BD574" s="78"/>
      <c r="BE574" s="78"/>
      <c r="BF574" s="78"/>
      <c r="BG574" s="78"/>
      <c r="BH574" s="78"/>
      <c r="BI574" s="78"/>
      <c r="BJ574" s="78"/>
      <c r="BK574" s="78"/>
      <c r="BL574" s="78"/>
      <c r="BM574" s="78"/>
      <c r="BN574" s="78"/>
      <c r="BO574" s="78"/>
      <c r="BP574" s="78"/>
      <c r="BQ574" s="78"/>
      <c r="BR574" s="78"/>
      <c r="BS574" s="78"/>
      <c r="BT574" s="78"/>
      <c r="BU574" s="78"/>
      <c r="BV574" s="78"/>
      <c r="BW574" s="78"/>
      <c r="BX574" s="78"/>
      <c r="BY574" s="78"/>
      <c r="BZ574" s="78"/>
      <c r="CA574" s="78"/>
      <c r="CB574" s="78"/>
      <c r="CC574" s="78"/>
      <c r="CD574" s="78"/>
      <c r="CE574" s="78"/>
      <c r="CF574" s="78"/>
      <c r="CG574" s="78"/>
      <c r="CH574" s="78"/>
      <c r="CI574" s="78"/>
      <c r="CJ574" s="78"/>
      <c r="CK574" s="78"/>
      <c r="CL574" s="78"/>
      <c r="CM574" s="78"/>
      <c r="CN574" s="78"/>
      <c r="CO574" s="78"/>
      <c r="CP574" s="78"/>
      <c r="CQ574" s="78"/>
      <c r="CR574" s="78"/>
      <c r="CS574" s="78"/>
      <c r="CT574" s="78"/>
      <c r="CU574" s="78"/>
      <c r="CV574" s="78"/>
      <c r="CW574" s="78"/>
      <c r="CX574" s="78"/>
      <c r="CY574" s="78"/>
      <c r="CZ574" s="78"/>
      <c r="DA574" s="78"/>
      <c r="DB574" s="78"/>
      <c r="DC574" s="78"/>
      <c r="DD574" s="78"/>
      <c r="DE574" s="78"/>
      <c r="DF574" s="78"/>
      <c r="DG574" s="78"/>
      <c r="DH574" s="78"/>
      <c r="DI574" s="78"/>
      <c r="DJ574" s="78"/>
      <c r="DK574" s="78"/>
      <c r="DL574" s="78"/>
      <c r="DM574" s="78"/>
      <c r="DN574" s="78"/>
      <c r="DO574" s="78"/>
      <c r="DP574" s="78"/>
      <c r="DQ574" s="78"/>
      <c r="DR574" s="78"/>
      <c r="DS574" s="78"/>
      <c r="DT574" s="78"/>
      <c r="DU574" s="78"/>
      <c r="DV574" s="78"/>
      <c r="DW574" s="78"/>
      <c r="DX574" s="78"/>
      <c r="DY574" s="78"/>
      <c r="DZ574" s="78"/>
      <c r="EA574" s="78"/>
      <c r="EB574" s="78"/>
      <c r="EC574" s="78"/>
      <c r="ED574" s="78"/>
      <c r="EE574" s="78"/>
      <c r="EF574" s="78"/>
      <c r="EG574" s="78"/>
      <c r="EH574" s="78"/>
      <c r="EI574" s="91"/>
      <c r="EJ574" s="91"/>
      <c r="EK574" s="91"/>
      <c r="EL574" s="91"/>
      <c r="EM574" s="91"/>
      <c r="EN574" s="91"/>
      <c r="EO574" s="91"/>
      <c r="EP574" s="78"/>
      <c r="EQ574" s="78"/>
      <c r="ER574" s="78"/>
      <c r="ES574" s="78"/>
      <c r="ET574" s="78"/>
      <c r="EU574" s="78"/>
      <c r="EV574" s="78"/>
      <c r="EW574" s="78"/>
      <c r="EX574" s="78"/>
      <c r="EY574" s="78"/>
      <c r="EZ574" s="78"/>
      <c r="FA574" s="78"/>
      <c r="FB574" s="78"/>
      <c r="FC574" s="78"/>
      <c r="FD574" s="78"/>
      <c r="FE574" s="78"/>
      <c r="FF574" s="78"/>
      <c r="FG574" s="78"/>
      <c r="FH574" s="78"/>
      <c r="FI574" s="78"/>
      <c r="FJ574" s="78"/>
      <c r="FK574" s="78"/>
    </row>
    <row r="575" spans="1:167" ht="10.4" customHeight="1" collapsed="1">
      <c r="B575" s="64"/>
      <c r="C575" s="64"/>
      <c r="D575" s="64"/>
      <c r="E575" s="64"/>
      <c r="F575" s="64"/>
      <c r="G575" s="64"/>
      <c r="H575" s="64"/>
      <c r="I575" s="84"/>
      <c r="J575" s="84"/>
      <c r="K575" s="88"/>
      <c r="M575" s="79"/>
      <c r="N575" s="79"/>
      <c r="O575" s="79"/>
      <c r="P575" s="79"/>
      <c r="Q575" s="79"/>
      <c r="R575" s="79"/>
      <c r="S575" s="79"/>
      <c r="T575" s="79"/>
      <c r="U575" s="79"/>
      <c r="V575" s="79"/>
      <c r="W575" s="79"/>
      <c r="X575" s="79"/>
      <c r="Y575" s="79"/>
      <c r="Z575" s="79"/>
      <c r="AA575" s="79"/>
      <c r="AB575" s="79"/>
      <c r="AC575" s="79"/>
      <c r="AD575" s="79"/>
      <c r="AE575" s="79"/>
      <c r="AF575" s="79"/>
      <c r="AG575" s="79"/>
      <c r="AH575" s="79"/>
      <c r="AI575" s="79"/>
      <c r="AJ575" s="79"/>
      <c r="AK575" s="79"/>
      <c r="AL575" s="79"/>
      <c r="AM575" s="79"/>
      <c r="AN575" s="79"/>
      <c r="AO575" s="79"/>
      <c r="AP575" s="79"/>
      <c r="AQ575" s="79"/>
      <c r="AR575" s="79"/>
      <c r="AS575" s="79"/>
      <c r="AT575" s="93"/>
      <c r="AU575" s="79"/>
      <c r="AV575" s="79"/>
      <c r="AW575" s="79"/>
      <c r="AX575" s="79"/>
      <c r="AY575" s="79"/>
      <c r="AZ575" s="79"/>
      <c r="BA575" s="79"/>
      <c r="BB575" s="79"/>
      <c r="BC575" s="79"/>
      <c r="BD575" s="79"/>
      <c r="BE575" s="79"/>
      <c r="BF575" s="79"/>
      <c r="BG575" s="79"/>
      <c r="BH575" s="79"/>
      <c r="BI575" s="79"/>
      <c r="BJ575" s="79"/>
      <c r="BK575" s="79"/>
      <c r="BL575" s="79"/>
      <c r="BM575" s="79"/>
      <c r="BN575" s="79"/>
      <c r="BO575" s="79"/>
      <c r="BP575" s="79"/>
      <c r="BQ575" s="79"/>
      <c r="BR575" s="79"/>
      <c r="BS575" s="79"/>
      <c r="BT575" s="79"/>
      <c r="BU575" s="79"/>
      <c r="BV575" s="79"/>
      <c r="BW575" s="79"/>
      <c r="BX575" s="79"/>
      <c r="BY575" s="79"/>
      <c r="BZ575" s="79"/>
      <c r="CA575" s="79"/>
      <c r="CB575" s="79"/>
      <c r="CC575" s="79"/>
      <c r="CD575" s="79"/>
      <c r="CE575" s="79"/>
      <c r="CF575" s="79"/>
      <c r="CG575" s="79"/>
      <c r="CH575" s="79"/>
      <c r="CI575" s="79"/>
      <c r="CJ575" s="79"/>
      <c r="CK575" s="79"/>
      <c r="CL575" s="79"/>
      <c r="CM575" s="79"/>
      <c r="CN575" s="79"/>
      <c r="CO575" s="79"/>
      <c r="CP575" s="79"/>
      <c r="CQ575" s="79"/>
      <c r="CR575" s="79"/>
      <c r="CS575" s="79"/>
      <c r="CT575" s="79"/>
      <c r="CU575" s="79"/>
      <c r="CV575" s="79"/>
      <c r="CW575" s="79"/>
      <c r="CX575" s="79"/>
      <c r="CY575" s="79"/>
      <c r="CZ575" s="79"/>
      <c r="DA575" s="79"/>
      <c r="DB575" s="79"/>
      <c r="DC575" s="79"/>
      <c r="DD575" s="79"/>
      <c r="DE575" s="79"/>
      <c r="DF575" s="79"/>
      <c r="DG575" s="79"/>
      <c r="DH575" s="79"/>
      <c r="DI575" s="79"/>
      <c r="DJ575" s="79"/>
      <c r="DK575" s="79"/>
      <c r="DL575" s="79"/>
      <c r="DM575" s="79"/>
      <c r="DN575" s="79"/>
      <c r="DO575" s="79"/>
      <c r="DP575" s="79"/>
      <c r="DQ575" s="79"/>
      <c r="DR575" s="79"/>
      <c r="DS575" s="79"/>
      <c r="DT575" s="79"/>
      <c r="DU575" s="79"/>
      <c r="DV575" s="79"/>
      <c r="DW575" s="79"/>
      <c r="DX575" s="79"/>
      <c r="DY575" s="79"/>
      <c r="DZ575" s="79"/>
      <c r="EA575" s="79"/>
      <c r="EB575" s="79"/>
      <c r="EC575" s="79"/>
      <c r="ED575" s="79"/>
      <c r="EE575" s="79"/>
      <c r="EF575" s="79"/>
      <c r="EG575" s="79"/>
      <c r="EH575" s="79"/>
      <c r="EI575" s="93"/>
      <c r="EJ575" s="93"/>
      <c r="EK575" s="93"/>
      <c r="EL575" s="93"/>
      <c r="EM575" s="93"/>
      <c r="EN575" s="93"/>
      <c r="EO575" s="93"/>
      <c r="EP575" s="79"/>
      <c r="EQ575" s="79"/>
      <c r="ER575" s="79"/>
      <c r="ES575" s="79"/>
      <c r="ET575" s="79"/>
      <c r="EU575" s="79"/>
      <c r="EV575" s="79"/>
      <c r="EW575" s="79"/>
      <c r="EX575" s="79"/>
      <c r="EY575" s="79"/>
      <c r="EZ575" s="79"/>
      <c r="FA575" s="79"/>
      <c r="FB575" s="79"/>
      <c r="FC575" s="79"/>
      <c r="FD575" s="79"/>
      <c r="FE575" s="79"/>
      <c r="FF575" s="79"/>
      <c r="FG575" s="79"/>
      <c r="FH575" s="79"/>
      <c r="FI575" s="79"/>
      <c r="FJ575" s="79"/>
      <c r="FK575" s="79"/>
    </row>
    <row r="576" spans="1:167">
      <c r="A576" s="29" t="str">
        <f>E576&amp;F576</f>
        <v/>
      </c>
      <c r="B576" s="82" t="s">
        <v>570</v>
      </c>
      <c r="C576" s="83"/>
      <c r="D576" s="83"/>
      <c r="E576" s="83"/>
      <c r="F576" s="83"/>
      <c r="G576" s="83"/>
      <c r="H576" s="83"/>
      <c r="I576" s="105">
        <f>SUM(I577:I579)</f>
        <v>120</v>
      </c>
      <c r="J576" s="105">
        <f>I576/8</f>
        <v>15</v>
      </c>
      <c r="K576" s="86"/>
      <c r="M576" s="78"/>
      <c r="N576" s="78"/>
      <c r="O576" s="78"/>
      <c r="P576" s="78"/>
      <c r="Q576" s="78"/>
      <c r="R576" s="78"/>
      <c r="S576" s="78"/>
      <c r="T576" s="78"/>
      <c r="U576" s="78"/>
      <c r="V576" s="78"/>
      <c r="W576" s="78"/>
      <c r="X576" s="78"/>
      <c r="Y576" s="78"/>
      <c r="Z576" s="78"/>
      <c r="AA576" s="78"/>
      <c r="AB576" s="78"/>
      <c r="AC576" s="78"/>
      <c r="AD576" s="78"/>
      <c r="AE576" s="78"/>
      <c r="AF576" s="78"/>
      <c r="AG576" s="78"/>
      <c r="AH576" s="78"/>
      <c r="AI576" s="78"/>
      <c r="AJ576" s="78"/>
      <c r="AK576" s="78"/>
      <c r="AL576" s="78"/>
      <c r="AM576" s="78"/>
      <c r="AN576" s="78"/>
      <c r="AO576" s="78"/>
      <c r="AP576" s="78"/>
      <c r="AQ576" s="78"/>
      <c r="AR576" s="78"/>
      <c r="AS576" s="78"/>
      <c r="AT576" s="91"/>
      <c r="AU576" s="78"/>
      <c r="AV576" s="78"/>
      <c r="AW576" s="78"/>
      <c r="AX576" s="78"/>
      <c r="AY576" s="78"/>
      <c r="AZ576" s="78"/>
      <c r="BA576" s="78"/>
      <c r="BB576" s="78"/>
      <c r="BC576" s="78"/>
      <c r="BD576" s="78"/>
      <c r="BE576" s="78"/>
      <c r="BF576" s="78"/>
      <c r="BG576" s="78"/>
      <c r="BH576" s="78"/>
      <c r="BI576" s="78"/>
      <c r="BJ576" s="78"/>
      <c r="BK576" s="78"/>
      <c r="BL576" s="78"/>
      <c r="BM576" s="78"/>
      <c r="BN576" s="78"/>
      <c r="BO576" s="78"/>
      <c r="BP576" s="78"/>
      <c r="BQ576" s="78"/>
      <c r="BR576" s="78"/>
      <c r="BS576" s="78"/>
      <c r="BT576" s="78"/>
      <c r="BU576" s="78"/>
      <c r="BV576" s="78"/>
      <c r="BW576" s="78"/>
      <c r="BX576" s="78"/>
      <c r="BY576" s="78"/>
      <c r="BZ576" s="78"/>
      <c r="CA576" s="78"/>
      <c r="CB576" s="78"/>
      <c r="CC576" s="78"/>
      <c r="CD576" s="78"/>
      <c r="CE576" s="78"/>
      <c r="CF576" s="78"/>
      <c r="CG576" s="78"/>
      <c r="CH576" s="78"/>
      <c r="CI576" s="78"/>
      <c r="CJ576" s="78"/>
      <c r="CK576" s="78"/>
      <c r="CL576" s="78"/>
      <c r="CM576" s="78"/>
      <c r="CN576" s="78"/>
      <c r="CO576" s="78"/>
      <c r="CP576" s="78"/>
      <c r="CQ576" s="78"/>
      <c r="CR576" s="78"/>
      <c r="CS576" s="78"/>
      <c r="CT576" s="78"/>
      <c r="CU576" s="78"/>
      <c r="CV576" s="78"/>
      <c r="CW576" s="78"/>
      <c r="CX576" s="78"/>
      <c r="CY576" s="78"/>
      <c r="CZ576" s="78"/>
      <c r="DA576" s="78"/>
      <c r="DB576" s="78"/>
      <c r="DC576" s="78"/>
      <c r="DD576" s="78"/>
      <c r="DE576" s="78"/>
      <c r="DF576" s="78"/>
      <c r="DG576" s="78"/>
      <c r="DH576" s="78"/>
      <c r="DI576" s="78"/>
      <c r="DJ576" s="78"/>
      <c r="DK576" s="78"/>
      <c r="DL576" s="78"/>
      <c r="DM576" s="78"/>
      <c r="DN576" s="78"/>
      <c r="DO576" s="78"/>
      <c r="DP576" s="78"/>
      <c r="DQ576" s="78"/>
      <c r="DR576" s="78"/>
      <c r="DS576" s="78"/>
      <c r="DT576" s="78"/>
      <c r="DU576" s="78"/>
      <c r="DV576" s="78"/>
      <c r="DW576" s="78"/>
      <c r="DX576" s="78"/>
      <c r="DY576" s="78"/>
      <c r="DZ576" s="78"/>
      <c r="EA576" s="78"/>
      <c r="EB576" s="78"/>
      <c r="EC576" s="78"/>
      <c r="ED576" s="78"/>
      <c r="EE576" s="78"/>
      <c r="EF576" s="78"/>
      <c r="EG576" s="78"/>
      <c r="EH576" s="78"/>
      <c r="EI576" s="91"/>
      <c r="EJ576" s="91"/>
      <c r="EK576" s="91"/>
      <c r="EL576" s="91"/>
      <c r="EM576" s="91"/>
      <c r="EN576" s="91"/>
      <c r="EO576" s="91"/>
      <c r="EP576" s="139"/>
      <c r="EQ576" s="139"/>
      <c r="ER576" s="139"/>
      <c r="ES576" s="139"/>
      <c r="ET576" s="139"/>
      <c r="EU576" s="139"/>
      <c r="EV576" s="139"/>
      <c r="EW576" s="139"/>
      <c r="EX576" s="139"/>
      <c r="EY576" s="139"/>
      <c r="EZ576" s="78"/>
      <c r="FA576" s="78"/>
      <c r="FB576" s="78"/>
      <c r="FC576" s="78"/>
      <c r="FD576" s="78"/>
      <c r="FE576" s="78"/>
      <c r="FF576" s="78"/>
      <c r="FG576" s="78"/>
      <c r="FH576" s="78"/>
      <c r="FI576" s="78"/>
      <c r="FJ576" s="78"/>
      <c r="FK576" s="78"/>
    </row>
    <row r="577" spans="1:167">
      <c r="A577" s="29" t="str">
        <f>E577&amp;F577</f>
        <v/>
      </c>
      <c r="B577" s="65" t="s">
        <v>26</v>
      </c>
      <c r="C577" s="64" t="s">
        <v>27</v>
      </c>
      <c r="D577" s="64"/>
      <c r="E577" s="64"/>
      <c r="F577" s="64"/>
      <c r="G577" s="64"/>
      <c r="H577" s="64"/>
      <c r="I577" s="84">
        <f>J577*8</f>
        <v>40</v>
      </c>
      <c r="J577" s="84">
        <v>5</v>
      </c>
      <c r="K577" s="87"/>
      <c r="L577" s="90">
        <f>J577-SUM(M577:FK577)</f>
        <v>0</v>
      </c>
      <c r="M577" s="78"/>
      <c r="N577" s="78"/>
      <c r="O577" s="78"/>
      <c r="P577" s="78"/>
      <c r="Q577" s="78"/>
      <c r="R577" s="78"/>
      <c r="S577" s="78"/>
      <c r="T577" s="78"/>
      <c r="U577" s="78"/>
      <c r="V577" s="78"/>
      <c r="W577" s="78"/>
      <c r="X577" s="78"/>
      <c r="Y577" s="78"/>
      <c r="Z577" s="78"/>
      <c r="AA577" s="78"/>
      <c r="AB577" s="78"/>
      <c r="AC577" s="78"/>
      <c r="AD577" s="78"/>
      <c r="AE577" s="78"/>
      <c r="AF577" s="78"/>
      <c r="AG577" s="78"/>
      <c r="AH577" s="78"/>
      <c r="AI577" s="78"/>
      <c r="AJ577" s="78"/>
      <c r="AK577" s="78"/>
      <c r="AL577" s="78"/>
      <c r="AM577" s="78"/>
      <c r="AN577" s="78"/>
      <c r="AO577" s="78"/>
      <c r="AP577" s="78"/>
      <c r="AQ577" s="78"/>
      <c r="AR577" s="78"/>
      <c r="AS577" s="78"/>
      <c r="AT577" s="91"/>
      <c r="AU577" s="78"/>
      <c r="AV577" s="78"/>
      <c r="AW577" s="78"/>
      <c r="AX577" s="78"/>
      <c r="AY577" s="78"/>
      <c r="AZ577" s="78"/>
      <c r="BA577" s="78"/>
      <c r="BB577" s="78"/>
      <c r="BC577" s="78"/>
      <c r="BD577" s="78"/>
      <c r="BE577" s="78"/>
      <c r="BF577" s="78"/>
      <c r="BG577" s="78"/>
      <c r="BH577" s="78"/>
      <c r="BI577" s="78"/>
      <c r="BJ577" s="78"/>
      <c r="BK577" s="78"/>
      <c r="BL577" s="78"/>
      <c r="BM577" s="78"/>
      <c r="BN577" s="78"/>
      <c r="BO577" s="78"/>
      <c r="BP577" s="78"/>
      <c r="BQ577" s="78"/>
      <c r="BR577" s="78"/>
      <c r="BS577" s="78"/>
      <c r="BT577" s="78"/>
      <c r="BU577" s="78"/>
      <c r="BV577" s="78"/>
      <c r="BW577" s="78"/>
      <c r="BX577" s="78"/>
      <c r="BY577" s="78"/>
      <c r="BZ577" s="78"/>
      <c r="CA577" s="78"/>
      <c r="CB577" s="78"/>
      <c r="CC577" s="78"/>
      <c r="CD577" s="78"/>
      <c r="CE577" s="78"/>
      <c r="CF577" s="78"/>
      <c r="CG577" s="78"/>
      <c r="CH577" s="78"/>
      <c r="CI577" s="78"/>
      <c r="CJ577" s="78"/>
      <c r="CK577" s="78"/>
      <c r="CL577" s="78"/>
      <c r="CM577" s="78"/>
      <c r="CN577" s="78"/>
      <c r="CO577" s="78"/>
      <c r="CP577" s="78"/>
      <c r="CQ577" s="78"/>
      <c r="CR577" s="78"/>
      <c r="CS577" s="78"/>
      <c r="CT577" s="78"/>
      <c r="CU577" s="78"/>
      <c r="CV577" s="78"/>
      <c r="CW577" s="78"/>
      <c r="CX577" s="78"/>
      <c r="CY577" s="78"/>
      <c r="CZ577" s="78"/>
      <c r="DA577" s="78"/>
      <c r="DB577" s="78"/>
      <c r="DC577" s="78"/>
      <c r="DD577" s="78"/>
      <c r="DE577" s="78"/>
      <c r="DF577" s="78"/>
      <c r="DG577" s="78"/>
      <c r="DH577" s="78"/>
      <c r="DI577" s="78"/>
      <c r="DJ577" s="78"/>
      <c r="DK577" s="78"/>
      <c r="DL577" s="78"/>
      <c r="DM577" s="78"/>
      <c r="DN577" s="78"/>
      <c r="DO577" s="78"/>
      <c r="DP577" s="78"/>
      <c r="DQ577" s="78"/>
      <c r="DR577" s="78"/>
      <c r="DS577" s="78"/>
      <c r="DT577" s="78"/>
      <c r="DU577" s="78"/>
      <c r="DV577" s="78"/>
      <c r="DW577" s="78"/>
      <c r="DX577" s="78"/>
      <c r="DY577" s="78"/>
      <c r="DZ577" s="78"/>
      <c r="EA577" s="78"/>
      <c r="EB577" s="78"/>
      <c r="EC577" s="78"/>
      <c r="ED577" s="78"/>
      <c r="EE577" s="78"/>
      <c r="EF577" s="78"/>
      <c r="EG577" s="78"/>
      <c r="EH577" s="78"/>
      <c r="EI577" s="91"/>
      <c r="EJ577" s="91"/>
      <c r="EK577" s="91"/>
      <c r="EL577" s="91"/>
      <c r="EM577" s="91"/>
      <c r="EN577" s="91"/>
      <c r="EO577" s="91"/>
      <c r="EP577" s="78">
        <v>1</v>
      </c>
      <c r="EQ577" s="78">
        <v>1</v>
      </c>
      <c r="ER577" s="78">
        <v>1</v>
      </c>
      <c r="ES577" s="78">
        <v>1</v>
      </c>
      <c r="ET577" s="78">
        <v>1</v>
      </c>
      <c r="EU577" s="78"/>
      <c r="EV577" s="78"/>
      <c r="EW577" s="78"/>
      <c r="EX577" s="78"/>
      <c r="EY577" s="78"/>
      <c r="EZ577" s="78"/>
      <c r="FA577" s="78"/>
      <c r="FB577" s="78"/>
      <c r="FC577" s="78"/>
      <c r="FD577" s="78"/>
      <c r="FE577" s="78"/>
      <c r="FF577" s="78"/>
      <c r="FG577" s="78"/>
      <c r="FH577" s="78"/>
      <c r="FI577" s="78"/>
      <c r="FJ577" s="78"/>
      <c r="FK577" s="78"/>
    </row>
    <row r="578" spans="1:167">
      <c r="A578" s="29" t="str">
        <f>E578&amp;F578</f>
        <v/>
      </c>
      <c r="B578" s="65" t="s">
        <v>26</v>
      </c>
      <c r="C578" s="64" t="s">
        <v>29</v>
      </c>
      <c r="D578" s="64"/>
      <c r="E578" s="66"/>
      <c r="F578" s="64"/>
      <c r="G578" s="64"/>
      <c r="H578" s="64"/>
      <c r="I578" s="84">
        <f>J578*8</f>
        <v>40</v>
      </c>
      <c r="J578" s="84">
        <v>5</v>
      </c>
      <c r="K578" s="87"/>
      <c r="L578" s="90">
        <f>J578-SUM(M578:FK578)</f>
        <v>0</v>
      </c>
      <c r="M578" s="78"/>
      <c r="N578" s="78"/>
      <c r="O578" s="78"/>
      <c r="P578" s="78"/>
      <c r="Q578" s="78"/>
      <c r="R578" s="78"/>
      <c r="S578" s="78"/>
      <c r="T578" s="78"/>
      <c r="U578" s="78"/>
      <c r="V578" s="78"/>
      <c r="W578" s="78"/>
      <c r="X578" s="78"/>
      <c r="Y578" s="78"/>
      <c r="Z578" s="78"/>
      <c r="AA578" s="78"/>
      <c r="AB578" s="78"/>
      <c r="AC578" s="78"/>
      <c r="AD578" s="78"/>
      <c r="AE578" s="78"/>
      <c r="AF578" s="78"/>
      <c r="AG578" s="78"/>
      <c r="AH578" s="78"/>
      <c r="AI578" s="78"/>
      <c r="AJ578" s="78"/>
      <c r="AK578" s="78"/>
      <c r="AL578" s="78"/>
      <c r="AM578" s="78"/>
      <c r="AN578" s="78"/>
      <c r="AO578" s="78"/>
      <c r="AP578" s="78"/>
      <c r="AQ578" s="78"/>
      <c r="AR578" s="78"/>
      <c r="AS578" s="78"/>
      <c r="AT578" s="91"/>
      <c r="AU578" s="78"/>
      <c r="AV578" s="78"/>
      <c r="AW578" s="78"/>
      <c r="AX578" s="78"/>
      <c r="AY578" s="78"/>
      <c r="AZ578" s="78"/>
      <c r="BA578" s="78"/>
      <c r="BB578" s="78"/>
      <c r="BC578" s="78"/>
      <c r="BD578" s="78"/>
      <c r="BE578" s="78"/>
      <c r="BF578" s="78"/>
      <c r="BG578" s="78"/>
      <c r="BH578" s="78"/>
      <c r="BI578" s="78"/>
      <c r="BJ578" s="78"/>
      <c r="BK578" s="78"/>
      <c r="BL578" s="78"/>
      <c r="BM578" s="78"/>
      <c r="BN578" s="78"/>
      <c r="BO578" s="78"/>
      <c r="BP578" s="78"/>
      <c r="BQ578" s="78"/>
      <c r="BR578" s="78"/>
      <c r="BS578" s="78"/>
      <c r="BT578" s="78"/>
      <c r="BU578" s="78"/>
      <c r="BV578" s="78"/>
      <c r="BW578" s="78"/>
      <c r="BX578" s="78"/>
      <c r="BY578" s="78"/>
      <c r="BZ578" s="78"/>
      <c r="CA578" s="78"/>
      <c r="CB578" s="78"/>
      <c r="CC578" s="78"/>
      <c r="CD578" s="78"/>
      <c r="CE578" s="78"/>
      <c r="CF578" s="78"/>
      <c r="CG578" s="78"/>
      <c r="CH578" s="78"/>
      <c r="CI578" s="78"/>
      <c r="CJ578" s="78"/>
      <c r="CK578" s="78"/>
      <c r="CL578" s="78"/>
      <c r="CM578" s="78"/>
      <c r="CN578" s="78"/>
      <c r="CO578" s="78"/>
      <c r="CP578" s="78"/>
      <c r="CQ578" s="78"/>
      <c r="CR578" s="78"/>
      <c r="CS578" s="78"/>
      <c r="CT578" s="78"/>
      <c r="CU578" s="78"/>
      <c r="CV578" s="78"/>
      <c r="CW578" s="78"/>
      <c r="CX578" s="78"/>
      <c r="CY578" s="78"/>
      <c r="CZ578" s="78"/>
      <c r="DA578" s="78"/>
      <c r="DB578" s="78"/>
      <c r="DC578" s="78"/>
      <c r="DD578" s="78"/>
      <c r="DE578" s="78"/>
      <c r="DF578" s="78"/>
      <c r="DG578" s="78"/>
      <c r="DH578" s="78"/>
      <c r="DI578" s="78"/>
      <c r="DJ578" s="78"/>
      <c r="DK578" s="78"/>
      <c r="DL578" s="78"/>
      <c r="DM578" s="78"/>
      <c r="DN578" s="78"/>
      <c r="DO578" s="78"/>
      <c r="DP578" s="78"/>
      <c r="DQ578" s="78"/>
      <c r="DR578" s="78"/>
      <c r="DS578" s="78"/>
      <c r="DT578" s="78"/>
      <c r="DU578" s="78"/>
      <c r="DV578" s="78"/>
      <c r="DW578" s="78"/>
      <c r="DX578" s="78"/>
      <c r="DY578" s="78"/>
      <c r="DZ578" s="78"/>
      <c r="EA578" s="78"/>
      <c r="EB578" s="78"/>
      <c r="EC578" s="78"/>
      <c r="ED578" s="78"/>
      <c r="EE578" s="78"/>
      <c r="EF578" s="78"/>
      <c r="EG578" s="78"/>
      <c r="EH578" s="78"/>
      <c r="EI578" s="91"/>
      <c r="EJ578" s="91"/>
      <c r="EK578" s="91"/>
      <c r="EL578" s="91"/>
      <c r="EM578" s="91"/>
      <c r="EN578" s="91"/>
      <c r="EO578" s="91"/>
      <c r="EP578" s="78">
        <v>1</v>
      </c>
      <c r="EQ578" s="78">
        <v>1</v>
      </c>
      <c r="ER578" s="78">
        <v>1</v>
      </c>
      <c r="ES578" s="78">
        <v>1</v>
      </c>
      <c r="ET578" s="78">
        <v>1</v>
      </c>
      <c r="EU578" s="78"/>
      <c r="EV578" s="78"/>
      <c r="EW578" s="78"/>
      <c r="EX578" s="78"/>
      <c r="EY578" s="78"/>
      <c r="EZ578" s="78"/>
      <c r="FA578" s="78"/>
      <c r="FB578" s="78"/>
      <c r="FC578" s="78"/>
      <c r="FD578" s="78"/>
      <c r="FE578" s="78"/>
      <c r="FF578" s="78"/>
      <c r="FG578" s="78"/>
      <c r="FH578" s="78"/>
      <c r="FI578" s="78"/>
      <c r="FJ578" s="78"/>
      <c r="FK578" s="78"/>
    </row>
    <row r="579" spans="1:167">
      <c r="A579" s="29" t="str">
        <f>E579&amp;F579</f>
        <v/>
      </c>
      <c r="B579" s="65" t="s">
        <v>26</v>
      </c>
      <c r="C579" s="64" t="s">
        <v>26</v>
      </c>
      <c r="D579" s="64"/>
      <c r="E579" s="64"/>
      <c r="F579" s="64"/>
      <c r="G579" s="64"/>
      <c r="H579" s="64"/>
      <c r="I579" s="84">
        <f>J579*8</f>
        <v>40</v>
      </c>
      <c r="J579" s="84">
        <v>5</v>
      </c>
      <c r="K579" s="87"/>
      <c r="L579" s="90">
        <f>J579-SUM(M579:FK579)</f>
        <v>0</v>
      </c>
      <c r="M579" s="78"/>
      <c r="N579" s="78"/>
      <c r="O579" s="78"/>
      <c r="P579" s="78"/>
      <c r="Q579" s="78"/>
      <c r="R579" s="78"/>
      <c r="S579" s="78"/>
      <c r="T579" s="78"/>
      <c r="U579" s="78"/>
      <c r="V579" s="78"/>
      <c r="W579" s="78"/>
      <c r="X579" s="78"/>
      <c r="Y579" s="78"/>
      <c r="Z579" s="78"/>
      <c r="AA579" s="78"/>
      <c r="AB579" s="78"/>
      <c r="AC579" s="78"/>
      <c r="AD579" s="78"/>
      <c r="AE579" s="78"/>
      <c r="AF579" s="78"/>
      <c r="AG579" s="78"/>
      <c r="AH579" s="78"/>
      <c r="AI579" s="78"/>
      <c r="AJ579" s="78"/>
      <c r="AK579" s="78"/>
      <c r="AL579" s="78"/>
      <c r="AM579" s="78"/>
      <c r="AN579" s="78"/>
      <c r="AO579" s="78"/>
      <c r="AP579" s="78"/>
      <c r="AQ579" s="78"/>
      <c r="AR579" s="78"/>
      <c r="AS579" s="78"/>
      <c r="AT579" s="91"/>
      <c r="AU579" s="78"/>
      <c r="AV579" s="78"/>
      <c r="AW579" s="78"/>
      <c r="AX579" s="78"/>
      <c r="AY579" s="78"/>
      <c r="AZ579" s="78"/>
      <c r="BA579" s="78"/>
      <c r="BB579" s="78"/>
      <c r="BC579" s="78"/>
      <c r="BD579" s="78"/>
      <c r="BE579" s="78"/>
      <c r="BF579" s="78"/>
      <c r="BG579" s="78"/>
      <c r="BH579" s="78"/>
      <c r="BI579" s="78"/>
      <c r="BJ579" s="78"/>
      <c r="BK579" s="78"/>
      <c r="BL579" s="78"/>
      <c r="BM579" s="78"/>
      <c r="BN579" s="78"/>
      <c r="BO579" s="78"/>
      <c r="BP579" s="78"/>
      <c r="BQ579" s="78"/>
      <c r="BR579" s="78"/>
      <c r="BS579" s="78"/>
      <c r="BT579" s="78"/>
      <c r="BU579" s="78"/>
      <c r="BV579" s="78"/>
      <c r="BW579" s="78"/>
      <c r="BX579" s="78"/>
      <c r="BY579" s="78"/>
      <c r="BZ579" s="78"/>
      <c r="CA579" s="78"/>
      <c r="CB579" s="78"/>
      <c r="CC579" s="78"/>
      <c r="CD579" s="78"/>
      <c r="CE579" s="78"/>
      <c r="CF579" s="78"/>
      <c r="CG579" s="78"/>
      <c r="CH579" s="78"/>
      <c r="CI579" s="78"/>
      <c r="CJ579" s="78"/>
      <c r="CK579" s="78"/>
      <c r="CL579" s="78"/>
      <c r="CM579" s="78"/>
      <c r="CN579" s="78"/>
      <c r="CO579" s="78"/>
      <c r="CP579" s="78"/>
      <c r="CQ579" s="78"/>
      <c r="CR579" s="78"/>
      <c r="CS579" s="78"/>
      <c r="CT579" s="78"/>
      <c r="CU579" s="78"/>
      <c r="CV579" s="78"/>
      <c r="CW579" s="78"/>
      <c r="CX579" s="78"/>
      <c r="CY579" s="78"/>
      <c r="CZ579" s="78"/>
      <c r="DA579" s="78"/>
      <c r="DB579" s="78"/>
      <c r="DC579" s="78"/>
      <c r="DD579" s="78"/>
      <c r="DE579" s="78"/>
      <c r="DF579" s="78"/>
      <c r="DG579" s="78"/>
      <c r="DH579" s="78"/>
      <c r="DI579" s="78"/>
      <c r="DJ579" s="78"/>
      <c r="DK579" s="78"/>
      <c r="DL579" s="78"/>
      <c r="DM579" s="78"/>
      <c r="DN579" s="78"/>
      <c r="DO579" s="78"/>
      <c r="DP579" s="78"/>
      <c r="DQ579" s="78"/>
      <c r="DR579" s="78"/>
      <c r="DS579" s="78"/>
      <c r="DT579" s="78"/>
      <c r="DU579" s="78"/>
      <c r="DV579" s="78"/>
      <c r="DW579" s="78"/>
      <c r="DX579" s="78"/>
      <c r="DY579" s="78"/>
      <c r="DZ579" s="78"/>
      <c r="EA579" s="78"/>
      <c r="EB579" s="78"/>
      <c r="EC579" s="78"/>
      <c r="ED579" s="78"/>
      <c r="EE579" s="78"/>
      <c r="EF579" s="78"/>
      <c r="EG579" s="78"/>
      <c r="EH579" s="78"/>
      <c r="EI579" s="91"/>
      <c r="EJ579" s="91"/>
      <c r="EK579" s="91"/>
      <c r="EL579" s="91"/>
      <c r="EM579" s="91"/>
      <c r="EN579" s="91"/>
      <c r="EO579" s="91"/>
      <c r="EP579" s="78"/>
      <c r="EQ579" s="78"/>
      <c r="ER579" s="78"/>
      <c r="ES579" s="78"/>
      <c r="ET579" s="78"/>
      <c r="EU579" s="78">
        <v>1</v>
      </c>
      <c r="EV579" s="78">
        <v>1</v>
      </c>
      <c r="EW579" s="78">
        <v>1</v>
      </c>
      <c r="EX579" s="78">
        <v>1</v>
      </c>
      <c r="EY579" s="78">
        <v>1</v>
      </c>
      <c r="EZ579" s="78"/>
      <c r="FA579" s="78"/>
      <c r="FB579" s="78"/>
      <c r="FC579" s="78"/>
      <c r="FD579" s="78"/>
      <c r="FE579" s="78"/>
      <c r="FF579" s="78"/>
      <c r="FG579" s="78"/>
      <c r="FH579" s="78"/>
      <c r="FI579" s="78"/>
      <c r="FJ579" s="78"/>
      <c r="FK579" s="78"/>
    </row>
    <row r="580" spans="1:167" ht="10.4" customHeight="1">
      <c r="B580" s="64"/>
      <c r="C580" s="64"/>
      <c r="D580" s="64"/>
      <c r="E580" s="64"/>
      <c r="F580" s="64"/>
      <c r="G580" s="64"/>
      <c r="H580" s="64"/>
      <c r="I580" s="84"/>
      <c r="J580" s="84"/>
      <c r="K580" s="88"/>
      <c r="M580" s="79"/>
      <c r="N580" s="79"/>
      <c r="O580" s="79"/>
      <c r="P580" s="79"/>
      <c r="Q580" s="79"/>
      <c r="R580" s="79"/>
      <c r="S580" s="79"/>
      <c r="T580" s="79"/>
      <c r="U580" s="79"/>
      <c r="V580" s="79"/>
      <c r="W580" s="79"/>
      <c r="X580" s="79"/>
      <c r="Y580" s="79"/>
      <c r="Z580" s="79"/>
      <c r="AA580" s="79"/>
      <c r="AB580" s="79"/>
      <c r="AC580" s="79"/>
      <c r="AD580" s="79"/>
      <c r="AE580" s="79"/>
      <c r="AF580" s="79"/>
      <c r="AG580" s="79"/>
      <c r="AH580" s="79"/>
      <c r="AI580" s="79"/>
      <c r="AJ580" s="79"/>
      <c r="AK580" s="79"/>
      <c r="AL580" s="79"/>
      <c r="AM580" s="79"/>
      <c r="AN580" s="79"/>
      <c r="AO580" s="79"/>
      <c r="AP580" s="79"/>
      <c r="AQ580" s="79"/>
      <c r="AR580" s="79"/>
      <c r="AS580" s="79"/>
      <c r="AT580" s="93"/>
      <c r="AU580" s="79"/>
      <c r="AV580" s="79"/>
      <c r="AW580" s="79"/>
      <c r="AX580" s="79"/>
      <c r="AY580" s="79"/>
      <c r="AZ580" s="79"/>
      <c r="BA580" s="79"/>
      <c r="BB580" s="79"/>
      <c r="BC580" s="79"/>
      <c r="BD580" s="79"/>
      <c r="BE580" s="79"/>
      <c r="BF580" s="79"/>
      <c r="BG580" s="79"/>
      <c r="BH580" s="79"/>
      <c r="BI580" s="79"/>
      <c r="BJ580" s="79"/>
      <c r="BK580" s="79"/>
      <c r="BL580" s="79"/>
      <c r="BM580" s="79"/>
      <c r="BN580" s="79"/>
      <c r="BO580" s="79"/>
      <c r="BP580" s="79"/>
      <c r="BQ580" s="79"/>
      <c r="BR580" s="79"/>
      <c r="BS580" s="79"/>
      <c r="BT580" s="79"/>
      <c r="BU580" s="79"/>
      <c r="BV580" s="79"/>
      <c r="BW580" s="79"/>
      <c r="BX580" s="79"/>
      <c r="BY580" s="79"/>
      <c r="BZ580" s="79"/>
      <c r="CA580" s="79"/>
      <c r="CB580" s="79"/>
      <c r="CC580" s="79"/>
      <c r="CD580" s="79"/>
      <c r="CE580" s="79"/>
      <c r="CF580" s="79"/>
      <c r="CG580" s="79"/>
      <c r="CH580" s="79"/>
      <c r="CI580" s="79"/>
      <c r="CJ580" s="79"/>
      <c r="CK580" s="79"/>
      <c r="CL580" s="79"/>
      <c r="CM580" s="79"/>
      <c r="CN580" s="79"/>
      <c r="CO580" s="79"/>
      <c r="CP580" s="79"/>
      <c r="CQ580" s="79"/>
      <c r="CR580" s="79"/>
      <c r="CS580" s="79"/>
      <c r="CT580" s="79"/>
      <c r="CU580" s="79"/>
      <c r="CV580" s="79"/>
      <c r="CW580" s="79"/>
      <c r="CX580" s="79"/>
      <c r="CY580" s="79"/>
      <c r="CZ580" s="79"/>
      <c r="DA580" s="79"/>
      <c r="DB580" s="79"/>
      <c r="DC580" s="79"/>
      <c r="DD580" s="79"/>
      <c r="DE580" s="79"/>
      <c r="DF580" s="79"/>
      <c r="DG580" s="79"/>
      <c r="DH580" s="79"/>
      <c r="DI580" s="79"/>
      <c r="DJ580" s="79"/>
      <c r="DK580" s="79"/>
      <c r="DL580" s="79"/>
      <c r="DM580" s="79"/>
      <c r="DN580" s="79"/>
      <c r="DO580" s="79"/>
      <c r="DP580" s="79"/>
      <c r="DQ580" s="79"/>
      <c r="DR580" s="79"/>
      <c r="DS580" s="79"/>
      <c r="DT580" s="79"/>
      <c r="DU580" s="79"/>
      <c r="DV580" s="79"/>
      <c r="DW580" s="79"/>
      <c r="DX580" s="79"/>
      <c r="DY580" s="79"/>
      <c r="DZ580" s="79"/>
      <c r="EA580" s="79"/>
      <c r="EB580" s="79"/>
      <c r="EC580" s="79"/>
      <c r="ED580" s="79"/>
      <c r="EE580" s="79"/>
      <c r="EF580" s="79"/>
      <c r="EG580" s="79"/>
      <c r="EH580" s="79"/>
      <c r="EI580" s="93"/>
      <c r="EJ580" s="93"/>
      <c r="EK580" s="93"/>
      <c r="EL580" s="93"/>
      <c r="EM580" s="93"/>
      <c r="EN580" s="93"/>
      <c r="EO580" s="93"/>
      <c r="EP580" s="79"/>
      <c r="EQ580" s="79"/>
      <c r="ER580" s="79"/>
      <c r="ES580" s="79"/>
      <c r="ET580" s="79"/>
      <c r="EU580" s="79"/>
      <c r="EV580" s="79"/>
      <c r="EW580" s="79"/>
      <c r="EX580" s="79"/>
      <c r="EY580" s="79"/>
      <c r="EZ580" s="79"/>
      <c r="FA580" s="79"/>
      <c r="FB580" s="79"/>
      <c r="FC580" s="79"/>
      <c r="FD580" s="79"/>
      <c r="FE580" s="79"/>
      <c r="FF580" s="79"/>
      <c r="FG580" s="79"/>
      <c r="FH580" s="79"/>
      <c r="FI580" s="79"/>
      <c r="FJ580" s="79"/>
      <c r="FK580" s="79"/>
    </row>
    <row r="581" spans="1:167">
      <c r="B581" s="82" t="s">
        <v>571</v>
      </c>
      <c r="C581" s="83"/>
      <c r="D581" s="83"/>
      <c r="E581" s="83"/>
      <c r="F581" s="83"/>
      <c r="G581" s="83"/>
      <c r="H581" s="83"/>
      <c r="I581" s="105">
        <f>I582+I583+I636</f>
        <v>56</v>
      </c>
      <c r="J581" s="105">
        <f>J582+J583+J636</f>
        <v>7</v>
      </c>
      <c r="K581" s="86"/>
      <c r="M581" s="81"/>
      <c r="N581" s="81"/>
      <c r="O581" s="81"/>
      <c r="P581" s="81"/>
      <c r="Q581" s="81"/>
      <c r="R581" s="81"/>
      <c r="S581" s="81"/>
      <c r="T581" s="81"/>
      <c r="U581" s="81"/>
      <c r="V581" s="81"/>
      <c r="W581" s="81"/>
      <c r="X581" s="81"/>
      <c r="Y581" s="81"/>
      <c r="Z581" s="81"/>
      <c r="AA581" s="81"/>
      <c r="AB581" s="81"/>
      <c r="AC581" s="81"/>
      <c r="AD581" s="81"/>
      <c r="AE581" s="81"/>
      <c r="AF581" s="81"/>
      <c r="AG581" s="81"/>
      <c r="AH581" s="81"/>
      <c r="AI581" s="81"/>
      <c r="AJ581" s="81"/>
      <c r="AK581" s="81"/>
      <c r="AL581" s="81"/>
      <c r="AM581" s="81"/>
      <c r="AN581" s="81"/>
      <c r="AO581" s="81"/>
      <c r="AP581" s="81"/>
      <c r="AQ581" s="81"/>
      <c r="AR581" s="81"/>
      <c r="AS581" s="81"/>
      <c r="AT581" s="94"/>
      <c r="AU581" s="81"/>
      <c r="AV581" s="81"/>
      <c r="AW581" s="81"/>
      <c r="AX581" s="81"/>
      <c r="AY581" s="81"/>
      <c r="AZ581" s="81"/>
      <c r="BA581" s="81"/>
      <c r="BB581" s="81"/>
      <c r="BC581" s="81"/>
      <c r="BD581" s="81"/>
      <c r="BE581" s="81"/>
      <c r="BF581" s="81"/>
      <c r="BG581" s="81"/>
      <c r="BH581" s="81"/>
      <c r="BI581" s="81"/>
      <c r="BJ581" s="81"/>
      <c r="BK581" s="81"/>
      <c r="BL581" s="81"/>
      <c r="BM581" s="81"/>
      <c r="BN581" s="81"/>
      <c r="BO581" s="81"/>
      <c r="BP581" s="81"/>
      <c r="BQ581" s="81"/>
      <c r="BR581" s="81"/>
      <c r="BS581" s="81"/>
      <c r="BT581" s="81"/>
      <c r="BU581" s="81"/>
      <c r="BV581" s="81"/>
      <c r="BW581" s="81"/>
      <c r="BX581" s="81"/>
      <c r="BY581" s="81"/>
      <c r="BZ581" s="81"/>
      <c r="CA581" s="81"/>
      <c r="CB581" s="81"/>
      <c r="CC581" s="81"/>
      <c r="CD581" s="81"/>
      <c r="CE581" s="81"/>
      <c r="CF581" s="81"/>
      <c r="CG581" s="81"/>
      <c r="CH581" s="81"/>
      <c r="CI581" s="81"/>
      <c r="CJ581" s="81"/>
      <c r="CK581" s="81"/>
      <c r="CL581" s="81"/>
      <c r="CM581" s="81"/>
      <c r="CN581" s="81"/>
      <c r="CO581" s="81"/>
      <c r="CP581" s="81"/>
      <c r="CQ581" s="81"/>
      <c r="CR581" s="81"/>
      <c r="CS581" s="81"/>
      <c r="CT581" s="81"/>
      <c r="CU581" s="81"/>
      <c r="CV581" s="81"/>
      <c r="CW581" s="81"/>
      <c r="CX581" s="81"/>
      <c r="CY581" s="81"/>
      <c r="CZ581" s="81"/>
      <c r="DA581" s="81"/>
      <c r="DB581" s="81"/>
      <c r="DC581" s="81"/>
      <c r="DD581" s="81"/>
      <c r="DE581" s="81"/>
      <c r="DF581" s="81"/>
      <c r="DG581" s="81"/>
      <c r="DH581" s="81"/>
      <c r="DI581" s="81"/>
      <c r="DJ581" s="81"/>
      <c r="DK581" s="81"/>
      <c r="DL581" s="81"/>
      <c r="DM581" s="81"/>
      <c r="DN581" s="81"/>
      <c r="DO581" s="81"/>
      <c r="DP581" s="81"/>
      <c r="DQ581" s="81"/>
      <c r="DR581" s="81"/>
      <c r="DS581" s="81"/>
      <c r="DT581" s="81"/>
      <c r="DU581" s="81"/>
      <c r="DV581" s="81"/>
      <c r="DW581" s="81"/>
      <c r="DX581" s="81"/>
      <c r="DY581" s="81"/>
      <c r="DZ581" s="81"/>
      <c r="EA581" s="81"/>
      <c r="EB581" s="81"/>
      <c r="EC581" s="81"/>
      <c r="ED581" s="81"/>
      <c r="EE581" s="81"/>
      <c r="EF581" s="81"/>
      <c r="EG581" s="81"/>
      <c r="EH581" s="81"/>
      <c r="EI581" s="94"/>
      <c r="EJ581" s="94"/>
      <c r="EK581" s="94"/>
      <c r="EL581" s="94"/>
      <c r="EM581" s="94"/>
      <c r="EN581" s="94"/>
      <c r="EO581" s="94"/>
      <c r="EP581" s="140"/>
      <c r="EQ581" s="140"/>
      <c r="ER581" s="140"/>
      <c r="ES581" s="140"/>
      <c r="ET581" s="140"/>
      <c r="EU581" s="140"/>
      <c r="EV581" s="140"/>
      <c r="EW581" s="140"/>
      <c r="EX581" s="140"/>
      <c r="EY581" s="140"/>
      <c r="EZ581" s="140"/>
      <c r="FA581" s="140"/>
      <c r="FB581" s="140"/>
      <c r="FC581" s="140"/>
      <c r="FD581" s="140"/>
      <c r="FE581" s="140"/>
      <c r="FF581" s="140"/>
      <c r="FG581" s="140"/>
      <c r="FH581" s="140"/>
      <c r="FI581" s="140"/>
      <c r="FJ581" s="140"/>
      <c r="FK581" s="140"/>
    </row>
    <row r="582" spans="1:167">
      <c r="B582" s="65" t="s">
        <v>31</v>
      </c>
      <c r="C582" s="64" t="s">
        <v>572</v>
      </c>
      <c r="D582" s="64"/>
      <c r="E582" s="64"/>
      <c r="F582" s="64"/>
      <c r="G582" s="64" t="s">
        <v>28</v>
      </c>
      <c r="H582" s="64"/>
      <c r="I582" s="99">
        <f>J582*8</f>
        <v>16</v>
      </c>
      <c r="J582" s="99">
        <v>2</v>
      </c>
      <c r="K582" s="87"/>
      <c r="L582" s="90">
        <f t="shared" ref="L582:L636" si="40">J582-SUM(M582:FK582)</f>
        <v>0</v>
      </c>
      <c r="M582" s="78"/>
      <c r="N582" s="78"/>
      <c r="O582" s="78"/>
      <c r="P582" s="78"/>
      <c r="Q582" s="78"/>
      <c r="R582" s="78"/>
      <c r="S582" s="78"/>
      <c r="T582" s="78"/>
      <c r="U582" s="78"/>
      <c r="V582" s="78"/>
      <c r="W582" s="78"/>
      <c r="X582" s="78"/>
      <c r="Y582" s="78"/>
      <c r="Z582" s="78"/>
      <c r="AA582" s="78"/>
      <c r="AB582" s="78"/>
      <c r="AC582" s="78"/>
      <c r="AD582" s="78"/>
      <c r="AE582" s="78"/>
      <c r="AF582" s="78"/>
      <c r="AG582" s="78"/>
      <c r="AH582" s="78"/>
      <c r="AI582" s="78"/>
      <c r="AJ582" s="78"/>
      <c r="AK582" s="78"/>
      <c r="AL582" s="78"/>
      <c r="AM582" s="78"/>
      <c r="AN582" s="78"/>
      <c r="AO582" s="78"/>
      <c r="AP582" s="78"/>
      <c r="AQ582" s="78"/>
      <c r="AR582" s="78"/>
      <c r="AS582" s="78"/>
      <c r="AT582" s="91"/>
      <c r="AU582" s="78"/>
      <c r="AV582" s="78"/>
      <c r="AW582" s="78"/>
      <c r="AX582" s="78"/>
      <c r="AY582" s="78"/>
      <c r="AZ582" s="78"/>
      <c r="BA582" s="78"/>
      <c r="BB582" s="78"/>
      <c r="BC582" s="78"/>
      <c r="BD582" s="78"/>
      <c r="BE582" s="78"/>
      <c r="BF582" s="78"/>
      <c r="BG582" s="78"/>
      <c r="BH582" s="78"/>
      <c r="BI582" s="78"/>
      <c r="BJ582" s="78"/>
      <c r="BK582" s="78"/>
      <c r="BL582" s="78"/>
      <c r="BM582" s="78"/>
      <c r="BN582" s="78"/>
      <c r="BO582" s="78"/>
      <c r="BP582" s="78"/>
      <c r="BQ582" s="78"/>
      <c r="BR582" s="78"/>
      <c r="BS582" s="78"/>
      <c r="BT582" s="78"/>
      <c r="BU582" s="78"/>
      <c r="BV582" s="78"/>
      <c r="BW582" s="78"/>
      <c r="BX582" s="78"/>
      <c r="BY582" s="78"/>
      <c r="BZ582" s="78"/>
      <c r="CA582" s="78"/>
      <c r="CB582" s="78"/>
      <c r="CC582" s="78"/>
      <c r="CD582" s="78"/>
      <c r="CE582" s="78"/>
      <c r="CF582" s="78"/>
      <c r="CG582" s="78"/>
      <c r="CH582" s="78"/>
      <c r="CI582" s="78"/>
      <c r="CJ582" s="78"/>
      <c r="CK582" s="78"/>
      <c r="CL582" s="78"/>
      <c r="CM582" s="78"/>
      <c r="CN582" s="78"/>
      <c r="CO582" s="78"/>
      <c r="CP582" s="78"/>
      <c r="CQ582" s="78"/>
      <c r="CR582" s="78"/>
      <c r="CS582" s="78"/>
      <c r="CT582" s="78"/>
      <c r="CU582" s="78"/>
      <c r="CV582" s="78"/>
      <c r="CW582" s="78"/>
      <c r="CX582" s="78"/>
      <c r="CY582" s="78"/>
      <c r="CZ582" s="78"/>
      <c r="DA582" s="78"/>
      <c r="DB582" s="78"/>
      <c r="DC582" s="78"/>
      <c r="DD582" s="78"/>
      <c r="DE582" s="78"/>
      <c r="DF582" s="78"/>
      <c r="DG582" s="78"/>
      <c r="DH582" s="78"/>
      <c r="DI582" s="78"/>
      <c r="DJ582" s="78"/>
      <c r="DK582" s="78"/>
      <c r="DL582" s="78"/>
      <c r="DM582" s="78"/>
      <c r="DN582" s="78"/>
      <c r="DO582" s="78"/>
      <c r="DP582" s="78"/>
      <c r="DQ582" s="78"/>
      <c r="DR582" s="78"/>
      <c r="DS582" s="78"/>
      <c r="DT582" s="78"/>
      <c r="DU582" s="78"/>
      <c r="DV582" s="78"/>
      <c r="DW582" s="78"/>
      <c r="DX582" s="78"/>
      <c r="DY582" s="78"/>
      <c r="DZ582" s="78"/>
      <c r="EA582" s="78"/>
      <c r="EB582" s="78"/>
      <c r="EC582" s="78"/>
      <c r="ED582" s="78"/>
      <c r="EE582" s="78"/>
      <c r="EF582" s="78"/>
      <c r="EG582" s="78"/>
      <c r="EH582" s="78"/>
      <c r="EI582" s="91"/>
      <c r="EJ582" s="91"/>
      <c r="EK582" s="91"/>
      <c r="EL582" s="91"/>
      <c r="EM582" s="91"/>
      <c r="EN582" s="91"/>
      <c r="EO582" s="91"/>
      <c r="EP582" s="78"/>
      <c r="EQ582" s="78"/>
      <c r="ER582" s="78"/>
      <c r="ES582" s="78"/>
      <c r="ET582" s="78"/>
      <c r="EU582" s="78">
        <v>0.5</v>
      </c>
      <c r="EV582" s="78"/>
      <c r="EW582" s="78"/>
      <c r="EX582" s="78"/>
      <c r="EY582" s="78"/>
      <c r="EZ582" s="78">
        <v>0.5</v>
      </c>
      <c r="FA582" s="78"/>
      <c r="FB582" s="78"/>
      <c r="FC582" s="78"/>
      <c r="FD582" s="78">
        <v>0.5</v>
      </c>
      <c r="FE582" s="78"/>
      <c r="FF582" s="78"/>
      <c r="FG582" s="78"/>
      <c r="FH582" s="78"/>
      <c r="FI582" s="78">
        <v>0.5</v>
      </c>
      <c r="FJ582" s="78"/>
      <c r="FK582" s="78"/>
    </row>
    <row r="583" spans="1:167">
      <c r="A583" s="29" t="str">
        <f t="shared" si="38"/>
        <v/>
      </c>
      <c r="B583" s="63" t="s">
        <v>31</v>
      </c>
      <c r="C583" s="96" t="s">
        <v>573</v>
      </c>
      <c r="D583" s="96"/>
      <c r="E583" s="97"/>
      <c r="F583" s="98"/>
      <c r="G583" s="96"/>
      <c r="H583" s="96"/>
      <c r="I583" s="99">
        <f>SUM(I584:I635)</f>
        <v>0</v>
      </c>
      <c r="J583" s="99">
        <f>ROUNDUP(I583/8,0)</f>
        <v>0</v>
      </c>
      <c r="K583" s="100"/>
      <c r="L583" s="90">
        <f t="shared" si="40"/>
        <v>-47</v>
      </c>
      <c r="M583" s="78"/>
      <c r="N583" s="78"/>
      <c r="O583" s="78"/>
      <c r="P583" s="78"/>
      <c r="Q583" s="78"/>
      <c r="R583" s="78"/>
      <c r="S583" s="78"/>
      <c r="T583" s="78"/>
      <c r="U583" s="78"/>
      <c r="V583" s="78"/>
      <c r="W583" s="78"/>
      <c r="X583" s="78"/>
      <c r="Y583" s="78"/>
      <c r="Z583" s="78"/>
      <c r="AA583" s="78"/>
      <c r="AB583" s="78"/>
      <c r="AC583" s="78"/>
      <c r="AD583" s="78"/>
      <c r="AE583" s="78"/>
      <c r="AF583" s="78"/>
      <c r="AG583" s="78"/>
      <c r="AH583" s="78"/>
      <c r="AI583" s="78"/>
      <c r="AJ583" s="78"/>
      <c r="AK583" s="78"/>
      <c r="AL583" s="78"/>
      <c r="AM583" s="78"/>
      <c r="AN583" s="78"/>
      <c r="AO583" s="78"/>
      <c r="AP583" s="78"/>
      <c r="AQ583" s="78"/>
      <c r="AR583" s="78"/>
      <c r="AS583" s="78"/>
      <c r="AT583" s="91"/>
      <c r="AU583" s="78"/>
      <c r="AV583" s="78"/>
      <c r="AW583" s="78"/>
      <c r="AX583" s="78"/>
      <c r="AY583" s="78"/>
      <c r="AZ583" s="78"/>
      <c r="BA583" s="78"/>
      <c r="BB583" s="78"/>
      <c r="BC583" s="78"/>
      <c r="BD583" s="78"/>
      <c r="BE583" s="78"/>
      <c r="BF583" s="78"/>
      <c r="BG583" s="78"/>
      <c r="BH583" s="78"/>
      <c r="BI583" s="78"/>
      <c r="BJ583" s="78"/>
      <c r="BK583" s="78"/>
      <c r="BL583" s="78"/>
      <c r="BM583" s="78"/>
      <c r="BN583" s="78"/>
      <c r="BO583" s="78"/>
      <c r="BP583" s="78"/>
      <c r="BQ583" s="78"/>
      <c r="BR583" s="78"/>
      <c r="BS583" s="78"/>
      <c r="BT583" s="78"/>
      <c r="BU583" s="78"/>
      <c r="BV583" s="78"/>
      <c r="BW583" s="78"/>
      <c r="BX583" s="78"/>
      <c r="BY583" s="78"/>
      <c r="BZ583" s="78"/>
      <c r="CA583" s="78"/>
      <c r="CB583" s="78"/>
      <c r="CC583" s="78"/>
      <c r="CD583" s="78"/>
      <c r="CE583" s="78"/>
      <c r="CF583" s="78"/>
      <c r="CG583" s="78"/>
      <c r="CH583" s="78"/>
      <c r="CI583" s="78"/>
      <c r="CJ583" s="78"/>
      <c r="CK583" s="78"/>
      <c r="CL583" s="78"/>
      <c r="CM583" s="78"/>
      <c r="CN583" s="78"/>
      <c r="CO583" s="78"/>
      <c r="CP583" s="78"/>
      <c r="CQ583" s="78"/>
      <c r="CR583" s="78"/>
      <c r="CS583" s="78"/>
      <c r="CT583" s="78"/>
      <c r="CU583" s="78"/>
      <c r="CV583" s="78"/>
      <c r="CW583" s="78"/>
      <c r="CX583" s="78"/>
      <c r="CY583" s="78"/>
      <c r="CZ583" s="78"/>
      <c r="DA583" s="78"/>
      <c r="DB583" s="78"/>
      <c r="DC583" s="78"/>
      <c r="DD583" s="78"/>
      <c r="DE583" s="78"/>
      <c r="DF583" s="78"/>
      <c r="DG583" s="78"/>
      <c r="DH583" s="78"/>
      <c r="DI583" s="78"/>
      <c r="DJ583" s="78"/>
      <c r="DK583" s="78"/>
      <c r="DL583" s="78"/>
      <c r="DM583" s="78"/>
      <c r="DN583" s="78"/>
      <c r="DO583" s="78"/>
      <c r="DP583" s="78"/>
      <c r="DQ583" s="78"/>
      <c r="DR583" s="78"/>
      <c r="DS583" s="78"/>
      <c r="DT583" s="78"/>
      <c r="DU583" s="78"/>
      <c r="DV583" s="78"/>
      <c r="DW583" s="78"/>
      <c r="DX583" s="78"/>
      <c r="DY583" s="78"/>
      <c r="DZ583" s="78"/>
      <c r="EA583" s="78"/>
      <c r="EB583" s="78"/>
      <c r="EC583" s="78"/>
      <c r="ED583" s="78"/>
      <c r="EE583" s="78"/>
      <c r="EF583" s="78"/>
      <c r="EG583" s="78"/>
      <c r="EH583" s="78"/>
      <c r="EI583" s="91"/>
      <c r="EJ583" s="91"/>
      <c r="EK583" s="91"/>
      <c r="EL583" s="91"/>
      <c r="EM583" s="91"/>
      <c r="EN583" s="91"/>
      <c r="EO583" s="91"/>
      <c r="EP583" s="78">
        <v>1</v>
      </c>
      <c r="EQ583" s="78">
        <v>1</v>
      </c>
      <c r="ER583" s="78">
        <v>1</v>
      </c>
      <c r="ES583" s="78">
        <v>1</v>
      </c>
      <c r="ET583" s="78">
        <v>1</v>
      </c>
      <c r="EU583" s="78">
        <v>1.5</v>
      </c>
      <c r="EV583" s="78">
        <v>2</v>
      </c>
      <c r="EW583" s="78">
        <v>2</v>
      </c>
      <c r="EX583" s="78">
        <v>2</v>
      </c>
      <c r="EY583" s="78">
        <v>2</v>
      </c>
      <c r="EZ583" s="78">
        <v>2.5</v>
      </c>
      <c r="FA583" s="78">
        <v>3</v>
      </c>
      <c r="FB583" s="78">
        <v>3</v>
      </c>
      <c r="FC583" s="78">
        <v>3</v>
      </c>
      <c r="FD583" s="78">
        <v>2.5</v>
      </c>
      <c r="FE583" s="78">
        <v>3</v>
      </c>
      <c r="FF583" s="78">
        <v>3</v>
      </c>
      <c r="FG583" s="78">
        <v>3</v>
      </c>
      <c r="FH583" s="78">
        <v>3</v>
      </c>
      <c r="FI583" s="78">
        <v>2.5</v>
      </c>
      <c r="FJ583" s="78">
        <v>3</v>
      </c>
      <c r="FK583" s="78">
        <v>1</v>
      </c>
    </row>
    <row r="584" spans="1:167" hidden="1" outlineLevel="1">
      <c r="A584" s="29" t="str">
        <f t="shared" si="38"/>
        <v>lt002_insrmntn.a.</v>
      </c>
      <c r="B584" s="67" t="s">
        <v>31</v>
      </c>
      <c r="C584" s="68" t="s">
        <v>31</v>
      </c>
      <c r="D584" s="64" t="s">
        <v>36</v>
      </c>
      <c r="E584" s="66" t="s">
        <v>574</v>
      </c>
      <c r="F584" s="64" t="s">
        <v>38</v>
      </c>
      <c r="G584" s="64" t="e">
        <f>INDEX(Auxiliar!$B$16:$B$24,MATCH(Plano_V1!H584,Auxiliar!$C$16:$C$24,0),1)</f>
        <v>#N/A</v>
      </c>
      <c r="H584" s="64" t="e">
        <f>VLOOKUP(A584,'Aux - pivots1'!$A:$B,2,0)</f>
        <v>#N/A</v>
      </c>
      <c r="I584" s="84">
        <f>SUMIFS(Table1[Estimação (horas)],Table1[Tabela],Plano_V1!E584,Table1[Campo],Plano_V1!F584)</f>
        <v>0</v>
      </c>
      <c r="J584" s="84">
        <f t="shared" ref="J584:J634" si="41">I584/8</f>
        <v>0</v>
      </c>
      <c r="K584" s="89" t="s">
        <v>39</v>
      </c>
      <c r="L584" s="90">
        <f t="shared" si="40"/>
        <v>0</v>
      </c>
      <c r="M584" s="78"/>
      <c r="N584" s="78"/>
      <c r="O584" s="78"/>
      <c r="P584" s="78"/>
      <c r="Q584" s="78"/>
      <c r="R584" s="78"/>
      <c r="S584" s="78"/>
      <c r="T584" s="78"/>
      <c r="U584" s="78"/>
      <c r="V584" s="78"/>
      <c r="W584" s="78"/>
      <c r="X584" s="78"/>
      <c r="Y584" s="78"/>
      <c r="Z584" s="78"/>
      <c r="AA584" s="78"/>
      <c r="AB584" s="78"/>
      <c r="AC584" s="78"/>
      <c r="AD584" s="78"/>
      <c r="AE584" s="78"/>
      <c r="AF584" s="78"/>
      <c r="AG584" s="78"/>
      <c r="AH584" s="78"/>
      <c r="AI584" s="78"/>
      <c r="AJ584" s="78"/>
      <c r="AK584" s="78"/>
      <c r="AL584" s="78"/>
      <c r="AM584" s="78"/>
      <c r="AN584" s="78"/>
      <c r="AO584" s="78"/>
      <c r="AP584" s="78"/>
      <c r="AQ584" s="78"/>
      <c r="AR584" s="78"/>
      <c r="AS584" s="78"/>
      <c r="AT584" s="91"/>
      <c r="AU584" s="78"/>
      <c r="AV584" s="78"/>
      <c r="AW584" s="78"/>
      <c r="AX584" s="78"/>
      <c r="AY584" s="78"/>
      <c r="AZ584" s="78"/>
      <c r="BA584" s="78"/>
      <c r="BB584" s="78"/>
      <c r="BC584" s="78"/>
      <c r="BD584" s="78"/>
      <c r="BE584" s="78"/>
      <c r="BF584" s="78"/>
      <c r="BG584" s="78"/>
      <c r="BH584" s="78"/>
      <c r="BI584" s="78"/>
      <c r="BJ584" s="78"/>
      <c r="BK584" s="78"/>
      <c r="BL584" s="78"/>
      <c r="BM584" s="78"/>
      <c r="BN584" s="78"/>
      <c r="BO584" s="78"/>
      <c r="BP584" s="78"/>
      <c r="BQ584" s="78"/>
      <c r="BR584" s="78"/>
      <c r="BS584" s="78"/>
      <c r="BT584" s="78"/>
      <c r="BU584" s="78"/>
      <c r="BV584" s="78"/>
      <c r="BW584" s="78"/>
      <c r="BX584" s="78"/>
      <c r="BY584" s="78"/>
      <c r="BZ584" s="78"/>
      <c r="CA584" s="78"/>
      <c r="CB584" s="78"/>
      <c r="CC584" s="78"/>
      <c r="CD584" s="78"/>
      <c r="CE584" s="78"/>
      <c r="CF584" s="78"/>
      <c r="CG584" s="78"/>
      <c r="CH584" s="78"/>
      <c r="CI584" s="78"/>
      <c r="CJ584" s="78"/>
      <c r="CK584" s="78"/>
      <c r="CL584" s="78"/>
      <c r="CM584" s="78"/>
      <c r="CN584" s="78"/>
      <c r="CO584" s="78"/>
      <c r="CP584" s="78"/>
      <c r="CQ584" s="78"/>
      <c r="CR584" s="78"/>
      <c r="CS584" s="78"/>
      <c r="CT584" s="78"/>
      <c r="CU584" s="78"/>
      <c r="CV584" s="78"/>
      <c r="CW584" s="78"/>
      <c r="CX584" s="78"/>
      <c r="CY584" s="78"/>
      <c r="CZ584" s="78"/>
      <c r="DA584" s="78"/>
      <c r="DB584" s="78"/>
      <c r="DC584" s="78"/>
      <c r="DD584" s="78"/>
      <c r="DE584" s="78"/>
      <c r="DF584" s="78"/>
      <c r="DG584" s="78"/>
      <c r="DH584" s="78"/>
      <c r="DI584" s="78"/>
      <c r="DJ584" s="78"/>
      <c r="DK584" s="78"/>
      <c r="DL584" s="78"/>
      <c r="DM584" s="78"/>
      <c r="DN584" s="78"/>
      <c r="DO584" s="78"/>
      <c r="DP584" s="78"/>
      <c r="DQ584" s="78"/>
      <c r="DR584" s="78"/>
      <c r="DS584" s="78"/>
      <c r="DT584" s="78"/>
      <c r="DU584" s="78"/>
      <c r="DV584" s="78"/>
      <c r="DW584" s="78"/>
      <c r="DX584" s="78"/>
      <c r="DY584" s="78"/>
      <c r="DZ584" s="78"/>
      <c r="EA584" s="78"/>
      <c r="EB584" s="78"/>
      <c r="EC584" s="78"/>
      <c r="ED584" s="78"/>
      <c r="EE584" s="78"/>
      <c r="EF584" s="78"/>
      <c r="EG584" s="78"/>
      <c r="EH584" s="78"/>
      <c r="EI584" s="91"/>
      <c r="EJ584" s="91"/>
      <c r="EK584" s="91"/>
      <c r="EL584" s="91"/>
      <c r="EM584" s="91"/>
      <c r="EN584" s="91"/>
      <c r="EO584" s="91"/>
      <c r="EP584" s="78"/>
      <c r="EQ584" s="78"/>
      <c r="ER584" s="78"/>
      <c r="ES584" s="78"/>
      <c r="ET584" s="78"/>
      <c r="EU584" s="78"/>
      <c r="EV584" s="78"/>
      <c r="EW584" s="78"/>
      <c r="EX584" s="78"/>
      <c r="EY584" s="78"/>
      <c r="EZ584" s="78"/>
      <c r="FA584" s="78"/>
      <c r="FB584" s="78"/>
      <c r="FC584" s="78"/>
      <c r="FD584" s="78"/>
      <c r="FE584" s="78"/>
      <c r="FF584" s="78"/>
      <c r="FG584" s="78"/>
      <c r="FH584" s="78"/>
      <c r="FI584" s="78"/>
      <c r="FJ584" s="78"/>
      <c r="FK584" s="78"/>
    </row>
    <row r="585" spans="1:167" hidden="1" outlineLevel="1">
      <c r="A585" s="29" t="str">
        <f t="shared" si="38"/>
        <v>lt002_insrmntsstnbl_ctgry</v>
      </c>
      <c r="B585" s="67" t="s">
        <v>31</v>
      </c>
      <c r="C585" s="68" t="s">
        <v>31</v>
      </c>
      <c r="D585" s="64" t="s">
        <v>40</v>
      </c>
      <c r="E585" s="66" t="s">
        <v>574</v>
      </c>
      <c r="F585" s="64" t="s">
        <v>419</v>
      </c>
      <c r="G585" s="64" t="e">
        <f>INDEX(Auxiliar!$B$16:$B$24,MATCH(Plano_V1!H585,Auxiliar!$C$16:$C$24,0),1)</f>
        <v>#N/A</v>
      </c>
      <c r="H585" s="64" t="e">
        <f>VLOOKUP(A585,'Aux - pivots1'!$A:$B,2,0)</f>
        <v>#N/A</v>
      </c>
      <c r="I585" s="84">
        <f>SUMIFS(Table1[Estimação (horas)],Table1[Tabela],Plano_V1!E585,Table1[Campo],Plano_V1!F585)</f>
        <v>0</v>
      </c>
      <c r="J585" s="84">
        <f t="shared" si="41"/>
        <v>0</v>
      </c>
      <c r="K585" s="89" t="s">
        <v>39</v>
      </c>
      <c r="L585" s="90">
        <f t="shared" si="40"/>
        <v>0</v>
      </c>
      <c r="M585" s="78"/>
      <c r="N585" s="78"/>
      <c r="O585" s="78"/>
      <c r="P585" s="78"/>
      <c r="Q585" s="78"/>
      <c r="R585" s="78"/>
      <c r="S585" s="78"/>
      <c r="T585" s="78"/>
      <c r="U585" s="78"/>
      <c r="V585" s="78"/>
      <c r="W585" s="78"/>
      <c r="X585" s="78"/>
      <c r="Y585" s="78"/>
      <c r="Z585" s="78"/>
      <c r="AA585" s="78"/>
      <c r="AB585" s="78"/>
      <c r="AC585" s="78"/>
      <c r="AD585" s="78"/>
      <c r="AE585" s="78"/>
      <c r="AF585" s="78"/>
      <c r="AG585" s="78"/>
      <c r="AH585" s="78"/>
      <c r="AI585" s="78"/>
      <c r="AJ585" s="78"/>
      <c r="AK585" s="78"/>
      <c r="AL585" s="78"/>
      <c r="AM585" s="78"/>
      <c r="AN585" s="78"/>
      <c r="AO585" s="78"/>
      <c r="AP585" s="78"/>
      <c r="AQ585" s="78"/>
      <c r="AR585" s="78"/>
      <c r="AS585" s="78"/>
      <c r="AT585" s="91"/>
      <c r="AU585" s="78"/>
      <c r="AV585" s="78"/>
      <c r="AW585" s="78"/>
      <c r="AX585" s="78"/>
      <c r="AY585" s="78"/>
      <c r="AZ585" s="78"/>
      <c r="BA585" s="78"/>
      <c r="BB585" s="78"/>
      <c r="BC585" s="78"/>
      <c r="BD585" s="78"/>
      <c r="BE585" s="78"/>
      <c r="BF585" s="78"/>
      <c r="BG585" s="78"/>
      <c r="BH585" s="78"/>
      <c r="BI585" s="78"/>
      <c r="BJ585" s="78"/>
      <c r="BK585" s="78"/>
      <c r="BL585" s="78"/>
      <c r="BM585" s="78"/>
      <c r="BN585" s="78"/>
      <c r="BO585" s="78"/>
      <c r="BP585" s="78"/>
      <c r="BQ585" s="78"/>
      <c r="BR585" s="78"/>
      <c r="BS585" s="78"/>
      <c r="BT585" s="78"/>
      <c r="BU585" s="78"/>
      <c r="BV585" s="78"/>
      <c r="BW585" s="78"/>
      <c r="BX585" s="78"/>
      <c r="BY585" s="78"/>
      <c r="BZ585" s="78"/>
      <c r="CA585" s="78"/>
      <c r="CB585" s="78"/>
      <c r="CC585" s="78"/>
      <c r="CD585" s="78"/>
      <c r="CE585" s="78"/>
      <c r="CF585" s="78"/>
      <c r="CG585" s="78"/>
      <c r="CH585" s="78"/>
      <c r="CI585" s="78"/>
      <c r="CJ585" s="78"/>
      <c r="CK585" s="78"/>
      <c r="CL585" s="78"/>
      <c r="CM585" s="78"/>
      <c r="CN585" s="78"/>
      <c r="CO585" s="78"/>
      <c r="CP585" s="78"/>
      <c r="CQ585" s="78"/>
      <c r="CR585" s="78"/>
      <c r="CS585" s="78"/>
      <c r="CT585" s="78"/>
      <c r="CU585" s="78"/>
      <c r="CV585" s="78"/>
      <c r="CW585" s="78"/>
      <c r="CX585" s="78"/>
      <c r="CY585" s="78"/>
      <c r="CZ585" s="78"/>
      <c r="DA585" s="78"/>
      <c r="DB585" s="78"/>
      <c r="DC585" s="78"/>
      <c r="DD585" s="78"/>
      <c r="DE585" s="78"/>
      <c r="DF585" s="78"/>
      <c r="DG585" s="78"/>
      <c r="DH585" s="78"/>
      <c r="DI585" s="78"/>
      <c r="DJ585" s="78"/>
      <c r="DK585" s="78"/>
      <c r="DL585" s="78"/>
      <c r="DM585" s="78"/>
      <c r="DN585" s="78"/>
      <c r="DO585" s="78"/>
      <c r="DP585" s="78"/>
      <c r="DQ585" s="78"/>
      <c r="DR585" s="78"/>
      <c r="DS585" s="78"/>
      <c r="DT585" s="78"/>
      <c r="DU585" s="78"/>
      <c r="DV585" s="78"/>
      <c r="DW585" s="78"/>
      <c r="DX585" s="78"/>
      <c r="DY585" s="78"/>
      <c r="DZ585" s="78"/>
      <c r="EA585" s="78"/>
      <c r="EB585" s="78"/>
      <c r="EC585" s="78"/>
      <c r="ED585" s="78"/>
      <c r="EE585" s="78"/>
      <c r="EF585" s="78"/>
      <c r="EG585" s="78"/>
      <c r="EH585" s="78"/>
      <c r="EI585" s="91"/>
      <c r="EJ585" s="91"/>
      <c r="EK585" s="91"/>
      <c r="EL585" s="91"/>
      <c r="EM585" s="91"/>
      <c r="EN585" s="91"/>
      <c r="EO585" s="91"/>
      <c r="EP585" s="78"/>
      <c r="EQ585" s="78"/>
      <c r="ER585" s="78"/>
      <c r="ES585" s="78"/>
      <c r="ET585" s="78"/>
      <c r="EU585" s="78"/>
      <c r="EV585" s="78"/>
      <c r="EW585" s="78"/>
      <c r="EX585" s="78"/>
      <c r="EY585" s="78"/>
      <c r="EZ585" s="78"/>
      <c r="FA585" s="78"/>
      <c r="FB585" s="78"/>
      <c r="FC585" s="78"/>
      <c r="FD585" s="78"/>
      <c r="FE585" s="78"/>
      <c r="FF585" s="78"/>
      <c r="FG585" s="78"/>
      <c r="FH585" s="78"/>
      <c r="FI585" s="78"/>
      <c r="FJ585" s="78"/>
      <c r="FK585" s="78"/>
    </row>
    <row r="586" spans="1:167" hidden="1" outlineLevel="1">
      <c r="A586" s="29" t="str">
        <f t="shared" si="38"/>
        <v>lt002_insrmntdflt_stts_instrmnt</v>
      </c>
      <c r="B586" s="67" t="s">
        <v>31</v>
      </c>
      <c r="C586" s="68" t="s">
        <v>31</v>
      </c>
      <c r="D586" s="64" t="s">
        <v>40</v>
      </c>
      <c r="E586" s="66" t="s">
        <v>574</v>
      </c>
      <c r="F586" s="64" t="s">
        <v>402</v>
      </c>
      <c r="G586" s="64" t="e">
        <f>INDEX(Auxiliar!$B$16:$B$24,MATCH(Plano_V1!H586,Auxiliar!$C$16:$C$24,0),1)</f>
        <v>#N/A</v>
      </c>
      <c r="H586" s="64" t="e">
        <f>VLOOKUP(A586,'Aux - pivots1'!$A:$B,2,0)</f>
        <v>#N/A</v>
      </c>
      <c r="I586" s="84">
        <f>SUMIFS(Table1[Estimação (horas)],Table1[Tabela],Plano_V1!E586,Table1[Campo],Plano_V1!F586)</f>
        <v>0</v>
      </c>
      <c r="J586" s="84">
        <f t="shared" si="41"/>
        <v>0</v>
      </c>
      <c r="K586" s="89" t="s">
        <v>39</v>
      </c>
      <c r="L586" s="90">
        <f t="shared" si="40"/>
        <v>0</v>
      </c>
      <c r="M586" s="78"/>
      <c r="N586" s="78"/>
      <c r="O586" s="78"/>
      <c r="P586" s="78"/>
      <c r="Q586" s="78"/>
      <c r="R586" s="78"/>
      <c r="S586" s="78"/>
      <c r="T586" s="78"/>
      <c r="U586" s="78"/>
      <c r="V586" s="78"/>
      <c r="W586" s="78"/>
      <c r="X586" s="78"/>
      <c r="Y586" s="78"/>
      <c r="Z586" s="78"/>
      <c r="AA586" s="78"/>
      <c r="AB586" s="78"/>
      <c r="AC586" s="78"/>
      <c r="AD586" s="78"/>
      <c r="AE586" s="78"/>
      <c r="AF586" s="78"/>
      <c r="AG586" s="78"/>
      <c r="AH586" s="78"/>
      <c r="AI586" s="78"/>
      <c r="AJ586" s="78"/>
      <c r="AK586" s="78"/>
      <c r="AL586" s="78"/>
      <c r="AM586" s="78"/>
      <c r="AN586" s="78"/>
      <c r="AO586" s="78"/>
      <c r="AP586" s="78"/>
      <c r="AQ586" s="78"/>
      <c r="AR586" s="78"/>
      <c r="AS586" s="78"/>
      <c r="AT586" s="91"/>
      <c r="AU586" s="78"/>
      <c r="AV586" s="78"/>
      <c r="AW586" s="78"/>
      <c r="AX586" s="78"/>
      <c r="AY586" s="78"/>
      <c r="AZ586" s="78"/>
      <c r="BA586" s="78"/>
      <c r="BB586" s="78"/>
      <c r="BC586" s="78"/>
      <c r="BD586" s="78"/>
      <c r="BE586" s="78"/>
      <c r="BF586" s="78"/>
      <c r="BG586" s="78"/>
      <c r="BH586" s="78"/>
      <c r="BI586" s="78"/>
      <c r="BJ586" s="78"/>
      <c r="BK586" s="78"/>
      <c r="BL586" s="78"/>
      <c r="BM586" s="78"/>
      <c r="BN586" s="78"/>
      <c r="BO586" s="78"/>
      <c r="BP586" s="78"/>
      <c r="BQ586" s="78"/>
      <c r="BR586" s="78"/>
      <c r="BS586" s="78"/>
      <c r="BT586" s="78"/>
      <c r="BU586" s="78"/>
      <c r="BV586" s="78"/>
      <c r="BW586" s="78"/>
      <c r="BX586" s="78"/>
      <c r="BY586" s="78"/>
      <c r="BZ586" s="78"/>
      <c r="CA586" s="78"/>
      <c r="CB586" s="78"/>
      <c r="CC586" s="78"/>
      <c r="CD586" s="78"/>
      <c r="CE586" s="78"/>
      <c r="CF586" s="78"/>
      <c r="CG586" s="78"/>
      <c r="CH586" s="78"/>
      <c r="CI586" s="78"/>
      <c r="CJ586" s="78"/>
      <c r="CK586" s="78"/>
      <c r="CL586" s="78"/>
      <c r="CM586" s="78"/>
      <c r="CN586" s="78"/>
      <c r="CO586" s="78"/>
      <c r="CP586" s="78"/>
      <c r="CQ586" s="78"/>
      <c r="CR586" s="78"/>
      <c r="CS586" s="78"/>
      <c r="CT586" s="78"/>
      <c r="CU586" s="78"/>
      <c r="CV586" s="78"/>
      <c r="CW586" s="78"/>
      <c r="CX586" s="78"/>
      <c r="CY586" s="78"/>
      <c r="CZ586" s="78"/>
      <c r="DA586" s="78"/>
      <c r="DB586" s="78"/>
      <c r="DC586" s="78"/>
      <c r="DD586" s="78"/>
      <c r="DE586" s="78"/>
      <c r="DF586" s="78"/>
      <c r="DG586" s="78"/>
      <c r="DH586" s="78"/>
      <c r="DI586" s="78"/>
      <c r="DJ586" s="78"/>
      <c r="DK586" s="78"/>
      <c r="DL586" s="78"/>
      <c r="DM586" s="78"/>
      <c r="DN586" s="78"/>
      <c r="DO586" s="78"/>
      <c r="DP586" s="78"/>
      <c r="DQ586" s="78"/>
      <c r="DR586" s="78"/>
      <c r="DS586" s="78"/>
      <c r="DT586" s="78"/>
      <c r="DU586" s="78"/>
      <c r="DV586" s="78"/>
      <c r="DW586" s="78"/>
      <c r="DX586" s="78"/>
      <c r="DY586" s="78"/>
      <c r="DZ586" s="78"/>
      <c r="EA586" s="78"/>
      <c r="EB586" s="78"/>
      <c r="EC586" s="78"/>
      <c r="ED586" s="78"/>
      <c r="EE586" s="78"/>
      <c r="EF586" s="78"/>
      <c r="EG586" s="78"/>
      <c r="EH586" s="78"/>
      <c r="EI586" s="91"/>
      <c r="EJ586" s="91"/>
      <c r="EK586" s="91"/>
      <c r="EL586" s="91"/>
      <c r="EM586" s="91"/>
      <c r="EN586" s="91"/>
      <c r="EO586" s="91"/>
      <c r="EP586" s="78"/>
      <c r="EQ586" s="78"/>
      <c r="ER586" s="78"/>
      <c r="ES586" s="78"/>
      <c r="ET586" s="78"/>
      <c r="EU586" s="78"/>
      <c r="EV586" s="78"/>
      <c r="EW586" s="78"/>
      <c r="EX586" s="78"/>
      <c r="EY586" s="78"/>
      <c r="EZ586" s="78"/>
      <c r="FA586" s="78"/>
      <c r="FB586" s="78"/>
      <c r="FC586" s="78"/>
      <c r="FD586" s="78"/>
      <c r="FE586" s="78"/>
      <c r="FF586" s="78"/>
      <c r="FG586" s="78"/>
      <c r="FH586" s="78"/>
      <c r="FI586" s="78"/>
      <c r="FJ586" s="78"/>
      <c r="FK586" s="78"/>
    </row>
    <row r="587" spans="1:167" hidden="1" outlineLevel="1">
      <c r="A587" s="29" t="str">
        <f t="shared" si="38"/>
        <v>lt002_insrmntaccmltd_chngs_fv_cr_instrmnt</v>
      </c>
      <c r="B587" s="67" t="s">
        <v>31</v>
      </c>
      <c r="C587" s="68" t="s">
        <v>31</v>
      </c>
      <c r="D587" s="64" t="s">
        <v>40</v>
      </c>
      <c r="E587" s="66" t="s">
        <v>574</v>
      </c>
      <c r="F587" s="64" t="s">
        <v>408</v>
      </c>
      <c r="G587" s="64" t="e">
        <f>INDEX(Auxiliar!$B$16:$B$24,MATCH(Plano_V1!H587,Auxiliar!$C$16:$C$24,0),1)</f>
        <v>#N/A</v>
      </c>
      <c r="H587" s="64" t="e">
        <f>VLOOKUP(A587,'Aux - pivots1'!$A:$B,2,0)</f>
        <v>#N/A</v>
      </c>
      <c r="I587" s="84">
        <f>SUMIFS(Table1[Estimação (horas)],Table1[Tabela],Plano_V1!E587,Table1[Campo],Plano_V1!F587)</f>
        <v>0</v>
      </c>
      <c r="J587" s="84">
        <f t="shared" si="41"/>
        <v>0</v>
      </c>
      <c r="K587" s="89" t="s">
        <v>39</v>
      </c>
      <c r="L587" s="90">
        <f t="shared" si="40"/>
        <v>0</v>
      </c>
      <c r="M587" s="78"/>
      <c r="N587" s="78"/>
      <c r="O587" s="78"/>
      <c r="P587" s="78"/>
      <c r="Q587" s="78"/>
      <c r="R587" s="78"/>
      <c r="S587" s="78"/>
      <c r="T587" s="78"/>
      <c r="U587" s="78"/>
      <c r="V587" s="78"/>
      <c r="W587" s="78"/>
      <c r="X587" s="78"/>
      <c r="Y587" s="78"/>
      <c r="Z587" s="78"/>
      <c r="AA587" s="78"/>
      <c r="AB587" s="78"/>
      <c r="AC587" s="78"/>
      <c r="AD587" s="78"/>
      <c r="AE587" s="78"/>
      <c r="AF587" s="78"/>
      <c r="AG587" s="78"/>
      <c r="AH587" s="78"/>
      <c r="AI587" s="78"/>
      <c r="AJ587" s="78"/>
      <c r="AK587" s="78"/>
      <c r="AL587" s="78"/>
      <c r="AM587" s="78"/>
      <c r="AN587" s="78"/>
      <c r="AO587" s="78"/>
      <c r="AP587" s="78"/>
      <c r="AQ587" s="78"/>
      <c r="AR587" s="78"/>
      <c r="AS587" s="78"/>
      <c r="AT587" s="91"/>
      <c r="AU587" s="78"/>
      <c r="AV587" s="78"/>
      <c r="AW587" s="78"/>
      <c r="AX587" s="78"/>
      <c r="AY587" s="78"/>
      <c r="AZ587" s="78"/>
      <c r="BA587" s="78"/>
      <c r="BB587" s="78"/>
      <c r="BC587" s="78"/>
      <c r="BD587" s="78"/>
      <c r="BE587" s="78"/>
      <c r="BF587" s="78"/>
      <c r="BG587" s="78"/>
      <c r="BH587" s="78"/>
      <c r="BI587" s="78"/>
      <c r="BJ587" s="78"/>
      <c r="BK587" s="78"/>
      <c r="BL587" s="78"/>
      <c r="BM587" s="78"/>
      <c r="BN587" s="78"/>
      <c r="BO587" s="78"/>
      <c r="BP587" s="78"/>
      <c r="BQ587" s="78"/>
      <c r="BR587" s="78"/>
      <c r="BS587" s="78"/>
      <c r="BT587" s="78"/>
      <c r="BU587" s="78"/>
      <c r="BV587" s="78"/>
      <c r="BW587" s="78"/>
      <c r="BX587" s="78"/>
      <c r="BY587" s="78"/>
      <c r="BZ587" s="78"/>
      <c r="CA587" s="78"/>
      <c r="CB587" s="78"/>
      <c r="CC587" s="78"/>
      <c r="CD587" s="78"/>
      <c r="CE587" s="78"/>
      <c r="CF587" s="78"/>
      <c r="CG587" s="78"/>
      <c r="CH587" s="78"/>
      <c r="CI587" s="78"/>
      <c r="CJ587" s="78"/>
      <c r="CK587" s="78"/>
      <c r="CL587" s="78"/>
      <c r="CM587" s="78"/>
      <c r="CN587" s="78"/>
      <c r="CO587" s="78"/>
      <c r="CP587" s="78"/>
      <c r="CQ587" s="78"/>
      <c r="CR587" s="78"/>
      <c r="CS587" s="78"/>
      <c r="CT587" s="78"/>
      <c r="CU587" s="78"/>
      <c r="CV587" s="78"/>
      <c r="CW587" s="78"/>
      <c r="CX587" s="78"/>
      <c r="CY587" s="78"/>
      <c r="CZ587" s="78"/>
      <c r="DA587" s="78"/>
      <c r="DB587" s="78"/>
      <c r="DC587" s="78"/>
      <c r="DD587" s="78"/>
      <c r="DE587" s="78"/>
      <c r="DF587" s="78"/>
      <c r="DG587" s="78"/>
      <c r="DH587" s="78"/>
      <c r="DI587" s="78"/>
      <c r="DJ587" s="78"/>
      <c r="DK587" s="78"/>
      <c r="DL587" s="78"/>
      <c r="DM587" s="78"/>
      <c r="DN587" s="78"/>
      <c r="DO587" s="78"/>
      <c r="DP587" s="78"/>
      <c r="DQ587" s="78"/>
      <c r="DR587" s="78"/>
      <c r="DS587" s="78"/>
      <c r="DT587" s="78"/>
      <c r="DU587" s="78"/>
      <c r="DV587" s="78"/>
      <c r="DW587" s="78"/>
      <c r="DX587" s="78"/>
      <c r="DY587" s="78"/>
      <c r="DZ587" s="78"/>
      <c r="EA587" s="78"/>
      <c r="EB587" s="78"/>
      <c r="EC587" s="78"/>
      <c r="ED587" s="78"/>
      <c r="EE587" s="78"/>
      <c r="EF587" s="78"/>
      <c r="EG587" s="78"/>
      <c r="EH587" s="78"/>
      <c r="EI587" s="91"/>
      <c r="EJ587" s="91"/>
      <c r="EK587" s="91"/>
      <c r="EL587" s="91"/>
      <c r="EM587" s="91"/>
      <c r="EN587" s="91"/>
      <c r="EO587" s="91"/>
      <c r="EP587" s="78"/>
      <c r="EQ587" s="78"/>
      <c r="ER587" s="78"/>
      <c r="ES587" s="78"/>
      <c r="ET587" s="78"/>
      <c r="EU587" s="78"/>
      <c r="EV587" s="78"/>
      <c r="EW587" s="78"/>
      <c r="EX587" s="78"/>
      <c r="EY587" s="78"/>
      <c r="EZ587" s="78"/>
      <c r="FA587" s="78"/>
      <c r="FB587" s="78"/>
      <c r="FC587" s="78"/>
      <c r="FD587" s="78"/>
      <c r="FE587" s="78"/>
      <c r="FF587" s="78"/>
      <c r="FG587" s="78"/>
      <c r="FH587" s="78"/>
      <c r="FI587" s="78"/>
      <c r="FJ587" s="78"/>
      <c r="FK587" s="78"/>
    </row>
    <row r="588" spans="1:167" hidden="1" outlineLevel="1">
      <c r="A588" s="29" t="str">
        <f t="shared" si="38"/>
        <v>lt002_insrmntaccmltd_imprmnt_instrmnt</v>
      </c>
      <c r="B588" s="67" t="s">
        <v>31</v>
      </c>
      <c r="C588" s="68" t="s">
        <v>31</v>
      </c>
      <c r="D588" s="64" t="s">
        <v>40</v>
      </c>
      <c r="E588" s="66" t="s">
        <v>574</v>
      </c>
      <c r="F588" s="64" t="s">
        <v>411</v>
      </c>
      <c r="G588" s="64" t="e">
        <f>INDEX(Auxiliar!$B$16:$B$24,MATCH(Plano_V1!H588,Auxiliar!$C$16:$C$24,0),1)</f>
        <v>#N/A</v>
      </c>
      <c r="H588" s="64" t="e">
        <f>VLOOKUP(A588,'Aux - pivots1'!$A:$B,2,0)</f>
        <v>#N/A</v>
      </c>
      <c r="I588" s="84">
        <f>SUMIFS(Table1[Estimação (horas)],Table1[Tabela],Plano_V1!E588,Table1[Campo],Plano_V1!F588)</f>
        <v>0</v>
      </c>
      <c r="J588" s="84">
        <f t="shared" si="41"/>
        <v>0</v>
      </c>
      <c r="K588" s="89" t="s">
        <v>39</v>
      </c>
      <c r="L588" s="90">
        <f t="shared" si="40"/>
        <v>0</v>
      </c>
      <c r="M588" s="78"/>
      <c r="N588" s="78"/>
      <c r="O588" s="78"/>
      <c r="P588" s="78"/>
      <c r="Q588" s="78"/>
      <c r="R588" s="78"/>
      <c r="S588" s="78"/>
      <c r="T588" s="78"/>
      <c r="U588" s="78"/>
      <c r="V588" s="78"/>
      <c r="W588" s="78"/>
      <c r="X588" s="78"/>
      <c r="Y588" s="78"/>
      <c r="Z588" s="78"/>
      <c r="AA588" s="78"/>
      <c r="AB588" s="78"/>
      <c r="AC588" s="78"/>
      <c r="AD588" s="78"/>
      <c r="AE588" s="78"/>
      <c r="AF588" s="78"/>
      <c r="AG588" s="78"/>
      <c r="AH588" s="78"/>
      <c r="AI588" s="78"/>
      <c r="AJ588" s="78"/>
      <c r="AK588" s="78"/>
      <c r="AL588" s="78"/>
      <c r="AM588" s="78"/>
      <c r="AN588" s="78"/>
      <c r="AO588" s="78"/>
      <c r="AP588" s="78"/>
      <c r="AQ588" s="78"/>
      <c r="AR588" s="78"/>
      <c r="AS588" s="78"/>
      <c r="AT588" s="91"/>
      <c r="AU588" s="78"/>
      <c r="AV588" s="78"/>
      <c r="AW588" s="78"/>
      <c r="AX588" s="78"/>
      <c r="AY588" s="78"/>
      <c r="AZ588" s="78"/>
      <c r="BA588" s="78"/>
      <c r="BB588" s="78"/>
      <c r="BC588" s="78"/>
      <c r="BD588" s="78"/>
      <c r="BE588" s="78"/>
      <c r="BF588" s="78"/>
      <c r="BG588" s="78"/>
      <c r="BH588" s="78"/>
      <c r="BI588" s="78"/>
      <c r="BJ588" s="78"/>
      <c r="BK588" s="78"/>
      <c r="BL588" s="78"/>
      <c r="BM588" s="78"/>
      <c r="BN588" s="78"/>
      <c r="BO588" s="78"/>
      <c r="BP588" s="78"/>
      <c r="BQ588" s="78"/>
      <c r="BR588" s="78"/>
      <c r="BS588" s="78"/>
      <c r="BT588" s="78"/>
      <c r="BU588" s="78"/>
      <c r="BV588" s="78"/>
      <c r="BW588" s="78"/>
      <c r="BX588" s="78"/>
      <c r="BY588" s="78"/>
      <c r="BZ588" s="78"/>
      <c r="CA588" s="78"/>
      <c r="CB588" s="78"/>
      <c r="CC588" s="78"/>
      <c r="CD588" s="78"/>
      <c r="CE588" s="78"/>
      <c r="CF588" s="78"/>
      <c r="CG588" s="78"/>
      <c r="CH588" s="78"/>
      <c r="CI588" s="78"/>
      <c r="CJ588" s="78"/>
      <c r="CK588" s="78"/>
      <c r="CL588" s="78"/>
      <c r="CM588" s="78"/>
      <c r="CN588" s="78"/>
      <c r="CO588" s="78"/>
      <c r="CP588" s="78"/>
      <c r="CQ588" s="78"/>
      <c r="CR588" s="78"/>
      <c r="CS588" s="78"/>
      <c r="CT588" s="78"/>
      <c r="CU588" s="78"/>
      <c r="CV588" s="78"/>
      <c r="CW588" s="78"/>
      <c r="CX588" s="78"/>
      <c r="CY588" s="78"/>
      <c r="CZ588" s="78"/>
      <c r="DA588" s="78"/>
      <c r="DB588" s="78"/>
      <c r="DC588" s="78"/>
      <c r="DD588" s="78"/>
      <c r="DE588" s="78"/>
      <c r="DF588" s="78"/>
      <c r="DG588" s="78"/>
      <c r="DH588" s="78"/>
      <c r="DI588" s="78"/>
      <c r="DJ588" s="78"/>
      <c r="DK588" s="78"/>
      <c r="DL588" s="78"/>
      <c r="DM588" s="78"/>
      <c r="DN588" s="78"/>
      <c r="DO588" s="78"/>
      <c r="DP588" s="78"/>
      <c r="DQ588" s="78"/>
      <c r="DR588" s="78"/>
      <c r="DS588" s="78"/>
      <c r="DT588" s="78"/>
      <c r="DU588" s="78"/>
      <c r="DV588" s="78"/>
      <c r="DW588" s="78"/>
      <c r="DX588" s="78"/>
      <c r="DY588" s="78"/>
      <c r="DZ588" s="78"/>
      <c r="EA588" s="78"/>
      <c r="EB588" s="78"/>
      <c r="EC588" s="78"/>
      <c r="ED588" s="78"/>
      <c r="EE588" s="78"/>
      <c r="EF588" s="78"/>
      <c r="EG588" s="78"/>
      <c r="EH588" s="78"/>
      <c r="EI588" s="91"/>
      <c r="EJ588" s="91"/>
      <c r="EK588" s="91"/>
      <c r="EL588" s="91"/>
      <c r="EM588" s="91"/>
      <c r="EN588" s="91"/>
      <c r="EO588" s="91"/>
      <c r="EP588" s="78"/>
      <c r="EQ588" s="78"/>
      <c r="ER588" s="78"/>
      <c r="ES588" s="78"/>
      <c r="ET588" s="78"/>
      <c r="EU588" s="78"/>
      <c r="EV588" s="78"/>
      <c r="EW588" s="78"/>
      <c r="EX588" s="78"/>
      <c r="EY588" s="78"/>
      <c r="EZ588" s="78"/>
      <c r="FA588" s="78"/>
      <c r="FB588" s="78"/>
      <c r="FC588" s="78"/>
      <c r="FD588" s="78"/>
      <c r="FE588" s="78"/>
      <c r="FF588" s="78"/>
      <c r="FG588" s="78"/>
      <c r="FH588" s="78"/>
      <c r="FI588" s="78"/>
      <c r="FJ588" s="78"/>
      <c r="FK588" s="78"/>
    </row>
    <row r="589" spans="1:167" hidden="1" outlineLevel="1">
      <c r="A589" s="29" t="str">
        <f t="shared" si="38"/>
        <v>lt002_insrmntaccntng_clssfctn</v>
      </c>
      <c r="B589" s="67" t="s">
        <v>31</v>
      </c>
      <c r="C589" s="68" t="s">
        <v>31</v>
      </c>
      <c r="D589" s="64" t="s">
        <v>40</v>
      </c>
      <c r="E589" s="66" t="s">
        <v>574</v>
      </c>
      <c r="F589" s="64" t="s">
        <v>409</v>
      </c>
      <c r="G589" s="64" t="e">
        <f>INDEX(Auxiliar!$B$16:$B$24,MATCH(Plano_V1!H589,Auxiliar!$C$16:$C$24,0),1)</f>
        <v>#N/A</v>
      </c>
      <c r="H589" s="64" t="e">
        <f>VLOOKUP(A589,'Aux - pivots1'!$A:$B,2,0)</f>
        <v>#N/A</v>
      </c>
      <c r="I589" s="84">
        <f>SUMIFS(Table1[Estimação (horas)],Table1[Tabela],Plano_V1!E589,Table1[Campo],Plano_V1!F589)</f>
        <v>0</v>
      </c>
      <c r="J589" s="84">
        <f t="shared" si="41"/>
        <v>0</v>
      </c>
      <c r="K589" s="89" t="s">
        <v>39</v>
      </c>
      <c r="L589" s="90">
        <f t="shared" si="40"/>
        <v>0</v>
      </c>
      <c r="M589" s="78"/>
      <c r="N589" s="78"/>
      <c r="O589" s="78"/>
      <c r="P589" s="78"/>
      <c r="Q589" s="78"/>
      <c r="R589" s="78"/>
      <c r="S589" s="78"/>
      <c r="T589" s="78"/>
      <c r="U589" s="78"/>
      <c r="V589" s="78"/>
      <c r="W589" s="78"/>
      <c r="X589" s="78"/>
      <c r="Y589" s="78"/>
      <c r="Z589" s="78"/>
      <c r="AA589" s="78"/>
      <c r="AB589" s="78"/>
      <c r="AC589" s="78"/>
      <c r="AD589" s="78"/>
      <c r="AE589" s="78"/>
      <c r="AF589" s="78"/>
      <c r="AG589" s="78"/>
      <c r="AH589" s="78"/>
      <c r="AI589" s="78"/>
      <c r="AJ589" s="78"/>
      <c r="AK589" s="78"/>
      <c r="AL589" s="78"/>
      <c r="AM589" s="78"/>
      <c r="AN589" s="78"/>
      <c r="AO589" s="78"/>
      <c r="AP589" s="78"/>
      <c r="AQ589" s="78"/>
      <c r="AR589" s="78"/>
      <c r="AS589" s="78"/>
      <c r="AT589" s="91"/>
      <c r="AU589" s="78"/>
      <c r="AV589" s="78"/>
      <c r="AW589" s="78"/>
      <c r="AX589" s="78"/>
      <c r="AY589" s="78"/>
      <c r="AZ589" s="78"/>
      <c r="BA589" s="78"/>
      <c r="BB589" s="78"/>
      <c r="BC589" s="78"/>
      <c r="BD589" s="78"/>
      <c r="BE589" s="78"/>
      <c r="BF589" s="78"/>
      <c r="BG589" s="78"/>
      <c r="BH589" s="78"/>
      <c r="BI589" s="78"/>
      <c r="BJ589" s="78"/>
      <c r="BK589" s="78"/>
      <c r="BL589" s="78"/>
      <c r="BM589" s="78"/>
      <c r="BN589" s="78"/>
      <c r="BO589" s="78"/>
      <c r="BP589" s="78"/>
      <c r="BQ589" s="78"/>
      <c r="BR589" s="78"/>
      <c r="BS589" s="78"/>
      <c r="BT589" s="78"/>
      <c r="BU589" s="78"/>
      <c r="BV589" s="78"/>
      <c r="BW589" s="78"/>
      <c r="BX589" s="78"/>
      <c r="BY589" s="78"/>
      <c r="BZ589" s="78"/>
      <c r="CA589" s="78"/>
      <c r="CB589" s="78"/>
      <c r="CC589" s="78"/>
      <c r="CD589" s="78"/>
      <c r="CE589" s="78"/>
      <c r="CF589" s="78"/>
      <c r="CG589" s="78"/>
      <c r="CH589" s="78"/>
      <c r="CI589" s="78"/>
      <c r="CJ589" s="78"/>
      <c r="CK589" s="78"/>
      <c r="CL589" s="78"/>
      <c r="CM589" s="78"/>
      <c r="CN589" s="78"/>
      <c r="CO589" s="78"/>
      <c r="CP589" s="78"/>
      <c r="CQ589" s="78"/>
      <c r="CR589" s="78"/>
      <c r="CS589" s="78"/>
      <c r="CT589" s="78"/>
      <c r="CU589" s="78"/>
      <c r="CV589" s="78"/>
      <c r="CW589" s="78"/>
      <c r="CX589" s="78"/>
      <c r="CY589" s="78"/>
      <c r="CZ589" s="78"/>
      <c r="DA589" s="78"/>
      <c r="DB589" s="78"/>
      <c r="DC589" s="78"/>
      <c r="DD589" s="78"/>
      <c r="DE589" s="78"/>
      <c r="DF589" s="78"/>
      <c r="DG589" s="78"/>
      <c r="DH589" s="78"/>
      <c r="DI589" s="78"/>
      <c r="DJ589" s="78"/>
      <c r="DK589" s="78"/>
      <c r="DL589" s="78"/>
      <c r="DM589" s="78"/>
      <c r="DN589" s="78"/>
      <c r="DO589" s="78"/>
      <c r="DP589" s="78"/>
      <c r="DQ589" s="78"/>
      <c r="DR589" s="78"/>
      <c r="DS589" s="78"/>
      <c r="DT589" s="78"/>
      <c r="DU589" s="78"/>
      <c r="DV589" s="78"/>
      <c r="DW589" s="78"/>
      <c r="DX589" s="78"/>
      <c r="DY589" s="78"/>
      <c r="DZ589" s="78"/>
      <c r="EA589" s="78"/>
      <c r="EB589" s="78"/>
      <c r="EC589" s="78"/>
      <c r="ED589" s="78"/>
      <c r="EE589" s="78"/>
      <c r="EF589" s="78"/>
      <c r="EG589" s="78"/>
      <c r="EH589" s="78"/>
      <c r="EI589" s="91"/>
      <c r="EJ589" s="91"/>
      <c r="EK589" s="91"/>
      <c r="EL589" s="91"/>
      <c r="EM589" s="91"/>
      <c r="EN589" s="91"/>
      <c r="EO589" s="91"/>
      <c r="EP589" s="78"/>
      <c r="EQ589" s="78"/>
      <c r="ER589" s="78"/>
      <c r="ES589" s="78"/>
      <c r="ET589" s="78"/>
      <c r="EU589" s="78"/>
      <c r="EV589" s="78"/>
      <c r="EW589" s="78"/>
      <c r="EX589" s="78"/>
      <c r="EY589" s="78"/>
      <c r="EZ589" s="78"/>
      <c r="FA589" s="78"/>
      <c r="FB589" s="78"/>
      <c r="FC589" s="78"/>
      <c r="FD589" s="78"/>
      <c r="FE589" s="78"/>
      <c r="FF589" s="78"/>
      <c r="FG589" s="78"/>
      <c r="FH589" s="78"/>
      <c r="FI589" s="78"/>
      <c r="FJ589" s="78"/>
      <c r="FK589" s="78"/>
    </row>
    <row r="590" spans="1:167" hidden="1" outlineLevel="1">
      <c r="A590" s="29" t="str">
        <f t="shared" si="38"/>
        <v>lt002_insrmntcod_soc</v>
      </c>
      <c r="B590" s="67" t="s">
        <v>31</v>
      </c>
      <c r="C590" s="68" t="s">
        <v>31</v>
      </c>
      <c r="D590" s="64" t="s">
        <v>40</v>
      </c>
      <c r="E590" s="66" t="s">
        <v>574</v>
      </c>
      <c r="F590" s="64" t="s">
        <v>416</v>
      </c>
      <c r="G590" s="64" t="e">
        <f>INDEX(Auxiliar!$B$16:$B$24,MATCH(Plano_V1!H590,Auxiliar!$C$16:$C$24,0),1)</f>
        <v>#N/A</v>
      </c>
      <c r="H590" s="64" t="e">
        <f>VLOOKUP(A590,'Aux - pivots1'!$A:$B,2,0)</f>
        <v>#N/A</v>
      </c>
      <c r="I590" s="84">
        <f>SUMIFS(Table1[Estimação (horas)],Table1[Tabela],Plano_V1!E590,Table1[Campo],Plano_V1!F590)</f>
        <v>0</v>
      </c>
      <c r="J590" s="84">
        <f t="shared" si="41"/>
        <v>0</v>
      </c>
      <c r="K590" s="89" t="s">
        <v>39</v>
      </c>
      <c r="L590" s="90">
        <f t="shared" si="40"/>
        <v>0</v>
      </c>
      <c r="M590" s="78"/>
      <c r="N590" s="78"/>
      <c r="O590" s="78"/>
      <c r="P590" s="78"/>
      <c r="Q590" s="78"/>
      <c r="R590" s="78"/>
      <c r="S590" s="78"/>
      <c r="T590" s="78"/>
      <c r="U590" s="78"/>
      <c r="V590" s="78"/>
      <c r="W590" s="78"/>
      <c r="X590" s="78"/>
      <c r="Y590" s="78"/>
      <c r="Z590" s="78"/>
      <c r="AA590" s="78"/>
      <c r="AB590" s="78"/>
      <c r="AC590" s="78"/>
      <c r="AD590" s="78"/>
      <c r="AE590" s="78"/>
      <c r="AF590" s="78"/>
      <c r="AG590" s="78"/>
      <c r="AH590" s="78"/>
      <c r="AI590" s="78"/>
      <c r="AJ590" s="78"/>
      <c r="AK590" s="78"/>
      <c r="AL590" s="78"/>
      <c r="AM590" s="78"/>
      <c r="AN590" s="78"/>
      <c r="AO590" s="78"/>
      <c r="AP590" s="78"/>
      <c r="AQ590" s="78"/>
      <c r="AR590" s="78"/>
      <c r="AS590" s="78"/>
      <c r="AT590" s="91"/>
      <c r="AU590" s="78"/>
      <c r="AV590" s="78"/>
      <c r="AW590" s="78"/>
      <c r="AX590" s="78"/>
      <c r="AY590" s="78"/>
      <c r="AZ590" s="78"/>
      <c r="BA590" s="78"/>
      <c r="BB590" s="78"/>
      <c r="BC590" s="78"/>
      <c r="BD590" s="78"/>
      <c r="BE590" s="78"/>
      <c r="BF590" s="78"/>
      <c r="BG590" s="78"/>
      <c r="BH590" s="78"/>
      <c r="BI590" s="78"/>
      <c r="BJ590" s="78"/>
      <c r="BK590" s="78"/>
      <c r="BL590" s="78"/>
      <c r="BM590" s="78"/>
      <c r="BN590" s="78"/>
      <c r="BO590" s="78"/>
      <c r="BP590" s="78"/>
      <c r="BQ590" s="78"/>
      <c r="BR590" s="78"/>
      <c r="BS590" s="78"/>
      <c r="BT590" s="78"/>
      <c r="BU590" s="78"/>
      <c r="BV590" s="78"/>
      <c r="BW590" s="78"/>
      <c r="BX590" s="78"/>
      <c r="BY590" s="78"/>
      <c r="BZ590" s="78"/>
      <c r="CA590" s="78"/>
      <c r="CB590" s="78"/>
      <c r="CC590" s="78"/>
      <c r="CD590" s="78"/>
      <c r="CE590" s="78"/>
      <c r="CF590" s="78"/>
      <c r="CG590" s="78"/>
      <c r="CH590" s="78"/>
      <c r="CI590" s="78"/>
      <c r="CJ590" s="78"/>
      <c r="CK590" s="78"/>
      <c r="CL590" s="78"/>
      <c r="CM590" s="78"/>
      <c r="CN590" s="78"/>
      <c r="CO590" s="78"/>
      <c r="CP590" s="78"/>
      <c r="CQ590" s="78"/>
      <c r="CR590" s="78"/>
      <c r="CS590" s="78"/>
      <c r="CT590" s="78"/>
      <c r="CU590" s="78"/>
      <c r="CV590" s="78"/>
      <c r="CW590" s="78"/>
      <c r="CX590" s="78"/>
      <c r="CY590" s="78"/>
      <c r="CZ590" s="78"/>
      <c r="DA590" s="78"/>
      <c r="DB590" s="78"/>
      <c r="DC590" s="78"/>
      <c r="DD590" s="78"/>
      <c r="DE590" s="78"/>
      <c r="DF590" s="78"/>
      <c r="DG590" s="78"/>
      <c r="DH590" s="78"/>
      <c r="DI590" s="78"/>
      <c r="DJ590" s="78"/>
      <c r="DK590" s="78"/>
      <c r="DL590" s="78"/>
      <c r="DM590" s="78"/>
      <c r="DN590" s="78"/>
      <c r="DO590" s="78"/>
      <c r="DP590" s="78"/>
      <c r="DQ590" s="78"/>
      <c r="DR590" s="78"/>
      <c r="DS590" s="78"/>
      <c r="DT590" s="78"/>
      <c r="DU590" s="78"/>
      <c r="DV590" s="78"/>
      <c r="DW590" s="78"/>
      <c r="DX590" s="78"/>
      <c r="DY590" s="78"/>
      <c r="DZ590" s="78"/>
      <c r="EA590" s="78"/>
      <c r="EB590" s="78"/>
      <c r="EC590" s="78"/>
      <c r="ED590" s="78"/>
      <c r="EE590" s="78"/>
      <c r="EF590" s="78"/>
      <c r="EG590" s="78"/>
      <c r="EH590" s="78"/>
      <c r="EI590" s="91"/>
      <c r="EJ590" s="91"/>
      <c r="EK590" s="91"/>
      <c r="EL590" s="91"/>
      <c r="EM590" s="91"/>
      <c r="EN590" s="91"/>
      <c r="EO590" s="91"/>
      <c r="EP590" s="78"/>
      <c r="EQ590" s="78"/>
      <c r="ER590" s="78"/>
      <c r="ES590" s="78"/>
      <c r="ET590" s="78"/>
      <c r="EU590" s="78"/>
      <c r="EV590" s="78"/>
      <c r="EW590" s="78"/>
      <c r="EX590" s="78"/>
      <c r="EY590" s="78"/>
      <c r="EZ590" s="78"/>
      <c r="FA590" s="78"/>
      <c r="FB590" s="78"/>
      <c r="FC590" s="78"/>
      <c r="FD590" s="78"/>
      <c r="FE590" s="78"/>
      <c r="FF590" s="78"/>
      <c r="FG590" s="78"/>
      <c r="FH590" s="78"/>
      <c r="FI590" s="78"/>
      <c r="FJ590" s="78"/>
      <c r="FK590" s="78"/>
    </row>
    <row r="591" spans="1:167" hidden="1" outlineLevel="1">
      <c r="A591" s="29" t="str">
        <f t="shared" si="38"/>
        <v>lt002_insrmntdt_rfrnc</v>
      </c>
      <c r="B591" s="67" t="s">
        <v>31</v>
      </c>
      <c r="C591" s="68" t="s">
        <v>31</v>
      </c>
      <c r="D591" s="64" t="s">
        <v>40</v>
      </c>
      <c r="E591" s="66" t="s">
        <v>574</v>
      </c>
      <c r="F591" s="64" t="s">
        <v>398</v>
      </c>
      <c r="G591" s="64" t="e">
        <f>INDEX(Auxiliar!$B$16:$B$24,MATCH(Plano_V1!H591,Auxiliar!$C$16:$C$24,0),1)</f>
        <v>#N/A</v>
      </c>
      <c r="H591" s="64" t="e">
        <f>VLOOKUP(A591,'Aux - pivots1'!$A:$B,2,0)</f>
        <v>#N/A</v>
      </c>
      <c r="I591" s="84">
        <f>SUMIFS(Table1[Estimação (horas)],Table1[Tabela],Plano_V1!E591,Table1[Campo],Plano_V1!F591)</f>
        <v>0</v>
      </c>
      <c r="J591" s="84">
        <f t="shared" si="41"/>
        <v>0</v>
      </c>
      <c r="K591" s="89" t="s">
        <v>39</v>
      </c>
      <c r="L591" s="90">
        <f t="shared" si="40"/>
        <v>0</v>
      </c>
      <c r="M591" s="78"/>
      <c r="N591" s="78"/>
      <c r="O591" s="78"/>
      <c r="P591" s="78"/>
      <c r="Q591" s="78"/>
      <c r="R591" s="78"/>
      <c r="S591" s="78"/>
      <c r="T591" s="78"/>
      <c r="U591" s="78"/>
      <c r="V591" s="78"/>
      <c r="W591" s="78"/>
      <c r="X591" s="78"/>
      <c r="Y591" s="78"/>
      <c r="Z591" s="78"/>
      <c r="AA591" s="78"/>
      <c r="AB591" s="78"/>
      <c r="AC591" s="78"/>
      <c r="AD591" s="78"/>
      <c r="AE591" s="78"/>
      <c r="AF591" s="78"/>
      <c r="AG591" s="78"/>
      <c r="AH591" s="78"/>
      <c r="AI591" s="78"/>
      <c r="AJ591" s="78"/>
      <c r="AK591" s="78"/>
      <c r="AL591" s="78"/>
      <c r="AM591" s="78"/>
      <c r="AN591" s="78"/>
      <c r="AO591" s="78"/>
      <c r="AP591" s="78"/>
      <c r="AQ591" s="78"/>
      <c r="AR591" s="78"/>
      <c r="AS591" s="78"/>
      <c r="AT591" s="91"/>
      <c r="AU591" s="78"/>
      <c r="AV591" s="78"/>
      <c r="AW591" s="78"/>
      <c r="AX591" s="78"/>
      <c r="AY591" s="78"/>
      <c r="AZ591" s="78"/>
      <c r="BA591" s="78"/>
      <c r="BB591" s="78"/>
      <c r="BC591" s="78"/>
      <c r="BD591" s="78"/>
      <c r="BE591" s="78"/>
      <c r="BF591" s="78"/>
      <c r="BG591" s="78"/>
      <c r="BH591" s="78"/>
      <c r="BI591" s="78"/>
      <c r="BJ591" s="78"/>
      <c r="BK591" s="78"/>
      <c r="BL591" s="78"/>
      <c r="BM591" s="78"/>
      <c r="BN591" s="78"/>
      <c r="BO591" s="78"/>
      <c r="BP591" s="78"/>
      <c r="BQ591" s="78"/>
      <c r="BR591" s="78"/>
      <c r="BS591" s="78"/>
      <c r="BT591" s="78"/>
      <c r="BU591" s="78"/>
      <c r="BV591" s="78"/>
      <c r="BW591" s="78"/>
      <c r="BX591" s="78"/>
      <c r="BY591" s="78"/>
      <c r="BZ591" s="78"/>
      <c r="CA591" s="78"/>
      <c r="CB591" s="78"/>
      <c r="CC591" s="78"/>
      <c r="CD591" s="78"/>
      <c r="CE591" s="78"/>
      <c r="CF591" s="78"/>
      <c r="CG591" s="78"/>
      <c r="CH591" s="78"/>
      <c r="CI591" s="78"/>
      <c r="CJ591" s="78"/>
      <c r="CK591" s="78"/>
      <c r="CL591" s="78"/>
      <c r="CM591" s="78"/>
      <c r="CN591" s="78"/>
      <c r="CO591" s="78"/>
      <c r="CP591" s="78"/>
      <c r="CQ591" s="78"/>
      <c r="CR591" s="78"/>
      <c r="CS591" s="78"/>
      <c r="CT591" s="78"/>
      <c r="CU591" s="78"/>
      <c r="CV591" s="78"/>
      <c r="CW591" s="78"/>
      <c r="CX591" s="78"/>
      <c r="CY591" s="78"/>
      <c r="CZ591" s="78"/>
      <c r="DA591" s="78"/>
      <c r="DB591" s="78"/>
      <c r="DC591" s="78"/>
      <c r="DD591" s="78"/>
      <c r="DE591" s="78"/>
      <c r="DF591" s="78"/>
      <c r="DG591" s="78"/>
      <c r="DH591" s="78"/>
      <c r="DI591" s="78"/>
      <c r="DJ591" s="78"/>
      <c r="DK591" s="78"/>
      <c r="DL591" s="78"/>
      <c r="DM591" s="78"/>
      <c r="DN591" s="78"/>
      <c r="DO591" s="78"/>
      <c r="DP591" s="78"/>
      <c r="DQ591" s="78"/>
      <c r="DR591" s="78"/>
      <c r="DS591" s="78"/>
      <c r="DT591" s="78"/>
      <c r="DU591" s="78"/>
      <c r="DV591" s="78"/>
      <c r="DW591" s="78"/>
      <c r="DX591" s="78"/>
      <c r="DY591" s="78"/>
      <c r="DZ591" s="78"/>
      <c r="EA591" s="78"/>
      <c r="EB591" s="78"/>
      <c r="EC591" s="78"/>
      <c r="ED591" s="78"/>
      <c r="EE591" s="78"/>
      <c r="EF591" s="78"/>
      <c r="EG591" s="78"/>
      <c r="EH591" s="78"/>
      <c r="EI591" s="91"/>
      <c r="EJ591" s="91"/>
      <c r="EK591" s="91"/>
      <c r="EL591" s="91"/>
      <c r="EM591" s="91"/>
      <c r="EN591" s="91"/>
      <c r="EO591" s="91"/>
      <c r="EP591" s="78"/>
      <c r="EQ591" s="78"/>
      <c r="ER591" s="78"/>
      <c r="ES591" s="78"/>
      <c r="ET591" s="78"/>
      <c r="EU591" s="78"/>
      <c r="EV591" s="78"/>
      <c r="EW591" s="78"/>
      <c r="EX591" s="78"/>
      <c r="EY591" s="78"/>
      <c r="EZ591" s="78"/>
      <c r="FA591" s="78"/>
      <c r="FB591" s="78"/>
      <c r="FC591" s="78"/>
      <c r="FD591" s="78"/>
      <c r="FE591" s="78"/>
      <c r="FF591" s="78"/>
      <c r="FG591" s="78"/>
      <c r="FH591" s="78"/>
      <c r="FI591" s="78"/>
      <c r="FJ591" s="78"/>
      <c r="FK591" s="78"/>
    </row>
    <row r="592" spans="1:167" hidden="1" outlineLevel="1">
      <c r="A592" s="29" t="str">
        <f t="shared" si="38"/>
        <v>lt002_insrmntgrss_crryng_amnt_instrmnt</v>
      </c>
      <c r="B592" s="67" t="s">
        <v>31</v>
      </c>
      <c r="C592" s="68" t="s">
        <v>31</v>
      </c>
      <c r="D592" s="64" t="s">
        <v>40</v>
      </c>
      <c r="E592" s="66" t="s">
        <v>574</v>
      </c>
      <c r="F592" s="64" t="s">
        <v>407</v>
      </c>
      <c r="G592" s="64" t="e">
        <f>INDEX(Auxiliar!$B$16:$B$24,MATCH(Plano_V1!H592,Auxiliar!$C$16:$C$24,0),1)</f>
        <v>#N/A</v>
      </c>
      <c r="H592" s="64" t="e">
        <f>VLOOKUP(A592,'Aux - pivots1'!$A:$B,2,0)</f>
        <v>#N/A</v>
      </c>
      <c r="I592" s="84">
        <f>SUMIFS(Table1[Estimação (horas)],Table1[Tabela],Plano_V1!E592,Table1[Campo],Plano_V1!F592)</f>
        <v>0</v>
      </c>
      <c r="J592" s="84">
        <f t="shared" si="41"/>
        <v>0</v>
      </c>
      <c r="K592" s="89" t="s">
        <v>39</v>
      </c>
      <c r="L592" s="90">
        <f t="shared" si="40"/>
        <v>0</v>
      </c>
      <c r="M592" s="78"/>
      <c r="N592" s="78"/>
      <c r="O592" s="78"/>
      <c r="P592" s="78"/>
      <c r="Q592" s="78"/>
      <c r="R592" s="78"/>
      <c r="S592" s="78"/>
      <c r="T592" s="78"/>
      <c r="U592" s="78"/>
      <c r="V592" s="78"/>
      <c r="W592" s="78"/>
      <c r="X592" s="78"/>
      <c r="Y592" s="78"/>
      <c r="Z592" s="78"/>
      <c r="AA592" s="78"/>
      <c r="AB592" s="78"/>
      <c r="AC592" s="78"/>
      <c r="AD592" s="78"/>
      <c r="AE592" s="78"/>
      <c r="AF592" s="78"/>
      <c r="AG592" s="78"/>
      <c r="AH592" s="78"/>
      <c r="AI592" s="78"/>
      <c r="AJ592" s="78"/>
      <c r="AK592" s="78"/>
      <c r="AL592" s="78"/>
      <c r="AM592" s="78"/>
      <c r="AN592" s="78"/>
      <c r="AO592" s="78"/>
      <c r="AP592" s="78"/>
      <c r="AQ592" s="78"/>
      <c r="AR592" s="78"/>
      <c r="AS592" s="78"/>
      <c r="AT592" s="91"/>
      <c r="AU592" s="78"/>
      <c r="AV592" s="78"/>
      <c r="AW592" s="78"/>
      <c r="AX592" s="78"/>
      <c r="AY592" s="78"/>
      <c r="AZ592" s="78"/>
      <c r="BA592" s="78"/>
      <c r="BB592" s="78"/>
      <c r="BC592" s="78"/>
      <c r="BD592" s="78"/>
      <c r="BE592" s="78"/>
      <c r="BF592" s="78"/>
      <c r="BG592" s="78"/>
      <c r="BH592" s="78"/>
      <c r="BI592" s="78"/>
      <c r="BJ592" s="78"/>
      <c r="BK592" s="78"/>
      <c r="BL592" s="78"/>
      <c r="BM592" s="78"/>
      <c r="BN592" s="78"/>
      <c r="BO592" s="78"/>
      <c r="BP592" s="78"/>
      <c r="BQ592" s="78"/>
      <c r="BR592" s="78"/>
      <c r="BS592" s="78"/>
      <c r="BT592" s="78"/>
      <c r="BU592" s="78"/>
      <c r="BV592" s="78"/>
      <c r="BW592" s="78"/>
      <c r="BX592" s="78"/>
      <c r="BY592" s="78"/>
      <c r="BZ592" s="78"/>
      <c r="CA592" s="78"/>
      <c r="CB592" s="78"/>
      <c r="CC592" s="78"/>
      <c r="CD592" s="78"/>
      <c r="CE592" s="78"/>
      <c r="CF592" s="78"/>
      <c r="CG592" s="78"/>
      <c r="CH592" s="78"/>
      <c r="CI592" s="78"/>
      <c r="CJ592" s="78"/>
      <c r="CK592" s="78"/>
      <c r="CL592" s="78"/>
      <c r="CM592" s="78"/>
      <c r="CN592" s="78"/>
      <c r="CO592" s="78"/>
      <c r="CP592" s="78"/>
      <c r="CQ592" s="78"/>
      <c r="CR592" s="78"/>
      <c r="CS592" s="78"/>
      <c r="CT592" s="78"/>
      <c r="CU592" s="78"/>
      <c r="CV592" s="78"/>
      <c r="CW592" s="78"/>
      <c r="CX592" s="78"/>
      <c r="CY592" s="78"/>
      <c r="CZ592" s="78"/>
      <c r="DA592" s="78"/>
      <c r="DB592" s="78"/>
      <c r="DC592" s="78"/>
      <c r="DD592" s="78"/>
      <c r="DE592" s="78"/>
      <c r="DF592" s="78"/>
      <c r="DG592" s="78"/>
      <c r="DH592" s="78"/>
      <c r="DI592" s="78"/>
      <c r="DJ592" s="78"/>
      <c r="DK592" s="78"/>
      <c r="DL592" s="78"/>
      <c r="DM592" s="78"/>
      <c r="DN592" s="78"/>
      <c r="DO592" s="78"/>
      <c r="DP592" s="78"/>
      <c r="DQ592" s="78"/>
      <c r="DR592" s="78"/>
      <c r="DS592" s="78"/>
      <c r="DT592" s="78"/>
      <c r="DU592" s="78"/>
      <c r="DV592" s="78"/>
      <c r="DW592" s="78"/>
      <c r="DX592" s="78"/>
      <c r="DY592" s="78"/>
      <c r="DZ592" s="78"/>
      <c r="EA592" s="78"/>
      <c r="EB592" s="78"/>
      <c r="EC592" s="78"/>
      <c r="ED592" s="78"/>
      <c r="EE592" s="78"/>
      <c r="EF592" s="78"/>
      <c r="EG592" s="78"/>
      <c r="EH592" s="78"/>
      <c r="EI592" s="91"/>
      <c r="EJ592" s="91"/>
      <c r="EK592" s="91"/>
      <c r="EL592" s="91"/>
      <c r="EM592" s="91"/>
      <c r="EN592" s="91"/>
      <c r="EO592" s="91"/>
      <c r="EP592" s="78"/>
      <c r="EQ592" s="78"/>
      <c r="ER592" s="78"/>
      <c r="ES592" s="78"/>
      <c r="ET592" s="78"/>
      <c r="EU592" s="78"/>
      <c r="EV592" s="78"/>
      <c r="EW592" s="78"/>
      <c r="EX592" s="78"/>
      <c r="EY592" s="78"/>
      <c r="EZ592" s="78"/>
      <c r="FA592" s="78"/>
      <c r="FB592" s="78"/>
      <c r="FC592" s="78"/>
      <c r="FD592" s="78"/>
      <c r="FE592" s="78"/>
      <c r="FF592" s="78"/>
      <c r="FG592" s="78"/>
      <c r="FH592" s="78"/>
      <c r="FI592" s="78"/>
      <c r="FJ592" s="78"/>
      <c r="FK592" s="78"/>
    </row>
    <row r="593" spans="1:167" hidden="1" outlineLevel="1">
      <c r="A593" s="29" t="str">
        <f t="shared" si="38"/>
        <v>lt002_insrmntidcmb</v>
      </c>
      <c r="B593" s="67" t="s">
        <v>31</v>
      </c>
      <c r="C593" s="68" t="s">
        <v>31</v>
      </c>
      <c r="D593" s="64" t="s">
        <v>40</v>
      </c>
      <c r="E593" s="66" t="s">
        <v>574</v>
      </c>
      <c r="F593" s="64" t="s">
        <v>423</v>
      </c>
      <c r="G593" s="64" t="e">
        <f>INDEX(Auxiliar!$B$16:$B$24,MATCH(Plano_V1!H593,Auxiliar!$C$16:$C$24,0),1)</f>
        <v>#N/A</v>
      </c>
      <c r="H593" s="64" t="e">
        <f>VLOOKUP(A593,'Aux - pivots1'!$A:$B,2,0)</f>
        <v>#N/A</v>
      </c>
      <c r="I593" s="84">
        <f>SUMIFS(Table1[Estimação (horas)],Table1[Tabela],Plano_V1!E593,Table1[Campo],Plano_V1!F593)</f>
        <v>0</v>
      </c>
      <c r="J593" s="84">
        <f t="shared" si="41"/>
        <v>0</v>
      </c>
      <c r="K593" s="89" t="s">
        <v>39</v>
      </c>
      <c r="L593" s="90">
        <f t="shared" si="40"/>
        <v>0</v>
      </c>
      <c r="M593" s="78"/>
      <c r="N593" s="78"/>
      <c r="O593" s="78"/>
      <c r="P593" s="78"/>
      <c r="Q593" s="78"/>
      <c r="R593" s="78"/>
      <c r="S593" s="78"/>
      <c r="T593" s="78"/>
      <c r="U593" s="78"/>
      <c r="V593" s="78"/>
      <c r="W593" s="78"/>
      <c r="X593" s="78"/>
      <c r="Y593" s="78"/>
      <c r="Z593" s="78"/>
      <c r="AA593" s="78"/>
      <c r="AB593" s="78"/>
      <c r="AC593" s="78"/>
      <c r="AD593" s="78"/>
      <c r="AE593" s="78"/>
      <c r="AF593" s="78"/>
      <c r="AG593" s="78"/>
      <c r="AH593" s="78"/>
      <c r="AI593" s="78"/>
      <c r="AJ593" s="78"/>
      <c r="AK593" s="78"/>
      <c r="AL593" s="78"/>
      <c r="AM593" s="78"/>
      <c r="AN593" s="78"/>
      <c r="AO593" s="78"/>
      <c r="AP593" s="78"/>
      <c r="AQ593" s="78"/>
      <c r="AR593" s="78"/>
      <c r="AS593" s="78"/>
      <c r="AT593" s="91"/>
      <c r="AU593" s="78"/>
      <c r="AV593" s="78"/>
      <c r="AW593" s="78"/>
      <c r="AX593" s="78"/>
      <c r="AY593" s="78"/>
      <c r="AZ593" s="78"/>
      <c r="BA593" s="78"/>
      <c r="BB593" s="78"/>
      <c r="BC593" s="78"/>
      <c r="BD593" s="78"/>
      <c r="BE593" s="78"/>
      <c r="BF593" s="78"/>
      <c r="BG593" s="78"/>
      <c r="BH593" s="78"/>
      <c r="BI593" s="78"/>
      <c r="BJ593" s="78"/>
      <c r="BK593" s="78"/>
      <c r="BL593" s="78"/>
      <c r="BM593" s="78"/>
      <c r="BN593" s="78"/>
      <c r="BO593" s="78"/>
      <c r="BP593" s="78"/>
      <c r="BQ593" s="78"/>
      <c r="BR593" s="78"/>
      <c r="BS593" s="78"/>
      <c r="BT593" s="78"/>
      <c r="BU593" s="78"/>
      <c r="BV593" s="78"/>
      <c r="BW593" s="78"/>
      <c r="BX593" s="78"/>
      <c r="BY593" s="78"/>
      <c r="BZ593" s="78"/>
      <c r="CA593" s="78"/>
      <c r="CB593" s="78"/>
      <c r="CC593" s="78"/>
      <c r="CD593" s="78"/>
      <c r="CE593" s="78"/>
      <c r="CF593" s="78"/>
      <c r="CG593" s="78"/>
      <c r="CH593" s="78"/>
      <c r="CI593" s="78"/>
      <c r="CJ593" s="78"/>
      <c r="CK593" s="78"/>
      <c r="CL593" s="78"/>
      <c r="CM593" s="78"/>
      <c r="CN593" s="78"/>
      <c r="CO593" s="78"/>
      <c r="CP593" s="78"/>
      <c r="CQ593" s="78"/>
      <c r="CR593" s="78"/>
      <c r="CS593" s="78"/>
      <c r="CT593" s="78"/>
      <c r="CU593" s="78"/>
      <c r="CV593" s="78"/>
      <c r="CW593" s="78"/>
      <c r="CX593" s="78"/>
      <c r="CY593" s="78"/>
      <c r="CZ593" s="78"/>
      <c r="DA593" s="78"/>
      <c r="DB593" s="78"/>
      <c r="DC593" s="78"/>
      <c r="DD593" s="78"/>
      <c r="DE593" s="78"/>
      <c r="DF593" s="78"/>
      <c r="DG593" s="78"/>
      <c r="DH593" s="78"/>
      <c r="DI593" s="78"/>
      <c r="DJ593" s="78"/>
      <c r="DK593" s="78"/>
      <c r="DL593" s="78"/>
      <c r="DM593" s="78"/>
      <c r="DN593" s="78"/>
      <c r="DO593" s="78"/>
      <c r="DP593" s="78"/>
      <c r="DQ593" s="78"/>
      <c r="DR593" s="78"/>
      <c r="DS593" s="78"/>
      <c r="DT593" s="78"/>
      <c r="DU593" s="78"/>
      <c r="DV593" s="78"/>
      <c r="DW593" s="78"/>
      <c r="DX593" s="78"/>
      <c r="DY593" s="78"/>
      <c r="DZ593" s="78"/>
      <c r="EA593" s="78"/>
      <c r="EB593" s="78"/>
      <c r="EC593" s="78"/>
      <c r="ED593" s="78"/>
      <c r="EE593" s="78"/>
      <c r="EF593" s="78"/>
      <c r="EG593" s="78"/>
      <c r="EH593" s="78"/>
      <c r="EI593" s="91"/>
      <c r="EJ593" s="91"/>
      <c r="EK593" s="91"/>
      <c r="EL593" s="91"/>
      <c r="EM593" s="91"/>
      <c r="EN593" s="91"/>
      <c r="EO593" s="91"/>
      <c r="EP593" s="78"/>
      <c r="EQ593" s="78"/>
      <c r="ER593" s="78"/>
      <c r="ES593" s="78"/>
      <c r="ET593" s="78"/>
      <c r="EU593" s="78"/>
      <c r="EV593" s="78"/>
      <c r="EW593" s="78"/>
      <c r="EX593" s="78"/>
      <c r="EY593" s="78"/>
      <c r="EZ593" s="78"/>
      <c r="FA593" s="78"/>
      <c r="FB593" s="78"/>
      <c r="FC593" s="78"/>
      <c r="FD593" s="78"/>
      <c r="FE593" s="78"/>
      <c r="FF593" s="78"/>
      <c r="FG593" s="78"/>
      <c r="FH593" s="78"/>
      <c r="FI593" s="78"/>
      <c r="FJ593" s="78"/>
      <c r="FK593" s="78"/>
    </row>
    <row r="594" spans="1:167" hidden="1" outlineLevel="1">
      <c r="A594" s="29" t="str">
        <f t="shared" si="38"/>
        <v>lt002_insrmntimprmnt_stts</v>
      </c>
      <c r="B594" s="67" t="s">
        <v>31</v>
      </c>
      <c r="C594" s="68" t="s">
        <v>31</v>
      </c>
      <c r="D594" s="64" t="s">
        <v>40</v>
      </c>
      <c r="E594" s="66" t="s">
        <v>574</v>
      </c>
      <c r="F594" s="64" t="s">
        <v>403</v>
      </c>
      <c r="G594" s="64" t="e">
        <f>INDEX(Auxiliar!$B$16:$B$24,MATCH(Plano_V1!H594,Auxiliar!$C$16:$C$24,0),1)</f>
        <v>#N/A</v>
      </c>
      <c r="H594" s="64" t="e">
        <f>VLOOKUP(A594,'Aux - pivots1'!$A:$B,2,0)</f>
        <v>#N/A</v>
      </c>
      <c r="I594" s="84">
        <f>SUMIFS(Table1[Estimação (horas)],Table1[Tabela],Plano_V1!E594,Table1[Campo],Plano_V1!F594)</f>
        <v>0</v>
      </c>
      <c r="J594" s="84">
        <f t="shared" si="41"/>
        <v>0</v>
      </c>
      <c r="K594" s="89" t="s">
        <v>39</v>
      </c>
      <c r="L594" s="90">
        <f t="shared" si="40"/>
        <v>0</v>
      </c>
      <c r="M594" s="78"/>
      <c r="N594" s="78"/>
      <c r="O594" s="78"/>
      <c r="P594" s="78"/>
      <c r="Q594" s="78"/>
      <c r="R594" s="78"/>
      <c r="S594" s="78"/>
      <c r="T594" s="78"/>
      <c r="U594" s="78"/>
      <c r="V594" s="78"/>
      <c r="W594" s="78"/>
      <c r="X594" s="78"/>
      <c r="Y594" s="78"/>
      <c r="Z594" s="78"/>
      <c r="AA594" s="78"/>
      <c r="AB594" s="78"/>
      <c r="AC594" s="78"/>
      <c r="AD594" s="78"/>
      <c r="AE594" s="78"/>
      <c r="AF594" s="78"/>
      <c r="AG594" s="78"/>
      <c r="AH594" s="78"/>
      <c r="AI594" s="78"/>
      <c r="AJ594" s="78"/>
      <c r="AK594" s="78"/>
      <c r="AL594" s="78"/>
      <c r="AM594" s="78"/>
      <c r="AN594" s="78"/>
      <c r="AO594" s="78"/>
      <c r="AP594" s="78"/>
      <c r="AQ594" s="78"/>
      <c r="AR594" s="78"/>
      <c r="AS594" s="78"/>
      <c r="AT594" s="91"/>
      <c r="AU594" s="78"/>
      <c r="AV594" s="78"/>
      <c r="AW594" s="78"/>
      <c r="AX594" s="78"/>
      <c r="AY594" s="78"/>
      <c r="AZ594" s="78"/>
      <c r="BA594" s="78"/>
      <c r="BB594" s="78"/>
      <c r="BC594" s="78"/>
      <c r="BD594" s="78"/>
      <c r="BE594" s="78"/>
      <c r="BF594" s="78"/>
      <c r="BG594" s="78"/>
      <c r="BH594" s="78"/>
      <c r="BI594" s="78"/>
      <c r="BJ594" s="78"/>
      <c r="BK594" s="78"/>
      <c r="BL594" s="78"/>
      <c r="BM594" s="78"/>
      <c r="BN594" s="78"/>
      <c r="BO594" s="78"/>
      <c r="BP594" s="78"/>
      <c r="BQ594" s="78"/>
      <c r="BR594" s="78"/>
      <c r="BS594" s="78"/>
      <c r="BT594" s="78"/>
      <c r="BU594" s="78"/>
      <c r="BV594" s="78"/>
      <c r="BW594" s="78"/>
      <c r="BX594" s="78"/>
      <c r="BY594" s="78"/>
      <c r="BZ594" s="78"/>
      <c r="CA594" s="78"/>
      <c r="CB594" s="78"/>
      <c r="CC594" s="78"/>
      <c r="CD594" s="78"/>
      <c r="CE594" s="78"/>
      <c r="CF594" s="78"/>
      <c r="CG594" s="78"/>
      <c r="CH594" s="78"/>
      <c r="CI594" s="78"/>
      <c r="CJ594" s="78"/>
      <c r="CK594" s="78"/>
      <c r="CL594" s="78"/>
      <c r="CM594" s="78"/>
      <c r="CN594" s="78"/>
      <c r="CO594" s="78"/>
      <c r="CP594" s="78"/>
      <c r="CQ594" s="78"/>
      <c r="CR594" s="78"/>
      <c r="CS594" s="78"/>
      <c r="CT594" s="78"/>
      <c r="CU594" s="78"/>
      <c r="CV594" s="78"/>
      <c r="CW594" s="78"/>
      <c r="CX594" s="78"/>
      <c r="CY594" s="78"/>
      <c r="CZ594" s="78"/>
      <c r="DA594" s="78"/>
      <c r="DB594" s="78"/>
      <c r="DC594" s="78"/>
      <c r="DD594" s="78"/>
      <c r="DE594" s="78"/>
      <c r="DF594" s="78"/>
      <c r="DG594" s="78"/>
      <c r="DH594" s="78"/>
      <c r="DI594" s="78"/>
      <c r="DJ594" s="78"/>
      <c r="DK594" s="78"/>
      <c r="DL594" s="78"/>
      <c r="DM594" s="78"/>
      <c r="DN594" s="78"/>
      <c r="DO594" s="78"/>
      <c r="DP594" s="78"/>
      <c r="DQ594" s="78"/>
      <c r="DR594" s="78"/>
      <c r="DS594" s="78"/>
      <c r="DT594" s="78"/>
      <c r="DU594" s="78"/>
      <c r="DV594" s="78"/>
      <c r="DW594" s="78"/>
      <c r="DX594" s="78"/>
      <c r="DY594" s="78"/>
      <c r="DZ594" s="78"/>
      <c r="EA594" s="78"/>
      <c r="EB594" s="78"/>
      <c r="EC594" s="78"/>
      <c r="ED594" s="78"/>
      <c r="EE594" s="78"/>
      <c r="EF594" s="78"/>
      <c r="EG594" s="78"/>
      <c r="EH594" s="78"/>
      <c r="EI594" s="91"/>
      <c r="EJ594" s="91"/>
      <c r="EK594" s="91"/>
      <c r="EL594" s="91"/>
      <c r="EM594" s="91"/>
      <c r="EN594" s="91"/>
      <c r="EO594" s="91"/>
      <c r="EP594" s="78"/>
      <c r="EQ594" s="78"/>
      <c r="ER594" s="78"/>
      <c r="ES594" s="78"/>
      <c r="ET594" s="78"/>
      <c r="EU594" s="78"/>
      <c r="EV594" s="78"/>
      <c r="EW594" s="78"/>
      <c r="EX594" s="78"/>
      <c r="EY594" s="78"/>
      <c r="EZ594" s="78"/>
      <c r="FA594" s="78"/>
      <c r="FB594" s="78"/>
      <c r="FC594" s="78"/>
      <c r="FD594" s="78"/>
      <c r="FE594" s="78"/>
      <c r="FF594" s="78"/>
      <c r="FG594" s="78"/>
      <c r="FH594" s="78"/>
      <c r="FI594" s="78"/>
      <c r="FJ594" s="78"/>
      <c r="FK594" s="78"/>
    </row>
    <row r="595" spans="1:167" hidden="1" outlineLevel="1">
      <c r="A595" s="29" t="str">
        <f t="shared" si="38"/>
        <v>lt002_insrmntinstrmnt_id</v>
      </c>
      <c r="B595" s="67" t="s">
        <v>31</v>
      </c>
      <c r="C595" s="68" t="s">
        <v>31</v>
      </c>
      <c r="D595" s="64" t="s">
        <v>40</v>
      </c>
      <c r="E595" s="66" t="s">
        <v>574</v>
      </c>
      <c r="F595" s="64" t="s">
        <v>400</v>
      </c>
      <c r="G595" s="64" t="e">
        <f>INDEX(Auxiliar!$B$16:$B$24,MATCH(Plano_V1!H595,Auxiliar!$C$16:$C$24,0),1)</f>
        <v>#N/A</v>
      </c>
      <c r="H595" s="64" t="e">
        <f>VLOOKUP(A595,'Aux - pivots1'!$A:$B,2,0)</f>
        <v>#N/A</v>
      </c>
      <c r="I595" s="84">
        <f>SUMIFS(Table1[Estimação (horas)],Table1[Tabela],Plano_V1!E595,Table1[Campo],Plano_V1!F595)</f>
        <v>0</v>
      </c>
      <c r="J595" s="84">
        <f t="shared" si="41"/>
        <v>0</v>
      </c>
      <c r="K595" s="89" t="s">
        <v>39</v>
      </c>
      <c r="L595" s="90">
        <f t="shared" si="40"/>
        <v>0</v>
      </c>
      <c r="M595" s="78"/>
      <c r="N595" s="78"/>
      <c r="O595" s="78"/>
      <c r="P595" s="78"/>
      <c r="Q595" s="78"/>
      <c r="R595" s="78"/>
      <c r="S595" s="78"/>
      <c r="T595" s="78"/>
      <c r="U595" s="78"/>
      <c r="V595" s="78"/>
      <c r="W595" s="78"/>
      <c r="X595" s="78"/>
      <c r="Y595" s="78"/>
      <c r="Z595" s="78"/>
      <c r="AA595" s="78"/>
      <c r="AB595" s="78"/>
      <c r="AC595" s="78"/>
      <c r="AD595" s="78"/>
      <c r="AE595" s="78"/>
      <c r="AF595" s="78"/>
      <c r="AG595" s="78"/>
      <c r="AH595" s="78"/>
      <c r="AI595" s="78"/>
      <c r="AJ595" s="78"/>
      <c r="AK595" s="78"/>
      <c r="AL595" s="78"/>
      <c r="AM595" s="78"/>
      <c r="AN595" s="78"/>
      <c r="AO595" s="78"/>
      <c r="AP595" s="78"/>
      <c r="AQ595" s="78"/>
      <c r="AR595" s="78"/>
      <c r="AS595" s="78"/>
      <c r="AT595" s="91"/>
      <c r="AU595" s="78"/>
      <c r="AV595" s="78"/>
      <c r="AW595" s="78"/>
      <c r="AX595" s="78"/>
      <c r="AY595" s="78"/>
      <c r="AZ595" s="78"/>
      <c r="BA595" s="78"/>
      <c r="BB595" s="78"/>
      <c r="BC595" s="78"/>
      <c r="BD595" s="78"/>
      <c r="BE595" s="78"/>
      <c r="BF595" s="78"/>
      <c r="BG595" s="78"/>
      <c r="BH595" s="78"/>
      <c r="BI595" s="78"/>
      <c r="BJ595" s="78"/>
      <c r="BK595" s="78"/>
      <c r="BL595" s="78"/>
      <c r="BM595" s="78"/>
      <c r="BN595" s="78"/>
      <c r="BO595" s="78"/>
      <c r="BP595" s="78"/>
      <c r="BQ595" s="78"/>
      <c r="BR595" s="78"/>
      <c r="BS595" s="78"/>
      <c r="BT595" s="78"/>
      <c r="BU595" s="78"/>
      <c r="BV595" s="78"/>
      <c r="BW595" s="78"/>
      <c r="BX595" s="78"/>
      <c r="BY595" s="78"/>
      <c r="BZ595" s="78"/>
      <c r="CA595" s="78"/>
      <c r="CB595" s="78"/>
      <c r="CC595" s="78"/>
      <c r="CD595" s="78"/>
      <c r="CE595" s="78"/>
      <c r="CF595" s="78"/>
      <c r="CG595" s="78"/>
      <c r="CH595" s="78"/>
      <c r="CI595" s="78"/>
      <c r="CJ595" s="78"/>
      <c r="CK595" s="78"/>
      <c r="CL595" s="78"/>
      <c r="CM595" s="78"/>
      <c r="CN595" s="78"/>
      <c r="CO595" s="78"/>
      <c r="CP595" s="78"/>
      <c r="CQ595" s="78"/>
      <c r="CR595" s="78"/>
      <c r="CS595" s="78"/>
      <c r="CT595" s="78"/>
      <c r="CU595" s="78"/>
      <c r="CV595" s="78"/>
      <c r="CW595" s="78"/>
      <c r="CX595" s="78"/>
      <c r="CY595" s="78"/>
      <c r="CZ595" s="78"/>
      <c r="DA595" s="78"/>
      <c r="DB595" s="78"/>
      <c r="DC595" s="78"/>
      <c r="DD595" s="78"/>
      <c r="DE595" s="78"/>
      <c r="DF595" s="78"/>
      <c r="DG595" s="78"/>
      <c r="DH595" s="78"/>
      <c r="DI595" s="78"/>
      <c r="DJ595" s="78"/>
      <c r="DK595" s="78"/>
      <c r="DL595" s="78"/>
      <c r="DM595" s="78"/>
      <c r="DN595" s="78"/>
      <c r="DO595" s="78"/>
      <c r="DP595" s="78"/>
      <c r="DQ595" s="78"/>
      <c r="DR595" s="78"/>
      <c r="DS595" s="78"/>
      <c r="DT595" s="78"/>
      <c r="DU595" s="78"/>
      <c r="DV595" s="78"/>
      <c r="DW595" s="78"/>
      <c r="DX595" s="78"/>
      <c r="DY595" s="78"/>
      <c r="DZ595" s="78"/>
      <c r="EA595" s="78"/>
      <c r="EB595" s="78"/>
      <c r="EC595" s="78"/>
      <c r="ED595" s="78"/>
      <c r="EE595" s="78"/>
      <c r="EF595" s="78"/>
      <c r="EG595" s="78"/>
      <c r="EH595" s="78"/>
      <c r="EI595" s="91"/>
      <c r="EJ595" s="91"/>
      <c r="EK595" s="91"/>
      <c r="EL595" s="91"/>
      <c r="EM595" s="91"/>
      <c r="EN595" s="91"/>
      <c r="EO595" s="91"/>
      <c r="EP595" s="78"/>
      <c r="EQ595" s="78"/>
      <c r="ER595" s="78"/>
      <c r="ES595" s="78"/>
      <c r="ET595" s="78"/>
      <c r="EU595" s="78"/>
      <c r="EV595" s="78"/>
      <c r="EW595" s="78"/>
      <c r="EX595" s="78"/>
      <c r="EY595" s="78"/>
      <c r="EZ595" s="78"/>
      <c r="FA595" s="78"/>
      <c r="FB595" s="78"/>
      <c r="FC595" s="78"/>
      <c r="FD595" s="78"/>
      <c r="FE595" s="78"/>
      <c r="FF595" s="78"/>
      <c r="FG595" s="78"/>
      <c r="FH595" s="78"/>
      <c r="FI595" s="78"/>
      <c r="FJ595" s="78"/>
      <c r="FK595" s="78"/>
    </row>
    <row r="596" spans="1:167" hidden="1" outlineLevel="1">
      <c r="A596" s="29" t="str">
        <f t="shared" si="38"/>
        <v>lt002_insrmntlcl_instmrnt_id</v>
      </c>
      <c r="B596" s="67" t="s">
        <v>31</v>
      </c>
      <c r="C596" s="68" t="s">
        <v>31</v>
      </c>
      <c r="D596" s="64" t="s">
        <v>40</v>
      </c>
      <c r="E596" s="66" t="s">
        <v>574</v>
      </c>
      <c r="F596" s="64" t="s">
        <v>417</v>
      </c>
      <c r="G596" s="64" t="e">
        <f>INDEX(Auxiliar!$B$16:$B$24,MATCH(Plano_V1!H596,Auxiliar!$C$16:$C$24,0),1)</f>
        <v>#N/A</v>
      </c>
      <c r="H596" s="64" t="e">
        <f>VLOOKUP(A596,'Aux - pivots1'!$A:$B,2,0)</f>
        <v>#N/A</v>
      </c>
      <c r="I596" s="84">
        <f>SUMIFS(Table1[Estimação (horas)],Table1[Tabela],Plano_V1!E596,Table1[Campo],Plano_V1!F596)</f>
        <v>0</v>
      </c>
      <c r="J596" s="84">
        <f t="shared" si="41"/>
        <v>0</v>
      </c>
      <c r="K596" s="89" t="s">
        <v>39</v>
      </c>
      <c r="L596" s="90">
        <f t="shared" si="40"/>
        <v>0</v>
      </c>
      <c r="M596" s="78"/>
      <c r="N596" s="78"/>
      <c r="O596" s="78"/>
      <c r="P596" s="78"/>
      <c r="Q596" s="78"/>
      <c r="R596" s="78"/>
      <c r="S596" s="78"/>
      <c r="T596" s="78"/>
      <c r="U596" s="78"/>
      <c r="V596" s="78"/>
      <c r="W596" s="78"/>
      <c r="X596" s="78"/>
      <c r="Y596" s="78"/>
      <c r="Z596" s="78"/>
      <c r="AA596" s="78"/>
      <c r="AB596" s="78"/>
      <c r="AC596" s="78"/>
      <c r="AD596" s="78"/>
      <c r="AE596" s="78"/>
      <c r="AF596" s="78"/>
      <c r="AG596" s="78"/>
      <c r="AH596" s="78"/>
      <c r="AI596" s="78"/>
      <c r="AJ596" s="78"/>
      <c r="AK596" s="78"/>
      <c r="AL596" s="78"/>
      <c r="AM596" s="78"/>
      <c r="AN596" s="78"/>
      <c r="AO596" s="78"/>
      <c r="AP596" s="78"/>
      <c r="AQ596" s="78"/>
      <c r="AR596" s="78"/>
      <c r="AS596" s="78"/>
      <c r="AT596" s="91"/>
      <c r="AU596" s="78"/>
      <c r="AV596" s="78"/>
      <c r="AW596" s="78"/>
      <c r="AX596" s="78"/>
      <c r="AY596" s="78"/>
      <c r="AZ596" s="78"/>
      <c r="BA596" s="78"/>
      <c r="BB596" s="78"/>
      <c r="BC596" s="78"/>
      <c r="BD596" s="78"/>
      <c r="BE596" s="78"/>
      <c r="BF596" s="78"/>
      <c r="BG596" s="78"/>
      <c r="BH596" s="78"/>
      <c r="BI596" s="78"/>
      <c r="BJ596" s="78"/>
      <c r="BK596" s="78"/>
      <c r="BL596" s="78"/>
      <c r="BM596" s="78"/>
      <c r="BN596" s="78"/>
      <c r="BO596" s="78"/>
      <c r="BP596" s="78"/>
      <c r="BQ596" s="78"/>
      <c r="BR596" s="78"/>
      <c r="BS596" s="78"/>
      <c r="BT596" s="78"/>
      <c r="BU596" s="78"/>
      <c r="BV596" s="78"/>
      <c r="BW596" s="78"/>
      <c r="BX596" s="78"/>
      <c r="BY596" s="78"/>
      <c r="BZ596" s="78"/>
      <c r="CA596" s="78"/>
      <c r="CB596" s="78"/>
      <c r="CC596" s="78"/>
      <c r="CD596" s="78"/>
      <c r="CE596" s="78"/>
      <c r="CF596" s="78"/>
      <c r="CG596" s="78"/>
      <c r="CH596" s="78"/>
      <c r="CI596" s="78"/>
      <c r="CJ596" s="78"/>
      <c r="CK596" s="78"/>
      <c r="CL596" s="78"/>
      <c r="CM596" s="78"/>
      <c r="CN596" s="78"/>
      <c r="CO596" s="78"/>
      <c r="CP596" s="78"/>
      <c r="CQ596" s="78"/>
      <c r="CR596" s="78"/>
      <c r="CS596" s="78"/>
      <c r="CT596" s="78"/>
      <c r="CU596" s="78"/>
      <c r="CV596" s="78"/>
      <c r="CW596" s="78"/>
      <c r="CX596" s="78"/>
      <c r="CY596" s="78"/>
      <c r="CZ596" s="78"/>
      <c r="DA596" s="78"/>
      <c r="DB596" s="78"/>
      <c r="DC596" s="78"/>
      <c r="DD596" s="78"/>
      <c r="DE596" s="78"/>
      <c r="DF596" s="78"/>
      <c r="DG596" s="78"/>
      <c r="DH596" s="78"/>
      <c r="DI596" s="78"/>
      <c r="DJ596" s="78"/>
      <c r="DK596" s="78"/>
      <c r="DL596" s="78"/>
      <c r="DM596" s="78"/>
      <c r="DN596" s="78"/>
      <c r="DO596" s="78"/>
      <c r="DP596" s="78"/>
      <c r="DQ596" s="78"/>
      <c r="DR596" s="78"/>
      <c r="DS596" s="78"/>
      <c r="DT596" s="78"/>
      <c r="DU596" s="78"/>
      <c r="DV596" s="78"/>
      <c r="DW596" s="78"/>
      <c r="DX596" s="78"/>
      <c r="DY596" s="78"/>
      <c r="DZ596" s="78"/>
      <c r="EA596" s="78"/>
      <c r="EB596" s="78"/>
      <c r="EC596" s="78"/>
      <c r="ED596" s="78"/>
      <c r="EE596" s="78"/>
      <c r="EF596" s="78"/>
      <c r="EG596" s="78"/>
      <c r="EH596" s="78"/>
      <c r="EI596" s="91"/>
      <c r="EJ596" s="91"/>
      <c r="EK596" s="91"/>
      <c r="EL596" s="91"/>
      <c r="EM596" s="91"/>
      <c r="EN596" s="91"/>
      <c r="EO596" s="91"/>
      <c r="EP596" s="78"/>
      <c r="EQ596" s="78"/>
      <c r="ER596" s="78"/>
      <c r="ES596" s="78"/>
      <c r="ET596" s="78"/>
      <c r="EU596" s="78"/>
      <c r="EV596" s="78"/>
      <c r="EW596" s="78"/>
      <c r="EX596" s="78"/>
      <c r="EY596" s="78"/>
      <c r="EZ596" s="78"/>
      <c r="FA596" s="78"/>
      <c r="FB596" s="78"/>
      <c r="FC596" s="78"/>
      <c r="FD596" s="78"/>
      <c r="FE596" s="78"/>
      <c r="FF596" s="78"/>
      <c r="FG596" s="78"/>
      <c r="FH596" s="78"/>
      <c r="FI596" s="78"/>
      <c r="FJ596" s="78"/>
      <c r="FK596" s="78"/>
    </row>
    <row r="597" spans="1:167" hidden="1" outlineLevel="1">
      <c r="A597" s="29" t="str">
        <f t="shared" si="38"/>
        <v>lt002_insrmntoff_blnc_sht_amnt_instrmnt</v>
      </c>
      <c r="B597" s="67" t="s">
        <v>31</v>
      </c>
      <c r="C597" s="68" t="s">
        <v>31</v>
      </c>
      <c r="D597" s="64" t="s">
        <v>40</v>
      </c>
      <c r="E597" s="66" t="s">
        <v>574</v>
      </c>
      <c r="F597" s="64" t="s">
        <v>575</v>
      </c>
      <c r="G597" s="64" t="e">
        <f>INDEX(Auxiliar!$B$16:$B$24,MATCH(Plano_V1!H597,Auxiliar!$C$16:$C$24,0),1)</f>
        <v>#N/A</v>
      </c>
      <c r="H597" s="64" t="e">
        <f>VLOOKUP(A597,'Aux - pivots1'!$A:$B,2,0)</f>
        <v>#N/A</v>
      </c>
      <c r="I597" s="84">
        <f>SUMIFS(Table1[Estimação (horas)],Table1[Tabela],Plano_V1!E597,Table1[Campo],Plano_V1!F597)</f>
        <v>0</v>
      </c>
      <c r="J597" s="84">
        <f t="shared" si="41"/>
        <v>0</v>
      </c>
      <c r="K597" s="89" t="s">
        <v>39</v>
      </c>
      <c r="L597" s="90">
        <f t="shared" si="40"/>
        <v>0</v>
      </c>
      <c r="M597" s="78"/>
      <c r="N597" s="78"/>
      <c r="O597" s="78"/>
      <c r="P597" s="78"/>
      <c r="Q597" s="78"/>
      <c r="R597" s="78"/>
      <c r="S597" s="78"/>
      <c r="T597" s="78"/>
      <c r="U597" s="78"/>
      <c r="V597" s="78"/>
      <c r="W597" s="78"/>
      <c r="X597" s="78"/>
      <c r="Y597" s="78"/>
      <c r="Z597" s="78"/>
      <c r="AA597" s="78"/>
      <c r="AB597" s="78"/>
      <c r="AC597" s="78"/>
      <c r="AD597" s="78"/>
      <c r="AE597" s="78"/>
      <c r="AF597" s="78"/>
      <c r="AG597" s="78"/>
      <c r="AH597" s="78"/>
      <c r="AI597" s="78"/>
      <c r="AJ597" s="78"/>
      <c r="AK597" s="78"/>
      <c r="AL597" s="78"/>
      <c r="AM597" s="78"/>
      <c r="AN597" s="78"/>
      <c r="AO597" s="78"/>
      <c r="AP597" s="78"/>
      <c r="AQ597" s="78"/>
      <c r="AR597" s="78"/>
      <c r="AS597" s="78"/>
      <c r="AT597" s="91"/>
      <c r="AU597" s="78"/>
      <c r="AV597" s="78"/>
      <c r="AW597" s="78"/>
      <c r="AX597" s="78"/>
      <c r="AY597" s="78"/>
      <c r="AZ597" s="78"/>
      <c r="BA597" s="78"/>
      <c r="BB597" s="78"/>
      <c r="BC597" s="78"/>
      <c r="BD597" s="78"/>
      <c r="BE597" s="78"/>
      <c r="BF597" s="78"/>
      <c r="BG597" s="78"/>
      <c r="BH597" s="78"/>
      <c r="BI597" s="78"/>
      <c r="BJ597" s="78"/>
      <c r="BK597" s="78"/>
      <c r="BL597" s="78"/>
      <c r="BM597" s="78"/>
      <c r="BN597" s="78"/>
      <c r="BO597" s="78"/>
      <c r="BP597" s="78"/>
      <c r="BQ597" s="78"/>
      <c r="BR597" s="78"/>
      <c r="BS597" s="78"/>
      <c r="BT597" s="78"/>
      <c r="BU597" s="78"/>
      <c r="BV597" s="78"/>
      <c r="BW597" s="78"/>
      <c r="BX597" s="78"/>
      <c r="BY597" s="78"/>
      <c r="BZ597" s="78"/>
      <c r="CA597" s="78"/>
      <c r="CB597" s="78"/>
      <c r="CC597" s="78"/>
      <c r="CD597" s="78"/>
      <c r="CE597" s="78"/>
      <c r="CF597" s="78"/>
      <c r="CG597" s="78"/>
      <c r="CH597" s="78"/>
      <c r="CI597" s="78"/>
      <c r="CJ597" s="78"/>
      <c r="CK597" s="78"/>
      <c r="CL597" s="78"/>
      <c r="CM597" s="78"/>
      <c r="CN597" s="78"/>
      <c r="CO597" s="78"/>
      <c r="CP597" s="78"/>
      <c r="CQ597" s="78"/>
      <c r="CR597" s="78"/>
      <c r="CS597" s="78"/>
      <c r="CT597" s="78"/>
      <c r="CU597" s="78"/>
      <c r="CV597" s="78"/>
      <c r="CW597" s="78"/>
      <c r="CX597" s="78"/>
      <c r="CY597" s="78"/>
      <c r="CZ597" s="78"/>
      <c r="DA597" s="78"/>
      <c r="DB597" s="78"/>
      <c r="DC597" s="78"/>
      <c r="DD597" s="78"/>
      <c r="DE597" s="78"/>
      <c r="DF597" s="78"/>
      <c r="DG597" s="78"/>
      <c r="DH597" s="78"/>
      <c r="DI597" s="78"/>
      <c r="DJ597" s="78"/>
      <c r="DK597" s="78"/>
      <c r="DL597" s="78"/>
      <c r="DM597" s="78"/>
      <c r="DN597" s="78"/>
      <c r="DO597" s="78"/>
      <c r="DP597" s="78"/>
      <c r="DQ597" s="78"/>
      <c r="DR597" s="78"/>
      <c r="DS597" s="78"/>
      <c r="DT597" s="78"/>
      <c r="DU597" s="78"/>
      <c r="DV597" s="78"/>
      <c r="DW597" s="78"/>
      <c r="DX597" s="78"/>
      <c r="DY597" s="78"/>
      <c r="DZ597" s="78"/>
      <c r="EA597" s="78"/>
      <c r="EB597" s="78"/>
      <c r="EC597" s="78"/>
      <c r="ED597" s="78"/>
      <c r="EE597" s="78"/>
      <c r="EF597" s="78"/>
      <c r="EG597" s="78"/>
      <c r="EH597" s="78"/>
      <c r="EI597" s="91"/>
      <c r="EJ597" s="91"/>
      <c r="EK597" s="91"/>
      <c r="EL597" s="91"/>
      <c r="EM597" s="91"/>
      <c r="EN597" s="91"/>
      <c r="EO597" s="91"/>
      <c r="EP597" s="78"/>
      <c r="EQ597" s="78"/>
      <c r="ER597" s="78"/>
      <c r="ES597" s="78"/>
      <c r="ET597" s="78"/>
      <c r="EU597" s="78"/>
      <c r="EV597" s="78"/>
      <c r="EW597" s="78"/>
      <c r="EX597" s="78"/>
      <c r="EY597" s="78"/>
      <c r="EZ597" s="78"/>
      <c r="FA597" s="78"/>
      <c r="FB597" s="78"/>
      <c r="FC597" s="78"/>
      <c r="FD597" s="78"/>
      <c r="FE597" s="78"/>
      <c r="FF597" s="78"/>
      <c r="FG597" s="78"/>
      <c r="FH597" s="78"/>
      <c r="FI597" s="78"/>
      <c r="FJ597" s="78"/>
      <c r="FK597" s="78"/>
    </row>
    <row r="598" spans="1:167" hidden="1" outlineLevel="1">
      <c r="A598" s="29" t="str">
        <f t="shared" si="38"/>
        <v>lt002_insrmntprfrmng_stts</v>
      </c>
      <c r="B598" s="67" t="s">
        <v>31</v>
      </c>
      <c r="C598" s="68" t="s">
        <v>31</v>
      </c>
      <c r="D598" s="64" t="s">
        <v>40</v>
      </c>
      <c r="E598" s="66" t="s">
        <v>574</v>
      </c>
      <c r="F598" s="64" t="s">
        <v>404</v>
      </c>
      <c r="G598" s="64" t="e">
        <f>INDEX(Auxiliar!$B$16:$B$24,MATCH(Plano_V1!H598,Auxiliar!$C$16:$C$24,0),1)</f>
        <v>#N/A</v>
      </c>
      <c r="H598" s="64" t="e">
        <f>VLOOKUP(A598,'Aux - pivots1'!$A:$B,2,0)</f>
        <v>#N/A</v>
      </c>
      <c r="I598" s="84">
        <f>SUMIFS(Table1[Estimação (horas)],Table1[Tabela],Plano_V1!E598,Table1[Campo],Plano_V1!F598)</f>
        <v>0</v>
      </c>
      <c r="J598" s="84">
        <f t="shared" si="41"/>
        <v>0</v>
      </c>
      <c r="K598" s="89" t="s">
        <v>39</v>
      </c>
      <c r="L598" s="90">
        <f t="shared" si="40"/>
        <v>0</v>
      </c>
      <c r="M598" s="78"/>
      <c r="N598" s="78"/>
      <c r="O598" s="78"/>
      <c r="P598" s="78"/>
      <c r="Q598" s="78"/>
      <c r="R598" s="78"/>
      <c r="S598" s="78"/>
      <c r="T598" s="78"/>
      <c r="U598" s="78"/>
      <c r="V598" s="78"/>
      <c r="W598" s="78"/>
      <c r="X598" s="78"/>
      <c r="Y598" s="78"/>
      <c r="Z598" s="78"/>
      <c r="AA598" s="78"/>
      <c r="AB598" s="78"/>
      <c r="AC598" s="78"/>
      <c r="AD598" s="78"/>
      <c r="AE598" s="78"/>
      <c r="AF598" s="78"/>
      <c r="AG598" s="78"/>
      <c r="AH598" s="78"/>
      <c r="AI598" s="78"/>
      <c r="AJ598" s="78"/>
      <c r="AK598" s="78"/>
      <c r="AL598" s="78"/>
      <c r="AM598" s="78"/>
      <c r="AN598" s="78"/>
      <c r="AO598" s="78"/>
      <c r="AP598" s="78"/>
      <c r="AQ598" s="78"/>
      <c r="AR598" s="78"/>
      <c r="AS598" s="78"/>
      <c r="AT598" s="91"/>
      <c r="AU598" s="78"/>
      <c r="AV598" s="78"/>
      <c r="AW598" s="78"/>
      <c r="AX598" s="78"/>
      <c r="AY598" s="78"/>
      <c r="AZ598" s="78"/>
      <c r="BA598" s="78"/>
      <c r="BB598" s="78"/>
      <c r="BC598" s="78"/>
      <c r="BD598" s="78"/>
      <c r="BE598" s="78"/>
      <c r="BF598" s="78"/>
      <c r="BG598" s="78"/>
      <c r="BH598" s="78"/>
      <c r="BI598" s="78"/>
      <c r="BJ598" s="78"/>
      <c r="BK598" s="78"/>
      <c r="BL598" s="78"/>
      <c r="BM598" s="78"/>
      <c r="BN598" s="78"/>
      <c r="BO598" s="78"/>
      <c r="BP598" s="78"/>
      <c r="BQ598" s="78"/>
      <c r="BR598" s="78"/>
      <c r="BS598" s="78"/>
      <c r="BT598" s="78"/>
      <c r="BU598" s="78"/>
      <c r="BV598" s="78"/>
      <c r="BW598" s="78"/>
      <c r="BX598" s="78"/>
      <c r="BY598" s="78"/>
      <c r="BZ598" s="78"/>
      <c r="CA598" s="78"/>
      <c r="CB598" s="78"/>
      <c r="CC598" s="78"/>
      <c r="CD598" s="78"/>
      <c r="CE598" s="78"/>
      <c r="CF598" s="78"/>
      <c r="CG598" s="78"/>
      <c r="CH598" s="78"/>
      <c r="CI598" s="78"/>
      <c r="CJ598" s="78"/>
      <c r="CK598" s="78"/>
      <c r="CL598" s="78"/>
      <c r="CM598" s="78"/>
      <c r="CN598" s="78"/>
      <c r="CO598" s="78"/>
      <c r="CP598" s="78"/>
      <c r="CQ598" s="78"/>
      <c r="CR598" s="78"/>
      <c r="CS598" s="78"/>
      <c r="CT598" s="78"/>
      <c r="CU598" s="78"/>
      <c r="CV598" s="78"/>
      <c r="CW598" s="78"/>
      <c r="CX598" s="78"/>
      <c r="CY598" s="78"/>
      <c r="CZ598" s="78"/>
      <c r="DA598" s="78"/>
      <c r="DB598" s="78"/>
      <c r="DC598" s="78"/>
      <c r="DD598" s="78"/>
      <c r="DE598" s="78"/>
      <c r="DF598" s="78"/>
      <c r="DG598" s="78"/>
      <c r="DH598" s="78"/>
      <c r="DI598" s="78"/>
      <c r="DJ598" s="78"/>
      <c r="DK598" s="78"/>
      <c r="DL598" s="78"/>
      <c r="DM598" s="78"/>
      <c r="DN598" s="78"/>
      <c r="DO598" s="78"/>
      <c r="DP598" s="78"/>
      <c r="DQ598" s="78"/>
      <c r="DR598" s="78"/>
      <c r="DS598" s="78"/>
      <c r="DT598" s="78"/>
      <c r="DU598" s="78"/>
      <c r="DV598" s="78"/>
      <c r="DW598" s="78"/>
      <c r="DX598" s="78"/>
      <c r="DY598" s="78"/>
      <c r="DZ598" s="78"/>
      <c r="EA598" s="78"/>
      <c r="EB598" s="78"/>
      <c r="EC598" s="78"/>
      <c r="ED598" s="78"/>
      <c r="EE598" s="78"/>
      <c r="EF598" s="78"/>
      <c r="EG598" s="78"/>
      <c r="EH598" s="78"/>
      <c r="EI598" s="91"/>
      <c r="EJ598" s="91"/>
      <c r="EK598" s="91"/>
      <c r="EL598" s="91"/>
      <c r="EM598" s="91"/>
      <c r="EN598" s="91"/>
      <c r="EO598" s="91"/>
      <c r="EP598" s="78"/>
      <c r="EQ598" s="78"/>
      <c r="ER598" s="78"/>
      <c r="ES598" s="78"/>
      <c r="ET598" s="78"/>
      <c r="EU598" s="78"/>
      <c r="EV598" s="78"/>
      <c r="EW598" s="78"/>
      <c r="EX598" s="78"/>
      <c r="EY598" s="78"/>
      <c r="EZ598" s="78"/>
      <c r="FA598" s="78"/>
      <c r="FB598" s="78"/>
      <c r="FC598" s="78"/>
      <c r="FD598" s="78"/>
      <c r="FE598" s="78"/>
      <c r="FF598" s="78"/>
      <c r="FG598" s="78"/>
      <c r="FH598" s="78"/>
      <c r="FI598" s="78"/>
      <c r="FJ598" s="78"/>
      <c r="FK598" s="78"/>
    </row>
    <row r="599" spans="1:167" hidden="1" outlineLevel="1">
      <c r="A599" s="29" t="str">
        <f t="shared" ref="A599:A635" si="42">E599&amp;F599</f>
        <v>lt002_insrmntprvsns_off_blnc_sht</v>
      </c>
      <c r="B599" s="67" t="s">
        <v>31</v>
      </c>
      <c r="C599" s="68" t="s">
        <v>31</v>
      </c>
      <c r="D599" s="64" t="s">
        <v>40</v>
      </c>
      <c r="E599" s="66" t="s">
        <v>574</v>
      </c>
      <c r="F599" s="64" t="s">
        <v>576</v>
      </c>
      <c r="G599" s="64" t="e">
        <f>INDEX(Auxiliar!$B$16:$B$24,MATCH(Plano_V1!H599,Auxiliar!$C$16:$C$24,0),1)</f>
        <v>#N/A</v>
      </c>
      <c r="H599" s="64" t="e">
        <f>VLOOKUP(A599,'Aux - pivots1'!$A:$B,2,0)</f>
        <v>#N/A</v>
      </c>
      <c r="I599" s="84">
        <f>SUMIFS(Table1[Estimação (horas)],Table1[Tabela],Plano_V1!E599,Table1[Campo],Plano_V1!F599)</f>
        <v>0</v>
      </c>
      <c r="J599" s="84">
        <f t="shared" si="41"/>
        <v>0</v>
      </c>
      <c r="K599" s="89" t="s">
        <v>39</v>
      </c>
      <c r="L599" s="90">
        <f t="shared" si="40"/>
        <v>0</v>
      </c>
      <c r="M599" s="78"/>
      <c r="N599" s="78"/>
      <c r="O599" s="78"/>
      <c r="P599" s="78"/>
      <c r="Q599" s="78"/>
      <c r="R599" s="78"/>
      <c r="S599" s="78"/>
      <c r="T599" s="78"/>
      <c r="U599" s="78"/>
      <c r="V599" s="78"/>
      <c r="W599" s="78"/>
      <c r="X599" s="78"/>
      <c r="Y599" s="78"/>
      <c r="Z599" s="78"/>
      <c r="AA599" s="78"/>
      <c r="AB599" s="78"/>
      <c r="AC599" s="78"/>
      <c r="AD599" s="78"/>
      <c r="AE599" s="78"/>
      <c r="AF599" s="78"/>
      <c r="AG599" s="78"/>
      <c r="AH599" s="78"/>
      <c r="AI599" s="78"/>
      <c r="AJ599" s="78"/>
      <c r="AK599" s="78"/>
      <c r="AL599" s="78"/>
      <c r="AM599" s="78"/>
      <c r="AN599" s="78"/>
      <c r="AO599" s="78"/>
      <c r="AP599" s="78"/>
      <c r="AQ599" s="78"/>
      <c r="AR599" s="78"/>
      <c r="AS599" s="78"/>
      <c r="AT599" s="91"/>
      <c r="AU599" s="78"/>
      <c r="AV599" s="78"/>
      <c r="AW599" s="78"/>
      <c r="AX599" s="78"/>
      <c r="AY599" s="78"/>
      <c r="AZ599" s="78"/>
      <c r="BA599" s="78"/>
      <c r="BB599" s="78"/>
      <c r="BC599" s="78"/>
      <c r="BD599" s="78"/>
      <c r="BE599" s="78"/>
      <c r="BF599" s="78"/>
      <c r="BG599" s="78"/>
      <c r="BH599" s="78"/>
      <c r="BI599" s="78"/>
      <c r="BJ599" s="78"/>
      <c r="BK599" s="78"/>
      <c r="BL599" s="78"/>
      <c r="BM599" s="78"/>
      <c r="BN599" s="78"/>
      <c r="BO599" s="78"/>
      <c r="BP599" s="78"/>
      <c r="BQ599" s="78"/>
      <c r="BR599" s="78"/>
      <c r="BS599" s="78"/>
      <c r="BT599" s="78"/>
      <c r="BU599" s="78"/>
      <c r="BV599" s="78"/>
      <c r="BW599" s="78"/>
      <c r="BX599" s="78"/>
      <c r="BY599" s="78"/>
      <c r="BZ599" s="78"/>
      <c r="CA599" s="78"/>
      <c r="CB599" s="78"/>
      <c r="CC599" s="78"/>
      <c r="CD599" s="78"/>
      <c r="CE599" s="78"/>
      <c r="CF599" s="78"/>
      <c r="CG599" s="78"/>
      <c r="CH599" s="78"/>
      <c r="CI599" s="78"/>
      <c r="CJ599" s="78"/>
      <c r="CK599" s="78"/>
      <c r="CL599" s="78"/>
      <c r="CM599" s="78"/>
      <c r="CN599" s="78"/>
      <c r="CO599" s="78"/>
      <c r="CP599" s="78"/>
      <c r="CQ599" s="78"/>
      <c r="CR599" s="78"/>
      <c r="CS599" s="78"/>
      <c r="CT599" s="78"/>
      <c r="CU599" s="78"/>
      <c r="CV599" s="78"/>
      <c r="CW599" s="78"/>
      <c r="CX599" s="78"/>
      <c r="CY599" s="78"/>
      <c r="CZ599" s="78"/>
      <c r="DA599" s="78"/>
      <c r="DB599" s="78"/>
      <c r="DC599" s="78"/>
      <c r="DD599" s="78"/>
      <c r="DE599" s="78"/>
      <c r="DF599" s="78"/>
      <c r="DG599" s="78"/>
      <c r="DH599" s="78"/>
      <c r="DI599" s="78"/>
      <c r="DJ599" s="78"/>
      <c r="DK599" s="78"/>
      <c r="DL599" s="78"/>
      <c r="DM599" s="78"/>
      <c r="DN599" s="78"/>
      <c r="DO599" s="78"/>
      <c r="DP599" s="78"/>
      <c r="DQ599" s="78"/>
      <c r="DR599" s="78"/>
      <c r="DS599" s="78"/>
      <c r="DT599" s="78"/>
      <c r="DU599" s="78"/>
      <c r="DV599" s="78"/>
      <c r="DW599" s="78"/>
      <c r="DX599" s="78"/>
      <c r="DY599" s="78"/>
      <c r="DZ599" s="78"/>
      <c r="EA599" s="78"/>
      <c r="EB599" s="78"/>
      <c r="EC599" s="78"/>
      <c r="ED599" s="78"/>
      <c r="EE599" s="78"/>
      <c r="EF599" s="78"/>
      <c r="EG599" s="78"/>
      <c r="EH599" s="78"/>
      <c r="EI599" s="91"/>
      <c r="EJ599" s="91"/>
      <c r="EK599" s="91"/>
      <c r="EL599" s="91"/>
      <c r="EM599" s="91"/>
      <c r="EN599" s="91"/>
      <c r="EO599" s="91"/>
      <c r="EP599" s="78"/>
      <c r="EQ599" s="78"/>
      <c r="ER599" s="78"/>
      <c r="ES599" s="78"/>
      <c r="ET599" s="78"/>
      <c r="EU599" s="78"/>
      <c r="EV599" s="78"/>
      <c r="EW599" s="78"/>
      <c r="EX599" s="78"/>
      <c r="EY599" s="78"/>
      <c r="EZ599" s="78"/>
      <c r="FA599" s="78"/>
      <c r="FB599" s="78"/>
      <c r="FC599" s="78"/>
      <c r="FD599" s="78"/>
      <c r="FE599" s="78"/>
      <c r="FF599" s="78"/>
      <c r="FG599" s="78"/>
      <c r="FH599" s="78"/>
      <c r="FI599" s="78"/>
      <c r="FJ599" s="78"/>
      <c r="FK599" s="78"/>
    </row>
    <row r="600" spans="1:167" hidden="1" outlineLevel="1">
      <c r="A600" s="29" t="str">
        <f t="shared" si="42"/>
        <v>lt002_insrmntsubportfolio_id</v>
      </c>
      <c r="B600" s="67" t="s">
        <v>31</v>
      </c>
      <c r="C600" s="68" t="s">
        <v>31</v>
      </c>
      <c r="D600" s="64" t="s">
        <v>40</v>
      </c>
      <c r="E600" s="66" t="s">
        <v>574</v>
      </c>
      <c r="F600" s="64" t="s">
        <v>415</v>
      </c>
      <c r="G600" s="64" t="e">
        <f>INDEX(Auxiliar!$B$16:$B$24,MATCH(Plano_V1!H600,Auxiliar!$C$16:$C$24,0),1)</f>
        <v>#N/A</v>
      </c>
      <c r="H600" s="64" t="e">
        <f>VLOOKUP(A600,'Aux - pivots1'!$A:$B,2,0)</f>
        <v>#N/A</v>
      </c>
      <c r="I600" s="84">
        <f>SUMIFS(Table1[Estimação (horas)],Table1[Tabela],Plano_V1!E600,Table1[Campo],Plano_V1!F600)</f>
        <v>0</v>
      </c>
      <c r="J600" s="84">
        <f t="shared" si="41"/>
        <v>0</v>
      </c>
      <c r="K600" s="89" t="s">
        <v>39</v>
      </c>
      <c r="L600" s="90">
        <f t="shared" si="40"/>
        <v>0</v>
      </c>
      <c r="M600" s="78"/>
      <c r="N600" s="78"/>
      <c r="O600" s="78"/>
      <c r="P600" s="78"/>
      <c r="Q600" s="78"/>
      <c r="R600" s="78"/>
      <c r="S600" s="78"/>
      <c r="T600" s="78"/>
      <c r="U600" s="78"/>
      <c r="V600" s="78"/>
      <c r="W600" s="78"/>
      <c r="X600" s="78"/>
      <c r="Y600" s="78"/>
      <c r="Z600" s="78"/>
      <c r="AA600" s="78"/>
      <c r="AB600" s="78"/>
      <c r="AC600" s="78"/>
      <c r="AD600" s="78"/>
      <c r="AE600" s="78"/>
      <c r="AF600" s="78"/>
      <c r="AG600" s="78"/>
      <c r="AH600" s="78"/>
      <c r="AI600" s="78"/>
      <c r="AJ600" s="78"/>
      <c r="AK600" s="78"/>
      <c r="AL600" s="78"/>
      <c r="AM600" s="78"/>
      <c r="AN600" s="78"/>
      <c r="AO600" s="78"/>
      <c r="AP600" s="78"/>
      <c r="AQ600" s="78"/>
      <c r="AR600" s="78"/>
      <c r="AS600" s="78"/>
      <c r="AT600" s="91"/>
      <c r="AU600" s="78"/>
      <c r="AV600" s="78"/>
      <c r="AW600" s="78"/>
      <c r="AX600" s="78"/>
      <c r="AY600" s="78"/>
      <c r="AZ600" s="78"/>
      <c r="BA600" s="78"/>
      <c r="BB600" s="78"/>
      <c r="BC600" s="78"/>
      <c r="BD600" s="78"/>
      <c r="BE600" s="78"/>
      <c r="BF600" s="78"/>
      <c r="BG600" s="78"/>
      <c r="BH600" s="78"/>
      <c r="BI600" s="78"/>
      <c r="BJ600" s="78"/>
      <c r="BK600" s="78"/>
      <c r="BL600" s="78"/>
      <c r="BM600" s="78"/>
      <c r="BN600" s="78"/>
      <c r="BO600" s="78"/>
      <c r="BP600" s="78"/>
      <c r="BQ600" s="78"/>
      <c r="BR600" s="78"/>
      <c r="BS600" s="78"/>
      <c r="BT600" s="78"/>
      <c r="BU600" s="78"/>
      <c r="BV600" s="78"/>
      <c r="BW600" s="78"/>
      <c r="BX600" s="78"/>
      <c r="BY600" s="78"/>
      <c r="BZ600" s="78"/>
      <c r="CA600" s="78"/>
      <c r="CB600" s="78"/>
      <c r="CC600" s="78"/>
      <c r="CD600" s="78"/>
      <c r="CE600" s="78"/>
      <c r="CF600" s="78"/>
      <c r="CG600" s="78"/>
      <c r="CH600" s="78"/>
      <c r="CI600" s="78"/>
      <c r="CJ600" s="78"/>
      <c r="CK600" s="78"/>
      <c r="CL600" s="78"/>
      <c r="CM600" s="78"/>
      <c r="CN600" s="78"/>
      <c r="CO600" s="78"/>
      <c r="CP600" s="78"/>
      <c r="CQ600" s="78"/>
      <c r="CR600" s="78"/>
      <c r="CS600" s="78"/>
      <c r="CT600" s="78"/>
      <c r="CU600" s="78"/>
      <c r="CV600" s="78"/>
      <c r="CW600" s="78"/>
      <c r="CX600" s="78"/>
      <c r="CY600" s="78"/>
      <c r="CZ600" s="78"/>
      <c r="DA600" s="78"/>
      <c r="DB600" s="78"/>
      <c r="DC600" s="78"/>
      <c r="DD600" s="78"/>
      <c r="DE600" s="78"/>
      <c r="DF600" s="78"/>
      <c r="DG600" s="78"/>
      <c r="DH600" s="78"/>
      <c r="DI600" s="78"/>
      <c r="DJ600" s="78"/>
      <c r="DK600" s="78"/>
      <c r="DL600" s="78"/>
      <c r="DM600" s="78"/>
      <c r="DN600" s="78"/>
      <c r="DO600" s="78"/>
      <c r="DP600" s="78"/>
      <c r="DQ600" s="78"/>
      <c r="DR600" s="78"/>
      <c r="DS600" s="78"/>
      <c r="DT600" s="78"/>
      <c r="DU600" s="78"/>
      <c r="DV600" s="78"/>
      <c r="DW600" s="78"/>
      <c r="DX600" s="78"/>
      <c r="DY600" s="78"/>
      <c r="DZ600" s="78"/>
      <c r="EA600" s="78"/>
      <c r="EB600" s="78"/>
      <c r="EC600" s="78"/>
      <c r="ED600" s="78"/>
      <c r="EE600" s="78"/>
      <c r="EF600" s="78"/>
      <c r="EG600" s="78"/>
      <c r="EH600" s="78"/>
      <c r="EI600" s="91"/>
      <c r="EJ600" s="91"/>
      <c r="EK600" s="91"/>
      <c r="EL600" s="91"/>
      <c r="EM600" s="91"/>
      <c r="EN600" s="91"/>
      <c r="EO600" s="91"/>
      <c r="EP600" s="78"/>
      <c r="EQ600" s="78"/>
      <c r="ER600" s="78"/>
      <c r="ES600" s="78"/>
      <c r="ET600" s="78"/>
      <c r="EU600" s="78"/>
      <c r="EV600" s="78"/>
      <c r="EW600" s="78"/>
      <c r="EX600" s="78"/>
      <c r="EY600" s="78"/>
      <c r="EZ600" s="78"/>
      <c r="FA600" s="78"/>
      <c r="FB600" s="78"/>
      <c r="FC600" s="78"/>
      <c r="FD600" s="78"/>
      <c r="FE600" s="78"/>
      <c r="FF600" s="78"/>
      <c r="FG600" s="78"/>
      <c r="FH600" s="78"/>
      <c r="FI600" s="78"/>
      <c r="FJ600" s="78"/>
      <c r="FK600" s="78"/>
    </row>
    <row r="601" spans="1:167" hidden="1" outlineLevel="1">
      <c r="A601" s="29" t="str">
        <f t="shared" si="42"/>
        <v>lt002_insrmnttyp_instrmnt</v>
      </c>
      <c r="B601" s="67" t="s">
        <v>31</v>
      </c>
      <c r="C601" s="68" t="s">
        <v>31</v>
      </c>
      <c r="D601" s="64" t="s">
        <v>40</v>
      </c>
      <c r="E601" s="66" t="s">
        <v>574</v>
      </c>
      <c r="F601" s="64" t="s">
        <v>406</v>
      </c>
      <c r="G601" s="64" t="e">
        <f>INDEX(Auxiliar!$B$16:$B$24,MATCH(Plano_V1!H601,Auxiliar!$C$16:$C$24,0),1)</f>
        <v>#N/A</v>
      </c>
      <c r="H601" s="64" t="e">
        <f>VLOOKUP(A601,'Aux - pivots1'!$A:$B,2,0)</f>
        <v>#N/A</v>
      </c>
      <c r="I601" s="84">
        <f>SUMIFS(Table1[Estimação (horas)],Table1[Tabela],Plano_V1!E601,Table1[Campo],Plano_V1!F601)</f>
        <v>0</v>
      </c>
      <c r="J601" s="84">
        <f t="shared" si="41"/>
        <v>0</v>
      </c>
      <c r="K601" s="89" t="s">
        <v>39</v>
      </c>
      <c r="L601" s="90">
        <f t="shared" si="40"/>
        <v>0</v>
      </c>
      <c r="M601" s="78"/>
      <c r="N601" s="78"/>
      <c r="O601" s="78"/>
      <c r="P601" s="78"/>
      <c r="Q601" s="78"/>
      <c r="R601" s="78"/>
      <c r="S601" s="78"/>
      <c r="T601" s="78"/>
      <c r="U601" s="78"/>
      <c r="V601" s="78"/>
      <c r="W601" s="78"/>
      <c r="X601" s="78"/>
      <c r="Y601" s="78"/>
      <c r="Z601" s="78"/>
      <c r="AA601" s="78"/>
      <c r="AB601" s="78"/>
      <c r="AC601" s="78"/>
      <c r="AD601" s="78"/>
      <c r="AE601" s="78"/>
      <c r="AF601" s="78"/>
      <c r="AG601" s="78"/>
      <c r="AH601" s="78"/>
      <c r="AI601" s="78"/>
      <c r="AJ601" s="78"/>
      <c r="AK601" s="78"/>
      <c r="AL601" s="78"/>
      <c r="AM601" s="78"/>
      <c r="AN601" s="78"/>
      <c r="AO601" s="78"/>
      <c r="AP601" s="78"/>
      <c r="AQ601" s="78"/>
      <c r="AR601" s="78"/>
      <c r="AS601" s="78"/>
      <c r="AT601" s="91"/>
      <c r="AU601" s="78"/>
      <c r="AV601" s="78"/>
      <c r="AW601" s="78"/>
      <c r="AX601" s="78"/>
      <c r="AY601" s="78"/>
      <c r="AZ601" s="78"/>
      <c r="BA601" s="78"/>
      <c r="BB601" s="78"/>
      <c r="BC601" s="78"/>
      <c r="BD601" s="78"/>
      <c r="BE601" s="78"/>
      <c r="BF601" s="78"/>
      <c r="BG601" s="78"/>
      <c r="BH601" s="78"/>
      <c r="BI601" s="78"/>
      <c r="BJ601" s="78"/>
      <c r="BK601" s="78"/>
      <c r="BL601" s="78"/>
      <c r="BM601" s="78"/>
      <c r="BN601" s="78"/>
      <c r="BO601" s="78"/>
      <c r="BP601" s="78"/>
      <c r="BQ601" s="78"/>
      <c r="BR601" s="78"/>
      <c r="BS601" s="78"/>
      <c r="BT601" s="78"/>
      <c r="BU601" s="78"/>
      <c r="BV601" s="78"/>
      <c r="BW601" s="78"/>
      <c r="BX601" s="78"/>
      <c r="BY601" s="78"/>
      <c r="BZ601" s="78"/>
      <c r="CA601" s="78"/>
      <c r="CB601" s="78"/>
      <c r="CC601" s="78"/>
      <c r="CD601" s="78"/>
      <c r="CE601" s="78"/>
      <c r="CF601" s="78"/>
      <c r="CG601" s="78"/>
      <c r="CH601" s="78"/>
      <c r="CI601" s="78"/>
      <c r="CJ601" s="78"/>
      <c r="CK601" s="78"/>
      <c r="CL601" s="78"/>
      <c r="CM601" s="78"/>
      <c r="CN601" s="78"/>
      <c r="CO601" s="78"/>
      <c r="CP601" s="78"/>
      <c r="CQ601" s="78"/>
      <c r="CR601" s="78"/>
      <c r="CS601" s="78"/>
      <c r="CT601" s="78"/>
      <c r="CU601" s="78"/>
      <c r="CV601" s="78"/>
      <c r="CW601" s="78"/>
      <c r="CX601" s="78"/>
      <c r="CY601" s="78"/>
      <c r="CZ601" s="78"/>
      <c r="DA601" s="78"/>
      <c r="DB601" s="78"/>
      <c r="DC601" s="78"/>
      <c r="DD601" s="78"/>
      <c r="DE601" s="78"/>
      <c r="DF601" s="78"/>
      <c r="DG601" s="78"/>
      <c r="DH601" s="78"/>
      <c r="DI601" s="78"/>
      <c r="DJ601" s="78"/>
      <c r="DK601" s="78"/>
      <c r="DL601" s="78"/>
      <c r="DM601" s="78"/>
      <c r="DN601" s="78"/>
      <c r="DO601" s="78"/>
      <c r="DP601" s="78"/>
      <c r="DQ601" s="78"/>
      <c r="DR601" s="78"/>
      <c r="DS601" s="78"/>
      <c r="DT601" s="78"/>
      <c r="DU601" s="78"/>
      <c r="DV601" s="78"/>
      <c r="DW601" s="78"/>
      <c r="DX601" s="78"/>
      <c r="DY601" s="78"/>
      <c r="DZ601" s="78"/>
      <c r="EA601" s="78"/>
      <c r="EB601" s="78"/>
      <c r="EC601" s="78"/>
      <c r="ED601" s="78"/>
      <c r="EE601" s="78"/>
      <c r="EF601" s="78"/>
      <c r="EG601" s="78"/>
      <c r="EH601" s="78"/>
      <c r="EI601" s="91"/>
      <c r="EJ601" s="91"/>
      <c r="EK601" s="91"/>
      <c r="EL601" s="91"/>
      <c r="EM601" s="91"/>
      <c r="EN601" s="91"/>
      <c r="EO601" s="91"/>
      <c r="EP601" s="78"/>
      <c r="EQ601" s="78"/>
      <c r="ER601" s="78"/>
      <c r="ES601" s="78"/>
      <c r="ET601" s="78"/>
      <c r="EU601" s="78"/>
      <c r="EV601" s="78"/>
      <c r="EW601" s="78"/>
      <c r="EX601" s="78"/>
      <c r="EY601" s="78"/>
      <c r="EZ601" s="78"/>
      <c r="FA601" s="78"/>
      <c r="FB601" s="78"/>
      <c r="FC601" s="78"/>
      <c r="FD601" s="78"/>
      <c r="FE601" s="78"/>
      <c r="FF601" s="78"/>
      <c r="FG601" s="78"/>
      <c r="FH601" s="78"/>
      <c r="FI601" s="78"/>
      <c r="FJ601" s="78"/>
      <c r="FK601" s="78"/>
    </row>
    <row r="602" spans="1:167" hidden="1" outlineLevel="1">
      <c r="A602" s="29" t="str">
        <f t="shared" si="42"/>
        <v>lt002_insrmntrwa</v>
      </c>
      <c r="B602" s="67" t="s">
        <v>31</v>
      </c>
      <c r="C602" s="68" t="s">
        <v>31</v>
      </c>
      <c r="D602" s="64" t="s">
        <v>40</v>
      </c>
      <c r="E602" s="66" t="s">
        <v>574</v>
      </c>
      <c r="F602" s="64" t="s">
        <v>577</v>
      </c>
      <c r="G602" s="64" t="e">
        <f>INDEX(Auxiliar!$B$16:$B$24,MATCH(Plano_V1!H602,Auxiliar!$C$16:$C$24,0),1)</f>
        <v>#N/A</v>
      </c>
      <c r="H602" s="64" t="e">
        <f>VLOOKUP(A602,'Aux - pivots1'!$A:$B,2,0)</f>
        <v>#N/A</v>
      </c>
      <c r="I602" s="84">
        <f>SUMIFS(Table1[Estimação (horas)],Table1[Tabela],Plano_V1!E602,Table1[Campo],Plano_V1!F602)</f>
        <v>0</v>
      </c>
      <c r="J602" s="84">
        <f t="shared" si="41"/>
        <v>0</v>
      </c>
      <c r="K602" s="89" t="s">
        <v>39</v>
      </c>
      <c r="L602" s="90">
        <f t="shared" si="40"/>
        <v>0</v>
      </c>
      <c r="M602" s="78"/>
      <c r="N602" s="78"/>
      <c r="O602" s="78"/>
      <c r="P602" s="78"/>
      <c r="Q602" s="78"/>
      <c r="R602" s="78"/>
      <c r="S602" s="78"/>
      <c r="T602" s="78"/>
      <c r="U602" s="78"/>
      <c r="V602" s="78"/>
      <c r="W602" s="78"/>
      <c r="X602" s="78"/>
      <c r="Y602" s="78"/>
      <c r="Z602" s="78"/>
      <c r="AA602" s="78"/>
      <c r="AB602" s="78"/>
      <c r="AC602" s="78"/>
      <c r="AD602" s="78"/>
      <c r="AE602" s="78"/>
      <c r="AF602" s="78"/>
      <c r="AG602" s="78"/>
      <c r="AH602" s="78"/>
      <c r="AI602" s="78"/>
      <c r="AJ602" s="78"/>
      <c r="AK602" s="78"/>
      <c r="AL602" s="78"/>
      <c r="AM602" s="78"/>
      <c r="AN602" s="78"/>
      <c r="AO602" s="78"/>
      <c r="AP602" s="78"/>
      <c r="AQ602" s="78"/>
      <c r="AR602" s="78"/>
      <c r="AS602" s="78"/>
      <c r="AT602" s="91"/>
      <c r="AU602" s="78"/>
      <c r="AV602" s="78"/>
      <c r="AW602" s="78"/>
      <c r="AX602" s="78"/>
      <c r="AY602" s="78"/>
      <c r="AZ602" s="78"/>
      <c r="BA602" s="78"/>
      <c r="BB602" s="78"/>
      <c r="BC602" s="78"/>
      <c r="BD602" s="78"/>
      <c r="BE602" s="78"/>
      <c r="BF602" s="78"/>
      <c r="BG602" s="78"/>
      <c r="BH602" s="78"/>
      <c r="BI602" s="78"/>
      <c r="BJ602" s="78"/>
      <c r="BK602" s="78"/>
      <c r="BL602" s="78"/>
      <c r="BM602" s="78"/>
      <c r="BN602" s="78"/>
      <c r="BO602" s="78"/>
      <c r="BP602" s="78"/>
      <c r="BQ602" s="78"/>
      <c r="BR602" s="78"/>
      <c r="BS602" s="78"/>
      <c r="BT602" s="78"/>
      <c r="BU602" s="78"/>
      <c r="BV602" s="78"/>
      <c r="BW602" s="78"/>
      <c r="BX602" s="78"/>
      <c r="BY602" s="78"/>
      <c r="BZ602" s="78"/>
      <c r="CA602" s="78"/>
      <c r="CB602" s="78"/>
      <c r="CC602" s="78"/>
      <c r="CD602" s="78"/>
      <c r="CE602" s="78"/>
      <c r="CF602" s="78"/>
      <c r="CG602" s="78"/>
      <c r="CH602" s="78"/>
      <c r="CI602" s="78"/>
      <c r="CJ602" s="78"/>
      <c r="CK602" s="78"/>
      <c r="CL602" s="78"/>
      <c r="CM602" s="78"/>
      <c r="CN602" s="78"/>
      <c r="CO602" s="78"/>
      <c r="CP602" s="78"/>
      <c r="CQ602" s="78"/>
      <c r="CR602" s="78"/>
      <c r="CS602" s="78"/>
      <c r="CT602" s="78"/>
      <c r="CU602" s="78"/>
      <c r="CV602" s="78"/>
      <c r="CW602" s="78"/>
      <c r="CX602" s="78"/>
      <c r="CY602" s="78"/>
      <c r="CZ602" s="78"/>
      <c r="DA602" s="78"/>
      <c r="DB602" s="78"/>
      <c r="DC602" s="78"/>
      <c r="DD602" s="78"/>
      <c r="DE602" s="78"/>
      <c r="DF602" s="78"/>
      <c r="DG602" s="78"/>
      <c r="DH602" s="78"/>
      <c r="DI602" s="78"/>
      <c r="DJ602" s="78"/>
      <c r="DK602" s="78"/>
      <c r="DL602" s="78"/>
      <c r="DM602" s="78"/>
      <c r="DN602" s="78"/>
      <c r="DO602" s="78"/>
      <c r="DP602" s="78"/>
      <c r="DQ602" s="78"/>
      <c r="DR602" s="78"/>
      <c r="DS602" s="78"/>
      <c r="DT602" s="78"/>
      <c r="DU602" s="78"/>
      <c r="DV602" s="78"/>
      <c r="DW602" s="78"/>
      <c r="DX602" s="78"/>
      <c r="DY602" s="78"/>
      <c r="DZ602" s="78"/>
      <c r="EA602" s="78"/>
      <c r="EB602" s="78"/>
      <c r="EC602" s="78"/>
      <c r="ED602" s="78"/>
      <c r="EE602" s="78"/>
      <c r="EF602" s="78"/>
      <c r="EG602" s="78"/>
      <c r="EH602" s="78"/>
      <c r="EI602" s="91"/>
      <c r="EJ602" s="91"/>
      <c r="EK602" s="91"/>
      <c r="EL602" s="91"/>
      <c r="EM602" s="91"/>
      <c r="EN602" s="91"/>
      <c r="EO602" s="91"/>
      <c r="EP602" s="78"/>
      <c r="EQ602" s="78"/>
      <c r="ER602" s="78"/>
      <c r="ES602" s="78"/>
      <c r="ET602" s="78"/>
      <c r="EU602" s="78"/>
      <c r="EV602" s="78"/>
      <c r="EW602" s="78"/>
      <c r="EX602" s="78"/>
      <c r="EY602" s="78"/>
      <c r="EZ602" s="78"/>
      <c r="FA602" s="78"/>
      <c r="FB602" s="78"/>
      <c r="FC602" s="78"/>
      <c r="FD602" s="78"/>
      <c r="FE602" s="78"/>
      <c r="FF602" s="78"/>
      <c r="FG602" s="78"/>
      <c r="FH602" s="78"/>
      <c r="FI602" s="78"/>
      <c r="FJ602" s="78"/>
      <c r="FK602" s="78"/>
    </row>
    <row r="603" spans="1:167" hidden="1" outlineLevel="1">
      <c r="A603" s="29" t="str">
        <f t="shared" si="42"/>
        <v>lt002_insrmntcod_soc_intrgrp</v>
      </c>
      <c r="B603" s="67" t="s">
        <v>31</v>
      </c>
      <c r="C603" s="68" t="s">
        <v>31</v>
      </c>
      <c r="D603" s="64" t="s">
        <v>40</v>
      </c>
      <c r="E603" s="66" t="s">
        <v>574</v>
      </c>
      <c r="F603" s="64" t="s">
        <v>578</v>
      </c>
      <c r="G603" s="64" t="e">
        <f>INDEX(Auxiliar!$B$16:$B$24,MATCH(Plano_V1!H603,Auxiliar!$C$16:$C$24,0),1)</f>
        <v>#N/A</v>
      </c>
      <c r="H603" s="64" t="e">
        <f>VLOOKUP(A603,'Aux - pivots1'!$A:$B,2,0)</f>
        <v>#N/A</v>
      </c>
      <c r="I603" s="84">
        <f>SUMIFS(Table1[Estimação (horas)],Table1[Tabela],Plano_V1!E603,Table1[Campo],Plano_V1!F603)</f>
        <v>0</v>
      </c>
      <c r="J603" s="84">
        <f t="shared" si="41"/>
        <v>0</v>
      </c>
      <c r="K603" s="89" t="s">
        <v>39</v>
      </c>
      <c r="L603" s="90">
        <f t="shared" si="40"/>
        <v>0</v>
      </c>
      <c r="M603" s="78"/>
      <c r="N603" s="78"/>
      <c r="O603" s="78"/>
      <c r="P603" s="78"/>
      <c r="Q603" s="78"/>
      <c r="R603" s="78"/>
      <c r="S603" s="78"/>
      <c r="T603" s="78"/>
      <c r="U603" s="78"/>
      <c r="V603" s="78"/>
      <c r="W603" s="78"/>
      <c r="X603" s="78"/>
      <c r="Y603" s="78"/>
      <c r="Z603" s="78"/>
      <c r="AA603" s="78"/>
      <c r="AB603" s="78"/>
      <c r="AC603" s="78"/>
      <c r="AD603" s="78"/>
      <c r="AE603" s="78"/>
      <c r="AF603" s="78"/>
      <c r="AG603" s="78"/>
      <c r="AH603" s="78"/>
      <c r="AI603" s="78"/>
      <c r="AJ603" s="78"/>
      <c r="AK603" s="78"/>
      <c r="AL603" s="78"/>
      <c r="AM603" s="78"/>
      <c r="AN603" s="78"/>
      <c r="AO603" s="78"/>
      <c r="AP603" s="78"/>
      <c r="AQ603" s="78"/>
      <c r="AR603" s="78"/>
      <c r="AS603" s="78"/>
      <c r="AT603" s="91"/>
      <c r="AU603" s="78"/>
      <c r="AV603" s="78"/>
      <c r="AW603" s="78"/>
      <c r="AX603" s="78"/>
      <c r="AY603" s="78"/>
      <c r="AZ603" s="78"/>
      <c r="BA603" s="78"/>
      <c r="BB603" s="78"/>
      <c r="BC603" s="78"/>
      <c r="BD603" s="78"/>
      <c r="BE603" s="78"/>
      <c r="BF603" s="78"/>
      <c r="BG603" s="78"/>
      <c r="BH603" s="78"/>
      <c r="BI603" s="78"/>
      <c r="BJ603" s="78"/>
      <c r="BK603" s="78"/>
      <c r="BL603" s="78"/>
      <c r="BM603" s="78"/>
      <c r="BN603" s="78"/>
      <c r="BO603" s="78"/>
      <c r="BP603" s="78"/>
      <c r="BQ603" s="78"/>
      <c r="BR603" s="78"/>
      <c r="BS603" s="78"/>
      <c r="BT603" s="78"/>
      <c r="BU603" s="78"/>
      <c r="BV603" s="78"/>
      <c r="BW603" s="78"/>
      <c r="BX603" s="78"/>
      <c r="BY603" s="78"/>
      <c r="BZ603" s="78"/>
      <c r="CA603" s="78"/>
      <c r="CB603" s="78"/>
      <c r="CC603" s="78"/>
      <c r="CD603" s="78"/>
      <c r="CE603" s="78"/>
      <c r="CF603" s="78"/>
      <c r="CG603" s="78"/>
      <c r="CH603" s="78"/>
      <c r="CI603" s="78"/>
      <c r="CJ603" s="78"/>
      <c r="CK603" s="78"/>
      <c r="CL603" s="78"/>
      <c r="CM603" s="78"/>
      <c r="CN603" s="78"/>
      <c r="CO603" s="78"/>
      <c r="CP603" s="78"/>
      <c r="CQ603" s="78"/>
      <c r="CR603" s="78"/>
      <c r="CS603" s="78"/>
      <c r="CT603" s="78"/>
      <c r="CU603" s="78"/>
      <c r="CV603" s="78"/>
      <c r="CW603" s="78"/>
      <c r="CX603" s="78"/>
      <c r="CY603" s="78"/>
      <c r="CZ603" s="78"/>
      <c r="DA603" s="78"/>
      <c r="DB603" s="78"/>
      <c r="DC603" s="78"/>
      <c r="DD603" s="78"/>
      <c r="DE603" s="78"/>
      <c r="DF603" s="78"/>
      <c r="DG603" s="78"/>
      <c r="DH603" s="78"/>
      <c r="DI603" s="78"/>
      <c r="DJ603" s="78"/>
      <c r="DK603" s="78"/>
      <c r="DL603" s="78"/>
      <c r="DM603" s="78"/>
      <c r="DN603" s="78"/>
      <c r="DO603" s="78"/>
      <c r="DP603" s="78"/>
      <c r="DQ603" s="78"/>
      <c r="DR603" s="78"/>
      <c r="DS603" s="78"/>
      <c r="DT603" s="78"/>
      <c r="DU603" s="78"/>
      <c r="DV603" s="78"/>
      <c r="DW603" s="78"/>
      <c r="DX603" s="78"/>
      <c r="DY603" s="78"/>
      <c r="DZ603" s="78"/>
      <c r="EA603" s="78"/>
      <c r="EB603" s="78"/>
      <c r="EC603" s="78"/>
      <c r="ED603" s="78"/>
      <c r="EE603" s="78"/>
      <c r="EF603" s="78"/>
      <c r="EG603" s="78"/>
      <c r="EH603" s="78"/>
      <c r="EI603" s="91"/>
      <c r="EJ603" s="91"/>
      <c r="EK603" s="91"/>
      <c r="EL603" s="91"/>
      <c r="EM603" s="91"/>
      <c r="EN603" s="91"/>
      <c r="EO603" s="91"/>
      <c r="EP603" s="78"/>
      <c r="EQ603" s="78"/>
      <c r="ER603" s="78"/>
      <c r="ES603" s="78"/>
      <c r="ET603" s="78"/>
      <c r="EU603" s="78"/>
      <c r="EV603" s="78"/>
      <c r="EW603" s="78"/>
      <c r="EX603" s="78"/>
      <c r="EY603" s="78"/>
      <c r="EZ603" s="78"/>
      <c r="FA603" s="78"/>
      <c r="FB603" s="78"/>
      <c r="FC603" s="78"/>
      <c r="FD603" s="78"/>
      <c r="FE603" s="78"/>
      <c r="FF603" s="78"/>
      <c r="FG603" s="78"/>
      <c r="FH603" s="78"/>
      <c r="FI603" s="78"/>
      <c r="FJ603" s="78"/>
      <c r="FK603" s="78"/>
    </row>
    <row r="604" spans="1:167" hidden="1" outlineLevel="1">
      <c r="A604" s="29" t="str">
        <f t="shared" si="42"/>
        <v>lt002_insrmntbsnss_area_dstntn</v>
      </c>
      <c r="B604" s="67" t="s">
        <v>31</v>
      </c>
      <c r="C604" s="68" t="s">
        <v>31</v>
      </c>
      <c r="D604" s="64" t="s">
        <v>40</v>
      </c>
      <c r="E604" s="66" t="s">
        <v>574</v>
      </c>
      <c r="F604" s="64" t="s">
        <v>579</v>
      </c>
      <c r="G604" s="64" t="e">
        <f>INDEX(Auxiliar!$B$16:$B$24,MATCH(Plano_V1!H604,Auxiliar!$C$16:$C$24,0),1)</f>
        <v>#N/A</v>
      </c>
      <c r="H604" s="64" t="e">
        <f>VLOOKUP(A604,'Aux - pivots1'!$A:$B,2,0)</f>
        <v>#N/A</v>
      </c>
      <c r="I604" s="84">
        <f>SUMIFS(Table1[Estimação (horas)],Table1[Tabela],Plano_V1!E604,Table1[Campo],Plano_V1!F604)</f>
        <v>0</v>
      </c>
      <c r="J604" s="84">
        <f t="shared" si="41"/>
        <v>0</v>
      </c>
      <c r="K604" s="89" t="s">
        <v>39</v>
      </c>
      <c r="L604" s="90">
        <f t="shared" si="40"/>
        <v>0</v>
      </c>
      <c r="M604" s="78"/>
      <c r="N604" s="78"/>
      <c r="O604" s="78"/>
      <c r="P604" s="78"/>
      <c r="Q604" s="78"/>
      <c r="R604" s="78"/>
      <c r="S604" s="78"/>
      <c r="T604" s="78"/>
      <c r="U604" s="78"/>
      <c r="V604" s="78"/>
      <c r="W604" s="78"/>
      <c r="X604" s="78"/>
      <c r="Y604" s="78"/>
      <c r="Z604" s="78"/>
      <c r="AA604" s="78"/>
      <c r="AB604" s="78"/>
      <c r="AC604" s="78"/>
      <c r="AD604" s="78"/>
      <c r="AE604" s="78"/>
      <c r="AF604" s="78"/>
      <c r="AG604" s="78"/>
      <c r="AH604" s="78"/>
      <c r="AI604" s="78"/>
      <c r="AJ604" s="78"/>
      <c r="AK604" s="78"/>
      <c r="AL604" s="78"/>
      <c r="AM604" s="78"/>
      <c r="AN604" s="78"/>
      <c r="AO604" s="78"/>
      <c r="AP604" s="78"/>
      <c r="AQ604" s="78"/>
      <c r="AR604" s="78"/>
      <c r="AS604" s="78"/>
      <c r="AT604" s="91"/>
      <c r="AU604" s="78"/>
      <c r="AV604" s="78"/>
      <c r="AW604" s="78"/>
      <c r="AX604" s="78"/>
      <c r="AY604" s="78"/>
      <c r="AZ604" s="78"/>
      <c r="BA604" s="78"/>
      <c r="BB604" s="78"/>
      <c r="BC604" s="78"/>
      <c r="BD604" s="78"/>
      <c r="BE604" s="78"/>
      <c r="BF604" s="78"/>
      <c r="BG604" s="78"/>
      <c r="BH604" s="78"/>
      <c r="BI604" s="78"/>
      <c r="BJ604" s="78"/>
      <c r="BK604" s="78"/>
      <c r="BL604" s="78"/>
      <c r="BM604" s="78"/>
      <c r="BN604" s="78"/>
      <c r="BO604" s="78"/>
      <c r="BP604" s="78"/>
      <c r="BQ604" s="78"/>
      <c r="BR604" s="78"/>
      <c r="BS604" s="78"/>
      <c r="BT604" s="78"/>
      <c r="BU604" s="78"/>
      <c r="BV604" s="78"/>
      <c r="BW604" s="78"/>
      <c r="BX604" s="78"/>
      <c r="BY604" s="78"/>
      <c r="BZ604" s="78"/>
      <c r="CA604" s="78"/>
      <c r="CB604" s="78"/>
      <c r="CC604" s="78"/>
      <c r="CD604" s="78"/>
      <c r="CE604" s="78"/>
      <c r="CF604" s="78"/>
      <c r="CG604" s="78"/>
      <c r="CH604" s="78"/>
      <c r="CI604" s="78"/>
      <c r="CJ604" s="78"/>
      <c r="CK604" s="78"/>
      <c r="CL604" s="78"/>
      <c r="CM604" s="78"/>
      <c r="CN604" s="78"/>
      <c r="CO604" s="78"/>
      <c r="CP604" s="78"/>
      <c r="CQ604" s="78"/>
      <c r="CR604" s="78"/>
      <c r="CS604" s="78"/>
      <c r="CT604" s="78"/>
      <c r="CU604" s="78"/>
      <c r="CV604" s="78"/>
      <c r="CW604" s="78"/>
      <c r="CX604" s="78"/>
      <c r="CY604" s="78"/>
      <c r="CZ604" s="78"/>
      <c r="DA604" s="78"/>
      <c r="DB604" s="78"/>
      <c r="DC604" s="78"/>
      <c r="DD604" s="78"/>
      <c r="DE604" s="78"/>
      <c r="DF604" s="78"/>
      <c r="DG604" s="78"/>
      <c r="DH604" s="78"/>
      <c r="DI604" s="78"/>
      <c r="DJ604" s="78"/>
      <c r="DK604" s="78"/>
      <c r="DL604" s="78"/>
      <c r="DM604" s="78"/>
      <c r="DN604" s="78"/>
      <c r="DO604" s="78"/>
      <c r="DP604" s="78"/>
      <c r="DQ604" s="78"/>
      <c r="DR604" s="78"/>
      <c r="DS604" s="78"/>
      <c r="DT604" s="78"/>
      <c r="DU604" s="78"/>
      <c r="DV604" s="78"/>
      <c r="DW604" s="78"/>
      <c r="DX604" s="78"/>
      <c r="DY604" s="78"/>
      <c r="DZ604" s="78"/>
      <c r="EA604" s="78"/>
      <c r="EB604" s="78"/>
      <c r="EC604" s="78"/>
      <c r="ED604" s="78"/>
      <c r="EE604" s="78"/>
      <c r="EF604" s="78"/>
      <c r="EG604" s="78"/>
      <c r="EH604" s="78"/>
      <c r="EI604" s="91"/>
      <c r="EJ604" s="91"/>
      <c r="EK604" s="91"/>
      <c r="EL604" s="91"/>
      <c r="EM604" s="91"/>
      <c r="EN604" s="91"/>
      <c r="EO604" s="91"/>
      <c r="EP604" s="78"/>
      <c r="EQ604" s="78"/>
      <c r="ER604" s="78"/>
      <c r="ES604" s="78"/>
      <c r="ET604" s="78"/>
      <c r="EU604" s="78"/>
      <c r="EV604" s="78"/>
      <c r="EW604" s="78"/>
      <c r="EX604" s="78"/>
      <c r="EY604" s="78"/>
      <c r="EZ604" s="78"/>
      <c r="FA604" s="78"/>
      <c r="FB604" s="78"/>
      <c r="FC604" s="78"/>
      <c r="FD604" s="78"/>
      <c r="FE604" s="78"/>
      <c r="FF604" s="78"/>
      <c r="FG604" s="78"/>
      <c r="FH604" s="78"/>
      <c r="FI604" s="78"/>
      <c r="FJ604" s="78"/>
      <c r="FK604" s="78"/>
    </row>
    <row r="605" spans="1:167" hidden="1" outlineLevel="1">
      <c r="A605" s="29" t="str">
        <f t="shared" si="42"/>
        <v>lt002_insrmntflg_intrbsnss</v>
      </c>
      <c r="B605" s="67" t="s">
        <v>31</v>
      </c>
      <c r="C605" s="68" t="s">
        <v>31</v>
      </c>
      <c r="D605" s="64" t="s">
        <v>40</v>
      </c>
      <c r="E605" s="66" t="s">
        <v>574</v>
      </c>
      <c r="F605" s="64" t="s">
        <v>580</v>
      </c>
      <c r="G605" s="64" t="e">
        <f>INDEX(Auxiliar!$B$16:$B$24,MATCH(Plano_V1!H605,Auxiliar!$C$16:$C$24,0),1)</f>
        <v>#N/A</v>
      </c>
      <c r="H605" s="64" t="e">
        <f>VLOOKUP(A605,'Aux - pivots1'!$A:$B,2,0)</f>
        <v>#N/A</v>
      </c>
      <c r="I605" s="84">
        <f>SUMIFS(Table1[Estimação (horas)],Table1[Tabela],Plano_V1!E605,Table1[Campo],Plano_V1!F605)</f>
        <v>0</v>
      </c>
      <c r="J605" s="84">
        <f t="shared" si="41"/>
        <v>0</v>
      </c>
      <c r="K605" s="89" t="s">
        <v>39</v>
      </c>
      <c r="L605" s="90">
        <f t="shared" si="40"/>
        <v>0</v>
      </c>
      <c r="M605" s="78"/>
      <c r="N605" s="78"/>
      <c r="O605" s="78"/>
      <c r="P605" s="78"/>
      <c r="Q605" s="78"/>
      <c r="R605" s="78"/>
      <c r="S605" s="78"/>
      <c r="T605" s="78"/>
      <c r="U605" s="78"/>
      <c r="V605" s="78"/>
      <c r="W605" s="78"/>
      <c r="X605" s="78"/>
      <c r="Y605" s="78"/>
      <c r="Z605" s="78"/>
      <c r="AA605" s="78"/>
      <c r="AB605" s="78"/>
      <c r="AC605" s="78"/>
      <c r="AD605" s="78"/>
      <c r="AE605" s="78"/>
      <c r="AF605" s="78"/>
      <c r="AG605" s="78"/>
      <c r="AH605" s="78"/>
      <c r="AI605" s="78"/>
      <c r="AJ605" s="78"/>
      <c r="AK605" s="78"/>
      <c r="AL605" s="78"/>
      <c r="AM605" s="78"/>
      <c r="AN605" s="78"/>
      <c r="AO605" s="78"/>
      <c r="AP605" s="78"/>
      <c r="AQ605" s="78"/>
      <c r="AR605" s="78"/>
      <c r="AS605" s="78"/>
      <c r="AT605" s="91"/>
      <c r="AU605" s="78"/>
      <c r="AV605" s="78"/>
      <c r="AW605" s="78"/>
      <c r="AX605" s="78"/>
      <c r="AY605" s="78"/>
      <c r="AZ605" s="78"/>
      <c r="BA605" s="78"/>
      <c r="BB605" s="78"/>
      <c r="BC605" s="78"/>
      <c r="BD605" s="78"/>
      <c r="BE605" s="78"/>
      <c r="BF605" s="78"/>
      <c r="BG605" s="78"/>
      <c r="BH605" s="78"/>
      <c r="BI605" s="78"/>
      <c r="BJ605" s="78"/>
      <c r="BK605" s="78"/>
      <c r="BL605" s="78"/>
      <c r="BM605" s="78"/>
      <c r="BN605" s="78"/>
      <c r="BO605" s="78"/>
      <c r="BP605" s="78"/>
      <c r="BQ605" s="78"/>
      <c r="BR605" s="78"/>
      <c r="BS605" s="78"/>
      <c r="BT605" s="78"/>
      <c r="BU605" s="78"/>
      <c r="BV605" s="78"/>
      <c r="BW605" s="78"/>
      <c r="BX605" s="78"/>
      <c r="BY605" s="78"/>
      <c r="BZ605" s="78"/>
      <c r="CA605" s="78"/>
      <c r="CB605" s="78"/>
      <c r="CC605" s="78"/>
      <c r="CD605" s="78"/>
      <c r="CE605" s="78"/>
      <c r="CF605" s="78"/>
      <c r="CG605" s="78"/>
      <c r="CH605" s="78"/>
      <c r="CI605" s="78"/>
      <c r="CJ605" s="78"/>
      <c r="CK605" s="78"/>
      <c r="CL605" s="78"/>
      <c r="CM605" s="78"/>
      <c r="CN605" s="78"/>
      <c r="CO605" s="78"/>
      <c r="CP605" s="78"/>
      <c r="CQ605" s="78"/>
      <c r="CR605" s="78"/>
      <c r="CS605" s="78"/>
      <c r="CT605" s="78"/>
      <c r="CU605" s="78"/>
      <c r="CV605" s="78"/>
      <c r="CW605" s="78"/>
      <c r="CX605" s="78"/>
      <c r="CY605" s="78"/>
      <c r="CZ605" s="78"/>
      <c r="DA605" s="78"/>
      <c r="DB605" s="78"/>
      <c r="DC605" s="78"/>
      <c r="DD605" s="78"/>
      <c r="DE605" s="78"/>
      <c r="DF605" s="78"/>
      <c r="DG605" s="78"/>
      <c r="DH605" s="78"/>
      <c r="DI605" s="78"/>
      <c r="DJ605" s="78"/>
      <c r="DK605" s="78"/>
      <c r="DL605" s="78"/>
      <c r="DM605" s="78"/>
      <c r="DN605" s="78"/>
      <c r="DO605" s="78"/>
      <c r="DP605" s="78"/>
      <c r="DQ605" s="78"/>
      <c r="DR605" s="78"/>
      <c r="DS605" s="78"/>
      <c r="DT605" s="78"/>
      <c r="DU605" s="78"/>
      <c r="DV605" s="78"/>
      <c r="DW605" s="78"/>
      <c r="DX605" s="78"/>
      <c r="DY605" s="78"/>
      <c r="DZ605" s="78"/>
      <c r="EA605" s="78"/>
      <c r="EB605" s="78"/>
      <c r="EC605" s="78"/>
      <c r="ED605" s="78"/>
      <c r="EE605" s="78"/>
      <c r="EF605" s="78"/>
      <c r="EG605" s="78"/>
      <c r="EH605" s="78"/>
      <c r="EI605" s="91"/>
      <c r="EJ605" s="91"/>
      <c r="EK605" s="91"/>
      <c r="EL605" s="91"/>
      <c r="EM605" s="91"/>
      <c r="EN605" s="91"/>
      <c r="EO605" s="91"/>
      <c r="EP605" s="78"/>
      <c r="EQ605" s="78"/>
      <c r="ER605" s="78"/>
      <c r="ES605" s="78"/>
      <c r="ET605" s="78"/>
      <c r="EU605" s="78"/>
      <c r="EV605" s="78"/>
      <c r="EW605" s="78"/>
      <c r="EX605" s="78"/>
      <c r="EY605" s="78"/>
      <c r="EZ605" s="78"/>
      <c r="FA605" s="78"/>
      <c r="FB605" s="78"/>
      <c r="FC605" s="78"/>
      <c r="FD605" s="78"/>
      <c r="FE605" s="78"/>
      <c r="FF605" s="78"/>
      <c r="FG605" s="78"/>
      <c r="FH605" s="78"/>
      <c r="FI605" s="78"/>
      <c r="FJ605" s="78"/>
      <c r="FK605" s="78"/>
    </row>
    <row r="606" spans="1:167" hidden="1" outlineLevel="1">
      <c r="A606" s="29" t="str">
        <f t="shared" si="42"/>
        <v>lt002_insrmntintrbsnss_adj_cod</v>
      </c>
      <c r="B606" s="67" t="s">
        <v>31</v>
      </c>
      <c r="C606" s="68" t="s">
        <v>31</v>
      </c>
      <c r="D606" s="64" t="s">
        <v>40</v>
      </c>
      <c r="E606" s="66" t="s">
        <v>574</v>
      </c>
      <c r="F606" s="64" t="s">
        <v>581</v>
      </c>
      <c r="G606" s="64" t="e">
        <f>INDEX(Auxiliar!$B$16:$B$24,MATCH(Plano_V1!H606,Auxiliar!$C$16:$C$24,0),1)</f>
        <v>#N/A</v>
      </c>
      <c r="H606" s="64" t="e">
        <f>VLOOKUP(A606,'Aux - pivots1'!$A:$B,2,0)</f>
        <v>#N/A</v>
      </c>
      <c r="I606" s="84">
        <f>SUMIFS(Table1[Estimação (horas)],Table1[Tabela],Plano_V1!E606,Table1[Campo],Plano_V1!F606)</f>
        <v>0</v>
      </c>
      <c r="J606" s="84">
        <f t="shared" si="41"/>
        <v>0</v>
      </c>
      <c r="K606" s="89" t="s">
        <v>39</v>
      </c>
      <c r="L606" s="90">
        <f t="shared" si="40"/>
        <v>0</v>
      </c>
      <c r="M606" s="78"/>
      <c r="N606" s="78"/>
      <c r="O606" s="78"/>
      <c r="P606" s="78"/>
      <c r="Q606" s="78"/>
      <c r="R606" s="78"/>
      <c r="S606" s="78"/>
      <c r="T606" s="78"/>
      <c r="U606" s="78"/>
      <c r="V606" s="78"/>
      <c r="W606" s="78"/>
      <c r="X606" s="78"/>
      <c r="Y606" s="78"/>
      <c r="Z606" s="78"/>
      <c r="AA606" s="78"/>
      <c r="AB606" s="78"/>
      <c r="AC606" s="78"/>
      <c r="AD606" s="78"/>
      <c r="AE606" s="78"/>
      <c r="AF606" s="78"/>
      <c r="AG606" s="78"/>
      <c r="AH606" s="78"/>
      <c r="AI606" s="78"/>
      <c r="AJ606" s="78"/>
      <c r="AK606" s="78"/>
      <c r="AL606" s="78"/>
      <c r="AM606" s="78"/>
      <c r="AN606" s="78"/>
      <c r="AO606" s="78"/>
      <c r="AP606" s="78"/>
      <c r="AQ606" s="78"/>
      <c r="AR606" s="78"/>
      <c r="AS606" s="78"/>
      <c r="AT606" s="91"/>
      <c r="AU606" s="78"/>
      <c r="AV606" s="78"/>
      <c r="AW606" s="78"/>
      <c r="AX606" s="78"/>
      <c r="AY606" s="78"/>
      <c r="AZ606" s="78"/>
      <c r="BA606" s="78"/>
      <c r="BB606" s="78"/>
      <c r="BC606" s="78"/>
      <c r="BD606" s="78"/>
      <c r="BE606" s="78"/>
      <c r="BF606" s="78"/>
      <c r="BG606" s="78"/>
      <c r="BH606" s="78"/>
      <c r="BI606" s="78"/>
      <c r="BJ606" s="78"/>
      <c r="BK606" s="78"/>
      <c r="BL606" s="78"/>
      <c r="BM606" s="78"/>
      <c r="BN606" s="78"/>
      <c r="BO606" s="78"/>
      <c r="BP606" s="78"/>
      <c r="BQ606" s="78"/>
      <c r="BR606" s="78"/>
      <c r="BS606" s="78"/>
      <c r="BT606" s="78"/>
      <c r="BU606" s="78"/>
      <c r="BV606" s="78"/>
      <c r="BW606" s="78"/>
      <c r="BX606" s="78"/>
      <c r="BY606" s="78"/>
      <c r="BZ606" s="78"/>
      <c r="CA606" s="78"/>
      <c r="CB606" s="78"/>
      <c r="CC606" s="78"/>
      <c r="CD606" s="78"/>
      <c r="CE606" s="78"/>
      <c r="CF606" s="78"/>
      <c r="CG606" s="78"/>
      <c r="CH606" s="78"/>
      <c r="CI606" s="78"/>
      <c r="CJ606" s="78"/>
      <c r="CK606" s="78"/>
      <c r="CL606" s="78"/>
      <c r="CM606" s="78"/>
      <c r="CN606" s="78"/>
      <c r="CO606" s="78"/>
      <c r="CP606" s="78"/>
      <c r="CQ606" s="78"/>
      <c r="CR606" s="78"/>
      <c r="CS606" s="78"/>
      <c r="CT606" s="78"/>
      <c r="CU606" s="78"/>
      <c r="CV606" s="78"/>
      <c r="CW606" s="78"/>
      <c r="CX606" s="78"/>
      <c r="CY606" s="78"/>
      <c r="CZ606" s="78"/>
      <c r="DA606" s="78"/>
      <c r="DB606" s="78"/>
      <c r="DC606" s="78"/>
      <c r="DD606" s="78"/>
      <c r="DE606" s="78"/>
      <c r="DF606" s="78"/>
      <c r="DG606" s="78"/>
      <c r="DH606" s="78"/>
      <c r="DI606" s="78"/>
      <c r="DJ606" s="78"/>
      <c r="DK606" s="78"/>
      <c r="DL606" s="78"/>
      <c r="DM606" s="78"/>
      <c r="DN606" s="78"/>
      <c r="DO606" s="78"/>
      <c r="DP606" s="78"/>
      <c r="DQ606" s="78"/>
      <c r="DR606" s="78"/>
      <c r="DS606" s="78"/>
      <c r="DT606" s="78"/>
      <c r="DU606" s="78"/>
      <c r="DV606" s="78"/>
      <c r="DW606" s="78"/>
      <c r="DX606" s="78"/>
      <c r="DY606" s="78"/>
      <c r="DZ606" s="78"/>
      <c r="EA606" s="78"/>
      <c r="EB606" s="78"/>
      <c r="EC606" s="78"/>
      <c r="ED606" s="78"/>
      <c r="EE606" s="78"/>
      <c r="EF606" s="78"/>
      <c r="EG606" s="78"/>
      <c r="EH606" s="78"/>
      <c r="EI606" s="91"/>
      <c r="EJ606" s="91"/>
      <c r="EK606" s="91"/>
      <c r="EL606" s="91"/>
      <c r="EM606" s="91"/>
      <c r="EN606" s="91"/>
      <c r="EO606" s="91"/>
      <c r="EP606" s="78"/>
      <c r="EQ606" s="78"/>
      <c r="ER606" s="78"/>
      <c r="ES606" s="78"/>
      <c r="ET606" s="78"/>
      <c r="EU606" s="78"/>
      <c r="EV606" s="78"/>
      <c r="EW606" s="78"/>
      <c r="EX606" s="78"/>
      <c r="EY606" s="78"/>
      <c r="EZ606" s="78"/>
      <c r="FA606" s="78"/>
      <c r="FB606" s="78"/>
      <c r="FC606" s="78"/>
      <c r="FD606" s="78"/>
      <c r="FE606" s="78"/>
      <c r="FF606" s="78"/>
      <c r="FG606" s="78"/>
      <c r="FH606" s="78"/>
      <c r="FI606" s="78"/>
      <c r="FJ606" s="78"/>
      <c r="FK606" s="78"/>
    </row>
    <row r="607" spans="1:167" hidden="1" outlineLevel="1">
      <c r="A607" s="29" t="str">
        <f t="shared" si="42"/>
        <v>lt002_insrmntcod_soc_dstntn</v>
      </c>
      <c r="B607" s="67" t="s">
        <v>31</v>
      </c>
      <c r="C607" s="68" t="s">
        <v>31</v>
      </c>
      <c r="D607" s="64" t="s">
        <v>40</v>
      </c>
      <c r="E607" s="66" t="s">
        <v>574</v>
      </c>
      <c r="F607" s="64" t="s">
        <v>582</v>
      </c>
      <c r="G607" s="64" t="e">
        <f>INDEX(Auxiliar!$B$16:$B$24,MATCH(Plano_V1!H607,Auxiliar!$C$16:$C$24,0),1)</f>
        <v>#N/A</v>
      </c>
      <c r="H607" s="64" t="e">
        <f>VLOOKUP(A607,'Aux - pivots1'!$A:$B,2,0)</f>
        <v>#N/A</v>
      </c>
      <c r="I607" s="84">
        <f>SUMIFS(Table1[Estimação (horas)],Table1[Tabela],Plano_V1!E607,Table1[Campo],Plano_V1!F607)</f>
        <v>0</v>
      </c>
      <c r="J607" s="84">
        <f t="shared" si="41"/>
        <v>0</v>
      </c>
      <c r="K607" s="89" t="s">
        <v>39</v>
      </c>
      <c r="L607" s="90">
        <f t="shared" si="40"/>
        <v>0</v>
      </c>
      <c r="M607" s="78"/>
      <c r="N607" s="78"/>
      <c r="O607" s="78"/>
      <c r="P607" s="78"/>
      <c r="Q607" s="78"/>
      <c r="R607" s="78"/>
      <c r="S607" s="78"/>
      <c r="T607" s="78"/>
      <c r="U607" s="78"/>
      <c r="V607" s="78"/>
      <c r="W607" s="78"/>
      <c r="X607" s="78"/>
      <c r="Y607" s="78"/>
      <c r="Z607" s="78"/>
      <c r="AA607" s="78"/>
      <c r="AB607" s="78"/>
      <c r="AC607" s="78"/>
      <c r="AD607" s="78"/>
      <c r="AE607" s="78"/>
      <c r="AF607" s="78"/>
      <c r="AG607" s="78"/>
      <c r="AH607" s="78"/>
      <c r="AI607" s="78"/>
      <c r="AJ607" s="78"/>
      <c r="AK607" s="78"/>
      <c r="AL607" s="78"/>
      <c r="AM607" s="78"/>
      <c r="AN607" s="78"/>
      <c r="AO607" s="78"/>
      <c r="AP607" s="78"/>
      <c r="AQ607" s="78"/>
      <c r="AR607" s="78"/>
      <c r="AS607" s="78"/>
      <c r="AT607" s="91"/>
      <c r="AU607" s="78"/>
      <c r="AV607" s="78"/>
      <c r="AW607" s="78"/>
      <c r="AX607" s="78"/>
      <c r="AY607" s="78"/>
      <c r="AZ607" s="78"/>
      <c r="BA607" s="78"/>
      <c r="BB607" s="78"/>
      <c r="BC607" s="78"/>
      <c r="BD607" s="78"/>
      <c r="BE607" s="78"/>
      <c r="BF607" s="78"/>
      <c r="BG607" s="78"/>
      <c r="BH607" s="78"/>
      <c r="BI607" s="78"/>
      <c r="BJ607" s="78"/>
      <c r="BK607" s="78"/>
      <c r="BL607" s="78"/>
      <c r="BM607" s="78"/>
      <c r="BN607" s="78"/>
      <c r="BO607" s="78"/>
      <c r="BP607" s="78"/>
      <c r="BQ607" s="78"/>
      <c r="BR607" s="78"/>
      <c r="BS607" s="78"/>
      <c r="BT607" s="78"/>
      <c r="BU607" s="78"/>
      <c r="BV607" s="78"/>
      <c r="BW607" s="78"/>
      <c r="BX607" s="78"/>
      <c r="BY607" s="78"/>
      <c r="BZ607" s="78"/>
      <c r="CA607" s="78"/>
      <c r="CB607" s="78"/>
      <c r="CC607" s="78"/>
      <c r="CD607" s="78"/>
      <c r="CE607" s="78"/>
      <c r="CF607" s="78"/>
      <c r="CG607" s="78"/>
      <c r="CH607" s="78"/>
      <c r="CI607" s="78"/>
      <c r="CJ607" s="78"/>
      <c r="CK607" s="78"/>
      <c r="CL607" s="78"/>
      <c r="CM607" s="78"/>
      <c r="CN607" s="78"/>
      <c r="CO607" s="78"/>
      <c r="CP607" s="78"/>
      <c r="CQ607" s="78"/>
      <c r="CR607" s="78"/>
      <c r="CS607" s="78"/>
      <c r="CT607" s="78"/>
      <c r="CU607" s="78"/>
      <c r="CV607" s="78"/>
      <c r="CW607" s="78"/>
      <c r="CX607" s="78"/>
      <c r="CY607" s="78"/>
      <c r="CZ607" s="78"/>
      <c r="DA607" s="78"/>
      <c r="DB607" s="78"/>
      <c r="DC607" s="78"/>
      <c r="DD607" s="78"/>
      <c r="DE607" s="78"/>
      <c r="DF607" s="78"/>
      <c r="DG607" s="78"/>
      <c r="DH607" s="78"/>
      <c r="DI607" s="78"/>
      <c r="DJ607" s="78"/>
      <c r="DK607" s="78"/>
      <c r="DL607" s="78"/>
      <c r="DM607" s="78"/>
      <c r="DN607" s="78"/>
      <c r="DO607" s="78"/>
      <c r="DP607" s="78"/>
      <c r="DQ607" s="78"/>
      <c r="DR607" s="78"/>
      <c r="DS607" s="78"/>
      <c r="DT607" s="78"/>
      <c r="DU607" s="78"/>
      <c r="DV607" s="78"/>
      <c r="DW607" s="78"/>
      <c r="DX607" s="78"/>
      <c r="DY607" s="78"/>
      <c r="DZ607" s="78"/>
      <c r="EA607" s="78"/>
      <c r="EB607" s="78"/>
      <c r="EC607" s="78"/>
      <c r="ED607" s="78"/>
      <c r="EE607" s="78"/>
      <c r="EF607" s="78"/>
      <c r="EG607" s="78"/>
      <c r="EH607" s="78"/>
      <c r="EI607" s="91"/>
      <c r="EJ607" s="91"/>
      <c r="EK607" s="91"/>
      <c r="EL607" s="91"/>
      <c r="EM607" s="91"/>
      <c r="EN607" s="91"/>
      <c r="EO607" s="91"/>
      <c r="EP607" s="78"/>
      <c r="EQ607" s="78"/>
      <c r="ER607" s="78"/>
      <c r="ES607" s="78"/>
      <c r="ET607" s="78"/>
      <c r="EU607" s="78"/>
      <c r="EV607" s="78"/>
      <c r="EW607" s="78"/>
      <c r="EX607" s="78"/>
      <c r="EY607" s="78"/>
      <c r="EZ607" s="78"/>
      <c r="FA607" s="78"/>
      <c r="FB607" s="78"/>
      <c r="FC607" s="78"/>
      <c r="FD607" s="78"/>
      <c r="FE607" s="78"/>
      <c r="FF607" s="78"/>
      <c r="FG607" s="78"/>
      <c r="FH607" s="78"/>
      <c r="FI607" s="78"/>
      <c r="FJ607" s="78"/>
      <c r="FK607" s="78"/>
    </row>
    <row r="608" spans="1:167" hidden="1" outlineLevel="1">
      <c r="A608" s="29" t="str">
        <f t="shared" si="42"/>
        <v>lt002_insrmntrwa_off_blnc</v>
      </c>
      <c r="B608" s="67" t="s">
        <v>31</v>
      </c>
      <c r="C608" s="68" t="s">
        <v>31</v>
      </c>
      <c r="D608" s="64" t="s">
        <v>40</v>
      </c>
      <c r="E608" s="66" t="s">
        <v>574</v>
      </c>
      <c r="F608" s="64" t="s">
        <v>583</v>
      </c>
      <c r="G608" s="64" t="e">
        <f>INDEX(Auxiliar!$B$16:$B$24,MATCH(Plano_V1!H608,Auxiliar!$C$16:$C$24,0),1)</f>
        <v>#N/A</v>
      </c>
      <c r="H608" s="64" t="e">
        <f>VLOOKUP(A608,'Aux - pivots1'!$A:$B,2,0)</f>
        <v>#N/A</v>
      </c>
      <c r="I608" s="84">
        <f>SUMIFS(Table1[Estimação (horas)],Table1[Tabela],Plano_V1!E608,Table1[Campo],Plano_V1!F608)</f>
        <v>0</v>
      </c>
      <c r="J608" s="84">
        <f t="shared" si="41"/>
        <v>0</v>
      </c>
      <c r="K608" s="89" t="s">
        <v>39</v>
      </c>
      <c r="L608" s="90">
        <f t="shared" si="40"/>
        <v>0</v>
      </c>
      <c r="M608" s="78"/>
      <c r="N608" s="78"/>
      <c r="O608" s="78"/>
      <c r="P608" s="78"/>
      <c r="Q608" s="78"/>
      <c r="R608" s="78"/>
      <c r="S608" s="78"/>
      <c r="T608" s="78"/>
      <c r="U608" s="78"/>
      <c r="V608" s="78"/>
      <c r="W608" s="78"/>
      <c r="X608" s="78"/>
      <c r="Y608" s="78"/>
      <c r="Z608" s="78"/>
      <c r="AA608" s="78"/>
      <c r="AB608" s="78"/>
      <c r="AC608" s="78"/>
      <c r="AD608" s="78"/>
      <c r="AE608" s="78"/>
      <c r="AF608" s="78"/>
      <c r="AG608" s="78"/>
      <c r="AH608" s="78"/>
      <c r="AI608" s="78"/>
      <c r="AJ608" s="78"/>
      <c r="AK608" s="78"/>
      <c r="AL608" s="78"/>
      <c r="AM608" s="78"/>
      <c r="AN608" s="78"/>
      <c r="AO608" s="78"/>
      <c r="AP608" s="78"/>
      <c r="AQ608" s="78"/>
      <c r="AR608" s="78"/>
      <c r="AS608" s="78"/>
      <c r="AT608" s="91"/>
      <c r="AU608" s="78"/>
      <c r="AV608" s="78"/>
      <c r="AW608" s="78"/>
      <c r="AX608" s="78"/>
      <c r="AY608" s="78"/>
      <c r="AZ608" s="78"/>
      <c r="BA608" s="78"/>
      <c r="BB608" s="78"/>
      <c r="BC608" s="78"/>
      <c r="BD608" s="78"/>
      <c r="BE608" s="78"/>
      <c r="BF608" s="78"/>
      <c r="BG608" s="78"/>
      <c r="BH608" s="78"/>
      <c r="BI608" s="78"/>
      <c r="BJ608" s="78"/>
      <c r="BK608" s="78"/>
      <c r="BL608" s="78"/>
      <c r="BM608" s="78"/>
      <c r="BN608" s="78"/>
      <c r="BO608" s="78"/>
      <c r="BP608" s="78"/>
      <c r="BQ608" s="78"/>
      <c r="BR608" s="78"/>
      <c r="BS608" s="78"/>
      <c r="BT608" s="78"/>
      <c r="BU608" s="78"/>
      <c r="BV608" s="78"/>
      <c r="BW608" s="78"/>
      <c r="BX608" s="78"/>
      <c r="BY608" s="78"/>
      <c r="BZ608" s="78"/>
      <c r="CA608" s="78"/>
      <c r="CB608" s="78"/>
      <c r="CC608" s="78"/>
      <c r="CD608" s="78"/>
      <c r="CE608" s="78"/>
      <c r="CF608" s="78"/>
      <c r="CG608" s="78"/>
      <c r="CH608" s="78"/>
      <c r="CI608" s="78"/>
      <c r="CJ608" s="78"/>
      <c r="CK608" s="78"/>
      <c r="CL608" s="78"/>
      <c r="CM608" s="78"/>
      <c r="CN608" s="78"/>
      <c r="CO608" s="78"/>
      <c r="CP608" s="78"/>
      <c r="CQ608" s="78"/>
      <c r="CR608" s="78"/>
      <c r="CS608" s="78"/>
      <c r="CT608" s="78"/>
      <c r="CU608" s="78"/>
      <c r="CV608" s="78"/>
      <c r="CW608" s="78"/>
      <c r="CX608" s="78"/>
      <c r="CY608" s="78"/>
      <c r="CZ608" s="78"/>
      <c r="DA608" s="78"/>
      <c r="DB608" s="78"/>
      <c r="DC608" s="78"/>
      <c r="DD608" s="78"/>
      <c r="DE608" s="78"/>
      <c r="DF608" s="78"/>
      <c r="DG608" s="78"/>
      <c r="DH608" s="78"/>
      <c r="DI608" s="78"/>
      <c r="DJ608" s="78"/>
      <c r="DK608" s="78"/>
      <c r="DL608" s="78"/>
      <c r="DM608" s="78"/>
      <c r="DN608" s="78"/>
      <c r="DO608" s="78"/>
      <c r="DP608" s="78"/>
      <c r="DQ608" s="78"/>
      <c r="DR608" s="78"/>
      <c r="DS608" s="78"/>
      <c r="DT608" s="78"/>
      <c r="DU608" s="78"/>
      <c r="DV608" s="78"/>
      <c r="DW608" s="78"/>
      <c r="DX608" s="78"/>
      <c r="DY608" s="78"/>
      <c r="DZ608" s="78"/>
      <c r="EA608" s="78"/>
      <c r="EB608" s="78"/>
      <c r="EC608" s="78"/>
      <c r="ED608" s="78"/>
      <c r="EE608" s="78"/>
      <c r="EF608" s="78"/>
      <c r="EG608" s="78"/>
      <c r="EH608" s="78"/>
      <c r="EI608" s="91"/>
      <c r="EJ608" s="91"/>
      <c r="EK608" s="91"/>
      <c r="EL608" s="91"/>
      <c r="EM608" s="91"/>
      <c r="EN608" s="91"/>
      <c r="EO608" s="91"/>
      <c r="EP608" s="78"/>
      <c r="EQ608" s="78"/>
      <c r="ER608" s="78"/>
      <c r="ES608" s="78"/>
      <c r="ET608" s="78"/>
      <c r="EU608" s="78"/>
      <c r="EV608" s="78"/>
      <c r="EW608" s="78"/>
      <c r="EX608" s="78"/>
      <c r="EY608" s="78"/>
      <c r="EZ608" s="78"/>
      <c r="FA608" s="78"/>
      <c r="FB608" s="78"/>
      <c r="FC608" s="78"/>
      <c r="FD608" s="78"/>
      <c r="FE608" s="78"/>
      <c r="FF608" s="78"/>
      <c r="FG608" s="78"/>
      <c r="FH608" s="78"/>
      <c r="FI608" s="78"/>
      <c r="FJ608" s="78"/>
      <c r="FK608" s="78"/>
    </row>
    <row r="609" spans="1:167" hidden="1" outlineLevel="1">
      <c r="A609" s="29" t="str">
        <f t="shared" si="42"/>
        <v>lt002_insrmntintrnl_trnsfr_rt_off_blnc</v>
      </c>
      <c r="B609" s="67" t="s">
        <v>31</v>
      </c>
      <c r="C609" s="68" t="s">
        <v>31</v>
      </c>
      <c r="D609" s="64" t="s">
        <v>40</v>
      </c>
      <c r="E609" s="66" t="s">
        <v>574</v>
      </c>
      <c r="F609" s="64" t="s">
        <v>584</v>
      </c>
      <c r="G609" s="64" t="e">
        <f>INDEX(Auxiliar!$B$16:$B$24,MATCH(Plano_V1!H609,Auxiliar!$C$16:$C$24,0),1)</f>
        <v>#N/A</v>
      </c>
      <c r="H609" s="64" t="e">
        <f>VLOOKUP(A609,'Aux - pivots1'!$A:$B,2,0)</f>
        <v>#N/A</v>
      </c>
      <c r="I609" s="84">
        <f>SUMIFS(Table1[Estimação (horas)],Table1[Tabela],Plano_V1!E609,Table1[Campo],Plano_V1!F609)</f>
        <v>0</v>
      </c>
      <c r="J609" s="84">
        <f t="shared" si="41"/>
        <v>0</v>
      </c>
      <c r="K609" s="89" t="s">
        <v>39</v>
      </c>
      <c r="L609" s="90">
        <f t="shared" si="40"/>
        <v>0</v>
      </c>
      <c r="M609" s="78"/>
      <c r="N609" s="78"/>
      <c r="O609" s="78"/>
      <c r="P609" s="78"/>
      <c r="Q609" s="78"/>
      <c r="R609" s="78"/>
      <c r="S609" s="78"/>
      <c r="T609" s="78"/>
      <c r="U609" s="78"/>
      <c r="V609" s="78"/>
      <c r="W609" s="78"/>
      <c r="X609" s="78"/>
      <c r="Y609" s="78"/>
      <c r="Z609" s="78"/>
      <c r="AA609" s="78"/>
      <c r="AB609" s="78"/>
      <c r="AC609" s="78"/>
      <c r="AD609" s="78"/>
      <c r="AE609" s="78"/>
      <c r="AF609" s="78"/>
      <c r="AG609" s="78"/>
      <c r="AH609" s="78"/>
      <c r="AI609" s="78"/>
      <c r="AJ609" s="78"/>
      <c r="AK609" s="78"/>
      <c r="AL609" s="78"/>
      <c r="AM609" s="78"/>
      <c r="AN609" s="78"/>
      <c r="AO609" s="78"/>
      <c r="AP609" s="78"/>
      <c r="AQ609" s="78"/>
      <c r="AR609" s="78"/>
      <c r="AS609" s="78"/>
      <c r="AT609" s="91"/>
      <c r="AU609" s="78"/>
      <c r="AV609" s="78"/>
      <c r="AW609" s="78"/>
      <c r="AX609" s="78"/>
      <c r="AY609" s="78"/>
      <c r="AZ609" s="78"/>
      <c r="BA609" s="78"/>
      <c r="BB609" s="78"/>
      <c r="BC609" s="78"/>
      <c r="BD609" s="78"/>
      <c r="BE609" s="78"/>
      <c r="BF609" s="78"/>
      <c r="BG609" s="78"/>
      <c r="BH609" s="78"/>
      <c r="BI609" s="78"/>
      <c r="BJ609" s="78"/>
      <c r="BK609" s="78"/>
      <c r="BL609" s="78"/>
      <c r="BM609" s="78"/>
      <c r="BN609" s="78"/>
      <c r="BO609" s="78"/>
      <c r="BP609" s="78"/>
      <c r="BQ609" s="78"/>
      <c r="BR609" s="78"/>
      <c r="BS609" s="78"/>
      <c r="BT609" s="78"/>
      <c r="BU609" s="78"/>
      <c r="BV609" s="78"/>
      <c r="BW609" s="78"/>
      <c r="BX609" s="78"/>
      <c r="BY609" s="78"/>
      <c r="BZ609" s="78"/>
      <c r="CA609" s="78"/>
      <c r="CB609" s="78"/>
      <c r="CC609" s="78"/>
      <c r="CD609" s="78"/>
      <c r="CE609" s="78"/>
      <c r="CF609" s="78"/>
      <c r="CG609" s="78"/>
      <c r="CH609" s="78"/>
      <c r="CI609" s="78"/>
      <c r="CJ609" s="78"/>
      <c r="CK609" s="78"/>
      <c r="CL609" s="78"/>
      <c r="CM609" s="78"/>
      <c r="CN609" s="78"/>
      <c r="CO609" s="78"/>
      <c r="CP609" s="78"/>
      <c r="CQ609" s="78"/>
      <c r="CR609" s="78"/>
      <c r="CS609" s="78"/>
      <c r="CT609" s="78"/>
      <c r="CU609" s="78"/>
      <c r="CV609" s="78"/>
      <c r="CW609" s="78"/>
      <c r="CX609" s="78"/>
      <c r="CY609" s="78"/>
      <c r="CZ609" s="78"/>
      <c r="DA609" s="78"/>
      <c r="DB609" s="78"/>
      <c r="DC609" s="78"/>
      <c r="DD609" s="78"/>
      <c r="DE609" s="78"/>
      <c r="DF609" s="78"/>
      <c r="DG609" s="78"/>
      <c r="DH609" s="78"/>
      <c r="DI609" s="78"/>
      <c r="DJ609" s="78"/>
      <c r="DK609" s="78"/>
      <c r="DL609" s="78"/>
      <c r="DM609" s="78"/>
      <c r="DN609" s="78"/>
      <c r="DO609" s="78"/>
      <c r="DP609" s="78"/>
      <c r="DQ609" s="78"/>
      <c r="DR609" s="78"/>
      <c r="DS609" s="78"/>
      <c r="DT609" s="78"/>
      <c r="DU609" s="78"/>
      <c r="DV609" s="78"/>
      <c r="DW609" s="78"/>
      <c r="DX609" s="78"/>
      <c r="DY609" s="78"/>
      <c r="DZ609" s="78"/>
      <c r="EA609" s="78"/>
      <c r="EB609" s="78"/>
      <c r="EC609" s="78"/>
      <c r="ED609" s="78"/>
      <c r="EE609" s="78"/>
      <c r="EF609" s="78"/>
      <c r="EG609" s="78"/>
      <c r="EH609" s="78"/>
      <c r="EI609" s="91"/>
      <c r="EJ609" s="91"/>
      <c r="EK609" s="91"/>
      <c r="EL609" s="91"/>
      <c r="EM609" s="91"/>
      <c r="EN609" s="91"/>
      <c r="EO609" s="91"/>
      <c r="EP609" s="78"/>
      <c r="EQ609" s="78"/>
      <c r="ER609" s="78"/>
      <c r="ES609" s="78"/>
      <c r="ET609" s="78"/>
      <c r="EU609" s="78"/>
      <c r="EV609" s="78"/>
      <c r="EW609" s="78"/>
      <c r="EX609" s="78"/>
      <c r="EY609" s="78"/>
      <c r="EZ609" s="78"/>
      <c r="FA609" s="78"/>
      <c r="FB609" s="78"/>
      <c r="FC609" s="78"/>
      <c r="FD609" s="78"/>
      <c r="FE609" s="78"/>
      <c r="FF609" s="78"/>
      <c r="FG609" s="78"/>
      <c r="FH609" s="78"/>
      <c r="FI609" s="78"/>
      <c r="FJ609" s="78"/>
      <c r="FK609" s="78"/>
    </row>
    <row r="610" spans="1:167" hidden="1" outlineLevel="1">
      <c r="A610" s="29" t="str">
        <f t="shared" si="42"/>
        <v>lt002_insrmntbsnss_area</v>
      </c>
      <c r="B610" s="67" t="s">
        <v>31</v>
      </c>
      <c r="C610" s="68" t="s">
        <v>31</v>
      </c>
      <c r="D610" s="64" t="s">
        <v>40</v>
      </c>
      <c r="E610" s="66" t="s">
        <v>574</v>
      </c>
      <c r="F610" s="64" t="s">
        <v>585</v>
      </c>
      <c r="G610" s="64" t="e">
        <f>INDEX(Auxiliar!$B$16:$B$24,MATCH(Plano_V1!H610,Auxiliar!$C$16:$C$24,0),1)</f>
        <v>#N/A</v>
      </c>
      <c r="H610" s="64" t="e">
        <f>VLOOKUP(A610,'Aux - pivots1'!$A:$B,2,0)</f>
        <v>#N/A</v>
      </c>
      <c r="I610" s="84">
        <f>SUMIFS(Table1[Estimação (horas)],Table1[Tabela],Plano_V1!E610,Table1[Campo],Plano_V1!F610)</f>
        <v>0</v>
      </c>
      <c r="J610" s="84">
        <f t="shared" si="41"/>
        <v>0</v>
      </c>
      <c r="K610" s="89" t="s">
        <v>39</v>
      </c>
      <c r="L610" s="90">
        <f t="shared" si="40"/>
        <v>0</v>
      </c>
      <c r="M610" s="78"/>
      <c r="N610" s="78"/>
      <c r="O610" s="78"/>
      <c r="P610" s="78"/>
      <c r="Q610" s="78"/>
      <c r="R610" s="78"/>
      <c r="S610" s="78"/>
      <c r="T610" s="78"/>
      <c r="U610" s="78"/>
      <c r="V610" s="78"/>
      <c r="W610" s="78"/>
      <c r="X610" s="78"/>
      <c r="Y610" s="78"/>
      <c r="Z610" s="78"/>
      <c r="AA610" s="78"/>
      <c r="AB610" s="78"/>
      <c r="AC610" s="78"/>
      <c r="AD610" s="78"/>
      <c r="AE610" s="78"/>
      <c r="AF610" s="78"/>
      <c r="AG610" s="78"/>
      <c r="AH610" s="78"/>
      <c r="AI610" s="78"/>
      <c r="AJ610" s="78"/>
      <c r="AK610" s="78"/>
      <c r="AL610" s="78"/>
      <c r="AM610" s="78"/>
      <c r="AN610" s="78"/>
      <c r="AO610" s="78"/>
      <c r="AP610" s="78"/>
      <c r="AQ610" s="78"/>
      <c r="AR610" s="78"/>
      <c r="AS610" s="78"/>
      <c r="AT610" s="91"/>
      <c r="AU610" s="78"/>
      <c r="AV610" s="78"/>
      <c r="AW610" s="78"/>
      <c r="AX610" s="78"/>
      <c r="AY610" s="78"/>
      <c r="AZ610" s="78"/>
      <c r="BA610" s="78"/>
      <c r="BB610" s="78"/>
      <c r="BC610" s="78"/>
      <c r="BD610" s="78"/>
      <c r="BE610" s="78"/>
      <c r="BF610" s="78"/>
      <c r="BG610" s="78"/>
      <c r="BH610" s="78"/>
      <c r="BI610" s="78"/>
      <c r="BJ610" s="78"/>
      <c r="BK610" s="78"/>
      <c r="BL610" s="78"/>
      <c r="BM610" s="78"/>
      <c r="BN610" s="78"/>
      <c r="BO610" s="78"/>
      <c r="BP610" s="78"/>
      <c r="BQ610" s="78"/>
      <c r="BR610" s="78"/>
      <c r="BS610" s="78"/>
      <c r="BT610" s="78"/>
      <c r="BU610" s="78"/>
      <c r="BV610" s="78"/>
      <c r="BW610" s="78"/>
      <c r="BX610" s="78"/>
      <c r="BY610" s="78"/>
      <c r="BZ610" s="78"/>
      <c r="CA610" s="78"/>
      <c r="CB610" s="78"/>
      <c r="CC610" s="78"/>
      <c r="CD610" s="78"/>
      <c r="CE610" s="78"/>
      <c r="CF610" s="78"/>
      <c r="CG610" s="78"/>
      <c r="CH610" s="78"/>
      <c r="CI610" s="78"/>
      <c r="CJ610" s="78"/>
      <c r="CK610" s="78"/>
      <c r="CL610" s="78"/>
      <c r="CM610" s="78"/>
      <c r="CN610" s="78"/>
      <c r="CO610" s="78"/>
      <c r="CP610" s="78"/>
      <c r="CQ610" s="78"/>
      <c r="CR610" s="78"/>
      <c r="CS610" s="78"/>
      <c r="CT610" s="78"/>
      <c r="CU610" s="78"/>
      <c r="CV610" s="78"/>
      <c r="CW610" s="78"/>
      <c r="CX610" s="78"/>
      <c r="CY610" s="78"/>
      <c r="CZ610" s="78"/>
      <c r="DA610" s="78"/>
      <c r="DB610" s="78"/>
      <c r="DC610" s="78"/>
      <c r="DD610" s="78"/>
      <c r="DE610" s="78"/>
      <c r="DF610" s="78"/>
      <c r="DG610" s="78"/>
      <c r="DH610" s="78"/>
      <c r="DI610" s="78"/>
      <c r="DJ610" s="78"/>
      <c r="DK610" s="78"/>
      <c r="DL610" s="78"/>
      <c r="DM610" s="78"/>
      <c r="DN610" s="78"/>
      <c r="DO610" s="78"/>
      <c r="DP610" s="78"/>
      <c r="DQ610" s="78"/>
      <c r="DR610" s="78"/>
      <c r="DS610" s="78"/>
      <c r="DT610" s="78"/>
      <c r="DU610" s="78"/>
      <c r="DV610" s="78"/>
      <c r="DW610" s="78"/>
      <c r="DX610" s="78"/>
      <c r="DY610" s="78"/>
      <c r="DZ610" s="78"/>
      <c r="EA610" s="78"/>
      <c r="EB610" s="78"/>
      <c r="EC610" s="78"/>
      <c r="ED610" s="78"/>
      <c r="EE610" s="78"/>
      <c r="EF610" s="78"/>
      <c r="EG610" s="78"/>
      <c r="EH610" s="78"/>
      <c r="EI610" s="91"/>
      <c r="EJ610" s="91"/>
      <c r="EK610" s="91"/>
      <c r="EL610" s="91"/>
      <c r="EM610" s="91"/>
      <c r="EN610" s="91"/>
      <c r="EO610" s="91"/>
      <c r="EP610" s="78"/>
      <c r="EQ610" s="78"/>
      <c r="ER610" s="78"/>
      <c r="ES610" s="78"/>
      <c r="ET610" s="78"/>
      <c r="EU610" s="78"/>
      <c r="EV610" s="78"/>
      <c r="EW610" s="78"/>
      <c r="EX610" s="78"/>
      <c r="EY610" s="78"/>
      <c r="EZ610" s="78"/>
      <c r="FA610" s="78"/>
      <c r="FB610" s="78"/>
      <c r="FC610" s="78"/>
      <c r="FD610" s="78"/>
      <c r="FE610" s="78"/>
      <c r="FF610" s="78"/>
      <c r="FG610" s="78"/>
      <c r="FH610" s="78"/>
      <c r="FI610" s="78"/>
      <c r="FJ610" s="78"/>
      <c r="FK610" s="78"/>
    </row>
    <row r="611" spans="1:167" hidden="1" outlineLevel="1">
      <c r="A611" s="29" t="str">
        <f t="shared" si="42"/>
        <v>lt002_insrmntavrg_blnc</v>
      </c>
      <c r="B611" s="67" t="s">
        <v>31</v>
      </c>
      <c r="C611" s="68" t="s">
        <v>31</v>
      </c>
      <c r="D611" s="64" t="s">
        <v>40</v>
      </c>
      <c r="E611" s="66" t="s">
        <v>574</v>
      </c>
      <c r="F611" s="64" t="s">
        <v>586</v>
      </c>
      <c r="G611" s="64" t="e">
        <f>INDEX(Auxiliar!$B$16:$B$24,MATCH(Plano_V1!H611,Auxiliar!$C$16:$C$24,0),1)</f>
        <v>#N/A</v>
      </c>
      <c r="H611" s="64" t="e">
        <f>VLOOKUP(A611,'Aux - pivots1'!$A:$B,2,0)</f>
        <v>#N/A</v>
      </c>
      <c r="I611" s="84">
        <f>SUMIFS(Table1[Estimação (horas)],Table1[Tabela],Plano_V1!E611,Table1[Campo],Plano_V1!F611)</f>
        <v>0</v>
      </c>
      <c r="J611" s="84">
        <f t="shared" si="41"/>
        <v>0</v>
      </c>
      <c r="K611" s="89" t="s">
        <v>39</v>
      </c>
      <c r="L611" s="90">
        <f t="shared" si="40"/>
        <v>0</v>
      </c>
      <c r="M611" s="78"/>
      <c r="N611" s="78"/>
      <c r="O611" s="78"/>
      <c r="P611" s="78"/>
      <c r="Q611" s="78"/>
      <c r="R611" s="78"/>
      <c r="S611" s="78"/>
      <c r="T611" s="78"/>
      <c r="U611" s="78"/>
      <c r="V611" s="78"/>
      <c r="W611" s="78"/>
      <c r="X611" s="78"/>
      <c r="Y611" s="78"/>
      <c r="Z611" s="78"/>
      <c r="AA611" s="78"/>
      <c r="AB611" s="78"/>
      <c r="AC611" s="78"/>
      <c r="AD611" s="78"/>
      <c r="AE611" s="78"/>
      <c r="AF611" s="78"/>
      <c r="AG611" s="78"/>
      <c r="AH611" s="78"/>
      <c r="AI611" s="78"/>
      <c r="AJ611" s="78"/>
      <c r="AK611" s="78"/>
      <c r="AL611" s="78"/>
      <c r="AM611" s="78"/>
      <c r="AN611" s="78"/>
      <c r="AO611" s="78"/>
      <c r="AP611" s="78"/>
      <c r="AQ611" s="78"/>
      <c r="AR611" s="78"/>
      <c r="AS611" s="78"/>
      <c r="AT611" s="91"/>
      <c r="AU611" s="78"/>
      <c r="AV611" s="78"/>
      <c r="AW611" s="78"/>
      <c r="AX611" s="78"/>
      <c r="AY611" s="78"/>
      <c r="AZ611" s="78"/>
      <c r="BA611" s="78"/>
      <c r="BB611" s="78"/>
      <c r="BC611" s="78"/>
      <c r="BD611" s="78"/>
      <c r="BE611" s="78"/>
      <c r="BF611" s="78"/>
      <c r="BG611" s="78"/>
      <c r="BH611" s="78"/>
      <c r="BI611" s="78"/>
      <c r="BJ611" s="78"/>
      <c r="BK611" s="78"/>
      <c r="BL611" s="78"/>
      <c r="BM611" s="78"/>
      <c r="BN611" s="78"/>
      <c r="BO611" s="78"/>
      <c r="BP611" s="78"/>
      <c r="BQ611" s="78"/>
      <c r="BR611" s="78"/>
      <c r="BS611" s="78"/>
      <c r="BT611" s="78"/>
      <c r="BU611" s="78"/>
      <c r="BV611" s="78"/>
      <c r="BW611" s="78"/>
      <c r="BX611" s="78"/>
      <c r="BY611" s="78"/>
      <c r="BZ611" s="78"/>
      <c r="CA611" s="78"/>
      <c r="CB611" s="78"/>
      <c r="CC611" s="78"/>
      <c r="CD611" s="78"/>
      <c r="CE611" s="78"/>
      <c r="CF611" s="78"/>
      <c r="CG611" s="78"/>
      <c r="CH611" s="78"/>
      <c r="CI611" s="78"/>
      <c r="CJ611" s="78"/>
      <c r="CK611" s="78"/>
      <c r="CL611" s="78"/>
      <c r="CM611" s="78"/>
      <c r="CN611" s="78"/>
      <c r="CO611" s="78"/>
      <c r="CP611" s="78"/>
      <c r="CQ611" s="78"/>
      <c r="CR611" s="78"/>
      <c r="CS611" s="78"/>
      <c r="CT611" s="78"/>
      <c r="CU611" s="78"/>
      <c r="CV611" s="78"/>
      <c r="CW611" s="78"/>
      <c r="CX611" s="78"/>
      <c r="CY611" s="78"/>
      <c r="CZ611" s="78"/>
      <c r="DA611" s="78"/>
      <c r="DB611" s="78"/>
      <c r="DC611" s="78"/>
      <c r="DD611" s="78"/>
      <c r="DE611" s="78"/>
      <c r="DF611" s="78"/>
      <c r="DG611" s="78"/>
      <c r="DH611" s="78"/>
      <c r="DI611" s="78"/>
      <c r="DJ611" s="78"/>
      <c r="DK611" s="78"/>
      <c r="DL611" s="78"/>
      <c r="DM611" s="78"/>
      <c r="DN611" s="78"/>
      <c r="DO611" s="78"/>
      <c r="DP611" s="78"/>
      <c r="DQ611" s="78"/>
      <c r="DR611" s="78"/>
      <c r="DS611" s="78"/>
      <c r="DT611" s="78"/>
      <c r="DU611" s="78"/>
      <c r="DV611" s="78"/>
      <c r="DW611" s="78"/>
      <c r="DX611" s="78"/>
      <c r="DY611" s="78"/>
      <c r="DZ611" s="78"/>
      <c r="EA611" s="78"/>
      <c r="EB611" s="78"/>
      <c r="EC611" s="78"/>
      <c r="ED611" s="78"/>
      <c r="EE611" s="78"/>
      <c r="EF611" s="78"/>
      <c r="EG611" s="78"/>
      <c r="EH611" s="78"/>
      <c r="EI611" s="91"/>
      <c r="EJ611" s="91"/>
      <c r="EK611" s="91"/>
      <c r="EL611" s="91"/>
      <c r="EM611" s="91"/>
      <c r="EN611" s="91"/>
      <c r="EO611" s="91"/>
      <c r="EP611" s="78"/>
      <c r="EQ611" s="78"/>
      <c r="ER611" s="78"/>
      <c r="ES611" s="78"/>
      <c r="ET611" s="78"/>
      <c r="EU611" s="78"/>
      <c r="EV611" s="78"/>
      <c r="EW611" s="78"/>
      <c r="EX611" s="78"/>
      <c r="EY611" s="78"/>
      <c r="EZ611" s="78"/>
      <c r="FA611" s="78"/>
      <c r="FB611" s="78"/>
      <c r="FC611" s="78"/>
      <c r="FD611" s="78"/>
      <c r="FE611" s="78"/>
      <c r="FF611" s="78"/>
      <c r="FG611" s="78"/>
      <c r="FH611" s="78"/>
      <c r="FI611" s="78"/>
      <c r="FJ611" s="78"/>
      <c r="FK611" s="78"/>
    </row>
    <row r="612" spans="1:167" hidden="1" outlineLevel="1">
      <c r="A612" s="29" t="str">
        <f t="shared" si="42"/>
        <v>lt002_insrmntnt_ln_lss_prvsn</v>
      </c>
      <c r="B612" s="67" t="s">
        <v>31</v>
      </c>
      <c r="C612" s="68" t="s">
        <v>31</v>
      </c>
      <c r="D612" s="64" t="s">
        <v>40</v>
      </c>
      <c r="E612" s="66" t="s">
        <v>574</v>
      </c>
      <c r="F612" s="73" t="s">
        <v>587</v>
      </c>
      <c r="G612" s="64" t="e">
        <f>INDEX(Auxiliar!$B$16:$B$24,MATCH(Plano_V1!H612,Auxiliar!$C$16:$C$24,0),1)</f>
        <v>#N/A</v>
      </c>
      <c r="H612" s="64" t="e">
        <f>VLOOKUP(A612,'Aux - pivots1'!$A:$B,2,0)</f>
        <v>#N/A</v>
      </c>
      <c r="I612" s="84">
        <f>SUMIFS(Table1[Estimação (horas)],Table1[Tabela],Plano_V1!E612,Table1[Campo],Plano_V1!F612)</f>
        <v>0</v>
      </c>
      <c r="J612" s="84">
        <f t="shared" si="41"/>
        <v>0</v>
      </c>
      <c r="K612" s="89" t="s">
        <v>39</v>
      </c>
      <c r="L612" s="90">
        <f t="shared" si="40"/>
        <v>0</v>
      </c>
      <c r="M612" s="78"/>
      <c r="N612" s="78"/>
      <c r="O612" s="78"/>
      <c r="P612" s="78"/>
      <c r="Q612" s="78"/>
      <c r="R612" s="78"/>
      <c r="S612" s="78"/>
      <c r="T612" s="78"/>
      <c r="U612" s="78"/>
      <c r="V612" s="78"/>
      <c r="W612" s="78"/>
      <c r="X612" s="78"/>
      <c r="Y612" s="78"/>
      <c r="Z612" s="78"/>
      <c r="AA612" s="78"/>
      <c r="AB612" s="78"/>
      <c r="AC612" s="78"/>
      <c r="AD612" s="78"/>
      <c r="AE612" s="78"/>
      <c r="AF612" s="78"/>
      <c r="AG612" s="78"/>
      <c r="AH612" s="78"/>
      <c r="AI612" s="78"/>
      <c r="AJ612" s="78"/>
      <c r="AK612" s="78"/>
      <c r="AL612" s="78"/>
      <c r="AM612" s="78"/>
      <c r="AN612" s="78"/>
      <c r="AO612" s="78"/>
      <c r="AP612" s="78"/>
      <c r="AQ612" s="78"/>
      <c r="AR612" s="78"/>
      <c r="AS612" s="78"/>
      <c r="AT612" s="91"/>
      <c r="AU612" s="78"/>
      <c r="AV612" s="78"/>
      <c r="AW612" s="78"/>
      <c r="AX612" s="78"/>
      <c r="AY612" s="78"/>
      <c r="AZ612" s="78"/>
      <c r="BA612" s="78"/>
      <c r="BB612" s="78"/>
      <c r="BC612" s="78"/>
      <c r="BD612" s="78"/>
      <c r="BE612" s="78"/>
      <c r="BF612" s="78"/>
      <c r="BG612" s="78"/>
      <c r="BH612" s="78"/>
      <c r="BI612" s="78"/>
      <c r="BJ612" s="78"/>
      <c r="BK612" s="78"/>
      <c r="BL612" s="78"/>
      <c r="BM612" s="78"/>
      <c r="BN612" s="78"/>
      <c r="BO612" s="78"/>
      <c r="BP612" s="78"/>
      <c r="BQ612" s="78"/>
      <c r="BR612" s="78"/>
      <c r="BS612" s="78"/>
      <c r="BT612" s="78"/>
      <c r="BU612" s="78"/>
      <c r="BV612" s="78"/>
      <c r="BW612" s="78"/>
      <c r="BX612" s="78"/>
      <c r="BY612" s="78"/>
      <c r="BZ612" s="78"/>
      <c r="CA612" s="78"/>
      <c r="CB612" s="78"/>
      <c r="CC612" s="78"/>
      <c r="CD612" s="78"/>
      <c r="CE612" s="78"/>
      <c r="CF612" s="78"/>
      <c r="CG612" s="78"/>
      <c r="CH612" s="78"/>
      <c r="CI612" s="78"/>
      <c r="CJ612" s="78"/>
      <c r="CK612" s="78"/>
      <c r="CL612" s="78"/>
      <c r="CM612" s="78"/>
      <c r="CN612" s="78"/>
      <c r="CO612" s="78"/>
      <c r="CP612" s="78"/>
      <c r="CQ612" s="78"/>
      <c r="CR612" s="78"/>
      <c r="CS612" s="78"/>
      <c r="CT612" s="78"/>
      <c r="CU612" s="78"/>
      <c r="CV612" s="78"/>
      <c r="CW612" s="78"/>
      <c r="CX612" s="78"/>
      <c r="CY612" s="78"/>
      <c r="CZ612" s="78"/>
      <c r="DA612" s="78"/>
      <c r="DB612" s="78"/>
      <c r="DC612" s="78"/>
      <c r="DD612" s="78"/>
      <c r="DE612" s="78"/>
      <c r="DF612" s="78"/>
      <c r="DG612" s="78"/>
      <c r="DH612" s="78"/>
      <c r="DI612" s="78"/>
      <c r="DJ612" s="78"/>
      <c r="DK612" s="78"/>
      <c r="DL612" s="78"/>
      <c r="DM612" s="78"/>
      <c r="DN612" s="78"/>
      <c r="DO612" s="78"/>
      <c r="DP612" s="78"/>
      <c r="DQ612" s="78"/>
      <c r="DR612" s="78"/>
      <c r="DS612" s="78"/>
      <c r="DT612" s="78"/>
      <c r="DU612" s="78"/>
      <c r="DV612" s="78"/>
      <c r="DW612" s="78"/>
      <c r="DX612" s="78"/>
      <c r="DY612" s="78"/>
      <c r="DZ612" s="78"/>
      <c r="EA612" s="78"/>
      <c r="EB612" s="78"/>
      <c r="EC612" s="78"/>
      <c r="ED612" s="78"/>
      <c r="EE612" s="78"/>
      <c r="EF612" s="78"/>
      <c r="EG612" s="78"/>
      <c r="EH612" s="78"/>
      <c r="EI612" s="91"/>
      <c r="EJ612" s="91"/>
      <c r="EK612" s="91"/>
      <c r="EL612" s="91"/>
      <c r="EM612" s="91"/>
      <c r="EN612" s="91"/>
      <c r="EO612" s="91"/>
      <c r="EP612" s="78"/>
      <c r="EQ612" s="78"/>
      <c r="ER612" s="78"/>
      <c r="ES612" s="78"/>
      <c r="ET612" s="78"/>
      <c r="EU612" s="78"/>
      <c r="EV612" s="78"/>
      <c r="EW612" s="78"/>
      <c r="EX612" s="78"/>
      <c r="EY612" s="78"/>
      <c r="EZ612" s="78"/>
      <c r="FA612" s="78"/>
      <c r="FB612" s="78"/>
      <c r="FC612" s="78"/>
      <c r="FD612" s="78"/>
      <c r="FE612" s="78"/>
      <c r="FF612" s="78"/>
      <c r="FG612" s="78"/>
      <c r="FH612" s="78"/>
      <c r="FI612" s="78"/>
      <c r="FJ612" s="78"/>
      <c r="FK612" s="78"/>
    </row>
    <row r="613" spans="1:167" hidden="1" outlineLevel="1">
      <c r="A613" s="29" t="str">
        <f t="shared" si="42"/>
        <v>lt002_insrmntmngmnt_prdct</v>
      </c>
      <c r="B613" s="67" t="s">
        <v>31</v>
      </c>
      <c r="C613" s="68" t="s">
        <v>31</v>
      </c>
      <c r="D613" s="64" t="s">
        <v>40</v>
      </c>
      <c r="E613" s="66" t="s">
        <v>574</v>
      </c>
      <c r="F613" s="64" t="s">
        <v>588</v>
      </c>
      <c r="G613" s="64" t="e">
        <f>INDEX(Auxiliar!$B$16:$B$24,MATCH(Plano_V1!H613,Auxiliar!$C$16:$C$24,0),1)</f>
        <v>#N/A</v>
      </c>
      <c r="H613" s="64" t="e">
        <f>VLOOKUP(A613,'Aux - pivots1'!$A:$B,2,0)</f>
        <v>#N/A</v>
      </c>
      <c r="I613" s="84">
        <f>SUMIFS(Table1[Estimação (horas)],Table1[Tabela],Plano_V1!E613,Table1[Campo],Plano_V1!F613)</f>
        <v>0</v>
      </c>
      <c r="J613" s="84">
        <f t="shared" si="41"/>
        <v>0</v>
      </c>
      <c r="K613" s="89" t="s">
        <v>39</v>
      </c>
      <c r="L613" s="90">
        <f t="shared" si="40"/>
        <v>0</v>
      </c>
      <c r="M613" s="78"/>
      <c r="N613" s="78"/>
      <c r="O613" s="78"/>
      <c r="P613" s="78"/>
      <c r="Q613" s="78"/>
      <c r="R613" s="78"/>
      <c r="S613" s="78"/>
      <c r="T613" s="78"/>
      <c r="U613" s="78"/>
      <c r="V613" s="78"/>
      <c r="W613" s="78"/>
      <c r="X613" s="78"/>
      <c r="Y613" s="78"/>
      <c r="Z613" s="78"/>
      <c r="AA613" s="78"/>
      <c r="AB613" s="78"/>
      <c r="AC613" s="78"/>
      <c r="AD613" s="78"/>
      <c r="AE613" s="78"/>
      <c r="AF613" s="78"/>
      <c r="AG613" s="78"/>
      <c r="AH613" s="78"/>
      <c r="AI613" s="78"/>
      <c r="AJ613" s="78"/>
      <c r="AK613" s="78"/>
      <c r="AL613" s="78"/>
      <c r="AM613" s="78"/>
      <c r="AN613" s="78"/>
      <c r="AO613" s="78"/>
      <c r="AP613" s="78"/>
      <c r="AQ613" s="78"/>
      <c r="AR613" s="78"/>
      <c r="AS613" s="78"/>
      <c r="AT613" s="91"/>
      <c r="AU613" s="78"/>
      <c r="AV613" s="78"/>
      <c r="AW613" s="78"/>
      <c r="AX613" s="78"/>
      <c r="AY613" s="78"/>
      <c r="AZ613" s="78"/>
      <c r="BA613" s="78"/>
      <c r="BB613" s="78"/>
      <c r="BC613" s="78"/>
      <c r="BD613" s="78"/>
      <c r="BE613" s="78"/>
      <c r="BF613" s="78"/>
      <c r="BG613" s="78"/>
      <c r="BH613" s="78"/>
      <c r="BI613" s="78"/>
      <c r="BJ613" s="78"/>
      <c r="BK613" s="78"/>
      <c r="BL613" s="78"/>
      <c r="BM613" s="78"/>
      <c r="BN613" s="78"/>
      <c r="BO613" s="78"/>
      <c r="BP613" s="78"/>
      <c r="BQ613" s="78"/>
      <c r="BR613" s="78"/>
      <c r="BS613" s="78"/>
      <c r="BT613" s="78"/>
      <c r="BU613" s="78"/>
      <c r="BV613" s="78"/>
      <c r="BW613" s="78"/>
      <c r="BX613" s="78"/>
      <c r="BY613" s="78"/>
      <c r="BZ613" s="78"/>
      <c r="CA613" s="78"/>
      <c r="CB613" s="78"/>
      <c r="CC613" s="78"/>
      <c r="CD613" s="78"/>
      <c r="CE613" s="78"/>
      <c r="CF613" s="78"/>
      <c r="CG613" s="78"/>
      <c r="CH613" s="78"/>
      <c r="CI613" s="78"/>
      <c r="CJ613" s="78"/>
      <c r="CK613" s="78"/>
      <c r="CL613" s="78"/>
      <c r="CM613" s="78"/>
      <c r="CN613" s="78"/>
      <c r="CO613" s="78"/>
      <c r="CP613" s="78"/>
      <c r="CQ613" s="78"/>
      <c r="CR613" s="78"/>
      <c r="CS613" s="78"/>
      <c r="CT613" s="78"/>
      <c r="CU613" s="78"/>
      <c r="CV613" s="78"/>
      <c r="CW613" s="78"/>
      <c r="CX613" s="78"/>
      <c r="CY613" s="78"/>
      <c r="CZ613" s="78"/>
      <c r="DA613" s="78"/>
      <c r="DB613" s="78"/>
      <c r="DC613" s="78"/>
      <c r="DD613" s="78"/>
      <c r="DE613" s="78"/>
      <c r="DF613" s="78"/>
      <c r="DG613" s="78"/>
      <c r="DH613" s="78"/>
      <c r="DI613" s="78"/>
      <c r="DJ613" s="78"/>
      <c r="DK613" s="78"/>
      <c r="DL613" s="78"/>
      <c r="DM613" s="78"/>
      <c r="DN613" s="78"/>
      <c r="DO613" s="78"/>
      <c r="DP613" s="78"/>
      <c r="DQ613" s="78"/>
      <c r="DR613" s="78"/>
      <c r="DS613" s="78"/>
      <c r="DT613" s="78"/>
      <c r="DU613" s="78"/>
      <c r="DV613" s="78"/>
      <c r="DW613" s="78"/>
      <c r="DX613" s="78"/>
      <c r="DY613" s="78"/>
      <c r="DZ613" s="78"/>
      <c r="EA613" s="78"/>
      <c r="EB613" s="78"/>
      <c r="EC613" s="78"/>
      <c r="ED613" s="78"/>
      <c r="EE613" s="78"/>
      <c r="EF613" s="78"/>
      <c r="EG613" s="78"/>
      <c r="EH613" s="78"/>
      <c r="EI613" s="91"/>
      <c r="EJ613" s="91"/>
      <c r="EK613" s="91"/>
      <c r="EL613" s="91"/>
      <c r="EM613" s="91"/>
      <c r="EN613" s="91"/>
      <c r="EO613" s="91"/>
      <c r="EP613" s="78"/>
      <c r="EQ613" s="78"/>
      <c r="ER613" s="78"/>
      <c r="ES613" s="78"/>
      <c r="ET613" s="78"/>
      <c r="EU613" s="78"/>
      <c r="EV613" s="78"/>
      <c r="EW613" s="78"/>
      <c r="EX613" s="78"/>
      <c r="EY613" s="78"/>
      <c r="EZ613" s="78"/>
      <c r="FA613" s="78"/>
      <c r="FB613" s="78"/>
      <c r="FC613" s="78"/>
      <c r="FD613" s="78"/>
      <c r="FE613" s="78"/>
      <c r="FF613" s="78"/>
      <c r="FG613" s="78"/>
      <c r="FH613" s="78"/>
      <c r="FI613" s="78"/>
      <c r="FJ613" s="78"/>
      <c r="FK613" s="78"/>
    </row>
    <row r="614" spans="1:167" hidden="1" outlineLevel="1">
      <c r="A614" s="29" t="str">
        <f t="shared" si="42"/>
        <v>lt002_insrmntnw_bsnss</v>
      </c>
      <c r="B614" s="67" t="s">
        <v>31</v>
      </c>
      <c r="C614" s="68" t="s">
        <v>31</v>
      </c>
      <c r="D614" s="64" t="s">
        <v>40</v>
      </c>
      <c r="E614" s="66" t="s">
        <v>574</v>
      </c>
      <c r="F614" s="64" t="s">
        <v>589</v>
      </c>
      <c r="G614" s="64" t="e">
        <f>INDEX(Auxiliar!$B$16:$B$24,MATCH(Plano_V1!H614,Auxiliar!$C$16:$C$24,0),1)</f>
        <v>#N/A</v>
      </c>
      <c r="H614" s="64" t="e">
        <f>VLOOKUP(A614,'Aux - pivots1'!$A:$B,2,0)</f>
        <v>#N/A</v>
      </c>
      <c r="I614" s="84">
        <f>SUMIFS(Table1[Estimação (horas)],Table1[Tabela],Plano_V1!E614,Table1[Campo],Plano_V1!F614)</f>
        <v>0</v>
      </c>
      <c r="J614" s="84">
        <f t="shared" si="41"/>
        <v>0</v>
      </c>
      <c r="K614" s="89" t="s">
        <v>39</v>
      </c>
      <c r="L614" s="90">
        <f t="shared" si="40"/>
        <v>0</v>
      </c>
      <c r="M614" s="78"/>
      <c r="N614" s="78"/>
      <c r="O614" s="78"/>
      <c r="P614" s="78"/>
      <c r="Q614" s="78"/>
      <c r="R614" s="78"/>
      <c r="S614" s="78"/>
      <c r="T614" s="78"/>
      <c r="U614" s="78"/>
      <c r="V614" s="78"/>
      <c r="W614" s="78"/>
      <c r="X614" s="78"/>
      <c r="Y614" s="78"/>
      <c r="Z614" s="78"/>
      <c r="AA614" s="78"/>
      <c r="AB614" s="78"/>
      <c r="AC614" s="78"/>
      <c r="AD614" s="78"/>
      <c r="AE614" s="78"/>
      <c r="AF614" s="78"/>
      <c r="AG614" s="78"/>
      <c r="AH614" s="78"/>
      <c r="AI614" s="78"/>
      <c r="AJ614" s="78"/>
      <c r="AK614" s="78"/>
      <c r="AL614" s="78"/>
      <c r="AM614" s="78"/>
      <c r="AN614" s="78"/>
      <c r="AO614" s="78"/>
      <c r="AP614" s="78"/>
      <c r="AQ614" s="78"/>
      <c r="AR614" s="78"/>
      <c r="AS614" s="78"/>
      <c r="AT614" s="91"/>
      <c r="AU614" s="78"/>
      <c r="AV614" s="78"/>
      <c r="AW614" s="78"/>
      <c r="AX614" s="78"/>
      <c r="AY614" s="78"/>
      <c r="AZ614" s="78"/>
      <c r="BA614" s="78"/>
      <c r="BB614" s="78"/>
      <c r="BC614" s="78"/>
      <c r="BD614" s="78"/>
      <c r="BE614" s="78"/>
      <c r="BF614" s="78"/>
      <c r="BG614" s="78"/>
      <c r="BH614" s="78"/>
      <c r="BI614" s="78"/>
      <c r="BJ614" s="78"/>
      <c r="BK614" s="78"/>
      <c r="BL614" s="78"/>
      <c r="BM614" s="78"/>
      <c r="BN614" s="78"/>
      <c r="BO614" s="78"/>
      <c r="BP614" s="78"/>
      <c r="BQ614" s="78"/>
      <c r="BR614" s="78"/>
      <c r="BS614" s="78"/>
      <c r="BT614" s="78"/>
      <c r="BU614" s="78"/>
      <c r="BV614" s="78"/>
      <c r="BW614" s="78"/>
      <c r="BX614" s="78"/>
      <c r="BY614" s="78"/>
      <c r="BZ614" s="78"/>
      <c r="CA614" s="78"/>
      <c r="CB614" s="78"/>
      <c r="CC614" s="78"/>
      <c r="CD614" s="78"/>
      <c r="CE614" s="78"/>
      <c r="CF614" s="78"/>
      <c r="CG614" s="78"/>
      <c r="CH614" s="78"/>
      <c r="CI614" s="78"/>
      <c r="CJ614" s="78"/>
      <c r="CK614" s="78"/>
      <c r="CL614" s="78"/>
      <c r="CM614" s="78"/>
      <c r="CN614" s="78"/>
      <c r="CO614" s="78"/>
      <c r="CP614" s="78"/>
      <c r="CQ614" s="78"/>
      <c r="CR614" s="78"/>
      <c r="CS614" s="78"/>
      <c r="CT614" s="78"/>
      <c r="CU614" s="78"/>
      <c r="CV614" s="78"/>
      <c r="CW614" s="78"/>
      <c r="CX614" s="78"/>
      <c r="CY614" s="78"/>
      <c r="CZ614" s="78"/>
      <c r="DA614" s="78"/>
      <c r="DB614" s="78"/>
      <c r="DC614" s="78"/>
      <c r="DD614" s="78"/>
      <c r="DE614" s="78"/>
      <c r="DF614" s="78"/>
      <c r="DG614" s="78"/>
      <c r="DH614" s="78"/>
      <c r="DI614" s="78"/>
      <c r="DJ614" s="78"/>
      <c r="DK614" s="78"/>
      <c r="DL614" s="78"/>
      <c r="DM614" s="78"/>
      <c r="DN614" s="78"/>
      <c r="DO614" s="78"/>
      <c r="DP614" s="78"/>
      <c r="DQ614" s="78"/>
      <c r="DR614" s="78"/>
      <c r="DS614" s="78"/>
      <c r="DT614" s="78"/>
      <c r="DU614" s="78"/>
      <c r="DV614" s="78"/>
      <c r="DW614" s="78"/>
      <c r="DX614" s="78"/>
      <c r="DY614" s="78"/>
      <c r="DZ614" s="78"/>
      <c r="EA614" s="78"/>
      <c r="EB614" s="78"/>
      <c r="EC614" s="78"/>
      <c r="ED614" s="78"/>
      <c r="EE614" s="78"/>
      <c r="EF614" s="78"/>
      <c r="EG614" s="78"/>
      <c r="EH614" s="78"/>
      <c r="EI614" s="91"/>
      <c r="EJ614" s="91"/>
      <c r="EK614" s="91"/>
      <c r="EL614" s="91"/>
      <c r="EM614" s="91"/>
      <c r="EN614" s="91"/>
      <c r="EO614" s="91"/>
      <c r="EP614" s="78"/>
      <c r="EQ614" s="78"/>
      <c r="ER614" s="78"/>
      <c r="ES614" s="78"/>
      <c r="ET614" s="78"/>
      <c r="EU614" s="78"/>
      <c r="EV614" s="78"/>
      <c r="EW614" s="78"/>
      <c r="EX614" s="78"/>
      <c r="EY614" s="78"/>
      <c r="EZ614" s="78"/>
      <c r="FA614" s="78"/>
      <c r="FB614" s="78"/>
      <c r="FC614" s="78"/>
      <c r="FD614" s="78"/>
      <c r="FE614" s="78"/>
      <c r="FF614" s="78"/>
      <c r="FG614" s="78"/>
      <c r="FH614" s="78"/>
      <c r="FI614" s="78"/>
      <c r="FJ614" s="78"/>
      <c r="FK614" s="78"/>
    </row>
    <row r="615" spans="1:167" hidden="1" outlineLevel="1">
      <c r="A615" s="29" t="str">
        <f t="shared" si="42"/>
        <v>lt002_insrmntgrss_intrst_incm_ccrr</v>
      </c>
      <c r="B615" s="67" t="s">
        <v>31</v>
      </c>
      <c r="C615" s="68" t="s">
        <v>31</v>
      </c>
      <c r="D615" s="64" t="s">
        <v>40</v>
      </c>
      <c r="E615" s="66" t="s">
        <v>574</v>
      </c>
      <c r="F615" s="64" t="s">
        <v>590</v>
      </c>
      <c r="G615" s="64" t="e">
        <f>INDEX(Auxiliar!$B$16:$B$24,MATCH(Plano_V1!H615,Auxiliar!$C$16:$C$24,0),1)</f>
        <v>#N/A</v>
      </c>
      <c r="H615" s="64" t="e">
        <f>VLOOKUP(A615,'Aux - pivots1'!$A:$B,2,0)</f>
        <v>#N/A</v>
      </c>
      <c r="I615" s="84">
        <f>SUMIFS(Table1[Estimação (horas)],Table1[Tabela],Plano_V1!E615,Table1[Campo],Plano_V1!F615)</f>
        <v>0</v>
      </c>
      <c r="J615" s="84">
        <f t="shared" si="41"/>
        <v>0</v>
      </c>
      <c r="K615" s="89" t="s">
        <v>39</v>
      </c>
      <c r="L615" s="90">
        <f t="shared" si="40"/>
        <v>0</v>
      </c>
      <c r="M615" s="78"/>
      <c r="N615" s="78"/>
      <c r="O615" s="78"/>
      <c r="P615" s="78"/>
      <c r="Q615" s="78"/>
      <c r="R615" s="78"/>
      <c r="S615" s="78"/>
      <c r="T615" s="78"/>
      <c r="U615" s="78"/>
      <c r="V615" s="78"/>
      <c r="W615" s="78"/>
      <c r="X615" s="78"/>
      <c r="Y615" s="78"/>
      <c r="Z615" s="78"/>
      <c r="AA615" s="78"/>
      <c r="AB615" s="78"/>
      <c r="AC615" s="78"/>
      <c r="AD615" s="78"/>
      <c r="AE615" s="78"/>
      <c r="AF615" s="78"/>
      <c r="AG615" s="78"/>
      <c r="AH615" s="78"/>
      <c r="AI615" s="78"/>
      <c r="AJ615" s="78"/>
      <c r="AK615" s="78"/>
      <c r="AL615" s="78"/>
      <c r="AM615" s="78"/>
      <c r="AN615" s="78"/>
      <c r="AO615" s="78"/>
      <c r="AP615" s="78"/>
      <c r="AQ615" s="78"/>
      <c r="AR615" s="78"/>
      <c r="AS615" s="78"/>
      <c r="AT615" s="91"/>
      <c r="AU615" s="78"/>
      <c r="AV615" s="78"/>
      <c r="AW615" s="78"/>
      <c r="AX615" s="78"/>
      <c r="AY615" s="78"/>
      <c r="AZ615" s="78"/>
      <c r="BA615" s="78"/>
      <c r="BB615" s="78"/>
      <c r="BC615" s="78"/>
      <c r="BD615" s="78"/>
      <c r="BE615" s="78"/>
      <c r="BF615" s="78"/>
      <c r="BG615" s="78"/>
      <c r="BH615" s="78"/>
      <c r="BI615" s="78"/>
      <c r="BJ615" s="78"/>
      <c r="BK615" s="78"/>
      <c r="BL615" s="78"/>
      <c r="BM615" s="78"/>
      <c r="BN615" s="78"/>
      <c r="BO615" s="78"/>
      <c r="BP615" s="78"/>
      <c r="BQ615" s="78"/>
      <c r="BR615" s="78"/>
      <c r="BS615" s="78"/>
      <c r="BT615" s="78"/>
      <c r="BU615" s="78"/>
      <c r="BV615" s="78"/>
      <c r="BW615" s="78"/>
      <c r="BX615" s="78"/>
      <c r="BY615" s="78"/>
      <c r="BZ615" s="78"/>
      <c r="CA615" s="78"/>
      <c r="CB615" s="78"/>
      <c r="CC615" s="78"/>
      <c r="CD615" s="78"/>
      <c r="CE615" s="78"/>
      <c r="CF615" s="78"/>
      <c r="CG615" s="78"/>
      <c r="CH615" s="78"/>
      <c r="CI615" s="78"/>
      <c r="CJ615" s="78"/>
      <c r="CK615" s="78"/>
      <c r="CL615" s="78"/>
      <c r="CM615" s="78"/>
      <c r="CN615" s="78"/>
      <c r="CO615" s="78"/>
      <c r="CP615" s="78"/>
      <c r="CQ615" s="78"/>
      <c r="CR615" s="78"/>
      <c r="CS615" s="78"/>
      <c r="CT615" s="78"/>
      <c r="CU615" s="78"/>
      <c r="CV615" s="78"/>
      <c r="CW615" s="78"/>
      <c r="CX615" s="78"/>
      <c r="CY615" s="78"/>
      <c r="CZ615" s="78"/>
      <c r="DA615" s="78"/>
      <c r="DB615" s="78"/>
      <c r="DC615" s="78"/>
      <c r="DD615" s="78"/>
      <c r="DE615" s="78"/>
      <c r="DF615" s="78"/>
      <c r="DG615" s="78"/>
      <c r="DH615" s="78"/>
      <c r="DI615" s="78"/>
      <c r="DJ615" s="78"/>
      <c r="DK615" s="78"/>
      <c r="DL615" s="78"/>
      <c r="DM615" s="78"/>
      <c r="DN615" s="78"/>
      <c r="DO615" s="78"/>
      <c r="DP615" s="78"/>
      <c r="DQ615" s="78"/>
      <c r="DR615" s="78"/>
      <c r="DS615" s="78"/>
      <c r="DT615" s="78"/>
      <c r="DU615" s="78"/>
      <c r="DV615" s="78"/>
      <c r="DW615" s="78"/>
      <c r="DX615" s="78"/>
      <c r="DY615" s="78"/>
      <c r="DZ615" s="78"/>
      <c r="EA615" s="78"/>
      <c r="EB615" s="78"/>
      <c r="EC615" s="78"/>
      <c r="ED615" s="78"/>
      <c r="EE615" s="78"/>
      <c r="EF615" s="78"/>
      <c r="EG615" s="78"/>
      <c r="EH615" s="78"/>
      <c r="EI615" s="91"/>
      <c r="EJ615" s="91"/>
      <c r="EK615" s="91"/>
      <c r="EL615" s="91"/>
      <c r="EM615" s="91"/>
      <c r="EN615" s="91"/>
      <c r="EO615" s="91"/>
      <c r="EP615" s="78"/>
      <c r="EQ615" s="78"/>
      <c r="ER615" s="78"/>
      <c r="ES615" s="78"/>
      <c r="ET615" s="78"/>
      <c r="EU615" s="78"/>
      <c r="EV615" s="78"/>
      <c r="EW615" s="78"/>
      <c r="EX615" s="78"/>
      <c r="EY615" s="78"/>
      <c r="EZ615" s="78"/>
      <c r="FA615" s="78"/>
      <c r="FB615" s="78"/>
      <c r="FC615" s="78"/>
      <c r="FD615" s="78"/>
      <c r="FE615" s="78"/>
      <c r="FF615" s="78"/>
      <c r="FG615" s="78"/>
      <c r="FH615" s="78"/>
      <c r="FI615" s="78"/>
      <c r="FJ615" s="78"/>
      <c r="FK615" s="78"/>
    </row>
    <row r="616" spans="1:167" hidden="1" outlineLevel="1">
      <c r="A616" s="29" t="str">
        <f t="shared" si="42"/>
        <v>lt002_insrmntnt_ln_lss_prvsn_off_blnc</v>
      </c>
      <c r="B616" s="67" t="s">
        <v>31</v>
      </c>
      <c r="C616" s="68" t="s">
        <v>31</v>
      </c>
      <c r="D616" s="64" t="s">
        <v>40</v>
      </c>
      <c r="E616" s="66" t="s">
        <v>574</v>
      </c>
      <c r="F616" s="64" t="s">
        <v>591</v>
      </c>
      <c r="G616" s="64" t="e">
        <f>INDEX(Auxiliar!$B$16:$B$24,MATCH(Plano_V1!H616,Auxiliar!$C$16:$C$24,0),1)</f>
        <v>#N/A</v>
      </c>
      <c r="H616" s="64" t="e">
        <f>VLOOKUP(A616,'Aux - pivots1'!$A:$B,2,0)</f>
        <v>#N/A</v>
      </c>
      <c r="I616" s="84">
        <f>SUMIFS(Table1[Estimação (horas)],Table1[Tabela],Plano_V1!E616,Table1[Campo],Plano_V1!F616)</f>
        <v>0</v>
      </c>
      <c r="J616" s="84">
        <f t="shared" si="41"/>
        <v>0</v>
      </c>
      <c r="K616" s="89" t="s">
        <v>39</v>
      </c>
      <c r="L616" s="90">
        <f t="shared" si="40"/>
        <v>0</v>
      </c>
      <c r="M616" s="78"/>
      <c r="N616" s="78"/>
      <c r="O616" s="78"/>
      <c r="P616" s="78"/>
      <c r="Q616" s="78"/>
      <c r="R616" s="78"/>
      <c r="S616" s="78"/>
      <c r="T616" s="78"/>
      <c r="U616" s="78"/>
      <c r="V616" s="78"/>
      <c r="W616" s="78"/>
      <c r="X616" s="78"/>
      <c r="Y616" s="78"/>
      <c r="Z616" s="78"/>
      <c r="AA616" s="78"/>
      <c r="AB616" s="78"/>
      <c r="AC616" s="78"/>
      <c r="AD616" s="78"/>
      <c r="AE616" s="78"/>
      <c r="AF616" s="78"/>
      <c r="AG616" s="78"/>
      <c r="AH616" s="78"/>
      <c r="AI616" s="78"/>
      <c r="AJ616" s="78"/>
      <c r="AK616" s="78"/>
      <c r="AL616" s="78"/>
      <c r="AM616" s="78"/>
      <c r="AN616" s="78"/>
      <c r="AO616" s="78"/>
      <c r="AP616" s="78"/>
      <c r="AQ616" s="78"/>
      <c r="AR616" s="78"/>
      <c r="AS616" s="78"/>
      <c r="AT616" s="91"/>
      <c r="AU616" s="78"/>
      <c r="AV616" s="78"/>
      <c r="AW616" s="78"/>
      <c r="AX616" s="78"/>
      <c r="AY616" s="78"/>
      <c r="AZ616" s="78"/>
      <c r="BA616" s="78"/>
      <c r="BB616" s="78"/>
      <c r="BC616" s="78"/>
      <c r="BD616" s="78"/>
      <c r="BE616" s="78"/>
      <c r="BF616" s="78"/>
      <c r="BG616" s="78"/>
      <c r="BH616" s="78"/>
      <c r="BI616" s="78"/>
      <c r="BJ616" s="78"/>
      <c r="BK616" s="78"/>
      <c r="BL616" s="78"/>
      <c r="BM616" s="78"/>
      <c r="BN616" s="78"/>
      <c r="BO616" s="78"/>
      <c r="BP616" s="78"/>
      <c r="BQ616" s="78"/>
      <c r="BR616" s="78"/>
      <c r="BS616" s="78"/>
      <c r="BT616" s="78"/>
      <c r="BU616" s="78"/>
      <c r="BV616" s="78"/>
      <c r="BW616" s="78"/>
      <c r="BX616" s="78"/>
      <c r="BY616" s="78"/>
      <c r="BZ616" s="78"/>
      <c r="CA616" s="78"/>
      <c r="CB616" s="78"/>
      <c r="CC616" s="78"/>
      <c r="CD616" s="78"/>
      <c r="CE616" s="78"/>
      <c r="CF616" s="78"/>
      <c r="CG616" s="78"/>
      <c r="CH616" s="78"/>
      <c r="CI616" s="78"/>
      <c r="CJ616" s="78"/>
      <c r="CK616" s="78"/>
      <c r="CL616" s="78"/>
      <c r="CM616" s="78"/>
      <c r="CN616" s="78"/>
      <c r="CO616" s="78"/>
      <c r="CP616" s="78"/>
      <c r="CQ616" s="78"/>
      <c r="CR616" s="78"/>
      <c r="CS616" s="78"/>
      <c r="CT616" s="78"/>
      <c r="CU616" s="78"/>
      <c r="CV616" s="78"/>
      <c r="CW616" s="78"/>
      <c r="CX616" s="78"/>
      <c r="CY616" s="78"/>
      <c r="CZ616" s="78"/>
      <c r="DA616" s="78"/>
      <c r="DB616" s="78"/>
      <c r="DC616" s="78"/>
      <c r="DD616" s="78"/>
      <c r="DE616" s="78"/>
      <c r="DF616" s="78"/>
      <c r="DG616" s="78"/>
      <c r="DH616" s="78"/>
      <c r="DI616" s="78"/>
      <c r="DJ616" s="78"/>
      <c r="DK616" s="78"/>
      <c r="DL616" s="78"/>
      <c r="DM616" s="78"/>
      <c r="DN616" s="78"/>
      <c r="DO616" s="78"/>
      <c r="DP616" s="78"/>
      <c r="DQ616" s="78"/>
      <c r="DR616" s="78"/>
      <c r="DS616" s="78"/>
      <c r="DT616" s="78"/>
      <c r="DU616" s="78"/>
      <c r="DV616" s="78"/>
      <c r="DW616" s="78"/>
      <c r="DX616" s="78"/>
      <c r="DY616" s="78"/>
      <c r="DZ616" s="78"/>
      <c r="EA616" s="78"/>
      <c r="EB616" s="78"/>
      <c r="EC616" s="78"/>
      <c r="ED616" s="78"/>
      <c r="EE616" s="78"/>
      <c r="EF616" s="78"/>
      <c r="EG616" s="78"/>
      <c r="EH616" s="78"/>
      <c r="EI616" s="91"/>
      <c r="EJ616" s="91"/>
      <c r="EK616" s="91"/>
      <c r="EL616" s="91"/>
      <c r="EM616" s="91"/>
      <c r="EN616" s="91"/>
      <c r="EO616" s="91"/>
      <c r="EP616" s="78"/>
      <c r="EQ616" s="78"/>
      <c r="ER616" s="78"/>
      <c r="ES616" s="78"/>
      <c r="ET616" s="78"/>
      <c r="EU616" s="78"/>
      <c r="EV616" s="78"/>
      <c r="EW616" s="78"/>
      <c r="EX616" s="78"/>
      <c r="EY616" s="78"/>
      <c r="EZ616" s="78"/>
      <c r="FA616" s="78"/>
      <c r="FB616" s="78"/>
      <c r="FC616" s="78"/>
      <c r="FD616" s="78"/>
      <c r="FE616" s="78"/>
      <c r="FF616" s="78"/>
      <c r="FG616" s="78"/>
      <c r="FH616" s="78"/>
      <c r="FI616" s="78"/>
      <c r="FJ616" s="78"/>
      <c r="FK616" s="78"/>
    </row>
    <row r="617" spans="1:167" hidden="1" outlineLevel="1">
      <c r="A617" s="29" t="str">
        <f t="shared" si="42"/>
        <v>lt002_insrmntavrg_blnc_off_blnc</v>
      </c>
      <c r="B617" s="67" t="s">
        <v>31</v>
      </c>
      <c r="C617" s="68" t="s">
        <v>31</v>
      </c>
      <c r="D617" s="64" t="s">
        <v>40</v>
      </c>
      <c r="E617" s="66" t="s">
        <v>574</v>
      </c>
      <c r="F617" s="64" t="s">
        <v>592</v>
      </c>
      <c r="G617" s="64" t="e">
        <f>INDEX(Auxiliar!$B$16:$B$24,MATCH(Plano_V1!H617,Auxiliar!$C$16:$C$24,0),1)</f>
        <v>#N/A</v>
      </c>
      <c r="H617" s="64" t="e">
        <f>VLOOKUP(A617,'Aux - pivots1'!$A:$B,2,0)</f>
        <v>#N/A</v>
      </c>
      <c r="I617" s="84">
        <f>SUMIFS(Table1[Estimação (horas)],Table1[Tabela],Plano_V1!E617,Table1[Campo],Plano_V1!F617)</f>
        <v>0</v>
      </c>
      <c r="J617" s="84">
        <f t="shared" si="41"/>
        <v>0</v>
      </c>
      <c r="K617" s="89" t="s">
        <v>39</v>
      </c>
      <c r="L617" s="90">
        <f t="shared" si="40"/>
        <v>0</v>
      </c>
      <c r="M617" s="78"/>
      <c r="N617" s="78"/>
      <c r="O617" s="78"/>
      <c r="P617" s="78"/>
      <c r="Q617" s="78"/>
      <c r="R617" s="78"/>
      <c r="S617" s="78"/>
      <c r="T617" s="78"/>
      <c r="U617" s="78"/>
      <c r="V617" s="78"/>
      <c r="W617" s="78"/>
      <c r="X617" s="78"/>
      <c r="Y617" s="78"/>
      <c r="Z617" s="78"/>
      <c r="AA617" s="78"/>
      <c r="AB617" s="78"/>
      <c r="AC617" s="78"/>
      <c r="AD617" s="78"/>
      <c r="AE617" s="78"/>
      <c r="AF617" s="78"/>
      <c r="AG617" s="78"/>
      <c r="AH617" s="78"/>
      <c r="AI617" s="78"/>
      <c r="AJ617" s="78"/>
      <c r="AK617" s="78"/>
      <c r="AL617" s="78"/>
      <c r="AM617" s="78"/>
      <c r="AN617" s="78"/>
      <c r="AO617" s="78"/>
      <c r="AP617" s="78"/>
      <c r="AQ617" s="78"/>
      <c r="AR617" s="78"/>
      <c r="AS617" s="78"/>
      <c r="AT617" s="91"/>
      <c r="AU617" s="78"/>
      <c r="AV617" s="78"/>
      <c r="AW617" s="78"/>
      <c r="AX617" s="78"/>
      <c r="AY617" s="78"/>
      <c r="AZ617" s="78"/>
      <c r="BA617" s="78"/>
      <c r="BB617" s="78"/>
      <c r="BC617" s="78"/>
      <c r="BD617" s="78"/>
      <c r="BE617" s="78"/>
      <c r="BF617" s="78"/>
      <c r="BG617" s="78"/>
      <c r="BH617" s="78"/>
      <c r="BI617" s="78"/>
      <c r="BJ617" s="78"/>
      <c r="BK617" s="78"/>
      <c r="BL617" s="78"/>
      <c r="BM617" s="78"/>
      <c r="BN617" s="78"/>
      <c r="BO617" s="78"/>
      <c r="BP617" s="78"/>
      <c r="BQ617" s="78"/>
      <c r="BR617" s="78"/>
      <c r="BS617" s="78"/>
      <c r="BT617" s="78"/>
      <c r="BU617" s="78"/>
      <c r="BV617" s="78"/>
      <c r="BW617" s="78"/>
      <c r="BX617" s="78"/>
      <c r="BY617" s="78"/>
      <c r="BZ617" s="78"/>
      <c r="CA617" s="78"/>
      <c r="CB617" s="78"/>
      <c r="CC617" s="78"/>
      <c r="CD617" s="78"/>
      <c r="CE617" s="78"/>
      <c r="CF617" s="78"/>
      <c r="CG617" s="78"/>
      <c r="CH617" s="78"/>
      <c r="CI617" s="78"/>
      <c r="CJ617" s="78"/>
      <c r="CK617" s="78"/>
      <c r="CL617" s="78"/>
      <c r="CM617" s="78"/>
      <c r="CN617" s="78"/>
      <c r="CO617" s="78"/>
      <c r="CP617" s="78"/>
      <c r="CQ617" s="78"/>
      <c r="CR617" s="78"/>
      <c r="CS617" s="78"/>
      <c r="CT617" s="78"/>
      <c r="CU617" s="78"/>
      <c r="CV617" s="78"/>
      <c r="CW617" s="78"/>
      <c r="CX617" s="78"/>
      <c r="CY617" s="78"/>
      <c r="CZ617" s="78"/>
      <c r="DA617" s="78"/>
      <c r="DB617" s="78"/>
      <c r="DC617" s="78"/>
      <c r="DD617" s="78"/>
      <c r="DE617" s="78"/>
      <c r="DF617" s="78"/>
      <c r="DG617" s="78"/>
      <c r="DH617" s="78"/>
      <c r="DI617" s="78"/>
      <c r="DJ617" s="78"/>
      <c r="DK617" s="78"/>
      <c r="DL617" s="78"/>
      <c r="DM617" s="78"/>
      <c r="DN617" s="78"/>
      <c r="DO617" s="78"/>
      <c r="DP617" s="78"/>
      <c r="DQ617" s="78"/>
      <c r="DR617" s="78"/>
      <c r="DS617" s="78"/>
      <c r="DT617" s="78"/>
      <c r="DU617" s="78"/>
      <c r="DV617" s="78"/>
      <c r="DW617" s="78"/>
      <c r="DX617" s="78"/>
      <c r="DY617" s="78"/>
      <c r="DZ617" s="78"/>
      <c r="EA617" s="78"/>
      <c r="EB617" s="78"/>
      <c r="EC617" s="78"/>
      <c r="ED617" s="78"/>
      <c r="EE617" s="78"/>
      <c r="EF617" s="78"/>
      <c r="EG617" s="78"/>
      <c r="EH617" s="78"/>
      <c r="EI617" s="91"/>
      <c r="EJ617" s="91"/>
      <c r="EK617" s="91"/>
      <c r="EL617" s="91"/>
      <c r="EM617" s="91"/>
      <c r="EN617" s="91"/>
      <c r="EO617" s="91"/>
      <c r="EP617" s="78"/>
      <c r="EQ617" s="78"/>
      <c r="ER617" s="78"/>
      <c r="ES617" s="78"/>
      <c r="ET617" s="78"/>
      <c r="EU617" s="78"/>
      <c r="EV617" s="78"/>
      <c r="EW617" s="78"/>
      <c r="EX617" s="78"/>
      <c r="EY617" s="78"/>
      <c r="EZ617" s="78"/>
      <c r="FA617" s="78"/>
      <c r="FB617" s="78"/>
      <c r="FC617" s="78"/>
      <c r="FD617" s="78"/>
      <c r="FE617" s="78"/>
      <c r="FF617" s="78"/>
      <c r="FG617" s="78"/>
      <c r="FH617" s="78"/>
      <c r="FI617" s="78"/>
      <c r="FJ617" s="78"/>
      <c r="FK617" s="78"/>
    </row>
    <row r="618" spans="1:167" hidden="1" outlineLevel="1">
      <c r="A618" s="29" t="str">
        <f t="shared" si="42"/>
        <v>lt002_insrmntbsnss_area_ccrr</v>
      </c>
      <c r="B618" s="67" t="s">
        <v>31</v>
      </c>
      <c r="C618" s="68" t="s">
        <v>31</v>
      </c>
      <c r="D618" s="64" t="s">
        <v>40</v>
      </c>
      <c r="E618" s="66" t="s">
        <v>574</v>
      </c>
      <c r="F618" s="64" t="s">
        <v>593</v>
      </c>
      <c r="G618" s="64" t="e">
        <f>INDEX(Auxiliar!$B$16:$B$24,MATCH(Plano_V1!H618,Auxiliar!$C$16:$C$24,0),1)</f>
        <v>#N/A</v>
      </c>
      <c r="H618" s="64" t="e">
        <f>VLOOKUP(A618,'Aux - pivots1'!$A:$B,2,0)</f>
        <v>#N/A</v>
      </c>
      <c r="I618" s="84">
        <f>SUMIFS(Table1[Estimação (horas)],Table1[Tabela],Plano_V1!E618,Table1[Campo],Plano_V1!F618)</f>
        <v>0</v>
      </c>
      <c r="J618" s="84">
        <f t="shared" si="41"/>
        <v>0</v>
      </c>
      <c r="K618" s="89" t="s">
        <v>39</v>
      </c>
      <c r="L618" s="90">
        <f t="shared" si="40"/>
        <v>0</v>
      </c>
      <c r="M618" s="78"/>
      <c r="N618" s="78"/>
      <c r="O618" s="78"/>
      <c r="P618" s="78"/>
      <c r="Q618" s="78"/>
      <c r="R618" s="78"/>
      <c r="S618" s="78"/>
      <c r="T618" s="78"/>
      <c r="U618" s="78"/>
      <c r="V618" s="78"/>
      <c r="W618" s="78"/>
      <c r="X618" s="78"/>
      <c r="Y618" s="78"/>
      <c r="Z618" s="78"/>
      <c r="AA618" s="78"/>
      <c r="AB618" s="78"/>
      <c r="AC618" s="78"/>
      <c r="AD618" s="78"/>
      <c r="AE618" s="78"/>
      <c r="AF618" s="78"/>
      <c r="AG618" s="78"/>
      <c r="AH618" s="78"/>
      <c r="AI618" s="78"/>
      <c r="AJ618" s="78"/>
      <c r="AK618" s="78"/>
      <c r="AL618" s="78"/>
      <c r="AM618" s="78"/>
      <c r="AN618" s="78"/>
      <c r="AO618" s="78"/>
      <c r="AP618" s="78"/>
      <c r="AQ618" s="78"/>
      <c r="AR618" s="78"/>
      <c r="AS618" s="78"/>
      <c r="AT618" s="91"/>
      <c r="AU618" s="78"/>
      <c r="AV618" s="78"/>
      <c r="AW618" s="78"/>
      <c r="AX618" s="78"/>
      <c r="AY618" s="78"/>
      <c r="AZ618" s="78"/>
      <c r="BA618" s="78"/>
      <c r="BB618" s="78"/>
      <c r="BC618" s="78"/>
      <c r="BD618" s="78"/>
      <c r="BE618" s="78"/>
      <c r="BF618" s="78"/>
      <c r="BG618" s="78"/>
      <c r="BH618" s="78"/>
      <c r="BI618" s="78"/>
      <c r="BJ618" s="78"/>
      <c r="BK618" s="78"/>
      <c r="BL618" s="78"/>
      <c r="BM618" s="78"/>
      <c r="BN618" s="78"/>
      <c r="BO618" s="78"/>
      <c r="BP618" s="78"/>
      <c r="BQ618" s="78"/>
      <c r="BR618" s="78"/>
      <c r="BS618" s="78"/>
      <c r="BT618" s="78"/>
      <c r="BU618" s="78"/>
      <c r="BV618" s="78"/>
      <c r="BW618" s="78"/>
      <c r="BX618" s="78"/>
      <c r="BY618" s="78"/>
      <c r="BZ618" s="78"/>
      <c r="CA618" s="78"/>
      <c r="CB618" s="78"/>
      <c r="CC618" s="78"/>
      <c r="CD618" s="78"/>
      <c r="CE618" s="78"/>
      <c r="CF618" s="78"/>
      <c r="CG618" s="78"/>
      <c r="CH618" s="78"/>
      <c r="CI618" s="78"/>
      <c r="CJ618" s="78"/>
      <c r="CK618" s="78"/>
      <c r="CL618" s="78"/>
      <c r="CM618" s="78"/>
      <c r="CN618" s="78"/>
      <c r="CO618" s="78"/>
      <c r="CP618" s="78"/>
      <c r="CQ618" s="78"/>
      <c r="CR618" s="78"/>
      <c r="CS618" s="78"/>
      <c r="CT618" s="78"/>
      <c r="CU618" s="78"/>
      <c r="CV618" s="78"/>
      <c r="CW618" s="78"/>
      <c r="CX618" s="78"/>
      <c r="CY618" s="78"/>
      <c r="CZ618" s="78"/>
      <c r="DA618" s="78"/>
      <c r="DB618" s="78"/>
      <c r="DC618" s="78"/>
      <c r="DD618" s="78"/>
      <c r="DE618" s="78"/>
      <c r="DF618" s="78"/>
      <c r="DG618" s="78"/>
      <c r="DH618" s="78"/>
      <c r="DI618" s="78"/>
      <c r="DJ618" s="78"/>
      <c r="DK618" s="78"/>
      <c r="DL618" s="78"/>
      <c r="DM618" s="78"/>
      <c r="DN618" s="78"/>
      <c r="DO618" s="78"/>
      <c r="DP618" s="78"/>
      <c r="DQ618" s="78"/>
      <c r="DR618" s="78"/>
      <c r="DS618" s="78"/>
      <c r="DT618" s="78"/>
      <c r="DU618" s="78"/>
      <c r="DV618" s="78"/>
      <c r="DW618" s="78"/>
      <c r="DX618" s="78"/>
      <c r="DY618" s="78"/>
      <c r="DZ618" s="78"/>
      <c r="EA618" s="78"/>
      <c r="EB618" s="78"/>
      <c r="EC618" s="78"/>
      <c r="ED618" s="78"/>
      <c r="EE618" s="78"/>
      <c r="EF618" s="78"/>
      <c r="EG618" s="78"/>
      <c r="EH618" s="78"/>
      <c r="EI618" s="91"/>
      <c r="EJ618" s="91"/>
      <c r="EK618" s="91"/>
      <c r="EL618" s="91"/>
      <c r="EM618" s="91"/>
      <c r="EN618" s="91"/>
      <c r="EO618" s="91"/>
      <c r="EP618" s="78"/>
      <c r="EQ618" s="78"/>
      <c r="ER618" s="78"/>
      <c r="ES618" s="78"/>
      <c r="ET618" s="78"/>
      <c r="EU618" s="78"/>
      <c r="EV618" s="78"/>
      <c r="EW618" s="78"/>
      <c r="EX618" s="78"/>
      <c r="EY618" s="78"/>
      <c r="EZ618" s="78"/>
      <c r="FA618" s="78"/>
      <c r="FB618" s="78"/>
      <c r="FC618" s="78"/>
      <c r="FD618" s="78"/>
      <c r="FE618" s="78"/>
      <c r="FF618" s="78"/>
      <c r="FG618" s="78"/>
      <c r="FH618" s="78"/>
      <c r="FI618" s="78"/>
      <c r="FJ618" s="78"/>
      <c r="FK618" s="78"/>
    </row>
    <row r="619" spans="1:167" hidden="1" outlineLevel="1">
      <c r="A619" s="29" t="str">
        <f t="shared" si="42"/>
        <v>lt002_insrmntgrss_cmmssn_incm_off_blnc</v>
      </c>
      <c r="B619" s="67" t="s">
        <v>31</v>
      </c>
      <c r="C619" s="68" t="s">
        <v>31</v>
      </c>
      <c r="D619" s="64" t="s">
        <v>40</v>
      </c>
      <c r="E619" s="66" t="s">
        <v>574</v>
      </c>
      <c r="F619" s="69" t="s">
        <v>422</v>
      </c>
      <c r="G619" s="64" t="e">
        <f>INDEX(Auxiliar!$B$16:$B$24,MATCH(Plano_V1!H619,Auxiliar!$C$16:$C$24,0),1)</f>
        <v>#N/A</v>
      </c>
      <c r="H619" s="64" t="e">
        <f>VLOOKUP(A619,'Aux - pivots1'!$A:$B,2,0)</f>
        <v>#N/A</v>
      </c>
      <c r="I619" s="84">
        <f>SUMIFS(Table1[Estimação (horas)],Table1[Tabela],Plano_V1!E619,Table1[Campo],Plano_V1!F619)</f>
        <v>0</v>
      </c>
      <c r="J619" s="84">
        <f t="shared" si="41"/>
        <v>0</v>
      </c>
      <c r="K619" s="89" t="s">
        <v>39</v>
      </c>
      <c r="L619" s="90">
        <f t="shared" si="40"/>
        <v>0</v>
      </c>
      <c r="M619" s="78"/>
      <c r="N619" s="78"/>
      <c r="O619" s="78"/>
      <c r="P619" s="78"/>
      <c r="Q619" s="78"/>
      <c r="R619" s="78"/>
      <c r="S619" s="78"/>
      <c r="T619" s="78"/>
      <c r="U619" s="78"/>
      <c r="V619" s="78"/>
      <c r="W619" s="78"/>
      <c r="X619" s="78"/>
      <c r="Y619" s="78"/>
      <c r="Z619" s="78"/>
      <c r="AA619" s="78"/>
      <c r="AB619" s="78"/>
      <c r="AC619" s="78"/>
      <c r="AD619" s="78"/>
      <c r="AE619" s="78"/>
      <c r="AF619" s="78"/>
      <c r="AG619" s="78"/>
      <c r="AH619" s="78"/>
      <c r="AI619" s="78"/>
      <c r="AJ619" s="78"/>
      <c r="AK619" s="78"/>
      <c r="AL619" s="78"/>
      <c r="AM619" s="78"/>
      <c r="AN619" s="78"/>
      <c r="AO619" s="78"/>
      <c r="AP619" s="78"/>
      <c r="AQ619" s="78"/>
      <c r="AR619" s="78"/>
      <c r="AS619" s="78"/>
      <c r="AT619" s="91"/>
      <c r="AU619" s="78"/>
      <c r="AV619" s="78"/>
      <c r="AW619" s="78"/>
      <c r="AX619" s="78"/>
      <c r="AY619" s="78"/>
      <c r="AZ619" s="78"/>
      <c r="BA619" s="78"/>
      <c r="BB619" s="78"/>
      <c r="BC619" s="78"/>
      <c r="BD619" s="78"/>
      <c r="BE619" s="78"/>
      <c r="BF619" s="78"/>
      <c r="BG619" s="78"/>
      <c r="BH619" s="78"/>
      <c r="BI619" s="78"/>
      <c r="BJ619" s="78"/>
      <c r="BK619" s="78"/>
      <c r="BL619" s="78"/>
      <c r="BM619" s="78"/>
      <c r="BN619" s="78"/>
      <c r="BO619" s="78"/>
      <c r="BP619" s="78"/>
      <c r="BQ619" s="78"/>
      <c r="BR619" s="78"/>
      <c r="BS619" s="78"/>
      <c r="BT619" s="78"/>
      <c r="BU619" s="78"/>
      <c r="BV619" s="78"/>
      <c r="BW619" s="78"/>
      <c r="BX619" s="78"/>
      <c r="BY619" s="78"/>
      <c r="BZ619" s="78"/>
      <c r="CA619" s="78"/>
      <c r="CB619" s="78"/>
      <c r="CC619" s="78"/>
      <c r="CD619" s="78"/>
      <c r="CE619" s="78"/>
      <c r="CF619" s="78"/>
      <c r="CG619" s="78"/>
      <c r="CH619" s="78"/>
      <c r="CI619" s="78"/>
      <c r="CJ619" s="78"/>
      <c r="CK619" s="78"/>
      <c r="CL619" s="78"/>
      <c r="CM619" s="78"/>
      <c r="CN619" s="78"/>
      <c r="CO619" s="78"/>
      <c r="CP619" s="78"/>
      <c r="CQ619" s="78"/>
      <c r="CR619" s="78"/>
      <c r="CS619" s="78"/>
      <c r="CT619" s="78"/>
      <c r="CU619" s="78"/>
      <c r="CV619" s="78"/>
      <c r="CW619" s="78"/>
      <c r="CX619" s="78"/>
      <c r="CY619" s="78"/>
      <c r="CZ619" s="78"/>
      <c r="DA619" s="78"/>
      <c r="DB619" s="78"/>
      <c r="DC619" s="78"/>
      <c r="DD619" s="78"/>
      <c r="DE619" s="78"/>
      <c r="DF619" s="78"/>
      <c r="DG619" s="78"/>
      <c r="DH619" s="78"/>
      <c r="DI619" s="78"/>
      <c r="DJ619" s="78"/>
      <c r="DK619" s="78"/>
      <c r="DL619" s="78"/>
      <c r="DM619" s="78"/>
      <c r="DN619" s="78"/>
      <c r="DO619" s="78"/>
      <c r="DP619" s="78"/>
      <c r="DQ619" s="78"/>
      <c r="DR619" s="78"/>
      <c r="DS619" s="78"/>
      <c r="DT619" s="78"/>
      <c r="DU619" s="78"/>
      <c r="DV619" s="78"/>
      <c r="DW619" s="78"/>
      <c r="DX619" s="78"/>
      <c r="DY619" s="78"/>
      <c r="DZ619" s="78"/>
      <c r="EA619" s="78"/>
      <c r="EB619" s="78"/>
      <c r="EC619" s="78"/>
      <c r="ED619" s="78"/>
      <c r="EE619" s="78"/>
      <c r="EF619" s="78"/>
      <c r="EG619" s="78"/>
      <c r="EH619" s="78"/>
      <c r="EI619" s="91"/>
      <c r="EJ619" s="91"/>
      <c r="EK619" s="91"/>
      <c r="EL619" s="91"/>
      <c r="EM619" s="91"/>
      <c r="EN619" s="91"/>
      <c r="EO619" s="91"/>
      <c r="EP619" s="78"/>
      <c r="EQ619" s="78"/>
      <c r="ER619" s="78"/>
      <c r="ES619" s="78"/>
      <c r="ET619" s="78"/>
      <c r="EU619" s="78"/>
      <c r="EV619" s="78"/>
      <c r="EW619" s="78"/>
      <c r="EX619" s="78"/>
      <c r="EY619" s="78"/>
      <c r="EZ619" s="78"/>
      <c r="FA619" s="78"/>
      <c r="FB619" s="78"/>
      <c r="FC619" s="78"/>
      <c r="FD619" s="78"/>
      <c r="FE619" s="78"/>
      <c r="FF619" s="78"/>
      <c r="FG619" s="78"/>
      <c r="FH619" s="78"/>
      <c r="FI619" s="78"/>
      <c r="FJ619" s="78"/>
      <c r="FK619" s="78"/>
    </row>
    <row r="620" spans="1:167" hidden="1" outlineLevel="1">
      <c r="A620" s="29" t="str">
        <f t="shared" si="42"/>
        <v>lt002_insrmntgrss_cmmssn_expns_off_blnc_ccrr</v>
      </c>
      <c r="B620" s="67" t="s">
        <v>31</v>
      </c>
      <c r="C620" s="68" t="s">
        <v>31</v>
      </c>
      <c r="D620" s="64" t="s">
        <v>40</v>
      </c>
      <c r="E620" s="66" t="s">
        <v>574</v>
      </c>
      <c r="F620" s="64" t="s">
        <v>594</v>
      </c>
      <c r="G620" s="64" t="e">
        <f>INDEX(Auxiliar!$B$16:$B$24,MATCH(Plano_V1!H620,Auxiliar!$C$16:$C$24,0),1)</f>
        <v>#N/A</v>
      </c>
      <c r="H620" s="64" t="e">
        <f>VLOOKUP(A620,'Aux - pivots1'!$A:$B,2,0)</f>
        <v>#N/A</v>
      </c>
      <c r="I620" s="84">
        <f>SUMIFS(Table1[Estimação (horas)],Table1[Tabela],Plano_V1!E620,Table1[Campo],Plano_V1!F620)</f>
        <v>0</v>
      </c>
      <c r="J620" s="84">
        <f t="shared" si="41"/>
        <v>0</v>
      </c>
      <c r="K620" s="89" t="s">
        <v>39</v>
      </c>
      <c r="L620" s="90">
        <f t="shared" si="40"/>
        <v>0</v>
      </c>
      <c r="M620" s="78"/>
      <c r="N620" s="78"/>
      <c r="O620" s="78"/>
      <c r="P620" s="78"/>
      <c r="Q620" s="78"/>
      <c r="R620" s="78"/>
      <c r="S620" s="78"/>
      <c r="T620" s="78"/>
      <c r="U620" s="78"/>
      <c r="V620" s="78"/>
      <c r="W620" s="78"/>
      <c r="X620" s="78"/>
      <c r="Y620" s="78"/>
      <c r="Z620" s="78"/>
      <c r="AA620" s="78"/>
      <c r="AB620" s="78"/>
      <c r="AC620" s="78"/>
      <c r="AD620" s="78"/>
      <c r="AE620" s="78"/>
      <c r="AF620" s="78"/>
      <c r="AG620" s="78"/>
      <c r="AH620" s="78"/>
      <c r="AI620" s="78"/>
      <c r="AJ620" s="78"/>
      <c r="AK620" s="78"/>
      <c r="AL620" s="78"/>
      <c r="AM620" s="78"/>
      <c r="AN620" s="78"/>
      <c r="AO620" s="78"/>
      <c r="AP620" s="78"/>
      <c r="AQ620" s="78"/>
      <c r="AR620" s="78"/>
      <c r="AS620" s="78"/>
      <c r="AT620" s="91"/>
      <c r="AU620" s="78"/>
      <c r="AV620" s="78"/>
      <c r="AW620" s="78"/>
      <c r="AX620" s="78"/>
      <c r="AY620" s="78"/>
      <c r="AZ620" s="78"/>
      <c r="BA620" s="78"/>
      <c r="BB620" s="78"/>
      <c r="BC620" s="78"/>
      <c r="BD620" s="78"/>
      <c r="BE620" s="78"/>
      <c r="BF620" s="78"/>
      <c r="BG620" s="78"/>
      <c r="BH620" s="78"/>
      <c r="BI620" s="78"/>
      <c r="BJ620" s="78"/>
      <c r="BK620" s="78"/>
      <c r="BL620" s="78"/>
      <c r="BM620" s="78"/>
      <c r="BN620" s="78"/>
      <c r="BO620" s="78"/>
      <c r="BP620" s="78"/>
      <c r="BQ620" s="78"/>
      <c r="BR620" s="78"/>
      <c r="BS620" s="78"/>
      <c r="BT620" s="78"/>
      <c r="BU620" s="78"/>
      <c r="BV620" s="78"/>
      <c r="BW620" s="78"/>
      <c r="BX620" s="78"/>
      <c r="BY620" s="78"/>
      <c r="BZ620" s="78"/>
      <c r="CA620" s="78"/>
      <c r="CB620" s="78"/>
      <c r="CC620" s="78"/>
      <c r="CD620" s="78"/>
      <c r="CE620" s="78"/>
      <c r="CF620" s="78"/>
      <c r="CG620" s="78"/>
      <c r="CH620" s="78"/>
      <c r="CI620" s="78"/>
      <c r="CJ620" s="78"/>
      <c r="CK620" s="78"/>
      <c r="CL620" s="78"/>
      <c r="CM620" s="78"/>
      <c r="CN620" s="78"/>
      <c r="CO620" s="78"/>
      <c r="CP620" s="78"/>
      <c r="CQ620" s="78"/>
      <c r="CR620" s="78"/>
      <c r="CS620" s="78"/>
      <c r="CT620" s="78"/>
      <c r="CU620" s="78"/>
      <c r="CV620" s="78"/>
      <c r="CW620" s="78"/>
      <c r="CX620" s="78"/>
      <c r="CY620" s="78"/>
      <c r="CZ620" s="78"/>
      <c r="DA620" s="78"/>
      <c r="DB620" s="78"/>
      <c r="DC620" s="78"/>
      <c r="DD620" s="78"/>
      <c r="DE620" s="78"/>
      <c r="DF620" s="78"/>
      <c r="DG620" s="78"/>
      <c r="DH620" s="78"/>
      <c r="DI620" s="78"/>
      <c r="DJ620" s="78"/>
      <c r="DK620" s="78"/>
      <c r="DL620" s="78"/>
      <c r="DM620" s="78"/>
      <c r="DN620" s="78"/>
      <c r="DO620" s="78"/>
      <c r="DP620" s="78"/>
      <c r="DQ620" s="78"/>
      <c r="DR620" s="78"/>
      <c r="DS620" s="78"/>
      <c r="DT620" s="78"/>
      <c r="DU620" s="78"/>
      <c r="DV620" s="78"/>
      <c r="DW620" s="78"/>
      <c r="DX620" s="78"/>
      <c r="DY620" s="78"/>
      <c r="DZ620" s="78"/>
      <c r="EA620" s="78"/>
      <c r="EB620" s="78"/>
      <c r="EC620" s="78"/>
      <c r="ED620" s="78"/>
      <c r="EE620" s="78"/>
      <c r="EF620" s="78"/>
      <c r="EG620" s="78"/>
      <c r="EH620" s="78"/>
      <c r="EI620" s="91"/>
      <c r="EJ620" s="91"/>
      <c r="EK620" s="91"/>
      <c r="EL620" s="91"/>
      <c r="EM620" s="91"/>
      <c r="EN620" s="91"/>
      <c r="EO620" s="91"/>
      <c r="EP620" s="78"/>
      <c r="EQ620" s="78"/>
      <c r="ER620" s="78"/>
      <c r="ES620" s="78"/>
      <c r="ET620" s="78"/>
      <c r="EU620" s="78"/>
      <c r="EV620" s="78"/>
      <c r="EW620" s="78"/>
      <c r="EX620" s="78"/>
      <c r="EY620" s="78"/>
      <c r="EZ620" s="78"/>
      <c r="FA620" s="78"/>
      <c r="FB620" s="78"/>
      <c r="FC620" s="78"/>
      <c r="FD620" s="78"/>
      <c r="FE620" s="78"/>
      <c r="FF620" s="78"/>
      <c r="FG620" s="78"/>
      <c r="FH620" s="78"/>
      <c r="FI620" s="78"/>
      <c r="FJ620" s="78"/>
      <c r="FK620" s="78"/>
    </row>
    <row r="621" spans="1:167" hidden="1" outlineLevel="1">
      <c r="A621" s="29" t="str">
        <f t="shared" si="42"/>
        <v>lt002_insrmntgrss_cmmssn_expns_off_blnc</v>
      </c>
      <c r="B621" s="67" t="s">
        <v>31</v>
      </c>
      <c r="C621" s="68" t="s">
        <v>31</v>
      </c>
      <c r="D621" s="64" t="s">
        <v>40</v>
      </c>
      <c r="E621" s="66" t="s">
        <v>574</v>
      </c>
      <c r="F621" s="64" t="s">
        <v>595</v>
      </c>
      <c r="G621" s="64" t="e">
        <f>INDEX(Auxiliar!$B$16:$B$24,MATCH(Plano_V1!H621,Auxiliar!$C$16:$C$24,0),1)</f>
        <v>#N/A</v>
      </c>
      <c r="H621" s="64" t="e">
        <f>VLOOKUP(A621,'Aux - pivots1'!$A:$B,2,0)</f>
        <v>#N/A</v>
      </c>
      <c r="I621" s="84">
        <f>SUMIFS(Table1[Estimação (horas)],Table1[Tabela],Plano_V1!E621,Table1[Campo],Plano_V1!F621)</f>
        <v>0</v>
      </c>
      <c r="J621" s="84">
        <f t="shared" si="41"/>
        <v>0</v>
      </c>
      <c r="K621" s="89" t="s">
        <v>39</v>
      </c>
      <c r="L621" s="90">
        <f t="shared" si="40"/>
        <v>0</v>
      </c>
      <c r="M621" s="78"/>
      <c r="N621" s="78"/>
      <c r="O621" s="78"/>
      <c r="P621" s="78"/>
      <c r="Q621" s="78"/>
      <c r="R621" s="78"/>
      <c r="S621" s="78"/>
      <c r="T621" s="78"/>
      <c r="U621" s="78"/>
      <c r="V621" s="78"/>
      <c r="W621" s="78"/>
      <c r="X621" s="78"/>
      <c r="Y621" s="78"/>
      <c r="Z621" s="78"/>
      <c r="AA621" s="78"/>
      <c r="AB621" s="78"/>
      <c r="AC621" s="78"/>
      <c r="AD621" s="78"/>
      <c r="AE621" s="78"/>
      <c r="AF621" s="78"/>
      <c r="AG621" s="78"/>
      <c r="AH621" s="78"/>
      <c r="AI621" s="78"/>
      <c r="AJ621" s="78"/>
      <c r="AK621" s="78"/>
      <c r="AL621" s="78"/>
      <c r="AM621" s="78"/>
      <c r="AN621" s="78"/>
      <c r="AO621" s="78"/>
      <c r="AP621" s="78"/>
      <c r="AQ621" s="78"/>
      <c r="AR621" s="78"/>
      <c r="AS621" s="78"/>
      <c r="AT621" s="91"/>
      <c r="AU621" s="78"/>
      <c r="AV621" s="78"/>
      <c r="AW621" s="78"/>
      <c r="AX621" s="78"/>
      <c r="AY621" s="78"/>
      <c r="AZ621" s="78"/>
      <c r="BA621" s="78"/>
      <c r="BB621" s="78"/>
      <c r="BC621" s="78"/>
      <c r="BD621" s="78"/>
      <c r="BE621" s="78"/>
      <c r="BF621" s="78"/>
      <c r="BG621" s="78"/>
      <c r="BH621" s="78"/>
      <c r="BI621" s="78"/>
      <c r="BJ621" s="78"/>
      <c r="BK621" s="78"/>
      <c r="BL621" s="78"/>
      <c r="BM621" s="78"/>
      <c r="BN621" s="78"/>
      <c r="BO621" s="78"/>
      <c r="BP621" s="78"/>
      <c r="BQ621" s="78"/>
      <c r="BR621" s="78"/>
      <c r="BS621" s="78"/>
      <c r="BT621" s="78"/>
      <c r="BU621" s="78"/>
      <c r="BV621" s="78"/>
      <c r="BW621" s="78"/>
      <c r="BX621" s="78"/>
      <c r="BY621" s="78"/>
      <c r="BZ621" s="78"/>
      <c r="CA621" s="78"/>
      <c r="CB621" s="78"/>
      <c r="CC621" s="78"/>
      <c r="CD621" s="78"/>
      <c r="CE621" s="78"/>
      <c r="CF621" s="78"/>
      <c r="CG621" s="78"/>
      <c r="CH621" s="78"/>
      <c r="CI621" s="78"/>
      <c r="CJ621" s="78"/>
      <c r="CK621" s="78"/>
      <c r="CL621" s="78"/>
      <c r="CM621" s="78"/>
      <c r="CN621" s="78"/>
      <c r="CO621" s="78"/>
      <c r="CP621" s="78"/>
      <c r="CQ621" s="78"/>
      <c r="CR621" s="78"/>
      <c r="CS621" s="78"/>
      <c r="CT621" s="78"/>
      <c r="CU621" s="78"/>
      <c r="CV621" s="78"/>
      <c r="CW621" s="78"/>
      <c r="CX621" s="78"/>
      <c r="CY621" s="78"/>
      <c r="CZ621" s="78"/>
      <c r="DA621" s="78"/>
      <c r="DB621" s="78"/>
      <c r="DC621" s="78"/>
      <c r="DD621" s="78"/>
      <c r="DE621" s="78"/>
      <c r="DF621" s="78"/>
      <c r="DG621" s="78"/>
      <c r="DH621" s="78"/>
      <c r="DI621" s="78"/>
      <c r="DJ621" s="78"/>
      <c r="DK621" s="78"/>
      <c r="DL621" s="78"/>
      <c r="DM621" s="78"/>
      <c r="DN621" s="78"/>
      <c r="DO621" s="78"/>
      <c r="DP621" s="78"/>
      <c r="DQ621" s="78"/>
      <c r="DR621" s="78"/>
      <c r="DS621" s="78"/>
      <c r="DT621" s="78"/>
      <c r="DU621" s="78"/>
      <c r="DV621" s="78"/>
      <c r="DW621" s="78"/>
      <c r="DX621" s="78"/>
      <c r="DY621" s="78"/>
      <c r="DZ621" s="78"/>
      <c r="EA621" s="78"/>
      <c r="EB621" s="78"/>
      <c r="EC621" s="78"/>
      <c r="ED621" s="78"/>
      <c r="EE621" s="78"/>
      <c r="EF621" s="78"/>
      <c r="EG621" s="78"/>
      <c r="EH621" s="78"/>
      <c r="EI621" s="91"/>
      <c r="EJ621" s="91"/>
      <c r="EK621" s="91"/>
      <c r="EL621" s="91"/>
      <c r="EM621" s="91"/>
      <c r="EN621" s="91"/>
      <c r="EO621" s="91"/>
      <c r="EP621" s="78"/>
      <c r="EQ621" s="78"/>
      <c r="ER621" s="78"/>
      <c r="ES621" s="78"/>
      <c r="ET621" s="78"/>
      <c r="EU621" s="78"/>
      <c r="EV621" s="78"/>
      <c r="EW621" s="78"/>
      <c r="EX621" s="78"/>
      <c r="EY621" s="78"/>
      <c r="EZ621" s="78"/>
      <c r="FA621" s="78"/>
      <c r="FB621" s="78"/>
      <c r="FC621" s="78"/>
      <c r="FD621" s="78"/>
      <c r="FE621" s="78"/>
      <c r="FF621" s="78"/>
      <c r="FG621" s="78"/>
      <c r="FH621" s="78"/>
      <c r="FI621" s="78"/>
      <c r="FJ621" s="78"/>
      <c r="FK621" s="78"/>
    </row>
    <row r="622" spans="1:167" hidden="1" outlineLevel="1">
      <c r="A622" s="29" t="str">
        <f t="shared" si="42"/>
        <v>lt002_insrmntgrss_cmmssn_incm_off_blnc_ccrr</v>
      </c>
      <c r="B622" s="67" t="s">
        <v>31</v>
      </c>
      <c r="C622" s="68" t="s">
        <v>31</v>
      </c>
      <c r="D622" s="64" t="s">
        <v>40</v>
      </c>
      <c r="E622" s="66" t="s">
        <v>574</v>
      </c>
      <c r="F622" s="64" t="s">
        <v>596</v>
      </c>
      <c r="G622" s="64" t="e">
        <f>INDEX(Auxiliar!$B$16:$B$24,MATCH(Plano_V1!H622,Auxiliar!$C$16:$C$24,0),1)</f>
        <v>#N/A</v>
      </c>
      <c r="H622" s="64" t="e">
        <f>VLOOKUP(A622,'Aux - pivots1'!$A:$B,2,0)</f>
        <v>#N/A</v>
      </c>
      <c r="I622" s="84">
        <f>SUMIFS(Table1[Estimação (horas)],Table1[Tabela],Plano_V1!E622,Table1[Campo],Plano_V1!F622)</f>
        <v>0</v>
      </c>
      <c r="J622" s="84">
        <f t="shared" si="41"/>
        <v>0</v>
      </c>
      <c r="K622" s="89" t="s">
        <v>39</v>
      </c>
      <c r="L622" s="90">
        <f t="shared" si="40"/>
        <v>0</v>
      </c>
      <c r="M622" s="78"/>
      <c r="N622" s="78"/>
      <c r="O622" s="78"/>
      <c r="P622" s="78"/>
      <c r="Q622" s="78"/>
      <c r="R622" s="78"/>
      <c r="S622" s="78"/>
      <c r="T622" s="78"/>
      <c r="U622" s="78"/>
      <c r="V622" s="78"/>
      <c r="W622" s="78"/>
      <c r="X622" s="78"/>
      <c r="Y622" s="78"/>
      <c r="Z622" s="78"/>
      <c r="AA622" s="78"/>
      <c r="AB622" s="78"/>
      <c r="AC622" s="78"/>
      <c r="AD622" s="78"/>
      <c r="AE622" s="78"/>
      <c r="AF622" s="78"/>
      <c r="AG622" s="78"/>
      <c r="AH622" s="78"/>
      <c r="AI622" s="78"/>
      <c r="AJ622" s="78"/>
      <c r="AK622" s="78"/>
      <c r="AL622" s="78"/>
      <c r="AM622" s="78"/>
      <c r="AN622" s="78"/>
      <c r="AO622" s="78"/>
      <c r="AP622" s="78"/>
      <c r="AQ622" s="78"/>
      <c r="AR622" s="78"/>
      <c r="AS622" s="78"/>
      <c r="AT622" s="91"/>
      <c r="AU622" s="78"/>
      <c r="AV622" s="78"/>
      <c r="AW622" s="78"/>
      <c r="AX622" s="78"/>
      <c r="AY622" s="78"/>
      <c r="AZ622" s="78"/>
      <c r="BA622" s="78"/>
      <c r="BB622" s="78"/>
      <c r="BC622" s="78"/>
      <c r="BD622" s="78"/>
      <c r="BE622" s="78"/>
      <c r="BF622" s="78"/>
      <c r="BG622" s="78"/>
      <c r="BH622" s="78"/>
      <c r="BI622" s="78"/>
      <c r="BJ622" s="78"/>
      <c r="BK622" s="78"/>
      <c r="BL622" s="78"/>
      <c r="BM622" s="78"/>
      <c r="BN622" s="78"/>
      <c r="BO622" s="78"/>
      <c r="BP622" s="78"/>
      <c r="BQ622" s="78"/>
      <c r="BR622" s="78"/>
      <c r="BS622" s="78"/>
      <c r="BT622" s="78"/>
      <c r="BU622" s="78"/>
      <c r="BV622" s="78"/>
      <c r="BW622" s="78"/>
      <c r="BX622" s="78"/>
      <c r="BY622" s="78"/>
      <c r="BZ622" s="78"/>
      <c r="CA622" s="78"/>
      <c r="CB622" s="78"/>
      <c r="CC622" s="78"/>
      <c r="CD622" s="78"/>
      <c r="CE622" s="78"/>
      <c r="CF622" s="78"/>
      <c r="CG622" s="78"/>
      <c r="CH622" s="78"/>
      <c r="CI622" s="78"/>
      <c r="CJ622" s="78"/>
      <c r="CK622" s="78"/>
      <c r="CL622" s="78"/>
      <c r="CM622" s="78"/>
      <c r="CN622" s="78"/>
      <c r="CO622" s="78"/>
      <c r="CP622" s="78"/>
      <c r="CQ622" s="78"/>
      <c r="CR622" s="78"/>
      <c r="CS622" s="78"/>
      <c r="CT622" s="78"/>
      <c r="CU622" s="78"/>
      <c r="CV622" s="78"/>
      <c r="CW622" s="78"/>
      <c r="CX622" s="78"/>
      <c r="CY622" s="78"/>
      <c r="CZ622" s="78"/>
      <c r="DA622" s="78"/>
      <c r="DB622" s="78"/>
      <c r="DC622" s="78"/>
      <c r="DD622" s="78"/>
      <c r="DE622" s="78"/>
      <c r="DF622" s="78"/>
      <c r="DG622" s="78"/>
      <c r="DH622" s="78"/>
      <c r="DI622" s="78"/>
      <c r="DJ622" s="78"/>
      <c r="DK622" s="78"/>
      <c r="DL622" s="78"/>
      <c r="DM622" s="78"/>
      <c r="DN622" s="78"/>
      <c r="DO622" s="78"/>
      <c r="DP622" s="78"/>
      <c r="DQ622" s="78"/>
      <c r="DR622" s="78"/>
      <c r="DS622" s="78"/>
      <c r="DT622" s="78"/>
      <c r="DU622" s="78"/>
      <c r="DV622" s="78"/>
      <c r="DW622" s="78"/>
      <c r="DX622" s="78"/>
      <c r="DY622" s="78"/>
      <c r="DZ622" s="78"/>
      <c r="EA622" s="78"/>
      <c r="EB622" s="78"/>
      <c r="EC622" s="78"/>
      <c r="ED622" s="78"/>
      <c r="EE622" s="78"/>
      <c r="EF622" s="78"/>
      <c r="EG622" s="78"/>
      <c r="EH622" s="78"/>
      <c r="EI622" s="91"/>
      <c r="EJ622" s="91"/>
      <c r="EK622" s="91"/>
      <c r="EL622" s="91"/>
      <c r="EM622" s="91"/>
      <c r="EN622" s="91"/>
      <c r="EO622" s="91"/>
      <c r="EP622" s="78"/>
      <c r="EQ622" s="78"/>
      <c r="ER622" s="78"/>
      <c r="ES622" s="78"/>
      <c r="ET622" s="78"/>
      <c r="EU622" s="78"/>
      <c r="EV622" s="78"/>
      <c r="EW622" s="78"/>
      <c r="EX622" s="78"/>
      <c r="EY622" s="78"/>
      <c r="EZ622" s="78"/>
      <c r="FA622" s="78"/>
      <c r="FB622" s="78"/>
      <c r="FC622" s="78"/>
      <c r="FD622" s="78"/>
      <c r="FE622" s="78"/>
      <c r="FF622" s="78"/>
      <c r="FG622" s="78"/>
      <c r="FH622" s="78"/>
      <c r="FI622" s="78"/>
      <c r="FJ622" s="78"/>
      <c r="FK622" s="78"/>
    </row>
    <row r="623" spans="1:167" hidden="1" outlineLevel="1">
      <c r="A623" s="29" t="str">
        <f t="shared" si="42"/>
        <v>lt002_insrmntgrss_intrst_incm</v>
      </c>
      <c r="B623" s="67" t="s">
        <v>31</v>
      </c>
      <c r="C623" s="68" t="s">
        <v>31</v>
      </c>
      <c r="D623" s="64" t="s">
        <v>40</v>
      </c>
      <c r="E623" s="66" t="s">
        <v>574</v>
      </c>
      <c r="F623" s="73" t="s">
        <v>420</v>
      </c>
      <c r="G623" s="64" t="e">
        <f>INDEX(Auxiliar!$B$16:$B$24,MATCH(Plano_V1!H623,Auxiliar!$C$16:$C$24,0),1)</f>
        <v>#N/A</v>
      </c>
      <c r="H623" s="64" t="e">
        <f>VLOOKUP(A623,'Aux - pivots1'!$A:$B,2,0)</f>
        <v>#N/A</v>
      </c>
      <c r="I623" s="84">
        <f>SUMIFS(Table1[Estimação (horas)],Table1[Tabela],Plano_V1!E623,Table1[Campo],Plano_V1!F623)</f>
        <v>0</v>
      </c>
      <c r="J623" s="84">
        <f t="shared" si="41"/>
        <v>0</v>
      </c>
      <c r="K623" s="89" t="s">
        <v>39</v>
      </c>
      <c r="L623" s="90">
        <f t="shared" si="40"/>
        <v>0</v>
      </c>
      <c r="M623" s="78"/>
      <c r="N623" s="78"/>
      <c r="O623" s="78"/>
      <c r="P623" s="78"/>
      <c r="Q623" s="78"/>
      <c r="R623" s="78"/>
      <c r="S623" s="78"/>
      <c r="T623" s="78"/>
      <c r="U623" s="78"/>
      <c r="V623" s="78"/>
      <c r="W623" s="78"/>
      <c r="X623" s="78"/>
      <c r="Y623" s="78"/>
      <c r="Z623" s="78"/>
      <c r="AA623" s="78"/>
      <c r="AB623" s="78"/>
      <c r="AC623" s="78"/>
      <c r="AD623" s="78"/>
      <c r="AE623" s="78"/>
      <c r="AF623" s="78"/>
      <c r="AG623" s="78"/>
      <c r="AH623" s="78"/>
      <c r="AI623" s="78"/>
      <c r="AJ623" s="78"/>
      <c r="AK623" s="78"/>
      <c r="AL623" s="78"/>
      <c r="AM623" s="78"/>
      <c r="AN623" s="78"/>
      <c r="AO623" s="78"/>
      <c r="AP623" s="78"/>
      <c r="AQ623" s="78"/>
      <c r="AR623" s="78"/>
      <c r="AS623" s="78"/>
      <c r="AT623" s="91"/>
      <c r="AU623" s="78"/>
      <c r="AV623" s="78"/>
      <c r="AW623" s="78"/>
      <c r="AX623" s="78"/>
      <c r="AY623" s="78"/>
      <c r="AZ623" s="78"/>
      <c r="BA623" s="78"/>
      <c r="BB623" s="78"/>
      <c r="BC623" s="78"/>
      <c r="BD623" s="78"/>
      <c r="BE623" s="78"/>
      <c r="BF623" s="78"/>
      <c r="BG623" s="78"/>
      <c r="BH623" s="78"/>
      <c r="BI623" s="78"/>
      <c r="BJ623" s="78"/>
      <c r="BK623" s="78"/>
      <c r="BL623" s="78"/>
      <c r="BM623" s="78"/>
      <c r="BN623" s="78"/>
      <c r="BO623" s="78"/>
      <c r="BP623" s="78"/>
      <c r="BQ623" s="78"/>
      <c r="BR623" s="78"/>
      <c r="BS623" s="78"/>
      <c r="BT623" s="78"/>
      <c r="BU623" s="78"/>
      <c r="BV623" s="78"/>
      <c r="BW623" s="78"/>
      <c r="BX623" s="78"/>
      <c r="BY623" s="78"/>
      <c r="BZ623" s="78"/>
      <c r="CA623" s="78"/>
      <c r="CB623" s="78"/>
      <c r="CC623" s="78"/>
      <c r="CD623" s="78"/>
      <c r="CE623" s="78"/>
      <c r="CF623" s="78"/>
      <c r="CG623" s="78"/>
      <c r="CH623" s="78"/>
      <c r="CI623" s="78"/>
      <c r="CJ623" s="78"/>
      <c r="CK623" s="78"/>
      <c r="CL623" s="78"/>
      <c r="CM623" s="78"/>
      <c r="CN623" s="78"/>
      <c r="CO623" s="78"/>
      <c r="CP623" s="78"/>
      <c r="CQ623" s="78"/>
      <c r="CR623" s="78"/>
      <c r="CS623" s="78"/>
      <c r="CT623" s="78"/>
      <c r="CU623" s="78"/>
      <c r="CV623" s="78"/>
      <c r="CW623" s="78"/>
      <c r="CX623" s="78"/>
      <c r="CY623" s="78"/>
      <c r="CZ623" s="78"/>
      <c r="DA623" s="78"/>
      <c r="DB623" s="78"/>
      <c r="DC623" s="78"/>
      <c r="DD623" s="78"/>
      <c r="DE623" s="78"/>
      <c r="DF623" s="78"/>
      <c r="DG623" s="78"/>
      <c r="DH623" s="78"/>
      <c r="DI623" s="78"/>
      <c r="DJ623" s="78"/>
      <c r="DK623" s="78"/>
      <c r="DL623" s="78"/>
      <c r="DM623" s="78"/>
      <c r="DN623" s="78"/>
      <c r="DO623" s="78"/>
      <c r="DP623" s="78"/>
      <c r="DQ623" s="78"/>
      <c r="DR623" s="78"/>
      <c r="DS623" s="78"/>
      <c r="DT623" s="78"/>
      <c r="DU623" s="78"/>
      <c r="DV623" s="78"/>
      <c r="DW623" s="78"/>
      <c r="DX623" s="78"/>
      <c r="DY623" s="78"/>
      <c r="DZ623" s="78"/>
      <c r="EA623" s="78"/>
      <c r="EB623" s="78"/>
      <c r="EC623" s="78"/>
      <c r="ED623" s="78"/>
      <c r="EE623" s="78"/>
      <c r="EF623" s="78"/>
      <c r="EG623" s="78"/>
      <c r="EH623" s="78"/>
      <c r="EI623" s="91"/>
      <c r="EJ623" s="91"/>
      <c r="EK623" s="91"/>
      <c r="EL623" s="91"/>
      <c r="EM623" s="91"/>
      <c r="EN623" s="91"/>
      <c r="EO623" s="91"/>
      <c r="EP623" s="78"/>
      <c r="EQ623" s="78"/>
      <c r="ER623" s="78"/>
      <c r="ES623" s="78"/>
      <c r="ET623" s="78"/>
      <c r="EU623" s="78"/>
      <c r="EV623" s="78"/>
      <c r="EW623" s="78"/>
      <c r="EX623" s="78"/>
      <c r="EY623" s="78"/>
      <c r="EZ623" s="78"/>
      <c r="FA623" s="78"/>
      <c r="FB623" s="78"/>
      <c r="FC623" s="78"/>
      <c r="FD623" s="78"/>
      <c r="FE623" s="78"/>
      <c r="FF623" s="78"/>
      <c r="FG623" s="78"/>
      <c r="FH623" s="78"/>
      <c r="FI623" s="78"/>
      <c r="FJ623" s="78"/>
      <c r="FK623" s="78"/>
    </row>
    <row r="624" spans="1:167" hidden="1" outlineLevel="1">
      <c r="A624" s="29" t="str">
        <f t="shared" si="42"/>
        <v>lt002_insrmntgrss_cmmssn_incm</v>
      </c>
      <c r="B624" s="67" t="s">
        <v>31</v>
      </c>
      <c r="C624" s="68" t="s">
        <v>31</v>
      </c>
      <c r="D624" s="64" t="s">
        <v>40</v>
      </c>
      <c r="E624" s="66" t="s">
        <v>574</v>
      </c>
      <c r="F624" s="73" t="s">
        <v>421</v>
      </c>
      <c r="G624" s="64" t="e">
        <f>INDEX(Auxiliar!$B$16:$B$24,MATCH(Plano_V1!H624,Auxiliar!$C$16:$C$24,0),1)</f>
        <v>#N/A</v>
      </c>
      <c r="H624" s="64" t="e">
        <f>VLOOKUP(A624,'Aux - pivots1'!$A:$B,2,0)</f>
        <v>#N/A</v>
      </c>
      <c r="I624" s="84">
        <f>SUMIFS(Table1[Estimação (horas)],Table1[Tabela],Plano_V1!E624,Table1[Campo],Plano_V1!F624)</f>
        <v>0</v>
      </c>
      <c r="J624" s="84">
        <f t="shared" si="41"/>
        <v>0</v>
      </c>
      <c r="K624" s="89" t="s">
        <v>39</v>
      </c>
      <c r="L624" s="90">
        <f t="shared" si="40"/>
        <v>0</v>
      </c>
      <c r="M624" s="78"/>
      <c r="N624" s="78"/>
      <c r="O624" s="78"/>
      <c r="P624" s="78"/>
      <c r="Q624" s="78"/>
      <c r="R624" s="78"/>
      <c r="S624" s="78"/>
      <c r="T624" s="78"/>
      <c r="U624" s="78"/>
      <c r="V624" s="78"/>
      <c r="W624" s="78"/>
      <c r="X624" s="78"/>
      <c r="Y624" s="78"/>
      <c r="Z624" s="78"/>
      <c r="AA624" s="78"/>
      <c r="AB624" s="78"/>
      <c r="AC624" s="78"/>
      <c r="AD624" s="78"/>
      <c r="AE624" s="78"/>
      <c r="AF624" s="78"/>
      <c r="AG624" s="78"/>
      <c r="AH624" s="78"/>
      <c r="AI624" s="78"/>
      <c r="AJ624" s="78"/>
      <c r="AK624" s="78"/>
      <c r="AL624" s="78"/>
      <c r="AM624" s="78"/>
      <c r="AN624" s="78"/>
      <c r="AO624" s="78"/>
      <c r="AP624" s="78"/>
      <c r="AQ624" s="78"/>
      <c r="AR624" s="78"/>
      <c r="AS624" s="78"/>
      <c r="AT624" s="91"/>
      <c r="AU624" s="78"/>
      <c r="AV624" s="78"/>
      <c r="AW624" s="78"/>
      <c r="AX624" s="78"/>
      <c r="AY624" s="78"/>
      <c r="AZ624" s="78"/>
      <c r="BA624" s="78"/>
      <c r="BB624" s="78"/>
      <c r="BC624" s="78"/>
      <c r="BD624" s="78"/>
      <c r="BE624" s="78"/>
      <c r="BF624" s="78"/>
      <c r="BG624" s="78"/>
      <c r="BH624" s="78"/>
      <c r="BI624" s="78"/>
      <c r="BJ624" s="78"/>
      <c r="BK624" s="78"/>
      <c r="BL624" s="78"/>
      <c r="BM624" s="78"/>
      <c r="BN624" s="78"/>
      <c r="BO624" s="78"/>
      <c r="BP624" s="78"/>
      <c r="BQ624" s="78"/>
      <c r="BR624" s="78"/>
      <c r="BS624" s="78"/>
      <c r="BT624" s="78"/>
      <c r="BU624" s="78"/>
      <c r="BV624" s="78"/>
      <c r="BW624" s="78"/>
      <c r="BX624" s="78"/>
      <c r="BY624" s="78"/>
      <c r="BZ624" s="78"/>
      <c r="CA624" s="78"/>
      <c r="CB624" s="78"/>
      <c r="CC624" s="78"/>
      <c r="CD624" s="78"/>
      <c r="CE624" s="78"/>
      <c r="CF624" s="78"/>
      <c r="CG624" s="78"/>
      <c r="CH624" s="78"/>
      <c r="CI624" s="78"/>
      <c r="CJ624" s="78"/>
      <c r="CK624" s="78"/>
      <c r="CL624" s="78"/>
      <c r="CM624" s="78"/>
      <c r="CN624" s="78"/>
      <c r="CO624" s="78"/>
      <c r="CP624" s="78"/>
      <c r="CQ624" s="78"/>
      <c r="CR624" s="78"/>
      <c r="CS624" s="78"/>
      <c r="CT624" s="78"/>
      <c r="CU624" s="78"/>
      <c r="CV624" s="78"/>
      <c r="CW624" s="78"/>
      <c r="CX624" s="78"/>
      <c r="CY624" s="78"/>
      <c r="CZ624" s="78"/>
      <c r="DA624" s="78"/>
      <c r="DB624" s="78"/>
      <c r="DC624" s="78"/>
      <c r="DD624" s="78"/>
      <c r="DE624" s="78"/>
      <c r="DF624" s="78"/>
      <c r="DG624" s="78"/>
      <c r="DH624" s="78"/>
      <c r="DI624" s="78"/>
      <c r="DJ624" s="78"/>
      <c r="DK624" s="78"/>
      <c r="DL624" s="78"/>
      <c r="DM624" s="78"/>
      <c r="DN624" s="78"/>
      <c r="DO624" s="78"/>
      <c r="DP624" s="78"/>
      <c r="DQ624" s="78"/>
      <c r="DR624" s="78"/>
      <c r="DS624" s="78"/>
      <c r="DT624" s="78"/>
      <c r="DU624" s="78"/>
      <c r="DV624" s="78"/>
      <c r="DW624" s="78"/>
      <c r="DX624" s="78"/>
      <c r="DY624" s="78"/>
      <c r="DZ624" s="78"/>
      <c r="EA624" s="78"/>
      <c r="EB624" s="78"/>
      <c r="EC624" s="78"/>
      <c r="ED624" s="78"/>
      <c r="EE624" s="78"/>
      <c r="EF624" s="78"/>
      <c r="EG624" s="78"/>
      <c r="EH624" s="78"/>
      <c r="EI624" s="91"/>
      <c r="EJ624" s="91"/>
      <c r="EK624" s="91"/>
      <c r="EL624" s="91"/>
      <c r="EM624" s="91"/>
      <c r="EN624" s="91"/>
      <c r="EO624" s="91"/>
      <c r="EP624" s="78"/>
      <c r="EQ624" s="78"/>
      <c r="ER624" s="78"/>
      <c r="ES624" s="78"/>
      <c r="ET624" s="78"/>
      <c r="EU624" s="78"/>
      <c r="EV624" s="78"/>
      <c r="EW624" s="78"/>
      <c r="EX624" s="78"/>
      <c r="EY624" s="78"/>
      <c r="EZ624" s="78"/>
      <c r="FA624" s="78"/>
      <c r="FB624" s="78"/>
      <c r="FC624" s="78"/>
      <c r="FD624" s="78"/>
      <c r="FE624" s="78"/>
      <c r="FF624" s="78"/>
      <c r="FG624" s="78"/>
      <c r="FH624" s="78"/>
      <c r="FI624" s="78"/>
      <c r="FJ624" s="78"/>
      <c r="FK624" s="78"/>
    </row>
    <row r="625" spans="1:167" hidden="1" outlineLevel="1">
      <c r="A625" s="29" t="str">
        <f t="shared" si="42"/>
        <v>lt002_insrmntgrss_cmmssn_incm_ccrr</v>
      </c>
      <c r="B625" s="67" t="s">
        <v>31</v>
      </c>
      <c r="C625" s="68" t="s">
        <v>31</v>
      </c>
      <c r="D625" s="64" t="s">
        <v>40</v>
      </c>
      <c r="E625" s="66" t="s">
        <v>574</v>
      </c>
      <c r="F625" s="64" t="s">
        <v>597</v>
      </c>
      <c r="G625" s="64" t="e">
        <f>INDEX(Auxiliar!$B$16:$B$24,MATCH(Plano_V1!H625,Auxiliar!$C$16:$C$24,0),1)</f>
        <v>#N/A</v>
      </c>
      <c r="H625" s="64" t="e">
        <f>VLOOKUP(A625,'Aux - pivots1'!$A:$B,2,0)</f>
        <v>#N/A</v>
      </c>
      <c r="I625" s="84">
        <f>SUMIFS(Table1[Estimação (horas)],Table1[Tabela],Plano_V1!E625,Table1[Campo],Plano_V1!F625)</f>
        <v>0</v>
      </c>
      <c r="J625" s="84">
        <f t="shared" si="41"/>
        <v>0</v>
      </c>
      <c r="K625" s="89" t="s">
        <v>39</v>
      </c>
      <c r="L625" s="90">
        <f t="shared" si="40"/>
        <v>0</v>
      </c>
      <c r="M625" s="78"/>
      <c r="N625" s="78"/>
      <c r="O625" s="78"/>
      <c r="P625" s="78"/>
      <c r="Q625" s="78"/>
      <c r="R625" s="78"/>
      <c r="S625" s="78"/>
      <c r="T625" s="78"/>
      <c r="U625" s="78"/>
      <c r="V625" s="78"/>
      <c r="W625" s="78"/>
      <c r="X625" s="78"/>
      <c r="Y625" s="78"/>
      <c r="Z625" s="78"/>
      <c r="AA625" s="78"/>
      <c r="AB625" s="78"/>
      <c r="AC625" s="78"/>
      <c r="AD625" s="78"/>
      <c r="AE625" s="78"/>
      <c r="AF625" s="78"/>
      <c r="AG625" s="78"/>
      <c r="AH625" s="78"/>
      <c r="AI625" s="78"/>
      <c r="AJ625" s="78"/>
      <c r="AK625" s="78"/>
      <c r="AL625" s="78"/>
      <c r="AM625" s="78"/>
      <c r="AN625" s="78"/>
      <c r="AO625" s="78"/>
      <c r="AP625" s="78"/>
      <c r="AQ625" s="78"/>
      <c r="AR625" s="78"/>
      <c r="AS625" s="78"/>
      <c r="AT625" s="91"/>
      <c r="AU625" s="78"/>
      <c r="AV625" s="78"/>
      <c r="AW625" s="78"/>
      <c r="AX625" s="78"/>
      <c r="AY625" s="78"/>
      <c r="AZ625" s="78"/>
      <c r="BA625" s="78"/>
      <c r="BB625" s="78"/>
      <c r="BC625" s="78"/>
      <c r="BD625" s="78"/>
      <c r="BE625" s="78"/>
      <c r="BF625" s="78"/>
      <c r="BG625" s="78"/>
      <c r="BH625" s="78"/>
      <c r="BI625" s="78"/>
      <c r="BJ625" s="78"/>
      <c r="BK625" s="78"/>
      <c r="BL625" s="78"/>
      <c r="BM625" s="78"/>
      <c r="BN625" s="78"/>
      <c r="BO625" s="78"/>
      <c r="BP625" s="78"/>
      <c r="BQ625" s="78"/>
      <c r="BR625" s="78"/>
      <c r="BS625" s="78"/>
      <c r="BT625" s="78"/>
      <c r="BU625" s="78"/>
      <c r="BV625" s="78"/>
      <c r="BW625" s="78"/>
      <c r="BX625" s="78"/>
      <c r="BY625" s="78"/>
      <c r="BZ625" s="78"/>
      <c r="CA625" s="78"/>
      <c r="CB625" s="78"/>
      <c r="CC625" s="78"/>
      <c r="CD625" s="78"/>
      <c r="CE625" s="78"/>
      <c r="CF625" s="78"/>
      <c r="CG625" s="78"/>
      <c r="CH625" s="78"/>
      <c r="CI625" s="78"/>
      <c r="CJ625" s="78"/>
      <c r="CK625" s="78"/>
      <c r="CL625" s="78"/>
      <c r="CM625" s="78"/>
      <c r="CN625" s="78"/>
      <c r="CO625" s="78"/>
      <c r="CP625" s="78"/>
      <c r="CQ625" s="78"/>
      <c r="CR625" s="78"/>
      <c r="CS625" s="78"/>
      <c r="CT625" s="78"/>
      <c r="CU625" s="78"/>
      <c r="CV625" s="78"/>
      <c r="CW625" s="78"/>
      <c r="CX625" s="78"/>
      <c r="CY625" s="78"/>
      <c r="CZ625" s="78"/>
      <c r="DA625" s="78"/>
      <c r="DB625" s="78"/>
      <c r="DC625" s="78"/>
      <c r="DD625" s="78"/>
      <c r="DE625" s="78"/>
      <c r="DF625" s="78"/>
      <c r="DG625" s="78"/>
      <c r="DH625" s="78"/>
      <c r="DI625" s="78"/>
      <c r="DJ625" s="78"/>
      <c r="DK625" s="78"/>
      <c r="DL625" s="78"/>
      <c r="DM625" s="78"/>
      <c r="DN625" s="78"/>
      <c r="DO625" s="78"/>
      <c r="DP625" s="78"/>
      <c r="DQ625" s="78"/>
      <c r="DR625" s="78"/>
      <c r="DS625" s="78"/>
      <c r="DT625" s="78"/>
      <c r="DU625" s="78"/>
      <c r="DV625" s="78"/>
      <c r="DW625" s="78"/>
      <c r="DX625" s="78"/>
      <c r="DY625" s="78"/>
      <c r="DZ625" s="78"/>
      <c r="EA625" s="78"/>
      <c r="EB625" s="78"/>
      <c r="EC625" s="78"/>
      <c r="ED625" s="78"/>
      <c r="EE625" s="78"/>
      <c r="EF625" s="78"/>
      <c r="EG625" s="78"/>
      <c r="EH625" s="78"/>
      <c r="EI625" s="91"/>
      <c r="EJ625" s="91"/>
      <c r="EK625" s="91"/>
      <c r="EL625" s="91"/>
      <c r="EM625" s="91"/>
      <c r="EN625" s="91"/>
      <c r="EO625" s="91"/>
      <c r="EP625" s="78"/>
      <c r="EQ625" s="78"/>
      <c r="ER625" s="78"/>
      <c r="ES625" s="78"/>
      <c r="ET625" s="78"/>
      <c r="EU625" s="78"/>
      <c r="EV625" s="78"/>
      <c r="EW625" s="78"/>
      <c r="EX625" s="78"/>
      <c r="EY625" s="78"/>
      <c r="EZ625" s="78"/>
      <c r="FA625" s="78"/>
      <c r="FB625" s="78"/>
      <c r="FC625" s="78"/>
      <c r="FD625" s="78"/>
      <c r="FE625" s="78"/>
      <c r="FF625" s="78"/>
      <c r="FG625" s="78"/>
      <c r="FH625" s="78"/>
      <c r="FI625" s="78"/>
      <c r="FJ625" s="78"/>
      <c r="FK625" s="78"/>
    </row>
    <row r="626" spans="1:167" hidden="1" outlineLevel="1">
      <c r="A626" s="29" t="str">
        <f t="shared" si="42"/>
        <v>lt002_insrmntintrnl_trnsfr_rt</v>
      </c>
      <c r="B626" s="67" t="s">
        <v>31</v>
      </c>
      <c r="C626" s="68" t="s">
        <v>31</v>
      </c>
      <c r="D626" s="64" t="s">
        <v>40</v>
      </c>
      <c r="E626" s="66" t="s">
        <v>574</v>
      </c>
      <c r="F626" s="64" t="s">
        <v>598</v>
      </c>
      <c r="G626" s="64" t="e">
        <f>INDEX(Auxiliar!$B$16:$B$24,MATCH(Plano_V1!H626,Auxiliar!$C$16:$C$24,0),1)</f>
        <v>#N/A</v>
      </c>
      <c r="H626" s="64" t="e">
        <f>VLOOKUP(A626,'Aux - pivots1'!$A:$B,2,0)</f>
        <v>#N/A</v>
      </c>
      <c r="I626" s="84">
        <f>SUMIFS(Table1[Estimação (horas)],Table1[Tabela],Plano_V1!E626,Table1[Campo],Plano_V1!F626)</f>
        <v>0</v>
      </c>
      <c r="J626" s="84">
        <f t="shared" si="41"/>
        <v>0</v>
      </c>
      <c r="K626" s="89" t="s">
        <v>39</v>
      </c>
      <c r="L626" s="90">
        <f t="shared" si="40"/>
        <v>0</v>
      </c>
      <c r="M626" s="78"/>
      <c r="N626" s="78"/>
      <c r="O626" s="78"/>
      <c r="P626" s="78"/>
      <c r="Q626" s="78"/>
      <c r="R626" s="78"/>
      <c r="S626" s="78"/>
      <c r="T626" s="78"/>
      <c r="U626" s="78"/>
      <c r="V626" s="78"/>
      <c r="W626" s="78"/>
      <c r="X626" s="78"/>
      <c r="Y626" s="78"/>
      <c r="Z626" s="78"/>
      <c r="AA626" s="78"/>
      <c r="AB626" s="78"/>
      <c r="AC626" s="78"/>
      <c r="AD626" s="78"/>
      <c r="AE626" s="78"/>
      <c r="AF626" s="78"/>
      <c r="AG626" s="78"/>
      <c r="AH626" s="78"/>
      <c r="AI626" s="78"/>
      <c r="AJ626" s="78"/>
      <c r="AK626" s="78"/>
      <c r="AL626" s="78"/>
      <c r="AM626" s="78"/>
      <c r="AN626" s="78"/>
      <c r="AO626" s="78"/>
      <c r="AP626" s="78"/>
      <c r="AQ626" s="78"/>
      <c r="AR626" s="78"/>
      <c r="AS626" s="78"/>
      <c r="AT626" s="91"/>
      <c r="AU626" s="78"/>
      <c r="AV626" s="78"/>
      <c r="AW626" s="78"/>
      <c r="AX626" s="78"/>
      <c r="AY626" s="78"/>
      <c r="AZ626" s="78"/>
      <c r="BA626" s="78"/>
      <c r="BB626" s="78"/>
      <c r="BC626" s="78"/>
      <c r="BD626" s="78"/>
      <c r="BE626" s="78"/>
      <c r="BF626" s="78"/>
      <c r="BG626" s="78"/>
      <c r="BH626" s="78"/>
      <c r="BI626" s="78"/>
      <c r="BJ626" s="78"/>
      <c r="BK626" s="78"/>
      <c r="BL626" s="78"/>
      <c r="BM626" s="78"/>
      <c r="BN626" s="78"/>
      <c r="BO626" s="78"/>
      <c r="BP626" s="78"/>
      <c r="BQ626" s="78"/>
      <c r="BR626" s="78"/>
      <c r="BS626" s="78"/>
      <c r="BT626" s="78"/>
      <c r="BU626" s="78"/>
      <c r="BV626" s="78"/>
      <c r="BW626" s="78"/>
      <c r="BX626" s="78"/>
      <c r="BY626" s="78"/>
      <c r="BZ626" s="78"/>
      <c r="CA626" s="78"/>
      <c r="CB626" s="78"/>
      <c r="CC626" s="78"/>
      <c r="CD626" s="78"/>
      <c r="CE626" s="78"/>
      <c r="CF626" s="78"/>
      <c r="CG626" s="78"/>
      <c r="CH626" s="78"/>
      <c r="CI626" s="78"/>
      <c r="CJ626" s="78"/>
      <c r="CK626" s="78"/>
      <c r="CL626" s="78"/>
      <c r="CM626" s="78"/>
      <c r="CN626" s="78"/>
      <c r="CO626" s="78"/>
      <c r="CP626" s="78"/>
      <c r="CQ626" s="78"/>
      <c r="CR626" s="78"/>
      <c r="CS626" s="78"/>
      <c r="CT626" s="78"/>
      <c r="CU626" s="78"/>
      <c r="CV626" s="78"/>
      <c r="CW626" s="78"/>
      <c r="CX626" s="78"/>
      <c r="CY626" s="78"/>
      <c r="CZ626" s="78"/>
      <c r="DA626" s="78"/>
      <c r="DB626" s="78"/>
      <c r="DC626" s="78"/>
      <c r="DD626" s="78"/>
      <c r="DE626" s="78"/>
      <c r="DF626" s="78"/>
      <c r="DG626" s="78"/>
      <c r="DH626" s="78"/>
      <c r="DI626" s="78"/>
      <c r="DJ626" s="78"/>
      <c r="DK626" s="78"/>
      <c r="DL626" s="78"/>
      <c r="DM626" s="78"/>
      <c r="DN626" s="78"/>
      <c r="DO626" s="78"/>
      <c r="DP626" s="78"/>
      <c r="DQ626" s="78"/>
      <c r="DR626" s="78"/>
      <c r="DS626" s="78"/>
      <c r="DT626" s="78"/>
      <c r="DU626" s="78"/>
      <c r="DV626" s="78"/>
      <c r="DW626" s="78"/>
      <c r="DX626" s="78"/>
      <c r="DY626" s="78"/>
      <c r="DZ626" s="78"/>
      <c r="EA626" s="78"/>
      <c r="EB626" s="78"/>
      <c r="EC626" s="78"/>
      <c r="ED626" s="78"/>
      <c r="EE626" s="78"/>
      <c r="EF626" s="78"/>
      <c r="EG626" s="78"/>
      <c r="EH626" s="78"/>
      <c r="EI626" s="91"/>
      <c r="EJ626" s="91"/>
      <c r="EK626" s="91"/>
      <c r="EL626" s="91"/>
      <c r="EM626" s="91"/>
      <c r="EN626" s="91"/>
      <c r="EO626" s="91"/>
      <c r="EP626" s="78"/>
      <c r="EQ626" s="78"/>
      <c r="ER626" s="78"/>
      <c r="ES626" s="78"/>
      <c r="ET626" s="78"/>
      <c r="EU626" s="78"/>
      <c r="EV626" s="78"/>
      <c r="EW626" s="78"/>
      <c r="EX626" s="78"/>
      <c r="EY626" s="78"/>
      <c r="EZ626" s="78"/>
      <c r="FA626" s="78"/>
      <c r="FB626" s="78"/>
      <c r="FC626" s="78"/>
      <c r="FD626" s="78"/>
      <c r="FE626" s="78"/>
      <c r="FF626" s="78"/>
      <c r="FG626" s="78"/>
      <c r="FH626" s="78"/>
      <c r="FI626" s="78"/>
      <c r="FJ626" s="78"/>
      <c r="FK626" s="78"/>
    </row>
    <row r="627" spans="1:167" hidden="1" outlineLevel="1">
      <c r="A627" s="29" t="str">
        <f t="shared" si="42"/>
        <v>lt002_insrmntgrss_cmmssn_expns</v>
      </c>
      <c r="B627" s="67" t="s">
        <v>31</v>
      </c>
      <c r="C627" s="68" t="s">
        <v>31</v>
      </c>
      <c r="D627" s="64" t="s">
        <v>40</v>
      </c>
      <c r="E627" s="66" t="s">
        <v>574</v>
      </c>
      <c r="F627" s="69" t="s">
        <v>599</v>
      </c>
      <c r="G627" s="64" t="e">
        <f>INDEX(Auxiliar!$B$16:$B$24,MATCH(Plano_V1!H627,Auxiliar!$C$16:$C$24,0),1)</f>
        <v>#N/A</v>
      </c>
      <c r="H627" s="64" t="e">
        <f>VLOOKUP(A627,'Aux - pivots1'!$A:$B,2,0)</f>
        <v>#N/A</v>
      </c>
      <c r="I627" s="84">
        <f>SUMIFS(Table1[Estimação (horas)],Table1[Tabela],Plano_V1!E627,Table1[Campo],Plano_V1!F627)</f>
        <v>0</v>
      </c>
      <c r="J627" s="84">
        <f t="shared" si="41"/>
        <v>0</v>
      </c>
      <c r="K627" s="89" t="s">
        <v>39</v>
      </c>
      <c r="L627" s="90">
        <f t="shared" si="40"/>
        <v>0</v>
      </c>
      <c r="M627" s="78"/>
      <c r="N627" s="78"/>
      <c r="O627" s="78"/>
      <c r="P627" s="78"/>
      <c r="Q627" s="78"/>
      <c r="R627" s="78"/>
      <c r="S627" s="78"/>
      <c r="T627" s="78"/>
      <c r="U627" s="78"/>
      <c r="V627" s="78"/>
      <c r="W627" s="78"/>
      <c r="X627" s="78"/>
      <c r="Y627" s="78"/>
      <c r="Z627" s="78"/>
      <c r="AA627" s="78"/>
      <c r="AB627" s="78"/>
      <c r="AC627" s="78"/>
      <c r="AD627" s="78"/>
      <c r="AE627" s="78"/>
      <c r="AF627" s="78"/>
      <c r="AG627" s="78"/>
      <c r="AH627" s="78"/>
      <c r="AI627" s="78"/>
      <c r="AJ627" s="78"/>
      <c r="AK627" s="78"/>
      <c r="AL627" s="78"/>
      <c r="AM627" s="78"/>
      <c r="AN627" s="78"/>
      <c r="AO627" s="78"/>
      <c r="AP627" s="78"/>
      <c r="AQ627" s="78"/>
      <c r="AR627" s="78"/>
      <c r="AS627" s="78"/>
      <c r="AT627" s="91"/>
      <c r="AU627" s="78"/>
      <c r="AV627" s="78"/>
      <c r="AW627" s="78"/>
      <c r="AX627" s="78"/>
      <c r="AY627" s="78"/>
      <c r="AZ627" s="78"/>
      <c r="BA627" s="78"/>
      <c r="BB627" s="78"/>
      <c r="BC627" s="78"/>
      <c r="BD627" s="78"/>
      <c r="BE627" s="78"/>
      <c r="BF627" s="78"/>
      <c r="BG627" s="78"/>
      <c r="BH627" s="78"/>
      <c r="BI627" s="78"/>
      <c r="BJ627" s="78"/>
      <c r="BK627" s="78"/>
      <c r="BL627" s="78"/>
      <c r="BM627" s="78"/>
      <c r="BN627" s="78"/>
      <c r="BO627" s="78"/>
      <c r="BP627" s="78"/>
      <c r="BQ627" s="78"/>
      <c r="BR627" s="78"/>
      <c r="BS627" s="78"/>
      <c r="BT627" s="78"/>
      <c r="BU627" s="78"/>
      <c r="BV627" s="78"/>
      <c r="BW627" s="78"/>
      <c r="BX627" s="78"/>
      <c r="BY627" s="78"/>
      <c r="BZ627" s="78"/>
      <c r="CA627" s="78"/>
      <c r="CB627" s="78"/>
      <c r="CC627" s="78"/>
      <c r="CD627" s="78"/>
      <c r="CE627" s="78"/>
      <c r="CF627" s="78"/>
      <c r="CG627" s="78"/>
      <c r="CH627" s="78"/>
      <c r="CI627" s="78"/>
      <c r="CJ627" s="78"/>
      <c r="CK627" s="78"/>
      <c r="CL627" s="78"/>
      <c r="CM627" s="78"/>
      <c r="CN627" s="78"/>
      <c r="CO627" s="78"/>
      <c r="CP627" s="78"/>
      <c r="CQ627" s="78"/>
      <c r="CR627" s="78"/>
      <c r="CS627" s="78"/>
      <c r="CT627" s="78"/>
      <c r="CU627" s="78"/>
      <c r="CV627" s="78"/>
      <c r="CW627" s="78"/>
      <c r="CX627" s="78"/>
      <c r="CY627" s="78"/>
      <c r="CZ627" s="78"/>
      <c r="DA627" s="78"/>
      <c r="DB627" s="78"/>
      <c r="DC627" s="78"/>
      <c r="DD627" s="78"/>
      <c r="DE627" s="78"/>
      <c r="DF627" s="78"/>
      <c r="DG627" s="78"/>
      <c r="DH627" s="78"/>
      <c r="DI627" s="78"/>
      <c r="DJ627" s="78"/>
      <c r="DK627" s="78"/>
      <c r="DL627" s="78"/>
      <c r="DM627" s="78"/>
      <c r="DN627" s="78"/>
      <c r="DO627" s="78"/>
      <c r="DP627" s="78"/>
      <c r="DQ627" s="78"/>
      <c r="DR627" s="78"/>
      <c r="DS627" s="78"/>
      <c r="DT627" s="78"/>
      <c r="DU627" s="78"/>
      <c r="DV627" s="78"/>
      <c r="DW627" s="78"/>
      <c r="DX627" s="78"/>
      <c r="DY627" s="78"/>
      <c r="DZ627" s="78"/>
      <c r="EA627" s="78"/>
      <c r="EB627" s="78"/>
      <c r="EC627" s="78"/>
      <c r="ED627" s="78"/>
      <c r="EE627" s="78"/>
      <c r="EF627" s="78"/>
      <c r="EG627" s="78"/>
      <c r="EH627" s="78"/>
      <c r="EI627" s="91"/>
      <c r="EJ627" s="91"/>
      <c r="EK627" s="91"/>
      <c r="EL627" s="91"/>
      <c r="EM627" s="91"/>
      <c r="EN627" s="91"/>
      <c r="EO627" s="91"/>
      <c r="EP627" s="78"/>
      <c r="EQ627" s="78"/>
      <c r="ER627" s="78"/>
      <c r="ES627" s="78"/>
      <c r="ET627" s="78"/>
      <c r="EU627" s="78"/>
      <c r="EV627" s="78"/>
      <c r="EW627" s="78"/>
      <c r="EX627" s="78"/>
      <c r="EY627" s="78"/>
      <c r="EZ627" s="78"/>
      <c r="FA627" s="78"/>
      <c r="FB627" s="78"/>
      <c r="FC627" s="78"/>
      <c r="FD627" s="78"/>
      <c r="FE627" s="78"/>
      <c r="FF627" s="78"/>
      <c r="FG627" s="78"/>
      <c r="FH627" s="78"/>
      <c r="FI627" s="78"/>
      <c r="FJ627" s="78"/>
      <c r="FK627" s="78"/>
    </row>
    <row r="628" spans="1:167" hidden="1" outlineLevel="1">
      <c r="A628" s="29" t="str">
        <f t="shared" si="42"/>
        <v>lt002_insrmntgrss_cmmssn_expns_ccrr</v>
      </c>
      <c r="B628" s="67" t="s">
        <v>31</v>
      </c>
      <c r="C628" s="68" t="s">
        <v>31</v>
      </c>
      <c r="D628" s="64" t="s">
        <v>40</v>
      </c>
      <c r="E628" s="66" t="s">
        <v>574</v>
      </c>
      <c r="F628" s="64" t="s">
        <v>600</v>
      </c>
      <c r="G628" s="64" t="e">
        <f>INDEX(Auxiliar!$B$16:$B$24,MATCH(Plano_V1!H628,Auxiliar!$C$16:$C$24,0),1)</f>
        <v>#N/A</v>
      </c>
      <c r="H628" s="64" t="e">
        <f>VLOOKUP(A628,'Aux - pivots1'!$A:$B,2,0)</f>
        <v>#N/A</v>
      </c>
      <c r="I628" s="84">
        <f>SUMIFS(Table1[Estimação (horas)],Table1[Tabela],Plano_V1!E628,Table1[Campo],Plano_V1!F628)</f>
        <v>0</v>
      </c>
      <c r="J628" s="84">
        <f t="shared" si="41"/>
        <v>0</v>
      </c>
      <c r="K628" s="89" t="s">
        <v>39</v>
      </c>
      <c r="L628" s="90">
        <f t="shared" si="40"/>
        <v>0</v>
      </c>
      <c r="M628" s="78"/>
      <c r="N628" s="78"/>
      <c r="O628" s="78"/>
      <c r="P628" s="78"/>
      <c r="Q628" s="78"/>
      <c r="R628" s="78"/>
      <c r="S628" s="78"/>
      <c r="T628" s="78"/>
      <c r="U628" s="78"/>
      <c r="V628" s="78"/>
      <c r="W628" s="78"/>
      <c r="X628" s="78"/>
      <c r="Y628" s="78"/>
      <c r="Z628" s="78"/>
      <c r="AA628" s="78"/>
      <c r="AB628" s="78"/>
      <c r="AC628" s="78"/>
      <c r="AD628" s="78"/>
      <c r="AE628" s="78"/>
      <c r="AF628" s="78"/>
      <c r="AG628" s="78"/>
      <c r="AH628" s="78"/>
      <c r="AI628" s="78"/>
      <c r="AJ628" s="78"/>
      <c r="AK628" s="78"/>
      <c r="AL628" s="78"/>
      <c r="AM628" s="78"/>
      <c r="AN628" s="78"/>
      <c r="AO628" s="78"/>
      <c r="AP628" s="78"/>
      <c r="AQ628" s="78"/>
      <c r="AR628" s="78"/>
      <c r="AS628" s="78"/>
      <c r="AT628" s="91"/>
      <c r="AU628" s="78"/>
      <c r="AV628" s="78"/>
      <c r="AW628" s="78"/>
      <c r="AX628" s="78"/>
      <c r="AY628" s="78"/>
      <c r="AZ628" s="78"/>
      <c r="BA628" s="78"/>
      <c r="BB628" s="78"/>
      <c r="BC628" s="78"/>
      <c r="BD628" s="78"/>
      <c r="BE628" s="78"/>
      <c r="BF628" s="78"/>
      <c r="BG628" s="78"/>
      <c r="BH628" s="78"/>
      <c r="BI628" s="78"/>
      <c r="BJ628" s="78"/>
      <c r="BK628" s="78"/>
      <c r="BL628" s="78"/>
      <c r="BM628" s="78"/>
      <c r="BN628" s="78"/>
      <c r="BO628" s="78"/>
      <c r="BP628" s="78"/>
      <c r="BQ628" s="78"/>
      <c r="BR628" s="78"/>
      <c r="BS628" s="78"/>
      <c r="BT628" s="78"/>
      <c r="BU628" s="78"/>
      <c r="BV628" s="78"/>
      <c r="BW628" s="78"/>
      <c r="BX628" s="78"/>
      <c r="BY628" s="78"/>
      <c r="BZ628" s="78"/>
      <c r="CA628" s="78"/>
      <c r="CB628" s="78"/>
      <c r="CC628" s="78"/>
      <c r="CD628" s="78"/>
      <c r="CE628" s="78"/>
      <c r="CF628" s="78"/>
      <c r="CG628" s="78"/>
      <c r="CH628" s="78"/>
      <c r="CI628" s="78"/>
      <c r="CJ628" s="78"/>
      <c r="CK628" s="78"/>
      <c r="CL628" s="78"/>
      <c r="CM628" s="78"/>
      <c r="CN628" s="78"/>
      <c r="CO628" s="78"/>
      <c r="CP628" s="78"/>
      <c r="CQ628" s="78"/>
      <c r="CR628" s="78"/>
      <c r="CS628" s="78"/>
      <c r="CT628" s="78"/>
      <c r="CU628" s="78"/>
      <c r="CV628" s="78"/>
      <c r="CW628" s="78"/>
      <c r="CX628" s="78"/>
      <c r="CY628" s="78"/>
      <c r="CZ628" s="78"/>
      <c r="DA628" s="78"/>
      <c r="DB628" s="78"/>
      <c r="DC628" s="78"/>
      <c r="DD628" s="78"/>
      <c r="DE628" s="78"/>
      <c r="DF628" s="78"/>
      <c r="DG628" s="78"/>
      <c r="DH628" s="78"/>
      <c r="DI628" s="78"/>
      <c r="DJ628" s="78"/>
      <c r="DK628" s="78"/>
      <c r="DL628" s="78"/>
      <c r="DM628" s="78"/>
      <c r="DN628" s="78"/>
      <c r="DO628" s="78"/>
      <c r="DP628" s="78"/>
      <c r="DQ628" s="78"/>
      <c r="DR628" s="78"/>
      <c r="DS628" s="78"/>
      <c r="DT628" s="78"/>
      <c r="DU628" s="78"/>
      <c r="DV628" s="78"/>
      <c r="DW628" s="78"/>
      <c r="DX628" s="78"/>
      <c r="DY628" s="78"/>
      <c r="DZ628" s="78"/>
      <c r="EA628" s="78"/>
      <c r="EB628" s="78"/>
      <c r="EC628" s="78"/>
      <c r="ED628" s="78"/>
      <c r="EE628" s="78"/>
      <c r="EF628" s="78"/>
      <c r="EG628" s="78"/>
      <c r="EH628" s="78"/>
      <c r="EI628" s="91"/>
      <c r="EJ628" s="91"/>
      <c r="EK628" s="91"/>
      <c r="EL628" s="91"/>
      <c r="EM628" s="91"/>
      <c r="EN628" s="91"/>
      <c r="EO628" s="91"/>
      <c r="EP628" s="78"/>
      <c r="EQ628" s="78"/>
      <c r="ER628" s="78"/>
      <c r="ES628" s="78"/>
      <c r="ET628" s="78"/>
      <c r="EU628" s="78"/>
      <c r="EV628" s="78"/>
      <c r="EW628" s="78"/>
      <c r="EX628" s="78"/>
      <c r="EY628" s="78"/>
      <c r="EZ628" s="78"/>
      <c r="FA628" s="78"/>
      <c r="FB628" s="78"/>
      <c r="FC628" s="78"/>
      <c r="FD628" s="78"/>
      <c r="FE628" s="78"/>
      <c r="FF628" s="78"/>
      <c r="FG628" s="78"/>
      <c r="FH628" s="78"/>
      <c r="FI628" s="78"/>
      <c r="FJ628" s="78"/>
      <c r="FK628" s="78"/>
    </row>
    <row r="629" spans="1:167" hidden="1" outlineLevel="1">
      <c r="A629" s="29" t="str">
        <f t="shared" si="42"/>
        <v>lt002_insrmntgrss_intrst_expns</v>
      </c>
      <c r="B629" s="67" t="s">
        <v>31</v>
      </c>
      <c r="C629" s="68" t="s">
        <v>31</v>
      </c>
      <c r="D629" s="64" t="s">
        <v>40</v>
      </c>
      <c r="E629" s="66" t="s">
        <v>574</v>
      </c>
      <c r="F629" s="64" t="s">
        <v>601</v>
      </c>
      <c r="G629" s="64" t="e">
        <f>INDEX(Auxiliar!$B$16:$B$24,MATCH(Plano_V1!H629,Auxiliar!$C$16:$C$24,0),1)</f>
        <v>#N/A</v>
      </c>
      <c r="H629" s="64" t="e">
        <f>VLOOKUP(A629,'Aux - pivots1'!$A:$B,2,0)</f>
        <v>#N/A</v>
      </c>
      <c r="I629" s="84">
        <f>SUMIFS(Table1[Estimação (horas)],Table1[Tabela],Plano_V1!E629,Table1[Campo],Plano_V1!F629)</f>
        <v>0</v>
      </c>
      <c r="J629" s="84">
        <f t="shared" si="41"/>
        <v>0</v>
      </c>
      <c r="K629" s="89" t="s">
        <v>39</v>
      </c>
      <c r="L629" s="90">
        <f t="shared" si="40"/>
        <v>0</v>
      </c>
      <c r="M629" s="78"/>
      <c r="N629" s="78"/>
      <c r="O629" s="78"/>
      <c r="P629" s="78"/>
      <c r="Q629" s="78"/>
      <c r="R629" s="78"/>
      <c r="S629" s="78"/>
      <c r="T629" s="78"/>
      <c r="U629" s="78"/>
      <c r="V629" s="78"/>
      <c r="W629" s="78"/>
      <c r="X629" s="78"/>
      <c r="Y629" s="78"/>
      <c r="Z629" s="78"/>
      <c r="AA629" s="78"/>
      <c r="AB629" s="78"/>
      <c r="AC629" s="78"/>
      <c r="AD629" s="78"/>
      <c r="AE629" s="78"/>
      <c r="AF629" s="78"/>
      <c r="AG629" s="78"/>
      <c r="AH629" s="78"/>
      <c r="AI629" s="78"/>
      <c r="AJ629" s="78"/>
      <c r="AK629" s="78"/>
      <c r="AL629" s="78"/>
      <c r="AM629" s="78"/>
      <c r="AN629" s="78"/>
      <c r="AO629" s="78"/>
      <c r="AP629" s="78"/>
      <c r="AQ629" s="78"/>
      <c r="AR629" s="78"/>
      <c r="AS629" s="78"/>
      <c r="AT629" s="91"/>
      <c r="AU629" s="78"/>
      <c r="AV629" s="78"/>
      <c r="AW629" s="78"/>
      <c r="AX629" s="78"/>
      <c r="AY629" s="78"/>
      <c r="AZ629" s="78"/>
      <c r="BA629" s="78"/>
      <c r="BB629" s="78"/>
      <c r="BC629" s="78"/>
      <c r="BD629" s="78"/>
      <c r="BE629" s="78"/>
      <c r="BF629" s="78"/>
      <c r="BG629" s="78"/>
      <c r="BH629" s="78"/>
      <c r="BI629" s="78"/>
      <c r="BJ629" s="78"/>
      <c r="BK629" s="78"/>
      <c r="BL629" s="78"/>
      <c r="BM629" s="78"/>
      <c r="BN629" s="78"/>
      <c r="BO629" s="78"/>
      <c r="BP629" s="78"/>
      <c r="BQ629" s="78"/>
      <c r="BR629" s="78"/>
      <c r="BS629" s="78"/>
      <c r="BT629" s="78"/>
      <c r="BU629" s="78"/>
      <c r="BV629" s="78"/>
      <c r="BW629" s="78"/>
      <c r="BX629" s="78"/>
      <c r="BY629" s="78"/>
      <c r="BZ629" s="78"/>
      <c r="CA629" s="78"/>
      <c r="CB629" s="78"/>
      <c r="CC629" s="78"/>
      <c r="CD629" s="78"/>
      <c r="CE629" s="78"/>
      <c r="CF629" s="78"/>
      <c r="CG629" s="78"/>
      <c r="CH629" s="78"/>
      <c r="CI629" s="78"/>
      <c r="CJ629" s="78"/>
      <c r="CK629" s="78"/>
      <c r="CL629" s="78"/>
      <c r="CM629" s="78"/>
      <c r="CN629" s="78"/>
      <c r="CO629" s="78"/>
      <c r="CP629" s="78"/>
      <c r="CQ629" s="78"/>
      <c r="CR629" s="78"/>
      <c r="CS629" s="78"/>
      <c r="CT629" s="78"/>
      <c r="CU629" s="78"/>
      <c r="CV629" s="78"/>
      <c r="CW629" s="78"/>
      <c r="CX629" s="78"/>
      <c r="CY629" s="78"/>
      <c r="CZ629" s="78"/>
      <c r="DA629" s="78"/>
      <c r="DB629" s="78"/>
      <c r="DC629" s="78"/>
      <c r="DD629" s="78"/>
      <c r="DE629" s="78"/>
      <c r="DF629" s="78"/>
      <c r="DG629" s="78"/>
      <c r="DH629" s="78"/>
      <c r="DI629" s="78"/>
      <c r="DJ629" s="78"/>
      <c r="DK629" s="78"/>
      <c r="DL629" s="78"/>
      <c r="DM629" s="78"/>
      <c r="DN629" s="78"/>
      <c r="DO629" s="78"/>
      <c r="DP629" s="78"/>
      <c r="DQ629" s="78"/>
      <c r="DR629" s="78"/>
      <c r="DS629" s="78"/>
      <c r="DT629" s="78"/>
      <c r="DU629" s="78"/>
      <c r="DV629" s="78"/>
      <c r="DW629" s="78"/>
      <c r="DX629" s="78"/>
      <c r="DY629" s="78"/>
      <c r="DZ629" s="78"/>
      <c r="EA629" s="78"/>
      <c r="EB629" s="78"/>
      <c r="EC629" s="78"/>
      <c r="ED629" s="78"/>
      <c r="EE629" s="78"/>
      <c r="EF629" s="78"/>
      <c r="EG629" s="78"/>
      <c r="EH629" s="78"/>
      <c r="EI629" s="91"/>
      <c r="EJ629" s="91"/>
      <c r="EK629" s="91"/>
      <c r="EL629" s="91"/>
      <c r="EM629" s="91"/>
      <c r="EN629" s="91"/>
      <c r="EO629" s="91"/>
      <c r="EP629" s="78"/>
      <c r="EQ629" s="78"/>
      <c r="ER629" s="78"/>
      <c r="ES629" s="78"/>
      <c r="ET629" s="78"/>
      <c r="EU629" s="78"/>
      <c r="EV629" s="78"/>
      <c r="EW629" s="78"/>
      <c r="EX629" s="78"/>
      <c r="EY629" s="78"/>
      <c r="EZ629" s="78"/>
      <c r="FA629" s="78"/>
      <c r="FB629" s="78"/>
      <c r="FC629" s="78"/>
      <c r="FD629" s="78"/>
      <c r="FE629" s="78"/>
      <c r="FF629" s="78"/>
      <c r="FG629" s="78"/>
      <c r="FH629" s="78"/>
      <c r="FI629" s="78"/>
      <c r="FJ629" s="78"/>
      <c r="FK629" s="78"/>
    </row>
    <row r="630" spans="1:167" hidden="1" outlineLevel="1">
      <c r="A630" s="29" t="str">
        <f t="shared" si="42"/>
        <v>lt002_insrmntgrss_intrst_expns_ccrr</v>
      </c>
      <c r="B630" s="67" t="s">
        <v>31</v>
      </c>
      <c r="C630" s="68" t="s">
        <v>31</v>
      </c>
      <c r="D630" s="64" t="s">
        <v>40</v>
      </c>
      <c r="E630" s="66" t="s">
        <v>574</v>
      </c>
      <c r="F630" s="64" t="s">
        <v>602</v>
      </c>
      <c r="G630" s="64" t="e">
        <f>INDEX(Auxiliar!$B$16:$B$24,MATCH(Plano_V1!H630,Auxiliar!$C$16:$C$24,0),1)</f>
        <v>#N/A</v>
      </c>
      <c r="H630" s="64" t="e">
        <f>VLOOKUP(A630,'Aux - pivots1'!$A:$B,2,0)</f>
        <v>#N/A</v>
      </c>
      <c r="I630" s="84">
        <f>SUMIFS(Table1[Estimação (horas)],Table1[Tabela],Plano_V1!E630,Table1[Campo],Plano_V1!F630)</f>
        <v>0</v>
      </c>
      <c r="J630" s="84">
        <f t="shared" si="41"/>
        <v>0</v>
      </c>
      <c r="K630" s="89" t="s">
        <v>39</v>
      </c>
      <c r="L630" s="90">
        <f t="shared" si="40"/>
        <v>0</v>
      </c>
      <c r="M630" s="78"/>
      <c r="N630" s="78"/>
      <c r="O630" s="78"/>
      <c r="P630" s="78"/>
      <c r="Q630" s="78"/>
      <c r="R630" s="78"/>
      <c r="S630" s="78"/>
      <c r="T630" s="78"/>
      <c r="U630" s="78"/>
      <c r="V630" s="78"/>
      <c r="W630" s="78"/>
      <c r="X630" s="78"/>
      <c r="Y630" s="78"/>
      <c r="Z630" s="78"/>
      <c r="AA630" s="78"/>
      <c r="AB630" s="78"/>
      <c r="AC630" s="78"/>
      <c r="AD630" s="78"/>
      <c r="AE630" s="78"/>
      <c r="AF630" s="78"/>
      <c r="AG630" s="78"/>
      <c r="AH630" s="78"/>
      <c r="AI630" s="78"/>
      <c r="AJ630" s="78"/>
      <c r="AK630" s="78"/>
      <c r="AL630" s="78"/>
      <c r="AM630" s="78"/>
      <c r="AN630" s="78"/>
      <c r="AO630" s="78"/>
      <c r="AP630" s="78"/>
      <c r="AQ630" s="78"/>
      <c r="AR630" s="78"/>
      <c r="AS630" s="78"/>
      <c r="AT630" s="91"/>
      <c r="AU630" s="78"/>
      <c r="AV630" s="78"/>
      <c r="AW630" s="78"/>
      <c r="AX630" s="78"/>
      <c r="AY630" s="78"/>
      <c r="AZ630" s="78"/>
      <c r="BA630" s="78"/>
      <c r="BB630" s="78"/>
      <c r="BC630" s="78"/>
      <c r="BD630" s="78"/>
      <c r="BE630" s="78"/>
      <c r="BF630" s="78"/>
      <c r="BG630" s="78"/>
      <c r="BH630" s="78"/>
      <c r="BI630" s="78"/>
      <c r="BJ630" s="78"/>
      <c r="BK630" s="78"/>
      <c r="BL630" s="78"/>
      <c r="BM630" s="78"/>
      <c r="BN630" s="78"/>
      <c r="BO630" s="78"/>
      <c r="BP630" s="78"/>
      <c r="BQ630" s="78"/>
      <c r="BR630" s="78"/>
      <c r="BS630" s="78"/>
      <c r="BT630" s="78"/>
      <c r="BU630" s="78"/>
      <c r="BV630" s="78"/>
      <c r="BW630" s="78"/>
      <c r="BX630" s="78"/>
      <c r="BY630" s="78"/>
      <c r="BZ630" s="78"/>
      <c r="CA630" s="78"/>
      <c r="CB630" s="78"/>
      <c r="CC630" s="78"/>
      <c r="CD630" s="78"/>
      <c r="CE630" s="78"/>
      <c r="CF630" s="78"/>
      <c r="CG630" s="78"/>
      <c r="CH630" s="78"/>
      <c r="CI630" s="78"/>
      <c r="CJ630" s="78"/>
      <c r="CK630" s="78"/>
      <c r="CL630" s="78"/>
      <c r="CM630" s="78"/>
      <c r="CN630" s="78"/>
      <c r="CO630" s="78"/>
      <c r="CP630" s="78"/>
      <c r="CQ630" s="78"/>
      <c r="CR630" s="78"/>
      <c r="CS630" s="78"/>
      <c r="CT630" s="78"/>
      <c r="CU630" s="78"/>
      <c r="CV630" s="78"/>
      <c r="CW630" s="78"/>
      <c r="CX630" s="78"/>
      <c r="CY630" s="78"/>
      <c r="CZ630" s="78"/>
      <c r="DA630" s="78"/>
      <c r="DB630" s="78"/>
      <c r="DC630" s="78"/>
      <c r="DD630" s="78"/>
      <c r="DE630" s="78"/>
      <c r="DF630" s="78"/>
      <c r="DG630" s="78"/>
      <c r="DH630" s="78"/>
      <c r="DI630" s="78"/>
      <c r="DJ630" s="78"/>
      <c r="DK630" s="78"/>
      <c r="DL630" s="78"/>
      <c r="DM630" s="78"/>
      <c r="DN630" s="78"/>
      <c r="DO630" s="78"/>
      <c r="DP630" s="78"/>
      <c r="DQ630" s="78"/>
      <c r="DR630" s="78"/>
      <c r="DS630" s="78"/>
      <c r="DT630" s="78"/>
      <c r="DU630" s="78"/>
      <c r="DV630" s="78"/>
      <c r="DW630" s="78"/>
      <c r="DX630" s="78"/>
      <c r="DY630" s="78"/>
      <c r="DZ630" s="78"/>
      <c r="EA630" s="78"/>
      <c r="EB630" s="78"/>
      <c r="EC630" s="78"/>
      <c r="ED630" s="78"/>
      <c r="EE630" s="78"/>
      <c r="EF630" s="78"/>
      <c r="EG630" s="78"/>
      <c r="EH630" s="78"/>
      <c r="EI630" s="91"/>
      <c r="EJ630" s="91"/>
      <c r="EK630" s="91"/>
      <c r="EL630" s="91"/>
      <c r="EM630" s="91"/>
      <c r="EN630" s="91"/>
      <c r="EO630" s="91"/>
      <c r="EP630" s="78"/>
      <c r="EQ630" s="78"/>
      <c r="ER630" s="78"/>
      <c r="ES630" s="78"/>
      <c r="ET630" s="78"/>
      <c r="EU630" s="78"/>
      <c r="EV630" s="78"/>
      <c r="EW630" s="78"/>
      <c r="EX630" s="78"/>
      <c r="EY630" s="78"/>
      <c r="EZ630" s="78"/>
      <c r="FA630" s="78"/>
      <c r="FB630" s="78"/>
      <c r="FC630" s="78"/>
      <c r="FD630" s="78"/>
      <c r="FE630" s="78"/>
      <c r="FF630" s="78"/>
      <c r="FG630" s="78"/>
      <c r="FH630" s="78"/>
      <c r="FI630" s="78"/>
      <c r="FJ630" s="78"/>
      <c r="FK630" s="78"/>
    </row>
    <row r="631" spans="1:167" hidden="1" outlineLevel="1">
      <c r="A631" s="29" t="str">
        <f t="shared" si="42"/>
        <v>lt002_insrmntgns_fnncl_trnsctn_exchng_dffrncs</v>
      </c>
      <c r="B631" s="67" t="s">
        <v>31</v>
      </c>
      <c r="C631" s="68" t="s">
        <v>31</v>
      </c>
      <c r="D631" s="64" t="s">
        <v>40</v>
      </c>
      <c r="E631" s="66" t="s">
        <v>574</v>
      </c>
      <c r="F631" s="64" t="s">
        <v>603</v>
      </c>
      <c r="G631" s="64" t="e">
        <f>INDEX(Auxiliar!$B$16:$B$24,MATCH(Plano_V1!H631,Auxiliar!$C$16:$C$24,0),1)</f>
        <v>#N/A</v>
      </c>
      <c r="H631" s="64" t="e">
        <f>VLOOKUP(A631,'Aux - pivots1'!$A:$B,2,0)</f>
        <v>#N/A</v>
      </c>
      <c r="I631" s="84">
        <f>SUMIFS(Table1[Estimação (horas)],Table1[Tabela],Plano_V1!E631,Table1[Campo],Plano_V1!F631)</f>
        <v>0</v>
      </c>
      <c r="J631" s="84">
        <f t="shared" si="41"/>
        <v>0</v>
      </c>
      <c r="K631" s="89" t="s">
        <v>39</v>
      </c>
      <c r="L631" s="90">
        <f t="shared" si="40"/>
        <v>0</v>
      </c>
      <c r="M631" s="78"/>
      <c r="N631" s="78"/>
      <c r="O631" s="78"/>
      <c r="P631" s="78"/>
      <c r="Q631" s="78"/>
      <c r="R631" s="78"/>
      <c r="S631" s="78"/>
      <c r="T631" s="78"/>
      <c r="U631" s="78"/>
      <c r="V631" s="78"/>
      <c r="W631" s="78"/>
      <c r="X631" s="78"/>
      <c r="Y631" s="78"/>
      <c r="Z631" s="78"/>
      <c r="AA631" s="78"/>
      <c r="AB631" s="78"/>
      <c r="AC631" s="78"/>
      <c r="AD631" s="78"/>
      <c r="AE631" s="78"/>
      <c r="AF631" s="78"/>
      <c r="AG631" s="78"/>
      <c r="AH631" s="78"/>
      <c r="AI631" s="78"/>
      <c r="AJ631" s="78"/>
      <c r="AK631" s="78"/>
      <c r="AL631" s="78"/>
      <c r="AM631" s="78"/>
      <c r="AN631" s="78"/>
      <c r="AO631" s="78"/>
      <c r="AP631" s="78"/>
      <c r="AQ631" s="78"/>
      <c r="AR631" s="78"/>
      <c r="AS631" s="78"/>
      <c r="AT631" s="91"/>
      <c r="AU631" s="78"/>
      <c r="AV631" s="78"/>
      <c r="AW631" s="78"/>
      <c r="AX631" s="78"/>
      <c r="AY631" s="78"/>
      <c r="AZ631" s="78"/>
      <c r="BA631" s="78"/>
      <c r="BB631" s="78"/>
      <c r="BC631" s="78"/>
      <c r="BD631" s="78"/>
      <c r="BE631" s="78"/>
      <c r="BF631" s="78"/>
      <c r="BG631" s="78"/>
      <c r="BH631" s="78"/>
      <c r="BI631" s="78"/>
      <c r="BJ631" s="78"/>
      <c r="BK631" s="78"/>
      <c r="BL631" s="78"/>
      <c r="BM631" s="78"/>
      <c r="BN631" s="78"/>
      <c r="BO631" s="78"/>
      <c r="BP631" s="78"/>
      <c r="BQ631" s="78"/>
      <c r="BR631" s="78"/>
      <c r="BS631" s="78"/>
      <c r="BT631" s="78"/>
      <c r="BU631" s="78"/>
      <c r="BV631" s="78"/>
      <c r="BW631" s="78"/>
      <c r="BX631" s="78"/>
      <c r="BY631" s="78"/>
      <c r="BZ631" s="78"/>
      <c r="CA631" s="78"/>
      <c r="CB631" s="78"/>
      <c r="CC631" s="78"/>
      <c r="CD631" s="78"/>
      <c r="CE631" s="78"/>
      <c r="CF631" s="78"/>
      <c r="CG631" s="78"/>
      <c r="CH631" s="78"/>
      <c r="CI631" s="78"/>
      <c r="CJ631" s="78"/>
      <c r="CK631" s="78"/>
      <c r="CL631" s="78"/>
      <c r="CM631" s="78"/>
      <c r="CN631" s="78"/>
      <c r="CO631" s="78"/>
      <c r="CP631" s="78"/>
      <c r="CQ631" s="78"/>
      <c r="CR631" s="78"/>
      <c r="CS631" s="78"/>
      <c r="CT631" s="78"/>
      <c r="CU631" s="78"/>
      <c r="CV631" s="78"/>
      <c r="CW631" s="78"/>
      <c r="CX631" s="78"/>
      <c r="CY631" s="78"/>
      <c r="CZ631" s="78"/>
      <c r="DA631" s="78"/>
      <c r="DB631" s="78"/>
      <c r="DC631" s="78"/>
      <c r="DD631" s="78"/>
      <c r="DE631" s="78"/>
      <c r="DF631" s="78"/>
      <c r="DG631" s="78"/>
      <c r="DH631" s="78"/>
      <c r="DI631" s="78"/>
      <c r="DJ631" s="78"/>
      <c r="DK631" s="78"/>
      <c r="DL631" s="78"/>
      <c r="DM631" s="78"/>
      <c r="DN631" s="78"/>
      <c r="DO631" s="78"/>
      <c r="DP631" s="78"/>
      <c r="DQ631" s="78"/>
      <c r="DR631" s="78"/>
      <c r="DS631" s="78"/>
      <c r="DT631" s="78"/>
      <c r="DU631" s="78"/>
      <c r="DV631" s="78"/>
      <c r="DW631" s="78"/>
      <c r="DX631" s="78"/>
      <c r="DY631" s="78"/>
      <c r="DZ631" s="78"/>
      <c r="EA631" s="78"/>
      <c r="EB631" s="78"/>
      <c r="EC631" s="78"/>
      <c r="ED631" s="78"/>
      <c r="EE631" s="78"/>
      <c r="EF631" s="78"/>
      <c r="EG631" s="78"/>
      <c r="EH631" s="78"/>
      <c r="EI631" s="91"/>
      <c r="EJ631" s="91"/>
      <c r="EK631" s="91"/>
      <c r="EL631" s="91"/>
      <c r="EM631" s="91"/>
      <c r="EN631" s="91"/>
      <c r="EO631" s="91"/>
      <c r="EP631" s="78"/>
      <c r="EQ631" s="78"/>
      <c r="ER631" s="78"/>
      <c r="ES631" s="78"/>
      <c r="ET631" s="78"/>
      <c r="EU631" s="78"/>
      <c r="EV631" s="78"/>
      <c r="EW631" s="78"/>
      <c r="EX631" s="78"/>
      <c r="EY631" s="78"/>
      <c r="EZ631" s="78"/>
      <c r="FA631" s="78"/>
      <c r="FB631" s="78"/>
      <c r="FC631" s="78"/>
      <c r="FD631" s="78"/>
      <c r="FE631" s="78"/>
      <c r="FF631" s="78"/>
      <c r="FG631" s="78"/>
      <c r="FH631" s="78"/>
      <c r="FI631" s="78"/>
      <c r="FJ631" s="78"/>
      <c r="FK631" s="78"/>
    </row>
    <row r="632" spans="1:167" hidden="1" outlineLevel="1">
      <c r="A632" s="29" t="str">
        <f t="shared" si="42"/>
        <v>lt002_insrmntgns_fnncl_trnsctn_exchng_ccrr</v>
      </c>
      <c r="B632" s="67" t="s">
        <v>31</v>
      </c>
      <c r="C632" s="68" t="s">
        <v>31</v>
      </c>
      <c r="D632" s="64" t="s">
        <v>40</v>
      </c>
      <c r="E632" s="66" t="s">
        <v>574</v>
      </c>
      <c r="F632" s="64" t="s">
        <v>604</v>
      </c>
      <c r="G632" s="64" t="e">
        <f>INDEX(Auxiliar!$B$16:$B$24,MATCH(Plano_V1!H632,Auxiliar!$C$16:$C$24,0),1)</f>
        <v>#N/A</v>
      </c>
      <c r="H632" s="64" t="e">
        <f>VLOOKUP(A632,'Aux - pivots1'!$A:$B,2,0)</f>
        <v>#N/A</v>
      </c>
      <c r="I632" s="84">
        <f>SUMIFS(Table1[Estimação (horas)],Table1[Tabela],Plano_V1!E632,Table1[Campo],Plano_V1!F632)</f>
        <v>0</v>
      </c>
      <c r="J632" s="84">
        <f t="shared" si="41"/>
        <v>0</v>
      </c>
      <c r="K632" s="89" t="s">
        <v>39</v>
      </c>
      <c r="L632" s="90">
        <f t="shared" si="40"/>
        <v>0</v>
      </c>
      <c r="M632" s="78"/>
      <c r="N632" s="78"/>
      <c r="O632" s="78"/>
      <c r="P632" s="78"/>
      <c r="Q632" s="78"/>
      <c r="R632" s="78"/>
      <c r="S632" s="78"/>
      <c r="T632" s="78"/>
      <c r="U632" s="78"/>
      <c r="V632" s="78"/>
      <c r="W632" s="78"/>
      <c r="X632" s="78"/>
      <c r="Y632" s="78"/>
      <c r="Z632" s="78"/>
      <c r="AA632" s="78"/>
      <c r="AB632" s="78"/>
      <c r="AC632" s="78"/>
      <c r="AD632" s="78"/>
      <c r="AE632" s="78"/>
      <c r="AF632" s="78"/>
      <c r="AG632" s="78"/>
      <c r="AH632" s="78"/>
      <c r="AI632" s="78"/>
      <c r="AJ632" s="78"/>
      <c r="AK632" s="78"/>
      <c r="AL632" s="78"/>
      <c r="AM632" s="78"/>
      <c r="AN632" s="78"/>
      <c r="AO632" s="78"/>
      <c r="AP632" s="78"/>
      <c r="AQ632" s="78"/>
      <c r="AR632" s="78"/>
      <c r="AS632" s="78"/>
      <c r="AT632" s="91"/>
      <c r="AU632" s="78"/>
      <c r="AV632" s="78"/>
      <c r="AW632" s="78"/>
      <c r="AX632" s="78"/>
      <c r="AY632" s="78"/>
      <c r="AZ632" s="78"/>
      <c r="BA632" s="78"/>
      <c r="BB632" s="78"/>
      <c r="BC632" s="78"/>
      <c r="BD632" s="78"/>
      <c r="BE632" s="78"/>
      <c r="BF632" s="78"/>
      <c r="BG632" s="78"/>
      <c r="BH632" s="78"/>
      <c r="BI632" s="78"/>
      <c r="BJ632" s="78"/>
      <c r="BK632" s="78"/>
      <c r="BL632" s="78"/>
      <c r="BM632" s="78"/>
      <c r="BN632" s="78"/>
      <c r="BO632" s="78"/>
      <c r="BP632" s="78"/>
      <c r="BQ632" s="78"/>
      <c r="BR632" s="78"/>
      <c r="BS632" s="78"/>
      <c r="BT632" s="78"/>
      <c r="BU632" s="78"/>
      <c r="BV632" s="78"/>
      <c r="BW632" s="78"/>
      <c r="BX632" s="78"/>
      <c r="BY632" s="78"/>
      <c r="BZ632" s="78"/>
      <c r="CA632" s="78"/>
      <c r="CB632" s="78"/>
      <c r="CC632" s="78"/>
      <c r="CD632" s="78"/>
      <c r="CE632" s="78"/>
      <c r="CF632" s="78"/>
      <c r="CG632" s="78"/>
      <c r="CH632" s="78"/>
      <c r="CI632" s="78"/>
      <c r="CJ632" s="78"/>
      <c r="CK632" s="78"/>
      <c r="CL632" s="78"/>
      <c r="CM632" s="78"/>
      <c r="CN632" s="78"/>
      <c r="CO632" s="78"/>
      <c r="CP632" s="78"/>
      <c r="CQ632" s="78"/>
      <c r="CR632" s="78"/>
      <c r="CS632" s="78"/>
      <c r="CT632" s="78"/>
      <c r="CU632" s="78"/>
      <c r="CV632" s="78"/>
      <c r="CW632" s="78"/>
      <c r="CX632" s="78"/>
      <c r="CY632" s="78"/>
      <c r="CZ632" s="78"/>
      <c r="DA632" s="78"/>
      <c r="DB632" s="78"/>
      <c r="DC632" s="78"/>
      <c r="DD632" s="78"/>
      <c r="DE632" s="78"/>
      <c r="DF632" s="78"/>
      <c r="DG632" s="78"/>
      <c r="DH632" s="78"/>
      <c r="DI632" s="78"/>
      <c r="DJ632" s="78"/>
      <c r="DK632" s="78"/>
      <c r="DL632" s="78"/>
      <c r="DM632" s="78"/>
      <c r="DN632" s="78"/>
      <c r="DO632" s="78"/>
      <c r="DP632" s="78"/>
      <c r="DQ632" s="78"/>
      <c r="DR632" s="78"/>
      <c r="DS632" s="78"/>
      <c r="DT632" s="78"/>
      <c r="DU632" s="78"/>
      <c r="DV632" s="78"/>
      <c r="DW632" s="78"/>
      <c r="DX632" s="78"/>
      <c r="DY632" s="78"/>
      <c r="DZ632" s="78"/>
      <c r="EA632" s="78"/>
      <c r="EB632" s="78"/>
      <c r="EC632" s="78"/>
      <c r="ED632" s="78"/>
      <c r="EE632" s="78"/>
      <c r="EF632" s="78"/>
      <c r="EG632" s="78"/>
      <c r="EH632" s="78"/>
      <c r="EI632" s="91"/>
      <c r="EJ632" s="91"/>
      <c r="EK632" s="91"/>
      <c r="EL632" s="91"/>
      <c r="EM632" s="91"/>
      <c r="EN632" s="91"/>
      <c r="EO632" s="91"/>
      <c r="EP632" s="78"/>
      <c r="EQ632" s="78"/>
      <c r="ER632" s="78"/>
      <c r="ES632" s="78"/>
      <c r="ET632" s="78"/>
      <c r="EU632" s="78"/>
      <c r="EV632" s="78"/>
      <c r="EW632" s="78"/>
      <c r="EX632" s="78"/>
      <c r="EY632" s="78"/>
      <c r="EZ632" s="78"/>
      <c r="FA632" s="78"/>
      <c r="FB632" s="78"/>
      <c r="FC632" s="78"/>
      <c r="FD632" s="78"/>
      <c r="FE632" s="78"/>
      <c r="FF632" s="78"/>
      <c r="FG632" s="78"/>
      <c r="FH632" s="78"/>
      <c r="FI632" s="78"/>
      <c r="FJ632" s="78"/>
      <c r="FK632" s="78"/>
    </row>
    <row r="633" spans="1:167" hidden="1" outlineLevel="1">
      <c r="A633" s="29" t="str">
        <f t="shared" si="42"/>
        <v>lt002_insrmntcnclld_instrmnt_stts</v>
      </c>
      <c r="B633" s="67" t="s">
        <v>31</v>
      </c>
      <c r="C633" s="68" t="s">
        <v>31</v>
      </c>
      <c r="D633" s="64" t="s">
        <v>40</v>
      </c>
      <c r="E633" s="66" t="s">
        <v>574</v>
      </c>
      <c r="F633" s="64" t="s">
        <v>605</v>
      </c>
      <c r="G633" s="64" t="e">
        <f>INDEX(Auxiliar!$B$16:$B$24,MATCH(Plano_V1!H633,Auxiliar!$C$16:$C$24,0),1)</f>
        <v>#N/A</v>
      </c>
      <c r="H633" s="64" t="e">
        <f>VLOOKUP(A633,'Aux - pivots1'!$A:$B,2,0)</f>
        <v>#N/A</v>
      </c>
      <c r="I633" s="84">
        <f>SUMIFS(Table1[Estimação (horas)],Table1[Tabela],Plano_V1!E633,Table1[Campo],Plano_V1!F633)</f>
        <v>0</v>
      </c>
      <c r="J633" s="84">
        <f t="shared" si="41"/>
        <v>0</v>
      </c>
      <c r="K633" s="89" t="s">
        <v>39</v>
      </c>
      <c r="L633" s="90">
        <f t="shared" si="40"/>
        <v>0</v>
      </c>
      <c r="M633" s="78"/>
      <c r="N633" s="78"/>
      <c r="O633" s="78"/>
      <c r="P633" s="78"/>
      <c r="Q633" s="78"/>
      <c r="R633" s="78"/>
      <c r="S633" s="78"/>
      <c r="T633" s="78"/>
      <c r="U633" s="78"/>
      <c r="V633" s="78"/>
      <c r="W633" s="78"/>
      <c r="X633" s="78"/>
      <c r="Y633" s="78"/>
      <c r="Z633" s="78"/>
      <c r="AA633" s="78"/>
      <c r="AB633" s="78"/>
      <c r="AC633" s="78"/>
      <c r="AD633" s="78"/>
      <c r="AE633" s="78"/>
      <c r="AF633" s="78"/>
      <c r="AG633" s="78"/>
      <c r="AH633" s="78"/>
      <c r="AI633" s="78"/>
      <c r="AJ633" s="78"/>
      <c r="AK633" s="78"/>
      <c r="AL633" s="78"/>
      <c r="AM633" s="78"/>
      <c r="AN633" s="78"/>
      <c r="AO633" s="78"/>
      <c r="AP633" s="78"/>
      <c r="AQ633" s="78"/>
      <c r="AR633" s="78"/>
      <c r="AS633" s="78"/>
      <c r="AT633" s="91"/>
      <c r="AU633" s="78"/>
      <c r="AV633" s="78"/>
      <c r="AW633" s="78"/>
      <c r="AX633" s="78"/>
      <c r="AY633" s="78"/>
      <c r="AZ633" s="78"/>
      <c r="BA633" s="78"/>
      <c r="BB633" s="78"/>
      <c r="BC633" s="78"/>
      <c r="BD633" s="78"/>
      <c r="BE633" s="78"/>
      <c r="BF633" s="78"/>
      <c r="BG633" s="78"/>
      <c r="BH633" s="78"/>
      <c r="BI633" s="78"/>
      <c r="BJ633" s="78"/>
      <c r="BK633" s="78"/>
      <c r="BL633" s="78"/>
      <c r="BM633" s="78"/>
      <c r="BN633" s="78"/>
      <c r="BO633" s="78"/>
      <c r="BP633" s="78"/>
      <c r="BQ633" s="78"/>
      <c r="BR633" s="78"/>
      <c r="BS633" s="78"/>
      <c r="BT633" s="78"/>
      <c r="BU633" s="78"/>
      <c r="BV633" s="78"/>
      <c r="BW633" s="78"/>
      <c r="BX633" s="78"/>
      <c r="BY633" s="78"/>
      <c r="BZ633" s="78"/>
      <c r="CA633" s="78"/>
      <c r="CB633" s="78"/>
      <c r="CC633" s="78"/>
      <c r="CD633" s="78"/>
      <c r="CE633" s="78"/>
      <c r="CF633" s="78"/>
      <c r="CG633" s="78"/>
      <c r="CH633" s="78"/>
      <c r="CI633" s="78"/>
      <c r="CJ633" s="78"/>
      <c r="CK633" s="78"/>
      <c r="CL633" s="78"/>
      <c r="CM633" s="78"/>
      <c r="CN633" s="78"/>
      <c r="CO633" s="78"/>
      <c r="CP633" s="78"/>
      <c r="CQ633" s="78"/>
      <c r="CR633" s="78"/>
      <c r="CS633" s="78"/>
      <c r="CT633" s="78"/>
      <c r="CU633" s="78"/>
      <c r="CV633" s="78"/>
      <c r="CW633" s="78"/>
      <c r="CX633" s="78"/>
      <c r="CY633" s="78"/>
      <c r="CZ633" s="78"/>
      <c r="DA633" s="78"/>
      <c r="DB633" s="78"/>
      <c r="DC633" s="78"/>
      <c r="DD633" s="78"/>
      <c r="DE633" s="78"/>
      <c r="DF633" s="78"/>
      <c r="DG633" s="78"/>
      <c r="DH633" s="78"/>
      <c r="DI633" s="78"/>
      <c r="DJ633" s="78"/>
      <c r="DK633" s="78"/>
      <c r="DL633" s="78"/>
      <c r="DM633" s="78"/>
      <c r="DN633" s="78"/>
      <c r="DO633" s="78"/>
      <c r="DP633" s="78"/>
      <c r="DQ633" s="78"/>
      <c r="DR633" s="78"/>
      <c r="DS633" s="78"/>
      <c r="DT633" s="78"/>
      <c r="DU633" s="78"/>
      <c r="DV633" s="78"/>
      <c r="DW633" s="78"/>
      <c r="DX633" s="78"/>
      <c r="DY633" s="78"/>
      <c r="DZ633" s="78"/>
      <c r="EA633" s="78"/>
      <c r="EB633" s="78"/>
      <c r="EC633" s="78"/>
      <c r="ED633" s="78"/>
      <c r="EE633" s="78"/>
      <c r="EF633" s="78"/>
      <c r="EG633" s="78"/>
      <c r="EH633" s="78"/>
      <c r="EI633" s="91"/>
      <c r="EJ633" s="91"/>
      <c r="EK633" s="91"/>
      <c r="EL633" s="91"/>
      <c r="EM633" s="91"/>
      <c r="EN633" s="91"/>
      <c r="EO633" s="91"/>
      <c r="EP633" s="78"/>
      <c r="EQ633" s="78"/>
      <c r="ER633" s="78"/>
      <c r="ES633" s="78"/>
      <c r="ET633" s="78"/>
      <c r="EU633" s="78"/>
      <c r="EV633" s="78"/>
      <c r="EW633" s="78"/>
      <c r="EX633" s="78"/>
      <c r="EY633" s="78"/>
      <c r="EZ633" s="78"/>
      <c r="FA633" s="78"/>
      <c r="FB633" s="78"/>
      <c r="FC633" s="78"/>
      <c r="FD633" s="78"/>
      <c r="FE633" s="78"/>
      <c r="FF633" s="78"/>
      <c r="FG633" s="78"/>
      <c r="FH633" s="78"/>
      <c r="FI633" s="78"/>
      <c r="FJ633" s="78"/>
      <c r="FK633" s="78"/>
    </row>
    <row r="634" spans="1:167" hidden="1" outlineLevel="1">
      <c r="A634" s="29" t="str">
        <f t="shared" si="42"/>
        <v>lt002_insrmntsstnbl_indctr</v>
      </c>
      <c r="B634" s="67" t="s">
        <v>31</v>
      </c>
      <c r="C634" s="68" t="s">
        <v>31</v>
      </c>
      <c r="D634" s="64" t="s">
        <v>40</v>
      </c>
      <c r="E634" s="66" t="s">
        <v>574</v>
      </c>
      <c r="F634" s="64" t="s">
        <v>418</v>
      </c>
      <c r="G634" s="64" t="e">
        <f>INDEX(Auxiliar!$B$16:$B$24,MATCH(Plano_V1!H634,Auxiliar!$C$16:$C$24,0),1)</f>
        <v>#N/A</v>
      </c>
      <c r="H634" s="64" t="e">
        <f>VLOOKUP(A634,'Aux - pivots1'!$A:$B,2,0)</f>
        <v>#N/A</v>
      </c>
      <c r="I634" s="84">
        <f>SUMIFS(Table1[Estimação (horas)],Table1[Tabela],Plano_V1!E634,Table1[Campo],Plano_V1!F634)</f>
        <v>0</v>
      </c>
      <c r="J634" s="84">
        <f t="shared" si="41"/>
        <v>0</v>
      </c>
      <c r="K634" s="89" t="s">
        <v>39</v>
      </c>
      <c r="L634" s="90">
        <f t="shared" si="40"/>
        <v>0</v>
      </c>
      <c r="M634" s="78"/>
      <c r="N634" s="78"/>
      <c r="O634" s="78"/>
      <c r="P634" s="78"/>
      <c r="Q634" s="78"/>
      <c r="R634" s="78"/>
      <c r="S634" s="78"/>
      <c r="T634" s="78"/>
      <c r="U634" s="78"/>
      <c r="V634" s="78"/>
      <c r="W634" s="78"/>
      <c r="X634" s="78"/>
      <c r="Y634" s="78"/>
      <c r="Z634" s="78"/>
      <c r="AA634" s="78"/>
      <c r="AB634" s="78"/>
      <c r="AC634" s="78"/>
      <c r="AD634" s="78"/>
      <c r="AE634" s="78"/>
      <c r="AF634" s="78"/>
      <c r="AG634" s="78"/>
      <c r="AH634" s="78"/>
      <c r="AI634" s="78"/>
      <c r="AJ634" s="78"/>
      <c r="AK634" s="78"/>
      <c r="AL634" s="78"/>
      <c r="AM634" s="78"/>
      <c r="AN634" s="78"/>
      <c r="AO634" s="78"/>
      <c r="AP634" s="78"/>
      <c r="AQ634" s="78"/>
      <c r="AR634" s="78"/>
      <c r="AS634" s="78"/>
      <c r="AT634" s="91"/>
      <c r="AU634" s="78"/>
      <c r="AV634" s="78"/>
      <c r="AW634" s="78"/>
      <c r="AX634" s="78"/>
      <c r="AY634" s="78"/>
      <c r="AZ634" s="78"/>
      <c r="BA634" s="78"/>
      <c r="BB634" s="78"/>
      <c r="BC634" s="78"/>
      <c r="BD634" s="78"/>
      <c r="BE634" s="78"/>
      <c r="BF634" s="78"/>
      <c r="BG634" s="78"/>
      <c r="BH634" s="78"/>
      <c r="BI634" s="78"/>
      <c r="BJ634" s="78"/>
      <c r="BK634" s="78"/>
      <c r="BL634" s="78"/>
      <c r="BM634" s="78"/>
      <c r="BN634" s="78"/>
      <c r="BO634" s="78"/>
      <c r="BP634" s="78"/>
      <c r="BQ634" s="78"/>
      <c r="BR634" s="78"/>
      <c r="BS634" s="78"/>
      <c r="BT634" s="78"/>
      <c r="BU634" s="78"/>
      <c r="BV634" s="78"/>
      <c r="BW634" s="78"/>
      <c r="BX634" s="78"/>
      <c r="BY634" s="78"/>
      <c r="BZ634" s="78"/>
      <c r="CA634" s="78"/>
      <c r="CB634" s="78"/>
      <c r="CC634" s="78"/>
      <c r="CD634" s="78"/>
      <c r="CE634" s="78"/>
      <c r="CF634" s="78"/>
      <c r="CG634" s="78"/>
      <c r="CH634" s="78"/>
      <c r="CI634" s="78"/>
      <c r="CJ634" s="78"/>
      <c r="CK634" s="78"/>
      <c r="CL634" s="78"/>
      <c r="CM634" s="78"/>
      <c r="CN634" s="78"/>
      <c r="CO634" s="78"/>
      <c r="CP634" s="78"/>
      <c r="CQ634" s="78"/>
      <c r="CR634" s="78"/>
      <c r="CS634" s="78"/>
      <c r="CT634" s="78"/>
      <c r="CU634" s="78"/>
      <c r="CV634" s="78"/>
      <c r="CW634" s="78"/>
      <c r="CX634" s="78"/>
      <c r="CY634" s="78"/>
      <c r="CZ634" s="78"/>
      <c r="DA634" s="78"/>
      <c r="DB634" s="78"/>
      <c r="DC634" s="78"/>
      <c r="DD634" s="78"/>
      <c r="DE634" s="78"/>
      <c r="DF634" s="78"/>
      <c r="DG634" s="78"/>
      <c r="DH634" s="78"/>
      <c r="DI634" s="78"/>
      <c r="DJ634" s="78"/>
      <c r="DK634" s="78"/>
      <c r="DL634" s="78"/>
      <c r="DM634" s="78"/>
      <c r="DN634" s="78"/>
      <c r="DO634" s="78"/>
      <c r="DP634" s="78"/>
      <c r="DQ634" s="78"/>
      <c r="DR634" s="78"/>
      <c r="DS634" s="78"/>
      <c r="DT634" s="78"/>
      <c r="DU634" s="78"/>
      <c r="DV634" s="78"/>
      <c r="DW634" s="78"/>
      <c r="DX634" s="78"/>
      <c r="DY634" s="78"/>
      <c r="DZ634" s="78"/>
      <c r="EA634" s="78"/>
      <c r="EB634" s="78"/>
      <c r="EC634" s="78"/>
      <c r="ED634" s="78"/>
      <c r="EE634" s="78"/>
      <c r="EF634" s="78"/>
      <c r="EG634" s="78"/>
      <c r="EH634" s="78"/>
      <c r="EI634" s="91"/>
      <c r="EJ634" s="91"/>
      <c r="EK634" s="91"/>
      <c r="EL634" s="91"/>
      <c r="EM634" s="91"/>
      <c r="EN634" s="91"/>
      <c r="EO634" s="91"/>
      <c r="EP634" s="78"/>
      <c r="EQ634" s="78"/>
      <c r="ER634" s="78"/>
      <c r="ES634" s="78"/>
      <c r="ET634" s="78"/>
      <c r="EU634" s="78"/>
      <c r="EV634" s="78"/>
      <c r="EW634" s="78"/>
      <c r="EX634" s="78"/>
      <c r="EY634" s="78"/>
      <c r="EZ634" s="78"/>
      <c r="FA634" s="78"/>
      <c r="FB634" s="78"/>
      <c r="FC634" s="78"/>
      <c r="FD634" s="78"/>
      <c r="FE634" s="78"/>
      <c r="FF634" s="78"/>
      <c r="FG634" s="78"/>
      <c r="FH634" s="78"/>
      <c r="FI634" s="78"/>
      <c r="FJ634" s="78"/>
      <c r="FK634" s="78"/>
    </row>
    <row r="635" spans="1:167" hidden="1" outlineLevel="1">
      <c r="A635" s="29" t="str">
        <f t="shared" si="42"/>
        <v>Re-testesn.a.</v>
      </c>
      <c r="B635" s="67" t="s">
        <v>26</v>
      </c>
      <c r="C635" s="68" t="s">
        <v>54</v>
      </c>
      <c r="D635" s="64" t="s">
        <v>40</v>
      </c>
      <c r="E635" s="66" t="s">
        <v>53</v>
      </c>
      <c r="F635" s="64" t="s">
        <v>38</v>
      </c>
      <c r="G635" s="64" t="s">
        <v>180</v>
      </c>
      <c r="H635" s="64"/>
      <c r="I635" s="84">
        <f>SUM(I584:I634)*D7</f>
        <v>0</v>
      </c>
      <c r="J635" s="84">
        <f>I635/8</f>
        <v>0</v>
      </c>
      <c r="K635" s="89" t="s">
        <v>39</v>
      </c>
      <c r="L635" s="90">
        <f t="shared" si="40"/>
        <v>0</v>
      </c>
      <c r="M635" s="78"/>
      <c r="N635" s="78"/>
      <c r="O635" s="78"/>
      <c r="P635" s="78"/>
      <c r="Q635" s="78"/>
      <c r="R635" s="78"/>
      <c r="S635" s="78"/>
      <c r="T635" s="78"/>
      <c r="U635" s="78"/>
      <c r="V635" s="78"/>
      <c r="W635" s="78"/>
      <c r="X635" s="78"/>
      <c r="Y635" s="78"/>
      <c r="Z635" s="78"/>
      <c r="AA635" s="78"/>
      <c r="AB635" s="78"/>
      <c r="AC635" s="78"/>
      <c r="AD635" s="78"/>
      <c r="AE635" s="78"/>
      <c r="AF635" s="78"/>
      <c r="AG635" s="78"/>
      <c r="AH635" s="78"/>
      <c r="AI635" s="78"/>
      <c r="AJ635" s="78"/>
      <c r="AK635" s="78"/>
      <c r="AL635" s="78"/>
      <c r="AM635" s="78"/>
      <c r="AN635" s="78"/>
      <c r="AO635" s="78"/>
      <c r="AP635" s="78"/>
      <c r="AQ635" s="78"/>
      <c r="AR635" s="78"/>
      <c r="AS635" s="78"/>
      <c r="AT635" s="91"/>
      <c r="AU635" s="78"/>
      <c r="AV635" s="78"/>
      <c r="AW635" s="78"/>
      <c r="AX635" s="78"/>
      <c r="AY635" s="78"/>
      <c r="AZ635" s="78"/>
      <c r="BA635" s="78"/>
      <c r="BB635" s="78"/>
      <c r="BC635" s="78"/>
      <c r="BD635" s="78"/>
      <c r="BE635" s="78"/>
      <c r="BF635" s="78"/>
      <c r="BG635" s="78"/>
      <c r="BH635" s="78"/>
      <c r="BI635" s="78"/>
      <c r="BJ635" s="78"/>
      <c r="BK635" s="78"/>
      <c r="BL635" s="78"/>
      <c r="BM635" s="78"/>
      <c r="BN635" s="78"/>
      <c r="BO635" s="78"/>
      <c r="BP635" s="78"/>
      <c r="BQ635" s="78"/>
      <c r="BR635" s="78"/>
      <c r="BS635" s="78"/>
      <c r="BT635" s="78"/>
      <c r="BU635" s="78"/>
      <c r="BV635" s="78"/>
      <c r="BW635" s="78"/>
      <c r="BX635" s="78"/>
      <c r="BY635" s="78"/>
      <c r="BZ635" s="78"/>
      <c r="CA635" s="78"/>
      <c r="CB635" s="78"/>
      <c r="CC635" s="78"/>
      <c r="CD635" s="78"/>
      <c r="CE635" s="78"/>
      <c r="CF635" s="78"/>
      <c r="CG635" s="78"/>
      <c r="CH635" s="78"/>
      <c r="CI635" s="78"/>
      <c r="CJ635" s="78"/>
      <c r="CK635" s="78"/>
      <c r="CL635" s="78"/>
      <c r="CM635" s="78"/>
      <c r="CN635" s="78"/>
      <c r="CO635" s="78"/>
      <c r="CP635" s="78"/>
      <c r="CQ635" s="78"/>
      <c r="CR635" s="78"/>
      <c r="CS635" s="78"/>
      <c r="CT635" s="78"/>
      <c r="CU635" s="78"/>
      <c r="CV635" s="78"/>
      <c r="CW635" s="78"/>
      <c r="CX635" s="78"/>
      <c r="CY635" s="78"/>
      <c r="CZ635" s="78"/>
      <c r="DA635" s="78"/>
      <c r="DB635" s="78"/>
      <c r="DC635" s="78"/>
      <c r="DD635" s="78"/>
      <c r="DE635" s="78"/>
      <c r="DF635" s="78"/>
      <c r="DG635" s="78"/>
      <c r="DH635" s="78"/>
      <c r="DI635" s="78"/>
      <c r="DJ635" s="78"/>
      <c r="DK635" s="78"/>
      <c r="DL635" s="78"/>
      <c r="DM635" s="78"/>
      <c r="DN635" s="78"/>
      <c r="DO635" s="78"/>
      <c r="DP635" s="78"/>
      <c r="DQ635" s="78"/>
      <c r="DR635" s="78"/>
      <c r="DS635" s="78"/>
      <c r="DT635" s="78"/>
      <c r="DU635" s="78"/>
      <c r="DV635" s="78"/>
      <c r="DW635" s="78"/>
      <c r="DX635" s="78"/>
      <c r="DY635" s="78"/>
      <c r="DZ635" s="78"/>
      <c r="EA635" s="78"/>
      <c r="EB635" s="78"/>
      <c r="EC635" s="78"/>
      <c r="ED635" s="78"/>
      <c r="EE635" s="78"/>
      <c r="EF635" s="78"/>
      <c r="EG635" s="78"/>
      <c r="EH635" s="78"/>
      <c r="EI635" s="91"/>
      <c r="EJ635" s="91"/>
      <c r="EK635" s="91"/>
      <c r="EL635" s="91"/>
      <c r="EM635" s="91"/>
      <c r="EN635" s="91"/>
      <c r="EO635" s="91"/>
      <c r="EP635" s="78"/>
      <c r="EQ635" s="78"/>
      <c r="ER635" s="78"/>
      <c r="ES635" s="78"/>
      <c r="ET635" s="78"/>
      <c r="EU635" s="78"/>
      <c r="EV635" s="78"/>
      <c r="EW635" s="78"/>
      <c r="EX635" s="78"/>
      <c r="EY635" s="78"/>
      <c r="EZ635" s="78"/>
      <c r="FA635" s="78"/>
      <c r="FB635" s="78"/>
      <c r="FC635" s="78"/>
      <c r="FD635" s="78"/>
      <c r="FE635" s="78"/>
      <c r="FF635" s="78"/>
      <c r="FG635" s="78"/>
      <c r="FH635" s="78"/>
      <c r="FI635" s="78"/>
      <c r="FJ635" s="78"/>
      <c r="FK635" s="78"/>
    </row>
    <row r="636" spans="1:167" collapsed="1">
      <c r="A636" s="29" t="str">
        <f>E636&amp;F636</f>
        <v/>
      </c>
      <c r="B636" s="65" t="s">
        <v>31</v>
      </c>
      <c r="C636" s="64" t="s">
        <v>570</v>
      </c>
      <c r="D636" s="64"/>
      <c r="E636" s="64"/>
      <c r="F636" s="64"/>
      <c r="G636" s="64" t="s">
        <v>28</v>
      </c>
      <c r="H636" s="64"/>
      <c r="I636" s="99">
        <f>J636*8</f>
        <v>40</v>
      </c>
      <c r="J636" s="99">
        <v>5</v>
      </c>
      <c r="K636" s="87"/>
      <c r="L636" s="90">
        <f t="shared" si="40"/>
        <v>3</v>
      </c>
      <c r="M636" s="78"/>
      <c r="N636" s="78"/>
      <c r="O636" s="78"/>
      <c r="P636" s="78"/>
      <c r="Q636" s="78"/>
      <c r="R636" s="78"/>
      <c r="S636" s="78"/>
      <c r="T636" s="78"/>
      <c r="U636" s="78"/>
      <c r="V636" s="78"/>
      <c r="W636" s="78"/>
      <c r="X636" s="78"/>
      <c r="Y636" s="78"/>
      <c r="Z636" s="78"/>
      <c r="AA636" s="78"/>
      <c r="AB636" s="78"/>
      <c r="AC636" s="78"/>
      <c r="AD636" s="78"/>
      <c r="AE636" s="78"/>
      <c r="AF636" s="78"/>
      <c r="AG636" s="78"/>
      <c r="AH636" s="78"/>
      <c r="AI636" s="78"/>
      <c r="AJ636" s="78"/>
      <c r="AK636" s="78"/>
      <c r="AL636" s="78"/>
      <c r="AM636" s="78"/>
      <c r="AN636" s="78"/>
      <c r="AO636" s="78"/>
      <c r="AP636" s="78"/>
      <c r="AQ636" s="78"/>
      <c r="AR636" s="78"/>
      <c r="AS636" s="78"/>
      <c r="AT636" s="91"/>
      <c r="AU636" s="78"/>
      <c r="AV636" s="78"/>
      <c r="AW636" s="78"/>
      <c r="AX636" s="78"/>
      <c r="AY636" s="78"/>
      <c r="AZ636" s="78"/>
      <c r="BA636" s="78"/>
      <c r="BB636" s="78"/>
      <c r="BC636" s="78"/>
      <c r="BD636" s="78"/>
      <c r="BE636" s="78"/>
      <c r="BF636" s="78"/>
      <c r="BG636" s="78"/>
      <c r="BH636" s="78"/>
      <c r="BI636" s="78"/>
      <c r="BJ636" s="78"/>
      <c r="BK636" s="78"/>
      <c r="BL636" s="78"/>
      <c r="BM636" s="78"/>
      <c r="BN636" s="78"/>
      <c r="BO636" s="78"/>
      <c r="BP636" s="78"/>
      <c r="BQ636" s="78"/>
      <c r="BR636" s="78"/>
      <c r="BS636" s="78"/>
      <c r="BT636" s="78"/>
      <c r="BU636" s="78"/>
      <c r="BV636" s="78"/>
      <c r="BW636" s="78"/>
      <c r="BX636" s="78"/>
      <c r="BY636" s="78"/>
      <c r="BZ636" s="78"/>
      <c r="CA636" s="78"/>
      <c r="CB636" s="78"/>
      <c r="CC636" s="78"/>
      <c r="CD636" s="78"/>
      <c r="CE636" s="78"/>
      <c r="CF636" s="78"/>
      <c r="CG636" s="78"/>
      <c r="CH636" s="78"/>
      <c r="CI636" s="78"/>
      <c r="CJ636" s="78"/>
      <c r="CK636" s="78"/>
      <c r="CL636" s="78"/>
      <c r="CM636" s="78"/>
      <c r="CN636" s="78"/>
      <c r="CO636" s="78"/>
      <c r="CP636" s="78"/>
      <c r="CQ636" s="78"/>
      <c r="CR636" s="78"/>
      <c r="CS636" s="78"/>
      <c r="CT636" s="78"/>
      <c r="CU636" s="78"/>
      <c r="CV636" s="78"/>
      <c r="CW636" s="78"/>
      <c r="CX636" s="78"/>
      <c r="CY636" s="78"/>
      <c r="CZ636" s="78"/>
      <c r="DA636" s="78"/>
      <c r="DB636" s="78"/>
      <c r="DC636" s="78"/>
      <c r="DD636" s="78"/>
      <c r="DE636" s="78"/>
      <c r="DF636" s="78"/>
      <c r="DG636" s="78"/>
      <c r="DH636" s="78"/>
      <c r="DI636" s="78"/>
      <c r="DJ636" s="78"/>
      <c r="DK636" s="78"/>
      <c r="DL636" s="78"/>
      <c r="DM636" s="78"/>
      <c r="DN636" s="78"/>
      <c r="DO636" s="78"/>
      <c r="DP636" s="78"/>
      <c r="DQ636" s="78"/>
      <c r="DR636" s="78"/>
      <c r="DS636" s="78"/>
      <c r="DT636" s="78"/>
      <c r="DU636" s="78"/>
      <c r="DV636" s="78"/>
      <c r="DW636" s="78"/>
      <c r="DX636" s="78"/>
      <c r="DY636" s="78"/>
      <c r="DZ636" s="78"/>
      <c r="EA636" s="78"/>
      <c r="EB636" s="78"/>
      <c r="EC636" s="78"/>
      <c r="ED636" s="78"/>
      <c r="EE636" s="78"/>
      <c r="EF636" s="78"/>
      <c r="EG636" s="78"/>
      <c r="EH636" s="78"/>
      <c r="EI636" s="91"/>
      <c r="EJ636" s="91"/>
      <c r="EK636" s="91"/>
      <c r="EL636" s="91"/>
      <c r="EM636" s="91"/>
      <c r="EN636" s="91"/>
      <c r="EO636" s="91"/>
      <c r="EP636" s="78"/>
      <c r="EQ636" s="78"/>
      <c r="ER636" s="78"/>
      <c r="ES636" s="78"/>
      <c r="ET636" s="78"/>
      <c r="EU636" s="78"/>
      <c r="EV636" s="78"/>
      <c r="EW636" s="78"/>
      <c r="EX636" s="78"/>
      <c r="EY636" s="78"/>
      <c r="EZ636" s="78"/>
      <c r="FA636" s="78"/>
      <c r="FB636" s="78"/>
      <c r="FC636" s="78"/>
      <c r="FD636" s="78"/>
      <c r="FE636" s="78"/>
      <c r="FF636" s="78"/>
      <c r="FG636" s="78"/>
      <c r="FH636" s="78"/>
      <c r="FI636" s="78"/>
      <c r="FJ636" s="78"/>
      <c r="FK636" s="78">
        <v>2</v>
      </c>
    </row>
    <row r="639" spans="1:167">
      <c r="D639" s="11"/>
      <c r="AT639" t="s">
        <v>443</v>
      </c>
    </row>
  </sheetData>
  <autoFilter ref="B13:K636"/>
  <conditionalFormatting sqref="L15:L18 L26:L447">
    <cfRule type="cellIs" dxfId="393" priority="11" operator="notEqual">
      <formula>0</formula>
    </cfRule>
  </conditionalFormatting>
  <conditionalFormatting sqref="L21:L23">
    <cfRule type="cellIs" dxfId="392" priority="3" operator="notEqual">
      <formula>0</formula>
    </cfRule>
  </conditionalFormatting>
  <conditionalFormatting sqref="L577:L579">
    <cfRule type="cellIs" dxfId="391" priority="2" operator="notEqual">
      <formula>0</formula>
    </cfRule>
  </conditionalFormatting>
  <conditionalFormatting sqref="L582:L636">
    <cfRule type="cellIs" dxfId="390" priority="1" operator="notEqual">
      <formula>0</formula>
    </cfRule>
  </conditionalFormatting>
  <conditionalFormatting sqref="M5:M6 N6:FK6">
    <cfRule type="cellIs" dxfId="389" priority="12" operator="notEqual">
      <formula>0</formula>
    </cfRule>
  </conditionalFormatting>
  <conditionalFormatting sqref="M15:FK18 M21:FK23 M577:FK579 M636:FK636">
    <cfRule type="cellIs" dxfId="388" priority="10" operator="greaterThan">
      <formula>0</formula>
    </cfRule>
  </conditionalFormatting>
  <conditionalFormatting sqref="M26:FK27">
    <cfRule type="cellIs" dxfId="387" priority="9" operator="greaterThan">
      <formula>0</formula>
    </cfRule>
  </conditionalFormatting>
  <conditionalFormatting sqref="M42:FK42">
    <cfRule type="cellIs" dxfId="386" priority="8" operator="greaterThan">
      <formula>0</formula>
    </cfRule>
  </conditionalFormatting>
  <conditionalFormatting sqref="M198:FK198">
    <cfRule type="cellIs" dxfId="385" priority="7" operator="greaterThan">
      <formula>0</formula>
    </cfRule>
  </conditionalFormatting>
  <conditionalFormatting sqref="M362:FK362">
    <cfRule type="cellIs" dxfId="384" priority="6" operator="greaterThan">
      <formula>0</formula>
    </cfRule>
  </conditionalFormatting>
  <conditionalFormatting sqref="M447:FK447">
    <cfRule type="cellIs" dxfId="383" priority="5" operator="greaterThan">
      <formula>0</formula>
    </cfRule>
  </conditionalFormatting>
  <conditionalFormatting sqref="M582:FK583">
    <cfRule type="cellIs" dxfId="382" priority="4" operator="greaterThan">
      <formula>0</formula>
    </cfRule>
  </conditionalFormatting>
  <pageMargins left="0.7" right="0.7" top="0.75" bottom="0.75" header="0.3" footer="0.3"/>
  <pageSetup paperSize="9" orientation="portrait" r:id="rId1"/>
  <drawing r:id="rId2"/>
  <legacyDrawing r:id="rId3"/>
  <extLst>
    <ext xmlns:x14="http://schemas.microsoft.com/office/spreadsheetml/2009/9/main" uri="{78C0D931-6437-407d-A8EE-F0AAD7539E65}">
      <x14:conditionalFormattings>
        <x14:conditionalFormatting xmlns:xm="http://schemas.microsoft.com/office/excel/2006/main">
          <x14:cfRule type="containsText" priority="13" operator="containsText" id="{2CD79B4F-C7DD-4FE7-887B-338DB4C33EBB}">
            <xm:f>NOT(ISERROR(SEARCH(Auxiliar!$B$17,G14)))</xm:f>
            <xm:f>Auxiliar!$B$17</xm:f>
            <x14:dxf>
              <font>
                <b/>
                <i val="0"/>
                <color rgb="FFFFC000"/>
              </font>
              <fill>
                <patternFill>
                  <bgColor theme="9" tint="0.59996337778862885"/>
                </patternFill>
              </fill>
            </x14:dxf>
          </x14:cfRule>
          <x14:cfRule type="containsText" priority="14" operator="containsText" id="{77F69594-A484-4047-87F3-1E4A4A17EB05}">
            <xm:f>NOT(ISERROR(SEARCH(Auxiliar!$B$21,G14)))</xm:f>
            <xm:f>Auxiliar!$B$21</xm:f>
            <x14:dxf>
              <font>
                <b/>
                <i val="0"/>
                <color rgb="FFFFC000"/>
              </font>
              <fill>
                <patternFill>
                  <bgColor theme="9" tint="0.59996337778862885"/>
                </patternFill>
              </fill>
            </x14:dxf>
          </x14:cfRule>
          <x14:cfRule type="containsText" priority="15" operator="containsText" id="{96D8DF02-FB97-4B79-BA35-112021D599F0}">
            <xm:f>NOT(ISERROR(SEARCH(Auxiliar!$B$24,G14)))</xm:f>
            <xm:f>Auxiliar!$B$24</xm:f>
            <x14:dxf>
              <font>
                <b/>
                <i val="0"/>
              </font>
              <fill>
                <patternFill patternType="darkDown">
                  <bgColor theme="0" tint="-4.9989318521683403E-2"/>
                </patternFill>
              </fill>
            </x14:dxf>
          </x14:cfRule>
          <x14:cfRule type="containsText" priority="16" operator="containsText" id="{47038938-60E3-42D2-8B14-08CE8694ED6F}">
            <xm:f>NOT(ISERROR(SEARCH(Auxiliar!$B$22,G14)))</xm:f>
            <xm:f>Auxiliar!$B$22</xm:f>
            <x14:dxf>
              <font>
                <b/>
                <i val="0"/>
                <color rgb="FFC00000"/>
              </font>
              <fill>
                <patternFill>
                  <bgColor theme="4" tint="0.79998168889431442"/>
                </patternFill>
              </fill>
            </x14:dxf>
          </x14:cfRule>
          <x14:cfRule type="containsText" priority="17" operator="containsText" id="{D8529F6D-4C1F-44CD-A98C-3D12A659EB3E}">
            <xm:f>NOT(ISERROR(SEARCH(Auxiliar!$B$19,G14)))</xm:f>
            <xm:f>Auxiliar!$B$19</xm:f>
            <x14:dxf>
              <font>
                <b/>
                <i val="0"/>
                <color theme="9" tint="-0.499984740745262"/>
              </font>
              <fill>
                <patternFill>
                  <bgColor theme="9" tint="0.79998168889431442"/>
                </patternFill>
              </fill>
            </x14:dxf>
          </x14:cfRule>
          <x14:cfRule type="containsText" priority="18" operator="containsText" id="{A11D1E2F-CF65-4ADB-BA4E-17B5B2DDB11A}">
            <xm:f>NOT(ISERROR(SEARCH(Auxiliar!$B$18,G14)))</xm:f>
            <xm:f>Auxiliar!$B$18</xm:f>
            <x14:dxf>
              <font>
                <b/>
                <i val="0"/>
                <color theme="0" tint="-0.499984740745262"/>
              </font>
              <fill>
                <patternFill>
                  <bgColor theme="0" tint="-4.9989318521683403E-2"/>
                </patternFill>
              </fill>
            </x14:dxf>
          </x14:cfRule>
          <x14:cfRule type="cellIs" priority="19" operator="equal" id="{7473690F-D302-4AEB-AEA6-F880E2528E81}">
            <xm:f>Auxiliar!$B$16</xm:f>
            <x14:dxf>
              <font>
                <b/>
                <i val="0"/>
                <color theme="7"/>
              </font>
              <fill>
                <patternFill>
                  <bgColor theme="7" tint="0.79998168889431442"/>
                </patternFill>
              </fill>
            </x14:dxf>
          </x14:cfRule>
          <xm:sqref>G14:G636</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14:formula1>
            <xm:f>Auxiliar!$B$16:$B$24</xm:f>
          </x14:formula1>
          <xm:sqref>G582 G635:G636 G41 G197 G361 G446 G21:G23 G26 G574:G579 G15:G18</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pageSetUpPr autoPageBreaks="0"/>
  </sheetPr>
  <dimension ref="A1:AN257"/>
  <sheetViews>
    <sheetView showGridLines="0" tabSelected="1" zoomScale="50" zoomScaleNormal="50" zoomScalePageLayoutView="90" workbookViewId="0">
      <selection activeCell="U23" sqref="U23"/>
    </sheetView>
  </sheetViews>
  <sheetFormatPr defaultColWidth="0" defaultRowHeight="18" zeroHeight="1"/>
  <cols>
    <col min="1" max="2" width="3.58203125" style="25" customWidth="1"/>
    <col min="3" max="4" width="14.5" style="25" customWidth="1"/>
    <col min="5" max="13" width="13.08203125" style="25" customWidth="1"/>
    <col min="14" max="14" width="11.58203125" style="25" customWidth="1"/>
    <col min="15" max="15" width="12.33203125" style="25" customWidth="1"/>
    <col min="16" max="16" width="12.58203125" style="25" customWidth="1"/>
    <col min="17" max="17" width="13" style="25" customWidth="1"/>
    <col min="18" max="22" width="8.58203125" style="25" customWidth="1"/>
    <col min="23" max="23" width="10" style="25" customWidth="1"/>
    <col min="24" max="32" width="8.58203125" style="25" customWidth="1"/>
    <col min="33" max="34" width="3.58203125" style="25" customWidth="1"/>
    <col min="35" max="40" width="3.58203125" style="25" hidden="1" customWidth="1"/>
    <col min="41" max="16384" width="8.58203125" style="25" hidden="1"/>
  </cols>
  <sheetData>
    <row r="1" spans="1:34"/>
    <row r="2" spans="1:34"/>
    <row r="3" spans="1:34"/>
    <row r="4" spans="1:34" ht="5.15" customHeight="1">
      <c r="A4" s="114"/>
      <c r="B4" s="114"/>
      <c r="C4" s="114"/>
      <c r="D4" s="114"/>
      <c r="E4" s="114"/>
      <c r="F4" s="114"/>
      <c r="G4" s="114"/>
      <c r="H4" s="114"/>
      <c r="I4" s="114"/>
      <c r="J4" s="114"/>
      <c r="K4" s="114"/>
      <c r="L4" s="114"/>
      <c r="M4" s="114"/>
      <c r="N4" s="114"/>
      <c r="O4" s="114"/>
      <c r="P4" s="114"/>
      <c r="Q4" s="114"/>
      <c r="R4" s="114"/>
      <c r="S4" s="114"/>
      <c r="T4" s="114"/>
      <c r="U4" s="114"/>
      <c r="V4" s="114"/>
      <c r="W4" s="114"/>
      <c r="X4" s="114"/>
      <c r="Y4" s="114"/>
      <c r="Z4" s="114"/>
      <c r="AA4" s="114"/>
      <c r="AB4" s="114"/>
      <c r="AC4" s="114"/>
      <c r="AD4" s="114"/>
      <c r="AE4" s="114"/>
      <c r="AF4" s="114"/>
      <c r="AG4" s="114"/>
      <c r="AH4" s="114"/>
    </row>
    <row r="5" spans="1:34">
      <c r="A5" s="116"/>
      <c r="B5" s="116"/>
      <c r="C5" s="116"/>
      <c r="D5" s="116"/>
      <c r="E5" s="116"/>
      <c r="F5" s="116"/>
      <c r="G5" s="116"/>
      <c r="H5" s="116"/>
      <c r="I5" s="116"/>
      <c r="J5" s="116"/>
      <c r="K5" s="116"/>
      <c r="L5" s="116"/>
      <c r="M5" s="116"/>
      <c r="N5" s="116"/>
      <c r="O5" s="116"/>
      <c r="P5" s="116"/>
      <c r="Q5" s="116"/>
      <c r="R5" s="116"/>
      <c r="S5" s="116"/>
      <c r="T5" s="116"/>
      <c r="U5" s="116"/>
      <c r="V5" s="116"/>
      <c r="W5" s="116"/>
      <c r="X5" s="116"/>
      <c r="Y5" s="116"/>
      <c r="Z5" s="116"/>
      <c r="AA5" s="116"/>
      <c r="AB5" s="116"/>
      <c r="AC5" s="116"/>
      <c r="AD5" s="116"/>
      <c r="AE5" s="116"/>
      <c r="AF5" s="116"/>
      <c r="AG5" s="116"/>
      <c r="AH5" s="116"/>
    </row>
    <row r="6" spans="1:34" ht="23">
      <c r="A6" s="116"/>
      <c r="B6" s="126" t="s">
        <v>2464</v>
      </c>
      <c r="C6" s="116"/>
      <c r="D6" s="116"/>
      <c r="E6" s="116"/>
      <c r="F6" s="116"/>
      <c r="G6" s="116"/>
      <c r="H6" s="116"/>
      <c r="I6" s="116"/>
      <c r="J6" s="116"/>
      <c r="K6" s="116"/>
      <c r="L6" s="116"/>
      <c r="M6" s="116"/>
      <c r="N6" s="116"/>
      <c r="O6" s="116"/>
      <c r="P6" s="116"/>
      <c r="Q6" s="116"/>
      <c r="R6" s="116"/>
      <c r="S6" s="116"/>
      <c r="T6" s="116"/>
      <c r="U6" s="116"/>
      <c r="V6" s="116"/>
      <c r="W6" s="116"/>
      <c r="X6" s="116"/>
      <c r="Y6" s="116"/>
      <c r="Z6" s="116"/>
      <c r="AA6" s="116"/>
      <c r="AB6" s="116"/>
      <c r="AC6" s="116"/>
      <c r="AD6" s="116"/>
      <c r="AE6" s="116"/>
      <c r="AF6" s="116"/>
      <c r="AG6" s="116"/>
      <c r="AH6" s="116"/>
    </row>
    <row r="7" spans="1:34" ht="3.65" customHeight="1">
      <c r="A7" s="116"/>
      <c r="B7" s="116"/>
      <c r="C7" s="116"/>
      <c r="D7" s="116"/>
      <c r="E7" s="116"/>
      <c r="F7" s="116"/>
      <c r="G7" s="116"/>
      <c r="H7" s="116"/>
      <c r="I7" s="116"/>
      <c r="J7" s="116"/>
      <c r="K7" s="116"/>
      <c r="L7" s="116"/>
      <c r="M7" s="116"/>
      <c r="N7" s="116"/>
      <c r="O7" s="116"/>
      <c r="P7" s="116"/>
      <c r="Q7" s="116"/>
      <c r="R7" s="116"/>
      <c r="S7" s="116"/>
      <c r="T7" s="116"/>
      <c r="U7" s="116"/>
      <c r="V7" s="116"/>
      <c r="W7" s="116"/>
      <c r="X7" s="116"/>
      <c r="Y7" s="116"/>
      <c r="Z7" s="116"/>
      <c r="AA7" s="116"/>
      <c r="AB7" s="116"/>
      <c r="AC7" s="116"/>
      <c r="AD7" s="116"/>
      <c r="AE7" s="116"/>
      <c r="AF7" s="116"/>
      <c r="AG7" s="116"/>
      <c r="AH7" s="116"/>
    </row>
    <row r="8" spans="1:34" ht="19">
      <c r="A8" s="116"/>
      <c r="B8" s="379">
        <v>1</v>
      </c>
      <c r="C8" s="321"/>
      <c r="D8" s="321"/>
      <c r="E8" s="321"/>
      <c r="F8" s="321"/>
      <c r="G8" s="321"/>
      <c r="H8" s="321"/>
      <c r="I8" s="321"/>
      <c r="J8" s="321"/>
      <c r="K8" s="321"/>
      <c r="L8" s="321"/>
      <c r="M8" s="321"/>
      <c r="N8" s="321"/>
      <c r="O8" s="321"/>
      <c r="P8" s="321"/>
      <c r="Q8" s="321"/>
      <c r="R8" s="321"/>
      <c r="S8" s="321"/>
      <c r="T8" s="321"/>
      <c r="U8" s="321"/>
      <c r="V8" s="321"/>
      <c r="W8" s="321"/>
      <c r="X8" s="321"/>
      <c r="Y8" s="321"/>
      <c r="Z8" s="321"/>
      <c r="AA8" s="321"/>
      <c r="AB8" s="321"/>
      <c r="AC8" s="321"/>
      <c r="AD8" s="321"/>
      <c r="AE8" s="321"/>
      <c r="AF8" s="321"/>
      <c r="AG8" s="382">
        <v>1</v>
      </c>
      <c r="AH8" s="116"/>
    </row>
    <row r="9" spans="1:34" ht="20.5">
      <c r="A9" s="116"/>
      <c r="B9" s="322"/>
      <c r="C9" s="397" t="s">
        <v>2343</v>
      </c>
      <c r="D9" s="329"/>
      <c r="E9" s="329"/>
      <c r="F9" s="329"/>
      <c r="G9" s="329"/>
      <c r="H9" s="329"/>
      <c r="I9" s="329"/>
      <c r="J9" s="329"/>
      <c r="K9" s="329"/>
      <c r="L9" s="329"/>
      <c r="M9" s="329"/>
      <c r="N9" s="329"/>
      <c r="O9" s="154"/>
      <c r="P9" s="154" t="s">
        <v>2332</v>
      </c>
      <c r="Q9" s="329"/>
      <c r="R9" s="154"/>
      <c r="S9" s="329"/>
      <c r="T9" s="329"/>
      <c r="U9" s="329"/>
      <c r="V9" s="329"/>
      <c r="W9" s="329"/>
      <c r="X9" s="477" t="s">
        <v>610</v>
      </c>
      <c r="Y9" s="318"/>
      <c r="Z9" s="318"/>
      <c r="AA9" s="318"/>
      <c r="AB9" s="318"/>
      <c r="AC9" s="318"/>
      <c r="AD9" s="318"/>
      <c r="AE9" s="318"/>
      <c r="AF9" s="318"/>
      <c r="AG9" s="330"/>
      <c r="AH9" s="116"/>
    </row>
    <row r="10" spans="1:34" ht="18.75" customHeight="1">
      <c r="A10" s="116"/>
      <c r="B10" s="322"/>
      <c r="C10" s="329"/>
      <c r="D10" s="329"/>
      <c r="E10" s="384">
        <v>0</v>
      </c>
      <c r="F10" s="384"/>
      <c r="G10" s="384"/>
      <c r="H10" s="384">
        <v>1</v>
      </c>
      <c r="I10" s="384"/>
      <c r="J10" s="384"/>
      <c r="K10" s="384"/>
      <c r="L10" s="384" t="s">
        <v>2447</v>
      </c>
      <c r="M10" s="329"/>
      <c r="N10" s="329"/>
      <c r="O10" s="329"/>
      <c r="P10" s="329"/>
      <c r="Q10" s="329"/>
      <c r="R10" s="329"/>
      <c r="S10" s="329"/>
      <c r="T10" s="329"/>
      <c r="U10" s="329"/>
      <c r="V10" s="329"/>
      <c r="W10" s="329"/>
      <c r="X10" s="526" t="s">
        <v>2468</v>
      </c>
      <c r="Y10" s="527"/>
      <c r="Z10" s="527"/>
      <c r="AA10" s="527"/>
      <c r="AB10" s="527"/>
      <c r="AC10" s="527"/>
      <c r="AD10" s="527"/>
      <c r="AE10" s="527"/>
      <c r="AF10" s="528"/>
      <c r="AG10" s="330"/>
      <c r="AH10" s="116"/>
    </row>
    <row r="11" spans="1:34" ht="18.75" customHeight="1">
      <c r="A11" s="116"/>
      <c r="B11" s="322"/>
      <c r="C11" s="519" t="s">
        <v>8</v>
      </c>
      <c r="D11" s="520"/>
      <c r="E11" s="523" t="s">
        <v>2356</v>
      </c>
      <c r="F11" s="524"/>
      <c r="G11" s="525"/>
      <c r="H11" s="516" t="s">
        <v>2357</v>
      </c>
      <c r="I11" s="517"/>
      <c r="J11" s="517"/>
      <c r="K11" s="518"/>
      <c r="L11" s="513" t="s">
        <v>2358</v>
      </c>
      <c r="M11" s="514"/>
      <c r="N11" s="515"/>
      <c r="O11" s="384"/>
      <c r="P11" s="416"/>
      <c r="Q11" s="418" t="s">
        <v>2367</v>
      </c>
      <c r="R11" s="558" t="s">
        <v>2365</v>
      </c>
      <c r="S11" s="558"/>
      <c r="T11" s="558" t="s">
        <v>2366</v>
      </c>
      <c r="U11" s="558"/>
      <c r="V11" s="417" t="s">
        <v>13</v>
      </c>
      <c r="W11" s="329"/>
      <c r="X11" s="529"/>
      <c r="Y11" s="530"/>
      <c r="Z11" s="530"/>
      <c r="AA11" s="530"/>
      <c r="AB11" s="530"/>
      <c r="AC11" s="530"/>
      <c r="AD11" s="530"/>
      <c r="AE11" s="530"/>
      <c r="AF11" s="531"/>
      <c r="AG11" s="330"/>
      <c r="AH11" s="116"/>
    </row>
    <row r="12" spans="1:34" ht="18.75" customHeight="1">
      <c r="A12" s="116"/>
      <c r="B12" s="322"/>
      <c r="C12" s="521"/>
      <c r="D12" s="522"/>
      <c r="E12" s="393" t="s">
        <v>1959</v>
      </c>
      <c r="F12" s="387" t="s">
        <v>2307</v>
      </c>
      <c r="G12" s="394" t="s">
        <v>2329</v>
      </c>
      <c r="H12" s="393" t="s">
        <v>2339</v>
      </c>
      <c r="I12" s="386" t="s">
        <v>1959</v>
      </c>
      <c r="J12" s="387" t="s">
        <v>2307</v>
      </c>
      <c r="K12" s="394" t="s">
        <v>2329</v>
      </c>
      <c r="L12" s="393" t="s">
        <v>2339</v>
      </c>
      <c r="M12" s="395" t="s">
        <v>1959</v>
      </c>
      <c r="N12" s="388" t="s">
        <v>2325</v>
      </c>
      <c r="O12" s="384">
        <v>1</v>
      </c>
      <c r="P12" s="329" t="s">
        <v>2333</v>
      </c>
      <c r="Q12" s="400" t="s">
        <v>2348</v>
      </c>
      <c r="R12" s="502">
        <v>20</v>
      </c>
      <c r="S12" s="502"/>
      <c r="T12" s="506">
        <f>+COUNTIFS('2. Status Detalhe Campos FY24'!$C:$C,"*Pilar*",'2. Status Detalhe Campos FY24'!$J:$J,"*"&amp;O12&amp;"*",'2. Status Detalhe Campos FY24'!Y:Y,"*Novo Plano*")</f>
        <v>20</v>
      </c>
      <c r="U12" s="506"/>
      <c r="V12" s="161" t="s">
        <v>621</v>
      </c>
      <c r="W12" s="329"/>
      <c r="X12" s="529"/>
      <c r="Y12" s="530"/>
      <c r="Z12" s="530"/>
      <c r="AA12" s="530"/>
      <c r="AB12" s="530"/>
      <c r="AC12" s="530"/>
      <c r="AD12" s="530"/>
      <c r="AE12" s="530"/>
      <c r="AF12" s="531"/>
      <c r="AG12" s="330"/>
      <c r="AH12" s="116"/>
    </row>
    <row r="13" spans="1:34" ht="18.75" customHeight="1">
      <c r="A13" s="116"/>
      <c r="B13" s="322"/>
      <c r="C13" s="509" t="s">
        <v>2330</v>
      </c>
      <c r="D13" s="510"/>
      <c r="E13" s="496">
        <v>0</v>
      </c>
      <c r="F13" s="404">
        <v>0</v>
      </c>
      <c r="G13" s="427">
        <v>0</v>
      </c>
      <c r="H13" s="401">
        <v>0</v>
      </c>
      <c r="I13" s="404">
        <v>0</v>
      </c>
      <c r="J13" s="428">
        <v>0</v>
      </c>
      <c r="K13" s="427">
        <f>J13-(I13+H13)</f>
        <v>0</v>
      </c>
      <c r="L13" s="401">
        <f t="shared" ref="L13:L21" si="0">+IF(K13&lt;0,-K13,0)</f>
        <v>0</v>
      </c>
      <c r="M13" s="404">
        <v>0</v>
      </c>
      <c r="N13" s="427">
        <f>+M13+L13</f>
        <v>0</v>
      </c>
      <c r="O13" s="384">
        <v>2</v>
      </c>
      <c r="P13" s="329" t="s">
        <v>2334</v>
      </c>
      <c r="Q13" s="400" t="s">
        <v>2349</v>
      </c>
      <c r="R13" s="502">
        <v>15</v>
      </c>
      <c r="S13" s="502"/>
      <c r="T13" s="507">
        <f>+COUNTIFS('2. Status Detalhe Campos FY24'!$C:$C,"*Pilar*",'2. Status Detalhe Campos FY24'!$J:$J,"*"&amp;O13&amp;"*",'2. Status Detalhe Campos FY24'!Y:Y,"*Novo Plano*")</f>
        <v>14</v>
      </c>
      <c r="U13" s="507"/>
      <c r="V13" s="161" t="s">
        <v>621</v>
      </c>
      <c r="W13" s="329"/>
      <c r="X13" s="529"/>
      <c r="Y13" s="530"/>
      <c r="Z13" s="530"/>
      <c r="AA13" s="530"/>
      <c r="AB13" s="530"/>
      <c r="AC13" s="530"/>
      <c r="AD13" s="530"/>
      <c r="AE13" s="530"/>
      <c r="AF13" s="531"/>
      <c r="AG13" s="330"/>
      <c r="AH13" s="116"/>
    </row>
    <row r="14" spans="1:34" ht="18.75" customHeight="1">
      <c r="A14" s="116"/>
      <c r="B14" s="322"/>
      <c r="C14" s="385" t="s">
        <v>2364</v>
      </c>
      <c r="D14" s="390"/>
      <c r="E14" s="409">
        <v>0</v>
      </c>
      <c r="F14" s="383">
        <v>1</v>
      </c>
      <c r="G14" s="431">
        <v>0</v>
      </c>
      <c r="H14" s="408">
        <v>0</v>
      </c>
      <c r="I14" s="409">
        <v>1</v>
      </c>
      <c r="J14" s="430">
        <v>1</v>
      </c>
      <c r="K14" s="431">
        <f t="shared" ref="K14:K22" si="1">J14-(I14+H14)</f>
        <v>0</v>
      </c>
      <c r="L14" s="408">
        <f t="shared" si="0"/>
        <v>0</v>
      </c>
      <c r="M14" s="409">
        <v>0</v>
      </c>
      <c r="N14" s="431">
        <v>0</v>
      </c>
      <c r="O14" s="384">
        <v>3</v>
      </c>
      <c r="P14" s="329" t="s">
        <v>2335</v>
      </c>
      <c r="Q14" s="400" t="s">
        <v>2350</v>
      </c>
      <c r="R14" s="502">
        <v>14</v>
      </c>
      <c r="S14" s="502"/>
      <c r="T14" s="507">
        <f>+COUNTIFS('2. Status Detalhe Campos FY24'!$C:$C,"*Pilar*",'2. Status Detalhe Campos FY24'!$J:$J,"*"&amp;O14&amp;"*",'2. Status Detalhe Campos FY24'!Y:Y,"*Novo Plano*")</f>
        <v>16</v>
      </c>
      <c r="U14" s="507"/>
      <c r="V14" s="161" t="s">
        <v>621</v>
      </c>
      <c r="W14" s="329"/>
      <c r="X14" s="529"/>
      <c r="Y14" s="530"/>
      <c r="Z14" s="530"/>
      <c r="AA14" s="530"/>
      <c r="AB14" s="530"/>
      <c r="AC14" s="530"/>
      <c r="AD14" s="530"/>
      <c r="AE14" s="530"/>
      <c r="AF14" s="531"/>
      <c r="AG14" s="330"/>
      <c r="AH14" s="116"/>
    </row>
    <row r="15" spans="1:34" ht="18.75" customHeight="1">
      <c r="A15" s="116"/>
      <c r="B15" s="322"/>
      <c r="C15" s="389" t="s">
        <v>2354</v>
      </c>
      <c r="D15" s="391"/>
      <c r="E15" s="412">
        <v>0</v>
      </c>
      <c r="F15" s="411">
        <v>0</v>
      </c>
      <c r="G15" s="433">
        <v>0</v>
      </c>
      <c r="H15" s="410">
        <v>0</v>
      </c>
      <c r="I15" s="412">
        <v>0</v>
      </c>
      <c r="J15" s="432">
        <v>0</v>
      </c>
      <c r="K15" s="433">
        <f t="shared" si="1"/>
        <v>0</v>
      </c>
      <c r="L15" s="410">
        <f t="shared" si="0"/>
        <v>0</v>
      </c>
      <c r="M15" s="412">
        <f>+COUNTIFS('2. Status Detalhe Campos FY24'!$C:$C,"*Bens Imóveis*",'2. Status Detalhe Campos FY24'!$J:$J,"*"&amp;$L$10&amp;"*",'2. Status Detalhe Campos FY24'!Y:Y,"*Novo Plano*")</f>
        <v>0</v>
      </c>
      <c r="N15" s="433">
        <f t="shared" ref="N15:N21" si="2">+M15+L15</f>
        <v>0</v>
      </c>
      <c r="O15" s="384">
        <v>4</v>
      </c>
      <c r="P15" s="329" t="s">
        <v>2336</v>
      </c>
      <c r="Q15" s="400" t="s">
        <v>2351</v>
      </c>
      <c r="R15" s="502">
        <v>13</v>
      </c>
      <c r="S15" s="502"/>
      <c r="T15" s="507">
        <f>+COUNTIFS('2. Status Detalhe Campos FY24'!$C:$C,"*Pilar*",'2. Status Detalhe Campos FY24'!$J:$J,"*"&amp;O15&amp;"*",'2. Status Detalhe Campos FY24'!Y:Y,"*Novo Plano*")</f>
        <v>14</v>
      </c>
      <c r="U15" s="507"/>
      <c r="V15" s="161" t="s">
        <v>2438</v>
      </c>
      <c r="W15" s="329"/>
      <c r="X15" s="529"/>
      <c r="Y15" s="530"/>
      <c r="Z15" s="530"/>
      <c r="AA15" s="530"/>
      <c r="AB15" s="530"/>
      <c r="AC15" s="530"/>
      <c r="AD15" s="530"/>
      <c r="AE15" s="530"/>
      <c r="AF15" s="531"/>
      <c r="AG15" s="330"/>
      <c r="AH15" s="116"/>
    </row>
    <row r="16" spans="1:34" ht="18.75" customHeight="1">
      <c r="A16" s="116"/>
      <c r="B16" s="322"/>
      <c r="C16" s="509" t="s">
        <v>29</v>
      </c>
      <c r="D16" s="510"/>
      <c r="E16" s="407">
        <v>0</v>
      </c>
      <c r="F16" s="406">
        <v>0</v>
      </c>
      <c r="G16" s="429">
        <v>0</v>
      </c>
      <c r="H16" s="405">
        <v>0</v>
      </c>
      <c r="I16" s="407">
        <v>0</v>
      </c>
      <c r="J16" s="428">
        <v>0</v>
      </c>
      <c r="K16" s="429">
        <f t="shared" si="1"/>
        <v>0</v>
      </c>
      <c r="L16" s="405">
        <f t="shared" si="0"/>
        <v>0</v>
      </c>
      <c r="M16" s="407">
        <v>0</v>
      </c>
      <c r="N16" s="429">
        <f t="shared" si="2"/>
        <v>0</v>
      </c>
      <c r="O16" s="384">
        <v>5</v>
      </c>
      <c r="P16" s="416" t="s">
        <v>2337</v>
      </c>
      <c r="Q16" s="420" t="s">
        <v>2352</v>
      </c>
      <c r="R16" s="503">
        <v>6</v>
      </c>
      <c r="S16" s="503"/>
      <c r="T16" s="508">
        <f>+COUNTIFS('2. Status Detalhe Campos FY24'!$C:$C,"*Pilar*",'2. Status Detalhe Campos FY24'!$J:$J,"*"&amp;O16&amp;"*",'2. Status Detalhe Campos FY24'!Y:Y,"*Novo Plano*")</f>
        <v>7</v>
      </c>
      <c r="U16" s="508"/>
      <c r="V16" s="469" t="s">
        <v>2438</v>
      </c>
      <c r="W16" s="329"/>
      <c r="X16" s="529"/>
      <c r="Y16" s="530"/>
      <c r="Z16" s="530"/>
      <c r="AA16" s="530"/>
      <c r="AB16" s="530"/>
      <c r="AC16" s="530"/>
      <c r="AD16" s="530"/>
      <c r="AE16" s="530"/>
      <c r="AF16" s="531"/>
      <c r="AG16" s="330"/>
      <c r="AH16" s="116"/>
    </row>
    <row r="17" spans="1:34" ht="18.75" customHeight="1">
      <c r="A17" s="116"/>
      <c r="B17" s="322"/>
      <c r="C17" s="385" t="s">
        <v>2364</v>
      </c>
      <c r="D17" s="390"/>
      <c r="E17" s="409">
        <v>0</v>
      </c>
      <c r="F17" s="383">
        <v>0</v>
      </c>
      <c r="G17" s="431">
        <v>0</v>
      </c>
      <c r="H17" s="408">
        <v>0</v>
      </c>
      <c r="I17" s="409">
        <v>0</v>
      </c>
      <c r="J17" s="430">
        <v>0</v>
      </c>
      <c r="K17" s="431">
        <f t="shared" si="1"/>
        <v>0</v>
      </c>
      <c r="L17" s="408">
        <f t="shared" si="0"/>
        <v>0</v>
      </c>
      <c r="M17" s="409">
        <v>0</v>
      </c>
      <c r="N17" s="431">
        <f t="shared" si="2"/>
        <v>0</v>
      </c>
      <c r="O17" s="329"/>
      <c r="P17" s="419" t="s">
        <v>2368</v>
      </c>
      <c r="Q17" s="329"/>
      <c r="R17" s="504">
        <f>+SUM(R12:S16)</f>
        <v>68</v>
      </c>
      <c r="S17" s="504"/>
      <c r="T17" s="505">
        <f>+SUM(T12:T16)</f>
        <v>71</v>
      </c>
      <c r="U17" s="505"/>
      <c r="V17" s="421"/>
      <c r="W17" s="329"/>
      <c r="X17" s="529"/>
      <c r="Y17" s="530"/>
      <c r="Z17" s="530"/>
      <c r="AA17" s="530"/>
      <c r="AB17" s="530"/>
      <c r="AC17" s="530"/>
      <c r="AD17" s="530"/>
      <c r="AE17" s="530"/>
      <c r="AF17" s="531"/>
      <c r="AG17" s="330"/>
      <c r="AH17" s="116"/>
    </row>
    <row r="18" spans="1:34" ht="18.75" customHeight="1">
      <c r="A18" s="116"/>
      <c r="B18" s="322"/>
      <c r="C18" s="389" t="s">
        <v>2354</v>
      </c>
      <c r="D18" s="391"/>
      <c r="E18" s="412">
        <v>0</v>
      </c>
      <c r="F18" s="411">
        <v>0</v>
      </c>
      <c r="G18" s="433">
        <v>0</v>
      </c>
      <c r="H18" s="410">
        <v>0</v>
      </c>
      <c r="I18" s="412">
        <v>0</v>
      </c>
      <c r="J18" s="432">
        <v>0</v>
      </c>
      <c r="K18" s="433">
        <f t="shared" si="1"/>
        <v>0</v>
      </c>
      <c r="L18" s="410">
        <f t="shared" si="0"/>
        <v>0</v>
      </c>
      <c r="M18" s="412">
        <f>+COUNTIFS('2. Status Detalhe Campos FY24'!$C:$C,"*Verde*",'2. Status Detalhe Campos FY24'!$J:$J,"*"&amp;$L$10&amp;"*",'2. Status Detalhe Campos FY24'!Y:Y,"*Novo Plano*")</f>
        <v>0</v>
      </c>
      <c r="N18" s="433">
        <f t="shared" si="2"/>
        <v>0</v>
      </c>
      <c r="O18" s="329"/>
      <c r="P18" s="366"/>
      <c r="Q18" s="399"/>
      <c r="R18" s="415"/>
      <c r="S18" s="329"/>
      <c r="T18" s="329"/>
      <c r="U18" s="329"/>
      <c r="V18" s="329"/>
      <c r="W18" s="329"/>
      <c r="X18" s="529"/>
      <c r="Y18" s="530"/>
      <c r="Z18" s="530"/>
      <c r="AA18" s="530"/>
      <c r="AB18" s="530"/>
      <c r="AC18" s="530"/>
      <c r="AD18" s="530"/>
      <c r="AE18" s="530"/>
      <c r="AF18" s="531"/>
      <c r="AG18" s="330"/>
      <c r="AH18" s="116"/>
    </row>
    <row r="19" spans="1:34" ht="18.649999999999999" customHeight="1">
      <c r="A19" s="116"/>
      <c r="B19" s="322"/>
      <c r="C19" s="509" t="s">
        <v>2331</v>
      </c>
      <c r="D19" s="510"/>
      <c r="E19" s="407">
        <v>0</v>
      </c>
      <c r="F19" s="406">
        <v>0</v>
      </c>
      <c r="G19" s="429">
        <v>0</v>
      </c>
      <c r="H19" s="405">
        <v>0</v>
      </c>
      <c r="I19" s="407">
        <v>0</v>
      </c>
      <c r="J19" s="428">
        <v>0</v>
      </c>
      <c r="K19" s="429">
        <f t="shared" si="1"/>
        <v>0</v>
      </c>
      <c r="L19" s="405">
        <v>0</v>
      </c>
      <c r="M19" s="407">
        <f>+COUNTIFS('2. Status Detalhe Campos FY24'!$C:$C,"*Verde*",'2. Status Detalhe Campos FY24'!$J:$J,"*"&amp;$L$10&amp;"*")</f>
        <v>0</v>
      </c>
      <c r="N19" s="429">
        <f t="shared" si="2"/>
        <v>0</v>
      </c>
      <c r="O19" s="329"/>
      <c r="P19" s="366"/>
      <c r="Q19" s="329"/>
      <c r="R19" s="329"/>
      <c r="S19" s="329"/>
      <c r="T19" s="329"/>
      <c r="U19" s="329"/>
      <c r="V19" s="329"/>
      <c r="W19" s="329"/>
      <c r="X19" s="529"/>
      <c r="Y19" s="530"/>
      <c r="Z19" s="530"/>
      <c r="AA19" s="530"/>
      <c r="AB19" s="530"/>
      <c r="AC19" s="530"/>
      <c r="AD19" s="530"/>
      <c r="AE19" s="530"/>
      <c r="AF19" s="531"/>
      <c r="AG19" s="330"/>
      <c r="AH19" s="116"/>
    </row>
    <row r="20" spans="1:34" ht="18.75" customHeight="1">
      <c r="A20" s="116"/>
      <c r="B20" s="322"/>
      <c r="C20" s="385" t="s">
        <v>2364</v>
      </c>
      <c r="D20" s="392"/>
      <c r="E20" s="409">
        <v>0</v>
      </c>
      <c r="F20" s="414">
        <v>0</v>
      </c>
      <c r="G20" s="435">
        <v>0</v>
      </c>
      <c r="H20" s="413">
        <v>0</v>
      </c>
      <c r="I20" s="409">
        <v>0</v>
      </c>
      <c r="J20" s="434">
        <v>0</v>
      </c>
      <c r="K20" s="435">
        <f t="shared" si="1"/>
        <v>0</v>
      </c>
      <c r="L20" s="413">
        <f t="shared" si="0"/>
        <v>0</v>
      </c>
      <c r="M20" s="409">
        <f>+COUNTIFS('2. Status Detalhe Campos FY24'!$C:$C,"*Verde*",'2. Status Detalhe Campos FY24'!$J:$J,"*"&amp;$L$10&amp;"*",'2. Status Detalhe Campos FY24'!Y:Y,"*anterior*")</f>
        <v>0</v>
      </c>
      <c r="N20" s="431">
        <f t="shared" si="2"/>
        <v>0</v>
      </c>
      <c r="O20" s="329"/>
      <c r="P20" s="366"/>
      <c r="Q20" s="329"/>
      <c r="R20" s="329"/>
      <c r="S20" s="329"/>
      <c r="T20" s="329"/>
      <c r="U20" s="329"/>
      <c r="V20" s="329"/>
      <c r="W20" s="329"/>
      <c r="X20" s="529"/>
      <c r="Y20" s="530"/>
      <c r="Z20" s="530"/>
      <c r="AA20" s="530"/>
      <c r="AB20" s="530"/>
      <c r="AC20" s="530"/>
      <c r="AD20" s="530"/>
      <c r="AE20" s="530"/>
      <c r="AF20" s="531"/>
      <c r="AG20" s="330"/>
      <c r="AH20" s="116"/>
    </row>
    <row r="21" spans="1:34" ht="18.75" customHeight="1">
      <c r="A21" s="116"/>
      <c r="B21" s="322"/>
      <c r="C21" s="389" t="s">
        <v>2354</v>
      </c>
      <c r="D21" s="391"/>
      <c r="E21" s="412">
        <v>0</v>
      </c>
      <c r="F21" s="411">
        <v>0</v>
      </c>
      <c r="G21" s="433">
        <v>0</v>
      </c>
      <c r="H21" s="436">
        <v>0</v>
      </c>
      <c r="I21" s="412">
        <v>0</v>
      </c>
      <c r="J21" s="432">
        <v>0</v>
      </c>
      <c r="K21" s="433">
        <f t="shared" si="1"/>
        <v>0</v>
      </c>
      <c r="L21" s="436">
        <f t="shared" si="0"/>
        <v>0</v>
      </c>
      <c r="M21" s="412">
        <v>0</v>
      </c>
      <c r="N21" s="433">
        <f t="shared" si="2"/>
        <v>0</v>
      </c>
      <c r="O21" s="329"/>
      <c r="P21" s="366"/>
      <c r="Q21" s="329"/>
      <c r="R21" s="329"/>
      <c r="S21" s="329"/>
      <c r="T21" s="329"/>
      <c r="U21" s="329"/>
      <c r="V21" s="329"/>
      <c r="W21" s="329"/>
      <c r="X21" s="529"/>
      <c r="Y21" s="530"/>
      <c r="Z21" s="530"/>
      <c r="AA21" s="530"/>
      <c r="AB21" s="530"/>
      <c r="AC21" s="530"/>
      <c r="AD21" s="530"/>
      <c r="AE21" s="530"/>
      <c r="AF21" s="531"/>
      <c r="AG21" s="330"/>
      <c r="AH21" s="116"/>
    </row>
    <row r="22" spans="1:34" ht="18.75" customHeight="1">
      <c r="A22" s="116"/>
      <c r="B22" s="322"/>
      <c r="C22" s="511" t="s">
        <v>2325</v>
      </c>
      <c r="D22" s="512"/>
      <c r="E22" s="459">
        <v>0</v>
      </c>
      <c r="F22" s="464">
        <v>0</v>
      </c>
      <c r="G22" s="464">
        <v>0</v>
      </c>
      <c r="H22" s="458">
        <v>0</v>
      </c>
      <c r="I22" s="460">
        <v>0</v>
      </c>
      <c r="J22" s="462">
        <v>0</v>
      </c>
      <c r="K22" s="464">
        <f t="shared" si="1"/>
        <v>0</v>
      </c>
      <c r="L22" s="458">
        <f>+SUM(L13,L16,L19)</f>
        <v>0</v>
      </c>
      <c r="M22" s="460">
        <f>+SUM(M13,M16,M19)</f>
        <v>0</v>
      </c>
      <c r="N22" s="464">
        <f>+SUM(N13,N16,N19)</f>
        <v>0</v>
      </c>
      <c r="O22" s="329"/>
      <c r="P22" s="366"/>
      <c r="Q22" s="329"/>
      <c r="R22" s="329"/>
      <c r="S22" s="329"/>
      <c r="T22" s="329"/>
      <c r="U22" s="329"/>
      <c r="V22" s="329"/>
      <c r="W22" s="329"/>
      <c r="X22" s="529"/>
      <c r="Y22" s="530"/>
      <c r="Z22" s="530"/>
      <c r="AA22" s="530"/>
      <c r="AB22" s="530"/>
      <c r="AC22" s="530"/>
      <c r="AD22" s="530"/>
      <c r="AE22" s="530"/>
      <c r="AF22" s="531"/>
      <c r="AG22" s="330"/>
      <c r="AH22" s="116"/>
    </row>
    <row r="23" spans="1:34" ht="18.75" customHeight="1">
      <c r="A23" s="116"/>
      <c r="B23" s="322"/>
      <c r="C23" s="329"/>
      <c r="D23" s="329"/>
      <c r="E23" s="329"/>
      <c r="F23" s="329"/>
      <c r="G23" s="329"/>
      <c r="H23" s="329"/>
      <c r="I23" s="329"/>
      <c r="J23" s="329"/>
      <c r="K23" s="329"/>
      <c r="L23" s="329"/>
      <c r="M23" s="329"/>
      <c r="N23" s="329"/>
      <c r="O23" s="329"/>
      <c r="P23" s="329"/>
      <c r="Q23" s="329"/>
      <c r="R23" s="329"/>
      <c r="S23" s="329"/>
      <c r="T23" s="329"/>
      <c r="U23" s="329"/>
      <c r="V23" s="329"/>
      <c r="W23" s="329"/>
      <c r="X23" s="529"/>
      <c r="Y23" s="530"/>
      <c r="Z23" s="530"/>
      <c r="AA23" s="530"/>
      <c r="AB23" s="530"/>
      <c r="AC23" s="530"/>
      <c r="AD23" s="530"/>
      <c r="AE23" s="530"/>
      <c r="AF23" s="531"/>
      <c r="AG23" s="330"/>
      <c r="AH23" s="116"/>
    </row>
    <row r="24" spans="1:34" ht="18.75" customHeight="1">
      <c r="A24" s="116"/>
      <c r="B24" s="322"/>
      <c r="C24" s="397" t="s">
        <v>2342</v>
      </c>
      <c r="D24" s="329"/>
      <c r="E24" s="329"/>
      <c r="F24" s="329"/>
      <c r="G24" s="329"/>
      <c r="H24" s="329"/>
      <c r="I24" s="329"/>
      <c r="J24" s="329"/>
      <c r="K24" s="329"/>
      <c r="L24" s="329"/>
      <c r="M24" s="329"/>
      <c r="N24" s="329"/>
      <c r="O24" s="329"/>
      <c r="P24" s="329"/>
      <c r="Q24" s="329"/>
      <c r="R24" s="154"/>
      <c r="S24" s="329"/>
      <c r="T24" s="329"/>
      <c r="U24" s="329"/>
      <c r="V24" s="329"/>
      <c r="W24" s="329"/>
      <c r="X24" s="529"/>
      <c r="Y24" s="530"/>
      <c r="Z24" s="530"/>
      <c r="AA24" s="530"/>
      <c r="AB24" s="530"/>
      <c r="AC24" s="530"/>
      <c r="AD24" s="530"/>
      <c r="AE24" s="530"/>
      <c r="AF24" s="531"/>
      <c r="AG24" s="330"/>
      <c r="AH24" s="116"/>
    </row>
    <row r="25" spans="1:34" ht="18.75" customHeight="1">
      <c r="A25" s="116"/>
      <c r="B25" s="322"/>
      <c r="C25" s="329"/>
      <c r="D25" s="329"/>
      <c r="E25" s="384">
        <v>1</v>
      </c>
      <c r="F25" s="384"/>
      <c r="G25" s="384"/>
      <c r="H25" s="384"/>
      <c r="I25" s="384">
        <v>1</v>
      </c>
      <c r="J25" s="384"/>
      <c r="K25" s="329"/>
      <c r="L25" s="329"/>
      <c r="M25" s="329"/>
      <c r="N25" s="329"/>
      <c r="O25" s="329"/>
      <c r="P25" s="384">
        <v>1000000</v>
      </c>
      <c r="Q25" s="329"/>
      <c r="R25" s="329"/>
      <c r="S25" s="329"/>
      <c r="T25" s="329"/>
      <c r="U25" s="329"/>
      <c r="V25" s="329"/>
      <c r="W25" s="329"/>
      <c r="X25" s="529"/>
      <c r="Y25" s="530"/>
      <c r="Z25" s="530"/>
      <c r="AA25" s="530"/>
      <c r="AB25" s="530"/>
      <c r="AC25" s="530"/>
      <c r="AD25" s="530"/>
      <c r="AE25" s="530"/>
      <c r="AF25" s="531"/>
      <c r="AG25" s="330"/>
      <c r="AH25" s="116"/>
    </row>
    <row r="26" spans="1:34" ht="18.75" customHeight="1">
      <c r="A26" s="116"/>
      <c r="B26" s="322"/>
      <c r="C26" s="519" t="s">
        <v>8</v>
      </c>
      <c r="D26" s="520"/>
      <c r="E26" s="513" t="s">
        <v>2338</v>
      </c>
      <c r="F26" s="514"/>
      <c r="G26" s="514"/>
      <c r="H26" s="514"/>
      <c r="I26" s="515"/>
      <c r="J26" s="516" t="s">
        <v>2344</v>
      </c>
      <c r="K26" s="517"/>
      <c r="L26" s="517"/>
      <c r="M26" s="517"/>
      <c r="N26" s="517"/>
      <c r="O26" s="518"/>
      <c r="P26" s="513" t="s">
        <v>2345</v>
      </c>
      <c r="Q26" s="514"/>
      <c r="R26" s="515"/>
      <c r="S26" s="329"/>
      <c r="T26" s="329"/>
      <c r="U26" s="161"/>
      <c r="V26" s="329"/>
      <c r="W26" s="329"/>
      <c r="X26" s="529"/>
      <c r="Y26" s="530"/>
      <c r="Z26" s="530"/>
      <c r="AA26" s="530"/>
      <c r="AB26" s="530"/>
      <c r="AC26" s="530"/>
      <c r="AD26" s="530"/>
      <c r="AE26" s="530"/>
      <c r="AF26" s="531"/>
      <c r="AG26" s="330"/>
      <c r="AH26" s="116"/>
    </row>
    <row r="27" spans="1:34" ht="18.75" customHeight="1">
      <c r="A27" s="116"/>
      <c r="B27" s="322"/>
      <c r="C27" s="521"/>
      <c r="D27" s="522"/>
      <c r="E27" s="393" t="s">
        <v>1959</v>
      </c>
      <c r="F27" s="387" t="s">
        <v>2346</v>
      </c>
      <c r="G27" s="396" t="s">
        <v>2347</v>
      </c>
      <c r="H27" s="398" t="s">
        <v>2458</v>
      </c>
      <c r="I27" s="394" t="s">
        <v>2329</v>
      </c>
      <c r="J27" s="393" t="s">
        <v>2339</v>
      </c>
      <c r="K27" s="386" t="s">
        <v>1959</v>
      </c>
      <c r="L27" s="387" t="s">
        <v>2346</v>
      </c>
      <c r="M27" s="396" t="s">
        <v>2347</v>
      </c>
      <c r="N27" s="398" t="s">
        <v>2458</v>
      </c>
      <c r="O27" s="394" t="s">
        <v>2329</v>
      </c>
      <c r="P27" s="393" t="s">
        <v>2339</v>
      </c>
      <c r="Q27" s="395" t="s">
        <v>1959</v>
      </c>
      <c r="R27" s="388" t="s">
        <v>2325</v>
      </c>
      <c r="S27" s="329"/>
      <c r="T27" s="329"/>
      <c r="U27" s="366"/>
      <c r="V27" s="329"/>
      <c r="W27" s="329"/>
      <c r="X27" s="529"/>
      <c r="Y27" s="530"/>
      <c r="Z27" s="530"/>
      <c r="AA27" s="530"/>
      <c r="AB27" s="530"/>
      <c r="AC27" s="530"/>
      <c r="AD27" s="530"/>
      <c r="AE27" s="530"/>
      <c r="AF27" s="531"/>
      <c r="AG27" s="330"/>
      <c r="AH27" s="116"/>
    </row>
    <row r="28" spans="1:34" ht="18.75" customHeight="1">
      <c r="A28" s="116"/>
      <c r="B28" s="322"/>
      <c r="C28" s="509" t="s">
        <v>2330</v>
      </c>
      <c r="D28" s="510"/>
      <c r="E28" s="437">
        <v>0</v>
      </c>
      <c r="F28" s="438">
        <v>0</v>
      </c>
      <c r="G28" s="439">
        <v>0</v>
      </c>
      <c r="H28" s="439">
        <v>0</v>
      </c>
      <c r="I28" s="440">
        <v>0</v>
      </c>
      <c r="J28" s="437">
        <v>0</v>
      </c>
      <c r="K28" s="439">
        <v>1</v>
      </c>
      <c r="L28" s="402">
        <v>0</v>
      </c>
      <c r="M28" s="426">
        <v>1</v>
      </c>
      <c r="N28" s="403">
        <v>0</v>
      </c>
      <c r="O28" s="427">
        <v>0</v>
      </c>
      <c r="P28" s="439">
        <v>0</v>
      </c>
      <c r="Q28" s="439">
        <f>+COUNTIFS('2. Status Detalhe Campos FY24'!$C:$C,"*Bens Imóveis*",'2. Status Detalhe Campos FY24'!$K:$K,"*"&amp;$P$25&amp;"*")</f>
        <v>0</v>
      </c>
      <c r="R28" s="440">
        <f>+Q28+P28</f>
        <v>0</v>
      </c>
      <c r="S28" s="329"/>
      <c r="T28" s="329"/>
      <c r="U28" s="366"/>
      <c r="V28" s="329"/>
      <c r="W28" s="329"/>
      <c r="X28" s="529"/>
      <c r="Y28" s="530"/>
      <c r="Z28" s="530"/>
      <c r="AA28" s="530"/>
      <c r="AB28" s="530"/>
      <c r="AC28" s="530"/>
      <c r="AD28" s="530"/>
      <c r="AE28" s="530"/>
      <c r="AF28" s="531"/>
      <c r="AG28" s="330"/>
      <c r="AH28" s="116"/>
    </row>
    <row r="29" spans="1:34" ht="18.75" customHeight="1">
      <c r="A29" s="116"/>
      <c r="B29" s="322"/>
      <c r="C29" s="385" t="s">
        <v>2355</v>
      </c>
      <c r="D29" s="390"/>
      <c r="E29" s="446">
        <v>0</v>
      </c>
      <c r="F29" s="447">
        <v>0</v>
      </c>
      <c r="G29" s="448">
        <v>0</v>
      </c>
      <c r="H29" s="448">
        <v>0</v>
      </c>
      <c r="I29" s="449">
        <v>0</v>
      </c>
      <c r="J29" s="446">
        <v>0</v>
      </c>
      <c r="K29" s="448">
        <v>1</v>
      </c>
      <c r="L29" s="450">
        <v>0</v>
      </c>
      <c r="M29" s="430">
        <v>1</v>
      </c>
      <c r="N29" s="451">
        <v>0</v>
      </c>
      <c r="O29" s="431">
        <v>0</v>
      </c>
      <c r="P29" s="448">
        <f>+COUNTIFS('2. Status Detalhe Campos FY24'!$C:$C,"*Bens Imóveis*",'2. Status Detalhe Campos FY24'!$K:$K,"*"&amp;$P$25&amp;"*",'2. Status Detalhe Campos FY24'!X:X,"*anterior*")</f>
        <v>0</v>
      </c>
      <c r="Q29" s="448">
        <f>+COUNTIFS('2. Status Detalhe Campos FY24'!$C:$C,"*Bens Imóveis*",'2. Status Detalhe Campos FY24'!$K:$K,"*"&amp;$P$25&amp;"*",'2. Status Detalhe Campos FY24'!Y:Y,"*anterior*")</f>
        <v>0</v>
      </c>
      <c r="R29" s="449">
        <f t="shared" ref="R29:R36" si="3">+Q29+P29</f>
        <v>0</v>
      </c>
      <c r="S29" s="329"/>
      <c r="T29" s="329"/>
      <c r="U29" s="329"/>
      <c r="V29" s="329"/>
      <c r="W29" s="329"/>
      <c r="X29" s="529"/>
      <c r="Y29" s="530"/>
      <c r="Z29" s="530"/>
      <c r="AA29" s="530"/>
      <c r="AB29" s="530"/>
      <c r="AC29" s="530"/>
      <c r="AD29" s="530"/>
      <c r="AE29" s="530"/>
      <c r="AF29" s="531"/>
      <c r="AG29" s="330"/>
      <c r="AH29" s="116"/>
    </row>
    <row r="30" spans="1:34" ht="18.75" customHeight="1">
      <c r="A30" s="116"/>
      <c r="B30" s="322"/>
      <c r="C30" s="389" t="s">
        <v>2354</v>
      </c>
      <c r="D30" s="391"/>
      <c r="E30" s="452">
        <v>0</v>
      </c>
      <c r="F30" s="453">
        <v>0</v>
      </c>
      <c r="G30" s="454">
        <v>0</v>
      </c>
      <c r="H30" s="454">
        <v>0</v>
      </c>
      <c r="I30" s="455">
        <v>0</v>
      </c>
      <c r="J30" s="452">
        <v>0</v>
      </c>
      <c r="K30" s="454">
        <v>0</v>
      </c>
      <c r="L30" s="456">
        <v>0</v>
      </c>
      <c r="M30" s="485">
        <v>0</v>
      </c>
      <c r="N30" s="457">
        <v>0</v>
      </c>
      <c r="O30" s="433">
        <v>0</v>
      </c>
      <c r="P30" s="448">
        <f>+COUNTIFS('2. Status Detalhe Campos FY24'!$C:$C,"*Bens Imóveis*",'2. Status Detalhe Campos FY24'!$K:$K,"*"&amp;$P$25&amp;"*",'2. Status Detalhe Campos FY24'!X:X,"*anterior*")</f>
        <v>0</v>
      </c>
      <c r="Q30" s="454">
        <f>+COUNTIFS('2. Status Detalhe Campos FY24'!$C:$C,"*Bens Imóveis*",'2. Status Detalhe Campos FY24'!$K:$K,"*"&amp;$P$25&amp;"*",'2. Status Detalhe Campos FY24'!Y:Y,"*Novo Plano*")</f>
        <v>0</v>
      </c>
      <c r="R30" s="455">
        <f t="shared" si="3"/>
        <v>0</v>
      </c>
      <c r="S30" s="329"/>
      <c r="T30" s="329"/>
      <c r="U30" s="329"/>
      <c r="V30" s="329"/>
      <c r="W30" s="329"/>
      <c r="X30" s="529"/>
      <c r="Y30" s="530"/>
      <c r="Z30" s="530"/>
      <c r="AA30" s="530"/>
      <c r="AB30" s="530"/>
      <c r="AC30" s="530"/>
      <c r="AD30" s="530"/>
      <c r="AE30" s="530"/>
      <c r="AF30" s="531"/>
      <c r="AG30" s="330"/>
      <c r="AH30" s="116"/>
    </row>
    <row r="31" spans="1:34" ht="18.75" customHeight="1">
      <c r="A31" s="116"/>
      <c r="B31" s="322"/>
      <c r="C31" s="509" t="s">
        <v>29</v>
      </c>
      <c r="D31" s="510"/>
      <c r="E31" s="437">
        <f>13</f>
        <v>13</v>
      </c>
      <c r="F31" s="559">
        <v>0</v>
      </c>
      <c r="G31" s="560">
        <v>5</v>
      </c>
      <c r="H31" s="561">
        <v>8</v>
      </c>
      <c r="I31" s="440">
        <v>0</v>
      </c>
      <c r="J31" s="437">
        <v>8</v>
      </c>
      <c r="K31" s="439">
        <v>0</v>
      </c>
      <c r="L31" s="402">
        <v>5</v>
      </c>
      <c r="M31" s="428">
        <v>3</v>
      </c>
      <c r="N31" s="403">
        <v>0</v>
      </c>
      <c r="O31" s="427">
        <v>0</v>
      </c>
      <c r="P31" s="439">
        <v>5</v>
      </c>
      <c r="Q31" s="439">
        <f>+COUNTIFS('2. Status Detalhe Campos FY24'!$C:$C,"*Verde*",'2. Status Detalhe Campos FY24'!$K:$K,"*"&amp;$P$25&amp;"*")</f>
        <v>0</v>
      </c>
      <c r="R31" s="440">
        <f t="shared" si="3"/>
        <v>5</v>
      </c>
      <c r="S31" s="329"/>
      <c r="T31" s="329"/>
      <c r="U31" s="329"/>
      <c r="V31" s="329"/>
      <c r="W31" s="329"/>
      <c r="X31" s="529"/>
      <c r="Y31" s="530"/>
      <c r="Z31" s="530"/>
      <c r="AA31" s="530"/>
      <c r="AB31" s="530"/>
      <c r="AC31" s="530"/>
      <c r="AD31" s="530"/>
      <c r="AE31" s="530"/>
      <c r="AF31" s="531"/>
      <c r="AG31" s="330"/>
      <c r="AH31" s="116"/>
    </row>
    <row r="32" spans="1:34" ht="18.75" customHeight="1">
      <c r="A32" s="116"/>
      <c r="B32" s="322"/>
      <c r="C32" s="385" t="s">
        <v>2355</v>
      </c>
      <c r="D32" s="390"/>
      <c r="E32" s="446">
        <f>13</f>
        <v>13</v>
      </c>
      <c r="F32" s="562">
        <v>0</v>
      </c>
      <c r="G32" s="562">
        <v>5</v>
      </c>
      <c r="H32" s="563">
        <v>8</v>
      </c>
      <c r="I32" s="449">
        <v>0</v>
      </c>
      <c r="J32" s="446">
        <v>8</v>
      </c>
      <c r="K32" s="448">
        <v>0</v>
      </c>
      <c r="L32" s="450">
        <v>5</v>
      </c>
      <c r="M32" s="430">
        <v>3</v>
      </c>
      <c r="N32" s="451">
        <v>0</v>
      </c>
      <c r="O32" s="431">
        <v>0</v>
      </c>
      <c r="P32" s="448">
        <v>5</v>
      </c>
      <c r="Q32" s="448">
        <f>+COUNTIFS('2. Status Detalhe Campos FY24'!$C:$C,"*Verde*",'2. Status Detalhe Campos FY24'!$K:$K,"*"&amp;$P$25&amp;"*",'2. Status Detalhe Campos FY24'!Y:Y,"*anterior*")</f>
        <v>0</v>
      </c>
      <c r="R32" s="449">
        <f t="shared" si="3"/>
        <v>5</v>
      </c>
      <c r="S32" s="329"/>
      <c r="T32" s="329"/>
      <c r="U32" s="329"/>
      <c r="V32" s="329"/>
      <c r="W32" s="329"/>
      <c r="X32" s="529"/>
      <c r="Y32" s="530"/>
      <c r="Z32" s="530"/>
      <c r="AA32" s="530"/>
      <c r="AB32" s="530"/>
      <c r="AC32" s="530"/>
      <c r="AD32" s="530"/>
      <c r="AE32" s="530"/>
      <c r="AF32" s="531"/>
      <c r="AG32" s="330"/>
      <c r="AH32" s="116"/>
    </row>
    <row r="33" spans="1:34" ht="18.75" customHeight="1">
      <c r="A33" s="116"/>
      <c r="B33" s="322"/>
      <c r="C33" s="389" t="s">
        <v>2354</v>
      </c>
      <c r="D33" s="391"/>
      <c r="E33" s="452">
        <v>0</v>
      </c>
      <c r="F33" s="564">
        <v>0</v>
      </c>
      <c r="G33" s="564">
        <v>0</v>
      </c>
      <c r="H33" s="565">
        <v>0</v>
      </c>
      <c r="I33" s="455">
        <v>0</v>
      </c>
      <c r="J33" s="452">
        <v>0</v>
      </c>
      <c r="K33" s="454">
        <v>0</v>
      </c>
      <c r="L33" s="456">
        <v>0</v>
      </c>
      <c r="M33" s="432">
        <v>0</v>
      </c>
      <c r="N33" s="457">
        <v>0</v>
      </c>
      <c r="O33" s="433">
        <v>0</v>
      </c>
      <c r="P33" s="448">
        <f>+COUNTIFS('2. Status Detalhe Campos FY24'!$C:$C,"*Verde*",'2. Status Detalhe Campos FY24'!$K:$K,"*"&amp;$P$25&amp;"*",'2. Status Detalhe Campos FY24'!X:X,"*anterior*")</f>
        <v>0</v>
      </c>
      <c r="Q33" s="454">
        <f>+COUNTIFS('2. Status Detalhe Campos FY24'!$C:$C,"*Verde*",'2. Status Detalhe Campos FY24'!$K:$K,"*"&amp;$P$25&amp;"*",'2. Status Detalhe Campos FY24'!Y:Y,"*Novo Plano*")</f>
        <v>0</v>
      </c>
      <c r="R33" s="455">
        <f t="shared" si="3"/>
        <v>0</v>
      </c>
      <c r="S33" s="329"/>
      <c r="T33" s="329"/>
      <c r="U33" s="329"/>
      <c r="V33" s="329"/>
      <c r="W33" s="329"/>
      <c r="X33" s="529"/>
      <c r="Y33" s="530"/>
      <c r="Z33" s="530"/>
      <c r="AA33" s="530"/>
      <c r="AB33" s="530"/>
      <c r="AC33" s="530"/>
      <c r="AD33" s="530"/>
      <c r="AE33" s="530"/>
      <c r="AF33" s="531"/>
      <c r="AG33" s="330"/>
      <c r="AH33" s="116"/>
    </row>
    <row r="34" spans="1:34" ht="18.75" customHeight="1">
      <c r="A34" s="116"/>
      <c r="B34" s="322"/>
      <c r="C34" s="509" t="s">
        <v>2331</v>
      </c>
      <c r="D34" s="510"/>
      <c r="E34" s="437">
        <v>18</v>
      </c>
      <c r="F34" s="559">
        <v>12</v>
      </c>
      <c r="G34" s="560">
        <v>5</v>
      </c>
      <c r="H34" s="561">
        <v>1</v>
      </c>
      <c r="I34" s="440">
        <v>0</v>
      </c>
      <c r="J34" s="437">
        <v>14</v>
      </c>
      <c r="K34" s="439">
        <v>10</v>
      </c>
      <c r="L34" s="402">
        <f>SUM(L35:L36)</f>
        <v>9</v>
      </c>
      <c r="M34" s="428">
        <f>SUM(M35:M36)</f>
        <v>9</v>
      </c>
      <c r="N34" s="403">
        <f>SUM(N35:N36)</f>
        <v>6</v>
      </c>
      <c r="O34" s="427">
        <v>0</v>
      </c>
      <c r="P34" s="439">
        <f>+L34+N34</f>
        <v>15</v>
      </c>
      <c r="Q34" s="439">
        <f>+COUNTIFS('2. Status Detalhe Campos FY24'!$C:$C,"*Pilar*",'2. Status Detalhe Campos FY24'!$K:$K,"*"&amp;$P$25&amp;"*")</f>
        <v>0</v>
      </c>
      <c r="R34" s="440">
        <f t="shared" si="3"/>
        <v>15</v>
      </c>
      <c r="S34" s="329"/>
      <c r="T34" s="329"/>
      <c r="U34" s="329"/>
      <c r="V34" s="329"/>
      <c r="W34" s="329"/>
      <c r="X34" s="529"/>
      <c r="Y34" s="530"/>
      <c r="Z34" s="530"/>
      <c r="AA34" s="530"/>
      <c r="AB34" s="530"/>
      <c r="AC34" s="530"/>
      <c r="AD34" s="530"/>
      <c r="AE34" s="530"/>
      <c r="AF34" s="531"/>
      <c r="AG34" s="330"/>
      <c r="AH34" s="116"/>
    </row>
    <row r="35" spans="1:34" ht="18.75" customHeight="1">
      <c r="A35" s="116"/>
      <c r="B35" s="322"/>
      <c r="C35" s="385" t="s">
        <v>2355</v>
      </c>
      <c r="D35" s="392"/>
      <c r="E35" s="446">
        <v>9</v>
      </c>
      <c r="F35" s="562">
        <v>6</v>
      </c>
      <c r="G35" s="566">
        <v>2</v>
      </c>
      <c r="H35" s="563">
        <v>1</v>
      </c>
      <c r="I35" s="449">
        <v>0</v>
      </c>
      <c r="J35" s="446">
        <v>7</v>
      </c>
      <c r="K35" s="448">
        <v>0</v>
      </c>
      <c r="L35" s="450">
        <f>4</f>
        <v>4</v>
      </c>
      <c r="M35" s="434">
        <v>0</v>
      </c>
      <c r="N35" s="451">
        <f>3</f>
        <v>3</v>
      </c>
      <c r="O35" s="431">
        <v>0</v>
      </c>
      <c r="P35" s="448">
        <f>+L35+N35</f>
        <v>7</v>
      </c>
      <c r="Q35" s="448">
        <f>+COUNTIFS('2. Status Detalhe Campos FY24'!$C:$C,"*Pilar*",'2. Status Detalhe Campos FY24'!$K:$K,"*"&amp;$P$25&amp;"*",'2. Status Detalhe Campos FY24'!Y:Y,"*anterior*")</f>
        <v>0</v>
      </c>
      <c r="R35" s="449">
        <f t="shared" si="3"/>
        <v>7</v>
      </c>
      <c r="S35" s="329"/>
      <c r="T35" s="329"/>
      <c r="U35" s="329"/>
      <c r="V35" s="329"/>
      <c r="W35" s="329"/>
      <c r="X35" s="529"/>
      <c r="Y35" s="530"/>
      <c r="Z35" s="530"/>
      <c r="AA35" s="530"/>
      <c r="AB35" s="530"/>
      <c r="AC35" s="530"/>
      <c r="AD35" s="530"/>
      <c r="AE35" s="530"/>
      <c r="AF35" s="531"/>
      <c r="AG35" s="330"/>
      <c r="AH35" s="116"/>
    </row>
    <row r="36" spans="1:34" ht="18.75" customHeight="1">
      <c r="A36" s="116"/>
      <c r="B36" s="322"/>
      <c r="C36" s="389" t="s">
        <v>2354</v>
      </c>
      <c r="D36" s="391"/>
      <c r="E36" s="452">
        <v>9</v>
      </c>
      <c r="F36" s="567">
        <v>6</v>
      </c>
      <c r="G36" s="567">
        <v>3</v>
      </c>
      <c r="H36" s="568">
        <v>0</v>
      </c>
      <c r="I36" s="455">
        <v>0</v>
      </c>
      <c r="J36" s="452">
        <v>7</v>
      </c>
      <c r="K36" s="454">
        <f>10</f>
        <v>10</v>
      </c>
      <c r="L36" s="498">
        <f>4+1</f>
        <v>5</v>
      </c>
      <c r="M36" s="485">
        <f>3+6</f>
        <v>9</v>
      </c>
      <c r="N36" s="499">
        <v>3</v>
      </c>
      <c r="O36" s="433">
        <v>0</v>
      </c>
      <c r="P36" s="448">
        <f>+L36+N36</f>
        <v>8</v>
      </c>
      <c r="Q36" s="454">
        <v>0</v>
      </c>
      <c r="R36" s="455">
        <f t="shared" si="3"/>
        <v>8</v>
      </c>
      <c r="S36" s="329"/>
      <c r="T36" s="329"/>
      <c r="U36" s="329"/>
      <c r="V36" s="329"/>
      <c r="W36" s="329"/>
      <c r="X36" s="529"/>
      <c r="Y36" s="530"/>
      <c r="Z36" s="530"/>
      <c r="AA36" s="530"/>
      <c r="AB36" s="530"/>
      <c r="AC36" s="530"/>
      <c r="AD36" s="530"/>
      <c r="AE36" s="530"/>
      <c r="AF36" s="531"/>
      <c r="AG36" s="330"/>
      <c r="AH36" s="116"/>
    </row>
    <row r="37" spans="1:34" ht="18.75" customHeight="1">
      <c r="A37" s="116"/>
      <c r="B37" s="322"/>
      <c r="C37" s="511" t="s">
        <v>2325</v>
      </c>
      <c r="D37" s="512"/>
      <c r="E37" s="458">
        <f>SUM(E31,E34)</f>
        <v>31</v>
      </c>
      <c r="F37" s="459">
        <f>12</f>
        <v>12</v>
      </c>
      <c r="G37" s="460">
        <f>10</f>
        <v>10</v>
      </c>
      <c r="H37" s="464">
        <f>9</f>
        <v>9</v>
      </c>
      <c r="I37" s="464">
        <v>0</v>
      </c>
      <c r="J37" s="458">
        <f>14+8</f>
        <v>22</v>
      </c>
      <c r="K37" s="460">
        <f>11</f>
        <v>11</v>
      </c>
      <c r="L37" s="461">
        <f>SUM(L31,L34)</f>
        <v>14</v>
      </c>
      <c r="M37" s="462">
        <f>SUM(M28,M31,M34)</f>
        <v>13</v>
      </c>
      <c r="N37" s="463">
        <f>SUM(N34)</f>
        <v>6</v>
      </c>
      <c r="O37" s="464">
        <v>0</v>
      </c>
      <c r="P37" s="460">
        <f>+SUM(P28,P31,P34)</f>
        <v>20</v>
      </c>
      <c r="Q37" s="460">
        <f>+SUM(Q28,Q31,Q34)</f>
        <v>0</v>
      </c>
      <c r="R37" s="464">
        <f>+SUM(R28,R31,R34)</f>
        <v>20</v>
      </c>
      <c r="S37" s="329"/>
      <c r="T37" s="329"/>
      <c r="U37" s="329"/>
      <c r="V37" s="329"/>
      <c r="W37" s="329"/>
      <c r="X37" s="529"/>
      <c r="Y37" s="530"/>
      <c r="Z37" s="530"/>
      <c r="AA37" s="530"/>
      <c r="AB37" s="530"/>
      <c r="AC37" s="530"/>
      <c r="AD37" s="530"/>
      <c r="AE37" s="530"/>
      <c r="AF37" s="531"/>
      <c r="AG37" s="330"/>
      <c r="AH37" s="116"/>
    </row>
    <row r="38" spans="1:34" ht="18.75" customHeight="1">
      <c r="A38" s="116"/>
      <c r="B38" s="322"/>
      <c r="C38" s="329"/>
      <c r="D38" s="329"/>
      <c r="E38" s="329"/>
      <c r="F38" s="329"/>
      <c r="G38" s="329"/>
      <c r="H38" s="329"/>
      <c r="I38" s="329"/>
      <c r="J38" s="329"/>
      <c r="K38" s="329"/>
      <c r="L38" s="329"/>
      <c r="M38" s="329"/>
      <c r="N38" s="329"/>
      <c r="O38" s="329"/>
      <c r="P38" s="329"/>
      <c r="Q38" s="329"/>
      <c r="R38" s="329"/>
      <c r="S38" s="329"/>
      <c r="T38" s="329"/>
      <c r="U38" s="329"/>
      <c r="V38" s="329"/>
      <c r="W38" s="329"/>
      <c r="X38" s="529"/>
      <c r="Y38" s="530"/>
      <c r="Z38" s="530"/>
      <c r="AA38" s="530"/>
      <c r="AB38" s="530"/>
      <c r="AC38" s="530"/>
      <c r="AD38" s="530"/>
      <c r="AE38" s="530"/>
      <c r="AF38" s="531"/>
      <c r="AG38" s="330"/>
      <c r="AH38" s="116"/>
    </row>
    <row r="39" spans="1:34" ht="18.75" customHeight="1">
      <c r="A39" s="116"/>
      <c r="B39" s="322"/>
      <c r="C39" s="329"/>
      <c r="D39" s="329"/>
      <c r="E39" s="329"/>
      <c r="F39" s="329"/>
      <c r="G39" s="329"/>
      <c r="H39" s="329"/>
      <c r="I39" s="329"/>
      <c r="J39" s="329"/>
      <c r="K39" s="329"/>
      <c r="L39" s="329"/>
      <c r="M39" s="329"/>
      <c r="N39" s="329"/>
      <c r="O39" s="329"/>
      <c r="P39" s="329"/>
      <c r="Q39" s="329"/>
      <c r="R39" s="329"/>
      <c r="S39" s="329"/>
      <c r="T39" s="329"/>
      <c r="U39" s="329"/>
      <c r="V39" s="329"/>
      <c r="W39" s="329"/>
      <c r="X39" s="532"/>
      <c r="Y39" s="533"/>
      <c r="Z39" s="533"/>
      <c r="AA39" s="533"/>
      <c r="AB39" s="533"/>
      <c r="AC39" s="533"/>
      <c r="AD39" s="533"/>
      <c r="AE39" s="533"/>
      <c r="AF39" s="534"/>
      <c r="AG39" s="330"/>
      <c r="AH39" s="116"/>
    </row>
    <row r="40" spans="1:34">
      <c r="A40" s="116"/>
      <c r="B40" s="380">
        <v>1</v>
      </c>
      <c r="C40" s="323"/>
      <c r="D40" s="323"/>
      <c r="E40" s="323"/>
      <c r="F40" s="323"/>
      <c r="G40" s="323"/>
      <c r="H40" s="323"/>
      <c r="I40" s="323"/>
      <c r="J40" s="323"/>
      <c r="K40" s="323"/>
      <c r="L40" s="323"/>
      <c r="M40" s="323"/>
      <c r="N40" s="323"/>
      <c r="O40" s="323"/>
      <c r="P40" s="323"/>
      <c r="Q40" s="323"/>
      <c r="R40" s="323"/>
      <c r="S40" s="323"/>
      <c r="T40" s="323"/>
      <c r="U40" s="323"/>
      <c r="V40" s="323"/>
      <c r="W40" s="323"/>
      <c r="X40" s="323"/>
      <c r="Y40" s="323"/>
      <c r="Z40" s="323"/>
      <c r="AA40" s="323"/>
      <c r="AB40" s="323"/>
      <c r="AC40" s="323"/>
      <c r="AD40" s="323"/>
      <c r="AE40" s="323"/>
      <c r="AF40" s="323"/>
      <c r="AG40" s="381">
        <v>1</v>
      </c>
      <c r="AH40" s="116"/>
    </row>
    <row r="41" spans="1:34">
      <c r="A41" s="116"/>
      <c r="B41" s="116"/>
      <c r="C41" s="116"/>
      <c r="D41" s="116"/>
      <c r="E41" s="116"/>
      <c r="F41" s="116"/>
      <c r="G41" s="116"/>
      <c r="H41" s="116"/>
      <c r="I41" s="116"/>
      <c r="J41" s="116"/>
      <c r="K41" s="116"/>
      <c r="L41" s="116"/>
      <c r="M41" s="116"/>
      <c r="N41" s="116"/>
      <c r="O41" s="116"/>
      <c r="P41" s="116"/>
      <c r="Q41" s="116"/>
      <c r="R41" s="116"/>
      <c r="S41" s="116"/>
      <c r="T41" s="116"/>
      <c r="U41" s="116"/>
      <c r="V41" s="116"/>
      <c r="W41" s="116"/>
      <c r="X41" s="116"/>
      <c r="Y41" s="116"/>
      <c r="Z41" s="116"/>
      <c r="AA41" s="116"/>
      <c r="AB41" s="116"/>
      <c r="AC41" s="116"/>
      <c r="AD41" s="116"/>
      <c r="AE41" s="116"/>
      <c r="AF41" s="116"/>
      <c r="AG41" s="116"/>
      <c r="AH41" s="116"/>
    </row>
    <row r="42" spans="1:34" ht="23">
      <c r="A42" s="116"/>
      <c r="B42" s="126" t="s">
        <v>2326</v>
      </c>
      <c r="C42" s="116"/>
      <c r="D42" s="116"/>
      <c r="E42" s="116"/>
      <c r="F42" s="116"/>
      <c r="G42" s="128" t="s">
        <v>34</v>
      </c>
      <c r="H42" s="128" t="s">
        <v>54</v>
      </c>
      <c r="I42" s="128" t="s">
        <v>181</v>
      </c>
      <c r="J42" s="128" t="s">
        <v>310</v>
      </c>
      <c r="K42" s="128" t="s">
        <v>26</v>
      </c>
      <c r="L42" s="116"/>
      <c r="M42" s="116"/>
      <c r="N42" s="116"/>
      <c r="O42" s="116"/>
      <c r="P42" s="116"/>
      <c r="Q42" s="116"/>
      <c r="R42" s="116"/>
      <c r="S42" s="116"/>
      <c r="T42" s="116"/>
      <c r="U42" s="116"/>
      <c r="V42" s="116"/>
      <c r="W42" s="116"/>
      <c r="X42" s="116"/>
      <c r="Y42" s="116"/>
      <c r="Z42" s="116"/>
      <c r="AA42" s="116"/>
      <c r="AB42" s="116"/>
      <c r="AC42" s="116"/>
      <c r="AD42" s="116"/>
      <c r="AE42" s="116"/>
      <c r="AF42" s="116"/>
      <c r="AG42" s="116"/>
      <c r="AH42" s="116"/>
    </row>
    <row r="43" spans="1:34" ht="5.15" customHeight="1">
      <c r="A43" s="116"/>
      <c r="B43" s="116"/>
      <c r="C43" s="116"/>
      <c r="D43" s="116"/>
      <c r="E43" s="116"/>
      <c r="F43" s="116"/>
      <c r="G43" s="116"/>
      <c r="H43" s="116"/>
      <c r="I43" s="116"/>
      <c r="J43" s="116"/>
      <c r="K43" s="116"/>
      <c r="L43" s="116"/>
      <c r="M43" s="116"/>
      <c r="N43" s="116"/>
      <c r="O43" s="116"/>
      <c r="P43" s="116"/>
      <c r="Q43" s="116"/>
      <c r="R43" s="116"/>
      <c r="S43" s="116"/>
      <c r="T43" s="116"/>
      <c r="U43" s="116"/>
      <c r="V43" s="116"/>
      <c r="W43" s="116"/>
      <c r="X43" s="116"/>
      <c r="Y43" s="116"/>
      <c r="Z43" s="116"/>
      <c r="AA43" s="116"/>
      <c r="AB43" s="116"/>
      <c r="AC43" s="116"/>
      <c r="AD43" s="116"/>
      <c r="AE43" s="116"/>
      <c r="AF43" s="116"/>
      <c r="AG43" s="116"/>
      <c r="AH43" s="116"/>
    </row>
    <row r="44" spans="1:34">
      <c r="A44" s="116"/>
      <c r="B44" s="118"/>
      <c r="C44" s="119"/>
      <c r="D44" s="119"/>
      <c r="E44" s="119"/>
      <c r="F44" s="119"/>
      <c r="G44" s="119"/>
      <c r="H44" s="119"/>
      <c r="I44" s="119"/>
      <c r="J44" s="119"/>
      <c r="K44" s="119"/>
      <c r="L44" s="119"/>
      <c r="M44" s="119"/>
      <c r="N44" s="119"/>
      <c r="O44" s="119"/>
      <c r="P44" s="119"/>
      <c r="Q44" s="119"/>
      <c r="R44" s="119"/>
      <c r="S44" s="119"/>
      <c r="T44" s="119"/>
      <c r="U44" s="119"/>
      <c r="V44" s="119"/>
      <c r="W44" s="119"/>
      <c r="X44" s="119"/>
      <c r="Y44" s="119"/>
      <c r="Z44" s="119"/>
      <c r="AA44" s="119"/>
      <c r="AB44" s="119"/>
      <c r="AC44" s="119"/>
      <c r="AD44" s="119"/>
      <c r="AE44" s="119"/>
      <c r="AF44" s="119"/>
      <c r="AG44" s="120"/>
      <c r="AH44" s="116"/>
    </row>
    <row r="45" spans="1:34">
      <c r="A45" s="116"/>
      <c r="B45" s="121"/>
      <c r="C45" s="154" t="s">
        <v>606</v>
      </c>
      <c r="G45" s="154" t="s">
        <v>607</v>
      </c>
      <c r="P45" s="129" t="s">
        <v>608</v>
      </c>
      <c r="Q45" s="130"/>
      <c r="R45" s="129"/>
      <c r="S45" s="130"/>
      <c r="T45" s="131">
        <v>45758</v>
      </c>
      <c r="U45" s="131">
        <f>T45+13</f>
        <v>45771</v>
      </c>
      <c r="V45" s="132" t="s">
        <v>609</v>
      </c>
      <c r="X45" s="155" t="s">
        <v>610</v>
      </c>
      <c r="AG45" s="122"/>
      <c r="AH45" s="116"/>
    </row>
    <row r="46" spans="1:34" ht="17.899999999999999" customHeight="1">
      <c r="A46" s="116"/>
      <c r="B46" s="121"/>
      <c r="P46" s="370" t="s">
        <v>611</v>
      </c>
      <c r="Q46" s="370"/>
      <c r="R46" s="370"/>
      <c r="S46" s="370"/>
      <c r="T46" s="370">
        <f>COUNTIFS('2. Status Detalhe Campos FY24'!$H$7:$H$740,'1. Status Resumo FY24'!$P46,'2. Status Detalhe Campos FY24'!$C$7:$C$740,'1. Status Resumo FY24'!$G$42,'2. Status Detalhe Campos FY24'!$D$7:$D$740,"2. Campo")+COUNTIFS('2. Status Detalhe Campos FY24'!$H$7:$H$740,'1. Status Resumo FY24'!$P46,'2. Status Detalhe Campos FY24'!$C$7:$C$740,'1. Status Resumo FY24'!$H$42,'2. Status Detalhe Campos FY24'!$D$7:$D$740,"2. Campo")</f>
        <v>12</v>
      </c>
      <c r="U46" s="370">
        <f>COUNTIFS('2. Status Detalhe Campos FY24'!$G$7:$G$740,'1. Status Resumo FY24'!$P46,'2. Status Detalhe Campos FY24'!$C$7:$C$740,'1. Status Resumo FY24'!$G$42,'2. Status Detalhe Campos FY24'!$D$7:$D$740,"2. Campo")+COUNTIFS('2. Status Detalhe Campos FY24'!$G$7:$G$740,'1. Status Resumo FY24'!$P46,'2. Status Detalhe Campos FY24'!$C$7:$C$740,'1. Status Resumo FY24'!$H$42,'2. Status Detalhe Campos FY24'!$D$7:$D$740,"2. Campo")</f>
        <v>12</v>
      </c>
      <c r="V46" s="370">
        <f t="shared" ref="V46:V72" si="4">U46-T46</f>
        <v>0</v>
      </c>
      <c r="X46" s="537" t="s">
        <v>2465</v>
      </c>
      <c r="Y46" s="538"/>
      <c r="Z46" s="538"/>
      <c r="AA46" s="538"/>
      <c r="AB46" s="538"/>
      <c r="AC46" s="538"/>
      <c r="AD46" s="538"/>
      <c r="AE46" s="538"/>
      <c r="AF46" s="539"/>
      <c r="AG46" s="163"/>
      <c r="AH46" s="116"/>
    </row>
    <row r="47" spans="1:34" ht="17.899999999999999" customHeight="1">
      <c r="A47" s="116"/>
      <c r="B47" s="121"/>
      <c r="P47" s="371" t="s">
        <v>2355</v>
      </c>
      <c r="Q47" s="372"/>
      <c r="R47" s="372"/>
      <c r="S47" s="372"/>
      <c r="T47" s="441">
        <f>COUNTIFS('2. Status Detalhe Campos FY24'!$H$7:$H$740,'1. Status Resumo FY24'!$P46,'2. Status Detalhe Campos FY24'!$C$7:$C$740,'1. Status Resumo FY24'!$G$42,'2. Status Detalhe Campos FY24'!$D$7:$D$740,"2. Campo",'2. Status Detalhe Campos FY24'!$Y$7:$Y$740,"*Plano anterior*")
+COUNTIFS('2. Status Detalhe Campos FY24'!$H$7:$H$740,'1. Status Resumo FY24'!$P46,'2. Status Detalhe Campos FY24'!$C$7:$C$740,'1. Status Resumo FY24'!$H$42,'2. Status Detalhe Campos FY24'!$D$7:$D$740,"2. Campo",'2. Status Detalhe Campos FY24'!$Y$7:$Y$740,"*Plano anterior*")</f>
        <v>12</v>
      </c>
      <c r="U47" s="441">
        <f>COUNTIFS('2. Status Detalhe Campos FY24'!$G$7:$G$740,'1. Status Resumo FY24'!$P46,'2. Status Detalhe Campos FY24'!$C$7:$C$740,'1. Status Resumo FY24'!$G$42,'2. Status Detalhe Campos FY24'!$D$7:$D$740,"2. Campo",'2. Status Detalhe Campos FY24'!$Y$7:$Y$740,"*Plano anterior*")
+COUNTIFS('2. Status Detalhe Campos FY24'!$G$7:$G$740,'1. Status Resumo FY24'!$P46,'2. Status Detalhe Campos FY24'!$C$7:$C$740,'1. Status Resumo FY24'!$H$42,'2. Status Detalhe Campos FY24'!$D$7:$D$740,"2. Campo",'2. Status Detalhe Campos FY24'!$Y$7:$Y$740,"*Plano anterior*")</f>
        <v>12</v>
      </c>
      <c r="V47" s="441">
        <f t="shared" si="4"/>
        <v>0</v>
      </c>
      <c r="X47" s="540"/>
      <c r="Y47" s="541"/>
      <c r="Z47" s="541"/>
      <c r="AA47" s="541"/>
      <c r="AB47" s="541"/>
      <c r="AC47" s="541"/>
      <c r="AD47" s="541"/>
      <c r="AE47" s="541"/>
      <c r="AF47" s="542"/>
      <c r="AG47" s="163"/>
      <c r="AH47" s="116"/>
    </row>
    <row r="48" spans="1:34" ht="17.899999999999999" customHeight="1">
      <c r="A48" s="116"/>
      <c r="B48" s="121"/>
      <c r="P48" s="371" t="s">
        <v>2354</v>
      </c>
      <c r="Q48" s="372"/>
      <c r="R48" s="372"/>
      <c r="S48" s="372"/>
      <c r="T48" s="441">
        <f>COUNTIFS('2. Status Detalhe Campos FY24'!$H$7:$H$740,'1. Status Resumo FY24'!$P47,'2. Status Detalhe Campos FY24'!$C$7:$C$740,'1. Status Resumo FY24'!$G$42,'2. Status Detalhe Campos FY24'!$D$7:$D$740,"2. Campo",'2. Status Detalhe Campos FY24'!$Y$7:$Y$740,"*Novo Plano*")
+COUNTIFS('2. Status Detalhe Campos FY24'!$H$7:$H$740,'1. Status Resumo FY24'!$P47,'2. Status Detalhe Campos FY24'!$C$7:$C$740,'1. Status Resumo FY24'!$H$42,'2. Status Detalhe Campos FY24'!$D$7:$D$740,"2. Campo",'2. Status Detalhe Campos FY24'!$Y$7:$Y$740,"*Novo Plano*")</f>
        <v>0</v>
      </c>
      <c r="U48" s="441">
        <f>COUNTIFS('2. Status Detalhe Campos FY24'!$G$7:$G$740,'1. Status Resumo FY24'!$P46,'2. Status Detalhe Campos FY24'!$C$7:$C$740,'1. Status Resumo FY24'!$G$42,'2. Status Detalhe Campos FY24'!$D$7:$D$740,"2. Campo",'2. Status Detalhe Campos FY24'!$Y$7:$Y$740,"*Novo Plano*")
+COUNTIFS('2. Status Detalhe Campos FY24'!$G$7:$G$740,'1. Status Resumo FY24'!$P46,'2. Status Detalhe Campos FY24'!$C$7:$C$740,'1. Status Resumo FY24'!$H$42,'2. Status Detalhe Campos FY24'!$D$7:$D$740,"2. Campo",'2. Status Detalhe Campos FY24'!$Y$7:$Y$740,"*Novo Plano*")</f>
        <v>0</v>
      </c>
      <c r="V48" s="441">
        <f t="shared" si="4"/>
        <v>0</v>
      </c>
      <c r="X48" s="540"/>
      <c r="Y48" s="541"/>
      <c r="Z48" s="541"/>
      <c r="AA48" s="541"/>
      <c r="AB48" s="541"/>
      <c r="AC48" s="541"/>
      <c r="AD48" s="541"/>
      <c r="AE48" s="541"/>
      <c r="AF48" s="542"/>
      <c r="AG48" s="163"/>
      <c r="AH48" s="116"/>
    </row>
    <row r="49" spans="1:34">
      <c r="A49" s="116"/>
      <c r="B49" s="121"/>
      <c r="P49" s="369" t="s">
        <v>612</v>
      </c>
      <c r="Q49" s="369"/>
      <c r="R49" s="369"/>
      <c r="S49" s="369"/>
      <c r="T49" s="369">
        <f>COUNTIFS('2. Status Detalhe Campos FY24'!$H$7:$H$740,'1. Status Resumo FY24'!$P49,'2. Status Detalhe Campos FY24'!$C$7:$C$740,'1. Status Resumo FY24'!$G$42,'2. Status Detalhe Campos FY24'!$D$7:$D$740,"2. Campo")+COUNTIFS('2. Status Detalhe Campos FY24'!$H$7:$H$740,'1. Status Resumo FY24'!$P49,'2. Status Detalhe Campos FY24'!$C$7:$C$740,'1. Status Resumo FY24'!$H$42,'2. Status Detalhe Campos FY24'!$D$7:$D$740,"2. Campo")</f>
        <v>195</v>
      </c>
      <c r="U49" s="369">
        <f>COUNTIFS('2. Status Detalhe Campos FY24'!$G$7:$G$740,'1. Status Resumo FY24'!$P49,'2. Status Detalhe Campos FY24'!$C$7:$C$740,'1. Status Resumo FY24'!$G$42,'2. Status Detalhe Campos FY24'!$D$7:$D$740,"2. Campo")+COUNTIFS('2. Status Detalhe Campos FY24'!$G$7:$G$740,'1. Status Resumo FY24'!$P49,'2. Status Detalhe Campos FY24'!$C$7:$C$740,'1. Status Resumo FY24'!$H$42,'2. Status Detalhe Campos FY24'!$D$7:$D$740,"2. Campo")</f>
        <v>196</v>
      </c>
      <c r="V49" s="369">
        <f t="shared" si="4"/>
        <v>1</v>
      </c>
      <c r="X49" s="540"/>
      <c r="Y49" s="541"/>
      <c r="Z49" s="541"/>
      <c r="AA49" s="541"/>
      <c r="AB49" s="541"/>
      <c r="AC49" s="541"/>
      <c r="AD49" s="541"/>
      <c r="AE49" s="541"/>
      <c r="AF49" s="542"/>
      <c r="AG49" s="163"/>
      <c r="AH49" s="116"/>
    </row>
    <row r="50" spans="1:34">
      <c r="A50" s="116"/>
      <c r="B50" s="121"/>
      <c r="P50" s="371" t="s">
        <v>2355</v>
      </c>
      <c r="Q50" s="372"/>
      <c r="R50" s="372"/>
      <c r="S50" s="372"/>
      <c r="T50" s="441">
        <f>COUNTIFS('2. Status Detalhe Campos FY24'!$H$7:$H$740,'1. Status Resumo FY24'!$P49,'2. Status Detalhe Campos FY24'!$C$7:$C$740,'1. Status Resumo FY24'!$G$42,'2. Status Detalhe Campos FY24'!$D$7:$D$740,"2. Campo",'2. Status Detalhe Campos FY24'!$Y$7:$Y$740,"*Plano anterior*")
+COUNTIFS('2. Status Detalhe Campos FY24'!$H$7:$H$740,'1. Status Resumo FY24'!$P49,'2. Status Detalhe Campos FY24'!$C$7:$C$740,'1. Status Resumo FY24'!$H$42,'2. Status Detalhe Campos FY24'!$D$7:$D$740,"2. Campo",'2. Status Detalhe Campos FY24'!$Y$7:$Y$740,"*Plano anterior*")</f>
        <v>195</v>
      </c>
      <c r="U50" s="441">
        <f>COUNTIFS('2. Status Detalhe Campos FY24'!$G$7:$G$740,'1. Status Resumo FY24'!$P49,'2. Status Detalhe Campos FY24'!$C$7:$C$740,'1. Status Resumo FY24'!$G$42,'2. Status Detalhe Campos FY24'!$D$7:$D$740,"2. Campo",'2. Status Detalhe Campos FY24'!$Y$7:$Y$740,"*Plano anterior*")
+COUNTIFS('2. Status Detalhe Campos FY24'!$G$7:$G$740,'1. Status Resumo FY24'!$P49,'2. Status Detalhe Campos FY24'!$C$7:$C$740,'1. Status Resumo FY24'!$H$42,'2. Status Detalhe Campos FY24'!$D$7:$D$740,"2. Campo",'2. Status Detalhe Campos FY24'!$Y$7:$Y$740,"*Plano anterior*")</f>
        <v>196</v>
      </c>
      <c r="V50" s="441">
        <f t="shared" si="4"/>
        <v>1</v>
      </c>
      <c r="X50" s="540"/>
      <c r="Y50" s="541"/>
      <c r="Z50" s="541"/>
      <c r="AA50" s="541"/>
      <c r="AB50" s="541"/>
      <c r="AC50" s="541"/>
      <c r="AD50" s="541"/>
      <c r="AE50" s="541"/>
      <c r="AF50" s="542"/>
      <c r="AG50" s="163"/>
      <c r="AH50" s="116"/>
    </row>
    <row r="51" spans="1:34">
      <c r="A51" s="116"/>
      <c r="B51" s="121"/>
      <c r="P51" s="371" t="s">
        <v>2354</v>
      </c>
      <c r="Q51" s="374"/>
      <c r="R51" s="374"/>
      <c r="S51" s="374"/>
      <c r="T51" s="442">
        <f>COUNTIFS('2. Status Detalhe Campos FY24'!$H$7:$H$740,'1. Status Resumo FY24'!$P50,'2. Status Detalhe Campos FY24'!$C$7:$C$740,'1. Status Resumo FY24'!$G$42,'2. Status Detalhe Campos FY24'!$D$7:$D$740,"2. Campo",'2. Status Detalhe Campos FY24'!$Y$7:$Y$740,"*Novo Plano*")
+COUNTIFS('2. Status Detalhe Campos FY24'!$H$7:$H$740,'1. Status Resumo FY24'!$P50,'2. Status Detalhe Campos FY24'!$C$7:$C$740,'1. Status Resumo FY24'!$H$42,'2. Status Detalhe Campos FY24'!$D$7:$D$740,"2. Campo",'2. Status Detalhe Campos FY24'!$Y$7:$Y$740,"*Novo Plano*")</f>
        <v>0</v>
      </c>
      <c r="U51" s="442">
        <f>COUNTIFS('2. Status Detalhe Campos FY24'!$G$7:$G$740,'1. Status Resumo FY24'!$P49,'2. Status Detalhe Campos FY24'!$C$7:$C$740,'1. Status Resumo FY24'!$G$42,'2. Status Detalhe Campos FY24'!$D$7:$D$740,"2. Campo",'2. Status Detalhe Campos FY24'!$Y$7:$Y$740,"*Novo Plano*")
+COUNTIFS('2. Status Detalhe Campos FY24'!$G$7:$G$740,'1. Status Resumo FY24'!$P49,'2. Status Detalhe Campos FY24'!$C$7:$C$740,'1. Status Resumo FY24'!$H$42,'2. Status Detalhe Campos FY24'!$D$7:$D$740,"2. Campo",'2. Status Detalhe Campos FY24'!$Y$7:$Y$740,"*Novo Plano*")</f>
        <v>0</v>
      </c>
      <c r="V51" s="442">
        <f t="shared" si="4"/>
        <v>0</v>
      </c>
      <c r="X51" s="540"/>
      <c r="Y51" s="541"/>
      <c r="Z51" s="541"/>
      <c r="AA51" s="541"/>
      <c r="AB51" s="541"/>
      <c r="AC51" s="541"/>
      <c r="AD51" s="541"/>
      <c r="AE51" s="541"/>
      <c r="AF51" s="542"/>
      <c r="AG51" s="163"/>
      <c r="AH51" s="116"/>
    </row>
    <row r="52" spans="1:34">
      <c r="A52" s="116"/>
      <c r="B52" s="121"/>
      <c r="P52" s="369" t="s">
        <v>1840</v>
      </c>
      <c r="Q52" s="369"/>
      <c r="R52" s="369"/>
      <c r="S52" s="369"/>
      <c r="T52" s="369">
        <f>COUNTIFS('2. Status Detalhe Campos FY24'!$H$7:$H$740,'1. Status Resumo FY24'!$P52,'2. Status Detalhe Campos FY24'!$C$7:$C$740,'1. Status Resumo FY24'!$G$42,'2. Status Detalhe Campos FY24'!$D$7:$D$740,"2. Campo")+COUNTIFS('2. Status Detalhe Campos FY24'!$H$7:$H$740,'1. Status Resumo FY24'!$P52,'2. Status Detalhe Campos FY24'!$C$7:$C$740,'1. Status Resumo FY24'!$H$42,'2. Status Detalhe Campos FY24'!$D$7:$D$740,"2. Campo")</f>
        <v>0</v>
      </c>
      <c r="U52" s="369">
        <f>COUNTIFS('2. Status Detalhe Campos FY24'!$G$7:$G$740,'1. Status Resumo FY24'!$P52,'2. Status Detalhe Campos FY24'!$C$7:$C$740,'1. Status Resumo FY24'!$G$42,'2. Status Detalhe Campos FY24'!$D$7:$D$740,"2. Campo")+COUNTIFS('2. Status Detalhe Campos FY24'!$G$7:$G$740,'1. Status Resumo FY24'!$P52,'2. Status Detalhe Campos FY24'!$C$7:$C$740,'1. Status Resumo FY24'!$H$42,'2. Status Detalhe Campos FY24'!$D$7:$D$740,"2. Campo")</f>
        <v>0</v>
      </c>
      <c r="V52" s="369">
        <f t="shared" si="4"/>
        <v>0</v>
      </c>
      <c r="X52" s="540"/>
      <c r="Y52" s="541"/>
      <c r="Z52" s="541"/>
      <c r="AA52" s="541"/>
      <c r="AB52" s="541"/>
      <c r="AC52" s="541"/>
      <c r="AD52" s="541"/>
      <c r="AE52" s="541"/>
      <c r="AF52" s="542"/>
      <c r="AG52" s="163"/>
      <c r="AH52" s="116"/>
    </row>
    <row r="53" spans="1:34">
      <c r="A53" s="116"/>
      <c r="B53" s="121"/>
      <c r="P53" s="371" t="s">
        <v>2355</v>
      </c>
      <c r="Q53" s="372"/>
      <c r="R53" s="372"/>
      <c r="S53" s="372"/>
      <c r="T53" s="441">
        <f>COUNTIFS('2. Status Detalhe Campos FY24'!$H$7:$H$740,'1. Status Resumo FY24'!$P52,'2. Status Detalhe Campos FY24'!$C$7:$C$740,'1. Status Resumo FY24'!$G$42,'2. Status Detalhe Campos FY24'!$D$7:$D$740,"2. Campo",'2. Status Detalhe Campos FY24'!$Y$7:$Y$740,"*Plano anterior*")
+COUNTIFS('2. Status Detalhe Campos FY24'!$H$7:$H$740,'1. Status Resumo FY24'!$P52,'2. Status Detalhe Campos FY24'!$C$7:$C$740,'1. Status Resumo FY24'!$H$42,'2. Status Detalhe Campos FY24'!$D$7:$D$740,"2. Campo",'2. Status Detalhe Campos FY24'!$Y$7:$Y$740,"*Plano anterior*")</f>
        <v>0</v>
      </c>
      <c r="U53" s="441">
        <f>COUNTIFS('2. Status Detalhe Campos FY24'!$G$7:$G$740,'1. Status Resumo FY24'!$P52,'2. Status Detalhe Campos FY24'!$C$7:$C$740,'1. Status Resumo FY24'!$G$42,'2. Status Detalhe Campos FY24'!$D$7:$D$740,"2. Campo",'2. Status Detalhe Campos FY24'!$Y$7:$Y$740,"*Plano anterior*")
+COUNTIFS('2. Status Detalhe Campos FY24'!$G$7:$G$740,'1. Status Resumo FY24'!$P52,'2. Status Detalhe Campos FY24'!$C$7:$C$740,'1. Status Resumo FY24'!$H$42,'2. Status Detalhe Campos FY24'!$D$7:$D$740,"2. Campo",'2. Status Detalhe Campos FY24'!$Y$7:$Y$740,"*Plano anterior*")</f>
        <v>0</v>
      </c>
      <c r="V53" s="441">
        <f t="shared" si="4"/>
        <v>0</v>
      </c>
      <c r="X53" s="540"/>
      <c r="Y53" s="541"/>
      <c r="Z53" s="541"/>
      <c r="AA53" s="541"/>
      <c r="AB53" s="541"/>
      <c r="AC53" s="541"/>
      <c r="AD53" s="541"/>
      <c r="AE53" s="541"/>
      <c r="AF53" s="542"/>
      <c r="AG53" s="163"/>
      <c r="AH53" s="116"/>
    </row>
    <row r="54" spans="1:34">
      <c r="A54" s="116"/>
      <c r="B54" s="121"/>
      <c r="P54" s="371" t="s">
        <v>2354</v>
      </c>
      <c r="Q54" s="374"/>
      <c r="R54" s="374"/>
      <c r="S54" s="374"/>
      <c r="T54" s="442">
        <f>COUNTIFS('2. Status Detalhe Campos FY24'!$H$7:$H$740,'1. Status Resumo FY24'!$P53,'2. Status Detalhe Campos FY24'!$C$7:$C$740,'1. Status Resumo FY24'!$G$42,'2. Status Detalhe Campos FY24'!$D$7:$D$740,"2. Campo",'2. Status Detalhe Campos FY24'!$Y$7:$Y$740,"*Novo Plano*")
+COUNTIFS('2. Status Detalhe Campos FY24'!$H$7:$H$740,'1. Status Resumo FY24'!$P53,'2. Status Detalhe Campos FY24'!$C$7:$C$740,'1. Status Resumo FY24'!$H$42,'2. Status Detalhe Campos FY24'!$D$7:$D$740,"2. Campo",'2. Status Detalhe Campos FY24'!$Y$7:$Y$740,"*Novo Plano*")</f>
        <v>0</v>
      </c>
      <c r="U54" s="442">
        <f>COUNTIFS('2. Status Detalhe Campos FY24'!$G$7:$G$740,'1. Status Resumo FY24'!$P52,'2. Status Detalhe Campos FY24'!$C$7:$C$740,'1. Status Resumo FY24'!$G$42,'2. Status Detalhe Campos FY24'!$D$7:$D$740,"2. Campo",'2. Status Detalhe Campos FY24'!$Y$7:$Y$740,"*Novo Plano*")
+COUNTIFS('2. Status Detalhe Campos FY24'!$G$7:$G$740,'1. Status Resumo FY24'!$P52,'2. Status Detalhe Campos FY24'!$C$7:$C$740,'1. Status Resumo FY24'!$H$42,'2. Status Detalhe Campos FY24'!$D$7:$D$740,"2. Campo",'2. Status Detalhe Campos FY24'!$Y$7:$Y$740,"*Novo Plano*")</f>
        <v>0</v>
      </c>
      <c r="V54" s="442">
        <f t="shared" si="4"/>
        <v>0</v>
      </c>
      <c r="X54" s="540"/>
      <c r="Y54" s="541"/>
      <c r="Z54" s="541"/>
      <c r="AA54" s="541"/>
      <c r="AB54" s="541"/>
      <c r="AC54" s="541"/>
      <c r="AD54" s="541"/>
      <c r="AE54" s="541"/>
      <c r="AF54" s="542"/>
      <c r="AG54" s="163"/>
      <c r="AH54" s="116"/>
    </row>
    <row r="55" spans="1:34">
      <c r="A55" s="116"/>
      <c r="B55" s="121"/>
      <c r="D55" s="546" t="str">
        <f>"# "&amp;U73</f>
        <v># 208</v>
      </c>
      <c r="E55" s="546"/>
      <c r="P55" s="369" t="s">
        <v>2318</v>
      </c>
      <c r="Q55" s="369"/>
      <c r="R55" s="369"/>
      <c r="S55" s="369"/>
      <c r="T55" s="369">
        <f>COUNTIFS('2. Status Detalhe Campos FY24'!$H$7:$H$740,'1. Status Resumo FY24'!$P55,'2. Status Detalhe Campos FY24'!$C$7:$C$740,'1. Status Resumo FY24'!$G$42,'2. Status Detalhe Campos FY24'!$D$7:$D$740,"2. Campo")+COUNTIFS('2. Status Detalhe Campos FY24'!$H$7:$H$740,'1. Status Resumo FY24'!$P55,'2. Status Detalhe Campos FY24'!$C$7:$C$740,'1. Status Resumo FY24'!$H$42,'2. Status Detalhe Campos FY24'!$D$7:$D$740,"2. Campo")</f>
        <v>0</v>
      </c>
      <c r="U55" s="369">
        <f>COUNTIFS('2. Status Detalhe Campos FY24'!$G$7:$G$740,'1. Status Resumo FY24'!$P55,'2. Status Detalhe Campos FY24'!$C$7:$C$740,'1. Status Resumo FY24'!$G$42,'2. Status Detalhe Campos FY24'!$D$7:$D$740,"2. Campo")+COUNTIFS('2. Status Detalhe Campos FY24'!$G$7:$G$740,'1. Status Resumo FY24'!$P55,'2. Status Detalhe Campos FY24'!$C$7:$C$740,'1. Status Resumo FY24'!$H$42,'2. Status Detalhe Campos FY24'!$D$7:$D$740,"2. Campo")</f>
        <v>0</v>
      </c>
      <c r="V55" s="369">
        <f t="shared" si="4"/>
        <v>0</v>
      </c>
      <c r="X55" s="540"/>
      <c r="Y55" s="541"/>
      <c r="Z55" s="541"/>
      <c r="AA55" s="541"/>
      <c r="AB55" s="541"/>
      <c r="AC55" s="541"/>
      <c r="AD55" s="541"/>
      <c r="AE55" s="541"/>
      <c r="AF55" s="542"/>
      <c r="AG55" s="163"/>
      <c r="AH55" s="116"/>
    </row>
    <row r="56" spans="1:34">
      <c r="A56" s="116"/>
      <c r="B56" s="121"/>
      <c r="D56" s="546"/>
      <c r="E56" s="546"/>
      <c r="P56" s="371" t="s">
        <v>2355</v>
      </c>
      <c r="Q56" s="372"/>
      <c r="R56" s="372"/>
      <c r="S56" s="372"/>
      <c r="T56" s="441">
        <f>COUNTIFS('2. Status Detalhe Campos FY24'!$H$7:$H$740,'1. Status Resumo FY24'!$P55,'2. Status Detalhe Campos FY24'!$C$7:$C$740,'1. Status Resumo FY24'!$G$42,'2. Status Detalhe Campos FY24'!$D$7:$D$740,"2. Campo",'2. Status Detalhe Campos FY24'!$Y$7:$Y$740,"*Plano anterior*")
+COUNTIFS('2. Status Detalhe Campos FY24'!$H$7:$H$740,'1. Status Resumo FY24'!$P55,'2. Status Detalhe Campos FY24'!$C$7:$C$740,'1. Status Resumo FY24'!$H$42,'2. Status Detalhe Campos FY24'!$D$7:$D$740,"2. Campo",'2. Status Detalhe Campos FY24'!$Y$7:$Y$740,"*Plano anterior*")</f>
        <v>0</v>
      </c>
      <c r="U56" s="441">
        <f>COUNTIFS('2. Status Detalhe Campos FY24'!$G$7:$G$740,'1. Status Resumo FY24'!$P55,'2. Status Detalhe Campos FY24'!$C$7:$C$740,'1. Status Resumo FY24'!$G$42,'2. Status Detalhe Campos FY24'!$D$7:$D$740,"2. Campo",'2. Status Detalhe Campos FY24'!$Y$7:$Y$740,"*Plano anterior*")
+COUNTIFS('2. Status Detalhe Campos FY24'!$G$7:$G$740,'1. Status Resumo FY24'!$P55,'2. Status Detalhe Campos FY24'!$C$7:$C$740,'1. Status Resumo FY24'!$H$42,'2. Status Detalhe Campos FY24'!$D$7:$D$740,"2. Campo",'2. Status Detalhe Campos FY24'!$Y$7:$Y$740,"*Plano anterior*")</f>
        <v>0</v>
      </c>
      <c r="V56" s="441">
        <f t="shared" si="4"/>
        <v>0</v>
      </c>
      <c r="X56" s="540"/>
      <c r="Y56" s="541"/>
      <c r="Z56" s="541"/>
      <c r="AA56" s="541"/>
      <c r="AB56" s="541"/>
      <c r="AC56" s="541"/>
      <c r="AD56" s="541"/>
      <c r="AE56" s="541"/>
      <c r="AF56" s="542"/>
      <c r="AG56" s="163"/>
      <c r="AH56" s="116"/>
    </row>
    <row r="57" spans="1:34">
      <c r="A57" s="116"/>
      <c r="B57" s="121"/>
      <c r="D57" s="546"/>
      <c r="E57" s="546"/>
      <c r="P57" s="371" t="s">
        <v>2354</v>
      </c>
      <c r="Q57" s="374"/>
      <c r="R57" s="374"/>
      <c r="S57" s="374"/>
      <c r="T57" s="442">
        <f>COUNTIFS('2. Status Detalhe Campos FY24'!$H$7:$H$740,'1. Status Resumo FY24'!$P56,'2. Status Detalhe Campos FY24'!$C$7:$C$740,'1. Status Resumo FY24'!$G$42,'2. Status Detalhe Campos FY24'!$D$7:$D$740,"2. Campo",'2. Status Detalhe Campos FY24'!$Y$7:$Y$740,"*Novo Plano*")
+COUNTIFS('2. Status Detalhe Campos FY24'!$H$7:$H$740,'1. Status Resumo FY24'!$P56,'2. Status Detalhe Campos FY24'!$C$7:$C$740,'1. Status Resumo FY24'!$H$42,'2. Status Detalhe Campos FY24'!$D$7:$D$740,"2. Campo",'2. Status Detalhe Campos FY24'!$Y$7:$Y$740,"*Novo Plano*")</f>
        <v>0</v>
      </c>
      <c r="U57" s="442">
        <f>COUNTIFS('2. Status Detalhe Campos FY24'!$G$7:$G$740,'1. Status Resumo FY24'!$P55,'2. Status Detalhe Campos FY24'!$C$7:$C$740,'1. Status Resumo FY24'!$G$42,'2. Status Detalhe Campos FY24'!$D$7:$D$740,"2. Campo",'2. Status Detalhe Campos FY24'!$Y$7:$Y$740,"*Novo Plano*")
+COUNTIFS('2. Status Detalhe Campos FY24'!$G$7:$G$740,'1. Status Resumo FY24'!$P55,'2. Status Detalhe Campos FY24'!$C$7:$C$740,'1. Status Resumo FY24'!$H$42,'2. Status Detalhe Campos FY24'!$D$7:$D$740,"2. Campo",'2. Status Detalhe Campos FY24'!$Y$7:$Y$740,"*Novo Plano*")</f>
        <v>0</v>
      </c>
      <c r="V57" s="442">
        <f t="shared" si="4"/>
        <v>0</v>
      </c>
      <c r="X57" s="540"/>
      <c r="Y57" s="541"/>
      <c r="Z57" s="541"/>
      <c r="AA57" s="541"/>
      <c r="AB57" s="541"/>
      <c r="AC57" s="541"/>
      <c r="AD57" s="541"/>
      <c r="AE57" s="541"/>
      <c r="AF57" s="542"/>
      <c r="AG57" s="163"/>
      <c r="AH57" s="116"/>
    </row>
    <row r="58" spans="1:34" ht="17.899999999999999" customHeight="1">
      <c r="A58" s="116"/>
      <c r="B58" s="121"/>
      <c r="D58" s="546"/>
      <c r="E58" s="546"/>
      <c r="P58" s="369" t="s">
        <v>613</v>
      </c>
      <c r="Q58" s="369"/>
      <c r="R58" s="369"/>
      <c r="S58" s="369"/>
      <c r="T58" s="369">
        <f>COUNTIFS('2. Status Detalhe Campos FY24'!$H$7:$H$740,'1. Status Resumo FY24'!$P58,'2. Status Detalhe Campos FY24'!$C$7:$C$740,'1. Status Resumo FY24'!$G$42,'2. Status Detalhe Campos FY24'!$D$7:$D$740,"2. Campo")+COUNTIFS('2. Status Detalhe Campos FY24'!$H$7:$H$740,'1. Status Resumo FY24'!$P58,'2. Status Detalhe Campos FY24'!$C$7:$C$740,'1. Status Resumo FY24'!$H$42,'2. Status Detalhe Campos FY24'!$D$7:$D$740,"2. Campo")</f>
        <v>0</v>
      </c>
      <c r="U58" s="369">
        <f>COUNTIFS('2. Status Detalhe Campos FY24'!$G$7:$G$740,'1. Status Resumo FY24'!$P58,'2. Status Detalhe Campos FY24'!$C$7:$C$740,'1. Status Resumo FY24'!$G$42,'2. Status Detalhe Campos FY24'!$D$7:$D$740,"2. Campo")+COUNTIFS('2. Status Detalhe Campos FY24'!$G$7:$G$740,'1. Status Resumo FY24'!$P58,'2. Status Detalhe Campos FY24'!$C$7:$C$740,'1. Status Resumo FY24'!$H$42,'2. Status Detalhe Campos FY24'!$D$7:$D$740,"2. Campo")</f>
        <v>0</v>
      </c>
      <c r="V58" s="369">
        <f t="shared" si="4"/>
        <v>0</v>
      </c>
      <c r="X58" s="540"/>
      <c r="Y58" s="541"/>
      <c r="Z58" s="541"/>
      <c r="AA58" s="541"/>
      <c r="AB58" s="541"/>
      <c r="AC58" s="541"/>
      <c r="AD58" s="541"/>
      <c r="AE58" s="541"/>
      <c r="AF58" s="542"/>
      <c r="AG58" s="163"/>
      <c r="AH58" s="116"/>
    </row>
    <row r="59" spans="1:34" ht="17.899999999999999" customHeight="1">
      <c r="A59" s="116"/>
      <c r="B59" s="121"/>
      <c r="D59" s="546"/>
      <c r="E59" s="546"/>
      <c r="P59" s="371" t="s">
        <v>2355</v>
      </c>
      <c r="Q59" s="372"/>
      <c r="R59" s="372"/>
      <c r="S59" s="372"/>
      <c r="T59" s="441">
        <f>COUNTIFS('2. Status Detalhe Campos FY24'!$H$7:$H$740,'1. Status Resumo FY24'!$P58,'2. Status Detalhe Campos FY24'!$C$7:$C$740,'1. Status Resumo FY24'!$G$42,'2. Status Detalhe Campos FY24'!$D$7:$D$740,"2. Campo",'2. Status Detalhe Campos FY24'!$Y$7:$Y$740,"*Plano anterior*")
+COUNTIFS('2. Status Detalhe Campos FY24'!$H$7:$H$740,'1. Status Resumo FY24'!$P58,'2. Status Detalhe Campos FY24'!$C$7:$C$740,'1. Status Resumo FY24'!$H$42,'2. Status Detalhe Campos FY24'!$D$7:$D$740,"2. Campo",'2. Status Detalhe Campos FY24'!$Y$7:$Y$740,"*Plano anterior*")</f>
        <v>0</v>
      </c>
      <c r="U59" s="441">
        <f>COUNTIFS('2. Status Detalhe Campos FY24'!$G$7:$G$740,'1. Status Resumo FY24'!$P58,'2. Status Detalhe Campos FY24'!$C$7:$C$740,'1. Status Resumo FY24'!$G$42,'2. Status Detalhe Campos FY24'!$D$7:$D$740,"2. Campo",'2. Status Detalhe Campos FY24'!$Y$7:$Y$740,"*Plano anterior*")
+COUNTIFS('2. Status Detalhe Campos FY24'!$G$7:$G$740,'1. Status Resumo FY24'!$P58,'2. Status Detalhe Campos FY24'!$C$7:$C$740,'1. Status Resumo FY24'!$H$42,'2. Status Detalhe Campos FY24'!$D$7:$D$740,"2. Campo",'2. Status Detalhe Campos FY24'!$Y$7:$Y$740,"*Plano anterior*")</f>
        <v>0</v>
      </c>
      <c r="V59" s="441">
        <f t="shared" si="4"/>
        <v>0</v>
      </c>
      <c r="X59" s="540"/>
      <c r="Y59" s="541"/>
      <c r="Z59" s="541"/>
      <c r="AA59" s="541"/>
      <c r="AB59" s="541"/>
      <c r="AC59" s="541"/>
      <c r="AD59" s="541"/>
      <c r="AE59" s="541"/>
      <c r="AF59" s="542"/>
      <c r="AG59" s="163"/>
      <c r="AH59" s="116"/>
    </row>
    <row r="60" spans="1:34" ht="17.899999999999999" customHeight="1">
      <c r="A60" s="116"/>
      <c r="B60" s="121"/>
      <c r="D60" s="546"/>
      <c r="E60" s="546"/>
      <c r="P60" s="371" t="s">
        <v>2354</v>
      </c>
      <c r="Q60" s="374"/>
      <c r="R60" s="374"/>
      <c r="S60" s="374"/>
      <c r="T60" s="442">
        <f>COUNTIFS('2. Status Detalhe Campos FY24'!$H$7:$H$740,'1. Status Resumo FY24'!$P59,'2. Status Detalhe Campos FY24'!$C$7:$C$740,'1. Status Resumo FY24'!$G$42,'2. Status Detalhe Campos FY24'!$D$7:$D$740,"2. Campo",'2. Status Detalhe Campos FY24'!$Y$7:$Y$740,"*Novo Plano*")
+COUNTIFS('2. Status Detalhe Campos FY24'!$H$7:$H$740,'1. Status Resumo FY24'!$P59,'2. Status Detalhe Campos FY24'!$C$7:$C$740,'1. Status Resumo FY24'!$H$42,'2. Status Detalhe Campos FY24'!$D$7:$D$740,"2. Campo",'2. Status Detalhe Campos FY24'!$Y$7:$Y$740,"*Novo Plano*")</f>
        <v>0</v>
      </c>
      <c r="U60" s="442">
        <f>COUNTIFS('2. Status Detalhe Campos FY24'!$G$7:$G$740,'1. Status Resumo FY24'!$P58,'2. Status Detalhe Campos FY24'!$C$7:$C$740,'1. Status Resumo FY24'!$G$42,'2. Status Detalhe Campos FY24'!$D$7:$D$740,"2. Campo",'2. Status Detalhe Campos FY24'!$Y$7:$Y$740,"*Novo Plano*")
+COUNTIFS('2. Status Detalhe Campos FY24'!$G$7:$G$740,'1. Status Resumo FY24'!$P58,'2. Status Detalhe Campos FY24'!$C$7:$C$740,'1. Status Resumo FY24'!$H$42,'2. Status Detalhe Campos FY24'!$D$7:$D$740,"2. Campo",'2. Status Detalhe Campos FY24'!$Y$7:$Y$740,"*Novo Plano*")</f>
        <v>0</v>
      </c>
      <c r="V60" s="442">
        <f t="shared" si="4"/>
        <v>0</v>
      </c>
      <c r="X60" s="540"/>
      <c r="Y60" s="541"/>
      <c r="Z60" s="541"/>
      <c r="AA60" s="541"/>
      <c r="AB60" s="541"/>
      <c r="AC60" s="541"/>
      <c r="AD60" s="541"/>
      <c r="AE60" s="541"/>
      <c r="AF60" s="542"/>
      <c r="AG60" s="163"/>
      <c r="AH60" s="116"/>
    </row>
    <row r="61" spans="1:34" ht="17.899999999999999" customHeight="1">
      <c r="A61" s="116"/>
      <c r="B61" s="121"/>
      <c r="D61" s="546"/>
      <c r="E61" s="546"/>
      <c r="P61" s="369" t="s">
        <v>614</v>
      </c>
      <c r="Q61" s="369"/>
      <c r="R61" s="369"/>
      <c r="S61" s="369"/>
      <c r="T61" s="369">
        <f>COUNTIFS('2. Status Detalhe Campos FY24'!$H$7:$H$740,'1. Status Resumo FY24'!$P61,'2. Status Detalhe Campos FY24'!$C$7:$C$740,'1. Status Resumo FY24'!$G$42,'2. Status Detalhe Campos FY24'!$D$7:$D$740,"2. Campo")+COUNTIFS('2. Status Detalhe Campos FY24'!$H$7:$H$740,'1. Status Resumo FY24'!$P61,'2. Status Detalhe Campos FY24'!$C$7:$C$740,'1. Status Resumo FY24'!$H$42,'2. Status Detalhe Campos FY24'!$D$7:$D$740,"2. Campo")</f>
        <v>1</v>
      </c>
      <c r="U61" s="369">
        <f>COUNTIFS('2. Status Detalhe Campos FY24'!$G$7:$G$740,'1. Status Resumo FY24'!$P61,'2. Status Detalhe Campos FY24'!$C$7:$C$740,'1. Status Resumo FY24'!$G$42,'2. Status Detalhe Campos FY24'!$D$7:$D$740,"2. Campo")+COUNTIFS('2. Status Detalhe Campos FY24'!$G$7:$G$740,'1. Status Resumo FY24'!$P61,'2. Status Detalhe Campos FY24'!$C$7:$C$740,'1. Status Resumo FY24'!$H$42,'2. Status Detalhe Campos FY24'!$D$7:$D$740,"2. Campo")</f>
        <v>0</v>
      </c>
      <c r="V61" s="369">
        <f t="shared" si="4"/>
        <v>-1</v>
      </c>
      <c r="X61" s="540"/>
      <c r="Y61" s="541"/>
      <c r="Z61" s="541"/>
      <c r="AA61" s="541"/>
      <c r="AB61" s="541"/>
      <c r="AC61" s="541"/>
      <c r="AD61" s="541"/>
      <c r="AE61" s="541"/>
      <c r="AF61" s="542"/>
      <c r="AG61" s="163"/>
      <c r="AH61" s="116"/>
    </row>
    <row r="62" spans="1:34" ht="17.899999999999999" customHeight="1">
      <c r="A62" s="116"/>
      <c r="B62" s="121"/>
      <c r="D62" s="367"/>
      <c r="E62" s="367"/>
      <c r="P62" s="371" t="s">
        <v>2355</v>
      </c>
      <c r="Q62" s="372"/>
      <c r="R62" s="372"/>
      <c r="S62" s="372"/>
      <c r="T62" s="441">
        <f>COUNTIFS('2. Status Detalhe Campos FY24'!$H$7:$H$740,'1. Status Resumo FY24'!$P61,'2. Status Detalhe Campos FY24'!$C$7:$C$740,'1. Status Resumo FY24'!$G$42,'2. Status Detalhe Campos FY24'!$D$7:$D$740,"2. Campo",'2. Status Detalhe Campos FY24'!$Y$7:$Y$740,"*Plano anterior*")
+COUNTIFS('2. Status Detalhe Campos FY24'!$H$7:$H$740,'1. Status Resumo FY24'!$P61,'2. Status Detalhe Campos FY24'!$C$7:$C$740,'1. Status Resumo FY24'!$H$42,'2. Status Detalhe Campos FY24'!$D$7:$D$740,"2. Campo",'2. Status Detalhe Campos FY24'!$Y$7:$Y$740,"*Plano anterior*")</f>
        <v>1</v>
      </c>
      <c r="U62" s="441">
        <f>COUNTIFS('2. Status Detalhe Campos FY24'!$G$7:$G$740,'1. Status Resumo FY24'!$P61,'2. Status Detalhe Campos FY24'!$C$7:$C$740,'1. Status Resumo FY24'!$G$42,'2. Status Detalhe Campos FY24'!$D$7:$D$740,"2. Campo",'2. Status Detalhe Campos FY24'!$Y$7:$Y$740,"*Plano anterior*")
+COUNTIFS('2. Status Detalhe Campos FY24'!$G$7:$G$740,'1. Status Resumo FY24'!$P61,'2. Status Detalhe Campos FY24'!$C$7:$C$740,'1. Status Resumo FY24'!$H$42,'2. Status Detalhe Campos FY24'!$D$7:$D$740,"2. Campo",'2. Status Detalhe Campos FY24'!$Y$7:$Y$740,"*Plano anterior*")</f>
        <v>0</v>
      </c>
      <c r="V62" s="441">
        <f t="shared" si="4"/>
        <v>-1</v>
      </c>
      <c r="X62" s="540"/>
      <c r="Y62" s="541"/>
      <c r="Z62" s="541"/>
      <c r="AA62" s="541"/>
      <c r="AB62" s="541"/>
      <c r="AC62" s="541"/>
      <c r="AD62" s="541"/>
      <c r="AE62" s="541"/>
      <c r="AF62" s="542"/>
      <c r="AG62" s="163"/>
      <c r="AH62" s="116"/>
    </row>
    <row r="63" spans="1:34" ht="17.899999999999999" customHeight="1">
      <c r="A63" s="116"/>
      <c r="B63" s="121"/>
      <c r="D63" s="367"/>
      <c r="E63" s="367"/>
      <c r="P63" s="371" t="s">
        <v>2354</v>
      </c>
      <c r="Q63" s="374"/>
      <c r="R63" s="374"/>
      <c r="S63" s="374"/>
      <c r="T63" s="442">
        <f>COUNTIFS('2. Status Detalhe Campos FY24'!$H$7:$H$740,'1. Status Resumo FY24'!$P62,'2. Status Detalhe Campos FY24'!$C$7:$C$740,'1. Status Resumo FY24'!$G$42,'2. Status Detalhe Campos FY24'!$D$7:$D$740,"2. Campo",'2. Status Detalhe Campos FY24'!$Y$7:$Y$740,"*Novo Plano*")
+COUNTIFS('2. Status Detalhe Campos FY24'!$H$7:$H$740,'1. Status Resumo FY24'!$P62,'2. Status Detalhe Campos FY24'!$C$7:$C$740,'1. Status Resumo FY24'!$H$42,'2. Status Detalhe Campos FY24'!$D$7:$D$740,"2. Campo",'2. Status Detalhe Campos FY24'!$Y$7:$Y$740,"*Novo Plano*")</f>
        <v>0</v>
      </c>
      <c r="U63" s="442">
        <f>COUNTIFS('2. Status Detalhe Campos FY24'!$G$7:$G$740,'1. Status Resumo FY24'!$P61,'2. Status Detalhe Campos FY24'!$C$7:$C$740,'1. Status Resumo FY24'!$G$42,'2. Status Detalhe Campos FY24'!$D$7:$D$740,"2. Campo",'2. Status Detalhe Campos FY24'!$Y$7:$Y$740,"*Novo Plano*")
+COUNTIFS('2. Status Detalhe Campos FY24'!$G$7:$G$740,'1. Status Resumo FY24'!$P61,'2. Status Detalhe Campos FY24'!$C$7:$C$740,'1. Status Resumo FY24'!$H$42,'2. Status Detalhe Campos FY24'!$D$7:$D$740,"2. Campo",'2. Status Detalhe Campos FY24'!$Y$7:$Y$740,"*Novo Plano*")</f>
        <v>0</v>
      </c>
      <c r="V63" s="442">
        <f t="shared" si="4"/>
        <v>0</v>
      </c>
      <c r="X63" s="540"/>
      <c r="Y63" s="541"/>
      <c r="Z63" s="541"/>
      <c r="AA63" s="541"/>
      <c r="AB63" s="541"/>
      <c r="AC63" s="541"/>
      <c r="AD63" s="541"/>
      <c r="AE63" s="541"/>
      <c r="AF63" s="542"/>
      <c r="AG63" s="163"/>
      <c r="AH63" s="116"/>
    </row>
    <row r="64" spans="1:34">
      <c r="A64" s="116"/>
      <c r="B64" s="121"/>
      <c r="P64" s="369" t="s">
        <v>615</v>
      </c>
      <c r="Q64" s="369"/>
      <c r="R64" s="369" t="s">
        <v>616</v>
      </c>
      <c r="S64" s="369"/>
      <c r="T64" s="369">
        <f>COUNTIFS('2. Status Detalhe Campos FY24'!$H$7:$H$740,'1. Status Resumo FY24'!$P64,'2. Status Detalhe Campos FY24'!$C$7:$C$740,'1. Status Resumo FY24'!$G$42,'2. Status Detalhe Campos FY24'!$D$7:$D$740,"2. Campo")+COUNTIFS('2. Status Detalhe Campos FY24'!$H$7:$H$740,'1. Status Resumo FY24'!$P64,'2. Status Detalhe Campos FY24'!$C$7:$C$740,'1. Status Resumo FY24'!$H$42,'2. Status Detalhe Campos FY24'!$D$7:$D$740,"2. Campo")</f>
        <v>0</v>
      </c>
      <c r="U64" s="369">
        <f>COUNTIFS('2. Status Detalhe Campos FY24'!$G$7:$G$740,'1. Status Resumo FY24'!$P64,'2. Status Detalhe Campos FY24'!$C$7:$C$740,'1. Status Resumo FY24'!$G$42,'2. Status Detalhe Campos FY24'!$D$7:$D$740,"2. Campo")+COUNTIFS('2. Status Detalhe Campos FY24'!$G$7:$G$740,'1. Status Resumo FY24'!$P64,'2. Status Detalhe Campos FY24'!$C$7:$C$740,'1. Status Resumo FY24'!$H$42,'2. Status Detalhe Campos FY24'!$D$7:$D$740,"2. Campo")</f>
        <v>0</v>
      </c>
      <c r="V64" s="369">
        <f t="shared" si="4"/>
        <v>0</v>
      </c>
      <c r="X64" s="540"/>
      <c r="Y64" s="541"/>
      <c r="Z64" s="541"/>
      <c r="AA64" s="541"/>
      <c r="AB64" s="541"/>
      <c r="AC64" s="541"/>
      <c r="AD64" s="541"/>
      <c r="AE64" s="541"/>
      <c r="AF64" s="542"/>
      <c r="AG64" s="163"/>
      <c r="AH64" s="116"/>
    </row>
    <row r="65" spans="1:34">
      <c r="A65" s="116"/>
      <c r="B65" s="121"/>
      <c r="P65" s="371" t="s">
        <v>2355</v>
      </c>
      <c r="Q65" s="372"/>
      <c r="R65" s="372"/>
      <c r="S65" s="372"/>
      <c r="T65" s="441">
        <f>COUNTIFS('2. Status Detalhe Campos FY24'!$H$7:$H$740,'1. Status Resumo FY24'!$P64,'2. Status Detalhe Campos FY24'!$C$7:$C$740,'1. Status Resumo FY24'!$G$42,'2. Status Detalhe Campos FY24'!$D$7:$D$740,"2. Campo",'2. Status Detalhe Campos FY24'!$Y$7:$Y$740,"*Plano anterior*")
+COUNTIFS('2. Status Detalhe Campos FY24'!$H$7:$H$740,'1. Status Resumo FY24'!$P64,'2. Status Detalhe Campos FY24'!$C$7:$C$740,'1. Status Resumo FY24'!$H$42,'2. Status Detalhe Campos FY24'!$D$7:$D$740,"2. Campo",'2. Status Detalhe Campos FY24'!$Y$7:$Y$740,"*Plano anterior*")</f>
        <v>0</v>
      </c>
      <c r="U65" s="441">
        <f>COUNTIFS('2. Status Detalhe Campos FY24'!$G$7:$G$740,'1. Status Resumo FY24'!$P64,'2. Status Detalhe Campos FY24'!$C$7:$C$740,'1. Status Resumo FY24'!$G$42,'2. Status Detalhe Campos FY24'!$D$7:$D$740,"2. Campo",'2. Status Detalhe Campos FY24'!$Y$7:$Y$740,"*Plano anterior*")
+COUNTIFS('2. Status Detalhe Campos FY24'!$G$7:$G$740,'1. Status Resumo FY24'!$P64,'2. Status Detalhe Campos FY24'!$C$7:$C$740,'1. Status Resumo FY24'!$H$42,'2. Status Detalhe Campos FY24'!$D$7:$D$740,"2. Campo",'2. Status Detalhe Campos FY24'!$Y$7:$Y$740,"*Plano anterior*")</f>
        <v>0</v>
      </c>
      <c r="V65" s="441">
        <f t="shared" si="4"/>
        <v>0</v>
      </c>
      <c r="X65" s="540"/>
      <c r="Y65" s="541"/>
      <c r="Z65" s="541"/>
      <c r="AA65" s="541"/>
      <c r="AB65" s="541"/>
      <c r="AC65" s="541"/>
      <c r="AD65" s="541"/>
      <c r="AE65" s="541"/>
      <c r="AF65" s="542"/>
      <c r="AG65" s="163"/>
      <c r="AH65" s="116"/>
    </row>
    <row r="66" spans="1:34">
      <c r="A66" s="116"/>
      <c r="B66" s="121"/>
      <c r="P66" s="371" t="s">
        <v>2354</v>
      </c>
      <c r="Q66" s="374"/>
      <c r="R66" s="374"/>
      <c r="S66" s="374"/>
      <c r="T66" s="442">
        <f>COUNTIFS('2. Status Detalhe Campos FY24'!$H$7:$H$740,'1. Status Resumo FY24'!$P65,'2. Status Detalhe Campos FY24'!$C$7:$C$740,'1. Status Resumo FY24'!$G$42,'2. Status Detalhe Campos FY24'!$D$7:$D$740,"2. Campo",'2. Status Detalhe Campos FY24'!$Y$7:$Y$740,"*Novo Plano*")
+COUNTIFS('2. Status Detalhe Campos FY24'!$H$7:$H$740,'1. Status Resumo FY24'!$P65,'2. Status Detalhe Campos FY24'!$C$7:$C$740,'1. Status Resumo FY24'!$H$42,'2. Status Detalhe Campos FY24'!$D$7:$D$740,"2. Campo",'2. Status Detalhe Campos FY24'!$Y$7:$Y$740,"*Novo Plano*")</f>
        <v>0</v>
      </c>
      <c r="U66" s="442">
        <f>COUNTIFS('2. Status Detalhe Campos FY24'!$G$7:$G$740,'1. Status Resumo FY24'!$P64,'2. Status Detalhe Campos FY24'!$C$7:$C$740,'1. Status Resumo FY24'!$G$42,'2. Status Detalhe Campos FY24'!$D$7:$D$740,"2. Campo",'2. Status Detalhe Campos FY24'!$Y$7:$Y$740,"*Novo Plano*")
+COUNTIFS('2. Status Detalhe Campos FY24'!$G$7:$G$740,'1. Status Resumo FY24'!$P64,'2. Status Detalhe Campos FY24'!$C$7:$C$740,'1. Status Resumo FY24'!$H$42,'2. Status Detalhe Campos FY24'!$D$7:$D$740,"2. Campo",'2. Status Detalhe Campos FY24'!$Y$7:$Y$740,"*Novo Plano*")</f>
        <v>0</v>
      </c>
      <c r="V66" s="442">
        <f t="shared" si="4"/>
        <v>0</v>
      </c>
      <c r="X66" s="540"/>
      <c r="Y66" s="541"/>
      <c r="Z66" s="541"/>
      <c r="AA66" s="541"/>
      <c r="AB66" s="541"/>
      <c r="AC66" s="541"/>
      <c r="AD66" s="541"/>
      <c r="AE66" s="541"/>
      <c r="AF66" s="542"/>
      <c r="AG66" s="163"/>
      <c r="AH66" s="116"/>
    </row>
    <row r="67" spans="1:34">
      <c r="A67" s="116"/>
      <c r="B67" s="121"/>
      <c r="P67" s="369" t="s">
        <v>2319</v>
      </c>
      <c r="Q67" s="369"/>
      <c r="R67" s="369"/>
      <c r="S67" s="369"/>
      <c r="T67" s="369">
        <f>COUNTIFS('2. Status Detalhe Campos FY24'!$H$7:$H$740,'1. Status Resumo FY24'!$P67,'2. Status Detalhe Campos FY24'!$C$7:$C$740,'1. Status Resumo FY24'!$G$42,'2. Status Detalhe Campos FY24'!$D$7:$D$740,"2. Campo")+COUNTIFS('2. Status Detalhe Campos FY24'!$H$7:$H$740,'1. Status Resumo FY24'!$P67,'2. Status Detalhe Campos FY24'!$C$7:$C$740,'1. Status Resumo FY24'!$H$42,'2. Status Detalhe Campos FY24'!$D$7:$D$740,"2. Campo")</f>
        <v>0</v>
      </c>
      <c r="U67" s="369">
        <f>COUNTIFS('2. Status Detalhe Campos FY24'!$G$7:$G$740,'1. Status Resumo FY24'!$P67,'2. Status Detalhe Campos FY24'!$C$7:$C$740,'1. Status Resumo FY24'!$G$42,'2. Status Detalhe Campos FY24'!$D$7:$D$740,"2. Campo")+COUNTIFS('2. Status Detalhe Campos FY24'!$G$7:$G$740,'1. Status Resumo FY24'!$P67,'2. Status Detalhe Campos FY24'!$C$7:$C$740,'1. Status Resumo FY24'!$H$42,'2. Status Detalhe Campos FY24'!$D$7:$D$740,"2. Campo")</f>
        <v>0</v>
      </c>
      <c r="V67" s="369">
        <f t="shared" si="4"/>
        <v>0</v>
      </c>
      <c r="X67" s="540"/>
      <c r="Y67" s="541"/>
      <c r="Z67" s="541"/>
      <c r="AA67" s="541"/>
      <c r="AB67" s="541"/>
      <c r="AC67" s="541"/>
      <c r="AD67" s="541"/>
      <c r="AE67" s="541"/>
      <c r="AF67" s="542"/>
      <c r="AG67" s="163"/>
      <c r="AH67" s="116"/>
    </row>
    <row r="68" spans="1:34">
      <c r="A68" s="116"/>
      <c r="B68" s="121"/>
      <c r="P68" s="371" t="s">
        <v>2355</v>
      </c>
      <c r="Q68" s="372"/>
      <c r="R68" s="372"/>
      <c r="S68" s="372"/>
      <c r="T68" s="441">
        <f>COUNTIFS('2. Status Detalhe Campos FY24'!$H$7:$H$740,'1. Status Resumo FY24'!$P67,'2. Status Detalhe Campos FY24'!$C$7:$C$740,'1. Status Resumo FY24'!$G$42,'2. Status Detalhe Campos FY24'!$D$7:$D$740,"2. Campo",'2. Status Detalhe Campos FY24'!$Y$7:$Y$740,"*Plano anterior*")
+COUNTIFS('2. Status Detalhe Campos FY24'!$H$7:$H$740,'1. Status Resumo FY24'!$P67,'2. Status Detalhe Campos FY24'!$C$7:$C$740,'1. Status Resumo FY24'!$H$42,'2. Status Detalhe Campos FY24'!$D$7:$D$740,"2. Campo",'2. Status Detalhe Campos FY24'!$Y$7:$Y$740,"*Plano anterior*")</f>
        <v>0</v>
      </c>
      <c r="U68" s="441">
        <f>COUNTIFS('2. Status Detalhe Campos FY24'!$G$7:$G$740,'1. Status Resumo FY24'!$P67,'2. Status Detalhe Campos FY24'!$C$7:$C$740,'1. Status Resumo FY24'!$G$42,'2. Status Detalhe Campos FY24'!$D$7:$D$740,"2. Campo",'2. Status Detalhe Campos FY24'!$Y$7:$Y$740,"*Plano anterior*")
+COUNTIFS('2. Status Detalhe Campos FY24'!$G$7:$G$740,'1. Status Resumo FY24'!$P67,'2. Status Detalhe Campos FY24'!$C$7:$C$740,'1. Status Resumo FY24'!$H$42,'2. Status Detalhe Campos FY24'!$D$7:$D$740,"2. Campo",'2. Status Detalhe Campos FY24'!$Y$7:$Y$740,"*Plano anterior*")</f>
        <v>0</v>
      </c>
      <c r="V68" s="441">
        <f t="shared" si="4"/>
        <v>0</v>
      </c>
      <c r="X68" s="540"/>
      <c r="Y68" s="541"/>
      <c r="Z68" s="541"/>
      <c r="AA68" s="541"/>
      <c r="AB68" s="541"/>
      <c r="AC68" s="541"/>
      <c r="AD68" s="541"/>
      <c r="AE68" s="541"/>
      <c r="AF68" s="542"/>
      <c r="AG68" s="163"/>
      <c r="AH68" s="116"/>
    </row>
    <row r="69" spans="1:34">
      <c r="A69" s="116"/>
      <c r="B69" s="121"/>
      <c r="P69" s="371" t="s">
        <v>2354</v>
      </c>
      <c r="Q69" s="374"/>
      <c r="R69" s="374"/>
      <c r="S69" s="374"/>
      <c r="T69" s="442">
        <f>COUNTIFS('2. Status Detalhe Campos FY24'!$H$7:$H$740,'1. Status Resumo FY24'!$P68,'2. Status Detalhe Campos FY24'!$C$7:$C$740,'1. Status Resumo FY24'!$G$42,'2. Status Detalhe Campos FY24'!$D$7:$D$740,"2. Campo",'2. Status Detalhe Campos FY24'!$Y$7:$Y$740,"*Novo Plano*")
+COUNTIFS('2. Status Detalhe Campos FY24'!$H$7:$H$740,'1. Status Resumo FY24'!$P68,'2. Status Detalhe Campos FY24'!$C$7:$C$740,'1. Status Resumo FY24'!$H$42,'2. Status Detalhe Campos FY24'!$D$7:$D$740,"2. Campo",'2. Status Detalhe Campos FY24'!$Y$7:$Y$740,"*Novo Plano*")</f>
        <v>0</v>
      </c>
      <c r="U69" s="442">
        <f>COUNTIFS('2. Status Detalhe Campos FY24'!$G$7:$G$740,'1. Status Resumo FY24'!$P67,'2. Status Detalhe Campos FY24'!$C$7:$C$740,'1. Status Resumo FY24'!$G$42,'2. Status Detalhe Campos FY24'!$D$7:$D$740,"2. Campo",'2. Status Detalhe Campos FY24'!$Y$7:$Y$740,"*Novo Plano*")
+COUNTIFS('2. Status Detalhe Campos FY24'!$G$7:$G$740,'1. Status Resumo FY24'!$P67,'2. Status Detalhe Campos FY24'!$C$7:$C$740,'1. Status Resumo FY24'!$H$42,'2. Status Detalhe Campos FY24'!$D$7:$D$740,"2. Campo",'2. Status Detalhe Campos FY24'!$Y$7:$Y$740,"*Novo Plano*")</f>
        <v>0</v>
      </c>
      <c r="V69" s="442">
        <f t="shared" si="4"/>
        <v>0</v>
      </c>
      <c r="X69" s="540"/>
      <c r="Y69" s="541"/>
      <c r="Z69" s="541"/>
      <c r="AA69" s="541"/>
      <c r="AB69" s="541"/>
      <c r="AC69" s="541"/>
      <c r="AD69" s="541"/>
      <c r="AE69" s="541"/>
      <c r="AF69" s="542"/>
      <c r="AG69" s="163"/>
      <c r="AH69" s="116"/>
    </row>
    <row r="70" spans="1:34">
      <c r="A70" s="116"/>
      <c r="B70" s="121"/>
      <c r="P70" s="369" t="s">
        <v>28</v>
      </c>
      <c r="Q70" s="369"/>
      <c r="R70" s="369"/>
      <c r="S70" s="369"/>
      <c r="T70" s="369">
        <f>COUNTIFS('2. Status Detalhe Campos FY24'!$H$7:$H$740,'1. Status Resumo FY24'!$P70,'2. Status Detalhe Campos FY24'!$C$7:$C$740,'1. Status Resumo FY24'!$G$42,'2. Status Detalhe Campos FY24'!$D$7:$D$740,"2. Campo")+COUNTIFS('2. Status Detalhe Campos FY24'!$H$7:$H$740,'1. Status Resumo FY24'!$P70,'2. Status Detalhe Campos FY24'!$C$7:$C$740,'1. Status Resumo FY24'!$H$42,'2. Status Detalhe Campos FY24'!$D$7:$D$740,"2. Campo")</f>
        <v>0</v>
      </c>
      <c r="U70" s="369">
        <f>COUNTIFS('2. Status Detalhe Campos FY24'!$G$7:$G$740,'1. Status Resumo FY24'!$P70,'2. Status Detalhe Campos FY24'!$C$7:$C$740,'1. Status Resumo FY24'!$G$42,'2. Status Detalhe Campos FY24'!$D$7:$D$740,"2. Campo")+COUNTIFS('2. Status Detalhe Campos FY24'!$G$7:$G$740,'1. Status Resumo FY24'!$P70,'2. Status Detalhe Campos FY24'!$C$7:$C$740,'1. Status Resumo FY24'!$H$42,'2. Status Detalhe Campos FY24'!$D$7:$D$740,"2. Campo")</f>
        <v>0</v>
      </c>
      <c r="V70" s="369">
        <f t="shared" si="4"/>
        <v>0</v>
      </c>
      <c r="X70" s="540"/>
      <c r="Y70" s="541"/>
      <c r="Z70" s="541"/>
      <c r="AA70" s="541"/>
      <c r="AB70" s="541"/>
      <c r="AC70" s="541"/>
      <c r="AD70" s="541"/>
      <c r="AE70" s="541"/>
      <c r="AF70" s="542"/>
      <c r="AG70" s="163"/>
      <c r="AH70" s="116"/>
    </row>
    <row r="71" spans="1:34">
      <c r="A71" s="116"/>
      <c r="B71" s="121"/>
      <c r="P71" s="371" t="s">
        <v>2355</v>
      </c>
      <c r="Q71" s="372"/>
      <c r="R71" s="372"/>
      <c r="S71" s="372"/>
      <c r="T71" s="441">
        <f>COUNTIFS('2. Status Detalhe Campos FY24'!$H$7:$H$740,'1. Status Resumo FY24'!$P70,'2. Status Detalhe Campos FY24'!$C$7:$C$740,'1. Status Resumo FY24'!$G$42,'2. Status Detalhe Campos FY24'!$D$7:$D$740,"2. Campo",'2. Status Detalhe Campos FY24'!$Y$7:$Y$740,"*Plano anterior*")
+COUNTIFS('2. Status Detalhe Campos FY24'!$H$7:$H$740,'1. Status Resumo FY24'!$P70,'2. Status Detalhe Campos FY24'!$C$7:$C$740,'1. Status Resumo FY24'!$H$42,'2. Status Detalhe Campos FY24'!$D$7:$D$740,"2. Campo",'2. Status Detalhe Campos FY24'!$Y$7:$Y$740,"*Plano anterior*")</f>
        <v>0</v>
      </c>
      <c r="U71" s="441">
        <f>COUNTIFS('2. Status Detalhe Campos FY24'!$G$7:$G$740,'1. Status Resumo FY24'!$P70,'2. Status Detalhe Campos FY24'!$C$7:$C$740,'1. Status Resumo FY24'!$G$42,'2. Status Detalhe Campos FY24'!$D$7:$D$740,"2. Campo",'2. Status Detalhe Campos FY24'!$Y$7:$Y$740,"*Plano anterior*")
+COUNTIFS('2. Status Detalhe Campos FY24'!$G$7:$G$740,'1. Status Resumo FY24'!$P70,'2. Status Detalhe Campos FY24'!$C$7:$C$740,'1. Status Resumo FY24'!$H$42,'2. Status Detalhe Campos FY24'!$D$7:$D$740,"2. Campo",'2. Status Detalhe Campos FY24'!$Y$7:$Y$740,"*Plano anterior*")</f>
        <v>0</v>
      </c>
      <c r="V71" s="441">
        <f t="shared" si="4"/>
        <v>0</v>
      </c>
      <c r="X71" s="540"/>
      <c r="Y71" s="541"/>
      <c r="Z71" s="541"/>
      <c r="AA71" s="541"/>
      <c r="AB71" s="541"/>
      <c r="AC71" s="541"/>
      <c r="AD71" s="541"/>
      <c r="AE71" s="541"/>
      <c r="AF71" s="542"/>
      <c r="AG71" s="163"/>
      <c r="AH71" s="116"/>
    </row>
    <row r="72" spans="1:34">
      <c r="A72" s="116"/>
      <c r="B72" s="121"/>
      <c r="P72" s="375" t="s">
        <v>2354</v>
      </c>
      <c r="Q72" s="376"/>
      <c r="R72" s="376"/>
      <c r="S72" s="376"/>
      <c r="T72" s="443">
        <f>COUNTIFS('2. Status Detalhe Campos FY24'!$H$7:$H$740,'1. Status Resumo FY24'!$P71,'2. Status Detalhe Campos FY24'!$C$7:$C$740,'1. Status Resumo FY24'!$G$42,'2. Status Detalhe Campos FY24'!$D$7:$D$740,"2. Campo",'2. Status Detalhe Campos FY24'!$Y$7:$Y$740,"*Novo Plano*")
+COUNTIFS('2. Status Detalhe Campos FY24'!$H$7:$H$740,'1. Status Resumo FY24'!$P71,'2. Status Detalhe Campos FY24'!$C$7:$C$740,'1. Status Resumo FY24'!$H$42,'2. Status Detalhe Campos FY24'!$D$7:$D$740,"2. Campo",'2. Status Detalhe Campos FY24'!$Y$7:$Y$740,"*Novo Plano*")</f>
        <v>0</v>
      </c>
      <c r="U72" s="443">
        <f>COUNTIFS('2. Status Detalhe Campos FY24'!$G$7:$G$740,'1. Status Resumo FY24'!$P70,'2. Status Detalhe Campos FY24'!$C$7:$C$740,'1. Status Resumo FY24'!$G$42,'2. Status Detalhe Campos FY24'!$D$7:$D$740,"2. Campo",'2. Status Detalhe Campos FY24'!$Y$7:$Y$740,"*Novo Plano*")
+COUNTIFS('2. Status Detalhe Campos FY24'!$G$7:$G$740,'1. Status Resumo FY24'!$P70,'2. Status Detalhe Campos FY24'!$C$7:$C$740,'1. Status Resumo FY24'!$H$42,'2. Status Detalhe Campos FY24'!$D$7:$D$740,"2. Campo",'2. Status Detalhe Campos FY24'!$Y$7:$Y$740,"*Novo Plano*")</f>
        <v>0</v>
      </c>
      <c r="V72" s="443">
        <f t="shared" si="4"/>
        <v>0</v>
      </c>
      <c r="X72" s="540"/>
      <c r="Y72" s="541"/>
      <c r="Z72" s="541"/>
      <c r="AA72" s="541"/>
      <c r="AB72" s="541"/>
      <c r="AC72" s="541"/>
      <c r="AD72" s="541"/>
      <c r="AE72" s="541"/>
      <c r="AF72" s="542"/>
      <c r="AG72" s="163"/>
      <c r="AH72" s="116"/>
    </row>
    <row r="73" spans="1:34">
      <c r="A73" s="116"/>
      <c r="B73" s="121"/>
      <c r="P73" s="127" t="s">
        <v>2325</v>
      </c>
      <c r="T73" s="127">
        <f>+SUM(T46,T49,T52,T58,T61,T64,T67,T70,T55)</f>
        <v>208</v>
      </c>
      <c r="U73" s="127">
        <f>+SUM(U46,U49,U52,U58,U61,U64,U67,U70,U55)</f>
        <v>208</v>
      </c>
      <c r="V73" s="127">
        <f>+U73-T73</f>
        <v>0</v>
      </c>
      <c r="X73" s="540"/>
      <c r="Y73" s="541"/>
      <c r="Z73" s="541"/>
      <c r="AA73" s="541"/>
      <c r="AB73" s="541"/>
      <c r="AC73" s="541"/>
      <c r="AD73" s="541"/>
      <c r="AE73" s="541"/>
      <c r="AF73" s="542"/>
      <c r="AG73" s="163"/>
      <c r="AH73" s="116"/>
    </row>
    <row r="74" spans="1:34">
      <c r="A74" s="116"/>
      <c r="B74" s="121"/>
      <c r="P74" s="377" t="s">
        <v>2355</v>
      </c>
      <c r="T74" s="444">
        <f>+SUM(T47,T50,T53,T56,T59,T62,T65,T68,T71)</f>
        <v>208</v>
      </c>
      <c r="U74" s="444">
        <f>+SUM(U47,U50,U53,U56,U59,U62,U65,U68,U71)</f>
        <v>208</v>
      </c>
      <c r="V74" s="444">
        <f>+U74-T74</f>
        <v>0</v>
      </c>
      <c r="X74" s="540"/>
      <c r="Y74" s="541"/>
      <c r="Z74" s="541"/>
      <c r="AA74" s="541"/>
      <c r="AB74" s="541"/>
      <c r="AC74" s="541"/>
      <c r="AD74" s="541"/>
      <c r="AE74" s="541"/>
      <c r="AF74" s="542"/>
      <c r="AG74" s="163"/>
      <c r="AH74" s="116"/>
    </row>
    <row r="75" spans="1:34">
      <c r="A75" s="116"/>
      <c r="B75" s="121"/>
      <c r="P75" s="378" t="s">
        <v>2354</v>
      </c>
      <c r="Q75" s="130"/>
      <c r="R75" s="130"/>
      <c r="S75" s="130"/>
      <c r="T75" s="445">
        <f>+SUM(T48,T51,T54,T57,T60,T63,T66,T69,T72)</f>
        <v>0</v>
      </c>
      <c r="U75" s="445">
        <f>+SUM(U48,U51,U54,U57,U60,U63,U66,U69,U72)</f>
        <v>0</v>
      </c>
      <c r="V75" s="445">
        <f>+U75-T75</f>
        <v>0</v>
      </c>
      <c r="X75" s="540"/>
      <c r="Y75" s="541"/>
      <c r="Z75" s="541"/>
      <c r="AA75" s="541"/>
      <c r="AB75" s="541"/>
      <c r="AC75" s="541"/>
      <c r="AD75" s="541"/>
      <c r="AE75" s="541"/>
      <c r="AF75" s="542"/>
      <c r="AG75" s="163"/>
      <c r="AH75" s="116"/>
    </row>
    <row r="76" spans="1:34">
      <c r="A76" s="116"/>
      <c r="B76" s="121"/>
      <c r="T76" s="127"/>
      <c r="U76" s="127"/>
      <c r="X76" s="540"/>
      <c r="Y76" s="541"/>
      <c r="Z76" s="541"/>
      <c r="AA76" s="541"/>
      <c r="AB76" s="541"/>
      <c r="AC76" s="541"/>
      <c r="AD76" s="541"/>
      <c r="AE76" s="541"/>
      <c r="AF76" s="542"/>
      <c r="AG76" s="163"/>
      <c r="AH76" s="116"/>
    </row>
    <row r="77" spans="1:34">
      <c r="A77" s="116"/>
      <c r="B77" s="121"/>
      <c r="G77" s="129" t="s">
        <v>617</v>
      </c>
      <c r="H77" s="130"/>
      <c r="I77" s="130"/>
      <c r="J77" s="130"/>
      <c r="K77" s="130"/>
      <c r="L77" s="130"/>
      <c r="M77" s="130"/>
      <c r="P77" s="129" t="s">
        <v>618</v>
      </c>
      <c r="Q77" s="130"/>
      <c r="R77" s="130"/>
      <c r="S77" s="130"/>
      <c r="T77" s="130"/>
      <c r="U77" s="130"/>
      <c r="V77" s="130"/>
      <c r="X77" s="540"/>
      <c r="Y77" s="541"/>
      <c r="Z77" s="541"/>
      <c r="AA77" s="541"/>
      <c r="AB77" s="541"/>
      <c r="AC77" s="541"/>
      <c r="AD77" s="541"/>
      <c r="AE77" s="541"/>
      <c r="AF77" s="542"/>
      <c r="AG77" s="163"/>
      <c r="AH77" s="116"/>
    </row>
    <row r="78" spans="1:34">
      <c r="A78" s="116"/>
      <c r="B78" s="121"/>
      <c r="F78" s="159" t="s">
        <v>619</v>
      </c>
      <c r="G78" s="25" t="s">
        <v>620</v>
      </c>
      <c r="L78" s="161" t="s">
        <v>621</v>
      </c>
      <c r="O78" s="159" t="s">
        <v>619</v>
      </c>
      <c r="P78" s="25" t="s">
        <v>622</v>
      </c>
      <c r="T78" s="161" t="s">
        <v>621</v>
      </c>
      <c r="X78" s="540"/>
      <c r="Y78" s="541"/>
      <c r="Z78" s="541"/>
      <c r="AA78" s="541"/>
      <c r="AB78" s="541"/>
      <c r="AC78" s="541"/>
      <c r="AD78" s="541"/>
      <c r="AE78" s="541"/>
      <c r="AF78" s="542"/>
      <c r="AG78" s="163"/>
      <c r="AH78" s="116"/>
    </row>
    <row r="79" spans="1:34">
      <c r="A79" s="116"/>
      <c r="B79" s="121"/>
      <c r="F79" s="159" t="s">
        <v>619</v>
      </c>
      <c r="G79" s="25" t="s">
        <v>623</v>
      </c>
      <c r="L79" s="161" t="s">
        <v>621</v>
      </c>
      <c r="O79" s="159" t="s">
        <v>619</v>
      </c>
      <c r="P79" s="25" t="s">
        <v>624</v>
      </c>
      <c r="T79" s="161" t="s">
        <v>621</v>
      </c>
      <c r="X79" s="540"/>
      <c r="Y79" s="541"/>
      <c r="Z79" s="541"/>
      <c r="AA79" s="541"/>
      <c r="AB79" s="541"/>
      <c r="AC79" s="541"/>
      <c r="AD79" s="541"/>
      <c r="AE79" s="541"/>
      <c r="AF79" s="542"/>
      <c r="AG79" s="163"/>
      <c r="AH79" s="116"/>
    </row>
    <row r="80" spans="1:34">
      <c r="A80" s="116"/>
      <c r="B80" s="121"/>
      <c r="F80" s="159" t="s">
        <v>619</v>
      </c>
      <c r="G80" s="25" t="s">
        <v>625</v>
      </c>
      <c r="L80" s="161" t="s">
        <v>621</v>
      </c>
      <c r="O80" s="159" t="s">
        <v>619</v>
      </c>
      <c r="P80" s="25" t="s">
        <v>626</v>
      </c>
      <c r="T80" s="164" t="s">
        <v>627</v>
      </c>
      <c r="X80" s="540"/>
      <c r="Y80" s="541"/>
      <c r="Z80" s="541"/>
      <c r="AA80" s="541"/>
      <c r="AB80" s="541"/>
      <c r="AC80" s="541"/>
      <c r="AD80" s="541"/>
      <c r="AE80" s="541"/>
      <c r="AF80" s="542"/>
      <c r="AG80" s="163"/>
      <c r="AH80" s="116"/>
    </row>
    <row r="81" spans="1:34">
      <c r="A81" s="116"/>
      <c r="B81" s="121"/>
      <c r="F81" s="159" t="s">
        <v>619</v>
      </c>
      <c r="G81" s="25" t="s">
        <v>628</v>
      </c>
      <c r="L81" s="161" t="s">
        <v>621</v>
      </c>
      <c r="O81" s="159"/>
      <c r="T81" s="164"/>
      <c r="X81" s="540"/>
      <c r="Y81" s="541"/>
      <c r="Z81" s="541"/>
      <c r="AA81" s="541"/>
      <c r="AB81" s="541"/>
      <c r="AC81" s="541"/>
      <c r="AD81" s="541"/>
      <c r="AE81" s="541"/>
      <c r="AF81" s="542"/>
      <c r="AG81" s="163"/>
      <c r="AH81" s="116"/>
    </row>
    <row r="82" spans="1:34">
      <c r="A82" s="116"/>
      <c r="B82" s="121"/>
      <c r="F82" s="159" t="s">
        <v>619</v>
      </c>
      <c r="G82" s="25" t="s">
        <v>629</v>
      </c>
      <c r="L82" s="161" t="s">
        <v>621</v>
      </c>
      <c r="O82" s="159"/>
      <c r="T82" s="164"/>
      <c r="X82" s="540"/>
      <c r="Y82" s="541"/>
      <c r="Z82" s="541"/>
      <c r="AA82" s="541"/>
      <c r="AB82" s="541"/>
      <c r="AC82" s="541"/>
      <c r="AD82" s="541"/>
      <c r="AE82" s="541"/>
      <c r="AF82" s="542"/>
      <c r="AG82" s="163"/>
      <c r="AH82" s="116"/>
    </row>
    <row r="83" spans="1:34">
      <c r="A83" s="116"/>
      <c r="B83" s="121"/>
      <c r="F83" s="159" t="s">
        <v>619</v>
      </c>
      <c r="G83" s="25" t="s">
        <v>630</v>
      </c>
      <c r="L83" s="161" t="s">
        <v>621</v>
      </c>
      <c r="O83" s="159"/>
      <c r="T83" s="161"/>
      <c r="X83" s="540"/>
      <c r="Y83" s="541"/>
      <c r="Z83" s="541"/>
      <c r="AA83" s="541"/>
      <c r="AB83" s="541"/>
      <c r="AC83" s="541"/>
      <c r="AD83" s="541"/>
      <c r="AE83" s="541"/>
      <c r="AF83" s="542"/>
      <c r="AG83" s="163"/>
      <c r="AH83" s="116"/>
    </row>
    <row r="84" spans="1:34">
      <c r="A84" s="116"/>
      <c r="B84" s="121"/>
      <c r="O84" s="159"/>
      <c r="X84" s="543"/>
      <c r="Y84" s="544"/>
      <c r="Z84" s="544"/>
      <c r="AA84" s="544"/>
      <c r="AB84" s="544"/>
      <c r="AC84" s="544"/>
      <c r="AD84" s="544"/>
      <c r="AE84" s="544"/>
      <c r="AF84" s="545"/>
      <c r="AG84" s="163"/>
      <c r="AH84" s="116"/>
    </row>
    <row r="85" spans="1:34">
      <c r="A85" s="116"/>
      <c r="B85" s="123"/>
      <c r="C85" s="124"/>
      <c r="D85" s="124"/>
      <c r="E85" s="124"/>
      <c r="F85" s="124"/>
      <c r="G85" s="124"/>
      <c r="H85" s="124"/>
      <c r="I85" s="124"/>
      <c r="J85" s="124"/>
      <c r="K85" s="124"/>
      <c r="L85" s="124"/>
      <c r="M85" s="124"/>
      <c r="N85" s="124"/>
      <c r="O85" s="124"/>
      <c r="P85" s="124"/>
      <c r="Q85" s="124"/>
      <c r="R85" s="124"/>
      <c r="S85" s="124"/>
      <c r="T85" s="124"/>
      <c r="U85" s="124"/>
      <c r="V85" s="124"/>
      <c r="W85" s="124"/>
      <c r="X85" s="124"/>
      <c r="Y85" s="124"/>
      <c r="Z85" s="124"/>
      <c r="AA85" s="124"/>
      <c r="AB85" s="124"/>
      <c r="AC85" s="124"/>
      <c r="AD85" s="124"/>
      <c r="AE85" s="124"/>
      <c r="AF85" s="124"/>
      <c r="AG85" s="124"/>
      <c r="AH85" s="116"/>
    </row>
    <row r="86" spans="1:34">
      <c r="A86" s="116"/>
      <c r="B86" s="116"/>
      <c r="C86" s="116"/>
      <c r="D86" s="116"/>
      <c r="E86" s="116"/>
      <c r="F86" s="116"/>
      <c r="G86" s="116"/>
      <c r="H86" s="116"/>
      <c r="I86" s="116"/>
      <c r="J86" s="116"/>
      <c r="K86" s="116"/>
      <c r="L86" s="116"/>
      <c r="M86" s="116"/>
      <c r="N86" s="116"/>
      <c r="O86" s="116"/>
      <c r="P86" s="116"/>
      <c r="Q86" s="116"/>
      <c r="R86" s="116"/>
      <c r="S86" s="116"/>
      <c r="T86" s="116"/>
      <c r="U86" s="116"/>
      <c r="V86" s="116"/>
      <c r="W86" s="116"/>
      <c r="X86" s="116"/>
      <c r="Y86" s="116"/>
      <c r="Z86" s="116"/>
      <c r="AA86" s="116"/>
      <c r="AB86" s="116"/>
      <c r="AC86" s="116"/>
      <c r="AD86" s="116"/>
      <c r="AE86" s="116"/>
      <c r="AF86" s="116"/>
      <c r="AG86" s="116"/>
      <c r="AH86" s="116"/>
    </row>
    <row r="87" spans="1:34" ht="23">
      <c r="A87" s="116"/>
      <c r="B87" s="126" t="s">
        <v>2327</v>
      </c>
      <c r="C87" s="116"/>
      <c r="D87" s="116"/>
      <c r="E87" s="116"/>
      <c r="F87" s="116"/>
      <c r="G87" s="128" t="s">
        <v>181</v>
      </c>
      <c r="H87" s="128" t="s">
        <v>310</v>
      </c>
      <c r="I87" s="116"/>
      <c r="J87" s="116"/>
      <c r="K87" s="116"/>
      <c r="L87" s="116"/>
      <c r="M87" s="116"/>
      <c r="N87" s="116"/>
      <c r="O87" s="116"/>
      <c r="P87" s="116"/>
      <c r="Q87" s="478"/>
      <c r="R87" s="116"/>
      <c r="S87" s="116"/>
      <c r="T87" s="116"/>
      <c r="U87" s="116"/>
      <c r="V87" s="116"/>
      <c r="W87" s="116"/>
      <c r="X87" s="116"/>
      <c r="Y87" s="116"/>
      <c r="Z87" s="116"/>
      <c r="AA87" s="116"/>
      <c r="AB87" s="116"/>
      <c r="AC87" s="116"/>
      <c r="AD87" s="116"/>
      <c r="AE87" s="116"/>
      <c r="AF87" s="116"/>
      <c r="AG87" s="116"/>
      <c r="AH87" s="116"/>
    </row>
    <row r="88" spans="1:34" ht="5.15" customHeight="1">
      <c r="A88" s="116"/>
      <c r="B88" s="116"/>
      <c r="C88" s="116"/>
      <c r="D88" s="116"/>
      <c r="E88" s="116"/>
      <c r="F88" s="116"/>
      <c r="G88" s="116"/>
      <c r="H88" s="116"/>
      <c r="I88" s="116"/>
      <c r="J88" s="116"/>
      <c r="K88" s="116"/>
      <c r="L88" s="116"/>
      <c r="M88" s="116"/>
      <c r="N88" s="116"/>
      <c r="O88" s="116"/>
      <c r="P88" s="116"/>
      <c r="Q88" s="116"/>
      <c r="R88" s="116"/>
      <c r="S88" s="116"/>
      <c r="T88" s="116"/>
      <c r="U88" s="116"/>
      <c r="V88" s="116"/>
      <c r="W88" s="116"/>
      <c r="X88" s="116"/>
      <c r="Y88" s="116"/>
      <c r="Z88" s="116"/>
      <c r="AA88" s="116"/>
      <c r="AB88" s="116"/>
      <c r="AC88" s="116"/>
      <c r="AD88" s="116"/>
      <c r="AE88" s="116"/>
      <c r="AF88" s="116"/>
      <c r="AG88" s="116"/>
      <c r="AH88" s="116"/>
    </row>
    <row r="89" spans="1:34">
      <c r="A89" s="116"/>
      <c r="B89" s="118"/>
      <c r="C89" s="119"/>
      <c r="D89" s="119"/>
      <c r="E89" s="119"/>
      <c r="F89" s="119"/>
      <c r="G89" s="119"/>
      <c r="H89" s="119"/>
      <c r="I89" s="119"/>
      <c r="J89" s="119"/>
      <c r="K89" s="119"/>
      <c r="L89" s="119"/>
      <c r="M89" s="119"/>
      <c r="N89" s="119"/>
      <c r="O89" s="119"/>
      <c r="P89" s="119"/>
      <c r="Q89" s="119"/>
      <c r="R89" s="119"/>
      <c r="S89" s="119"/>
      <c r="T89" s="119"/>
      <c r="U89" s="119"/>
      <c r="V89" s="119"/>
      <c r="W89" s="119"/>
      <c r="X89" s="119"/>
      <c r="Y89" s="119"/>
      <c r="Z89" s="119"/>
      <c r="AA89" s="119"/>
      <c r="AB89" s="119"/>
      <c r="AC89" s="119"/>
      <c r="AD89" s="119"/>
      <c r="AE89" s="119"/>
      <c r="AF89" s="119"/>
      <c r="AG89" s="120"/>
      <c r="AH89" s="116"/>
    </row>
    <row r="90" spans="1:34">
      <c r="A90" s="116"/>
      <c r="B90" s="121"/>
      <c r="C90" s="154" t="s">
        <v>606</v>
      </c>
      <c r="G90" s="154" t="s">
        <v>607</v>
      </c>
      <c r="P90" s="129" t="s">
        <v>608</v>
      </c>
      <c r="Q90" s="130"/>
      <c r="R90" s="129"/>
      <c r="S90" s="130"/>
      <c r="T90" s="131">
        <f>T45</f>
        <v>45758</v>
      </c>
      <c r="U90" s="131">
        <f>U45</f>
        <v>45771</v>
      </c>
      <c r="V90" s="132" t="s">
        <v>609</v>
      </c>
      <c r="X90" s="155" t="s">
        <v>610</v>
      </c>
      <c r="AG90" s="122"/>
      <c r="AH90" s="116"/>
    </row>
    <row r="91" spans="1:34" ht="17.899999999999999" customHeight="1">
      <c r="A91" s="116"/>
      <c r="B91" s="121"/>
      <c r="P91" s="370" t="s">
        <v>611</v>
      </c>
      <c r="Q91" s="370"/>
      <c r="R91" s="370"/>
      <c r="S91" s="370"/>
      <c r="T91" s="370">
        <f>COUNTIFS('2. Status Detalhe Campos FY24'!$H$7:$H$740,'1. Status Resumo FY24'!$P91,'2. Status Detalhe Campos FY24'!$C$7:$C$740,'1. Status Resumo FY24'!$G$87,'2. Status Detalhe Campos FY24'!$D$7:$D$740,"2. Campo")+COUNTIFS('2. Status Detalhe Campos FY24'!$H$7:$H$740,'1. Status Resumo FY24'!$P91,'2. Status Detalhe Campos FY24'!$C$7:$C$740,'1. Status Resumo FY24'!$H$87,'2. Status Detalhe Campos FY24'!$D$7:$D$740,"2. Campo")</f>
        <v>19</v>
      </c>
      <c r="U91" s="370">
        <f>COUNTIFS('2. Status Detalhe Campos FY24'!$G$7:$G$740,'1. Status Resumo FY24'!$P91,'2. Status Detalhe Campos FY24'!$C$7:$C$740,'1. Status Resumo FY24'!$G$87,'2. Status Detalhe Campos FY24'!$D$7:$D$740,"2. Campo")+COUNTIFS('2. Status Detalhe Campos FY24'!$G$7:$G$740,'1. Status Resumo FY24'!$P91,'2. Status Detalhe Campos FY24'!$C$7:$C$740,'1. Status Resumo FY24'!$H$87,'2. Status Detalhe Campos FY24'!$D$7:$D$740,"2. Campo")</f>
        <v>19</v>
      </c>
      <c r="V91" s="370">
        <f t="shared" ref="V91:V117" si="5">U91-T91</f>
        <v>0</v>
      </c>
      <c r="W91" s="156"/>
      <c r="X91" s="549" t="s">
        <v>2466</v>
      </c>
      <c r="Y91" s="550"/>
      <c r="Z91" s="550"/>
      <c r="AA91" s="550"/>
      <c r="AB91" s="550"/>
      <c r="AC91" s="550"/>
      <c r="AD91" s="550"/>
      <c r="AE91" s="550"/>
      <c r="AF91" s="551"/>
      <c r="AG91" s="157" t="s">
        <v>631</v>
      </c>
      <c r="AH91" s="116"/>
    </row>
    <row r="92" spans="1:34" ht="17.899999999999999" customHeight="1">
      <c r="A92" s="116"/>
      <c r="B92" s="121"/>
      <c r="P92" s="371" t="s">
        <v>2364</v>
      </c>
      <c r="Q92" s="372"/>
      <c r="R92" s="372"/>
      <c r="S92" s="372"/>
      <c r="T92" s="441">
        <f>COUNTIFS('2. Status Detalhe Campos FY24'!$H$7:$H$740,'1. Status Resumo FY24'!$P91,'2. Status Detalhe Campos FY24'!$C$7:$C$740,'1. Status Resumo FY24'!$G$87,'2. Status Detalhe Campos FY24'!$D$7:$D$740,"2. Campo",'2. Status Detalhe Campos FY24'!$Y$7:$Y$740,"*Plano anterior*")
+COUNTIFS('2. Status Detalhe Campos FY24'!$H$7:$H$740,'1. Status Resumo FY24'!$P91,'2. Status Detalhe Campos FY24'!$C$7:$C$740,'1. Status Resumo FY24'!$H$87,'2. Status Detalhe Campos FY24'!$D$7:$D$740,"2. Campo",'2. Status Detalhe Campos FY24'!$Y$7:$Y$740,"*Plano anterior*")</f>
        <v>19</v>
      </c>
      <c r="U92" s="441">
        <f>COUNTIFS('2. Status Detalhe Campos FY24'!$G$7:$G$740,'1. Status Resumo FY24'!$P91,'2. Status Detalhe Campos FY24'!$C$7:$C$740,'1. Status Resumo FY24'!$G$87,'2. Status Detalhe Campos FY24'!$D$7:$D$740,"2. Campo",'2. Status Detalhe Campos FY24'!$Y$7:$Y$740,"*Plano anterior*")
+COUNTIFS('2. Status Detalhe Campos FY24'!$G$7:$G$740,'1. Status Resumo FY24'!$P91,'2. Status Detalhe Campos FY24'!$C$7:$C$740,'1. Status Resumo FY24'!$H$87,'2. Status Detalhe Campos FY24'!$D$7:$D$740,"2. Campo",'2. Status Detalhe Campos FY24'!$Y$7:$Y$740,"*Plano anterior*")</f>
        <v>19</v>
      </c>
      <c r="V92" s="441">
        <f t="shared" si="5"/>
        <v>0</v>
      </c>
      <c r="W92" s="156"/>
      <c r="X92" s="552"/>
      <c r="Y92" s="553"/>
      <c r="Z92" s="553"/>
      <c r="AA92" s="553"/>
      <c r="AB92" s="553"/>
      <c r="AC92" s="553"/>
      <c r="AD92" s="553"/>
      <c r="AE92" s="553"/>
      <c r="AF92" s="554"/>
      <c r="AG92" s="157"/>
      <c r="AH92" s="116"/>
    </row>
    <row r="93" spans="1:34" ht="17.25" customHeight="1">
      <c r="A93" s="116"/>
      <c r="B93" s="121"/>
      <c r="P93" s="371" t="s">
        <v>2354</v>
      </c>
      <c r="Q93" s="372"/>
      <c r="R93" s="372"/>
      <c r="S93" s="372"/>
      <c r="T93" s="441">
        <f>COUNTIFS('2. Status Detalhe Campos FY24'!$H$7:$H$740,'1. Status Resumo FY24'!$P91,'2. Status Detalhe Campos FY24'!$C$7:$C$740,'1. Status Resumo FY24'!$G$87,'2. Status Detalhe Campos FY24'!$D$7:$D$740,"2. Campo",'2. Status Detalhe Campos FY24'!$Y$7:$Y$740,"*Novo Plano*")
+COUNTIFS('2. Status Detalhe Campos FY24'!$H$7:$H$740,'1. Status Resumo FY24'!$P91,'2. Status Detalhe Campos FY24'!$C$7:$C$740,'1. Status Resumo FY24'!$H$87,'2. Status Detalhe Campos FY24'!$D$7:$D$740,"2. Campo",'2. Status Detalhe Campos FY24'!$Y$7:$Y$740,"*Novo Plano*")</f>
        <v>0</v>
      </c>
      <c r="U93" s="441">
        <f>COUNTIFS('2. Status Detalhe Campos FY24'!$G$7:$G$740,'1. Status Resumo FY24'!$P91,'2. Status Detalhe Campos FY24'!$C$7:$C$740,'1. Status Resumo FY24'!$G$87,'2. Status Detalhe Campos FY24'!$D$7:$D$740,"2. Campo",'2. Status Detalhe Campos FY24'!$Y$7:$Y$740,"*Novo Plano*")
+COUNTIFS('2. Status Detalhe Campos FY24'!$G$7:$G$740,'1. Status Resumo FY24'!$P91,'2. Status Detalhe Campos FY24'!$C$7:$C$740,'1. Status Resumo FY24'!$H$87,'2. Status Detalhe Campos FY24'!$D$7:$D$740,"2. Campo",'2. Status Detalhe Campos FY24'!$Y$7:$Y$740,"*Novo Plano*")</f>
        <v>0</v>
      </c>
      <c r="V93" s="441">
        <f t="shared" si="5"/>
        <v>0</v>
      </c>
      <c r="W93" s="156"/>
      <c r="X93" s="552"/>
      <c r="Y93" s="553"/>
      <c r="Z93" s="553"/>
      <c r="AA93" s="553"/>
      <c r="AB93" s="553"/>
      <c r="AC93" s="553"/>
      <c r="AD93" s="553"/>
      <c r="AE93" s="553"/>
      <c r="AF93" s="554"/>
      <c r="AG93" s="157"/>
      <c r="AH93" s="116"/>
    </row>
    <row r="94" spans="1:34">
      <c r="A94" s="116"/>
      <c r="B94" s="121"/>
      <c r="P94" s="369" t="s">
        <v>612</v>
      </c>
      <c r="Q94" s="369"/>
      <c r="R94" s="369"/>
      <c r="S94" s="369"/>
      <c r="T94" s="369">
        <f>COUNTIFS('2. Status Detalhe Campos FY24'!$H$7:$H$740,'1. Status Resumo FY24'!$P94,'2. Status Detalhe Campos FY24'!$C$7:$C$740,'1. Status Resumo FY24'!$G$87,'2. Status Detalhe Campos FY24'!$D$7:$D$740,"2. Campo")+COUNTIFS('2. Status Detalhe Campos FY24'!$H$7:$H$740,'1. Status Resumo FY24'!$P94,'2. Status Detalhe Campos FY24'!$C$7:$C$740,'1. Status Resumo FY24'!$H$87,'2. Status Detalhe Campos FY24'!$D$7:$D$740,"2. Campo")</f>
        <v>275</v>
      </c>
      <c r="U94" s="369">
        <f>COUNTIFS('2. Status Detalhe Campos FY24'!$G$7:$G$740,'1. Status Resumo FY24'!$P94,'2. Status Detalhe Campos FY24'!$C$7:$C$740,'1. Status Resumo FY24'!$G$87,'2. Status Detalhe Campos FY24'!$D$7:$D$740,"2. Campo")+COUNTIFS('2. Status Detalhe Campos FY24'!$G$7:$G$740,'1. Status Resumo FY24'!$P94,'2. Status Detalhe Campos FY24'!$C$7:$C$740,'1. Status Resumo FY24'!$H$87,'2. Status Detalhe Campos FY24'!$D$7:$D$740,"2. Campo")</f>
        <v>278</v>
      </c>
      <c r="V94" s="369">
        <f t="shared" si="5"/>
        <v>3</v>
      </c>
      <c r="W94" s="156"/>
      <c r="X94" s="552"/>
      <c r="Y94" s="553"/>
      <c r="Z94" s="553"/>
      <c r="AA94" s="553"/>
      <c r="AB94" s="553"/>
      <c r="AC94" s="553"/>
      <c r="AD94" s="553"/>
      <c r="AE94" s="553"/>
      <c r="AF94" s="554"/>
      <c r="AG94" s="157"/>
      <c r="AH94" s="116"/>
    </row>
    <row r="95" spans="1:34">
      <c r="A95" s="116"/>
      <c r="B95" s="121"/>
      <c r="P95" s="371" t="s">
        <v>2364</v>
      </c>
      <c r="Q95" s="372"/>
      <c r="R95" s="372"/>
      <c r="S95" s="372"/>
      <c r="T95" s="441">
        <f>COUNTIFS('2. Status Detalhe Campos FY24'!$H$7:$H$740,'1. Status Resumo FY24'!$P94,'2. Status Detalhe Campos FY24'!$C$7:$C$740,'1. Status Resumo FY24'!$G$87,'2. Status Detalhe Campos FY24'!$D$7:$D$740,"2. Campo",'2. Status Detalhe Campos FY24'!$Y$7:$Y$740,"*Plano anterior*")
+COUNTIFS('2. Status Detalhe Campos FY24'!$H$7:$H$740,'1. Status Resumo FY24'!$P94,'2. Status Detalhe Campos FY24'!$C$7:$C$740,'1. Status Resumo FY24'!$H$87,'2. Status Detalhe Campos FY24'!$D$7:$D$740,"2. Campo",'2. Status Detalhe Campos FY24'!$Y$7:$Y$740,"*Plano anterior*")</f>
        <v>250</v>
      </c>
      <c r="U95" s="441">
        <f>COUNTIFS('2. Status Detalhe Campos FY24'!$G$7:$G$740,'1. Status Resumo FY24'!$P94,'2. Status Detalhe Campos FY24'!$C$7:$C$740,'1. Status Resumo FY24'!$G$87,'2. Status Detalhe Campos FY24'!$D$7:$D$740,"2. Campo",'2. Status Detalhe Campos FY24'!$Y$7:$Y$740,"*Plano anterior*")
+COUNTIFS('2. Status Detalhe Campos FY24'!$G$7:$G$740,'1. Status Resumo FY24'!$P94,'2. Status Detalhe Campos FY24'!$C$7:$C$740,'1. Status Resumo FY24'!$H$87,'2. Status Detalhe Campos FY24'!$D$7:$D$740,"2. Campo",'2. Status Detalhe Campos FY24'!$Y$7:$Y$740,"*Plano anterior*")</f>
        <v>253</v>
      </c>
      <c r="V95" s="441">
        <f t="shared" si="5"/>
        <v>3</v>
      </c>
      <c r="W95" s="156"/>
      <c r="X95" s="552"/>
      <c r="Y95" s="553"/>
      <c r="Z95" s="553"/>
      <c r="AA95" s="553"/>
      <c r="AB95" s="553"/>
      <c r="AC95" s="553"/>
      <c r="AD95" s="553"/>
      <c r="AE95" s="553"/>
      <c r="AF95" s="554"/>
      <c r="AG95" s="157"/>
      <c r="AH95" s="116"/>
    </row>
    <row r="96" spans="1:34">
      <c r="A96" s="116"/>
      <c r="B96" s="121"/>
      <c r="P96" s="371" t="s">
        <v>2354</v>
      </c>
      <c r="Q96" s="374"/>
      <c r="R96" s="374"/>
      <c r="S96" s="374"/>
      <c r="T96" s="442">
        <f>COUNTIFS('2. Status Detalhe Campos FY24'!$H$7:$H$740,'1. Status Resumo FY24'!$P94,'2. Status Detalhe Campos FY24'!$C$7:$C$740,'1. Status Resumo FY24'!$G$87,'2. Status Detalhe Campos FY24'!$D$7:$D$740,"2. Campo",'2. Status Detalhe Campos FY24'!$Y$7:$Y$740,"*Novo Plano*")
+COUNTIFS('2. Status Detalhe Campos FY24'!$H$7:$H$740,'1. Status Resumo FY24'!$P94,'2. Status Detalhe Campos FY24'!$C$7:$C$740,'1. Status Resumo FY24'!$H$87,'2. Status Detalhe Campos FY24'!$D$7:$D$740,"2. Campo",'2. Status Detalhe Campos FY24'!$Y$7:$Y$740,"*Novo Plano*")</f>
        <v>25</v>
      </c>
      <c r="U96" s="442">
        <f>COUNTIFS('2. Status Detalhe Campos FY24'!$G$7:$G$740,'1. Status Resumo FY24'!$P94,'2. Status Detalhe Campos FY24'!$C$7:$C$740,'1. Status Resumo FY24'!$G$87,'2. Status Detalhe Campos FY24'!$D$7:$D$740,"2. Campo",'2. Status Detalhe Campos FY24'!$Y$7:$Y$740,"*Novo Plano*")
+COUNTIFS('2. Status Detalhe Campos FY24'!$G$7:$G$740,'1. Status Resumo FY24'!$P94,'2. Status Detalhe Campos FY24'!$C$7:$C$740,'1. Status Resumo FY24'!$H$87,'2. Status Detalhe Campos FY24'!$D$7:$D$740,"2. Campo",'2. Status Detalhe Campos FY24'!$Y$7:$Y$740,"*Novo Plano*")</f>
        <v>25</v>
      </c>
      <c r="V96" s="442">
        <f t="shared" si="5"/>
        <v>0</v>
      </c>
      <c r="W96" s="156"/>
      <c r="X96" s="552"/>
      <c r="Y96" s="553"/>
      <c r="Z96" s="553"/>
      <c r="AA96" s="553"/>
      <c r="AB96" s="553"/>
      <c r="AC96" s="553"/>
      <c r="AD96" s="553"/>
      <c r="AE96" s="553"/>
      <c r="AF96" s="554"/>
      <c r="AG96" s="157"/>
      <c r="AH96" s="116"/>
    </row>
    <row r="97" spans="1:34">
      <c r="A97" s="116"/>
      <c r="B97" s="121"/>
      <c r="P97" s="369" t="s">
        <v>1840</v>
      </c>
      <c r="Q97" s="369"/>
      <c r="R97" s="369"/>
      <c r="S97" s="369"/>
      <c r="T97" s="369">
        <f>COUNTIFS('2. Status Detalhe Campos FY24'!$H$7:$H$740,'1. Status Resumo FY24'!$P97,'2. Status Detalhe Campos FY24'!$C$7:$C$740,'1. Status Resumo FY24'!$G$87,'2. Status Detalhe Campos FY24'!$D$7:$D$740,"2. Campo")+COUNTIFS('2. Status Detalhe Campos FY24'!$H$7:$H$740,'1. Status Resumo FY24'!$P97,'2. Status Detalhe Campos FY24'!$C$7:$C$740,'1. Status Resumo FY24'!$H$87,'2. Status Detalhe Campos FY24'!$D$7:$D$740,"2. Campo")</f>
        <v>8</v>
      </c>
      <c r="U97" s="369">
        <f>COUNTIFS('2. Status Detalhe Campos FY24'!$G$7:$G$740,'1. Status Resumo FY24'!$P97,'2. Status Detalhe Campos FY24'!$C$7:$C$740,'1. Status Resumo FY24'!$G$87,'2. Status Detalhe Campos FY24'!$D$7:$D$740,"2. Campo")+COUNTIFS('2. Status Detalhe Campos FY24'!$G$7:$G$740,'1. Status Resumo FY24'!$P97,'2. Status Detalhe Campos FY24'!$C$7:$C$740,'1. Status Resumo FY24'!$H$87,'2. Status Detalhe Campos FY24'!$D$7:$D$740,"2. Campo")</f>
        <v>0</v>
      </c>
      <c r="V97" s="369">
        <f t="shared" si="5"/>
        <v>-8</v>
      </c>
      <c r="W97" s="156"/>
      <c r="X97" s="552"/>
      <c r="Y97" s="553"/>
      <c r="Z97" s="553"/>
      <c r="AA97" s="553"/>
      <c r="AB97" s="553"/>
      <c r="AC97" s="553"/>
      <c r="AD97" s="553"/>
      <c r="AE97" s="553"/>
      <c r="AF97" s="554"/>
      <c r="AG97" s="157"/>
      <c r="AH97" s="116"/>
    </row>
    <row r="98" spans="1:34">
      <c r="A98" s="116"/>
      <c r="B98" s="121"/>
      <c r="P98" s="371" t="s">
        <v>2364</v>
      </c>
      <c r="Q98" s="372"/>
      <c r="R98" s="372"/>
      <c r="S98" s="372"/>
      <c r="T98" s="441">
        <f>COUNTIFS('2. Status Detalhe Campos FY24'!$H$7:$H$740,'1. Status Resumo FY24'!$P97,'2. Status Detalhe Campos FY24'!$C$7:$C$740,'1. Status Resumo FY24'!$G$87,'2. Status Detalhe Campos FY24'!$D$7:$D$740,"2. Campo",'2. Status Detalhe Campos FY24'!$Y$7:$Y$740,"*Plano anterior*")
+COUNTIFS('2. Status Detalhe Campos FY24'!$H$7:$H$740,'1. Status Resumo FY24'!$P97,'2. Status Detalhe Campos FY24'!$C$7:$C$740,'1. Status Resumo FY24'!$H$87,'2. Status Detalhe Campos FY24'!$D$7:$D$740,"2. Campo",'2. Status Detalhe Campos FY24'!$Y$7:$Y$740,"*Plano anterior*")</f>
        <v>8</v>
      </c>
      <c r="U98" s="441">
        <f>COUNTIFS('2. Status Detalhe Campos FY24'!$G$7:$G$740,'1. Status Resumo FY24'!$P97,'2. Status Detalhe Campos FY24'!$C$7:$C$740,'1. Status Resumo FY24'!$G$87,'2. Status Detalhe Campos FY24'!$D$7:$D$740,"2. Campo",'2. Status Detalhe Campos FY24'!$Y$7:$Y$740,"*Plano anterior*")
+COUNTIFS('2. Status Detalhe Campos FY24'!$G$7:$G$740,'1. Status Resumo FY24'!$P97,'2. Status Detalhe Campos FY24'!$C$7:$C$740,'1. Status Resumo FY24'!$H$87,'2. Status Detalhe Campos FY24'!$D$7:$D$740,"2. Campo",'2. Status Detalhe Campos FY24'!$Y$7:$Y$740,"*Plano anterior*")</f>
        <v>0</v>
      </c>
      <c r="V98" s="441">
        <f t="shared" si="5"/>
        <v>-8</v>
      </c>
      <c r="W98" s="156"/>
      <c r="X98" s="552"/>
      <c r="Y98" s="553"/>
      <c r="Z98" s="553"/>
      <c r="AA98" s="553"/>
      <c r="AB98" s="553"/>
      <c r="AC98" s="553"/>
      <c r="AD98" s="553"/>
      <c r="AE98" s="553"/>
      <c r="AF98" s="554"/>
      <c r="AG98" s="157"/>
      <c r="AH98" s="116"/>
    </row>
    <row r="99" spans="1:34">
      <c r="A99" s="116"/>
      <c r="B99" s="121"/>
      <c r="P99" s="371" t="s">
        <v>2354</v>
      </c>
      <c r="Q99" s="374"/>
      <c r="R99" s="374"/>
      <c r="S99" s="374"/>
      <c r="T99" s="442">
        <f>COUNTIFS('2. Status Detalhe Campos FY24'!$H$7:$H$740,'1. Status Resumo FY24'!$P97,'2. Status Detalhe Campos FY24'!$C$7:$C$740,'1. Status Resumo FY24'!$G$87,'2. Status Detalhe Campos FY24'!$D$7:$D$740,"2. Campo",'2. Status Detalhe Campos FY24'!$Y$7:$Y$740,"*Novo Plano*")
+COUNTIFS('2. Status Detalhe Campos FY24'!$H$7:$H$740,'1. Status Resumo FY24'!$P97,'2. Status Detalhe Campos FY24'!$C$7:$C$740,'1. Status Resumo FY24'!$H$87,'2. Status Detalhe Campos FY24'!$D$7:$D$740,"2. Campo",'2. Status Detalhe Campos FY24'!$Y$7:$Y$740,"*Novo Plano*")</f>
        <v>0</v>
      </c>
      <c r="U99" s="442">
        <f>COUNTIFS('2. Status Detalhe Campos FY24'!$G$7:$G$740,'1. Status Resumo FY24'!$P97,'2. Status Detalhe Campos FY24'!$C$7:$C$740,'1. Status Resumo FY24'!$G$87,'2. Status Detalhe Campos FY24'!$D$7:$D$740,"2. Campo",'2. Status Detalhe Campos FY24'!$Y$7:$Y$740,"*Novo Plano*")
+COUNTIFS('2. Status Detalhe Campos FY24'!$G$7:$G$740,'1. Status Resumo FY24'!$P97,'2. Status Detalhe Campos FY24'!$C$7:$C$740,'1. Status Resumo FY24'!$H$87,'2. Status Detalhe Campos FY24'!$D$7:$D$740,"2. Campo",'2. Status Detalhe Campos FY24'!$Y$7:$Y$740,"*Novo Plano*")</f>
        <v>0</v>
      </c>
      <c r="V99" s="442">
        <f t="shared" si="5"/>
        <v>0</v>
      </c>
      <c r="W99" s="156"/>
      <c r="X99" s="552"/>
      <c r="Y99" s="553"/>
      <c r="Z99" s="553"/>
      <c r="AA99" s="553"/>
      <c r="AB99" s="553"/>
      <c r="AC99" s="553"/>
      <c r="AD99" s="553"/>
      <c r="AE99" s="553"/>
      <c r="AF99" s="554"/>
      <c r="AG99" s="157"/>
      <c r="AH99" s="116"/>
    </row>
    <row r="100" spans="1:34" ht="18.75" customHeight="1">
      <c r="A100" s="116"/>
      <c r="B100" s="121"/>
      <c r="D100" s="422"/>
      <c r="E100" s="422"/>
      <c r="P100" s="369" t="s">
        <v>2318</v>
      </c>
      <c r="Q100" s="369"/>
      <c r="R100" s="369"/>
      <c r="S100" s="369"/>
      <c r="T100" s="369">
        <f>COUNTIFS('2. Status Detalhe Campos FY24'!$H$7:$H$740,'1. Status Resumo FY24'!$P100,'2. Status Detalhe Campos FY24'!$C$7:$C$740,'1. Status Resumo FY24'!$G$87,'2. Status Detalhe Campos FY24'!$D$7:$D$740,"2. Campo")+COUNTIFS('2. Status Detalhe Campos FY24'!$H$7:$H$740,'1. Status Resumo FY24'!$P100,'2. Status Detalhe Campos FY24'!$C$7:$C$740,'1. Status Resumo FY24'!$H$87,'2. Status Detalhe Campos FY24'!$D$7:$D$740,"2. Campo")</f>
        <v>0</v>
      </c>
      <c r="U100" s="369">
        <f>COUNTIFS('2. Status Detalhe Campos FY24'!$G$7:$G$740,'1. Status Resumo FY24'!$P100,'2. Status Detalhe Campos FY24'!$C$7:$C$740,'1. Status Resumo FY24'!$G$87,'2. Status Detalhe Campos FY24'!$D$7:$D$740,"2. Campo")+COUNTIFS('2. Status Detalhe Campos FY24'!$G$7:$G$740,'1. Status Resumo FY24'!$P100,'2. Status Detalhe Campos FY24'!$C$7:$C$740,'1. Status Resumo FY24'!$H$87,'2. Status Detalhe Campos FY24'!$D$7:$D$740,"2. Campo")</f>
        <v>0</v>
      </c>
      <c r="V100" s="369">
        <f t="shared" si="5"/>
        <v>0</v>
      </c>
      <c r="W100" s="156"/>
      <c r="X100" s="552"/>
      <c r="Y100" s="553"/>
      <c r="Z100" s="553"/>
      <c r="AA100" s="553"/>
      <c r="AB100" s="553"/>
      <c r="AC100" s="553"/>
      <c r="AD100" s="553"/>
      <c r="AE100" s="553"/>
      <c r="AF100" s="554"/>
      <c r="AG100" s="157"/>
      <c r="AH100" s="116"/>
    </row>
    <row r="101" spans="1:34" ht="18.75" customHeight="1">
      <c r="A101" s="116"/>
      <c r="B101" s="121"/>
      <c r="D101" s="422"/>
      <c r="E101" s="422"/>
      <c r="P101" s="371" t="s">
        <v>2364</v>
      </c>
      <c r="Q101" s="372"/>
      <c r="R101" s="372"/>
      <c r="S101" s="372"/>
      <c r="T101" s="441">
        <f>COUNTIFS('2. Status Detalhe Campos FY24'!$H$7:$H$740,'1. Status Resumo FY24'!$P100,'2. Status Detalhe Campos FY24'!$C$7:$C$740,'1. Status Resumo FY24'!$G$87,'2. Status Detalhe Campos FY24'!$D$7:$D$740,"2. Campo",'2. Status Detalhe Campos FY24'!$Y$7:$Y$740,"*Plano anterior*")
+COUNTIFS('2. Status Detalhe Campos FY24'!$H$7:$H$740,'1. Status Resumo FY24'!$P100,'2. Status Detalhe Campos FY24'!$C$7:$C$740,'1. Status Resumo FY24'!$H$87,'2. Status Detalhe Campos FY24'!$D$7:$D$740,"2. Campo",'2. Status Detalhe Campos FY24'!$Y$7:$Y$740,"*Plano anterior*")</f>
        <v>0</v>
      </c>
      <c r="U101" s="441">
        <f>COUNTIFS('2. Status Detalhe Campos FY24'!$G$7:$G$740,'1. Status Resumo FY24'!$P100,'2. Status Detalhe Campos FY24'!$C$7:$C$740,'1. Status Resumo FY24'!$G$87,'2. Status Detalhe Campos FY24'!$D$7:$D$740,"2. Campo",'2. Status Detalhe Campos FY24'!$Y$7:$Y$740,"*Plano anterior*")
+COUNTIFS('2. Status Detalhe Campos FY24'!$G$7:$G$740,'1. Status Resumo FY24'!$P100,'2. Status Detalhe Campos FY24'!$C$7:$C$740,'1. Status Resumo FY24'!$H$87,'2. Status Detalhe Campos FY24'!$D$7:$D$740,"2. Campo",'2. Status Detalhe Campos FY24'!$Y$7:$Y$740,"*Plano anterior*")</f>
        <v>0</v>
      </c>
      <c r="V101" s="441">
        <f t="shared" si="5"/>
        <v>0</v>
      </c>
      <c r="W101" s="156"/>
      <c r="X101" s="552"/>
      <c r="Y101" s="553"/>
      <c r="Z101" s="553"/>
      <c r="AA101" s="553"/>
      <c r="AB101" s="553"/>
      <c r="AC101" s="553"/>
      <c r="AD101" s="553"/>
      <c r="AE101" s="553"/>
      <c r="AF101" s="554"/>
      <c r="AG101" s="157"/>
      <c r="AH101" s="116"/>
    </row>
    <row r="102" spans="1:34" ht="18.75" customHeight="1">
      <c r="A102" s="116"/>
      <c r="B102" s="121"/>
      <c r="D102" s="422"/>
      <c r="E102" s="422"/>
      <c r="P102" s="371" t="s">
        <v>2354</v>
      </c>
      <c r="Q102" s="374"/>
      <c r="R102" s="374"/>
      <c r="S102" s="374"/>
      <c r="T102" s="442">
        <f>COUNTIFS('2. Status Detalhe Campos FY24'!$H$7:$H$740,'1. Status Resumo FY24'!$P100,'2. Status Detalhe Campos FY24'!$C$7:$C$740,'1. Status Resumo FY24'!$G$87,'2. Status Detalhe Campos FY24'!$D$7:$D$740,"2. Campo",'2. Status Detalhe Campos FY24'!$Y$7:$Y$740,"*Novo Plano*")
+COUNTIFS('2. Status Detalhe Campos FY24'!$H$7:$H$740,'1. Status Resumo FY24'!$P100,'2. Status Detalhe Campos FY24'!$C$7:$C$740,'1. Status Resumo FY24'!$H$87,'2. Status Detalhe Campos FY24'!$D$7:$D$740,"2. Campo",'2. Status Detalhe Campos FY24'!$Y$7:$Y$740,"*Novo Plano*")</f>
        <v>0</v>
      </c>
      <c r="U102" s="442">
        <f>COUNTIFS('2. Status Detalhe Campos FY24'!$G$7:$G$740,'1. Status Resumo FY24'!$P100,'2. Status Detalhe Campos FY24'!$C$7:$C$740,'1. Status Resumo FY24'!$G$87,'2. Status Detalhe Campos FY24'!$D$7:$D$740,"2. Campo",'2. Status Detalhe Campos FY24'!$Y$7:$Y$740,"*Novo Plano*")
+COUNTIFS('2. Status Detalhe Campos FY24'!$G$7:$G$740,'1. Status Resumo FY24'!$P100,'2. Status Detalhe Campos FY24'!$C$7:$C$740,'1. Status Resumo FY24'!$H$87,'2. Status Detalhe Campos FY24'!$D$7:$D$740,"2. Campo",'2. Status Detalhe Campos FY24'!$Y$7:$Y$740,"*Novo Plano*")</f>
        <v>0</v>
      </c>
      <c r="V102" s="442">
        <f t="shared" si="5"/>
        <v>0</v>
      </c>
      <c r="W102" s="156"/>
      <c r="X102" s="552"/>
      <c r="Y102" s="553"/>
      <c r="Z102" s="553"/>
      <c r="AA102" s="553"/>
      <c r="AB102" s="553"/>
      <c r="AC102" s="553"/>
      <c r="AD102" s="553"/>
      <c r="AE102" s="553"/>
      <c r="AF102" s="554"/>
      <c r="AG102" s="157"/>
      <c r="AH102" s="116"/>
    </row>
    <row r="103" spans="1:34" ht="17.899999999999999" customHeight="1">
      <c r="A103" s="116"/>
      <c r="B103" s="121"/>
      <c r="D103" s="536" t="str">
        <f>+"#"&amp;$U$118</f>
        <v>#302</v>
      </c>
      <c r="P103" s="369" t="s">
        <v>613</v>
      </c>
      <c r="Q103" s="369"/>
      <c r="R103" s="369"/>
      <c r="S103" s="369"/>
      <c r="T103" s="369">
        <f>COUNTIFS('2. Status Detalhe Campos FY24'!$H$7:$H$740,'1. Status Resumo FY24'!$P103,'2. Status Detalhe Campos FY24'!$C$7:$C$740,'1. Status Resumo FY24'!$G$87,'2. Status Detalhe Campos FY24'!$D$7:$D$740,"2. Campo")+COUNTIFS('2. Status Detalhe Campos FY24'!$H$7:$H$740,'1. Status Resumo FY24'!$P103,'2. Status Detalhe Campos FY24'!$C$7:$C$740,'1. Status Resumo FY24'!$H$87,'2. Status Detalhe Campos FY24'!$D$7:$D$740,"2. Campo")</f>
        <v>0</v>
      </c>
      <c r="U103" s="369">
        <f>COUNTIFS('2. Status Detalhe Campos FY24'!$G$7:$G$740,'1. Status Resumo FY24'!$P103,'2. Status Detalhe Campos FY24'!$C$7:$C$740,'1. Status Resumo FY24'!$G$87,'2. Status Detalhe Campos FY24'!$D$7:$D$740,"2. Campo")+COUNTIFS('2. Status Detalhe Campos FY24'!$G$7:$G$740,'1. Status Resumo FY24'!$P103,'2. Status Detalhe Campos FY24'!$C$7:$C$740,'1. Status Resumo FY24'!$H$87,'2. Status Detalhe Campos FY24'!$D$7:$D$740,"2. Campo")</f>
        <v>0</v>
      </c>
      <c r="V103" s="369">
        <f t="shared" si="5"/>
        <v>0</v>
      </c>
      <c r="W103" s="156"/>
      <c r="X103" s="552"/>
      <c r="Y103" s="553"/>
      <c r="Z103" s="553"/>
      <c r="AA103" s="553"/>
      <c r="AB103" s="553"/>
      <c r="AC103" s="553"/>
      <c r="AD103" s="553"/>
      <c r="AE103" s="553"/>
      <c r="AF103" s="554"/>
      <c r="AG103" s="157"/>
      <c r="AH103" s="116"/>
    </row>
    <row r="104" spans="1:34" ht="17.899999999999999" customHeight="1">
      <c r="A104" s="116"/>
      <c r="B104" s="121"/>
      <c r="D104" s="536"/>
      <c r="P104" s="371" t="s">
        <v>2364</v>
      </c>
      <c r="Q104" s="372"/>
      <c r="R104" s="372"/>
      <c r="S104" s="372"/>
      <c r="T104" s="441">
        <f>COUNTIFS('2. Status Detalhe Campos FY24'!$H$7:$H$740,'1. Status Resumo FY24'!$P103,'2. Status Detalhe Campos FY24'!$C$7:$C$740,'1. Status Resumo FY24'!$G$87,'2. Status Detalhe Campos FY24'!$D$7:$D$740,"2. Campo",'2. Status Detalhe Campos FY24'!$Y$7:$Y$740,"*Plano anterior*")
+COUNTIFS('2. Status Detalhe Campos FY24'!$H$7:$H$740,'1. Status Resumo FY24'!$P103,'2. Status Detalhe Campos FY24'!$C$7:$C$740,'1. Status Resumo FY24'!$H$87,'2. Status Detalhe Campos FY24'!$D$7:$D$740,"2. Campo",'2. Status Detalhe Campos FY24'!$Y$7:$Y$740,"*Plano anterior*")</f>
        <v>0</v>
      </c>
      <c r="U104" s="441">
        <f>COUNTIFS('2. Status Detalhe Campos FY24'!$G$7:$G$740,'1. Status Resumo FY24'!$P103,'2. Status Detalhe Campos FY24'!$C$7:$C$740,'1. Status Resumo FY24'!$G$87,'2. Status Detalhe Campos FY24'!$D$7:$D$740,"2. Campo",'2. Status Detalhe Campos FY24'!$Y$7:$Y$740,"*Plano anterior*")
+COUNTIFS('2. Status Detalhe Campos FY24'!$G$7:$G$740,'1. Status Resumo FY24'!$P103,'2. Status Detalhe Campos FY24'!$C$7:$C$740,'1. Status Resumo FY24'!$H$87,'2. Status Detalhe Campos FY24'!$D$7:$D$740,"2. Campo",'2. Status Detalhe Campos FY24'!$Y$7:$Y$740,"*Plano anterior*")</f>
        <v>0</v>
      </c>
      <c r="V104" s="441">
        <f t="shared" si="5"/>
        <v>0</v>
      </c>
      <c r="W104" s="156"/>
      <c r="X104" s="552"/>
      <c r="Y104" s="553"/>
      <c r="Z104" s="553"/>
      <c r="AA104" s="553"/>
      <c r="AB104" s="553"/>
      <c r="AC104" s="553"/>
      <c r="AD104" s="553"/>
      <c r="AE104" s="553"/>
      <c r="AF104" s="554"/>
      <c r="AG104" s="157"/>
      <c r="AH104" s="116"/>
    </row>
    <row r="105" spans="1:34" ht="17.899999999999999" customHeight="1">
      <c r="A105" s="116"/>
      <c r="B105" s="121"/>
      <c r="D105" s="536"/>
      <c r="P105" s="371" t="s">
        <v>2354</v>
      </c>
      <c r="Q105" s="374"/>
      <c r="R105" s="374"/>
      <c r="S105" s="374"/>
      <c r="T105" s="442">
        <f>COUNTIFS('2. Status Detalhe Campos FY24'!$H$7:$H$740,'1. Status Resumo FY24'!$P103,'2. Status Detalhe Campos FY24'!$C$7:$C$740,'1. Status Resumo FY24'!$G$87,'2. Status Detalhe Campos FY24'!$D$7:$D$740,"2. Campo",'2. Status Detalhe Campos FY24'!$Y$7:$Y$740,"*Novo Plano*")
+COUNTIFS('2. Status Detalhe Campos FY24'!$H$7:$H$740,'1. Status Resumo FY24'!$P103,'2. Status Detalhe Campos FY24'!$C$7:$C$740,'1. Status Resumo FY24'!$H$87,'2. Status Detalhe Campos FY24'!$D$7:$D$740,"2. Campo",'2. Status Detalhe Campos FY24'!$Y$7:$Y$740,"*Novo Plano*")</f>
        <v>0</v>
      </c>
      <c r="U105" s="442">
        <f>COUNTIFS('2. Status Detalhe Campos FY24'!$G$7:$G$740,'1. Status Resumo FY24'!$P103,'2. Status Detalhe Campos FY24'!$C$7:$C$740,'1. Status Resumo FY24'!$G$87,'2. Status Detalhe Campos FY24'!$D$7:$D$740,"2. Campo",'2. Status Detalhe Campos FY24'!$Y$7:$Y$740,"*Novo Plano*")
+COUNTIFS('2. Status Detalhe Campos FY24'!$G$7:$G$740,'1. Status Resumo FY24'!$P103,'2. Status Detalhe Campos FY24'!$C$7:$C$740,'1. Status Resumo FY24'!$H$87,'2. Status Detalhe Campos FY24'!$D$7:$D$740,"2. Campo",'2. Status Detalhe Campos FY24'!$Y$7:$Y$740,"*Novo Plano*")</f>
        <v>0</v>
      </c>
      <c r="V105" s="442">
        <f t="shared" si="5"/>
        <v>0</v>
      </c>
      <c r="W105" s="156"/>
      <c r="X105" s="552"/>
      <c r="Y105" s="553"/>
      <c r="Z105" s="553"/>
      <c r="AA105" s="553"/>
      <c r="AB105" s="553"/>
      <c r="AC105" s="553"/>
      <c r="AD105" s="553"/>
      <c r="AE105" s="553"/>
      <c r="AF105" s="554"/>
      <c r="AG105" s="157"/>
      <c r="AH105" s="116"/>
    </row>
    <row r="106" spans="1:34" ht="17.899999999999999" customHeight="1">
      <c r="A106" s="116"/>
      <c r="B106" s="121"/>
      <c r="D106" s="422"/>
      <c r="P106" s="369" t="s">
        <v>614</v>
      </c>
      <c r="Q106" s="369"/>
      <c r="R106" s="369"/>
      <c r="S106" s="369"/>
      <c r="T106" s="369">
        <f>COUNTIFS('2. Status Detalhe Campos FY24'!$H$7:$H$740,'1. Status Resumo FY24'!$P106,'2. Status Detalhe Campos FY24'!$C$7:$C$740,'1. Status Resumo FY24'!$G$87,'2. Status Detalhe Campos FY24'!$D$7:$D$740,"2. Campo")+COUNTIFS('2. Status Detalhe Campos FY24'!$H$7:$H$740,'1. Status Resumo FY24'!$P106,'2. Status Detalhe Campos FY24'!$C$7:$C$740,'1. Status Resumo FY24'!$H$87,'2. Status Detalhe Campos FY24'!$D$7:$D$740,"2. Campo")</f>
        <v>0</v>
      </c>
      <c r="U106" s="369">
        <f>COUNTIFS('2. Status Detalhe Campos FY24'!$G$7:$G$740,'1. Status Resumo FY24'!$P106,'2. Status Detalhe Campos FY24'!$C$7:$C$740,'1. Status Resumo FY24'!$G$87,'2. Status Detalhe Campos FY24'!$D$7:$D$740,"2. Campo")+COUNTIFS('2. Status Detalhe Campos FY24'!$G$7:$G$740,'1. Status Resumo FY24'!$P106,'2. Status Detalhe Campos FY24'!$C$7:$C$740,'1. Status Resumo FY24'!$H$87,'2. Status Detalhe Campos FY24'!$D$7:$D$740,"2. Campo")</f>
        <v>0</v>
      </c>
      <c r="V106" s="369">
        <f t="shared" si="5"/>
        <v>0</v>
      </c>
      <c r="W106" s="156"/>
      <c r="X106" s="552"/>
      <c r="Y106" s="553"/>
      <c r="Z106" s="553"/>
      <c r="AA106" s="553"/>
      <c r="AB106" s="553"/>
      <c r="AC106" s="553"/>
      <c r="AD106" s="553"/>
      <c r="AE106" s="553"/>
      <c r="AF106" s="554"/>
      <c r="AG106" s="157"/>
      <c r="AH106" s="116"/>
    </row>
    <row r="107" spans="1:34" ht="17.899999999999999" customHeight="1">
      <c r="A107" s="116"/>
      <c r="B107" s="121"/>
      <c r="D107" s="367"/>
      <c r="E107" s="367"/>
      <c r="P107" s="371" t="s">
        <v>2364</v>
      </c>
      <c r="Q107" s="372"/>
      <c r="R107" s="372"/>
      <c r="S107" s="372"/>
      <c r="T107" s="441">
        <f>COUNTIFS('2. Status Detalhe Campos FY24'!$H$7:$H$740,'1. Status Resumo FY24'!$P106,'2. Status Detalhe Campos FY24'!$C$7:$C$740,'1. Status Resumo FY24'!$G$87,'2. Status Detalhe Campos FY24'!$D$7:$D$740,"2. Campo",'2. Status Detalhe Campos FY24'!$Y$7:$Y$740,"*Plano anterior*")
+COUNTIFS('2. Status Detalhe Campos FY24'!$H$7:$H$740,'1. Status Resumo FY24'!$P106,'2. Status Detalhe Campos FY24'!$C$7:$C$740,'1. Status Resumo FY24'!$H$87,'2. Status Detalhe Campos FY24'!$D$7:$D$740,"2. Campo",'2. Status Detalhe Campos FY24'!$Y$7:$Y$740,"*Plano anterior*")</f>
        <v>0</v>
      </c>
      <c r="U107" s="441">
        <f>COUNTIFS('2. Status Detalhe Campos FY24'!$G$7:$G$740,'1. Status Resumo FY24'!$P106,'2. Status Detalhe Campos FY24'!$C$7:$C$740,'1. Status Resumo FY24'!$G$87,'2. Status Detalhe Campos FY24'!$D$7:$D$740,"2. Campo",'2. Status Detalhe Campos FY24'!$Y$7:$Y$740,"*Plano anterior*")
+COUNTIFS('2. Status Detalhe Campos FY24'!$G$7:$G$740,'1. Status Resumo FY24'!$P106,'2. Status Detalhe Campos FY24'!$C$7:$C$740,'1. Status Resumo FY24'!$H$87,'2. Status Detalhe Campos FY24'!$D$7:$D$740,"2. Campo",'2. Status Detalhe Campos FY24'!$Y$7:$Y$740,"*Plano anterior*")</f>
        <v>0</v>
      </c>
      <c r="V107" s="441">
        <f t="shared" si="5"/>
        <v>0</v>
      </c>
      <c r="W107" s="156"/>
      <c r="X107" s="552"/>
      <c r="Y107" s="553"/>
      <c r="Z107" s="553"/>
      <c r="AA107" s="553"/>
      <c r="AB107" s="553"/>
      <c r="AC107" s="553"/>
      <c r="AD107" s="553"/>
      <c r="AE107" s="553"/>
      <c r="AF107" s="554"/>
      <c r="AG107" s="157"/>
      <c r="AH107" s="116"/>
    </row>
    <row r="108" spans="1:34" ht="17.899999999999999" customHeight="1">
      <c r="A108" s="116"/>
      <c r="B108" s="121"/>
      <c r="D108" s="367"/>
      <c r="E108" s="367"/>
      <c r="P108" s="371" t="s">
        <v>2354</v>
      </c>
      <c r="Q108" s="374"/>
      <c r="R108" s="374"/>
      <c r="S108" s="374"/>
      <c r="T108" s="442">
        <f>COUNTIFS('2. Status Detalhe Campos FY24'!$H$7:$H$740,'1. Status Resumo FY24'!$P106,'2. Status Detalhe Campos FY24'!$C$7:$C$740,'1. Status Resumo FY24'!$G$87,'2. Status Detalhe Campos FY24'!$D$7:$D$740,"2. Campo",'2. Status Detalhe Campos FY24'!$Y$7:$Y$740,"*Novo Plano*")
+COUNTIFS('2. Status Detalhe Campos FY24'!$H$7:$H$740,'1. Status Resumo FY24'!$P106,'2. Status Detalhe Campos FY24'!$C$7:$C$740,'1. Status Resumo FY24'!$H$87,'2. Status Detalhe Campos FY24'!$D$7:$D$740,"2. Campo",'2. Status Detalhe Campos FY24'!$Y$7:$Y$740,"*Novo Plano*")</f>
        <v>0</v>
      </c>
      <c r="U108" s="442">
        <f>COUNTIFS('2. Status Detalhe Campos FY24'!$G$7:$G$740,'1. Status Resumo FY24'!$P106,'2. Status Detalhe Campos FY24'!$C$7:$C$740,'1. Status Resumo FY24'!$G$87,'2. Status Detalhe Campos FY24'!$D$7:$D$740,"2. Campo",'2. Status Detalhe Campos FY24'!$Y$7:$Y$740,"*Novo Plano*")
+COUNTIFS('2. Status Detalhe Campos FY24'!$G$7:$G$740,'1. Status Resumo FY24'!$P106,'2. Status Detalhe Campos FY24'!$C$7:$C$740,'1. Status Resumo FY24'!$H$87,'2. Status Detalhe Campos FY24'!$D$7:$D$740,"2. Campo",'2. Status Detalhe Campos FY24'!$Y$7:$Y$740,"*Novo Plano*")</f>
        <v>0</v>
      </c>
      <c r="V108" s="442">
        <f t="shared" si="5"/>
        <v>0</v>
      </c>
      <c r="W108" s="156"/>
      <c r="X108" s="552"/>
      <c r="Y108" s="553"/>
      <c r="Z108" s="553"/>
      <c r="AA108" s="553"/>
      <c r="AB108" s="553"/>
      <c r="AC108" s="553"/>
      <c r="AD108" s="553"/>
      <c r="AE108" s="553"/>
      <c r="AF108" s="554"/>
      <c r="AG108" s="157"/>
      <c r="AH108" s="116"/>
    </row>
    <row r="109" spans="1:34" ht="17.899999999999999" customHeight="1">
      <c r="A109" s="116"/>
      <c r="B109" s="121"/>
      <c r="P109" s="369" t="s">
        <v>615</v>
      </c>
      <c r="Q109" s="369"/>
      <c r="R109" s="369" t="s">
        <v>616</v>
      </c>
      <c r="S109" s="369"/>
      <c r="T109" s="369">
        <f>COUNTIFS('2. Status Detalhe Campos FY24'!$H$7:$H$740,'1. Status Resumo FY24'!$P109,'2. Status Detalhe Campos FY24'!$C$7:$C$740,'1. Status Resumo FY24'!$G$87,'2. Status Detalhe Campos FY24'!$D$7:$D$740,"2. Campo")+COUNTIFS('2. Status Detalhe Campos FY24'!$H$7:$H$740,'1. Status Resumo FY24'!$P109,'2. Status Detalhe Campos FY24'!$C$7:$C$740,'1. Status Resumo FY24'!$H$87,'2. Status Detalhe Campos FY24'!$D$7:$D$740,"2. Campo")</f>
        <v>0</v>
      </c>
      <c r="U109" s="369">
        <f>COUNTIFS('2. Status Detalhe Campos FY24'!$G$7:$G$740,'1. Status Resumo FY24'!$P109,'2. Status Detalhe Campos FY24'!$C$7:$C$740,'1. Status Resumo FY24'!$G$87,'2. Status Detalhe Campos FY24'!$D$7:$D$740,"2. Campo")+COUNTIFS('2. Status Detalhe Campos FY24'!$G$7:$G$740,'1. Status Resumo FY24'!$P109,'2. Status Detalhe Campos FY24'!$C$7:$C$740,'1. Status Resumo FY24'!$H$87,'2. Status Detalhe Campos FY24'!$D$7:$D$740,"2. Campo")</f>
        <v>5</v>
      </c>
      <c r="V109" s="369">
        <f t="shared" si="5"/>
        <v>5</v>
      </c>
      <c r="W109" s="156"/>
      <c r="X109" s="552"/>
      <c r="Y109" s="553"/>
      <c r="Z109" s="553"/>
      <c r="AA109" s="553"/>
      <c r="AB109" s="553"/>
      <c r="AC109" s="553"/>
      <c r="AD109" s="553"/>
      <c r="AE109" s="553"/>
      <c r="AF109" s="554"/>
      <c r="AG109" s="157"/>
      <c r="AH109" s="116"/>
    </row>
    <row r="110" spans="1:34" ht="17.899999999999999" customHeight="1">
      <c r="A110" s="116"/>
      <c r="B110" s="121"/>
      <c r="P110" s="371" t="s">
        <v>2364</v>
      </c>
      <c r="Q110" s="372"/>
      <c r="R110" s="372"/>
      <c r="S110" s="372"/>
      <c r="T110" s="441">
        <f>COUNTIFS('2. Status Detalhe Campos FY24'!$H$7:$H$740,'1. Status Resumo FY24'!$P109,'2. Status Detalhe Campos FY24'!$C$7:$C$740,'1. Status Resumo FY24'!$G$87,'2. Status Detalhe Campos FY24'!$D$7:$D$740,"2. Campo",'2. Status Detalhe Campos FY24'!$Y$7:$Y$740,"*Plano anterior*")
+COUNTIFS('2. Status Detalhe Campos FY24'!$H$7:$H$740,'1. Status Resumo FY24'!$P109,'2. Status Detalhe Campos FY24'!$C$7:$C$740,'1. Status Resumo FY24'!$H$87,'2. Status Detalhe Campos FY24'!$D$7:$D$740,"2. Campo",'2. Status Detalhe Campos FY24'!$Y$7:$Y$740,"*Plano anterior*")</f>
        <v>0</v>
      </c>
      <c r="U110" s="441">
        <f>COUNTIFS('2. Status Detalhe Campos FY24'!$G$7:$G$740,'1. Status Resumo FY24'!$P109,'2. Status Detalhe Campos FY24'!$C$7:$C$740,'1. Status Resumo FY24'!$G$87,'2. Status Detalhe Campos FY24'!$D$7:$D$740,"2. Campo",'2. Status Detalhe Campos FY24'!$Y$7:$Y$740,"*Plano anterior*")
+COUNTIFS('2. Status Detalhe Campos FY24'!$G$7:$G$740,'1. Status Resumo FY24'!$P109,'2. Status Detalhe Campos FY24'!$C$7:$C$740,'1. Status Resumo FY24'!$H$87,'2. Status Detalhe Campos FY24'!$D$7:$D$740,"2. Campo",'2. Status Detalhe Campos FY24'!$Y$7:$Y$740,"*Plano anterior*")</f>
        <v>5</v>
      </c>
      <c r="V110" s="441">
        <f t="shared" si="5"/>
        <v>5</v>
      </c>
      <c r="W110" s="156"/>
      <c r="X110" s="552"/>
      <c r="Y110" s="553"/>
      <c r="Z110" s="553"/>
      <c r="AA110" s="553"/>
      <c r="AB110" s="553"/>
      <c r="AC110" s="553"/>
      <c r="AD110" s="553"/>
      <c r="AE110" s="553"/>
      <c r="AF110" s="554"/>
      <c r="AG110" s="157"/>
      <c r="AH110" s="116"/>
    </row>
    <row r="111" spans="1:34" ht="17.899999999999999" customHeight="1">
      <c r="A111" s="116"/>
      <c r="B111" s="121"/>
      <c r="P111" s="371" t="s">
        <v>2354</v>
      </c>
      <c r="Q111" s="374"/>
      <c r="R111" s="374"/>
      <c r="S111" s="374"/>
      <c r="T111" s="442">
        <f>COUNTIFS('2. Status Detalhe Campos FY24'!$H$7:$H$740,'1. Status Resumo FY24'!$P109,'2. Status Detalhe Campos FY24'!$C$7:$C$740,'1. Status Resumo FY24'!$G$87,'2. Status Detalhe Campos FY24'!$D$7:$D$740,"2. Campo",'2. Status Detalhe Campos FY24'!$Y$7:$Y$740,"*Novo Plano*")
+COUNTIFS('2. Status Detalhe Campos FY24'!$H$7:$H$740,'1. Status Resumo FY24'!$P109,'2. Status Detalhe Campos FY24'!$C$7:$C$740,'1. Status Resumo FY24'!$H$87,'2. Status Detalhe Campos FY24'!$D$7:$D$740,"2. Campo",'2. Status Detalhe Campos FY24'!$Y$7:$Y$740,"*Novo Plano*")</f>
        <v>0</v>
      </c>
      <c r="U111" s="442">
        <f>COUNTIFS('2. Status Detalhe Campos FY24'!$G$7:$G$740,'1. Status Resumo FY24'!$P109,'2. Status Detalhe Campos FY24'!$C$7:$C$740,'1. Status Resumo FY24'!$G$87,'2. Status Detalhe Campos FY24'!$D$7:$D$740,"2. Campo",'2. Status Detalhe Campos FY24'!$Y$7:$Y$740,"*Novo Plano*")
+COUNTIFS('2. Status Detalhe Campos FY24'!$G$7:$G$740,'1. Status Resumo FY24'!$P109,'2. Status Detalhe Campos FY24'!$C$7:$C$740,'1. Status Resumo FY24'!$H$87,'2. Status Detalhe Campos FY24'!$D$7:$D$740,"2. Campo",'2. Status Detalhe Campos FY24'!$Y$7:$Y$740,"*Novo Plano*")</f>
        <v>0</v>
      </c>
      <c r="V111" s="442">
        <f t="shared" si="5"/>
        <v>0</v>
      </c>
      <c r="W111" s="156"/>
      <c r="X111" s="552"/>
      <c r="Y111" s="553"/>
      <c r="Z111" s="553"/>
      <c r="AA111" s="553"/>
      <c r="AB111" s="553"/>
      <c r="AC111" s="553"/>
      <c r="AD111" s="553"/>
      <c r="AE111" s="553"/>
      <c r="AF111" s="554"/>
      <c r="AG111" s="157"/>
      <c r="AH111" s="116"/>
    </row>
    <row r="112" spans="1:34">
      <c r="A112" s="116"/>
      <c r="B112" s="121"/>
      <c r="P112" s="369" t="s">
        <v>2319</v>
      </c>
      <c r="Q112" s="369"/>
      <c r="R112" s="369"/>
      <c r="S112" s="369"/>
      <c r="T112" s="369">
        <f>COUNTIFS('2. Status Detalhe Campos FY24'!$H$7:$H$740,'1. Status Resumo FY24'!$P112,'2. Status Detalhe Campos FY24'!$C$7:$C$740,'1. Status Resumo FY24'!$G$87,'2. Status Detalhe Campos FY24'!$D$7:$D$740,"2. Campo")+COUNTIFS('2. Status Detalhe Campos FY24'!$H$7:$H$740,'1. Status Resumo FY24'!$P112,'2. Status Detalhe Campos FY24'!$C$7:$C$740,'1. Status Resumo FY24'!$H$87,'2. Status Detalhe Campos FY24'!$D$7:$D$740,"2. Campo")</f>
        <v>0</v>
      </c>
      <c r="U112" s="369">
        <f>COUNTIFS('2. Status Detalhe Campos FY24'!$G$7:$G$740,'1. Status Resumo FY24'!$P112,'2. Status Detalhe Campos FY24'!$C$7:$C$740,'1. Status Resumo FY24'!$G$87,'2. Status Detalhe Campos FY24'!$D$7:$D$740,"2. Campo")+COUNTIFS('2. Status Detalhe Campos FY24'!$G$7:$G$740,'1. Status Resumo FY24'!$P112,'2. Status Detalhe Campos FY24'!$C$7:$C$740,'1. Status Resumo FY24'!$H$87,'2. Status Detalhe Campos FY24'!$D$7:$D$740,"2. Campo")</f>
        <v>0</v>
      </c>
      <c r="V112" s="369">
        <f t="shared" si="5"/>
        <v>0</v>
      </c>
      <c r="X112" s="552"/>
      <c r="Y112" s="553"/>
      <c r="Z112" s="553"/>
      <c r="AA112" s="553"/>
      <c r="AB112" s="553"/>
      <c r="AC112" s="553"/>
      <c r="AD112" s="553"/>
      <c r="AE112" s="553"/>
      <c r="AF112" s="554"/>
      <c r="AG112" s="157"/>
      <c r="AH112" s="116"/>
    </row>
    <row r="113" spans="1:34">
      <c r="A113" s="116"/>
      <c r="B113" s="121"/>
      <c r="P113" s="371" t="s">
        <v>2364</v>
      </c>
      <c r="Q113" s="372"/>
      <c r="R113" s="372"/>
      <c r="S113" s="372"/>
      <c r="T113" s="441">
        <f>COUNTIFS('2. Status Detalhe Campos FY24'!$H$7:$H$740,'1. Status Resumo FY24'!$P112,'2. Status Detalhe Campos FY24'!$C$7:$C$740,'1. Status Resumo FY24'!$G$87,'2. Status Detalhe Campos FY24'!$D$7:$D$740,"2. Campo",'2. Status Detalhe Campos FY24'!$Y$7:$Y$740,"*Plano anterior*")
+COUNTIFS('2. Status Detalhe Campos FY24'!$H$7:$H$740,'1. Status Resumo FY24'!$P112,'2. Status Detalhe Campos FY24'!$C$7:$C$740,'1. Status Resumo FY24'!$H$87,'2. Status Detalhe Campos FY24'!$D$7:$D$740,"2. Campo",'2. Status Detalhe Campos FY24'!$Y$7:$Y$740,"*Plano anterior*")</f>
        <v>0</v>
      </c>
      <c r="U113" s="441">
        <f>COUNTIFS('2. Status Detalhe Campos FY24'!$G$7:$G$740,'1. Status Resumo FY24'!$P112,'2. Status Detalhe Campos FY24'!$C$7:$C$740,'1. Status Resumo FY24'!$G$87,'2. Status Detalhe Campos FY24'!$D$7:$D$740,"2. Campo",'2. Status Detalhe Campos FY24'!$Y$7:$Y$740,"*Plano anterior*")
+COUNTIFS('2. Status Detalhe Campos FY24'!$G$7:$G$740,'1. Status Resumo FY24'!$P112,'2. Status Detalhe Campos FY24'!$C$7:$C$740,'1. Status Resumo FY24'!$H$87,'2. Status Detalhe Campos FY24'!$D$7:$D$740,"2. Campo",'2. Status Detalhe Campos FY24'!$Y$7:$Y$740,"*Plano anterior*")</f>
        <v>0</v>
      </c>
      <c r="V113" s="441">
        <f t="shared" si="5"/>
        <v>0</v>
      </c>
      <c r="X113" s="552"/>
      <c r="Y113" s="553"/>
      <c r="Z113" s="553"/>
      <c r="AA113" s="553"/>
      <c r="AB113" s="553"/>
      <c r="AC113" s="553"/>
      <c r="AD113" s="553"/>
      <c r="AE113" s="553"/>
      <c r="AF113" s="554"/>
      <c r="AG113" s="157"/>
      <c r="AH113" s="116"/>
    </row>
    <row r="114" spans="1:34">
      <c r="A114" s="116"/>
      <c r="B114" s="121"/>
      <c r="P114" s="371" t="s">
        <v>2354</v>
      </c>
      <c r="Q114" s="374"/>
      <c r="R114" s="374"/>
      <c r="S114" s="374"/>
      <c r="T114" s="442">
        <f>COUNTIFS('2. Status Detalhe Campos FY24'!$H$7:$H$740,'1. Status Resumo FY24'!$P112,'2. Status Detalhe Campos FY24'!$C$7:$C$740,'1. Status Resumo FY24'!$G$87,'2. Status Detalhe Campos FY24'!$D$7:$D$740,"2. Campo",'2. Status Detalhe Campos FY24'!$Y$7:$Y$740,"*Novo Plano*")
+COUNTIFS('2. Status Detalhe Campos FY24'!$H$7:$H$740,'1. Status Resumo FY24'!$P112,'2. Status Detalhe Campos FY24'!$C$7:$C$740,'1. Status Resumo FY24'!$H$87,'2. Status Detalhe Campos FY24'!$D$7:$D$740,"2. Campo",'2. Status Detalhe Campos FY24'!$Y$7:$Y$740,"*Novo Plano*")</f>
        <v>0</v>
      </c>
      <c r="U114" s="442">
        <f>COUNTIFS('2. Status Detalhe Campos FY24'!$G$7:$G$740,'1. Status Resumo FY24'!$P112,'2. Status Detalhe Campos FY24'!$C$7:$C$740,'1. Status Resumo FY24'!$G$87,'2. Status Detalhe Campos FY24'!$D$7:$D$740,"2. Campo",'2. Status Detalhe Campos FY24'!$Y$7:$Y$740,"*Novo Plano*")
+COUNTIFS('2. Status Detalhe Campos FY24'!$G$7:$G$740,'1. Status Resumo FY24'!$P112,'2. Status Detalhe Campos FY24'!$C$7:$C$740,'1. Status Resumo FY24'!$H$87,'2. Status Detalhe Campos FY24'!$D$7:$D$740,"2. Campo",'2. Status Detalhe Campos FY24'!$Y$7:$Y$740,"*Novo Plano*")</f>
        <v>0</v>
      </c>
      <c r="V114" s="442">
        <f t="shared" si="5"/>
        <v>0</v>
      </c>
      <c r="X114" s="552"/>
      <c r="Y114" s="553"/>
      <c r="Z114" s="553"/>
      <c r="AA114" s="553"/>
      <c r="AB114" s="553"/>
      <c r="AC114" s="553"/>
      <c r="AD114" s="553"/>
      <c r="AE114" s="553"/>
      <c r="AF114" s="554"/>
      <c r="AG114" s="157"/>
      <c r="AH114" s="116"/>
    </row>
    <row r="115" spans="1:34">
      <c r="A115" s="116"/>
      <c r="B115" s="121"/>
      <c r="P115" s="369" t="s">
        <v>28</v>
      </c>
      <c r="Q115" s="369"/>
      <c r="R115" s="369"/>
      <c r="S115" s="369"/>
      <c r="T115" s="369">
        <f>COUNTIFS('2. Status Detalhe Campos FY24'!$H$7:$H$740,'1. Status Resumo FY24'!$P115,'2. Status Detalhe Campos FY24'!$C$7:$C$740,'1. Status Resumo FY24'!$G$87,'2. Status Detalhe Campos FY24'!$D$7:$D$740,"2. Campo")+COUNTIFS('2. Status Detalhe Campos FY24'!$H$7:$H$740,'1. Status Resumo FY24'!$P115,'2. Status Detalhe Campos FY24'!$C$7:$C$740,'1. Status Resumo FY24'!$H$87,'2. Status Detalhe Campos FY24'!$D$7:$D$740,"2. Campo")</f>
        <v>0</v>
      </c>
      <c r="U115" s="369">
        <f>COUNTIFS('2. Status Detalhe Campos FY24'!$G$7:$G$740,'1. Status Resumo FY24'!$P115,'2. Status Detalhe Campos FY24'!$C$7:$C$740,'1. Status Resumo FY24'!$G$87,'2. Status Detalhe Campos FY24'!$D$7:$D$740,"2. Campo")+COUNTIFS('2. Status Detalhe Campos FY24'!$G$7:$G$740,'1. Status Resumo FY24'!$P115,'2. Status Detalhe Campos FY24'!$C$7:$C$740,'1. Status Resumo FY24'!$H$87,'2. Status Detalhe Campos FY24'!$D$7:$D$740,"2. Campo")</f>
        <v>0</v>
      </c>
      <c r="V115" s="369">
        <f t="shared" si="5"/>
        <v>0</v>
      </c>
      <c r="X115" s="552"/>
      <c r="Y115" s="553"/>
      <c r="Z115" s="553"/>
      <c r="AA115" s="553"/>
      <c r="AB115" s="553"/>
      <c r="AC115" s="553"/>
      <c r="AD115" s="553"/>
      <c r="AE115" s="553"/>
      <c r="AF115" s="554"/>
      <c r="AG115" s="157"/>
      <c r="AH115" s="116"/>
    </row>
    <row r="116" spans="1:34">
      <c r="A116" s="116"/>
      <c r="B116" s="121"/>
      <c r="P116" s="371" t="s">
        <v>2364</v>
      </c>
      <c r="Q116" s="372"/>
      <c r="R116" s="372"/>
      <c r="S116" s="372"/>
      <c r="T116" s="441">
        <f>COUNTIFS('2. Status Detalhe Campos FY24'!$H$7:$H$740,'1. Status Resumo FY24'!$P115,'2. Status Detalhe Campos FY24'!$C$7:$C$740,'1. Status Resumo FY24'!$G$87,'2. Status Detalhe Campos FY24'!$D$7:$D$740,"2. Campo",'2. Status Detalhe Campos FY24'!$Y$7:$Y$740,"*Plano anterior*")
+COUNTIFS('2. Status Detalhe Campos FY24'!$H$7:$H$740,'1. Status Resumo FY24'!$P115,'2. Status Detalhe Campos FY24'!$C$7:$C$740,'1. Status Resumo FY24'!$H$87,'2. Status Detalhe Campos FY24'!$D$7:$D$740,"2. Campo",'2. Status Detalhe Campos FY24'!$Y$7:$Y$740,"*Plano anterior*")</f>
        <v>0</v>
      </c>
      <c r="U116" s="441">
        <f>COUNTIFS('2. Status Detalhe Campos FY24'!$G$7:$G$740,'1. Status Resumo FY24'!$P115,'2. Status Detalhe Campos FY24'!$C$7:$C$740,'1. Status Resumo FY24'!$G$87,'2. Status Detalhe Campos FY24'!$D$7:$D$740,"2. Campo",'2. Status Detalhe Campos FY24'!$Y$7:$Y$740,"*Plano anterior*")
+COUNTIFS('2. Status Detalhe Campos FY24'!$G$7:$G$740,'1. Status Resumo FY24'!$P115,'2. Status Detalhe Campos FY24'!$C$7:$C$740,'1. Status Resumo FY24'!$H$87,'2. Status Detalhe Campos FY24'!$D$7:$D$740,"2. Campo",'2. Status Detalhe Campos FY24'!$Y$7:$Y$740,"*Plano anterior*")</f>
        <v>0</v>
      </c>
      <c r="V116" s="441">
        <f t="shared" si="5"/>
        <v>0</v>
      </c>
      <c r="X116" s="552"/>
      <c r="Y116" s="553"/>
      <c r="Z116" s="553"/>
      <c r="AA116" s="553"/>
      <c r="AB116" s="553"/>
      <c r="AC116" s="553"/>
      <c r="AD116" s="553"/>
      <c r="AE116" s="553"/>
      <c r="AF116" s="554"/>
      <c r="AG116" s="157"/>
      <c r="AH116" s="116"/>
    </row>
    <row r="117" spans="1:34">
      <c r="A117" s="116"/>
      <c r="B117" s="121"/>
      <c r="P117" s="375" t="s">
        <v>2354</v>
      </c>
      <c r="Q117" s="376"/>
      <c r="R117" s="376"/>
      <c r="S117" s="376"/>
      <c r="T117" s="443">
        <f>COUNTIFS('2. Status Detalhe Campos FY24'!$H$7:$H$740,'1. Status Resumo FY24'!$P115,'2. Status Detalhe Campos FY24'!$C$7:$C$740,'1. Status Resumo FY24'!$G$87,'2. Status Detalhe Campos FY24'!$D$7:$D$740,"2. Campo",'2. Status Detalhe Campos FY24'!$Y$7:$Y$740,"*Novo Plano*")
+COUNTIFS('2. Status Detalhe Campos FY24'!$H$7:$H$740,'1. Status Resumo FY24'!$P115,'2. Status Detalhe Campos FY24'!$C$7:$C$740,'1. Status Resumo FY24'!$H$87,'2. Status Detalhe Campos FY24'!$D$7:$D$740,"2. Campo",'2. Status Detalhe Campos FY24'!$Y$7:$Y$740,"*Novo Plano*")</f>
        <v>0</v>
      </c>
      <c r="U117" s="443">
        <f>COUNTIFS('2. Status Detalhe Campos FY24'!$G$7:$G$740,'1. Status Resumo FY24'!$P115,'2. Status Detalhe Campos FY24'!$C$7:$C$740,'1. Status Resumo FY24'!$G$87,'2. Status Detalhe Campos FY24'!$D$7:$D$740,"2. Campo",'2. Status Detalhe Campos FY24'!$Y$7:$Y$740,"*Novo Plano*")
+COUNTIFS('2. Status Detalhe Campos FY24'!$G$7:$G$740,'1. Status Resumo FY24'!$P115,'2. Status Detalhe Campos FY24'!$C$7:$C$740,'1. Status Resumo FY24'!$H$87,'2. Status Detalhe Campos FY24'!$D$7:$D$740,"2. Campo",'2. Status Detalhe Campos FY24'!$Y$7:$Y$740,"*Novo Plano*")</f>
        <v>0</v>
      </c>
      <c r="V117" s="443">
        <f t="shared" si="5"/>
        <v>0</v>
      </c>
      <c r="X117" s="552"/>
      <c r="Y117" s="553"/>
      <c r="Z117" s="553"/>
      <c r="AA117" s="553"/>
      <c r="AB117" s="553"/>
      <c r="AC117" s="553"/>
      <c r="AD117" s="553"/>
      <c r="AE117" s="553"/>
      <c r="AF117" s="554"/>
      <c r="AG117" s="157"/>
      <c r="AH117" s="116"/>
    </row>
    <row r="118" spans="1:34">
      <c r="A118" s="116"/>
      <c r="B118" s="121"/>
      <c r="P118" s="127" t="s">
        <v>2325</v>
      </c>
      <c r="T118" s="127">
        <f>+SUM(T91,T94,T97,T103,T106,T109,T112,T115,T100)</f>
        <v>302</v>
      </c>
      <c r="U118" s="127">
        <f>+SUM(U91,U94,U97,U103,U106,U109,U112,U115,U100)</f>
        <v>302</v>
      </c>
      <c r="V118" s="127">
        <f>+U118-T118</f>
        <v>0</v>
      </c>
      <c r="X118" s="552"/>
      <c r="Y118" s="553"/>
      <c r="Z118" s="553"/>
      <c r="AA118" s="553"/>
      <c r="AB118" s="553"/>
      <c r="AC118" s="553"/>
      <c r="AD118" s="553"/>
      <c r="AE118" s="553"/>
      <c r="AF118" s="554"/>
      <c r="AG118" s="157"/>
      <c r="AH118" s="116"/>
    </row>
    <row r="119" spans="1:34">
      <c r="A119" s="116"/>
      <c r="B119" s="121"/>
      <c r="P119" s="377" t="s">
        <v>2364</v>
      </c>
      <c r="T119" s="444">
        <f>+SUM(T92,T95,T98,T101,T104,T107,T110,T113,T116)</f>
        <v>277</v>
      </c>
      <c r="U119" s="444">
        <f>+SUM(U92,U95,U98,U101,U104,U107,U110,U113,U116)</f>
        <v>277</v>
      </c>
      <c r="V119" s="444">
        <f>+U119-T119</f>
        <v>0</v>
      </c>
      <c r="X119" s="552"/>
      <c r="Y119" s="553"/>
      <c r="Z119" s="553"/>
      <c r="AA119" s="553"/>
      <c r="AB119" s="553"/>
      <c r="AC119" s="553"/>
      <c r="AD119" s="553"/>
      <c r="AE119" s="553"/>
      <c r="AF119" s="554"/>
      <c r="AG119" s="157"/>
      <c r="AH119" s="116"/>
    </row>
    <row r="120" spans="1:34">
      <c r="A120" s="116"/>
      <c r="B120" s="121"/>
      <c r="P120" s="378" t="s">
        <v>2354</v>
      </c>
      <c r="Q120" s="130"/>
      <c r="R120" s="130"/>
      <c r="S120" s="130"/>
      <c r="T120" s="445">
        <f>+SUM(T93,T96,T99,T102,T105,T108,T111,T114,T117)</f>
        <v>25</v>
      </c>
      <c r="U120" s="445">
        <f>+SUM(U93,U96,U99,U102,U105,U108,U111,U114,U117)</f>
        <v>25</v>
      </c>
      <c r="V120" s="445">
        <f>+U120-T120</f>
        <v>0</v>
      </c>
      <c r="X120" s="552"/>
      <c r="Y120" s="553"/>
      <c r="Z120" s="553"/>
      <c r="AA120" s="553"/>
      <c r="AB120" s="553"/>
      <c r="AC120" s="553"/>
      <c r="AD120" s="553"/>
      <c r="AE120" s="553"/>
      <c r="AF120" s="554"/>
      <c r="AG120" s="157"/>
      <c r="AH120" s="116"/>
    </row>
    <row r="121" spans="1:34">
      <c r="A121" s="116"/>
      <c r="B121" s="121"/>
      <c r="X121" s="552"/>
      <c r="Y121" s="553"/>
      <c r="Z121" s="553"/>
      <c r="AA121" s="553"/>
      <c r="AB121" s="553"/>
      <c r="AC121" s="553"/>
      <c r="AD121" s="553"/>
      <c r="AE121" s="553"/>
      <c r="AF121" s="554"/>
      <c r="AG121" s="157"/>
      <c r="AH121" s="116"/>
    </row>
    <row r="122" spans="1:34">
      <c r="A122" s="116"/>
      <c r="B122" s="121"/>
      <c r="P122" s="129" t="s">
        <v>632</v>
      </c>
      <c r="Q122" s="130"/>
      <c r="R122" s="130"/>
      <c r="S122" s="130"/>
      <c r="T122" s="130"/>
      <c r="U122" s="130"/>
      <c r="V122" s="130"/>
      <c r="X122" s="552"/>
      <c r="Y122" s="553"/>
      <c r="Z122" s="553"/>
      <c r="AA122" s="553"/>
      <c r="AB122" s="553"/>
      <c r="AC122" s="553"/>
      <c r="AD122" s="553"/>
      <c r="AE122" s="553"/>
      <c r="AF122" s="554"/>
      <c r="AG122" s="157"/>
      <c r="AH122" s="116"/>
    </row>
    <row r="123" spans="1:34">
      <c r="A123" s="116"/>
      <c r="B123" s="121"/>
      <c r="O123" s="159" t="s">
        <v>619</v>
      </c>
      <c r="P123" s="25" t="s">
        <v>216</v>
      </c>
      <c r="T123" s="161" t="s">
        <v>621</v>
      </c>
      <c r="X123" s="552"/>
      <c r="Y123" s="553"/>
      <c r="Z123" s="553"/>
      <c r="AA123" s="553"/>
      <c r="AB123" s="553"/>
      <c r="AC123" s="553"/>
      <c r="AD123" s="553"/>
      <c r="AE123" s="553"/>
      <c r="AF123" s="554"/>
      <c r="AG123" s="157"/>
      <c r="AH123" s="116"/>
    </row>
    <row r="124" spans="1:34">
      <c r="A124" s="116"/>
      <c r="B124" s="121"/>
      <c r="O124" s="159" t="s">
        <v>619</v>
      </c>
      <c r="P124" s="25" t="s">
        <v>215</v>
      </c>
      <c r="T124" s="161" t="s">
        <v>621</v>
      </c>
      <c r="X124" s="552"/>
      <c r="Y124" s="553"/>
      <c r="Z124" s="553"/>
      <c r="AA124" s="553"/>
      <c r="AB124" s="553"/>
      <c r="AC124" s="553"/>
      <c r="AD124" s="553"/>
      <c r="AE124" s="553"/>
      <c r="AF124" s="554"/>
      <c r="AG124" s="157"/>
      <c r="AH124" s="116"/>
    </row>
    <row r="125" spans="1:34">
      <c r="A125" s="116"/>
      <c r="B125" s="121"/>
      <c r="O125" s="159" t="s">
        <v>619</v>
      </c>
      <c r="P125" s="25" t="s">
        <v>213</v>
      </c>
      <c r="T125" s="161" t="s">
        <v>621</v>
      </c>
      <c r="X125" s="552"/>
      <c r="Y125" s="553"/>
      <c r="Z125" s="553"/>
      <c r="AA125" s="553"/>
      <c r="AB125" s="553"/>
      <c r="AC125" s="553"/>
      <c r="AD125" s="553"/>
      <c r="AE125" s="553"/>
      <c r="AF125" s="554"/>
      <c r="AG125" s="157"/>
      <c r="AH125" s="116"/>
    </row>
    <row r="126" spans="1:34">
      <c r="A126" s="116"/>
      <c r="B126" s="121"/>
      <c r="O126" s="159" t="s">
        <v>619</v>
      </c>
      <c r="P126" s="25" t="s">
        <v>212</v>
      </c>
      <c r="T126" s="161" t="s">
        <v>621</v>
      </c>
      <c r="X126" s="552"/>
      <c r="Y126" s="553"/>
      <c r="Z126" s="553"/>
      <c r="AA126" s="553"/>
      <c r="AB126" s="553"/>
      <c r="AC126" s="553"/>
      <c r="AD126" s="553"/>
      <c r="AE126" s="553"/>
      <c r="AF126" s="554"/>
      <c r="AG126" s="157"/>
      <c r="AH126" s="116"/>
    </row>
    <row r="127" spans="1:34">
      <c r="A127" s="116"/>
      <c r="B127" s="121"/>
      <c r="O127" s="159" t="s">
        <v>619</v>
      </c>
      <c r="P127" s="25" t="s">
        <v>217</v>
      </c>
      <c r="T127" s="161" t="s">
        <v>621</v>
      </c>
      <c r="X127" s="552"/>
      <c r="Y127" s="553"/>
      <c r="Z127" s="553"/>
      <c r="AA127" s="553"/>
      <c r="AB127" s="553"/>
      <c r="AC127" s="553"/>
      <c r="AD127" s="553"/>
      <c r="AE127" s="553"/>
      <c r="AF127" s="554"/>
      <c r="AG127" s="157"/>
      <c r="AH127" s="116"/>
    </row>
    <row r="128" spans="1:34">
      <c r="A128" s="116"/>
      <c r="B128" s="121"/>
      <c r="O128" s="159" t="s">
        <v>619</v>
      </c>
      <c r="P128" s="25" t="s">
        <v>218</v>
      </c>
      <c r="T128" s="161" t="s">
        <v>621</v>
      </c>
      <c r="X128" s="552"/>
      <c r="Y128" s="553"/>
      <c r="Z128" s="553"/>
      <c r="AA128" s="553"/>
      <c r="AB128" s="553"/>
      <c r="AC128" s="553"/>
      <c r="AD128" s="553"/>
      <c r="AE128" s="553"/>
      <c r="AF128" s="554"/>
      <c r="AG128" s="157"/>
      <c r="AH128" s="116"/>
    </row>
    <row r="129" spans="1:34">
      <c r="A129" s="116"/>
      <c r="B129" s="121"/>
      <c r="O129" s="159" t="s">
        <v>619</v>
      </c>
      <c r="P129" s="25" t="s">
        <v>219</v>
      </c>
      <c r="T129" s="161" t="s">
        <v>621</v>
      </c>
      <c r="X129" s="552"/>
      <c r="Y129" s="553"/>
      <c r="Z129" s="553"/>
      <c r="AA129" s="553"/>
      <c r="AB129" s="553"/>
      <c r="AC129" s="553"/>
      <c r="AD129" s="553"/>
      <c r="AE129" s="553"/>
      <c r="AF129" s="554"/>
      <c r="AG129" s="157"/>
      <c r="AH129" s="116"/>
    </row>
    <row r="130" spans="1:34">
      <c r="A130" s="116"/>
      <c r="B130" s="121"/>
      <c r="O130" s="159" t="s">
        <v>619</v>
      </c>
      <c r="P130" s="25" t="s">
        <v>214</v>
      </c>
      <c r="T130" s="161" t="s">
        <v>621</v>
      </c>
      <c r="X130" s="552"/>
      <c r="Y130" s="553"/>
      <c r="Z130" s="553"/>
      <c r="AA130" s="553"/>
      <c r="AB130" s="553"/>
      <c r="AC130" s="553"/>
      <c r="AD130" s="553"/>
      <c r="AE130" s="553"/>
      <c r="AF130" s="554"/>
      <c r="AG130" s="157"/>
      <c r="AH130" s="116"/>
    </row>
    <row r="131" spans="1:34">
      <c r="A131" s="116"/>
      <c r="B131" s="121"/>
      <c r="O131" s="159" t="s">
        <v>619</v>
      </c>
      <c r="P131" s="25" t="s">
        <v>182</v>
      </c>
      <c r="T131" s="161" t="s">
        <v>621</v>
      </c>
      <c r="X131" s="552"/>
      <c r="Y131" s="553"/>
      <c r="Z131" s="553"/>
      <c r="AA131" s="553"/>
      <c r="AB131" s="553"/>
      <c r="AC131" s="553"/>
      <c r="AD131" s="553"/>
      <c r="AE131" s="553"/>
      <c r="AF131" s="554"/>
      <c r="AG131" s="157"/>
      <c r="AH131" s="116"/>
    </row>
    <row r="132" spans="1:34">
      <c r="A132" s="116"/>
      <c r="B132" s="121"/>
      <c r="O132" s="159" t="s">
        <v>619</v>
      </c>
      <c r="P132" s="168" t="s">
        <v>2317</v>
      </c>
      <c r="T132" s="161" t="s">
        <v>621</v>
      </c>
      <c r="X132" s="552"/>
      <c r="Y132" s="553"/>
      <c r="Z132" s="553"/>
      <c r="AA132" s="553"/>
      <c r="AB132" s="553"/>
      <c r="AC132" s="553"/>
      <c r="AD132" s="553"/>
      <c r="AE132" s="553"/>
      <c r="AF132" s="554"/>
      <c r="AG132" s="157"/>
      <c r="AH132" s="116"/>
    </row>
    <row r="133" spans="1:34">
      <c r="A133" s="116"/>
      <c r="B133" s="121"/>
      <c r="O133" s="159" t="s">
        <v>619</v>
      </c>
      <c r="P133" s="168" t="s">
        <v>2316</v>
      </c>
      <c r="T133" s="161" t="s">
        <v>621</v>
      </c>
      <c r="X133" s="552"/>
      <c r="Y133" s="553"/>
      <c r="Z133" s="553"/>
      <c r="AA133" s="553"/>
      <c r="AB133" s="553"/>
      <c r="AC133" s="553"/>
      <c r="AD133" s="553"/>
      <c r="AE133" s="553"/>
      <c r="AF133" s="554"/>
      <c r="AG133" s="157"/>
      <c r="AH133" s="116"/>
    </row>
    <row r="134" spans="1:34">
      <c r="A134" s="116"/>
      <c r="B134" s="121"/>
      <c r="P134" s="158"/>
      <c r="X134" s="552"/>
      <c r="Y134" s="553"/>
      <c r="Z134" s="553"/>
      <c r="AA134" s="553"/>
      <c r="AB134" s="553"/>
      <c r="AC134" s="553"/>
      <c r="AD134" s="553"/>
      <c r="AE134" s="553"/>
      <c r="AF134" s="554"/>
      <c r="AG134" s="157"/>
      <c r="AH134" s="116"/>
    </row>
    <row r="135" spans="1:34">
      <c r="A135" s="116"/>
      <c r="B135" s="121"/>
      <c r="O135" s="159" t="s">
        <v>619</v>
      </c>
      <c r="P135" s="129" t="s">
        <v>633</v>
      </c>
      <c r="Q135" s="130"/>
      <c r="R135" s="130"/>
      <c r="S135" s="130"/>
      <c r="T135" s="130"/>
      <c r="U135" s="130"/>
      <c r="V135" s="130"/>
      <c r="X135" s="552"/>
      <c r="Y135" s="553"/>
      <c r="Z135" s="553"/>
      <c r="AA135" s="553"/>
      <c r="AB135" s="553"/>
      <c r="AC135" s="553"/>
      <c r="AD135" s="553"/>
      <c r="AE135" s="553"/>
      <c r="AF135" s="554"/>
      <c r="AG135" s="157"/>
      <c r="AH135" s="116"/>
    </row>
    <row r="136" spans="1:34">
      <c r="A136" s="116"/>
      <c r="B136" s="121"/>
      <c r="O136" s="159" t="s">
        <v>619</v>
      </c>
      <c r="P136" s="25" t="s">
        <v>634</v>
      </c>
      <c r="T136" s="161" t="s">
        <v>621</v>
      </c>
      <c r="X136" s="552"/>
      <c r="Y136" s="553"/>
      <c r="Z136" s="553"/>
      <c r="AA136" s="553"/>
      <c r="AB136" s="553"/>
      <c r="AC136" s="553"/>
      <c r="AD136" s="553"/>
      <c r="AE136" s="553"/>
      <c r="AF136" s="554"/>
      <c r="AG136" s="157"/>
      <c r="AH136" s="116"/>
    </row>
    <row r="137" spans="1:34">
      <c r="A137" s="116"/>
      <c r="B137" s="121"/>
      <c r="O137" s="159" t="s">
        <v>619</v>
      </c>
      <c r="P137" s="25" t="s">
        <v>311</v>
      </c>
      <c r="T137" s="161" t="s">
        <v>635</v>
      </c>
      <c r="X137" s="552"/>
      <c r="Y137" s="553"/>
      <c r="Z137" s="553"/>
      <c r="AA137" s="553"/>
      <c r="AB137" s="553"/>
      <c r="AC137" s="553"/>
      <c r="AD137" s="553"/>
      <c r="AE137" s="553"/>
      <c r="AF137" s="554"/>
      <c r="AG137" s="157"/>
      <c r="AH137" s="116"/>
    </row>
    <row r="138" spans="1:34">
      <c r="A138" s="116"/>
      <c r="B138" s="121"/>
      <c r="O138" s="159" t="s">
        <v>619</v>
      </c>
      <c r="P138" s="25" t="s">
        <v>325</v>
      </c>
      <c r="T138" s="161" t="s">
        <v>621</v>
      </c>
      <c r="X138" s="552"/>
      <c r="Y138" s="553"/>
      <c r="Z138" s="553"/>
      <c r="AA138" s="553"/>
      <c r="AB138" s="553"/>
      <c r="AC138" s="553"/>
      <c r="AD138" s="553"/>
      <c r="AE138" s="553"/>
      <c r="AF138" s="554"/>
      <c r="AG138" s="157"/>
      <c r="AH138" s="116"/>
    </row>
    <row r="139" spans="1:34">
      <c r="A139" s="116"/>
      <c r="B139" s="121"/>
      <c r="O139" s="159" t="s">
        <v>619</v>
      </c>
      <c r="P139" s="25" t="s">
        <v>333</v>
      </c>
      <c r="T139" s="161" t="s">
        <v>621</v>
      </c>
      <c r="X139" s="552"/>
      <c r="Y139" s="553"/>
      <c r="Z139" s="553"/>
      <c r="AA139" s="553"/>
      <c r="AB139" s="553"/>
      <c r="AC139" s="553"/>
      <c r="AD139" s="553"/>
      <c r="AE139" s="553"/>
      <c r="AF139" s="554"/>
      <c r="AG139" s="157"/>
      <c r="AH139" s="116"/>
    </row>
    <row r="140" spans="1:34">
      <c r="A140" s="116"/>
      <c r="B140" s="121"/>
      <c r="O140" s="159"/>
      <c r="T140" s="160"/>
      <c r="X140" s="555"/>
      <c r="Y140" s="556"/>
      <c r="Z140" s="556"/>
      <c r="AA140" s="556"/>
      <c r="AB140" s="556"/>
      <c r="AC140" s="556"/>
      <c r="AD140" s="556"/>
      <c r="AE140" s="556"/>
      <c r="AF140" s="557"/>
      <c r="AG140" s="157"/>
      <c r="AH140" s="116"/>
    </row>
    <row r="141" spans="1:34">
      <c r="A141" s="116"/>
      <c r="B141" s="123"/>
      <c r="C141" s="124"/>
      <c r="D141" s="124"/>
      <c r="E141" s="124"/>
      <c r="F141" s="124"/>
      <c r="G141" s="124"/>
      <c r="H141" s="124"/>
      <c r="I141" s="124"/>
      <c r="J141" s="124"/>
      <c r="K141" s="124"/>
      <c r="L141" s="124"/>
      <c r="M141" s="124"/>
      <c r="N141" s="124"/>
      <c r="O141" s="124"/>
      <c r="P141" s="124"/>
      <c r="Q141" s="124"/>
      <c r="R141" s="124"/>
      <c r="S141" s="124"/>
      <c r="T141" s="124"/>
      <c r="U141" s="124"/>
      <c r="V141" s="124"/>
      <c r="W141" s="124"/>
      <c r="X141" s="124" t="s">
        <v>631</v>
      </c>
      <c r="Y141" s="124"/>
      <c r="Z141" s="124"/>
      <c r="AA141" s="124"/>
      <c r="AB141" s="124"/>
      <c r="AC141" s="124"/>
      <c r="AD141" s="124"/>
      <c r="AE141" s="124"/>
      <c r="AF141" s="124"/>
      <c r="AG141" s="125"/>
      <c r="AH141" s="116"/>
    </row>
    <row r="142" spans="1:34">
      <c r="A142" s="116"/>
      <c r="B142" s="116"/>
      <c r="C142" s="116"/>
      <c r="D142" s="116"/>
      <c r="E142" s="116"/>
      <c r="F142" s="116"/>
      <c r="G142" s="116"/>
      <c r="H142" s="116"/>
      <c r="I142" s="116"/>
      <c r="J142" s="116"/>
      <c r="K142" s="116"/>
      <c r="L142" s="116"/>
      <c r="M142" s="116"/>
      <c r="N142" s="116"/>
      <c r="O142" s="116"/>
      <c r="P142" s="116"/>
      <c r="Q142" s="116"/>
      <c r="R142" s="116"/>
      <c r="S142" s="116"/>
      <c r="T142" s="116"/>
      <c r="U142" s="116"/>
      <c r="V142" s="116"/>
      <c r="W142" s="116"/>
      <c r="X142" s="116"/>
      <c r="Y142" s="116"/>
      <c r="Z142" s="116"/>
      <c r="AA142" s="116"/>
      <c r="AB142" s="116"/>
      <c r="AC142" s="116"/>
      <c r="AD142" s="116"/>
      <c r="AE142" s="116"/>
      <c r="AF142" s="116"/>
      <c r="AG142" s="116"/>
      <c r="AH142" s="116"/>
    </row>
    <row r="143" spans="1:34" ht="24" customHeight="1">
      <c r="A143" s="116"/>
      <c r="B143" s="126" t="s">
        <v>2328</v>
      </c>
      <c r="C143" s="116"/>
      <c r="D143" s="116"/>
      <c r="E143" s="116"/>
      <c r="F143" s="116"/>
      <c r="G143" s="128" t="s">
        <v>26</v>
      </c>
      <c r="H143" s="128"/>
      <c r="I143" s="116"/>
      <c r="J143" s="116"/>
      <c r="K143" s="116"/>
      <c r="L143" s="116"/>
      <c r="M143" s="116"/>
      <c r="N143" s="116"/>
      <c r="O143" s="116"/>
      <c r="P143" s="116"/>
      <c r="Q143" s="116"/>
      <c r="R143" s="116"/>
      <c r="S143" s="116"/>
      <c r="T143" s="116"/>
      <c r="U143" s="116"/>
      <c r="V143" s="116"/>
      <c r="W143" s="116"/>
      <c r="X143" s="116"/>
      <c r="Y143" s="116"/>
      <c r="Z143" s="116"/>
      <c r="AA143" s="116"/>
      <c r="AB143" s="116"/>
      <c r="AC143" s="116"/>
      <c r="AD143" s="116"/>
      <c r="AE143" s="116"/>
      <c r="AF143" s="116"/>
      <c r="AG143" s="116"/>
      <c r="AH143" s="116"/>
    </row>
    <row r="144" spans="1:34" ht="5.15" customHeight="1">
      <c r="A144" s="116"/>
      <c r="B144" s="126"/>
      <c r="C144" s="116"/>
      <c r="D144" s="116"/>
      <c r="E144" s="116"/>
      <c r="F144" s="116"/>
      <c r="G144" s="128"/>
      <c r="H144" s="128"/>
      <c r="I144" s="116"/>
      <c r="J144" s="116"/>
      <c r="K144" s="116"/>
      <c r="L144" s="116"/>
      <c r="M144" s="116"/>
      <c r="N144" s="116"/>
      <c r="O144" s="116"/>
      <c r="P144" s="116"/>
      <c r="Q144" s="116"/>
      <c r="R144" s="116"/>
      <c r="S144" s="116"/>
      <c r="T144" s="116"/>
      <c r="U144" s="116"/>
      <c r="V144" s="116"/>
      <c r="W144" s="116"/>
      <c r="X144" s="116"/>
      <c r="Y144" s="116"/>
      <c r="Z144" s="116"/>
      <c r="AA144" s="116"/>
      <c r="AB144" s="116"/>
      <c r="AC144" s="116"/>
      <c r="AD144" s="116"/>
      <c r="AE144" s="116"/>
      <c r="AF144" s="116"/>
      <c r="AG144" s="116"/>
      <c r="AH144" s="116"/>
    </row>
    <row r="145" spans="1:34">
      <c r="A145" s="116"/>
      <c r="B145" s="118"/>
      <c r="C145" s="119"/>
      <c r="D145" s="119"/>
      <c r="E145" s="119"/>
      <c r="F145" s="119"/>
      <c r="G145" s="119"/>
      <c r="H145" s="119"/>
      <c r="I145" s="119"/>
      <c r="J145" s="119"/>
      <c r="K145" s="119"/>
      <c r="L145" s="119"/>
      <c r="M145" s="119"/>
      <c r="N145" s="119"/>
      <c r="O145" s="119"/>
      <c r="P145" s="119"/>
      <c r="Q145" s="119"/>
      <c r="R145" s="119"/>
      <c r="S145" s="119"/>
      <c r="T145" s="119"/>
      <c r="U145" s="119"/>
      <c r="V145" s="119"/>
      <c r="W145" s="119"/>
      <c r="X145" s="119"/>
      <c r="Y145" s="119"/>
      <c r="Z145" s="119"/>
      <c r="AA145" s="119"/>
      <c r="AB145" s="119"/>
      <c r="AC145" s="119"/>
      <c r="AD145" s="119"/>
      <c r="AE145" s="119"/>
      <c r="AF145" s="119"/>
      <c r="AG145" s="120"/>
      <c r="AH145" s="116"/>
    </row>
    <row r="146" spans="1:34" ht="18" customHeight="1">
      <c r="A146" s="116"/>
      <c r="B146" s="121"/>
      <c r="C146" s="154" t="s">
        <v>606</v>
      </c>
      <c r="G146" s="154" t="s">
        <v>607</v>
      </c>
      <c r="P146" s="129" t="s">
        <v>608</v>
      </c>
      <c r="Q146" s="130"/>
      <c r="R146" s="129"/>
      <c r="S146" s="130"/>
      <c r="T146" s="131">
        <f>T45</f>
        <v>45758</v>
      </c>
      <c r="U146" s="131">
        <f>U45</f>
        <v>45771</v>
      </c>
      <c r="V146" s="132" t="s">
        <v>609</v>
      </c>
      <c r="X146" s="155" t="s">
        <v>610</v>
      </c>
      <c r="AG146" s="122"/>
      <c r="AH146" s="116"/>
    </row>
    <row r="147" spans="1:34">
      <c r="A147" s="116"/>
      <c r="B147" s="121"/>
      <c r="P147" s="25" t="s">
        <v>611</v>
      </c>
      <c r="T147" s="25">
        <f>COUNTIFS(Table4[Status Anterior],'1. Status Resumo FY24'!$P147,Table4[Sub-âmbito],'1. Status Resumo FY24'!$G$143,Table4[Tipo de teste],"2. Campo")</f>
        <v>4</v>
      </c>
      <c r="U147" s="25">
        <f>COUNTIFS(Table4[Status Atual],'1. Status Resumo FY24'!$P147,Table4[Sub-âmbito],'1. Status Resumo FY24'!$G$143,Table4[Tipo de teste],"2. Campo")</f>
        <v>4</v>
      </c>
      <c r="V147" s="25">
        <f t="shared" ref="V147:V182" si="6">U147-T147</f>
        <v>0</v>
      </c>
      <c r="X147" s="547" t="s">
        <v>2469</v>
      </c>
      <c r="Y147" s="548"/>
      <c r="Z147" s="548"/>
      <c r="AA147" s="548"/>
      <c r="AB147" s="548"/>
      <c r="AC147" s="548"/>
      <c r="AD147" s="548"/>
      <c r="AE147" s="548"/>
      <c r="AF147" s="548"/>
      <c r="AG147" s="162"/>
      <c r="AH147" s="116"/>
    </row>
    <row r="148" spans="1:34">
      <c r="A148" s="116"/>
      <c r="B148" s="121"/>
      <c r="C148" s="425" t="s">
        <v>2371</v>
      </c>
      <c r="D148" s="424"/>
      <c r="E148" s="424"/>
      <c r="P148" s="371" t="s">
        <v>2364</v>
      </c>
      <c r="Q148" s="372"/>
      <c r="R148" s="372"/>
      <c r="S148" s="372"/>
      <c r="T148" s="441">
        <f>COUNTIFS(Table4[Status Anterior],'1. Status Resumo FY24'!$P147,Table4[Sub-âmbito],'1. Status Resumo FY24'!$G$143,Table4[Tipo de teste],"2. Campo",'2. Status Detalhe Campos FY24'!$Y$7:$Y$740,"*Plano anterior*")</f>
        <v>4</v>
      </c>
      <c r="U148" s="441">
        <f>COUNTIFS(Table4[Status Atual],'1. Status Resumo FY24'!$P147,Table4[Sub-âmbito],'1. Status Resumo FY24'!$G$143,Table4[Tipo de teste],"2. Campo",'2. Status Detalhe Campos FY24'!$Y$7:$Y$740,"*Plano anterior*")</f>
        <v>4</v>
      </c>
      <c r="V148" s="441">
        <f t="shared" si="6"/>
        <v>0</v>
      </c>
      <c r="X148" s="547"/>
      <c r="Y148" s="548"/>
      <c r="Z148" s="548"/>
      <c r="AA148" s="548"/>
      <c r="AB148" s="548"/>
      <c r="AC148" s="548"/>
      <c r="AD148" s="548"/>
      <c r="AE148" s="548"/>
      <c r="AF148" s="548"/>
      <c r="AG148" s="162"/>
      <c r="AH148" s="116"/>
    </row>
    <row r="149" spans="1:34">
      <c r="A149" s="116"/>
      <c r="B149" s="121"/>
      <c r="C149" s="423"/>
      <c r="P149" s="371" t="s">
        <v>2359</v>
      </c>
      <c r="Q149" s="372"/>
      <c r="R149" s="372"/>
      <c r="S149" s="372"/>
      <c r="T149" s="441">
        <f>COUNTIFS(Table4[Status Anterior],'1. Status Resumo FY24'!$P147,Table4[Sub-âmbito],'1. Status Resumo FY24'!$G$143,Table4[Tipo de teste],"2. Campo",'2. Status Detalhe Campos FY24'!$Y$7:$Y$740,"*Novo Plano*",'2. Status Detalhe Campos FY24'!$X$7:$X$740,"*Âmbito ESTR e (ou) LF*")</f>
        <v>0</v>
      </c>
      <c r="U149" s="441">
        <f>COUNTIFS(Table4[Status Atual],'1. Status Resumo FY24'!$P147,Table4[Sub-âmbito],'1. Status Resumo FY24'!$G$143,Table4[Tipo de teste],"2. Campo",'2. Status Detalhe Campos FY24'!$Y$7:$Y$740,"*Novo Plano*",'2. Status Detalhe Campos FY24'!$Y$7:$Y$740,"*Novo Plano*",'2. Status Detalhe Campos FY24'!$X$7:$X$740,"*Âmbito ESTR e (ou) LF*")</f>
        <v>0</v>
      </c>
      <c r="V149" s="441">
        <f t="shared" si="6"/>
        <v>0</v>
      </c>
      <c r="X149" s="547"/>
      <c r="Y149" s="548"/>
      <c r="Z149" s="548"/>
      <c r="AA149" s="548"/>
      <c r="AB149" s="548"/>
      <c r="AC149" s="548"/>
      <c r="AD149" s="548"/>
      <c r="AE149" s="548"/>
      <c r="AF149" s="548"/>
      <c r="AG149" s="162"/>
      <c r="AH149" s="116"/>
    </row>
    <row r="150" spans="1:34">
      <c r="A150" s="116"/>
      <c r="B150" s="121"/>
      <c r="P150" s="373" t="s">
        <v>2360</v>
      </c>
      <c r="Q150" s="374"/>
      <c r="R150" s="374"/>
      <c r="S150" s="374"/>
      <c r="T150" s="442">
        <f>COUNTIFS(Table4[Status Anterior],'1. Status Resumo FY24'!$P147,Table4[Sub-âmbito],'1. Status Resumo FY24'!$G$143,Table4[Tipo de teste],"2. Campo",'2. Status Detalhe Campos FY24'!$Y$7:$Y$740,"*Novo Plano*",'2. Status Detalhe Campos FY24'!$X$7:$X$740,"*Outros*")</f>
        <v>0</v>
      </c>
      <c r="U150" s="442">
        <f>COUNTIFS(Table4[Status Atual],'1. Status Resumo FY24'!$P147,Table4[Sub-âmbito],'1. Status Resumo FY24'!$G$143,Table4[Tipo de teste],"2. Campo",'2. Status Detalhe Campos FY24'!$Y$7:$Y$740,"*Novo Plano*",'2. Status Detalhe Campos FY24'!$Y$7:$Y$740,"*Novo Plano*",'2. Status Detalhe Campos FY24'!$X$7:$X$740,"*Outros*")</f>
        <v>0</v>
      </c>
      <c r="V150" s="442">
        <f t="shared" si="6"/>
        <v>0</v>
      </c>
      <c r="X150" s="547"/>
      <c r="Y150" s="548"/>
      <c r="Z150" s="548"/>
      <c r="AA150" s="548"/>
      <c r="AB150" s="548"/>
      <c r="AC150" s="548"/>
      <c r="AD150" s="548"/>
      <c r="AE150" s="548"/>
      <c r="AF150" s="548"/>
      <c r="AG150" s="162"/>
      <c r="AH150" s="116"/>
    </row>
    <row r="151" spans="1:34">
      <c r="A151" s="116"/>
      <c r="B151" s="121"/>
      <c r="P151" s="25" t="s">
        <v>612</v>
      </c>
      <c r="T151" s="25">
        <f>COUNTIFS(Table4[Status Anterior],'1. Status Resumo FY24'!$P151,Table4[Sub-âmbito],'1. Status Resumo FY24'!$G$143,Table4[Tipo de teste],"2. Campo")</f>
        <v>171</v>
      </c>
      <c r="U151" s="25">
        <f>COUNTIFS(Table4[Status Atual],'1. Status Resumo FY24'!$P151,Table4[Sub-âmbito],'1. Status Resumo FY24'!$G$143,Table4[Tipo de teste],"2. Campo")</f>
        <v>180</v>
      </c>
      <c r="V151" s="25">
        <f t="shared" si="6"/>
        <v>9</v>
      </c>
      <c r="X151" s="548"/>
      <c r="Y151" s="548"/>
      <c r="Z151" s="548"/>
      <c r="AA151" s="548"/>
      <c r="AB151" s="548"/>
      <c r="AC151" s="548"/>
      <c r="AD151" s="548"/>
      <c r="AE151" s="548"/>
      <c r="AF151" s="548"/>
      <c r="AG151" s="162"/>
      <c r="AH151" s="116"/>
    </row>
    <row r="152" spans="1:34">
      <c r="A152" s="116"/>
      <c r="B152" s="121"/>
      <c r="P152" s="371" t="s">
        <v>2364</v>
      </c>
      <c r="Q152" s="372"/>
      <c r="R152" s="372"/>
      <c r="S152" s="372"/>
      <c r="T152" s="441">
        <f>COUNTIFS(Table4[Status Anterior],'1. Status Resumo FY24'!$P151,Table4[Sub-âmbito],'1. Status Resumo FY24'!$G$143,Table4[Tipo de teste],"2. Campo",'2. Status Detalhe Campos FY24'!$Y$7:$Y$740,"*Plano anterior*")</f>
        <v>120</v>
      </c>
      <c r="U152" s="441">
        <f>COUNTIFS(Table4[Status Atual],'1. Status Resumo FY24'!$P151,Table4[Sub-âmbito],'1. Status Resumo FY24'!$G$143,Table4[Tipo de teste],"2. Campo",'2. Status Detalhe Campos FY24'!$Y$7:$Y$740,"*Plano anterior*")</f>
        <v>120</v>
      </c>
      <c r="V152" s="441">
        <f t="shared" si="6"/>
        <v>0</v>
      </c>
      <c r="X152" s="548"/>
      <c r="Y152" s="548"/>
      <c r="Z152" s="548"/>
      <c r="AA152" s="548"/>
      <c r="AB152" s="548"/>
      <c r="AC152" s="548"/>
      <c r="AD152" s="548"/>
      <c r="AE152" s="548"/>
      <c r="AF152" s="548"/>
      <c r="AG152" s="162"/>
      <c r="AH152" s="116"/>
    </row>
    <row r="153" spans="1:34">
      <c r="A153" s="116"/>
      <c r="B153" s="121"/>
      <c r="P153" s="371" t="s">
        <v>2359</v>
      </c>
      <c r="Q153" s="372"/>
      <c r="R153" s="372"/>
      <c r="S153" s="372"/>
      <c r="T153" s="441">
        <f>COUNTIFS(Table4[Status Anterior],'1. Status Resumo FY24'!$P151,Table4[Sub-âmbito],'1. Status Resumo FY24'!$G$143,Table4[Tipo de teste],"2. Campo",'2. Status Detalhe Campos FY24'!$Y$7:$Y$740,"*Novo Plano*",'2. Status Detalhe Campos FY24'!$X$7:$X$740,"*Âmbito ESTR e (ou) LF*")</f>
        <v>14</v>
      </c>
      <c r="U153" s="441">
        <f>COUNTIFS(Table4[Status Atual],'1. Status Resumo FY24'!$P151,Table4[Sub-âmbito],'1. Status Resumo FY24'!$G$143,Table4[Tipo de teste],"2. Campo",'2. Status Detalhe Campos FY24'!$Y$7:$Y$740,"*Novo Plano*",'2. Status Detalhe Campos FY24'!$Y$7:$Y$740,"*Novo Plano*",'2. Status Detalhe Campos FY24'!$X$7:$X$740,"*Âmbito ESTR e (ou) LF*")</f>
        <v>17</v>
      </c>
      <c r="V153" s="441">
        <f t="shared" si="6"/>
        <v>3</v>
      </c>
      <c r="X153" s="548"/>
      <c r="Y153" s="548"/>
      <c r="Z153" s="548"/>
      <c r="AA153" s="548"/>
      <c r="AB153" s="548"/>
      <c r="AC153" s="548"/>
      <c r="AD153" s="548"/>
      <c r="AE153" s="548"/>
      <c r="AF153" s="548"/>
      <c r="AG153" s="162"/>
      <c r="AH153" s="116"/>
    </row>
    <row r="154" spans="1:34">
      <c r="A154" s="116"/>
      <c r="B154" s="121"/>
      <c r="P154" s="373" t="s">
        <v>2360</v>
      </c>
      <c r="Q154" s="374"/>
      <c r="R154" s="374"/>
      <c r="S154" s="374"/>
      <c r="T154" s="442">
        <f>COUNTIFS(Table4[Status Anterior],'1. Status Resumo FY24'!$P151,Table4[Sub-âmbito],'1. Status Resumo FY24'!$G$143,Table4[Tipo de teste],"2. Campo",'2. Status Detalhe Campos FY24'!$Y$7:$Y$740,"*Novo Plano*",'2. Status Detalhe Campos FY24'!$X$7:$X$740,"*Outros*")</f>
        <v>37</v>
      </c>
      <c r="U154" s="442">
        <f>COUNTIFS(Table4[Status Atual],'1. Status Resumo FY24'!$P151,Table4[Sub-âmbito],'1. Status Resumo FY24'!$G$143,Table4[Tipo de teste],"2. Campo",'2. Status Detalhe Campos FY24'!$Y$7:$Y$740,"*Novo Plano*",'2. Status Detalhe Campos FY24'!$Y$7:$Y$740,"*Novo Plano*",'2. Status Detalhe Campos FY24'!$X$7:$X$740,"*Outros*")</f>
        <v>43</v>
      </c>
      <c r="V154" s="442">
        <f t="shared" si="6"/>
        <v>6</v>
      </c>
      <c r="X154" s="548"/>
      <c r="Y154" s="548"/>
      <c r="Z154" s="548"/>
      <c r="AA154" s="548"/>
      <c r="AB154" s="548"/>
      <c r="AC154" s="548"/>
      <c r="AD154" s="548"/>
      <c r="AE154" s="548"/>
      <c r="AF154" s="548"/>
      <c r="AG154" s="162"/>
      <c r="AH154" s="116"/>
    </row>
    <row r="155" spans="1:34" ht="17.899999999999999" customHeight="1">
      <c r="A155" s="116"/>
      <c r="B155" s="121"/>
      <c r="P155" s="25" t="s">
        <v>1840</v>
      </c>
      <c r="T155" s="25">
        <f>COUNTIFS(Table4[Status Anterior],'1. Status Resumo FY24'!$P155,Table4[Sub-âmbito],'1. Status Resumo FY24'!$G$143,Table4[Tipo de teste],"2. Campo")</f>
        <v>1</v>
      </c>
      <c r="U155" s="25">
        <f>COUNTIFS(Table4[Status Atual],'1. Status Resumo FY24'!$P155,Table4[Sub-âmbito],'1. Status Resumo FY24'!$G$143,Table4[Tipo de teste],"2. Campo")</f>
        <v>3</v>
      </c>
      <c r="V155" s="25">
        <f t="shared" si="6"/>
        <v>2</v>
      </c>
      <c r="X155" s="548"/>
      <c r="Y155" s="548"/>
      <c r="Z155" s="548"/>
      <c r="AA155" s="548"/>
      <c r="AB155" s="548"/>
      <c r="AC155" s="548"/>
      <c r="AD155" s="548"/>
      <c r="AE155" s="548"/>
      <c r="AF155" s="548"/>
      <c r="AG155" s="162"/>
      <c r="AH155" s="116"/>
    </row>
    <row r="156" spans="1:34" ht="17.899999999999999" customHeight="1">
      <c r="A156" s="116"/>
      <c r="B156" s="121"/>
      <c r="E156" s="535" t="str">
        <f>+"#"&amp;SUM($U$185:$U$186)</f>
        <v>#71</v>
      </c>
      <c r="P156" s="371" t="s">
        <v>2364</v>
      </c>
      <c r="Q156" s="372"/>
      <c r="R156" s="372"/>
      <c r="S156" s="372"/>
      <c r="T156" s="441">
        <f>COUNTIFS(Table4[Status Anterior],'1. Status Resumo FY24'!$P155,Table4[Sub-âmbito],'1. Status Resumo FY24'!$G$143,Table4[Tipo de teste],"2. Campo",'2. Status Detalhe Campos FY24'!$Y$7:$Y$740,"*Plano anterior*")</f>
        <v>1</v>
      </c>
      <c r="U156" s="441">
        <f>COUNTIFS(Table4[Status Atual],'1. Status Resumo FY24'!$P155,Table4[Sub-âmbito],'1. Status Resumo FY24'!$G$143,Table4[Tipo de teste],"2. Campo",'2. Status Detalhe Campos FY24'!$Y$7:$Y$740,"*Plano anterior*")</f>
        <v>1</v>
      </c>
      <c r="V156" s="441">
        <f t="shared" si="6"/>
        <v>0</v>
      </c>
      <c r="X156" s="548"/>
      <c r="Y156" s="548"/>
      <c r="Z156" s="548"/>
      <c r="AA156" s="548"/>
      <c r="AB156" s="548"/>
      <c r="AC156" s="548"/>
      <c r="AD156" s="548"/>
      <c r="AE156" s="548"/>
      <c r="AF156" s="548"/>
      <c r="AG156" s="162"/>
      <c r="AH156" s="116"/>
    </row>
    <row r="157" spans="1:34" ht="17.899999999999999" customHeight="1">
      <c r="A157" s="116"/>
      <c r="B157" s="121"/>
      <c r="E157" s="535"/>
      <c r="P157" s="371" t="s">
        <v>2359</v>
      </c>
      <c r="Q157" s="372"/>
      <c r="R157" s="372"/>
      <c r="S157" s="372"/>
      <c r="T157" s="441">
        <f>COUNTIFS(Table4[Status Anterior],'1. Status Resumo FY24'!$P155,Table4[Sub-âmbito],'1. Status Resumo FY24'!$G$143,Table4[Tipo de teste],"2. Campo",'2. Status Detalhe Campos FY24'!$Y$7:$Y$740,"*Novo Plano*",'2. Status Detalhe Campos FY24'!$X$7:$X$740,"*Âmbito ESTR e (ou) LF*")</f>
        <v>0</v>
      </c>
      <c r="U157" s="441">
        <f>COUNTIFS(Table4[Status Atual],'1. Status Resumo FY24'!$P155,Table4[Sub-âmbito],'1. Status Resumo FY24'!$G$143,Table4[Tipo de teste],"2. Campo",'2. Status Detalhe Campos FY24'!$Y$7:$Y$740,"*Novo Plano*",'2. Status Detalhe Campos FY24'!$Y$7:$Y$740,"*Novo Plano*",'2. Status Detalhe Campos FY24'!$X$7:$X$740,"*Âmbito ESTR e (ou) LF*")</f>
        <v>0</v>
      </c>
      <c r="V157" s="441">
        <f t="shared" si="6"/>
        <v>0</v>
      </c>
      <c r="X157" s="548"/>
      <c r="Y157" s="548"/>
      <c r="Z157" s="548"/>
      <c r="AA157" s="548"/>
      <c r="AB157" s="548"/>
      <c r="AC157" s="548"/>
      <c r="AD157" s="548"/>
      <c r="AE157" s="548"/>
      <c r="AF157" s="548"/>
      <c r="AG157" s="162"/>
      <c r="AH157" s="116"/>
    </row>
    <row r="158" spans="1:34" ht="17.899999999999999" customHeight="1">
      <c r="A158" s="116"/>
      <c r="B158" s="121"/>
      <c r="E158" s="535"/>
      <c r="P158" s="373" t="s">
        <v>2360</v>
      </c>
      <c r="Q158" s="374"/>
      <c r="R158" s="374"/>
      <c r="S158" s="374"/>
      <c r="T158" s="442">
        <f>COUNTIFS(Table4[Status Anterior],'1. Status Resumo FY24'!$P155,Table4[Sub-âmbito],'1. Status Resumo FY24'!$G$143,Table4[Tipo de teste],"2. Campo",'2. Status Detalhe Campos FY24'!$Y$7:$Y$740,"*Novo Plano*",'2. Status Detalhe Campos FY24'!$X$7:$X$740,"*Outros*")</f>
        <v>0</v>
      </c>
      <c r="U158" s="442">
        <f>COUNTIFS(Table4[Status Atual],'1. Status Resumo FY24'!$P155,Table4[Sub-âmbito],'1. Status Resumo FY24'!$G$143,Table4[Tipo de teste],"2. Campo",'2. Status Detalhe Campos FY24'!$Y$7:$Y$740,"*Novo Plano*",'2. Status Detalhe Campos FY24'!$Y$7:$Y$740,"*Novo Plano*",'2. Status Detalhe Campos FY24'!$X$7:$X$740,"*Outros*")</f>
        <v>2</v>
      </c>
      <c r="V158" s="442">
        <f t="shared" si="6"/>
        <v>2</v>
      </c>
      <c r="X158" s="548"/>
      <c r="Y158" s="548"/>
      <c r="Z158" s="548"/>
      <c r="AA158" s="548"/>
      <c r="AB158" s="548"/>
      <c r="AC158" s="548"/>
      <c r="AD158" s="548"/>
      <c r="AE158" s="548"/>
      <c r="AF158" s="548"/>
      <c r="AG158" s="162"/>
      <c r="AH158" s="116"/>
    </row>
    <row r="159" spans="1:34" ht="17.899999999999999" customHeight="1">
      <c r="A159" s="116"/>
      <c r="B159" s="121"/>
      <c r="D159" s="422"/>
      <c r="E159" s="422"/>
      <c r="P159" s="25" t="s">
        <v>2318</v>
      </c>
      <c r="T159" s="25">
        <f>COUNTIFS(Table4[Status Anterior],'1. Status Resumo FY24'!$P159,Table4[Sub-âmbito],'1. Status Resumo FY24'!$G$143,Table4[Tipo de teste],"2. Campo")</f>
        <v>0</v>
      </c>
      <c r="U159" s="25">
        <f>COUNTIFS(Table4[Status Atual],'1. Status Resumo FY24'!$P159,Table4[Sub-âmbito],'1. Status Resumo FY24'!$G$143,Table4[Tipo de teste],"2. Campo")</f>
        <v>0</v>
      </c>
      <c r="V159" s="25">
        <f t="shared" si="6"/>
        <v>0</v>
      </c>
      <c r="X159" s="548"/>
      <c r="Y159" s="548"/>
      <c r="Z159" s="548"/>
      <c r="AA159" s="548"/>
      <c r="AB159" s="548"/>
      <c r="AC159" s="548"/>
      <c r="AD159" s="548"/>
      <c r="AE159" s="548"/>
      <c r="AF159" s="548"/>
      <c r="AG159" s="162"/>
      <c r="AH159" s="116"/>
    </row>
    <row r="160" spans="1:34" ht="17.899999999999999" customHeight="1">
      <c r="A160" s="116"/>
      <c r="B160" s="121"/>
      <c r="D160" s="422"/>
      <c r="E160" s="422"/>
      <c r="P160" s="371" t="s">
        <v>2364</v>
      </c>
      <c r="Q160" s="372"/>
      <c r="R160" s="372"/>
      <c r="S160" s="372"/>
      <c r="T160" s="441">
        <f>COUNTIFS(Table4[Status Anterior],'1. Status Resumo FY24'!$P159,Table4[Sub-âmbito],'1. Status Resumo FY24'!$G$143,Table4[Tipo de teste],"2. Campo",'2. Status Detalhe Campos FY24'!$Y$7:$Y$740,"*Plano anterior*")</f>
        <v>0</v>
      </c>
      <c r="U160" s="441">
        <f>COUNTIFS(Table4[Status Atual],'1. Status Resumo FY24'!$P159,Table4[Sub-âmbito],'1. Status Resumo FY24'!$G$143,Table4[Tipo de teste],"2. Campo",'2. Status Detalhe Campos FY24'!$Y$7:$Y$740,"*Plano anterior*")</f>
        <v>0</v>
      </c>
      <c r="V160" s="441">
        <f t="shared" si="6"/>
        <v>0</v>
      </c>
      <c r="X160" s="548"/>
      <c r="Y160" s="548"/>
      <c r="Z160" s="548"/>
      <c r="AA160" s="548"/>
      <c r="AB160" s="548"/>
      <c r="AC160" s="548"/>
      <c r="AD160" s="548"/>
      <c r="AE160" s="548"/>
      <c r="AF160" s="548"/>
      <c r="AG160" s="162"/>
      <c r="AH160" s="116"/>
    </row>
    <row r="161" spans="1:34" ht="17.899999999999999" customHeight="1">
      <c r="A161" s="116"/>
      <c r="B161" s="121"/>
      <c r="D161" s="422"/>
      <c r="E161" s="422"/>
      <c r="P161" s="371" t="s">
        <v>2359</v>
      </c>
      <c r="Q161" s="372"/>
      <c r="R161" s="372"/>
      <c r="S161" s="372"/>
      <c r="T161" s="441">
        <f>COUNTIFS(Table4[Status Anterior],'1. Status Resumo FY24'!$P159,Table4[Sub-âmbito],'1. Status Resumo FY24'!$G$143,Table4[Tipo de teste],"2. Campo",'2. Status Detalhe Campos FY24'!$Y$7:$Y$740,"*Novo Plano*",'2. Status Detalhe Campos FY24'!$X$7:$X$740,"*Âmbito ESTR e (ou) LF*")</f>
        <v>0</v>
      </c>
      <c r="U161" s="441">
        <f>COUNTIFS(Table4[Status Atual],'1. Status Resumo FY24'!$P159,Table4[Sub-âmbito],'1. Status Resumo FY24'!$G$143,Table4[Tipo de teste],"2. Campo",'2. Status Detalhe Campos FY24'!$Y$7:$Y$740,"*Novo Plano*",'2. Status Detalhe Campos FY24'!$Y$7:$Y$740,"*Novo Plano*",'2. Status Detalhe Campos FY24'!$X$7:$X$740,"*Âmbito ESTR e (ou) LF*")</f>
        <v>0</v>
      </c>
      <c r="V161" s="441">
        <f t="shared" si="6"/>
        <v>0</v>
      </c>
      <c r="X161" s="548"/>
      <c r="Y161" s="548"/>
      <c r="Z161" s="548"/>
      <c r="AA161" s="548"/>
      <c r="AB161" s="548"/>
      <c r="AC161" s="548"/>
      <c r="AD161" s="548"/>
      <c r="AE161" s="548"/>
      <c r="AF161" s="548"/>
      <c r="AG161" s="162"/>
      <c r="AH161" s="116"/>
    </row>
    <row r="162" spans="1:34" ht="17.899999999999999" customHeight="1">
      <c r="A162" s="116"/>
      <c r="B162" s="121"/>
      <c r="D162" s="422"/>
      <c r="E162" s="422"/>
      <c r="P162" s="373" t="s">
        <v>2360</v>
      </c>
      <c r="Q162" s="374"/>
      <c r="R162" s="374"/>
      <c r="S162" s="374"/>
      <c r="T162" s="442">
        <f>COUNTIFS(Table4[Status Anterior],'1. Status Resumo FY24'!$P159,Table4[Sub-âmbito],'1. Status Resumo FY24'!$G$143,Table4[Tipo de teste],"2. Campo",'2. Status Detalhe Campos FY24'!$Y$7:$Y$740,"*Novo Plano*",'2. Status Detalhe Campos FY24'!$X$7:$X$740,"*Outros*")</f>
        <v>0</v>
      </c>
      <c r="U162" s="442">
        <f>COUNTIFS(Table4[Status Atual],'1. Status Resumo FY24'!$P159,Table4[Sub-âmbito],'1. Status Resumo FY24'!$G$143,Table4[Tipo de teste],"2. Campo",'2. Status Detalhe Campos FY24'!$Y$7:$Y$740,"*Novo Plano*",'2. Status Detalhe Campos FY24'!$Y$7:$Y$740,"*Novo Plano*",'2. Status Detalhe Campos FY24'!$X$7:$X$740,"*Outros*")</f>
        <v>0</v>
      </c>
      <c r="V162" s="442">
        <f t="shared" si="6"/>
        <v>0</v>
      </c>
      <c r="X162" s="548"/>
      <c r="Y162" s="548"/>
      <c r="Z162" s="548"/>
      <c r="AA162" s="548"/>
      <c r="AB162" s="548"/>
      <c r="AC162" s="548"/>
      <c r="AD162" s="548"/>
      <c r="AE162" s="548"/>
      <c r="AF162" s="548"/>
      <c r="AG162" s="162"/>
      <c r="AH162" s="116"/>
    </row>
    <row r="163" spans="1:34" ht="17.25" customHeight="1">
      <c r="A163" s="116"/>
      <c r="B163" s="121"/>
      <c r="D163" s="422"/>
      <c r="E163" s="422"/>
      <c r="P163" s="25" t="s">
        <v>613</v>
      </c>
      <c r="T163" s="25">
        <f>COUNTIFS(Table4[Status Anterior],'1. Status Resumo FY24'!$P163,Table4[Sub-âmbito],'1. Status Resumo FY24'!$G$143,Table4[Tipo de teste],"2. Campo")</f>
        <v>0</v>
      </c>
      <c r="U163" s="25">
        <f>COUNTIFS(Table4[Status Atual],'1. Status Resumo FY24'!$P163,Table4[Sub-âmbito],'1. Status Resumo FY24'!$G$143,Table4[Tipo de teste],"2. Campo")</f>
        <v>0</v>
      </c>
      <c r="V163" s="25">
        <f t="shared" si="6"/>
        <v>0</v>
      </c>
      <c r="X163" s="548"/>
      <c r="Y163" s="548"/>
      <c r="Z163" s="548"/>
      <c r="AA163" s="548"/>
      <c r="AB163" s="548"/>
      <c r="AC163" s="548"/>
      <c r="AD163" s="548"/>
      <c r="AE163" s="548"/>
      <c r="AF163" s="548"/>
      <c r="AG163" s="162"/>
      <c r="AH163" s="116"/>
    </row>
    <row r="164" spans="1:34" ht="17.25" customHeight="1">
      <c r="A164" s="116"/>
      <c r="B164" s="121"/>
      <c r="D164" s="422"/>
      <c r="E164" s="422"/>
      <c r="P164" s="371" t="s">
        <v>2364</v>
      </c>
      <c r="Q164" s="372"/>
      <c r="R164" s="372"/>
      <c r="S164" s="372"/>
      <c r="T164" s="441">
        <f>COUNTIFS(Table4[Status Anterior],'1. Status Resumo FY24'!$P163,Table4[Sub-âmbito],'1. Status Resumo FY24'!$G$143,Table4[Tipo de teste],"2. Campo",'2. Status Detalhe Campos FY24'!$Y$7:$Y$740,"*Plano anterior*")</f>
        <v>0</v>
      </c>
      <c r="U164" s="441">
        <f>COUNTIFS(Table4[Status Atual],'1. Status Resumo FY24'!$P163,Table4[Sub-âmbito],'1. Status Resumo FY24'!$G$143,Table4[Tipo de teste],"2. Campo",'2. Status Detalhe Campos FY24'!$Y$7:$Y$740,"*Plano anterior*")</f>
        <v>0</v>
      </c>
      <c r="V164" s="441">
        <f t="shared" si="6"/>
        <v>0</v>
      </c>
      <c r="X164" s="548"/>
      <c r="Y164" s="548"/>
      <c r="Z164" s="548"/>
      <c r="AA164" s="548"/>
      <c r="AB164" s="548"/>
      <c r="AC164" s="548"/>
      <c r="AD164" s="548"/>
      <c r="AE164" s="548"/>
      <c r="AF164" s="548"/>
      <c r="AG164" s="162"/>
      <c r="AH164" s="116"/>
    </row>
    <row r="165" spans="1:34" ht="17.25" customHeight="1">
      <c r="A165" s="116"/>
      <c r="B165" s="121"/>
      <c r="D165" s="422"/>
      <c r="E165" s="422"/>
      <c r="P165" s="371" t="s">
        <v>2359</v>
      </c>
      <c r="Q165" s="372"/>
      <c r="R165" s="372"/>
      <c r="S165" s="372"/>
      <c r="T165" s="441">
        <f>COUNTIFS(Table4[Status Anterior],'1. Status Resumo FY24'!$P163,Table4[Sub-âmbito],'1. Status Resumo FY24'!$G$143,Table4[Tipo de teste],"2. Campo",'2. Status Detalhe Campos FY24'!$Y$7:$Y$740,"*Novo Plano*",'2. Status Detalhe Campos FY24'!$X$7:$X$740,"*Âmbito ESTR e (ou) LF*")</f>
        <v>0</v>
      </c>
      <c r="U165" s="441">
        <f>COUNTIFS(Table4[Status Atual],'1. Status Resumo FY24'!$P163,Table4[Sub-âmbito],'1. Status Resumo FY24'!$G$143,Table4[Tipo de teste],"2. Campo",'2. Status Detalhe Campos FY24'!$Y$7:$Y$740,"*Novo Plano*",'2. Status Detalhe Campos FY24'!$Y$7:$Y$740,"*Novo Plano*",'2. Status Detalhe Campos FY24'!$X$7:$X$740,"*Âmbito ESTR e (ou) LF*")</f>
        <v>0</v>
      </c>
      <c r="V165" s="441">
        <f t="shared" si="6"/>
        <v>0</v>
      </c>
      <c r="X165" s="548"/>
      <c r="Y165" s="548"/>
      <c r="Z165" s="548"/>
      <c r="AA165" s="548"/>
      <c r="AB165" s="548"/>
      <c r="AC165" s="548"/>
      <c r="AD165" s="548"/>
      <c r="AE165" s="548"/>
      <c r="AF165" s="548"/>
      <c r="AG165" s="162"/>
      <c r="AH165" s="116"/>
    </row>
    <row r="166" spans="1:34" ht="17.25" customHeight="1">
      <c r="A166" s="116"/>
      <c r="B166" s="121"/>
      <c r="D166" s="422"/>
      <c r="E166" s="422"/>
      <c r="P166" s="373" t="s">
        <v>2360</v>
      </c>
      <c r="Q166" s="374"/>
      <c r="R166" s="374"/>
      <c r="S166" s="374"/>
      <c r="T166" s="442">
        <f>COUNTIFS(Table4[Status Anterior],'1. Status Resumo FY24'!$P163,Table4[Sub-âmbito],'1. Status Resumo FY24'!$G$143,Table4[Tipo de teste],"2. Campo",'2. Status Detalhe Campos FY24'!$Y$7:$Y$740,"*Novo Plano*",'2. Status Detalhe Campos FY24'!$X$7:$X$740,"*Outros*")</f>
        <v>0</v>
      </c>
      <c r="U166" s="442">
        <f>COUNTIFS(Table4[Status Atual],'1. Status Resumo FY24'!$P163,Table4[Sub-âmbito],'1. Status Resumo FY24'!$G$143,Table4[Tipo de teste],"2. Campo",'2. Status Detalhe Campos FY24'!$Y$7:$Y$740,"*Novo Plano*",'2. Status Detalhe Campos FY24'!$Y$7:$Y$740,"*Novo Plano*",'2. Status Detalhe Campos FY24'!$X$7:$X$740,"*Outros*")</f>
        <v>0</v>
      </c>
      <c r="V166" s="442">
        <f t="shared" si="6"/>
        <v>0</v>
      </c>
      <c r="X166" s="548"/>
      <c r="Y166" s="548"/>
      <c r="Z166" s="548"/>
      <c r="AA166" s="548"/>
      <c r="AB166" s="548"/>
      <c r="AC166" s="548"/>
      <c r="AD166" s="548"/>
      <c r="AE166" s="548"/>
      <c r="AF166" s="548"/>
      <c r="AG166" s="162"/>
      <c r="AH166" s="116"/>
    </row>
    <row r="167" spans="1:34" ht="18.75" customHeight="1">
      <c r="A167" s="116"/>
      <c r="B167" s="121"/>
      <c r="D167" s="422"/>
      <c r="E167" s="422"/>
      <c r="P167" s="25" t="s">
        <v>614</v>
      </c>
      <c r="T167" s="25">
        <f>COUNTIFS(Table4[Status Anterior],'1. Status Resumo FY24'!$P167,Table4[Sub-âmbito],'1. Status Resumo FY24'!$G$143,Table4[Tipo de teste],"2. Campo")</f>
        <v>0</v>
      </c>
      <c r="U167" s="25">
        <f>COUNTIFS(Table4[Status Atual],'1. Status Resumo FY24'!$P167,Table4[Sub-âmbito],'1. Status Resumo FY24'!$G$143,Table4[Tipo de teste],"2. Campo")</f>
        <v>0</v>
      </c>
      <c r="V167" s="25">
        <f t="shared" si="6"/>
        <v>0</v>
      </c>
      <c r="X167" s="548"/>
      <c r="Y167" s="548"/>
      <c r="Z167" s="548"/>
      <c r="AA167" s="548"/>
      <c r="AB167" s="548"/>
      <c r="AC167" s="548"/>
      <c r="AD167" s="548"/>
      <c r="AE167" s="548"/>
      <c r="AF167" s="548"/>
      <c r="AG167" s="162"/>
      <c r="AH167" s="116"/>
    </row>
    <row r="168" spans="1:34" ht="18.75" customHeight="1">
      <c r="A168" s="116"/>
      <c r="B168" s="121"/>
      <c r="C168" s="425" t="s">
        <v>2372</v>
      </c>
      <c r="D168" s="422"/>
      <c r="E168" s="422"/>
      <c r="P168" s="371" t="s">
        <v>2364</v>
      </c>
      <c r="Q168" s="372"/>
      <c r="R168" s="372"/>
      <c r="S168" s="372"/>
      <c r="T168" s="441">
        <f>COUNTIFS(Table4[Status Anterior],'1. Status Resumo FY24'!$P167,Table4[Sub-âmbito],'1. Status Resumo FY24'!$G$143,Table4[Tipo de teste],"2. Campo",'2. Status Detalhe Campos FY24'!$Y$7:$Y$740,"*Plano anterior*")</f>
        <v>0</v>
      </c>
      <c r="U168" s="441">
        <f>COUNTIFS(Table4[Status Atual],'1. Status Resumo FY24'!$P167,Table4[Sub-âmbito],'1. Status Resumo FY24'!$G$143,Table4[Tipo de teste],"2. Campo",'2. Status Detalhe Campos FY24'!$Y$7:$Y$740,"*Plano anterior*")</f>
        <v>0</v>
      </c>
      <c r="V168" s="441">
        <f t="shared" si="6"/>
        <v>0</v>
      </c>
      <c r="X168" s="548"/>
      <c r="Y168" s="548"/>
      <c r="Z168" s="548"/>
      <c r="AA168" s="548"/>
      <c r="AB168" s="548"/>
      <c r="AC168" s="548"/>
      <c r="AD168" s="548"/>
      <c r="AE168" s="548"/>
      <c r="AF168" s="548"/>
      <c r="AG168" s="162"/>
      <c r="AH168" s="116"/>
    </row>
    <row r="169" spans="1:34" ht="18.75" customHeight="1">
      <c r="A169" s="116"/>
      <c r="B169" s="121"/>
      <c r="D169" s="422"/>
      <c r="E169" s="422"/>
      <c r="P169" s="371" t="s">
        <v>2359</v>
      </c>
      <c r="Q169" s="372"/>
      <c r="R169" s="372"/>
      <c r="S169" s="372"/>
      <c r="T169" s="441">
        <f>COUNTIFS(Table4[Status Anterior],'1. Status Resumo FY24'!$P167,Table4[Sub-âmbito],'1. Status Resumo FY24'!$G$143,Table4[Tipo de teste],"2. Campo",'2. Status Detalhe Campos FY24'!$Y$7:$Y$740,"*Novo Plano*",'2. Status Detalhe Campos FY24'!$X$7:$X$740,"*Âmbito ESTR e (ou) LF*")</f>
        <v>0</v>
      </c>
      <c r="U169" s="441">
        <f>COUNTIFS(Table4[Status Atual],'1. Status Resumo FY24'!$P167,Table4[Sub-âmbito],'1. Status Resumo FY24'!$G$143,Table4[Tipo de teste],"2. Campo",'2. Status Detalhe Campos FY24'!$Y$7:$Y$740,"*Novo Plano*",'2. Status Detalhe Campos FY24'!$Y$7:$Y$740,"*Novo Plano*",'2. Status Detalhe Campos FY24'!$X$7:$X$740,"*Âmbito ESTR e (ou) LF*")</f>
        <v>0</v>
      </c>
      <c r="V169" s="441">
        <f t="shared" si="6"/>
        <v>0</v>
      </c>
      <c r="X169" s="548"/>
      <c r="Y169" s="548"/>
      <c r="Z169" s="548"/>
      <c r="AA169" s="548"/>
      <c r="AB169" s="548"/>
      <c r="AC169" s="548"/>
      <c r="AD169" s="548"/>
      <c r="AE169" s="548"/>
      <c r="AF169" s="548"/>
      <c r="AG169" s="162"/>
      <c r="AH169" s="116"/>
    </row>
    <row r="170" spans="1:34" ht="18.75" customHeight="1">
      <c r="A170" s="116"/>
      <c r="B170" s="121"/>
      <c r="D170" s="422"/>
      <c r="E170" s="422"/>
      <c r="P170" s="373" t="s">
        <v>2360</v>
      </c>
      <c r="Q170" s="374"/>
      <c r="R170" s="374"/>
      <c r="S170" s="374"/>
      <c r="T170" s="442">
        <f>COUNTIFS(Table4[Status Anterior],'1. Status Resumo FY24'!$P167,Table4[Sub-âmbito],'1. Status Resumo FY24'!$G$143,Table4[Tipo de teste],"2. Campo",'2. Status Detalhe Campos FY24'!$Y$7:$Y$740,"*Novo Plano*",'2. Status Detalhe Campos FY24'!$X$7:$X$740,"*Outros*")</f>
        <v>0</v>
      </c>
      <c r="U170" s="442">
        <f>COUNTIFS(Table4[Status Atual],'1. Status Resumo FY24'!$P167,Table4[Sub-âmbito],'1. Status Resumo FY24'!$G$143,Table4[Tipo de teste],"2. Campo",'2. Status Detalhe Campos FY24'!$Y$7:$Y$740,"*Novo Plano*",'2. Status Detalhe Campos FY24'!$Y$7:$Y$740,"*Novo Plano*",'2. Status Detalhe Campos FY24'!$X$7:$X$740,"*Outros*")</f>
        <v>0</v>
      </c>
      <c r="V170" s="442">
        <f t="shared" si="6"/>
        <v>0</v>
      </c>
      <c r="X170" s="548"/>
      <c r="Y170" s="548"/>
      <c r="Z170" s="548"/>
      <c r="AA170" s="548"/>
      <c r="AB170" s="548"/>
      <c r="AC170" s="548"/>
      <c r="AD170" s="548"/>
      <c r="AE170" s="548"/>
      <c r="AF170" s="548"/>
      <c r="AG170" s="162"/>
      <c r="AH170" s="116"/>
    </row>
    <row r="171" spans="1:34" ht="18.75" customHeight="1">
      <c r="A171" s="116"/>
      <c r="B171" s="121"/>
      <c r="D171" s="422"/>
      <c r="E171" s="422"/>
      <c r="P171" s="25" t="s">
        <v>615</v>
      </c>
      <c r="R171" s="25" t="s">
        <v>616</v>
      </c>
      <c r="T171" s="25">
        <f>COUNTIFS(Table4[Status Anterior],'1. Status Resumo FY24'!$P171,Table4[Sub-âmbito],'1. Status Resumo FY24'!$G$143,Table4[Tipo de teste],"2. Campo")</f>
        <v>12</v>
      </c>
      <c r="U171" s="25">
        <f>COUNTIFS(Table4[Status Atual],'1. Status Resumo FY24'!$P171,Table4[Sub-âmbito],'1. Status Resumo FY24'!$G$143,Table4[Tipo de teste],"2. Campo")</f>
        <v>9</v>
      </c>
      <c r="V171" s="25">
        <f t="shared" si="6"/>
        <v>-3</v>
      </c>
      <c r="X171" s="548"/>
      <c r="Y171" s="548"/>
      <c r="Z171" s="548"/>
      <c r="AA171" s="548"/>
      <c r="AB171" s="548"/>
      <c r="AC171" s="548"/>
      <c r="AD171" s="548"/>
      <c r="AE171" s="548"/>
      <c r="AF171" s="548"/>
      <c r="AG171" s="162"/>
      <c r="AH171" s="116"/>
    </row>
    <row r="172" spans="1:34" ht="18.75" customHeight="1">
      <c r="A172" s="116"/>
      <c r="B172" s="121"/>
      <c r="D172" s="422"/>
      <c r="E172" s="422"/>
      <c r="P172" s="371" t="s">
        <v>2364</v>
      </c>
      <c r="Q172" s="372"/>
      <c r="R172" s="372"/>
      <c r="S172" s="372"/>
      <c r="T172" s="441">
        <f>COUNTIFS(Table4[Status Anterior],'1. Status Resumo FY24'!$P171,Table4[Sub-âmbito],'1. Status Resumo FY24'!$G$143,Table4[Tipo de teste],"2. Campo",'2. Status Detalhe Campos FY24'!$Y$7:$Y$740,"*Plano anterior*")</f>
        <v>6</v>
      </c>
      <c r="U172" s="441">
        <f>COUNTIFS(Table4[Status Atual],'1. Status Resumo FY24'!$P171,Table4[Sub-âmbito],'1. Status Resumo FY24'!$G$143,Table4[Tipo de teste],"2. Campo",'2. Status Detalhe Campos FY24'!$Y$7:$Y$740,"*Plano anterior*")</f>
        <v>6</v>
      </c>
      <c r="V172" s="441">
        <f t="shared" si="6"/>
        <v>0</v>
      </c>
      <c r="X172" s="548"/>
      <c r="Y172" s="548"/>
      <c r="Z172" s="548"/>
      <c r="AA172" s="548"/>
      <c r="AB172" s="548"/>
      <c r="AC172" s="548"/>
      <c r="AD172" s="548"/>
      <c r="AE172" s="548"/>
      <c r="AF172" s="548"/>
      <c r="AG172" s="162"/>
      <c r="AH172" s="116"/>
    </row>
    <row r="173" spans="1:34" ht="18.75" customHeight="1">
      <c r="A173" s="116"/>
      <c r="B173" s="121"/>
      <c r="D173" s="422"/>
      <c r="E173" s="422"/>
      <c r="P173" s="371" t="s">
        <v>2359</v>
      </c>
      <c r="Q173" s="372"/>
      <c r="R173" s="372"/>
      <c r="S173" s="372"/>
      <c r="T173" s="441">
        <f>COUNTIFS(Table4[Status Anterior],'1. Status Resumo FY24'!$P171,Table4[Sub-âmbito],'1. Status Resumo FY24'!$G$143,Table4[Tipo de teste],"2. Campo",'2. Status Detalhe Campos FY24'!$Y$7:$Y$740,"*Novo Plano*",'2. Status Detalhe Campos FY24'!$X$7:$X$740,"*Âmbito ESTR e (ou) LF*")</f>
        <v>4</v>
      </c>
      <c r="U173" s="441">
        <f>COUNTIFS(Table4[Status Atual],'1. Status Resumo FY24'!$P171,Table4[Sub-âmbito],'1. Status Resumo FY24'!$G$143,Table4[Tipo de teste],"2. Campo",'2. Status Detalhe Campos FY24'!$Y$7:$Y$740,"*Novo Plano*",'2. Status Detalhe Campos FY24'!$Y$7:$Y$740,"*Novo Plano*",'2. Status Detalhe Campos FY24'!$X$7:$X$740,"*Âmbito ESTR e (ou) LF*")</f>
        <v>2</v>
      </c>
      <c r="V173" s="441">
        <f t="shared" si="6"/>
        <v>-2</v>
      </c>
      <c r="X173" s="548"/>
      <c r="Y173" s="548"/>
      <c r="Z173" s="548"/>
      <c r="AA173" s="548"/>
      <c r="AB173" s="548"/>
      <c r="AC173" s="548"/>
      <c r="AD173" s="548"/>
      <c r="AE173" s="548"/>
      <c r="AF173" s="548"/>
      <c r="AG173" s="162"/>
      <c r="AH173" s="116"/>
    </row>
    <row r="174" spans="1:34" ht="17.899999999999999" customHeight="1">
      <c r="A174" s="116"/>
      <c r="B174" s="121"/>
      <c r="D174" s="422"/>
      <c r="E174" s="422"/>
      <c r="P174" s="373" t="s">
        <v>2360</v>
      </c>
      <c r="Q174" s="374"/>
      <c r="R174" s="374"/>
      <c r="S174" s="374"/>
      <c r="T174" s="442">
        <f>COUNTIFS(Table4[Status Anterior],'1. Status Resumo FY24'!$P171,Table4[Sub-âmbito],'1. Status Resumo FY24'!$G$143,Table4[Tipo de teste],"2. Campo",'2. Status Detalhe Campos FY24'!$Y$7:$Y$740,"*Novo Plano*",'2. Status Detalhe Campos FY24'!$X$7:$X$740,"*Outros*")</f>
        <v>2</v>
      </c>
      <c r="U174" s="442">
        <f>COUNTIFS(Table4[Status Atual],'1. Status Resumo FY24'!$P171,Table4[Sub-âmbito],'1. Status Resumo FY24'!$G$143,Table4[Tipo de teste],"2. Campo",'2. Status Detalhe Campos FY24'!$Y$7:$Y$740,"*Novo Plano*",'2. Status Detalhe Campos FY24'!$Y$7:$Y$740,"*Novo Plano*",'2. Status Detalhe Campos FY24'!$X$7:$X$740,"*Outros*")</f>
        <v>1</v>
      </c>
      <c r="V174" s="442">
        <f t="shared" si="6"/>
        <v>-1</v>
      </c>
      <c r="X174" s="548"/>
      <c r="Y174" s="548"/>
      <c r="Z174" s="548"/>
      <c r="AA174" s="548"/>
      <c r="AB174" s="548"/>
      <c r="AC174" s="548"/>
      <c r="AD174" s="548"/>
      <c r="AE174" s="548"/>
      <c r="AF174" s="548"/>
      <c r="AG174" s="162"/>
      <c r="AH174" s="116"/>
    </row>
    <row r="175" spans="1:34" ht="17.899999999999999" customHeight="1">
      <c r="A175" s="116"/>
      <c r="B175" s="121"/>
      <c r="D175" s="422"/>
      <c r="E175" s="422"/>
      <c r="P175" s="25" t="s">
        <v>2319</v>
      </c>
      <c r="T175" s="25">
        <f>COUNTIFS(Table4[Status Anterior],'1. Status Resumo FY24'!$P175,Table4[Sub-âmbito],'1. Status Resumo FY24'!$G$143,Table4[Tipo de teste],"2. Campo")</f>
        <v>17</v>
      </c>
      <c r="U175" s="25">
        <f>COUNTIFS(Table4[Status Atual],'1. Status Resumo FY24'!$P175,Table4[Sub-âmbito],'1. Status Resumo FY24'!$G$143,Table4[Tipo de teste],"2. Campo")</f>
        <v>9</v>
      </c>
      <c r="V175" s="25">
        <f t="shared" si="6"/>
        <v>-8</v>
      </c>
      <c r="X175" s="548"/>
      <c r="Y175" s="548"/>
      <c r="Z175" s="548"/>
      <c r="AA175" s="548"/>
      <c r="AB175" s="548"/>
      <c r="AC175" s="548"/>
      <c r="AD175" s="548"/>
      <c r="AE175" s="548"/>
      <c r="AF175" s="548"/>
      <c r="AG175" s="162"/>
      <c r="AH175" s="116"/>
    </row>
    <row r="176" spans="1:34" ht="17.899999999999999" customHeight="1">
      <c r="A176" s="116"/>
      <c r="B176" s="121"/>
      <c r="D176" s="367"/>
      <c r="E176" s="535" t="str">
        <f>+"#"&amp;$U$184</f>
        <v>#134</v>
      </c>
      <c r="P176" s="371" t="s">
        <v>2364</v>
      </c>
      <c r="Q176" s="372"/>
      <c r="R176" s="372"/>
      <c r="S176" s="372"/>
      <c r="T176" s="441">
        <f>COUNTIFS(Table4[Status Anterior],'1. Status Resumo FY24'!$P175,Table4[Sub-âmbito],'1. Status Resumo FY24'!$G$143,Table4[Tipo de teste],"2. Campo",'2. Status Detalhe Campos FY24'!$Y$7:$Y$740,"*Plano anterior*")</f>
        <v>3</v>
      </c>
      <c r="U176" s="441">
        <f>COUNTIFS(Table4[Status Atual],'1. Status Resumo FY24'!$P175,Table4[Sub-âmbito],'1. Status Resumo FY24'!$G$143,Table4[Tipo de teste],"2. Campo",'2. Status Detalhe Campos FY24'!$Y$7:$Y$740,"*Plano anterior*")</f>
        <v>3</v>
      </c>
      <c r="V176" s="441">
        <f t="shared" si="6"/>
        <v>0</v>
      </c>
      <c r="X176" s="548"/>
      <c r="Y176" s="548"/>
      <c r="Z176" s="548"/>
      <c r="AA176" s="548"/>
      <c r="AB176" s="548"/>
      <c r="AC176" s="548"/>
      <c r="AD176" s="548"/>
      <c r="AE176" s="548"/>
      <c r="AF176" s="548"/>
      <c r="AG176" s="162"/>
      <c r="AH176" s="116"/>
    </row>
    <row r="177" spans="1:34" ht="17.899999999999999" customHeight="1">
      <c r="A177" s="116"/>
      <c r="B177" s="121"/>
      <c r="D177" s="367"/>
      <c r="E177" s="535"/>
      <c r="P177" s="371" t="s">
        <v>2359</v>
      </c>
      <c r="Q177" s="372"/>
      <c r="R177" s="372"/>
      <c r="S177" s="372"/>
      <c r="T177" s="441">
        <f>COUNTIFS(Table4[Status Anterior],'1. Status Resumo FY24'!$P175,Table4[Sub-âmbito],'1. Status Resumo FY24'!$G$143,Table4[Tipo de teste],"2. Campo",'2. Status Detalhe Campos FY24'!$Y$7:$Y$740,"*Novo Plano*",'2. Status Detalhe Campos FY24'!$X$7:$X$740,"*Âmbito ESTR e (ou) LF*")</f>
        <v>2</v>
      </c>
      <c r="U177" s="441">
        <f>COUNTIFS(Table4[Status Atual],'1. Status Resumo FY24'!$P175,Table4[Sub-âmbito],'1. Status Resumo FY24'!$G$143,Table4[Tipo de teste],"2. Campo",'2. Status Detalhe Campos FY24'!$Y$7:$Y$740,"*Novo Plano*",'2. Status Detalhe Campos FY24'!$Y$7:$Y$740,"*Novo Plano*",'2. Status Detalhe Campos FY24'!$X$7:$X$740,"*Âmbito ESTR e (ou) LF*")</f>
        <v>1</v>
      </c>
      <c r="V177" s="441">
        <f t="shared" si="6"/>
        <v>-1</v>
      </c>
      <c r="X177" s="548"/>
      <c r="Y177" s="548"/>
      <c r="Z177" s="548"/>
      <c r="AA177" s="548"/>
      <c r="AB177" s="548"/>
      <c r="AC177" s="548"/>
      <c r="AD177" s="548"/>
      <c r="AE177" s="548"/>
      <c r="AF177" s="548"/>
      <c r="AG177" s="162"/>
      <c r="AH177" s="116"/>
    </row>
    <row r="178" spans="1:34" ht="17.899999999999999" customHeight="1">
      <c r="A178" s="116"/>
      <c r="B178" s="121"/>
      <c r="D178" s="367"/>
      <c r="E178" s="535"/>
      <c r="P178" s="373" t="s">
        <v>2360</v>
      </c>
      <c r="Q178" s="374"/>
      <c r="R178" s="374"/>
      <c r="S178" s="374"/>
      <c r="T178" s="442">
        <f>COUNTIFS(Table4[Status Anterior],'1. Status Resumo FY24'!$P175,Table4[Sub-âmbito],'1. Status Resumo FY24'!$G$143,Table4[Tipo de teste],"2. Campo",'2. Status Detalhe Campos FY24'!$Y$7:$Y$740,"*Novo Plano*",'2. Status Detalhe Campos FY24'!$X$7:$X$740,"*Outros*")</f>
        <v>12</v>
      </c>
      <c r="U178" s="442">
        <f>COUNTIFS(Table4[Status Atual],'1. Status Resumo FY24'!$P175,Table4[Sub-âmbito],'1. Status Resumo FY24'!$G$143,Table4[Tipo de teste],"2. Campo",'2. Status Detalhe Campos FY24'!$Y$7:$Y$740,"*Novo Plano*",'2. Status Detalhe Campos FY24'!$Y$7:$Y$740,"*Novo Plano*",'2. Status Detalhe Campos FY24'!$X$7:$X$740,"*Outros*")</f>
        <v>5</v>
      </c>
      <c r="V178" s="442">
        <f t="shared" si="6"/>
        <v>-7</v>
      </c>
      <c r="X178" s="548"/>
      <c r="Y178" s="548"/>
      <c r="Z178" s="548"/>
      <c r="AA178" s="548"/>
      <c r="AB178" s="548"/>
      <c r="AC178" s="548"/>
      <c r="AD178" s="548"/>
      <c r="AE178" s="548"/>
      <c r="AF178" s="548"/>
      <c r="AG178" s="162"/>
      <c r="AH178" s="116"/>
    </row>
    <row r="179" spans="1:34" ht="17.899999999999999" customHeight="1">
      <c r="A179" s="116"/>
      <c r="B179" s="121"/>
      <c r="P179" s="25" t="s">
        <v>28</v>
      </c>
      <c r="T179" s="25">
        <f>COUNTIFS(Table4[Status Anterior],'1. Status Resumo FY24'!$P179,Table4[Sub-âmbito],'1. Status Resumo FY24'!$G$143,Table4[Tipo de teste],"2. Campo")</f>
        <v>0</v>
      </c>
      <c r="U179" s="25">
        <f>COUNTIFS(Table4[Status Atual],'1. Status Resumo FY24'!$P179,Table4[Sub-âmbito],'1. Status Resumo FY24'!$G$143,Table4[Tipo de teste],"2. Campo")</f>
        <v>0</v>
      </c>
      <c r="V179" s="25">
        <f t="shared" si="6"/>
        <v>0</v>
      </c>
      <c r="X179" s="548"/>
      <c r="Y179" s="548"/>
      <c r="Z179" s="548"/>
      <c r="AA179" s="548"/>
      <c r="AB179" s="548"/>
      <c r="AC179" s="548"/>
      <c r="AD179" s="548"/>
      <c r="AE179" s="548"/>
      <c r="AF179" s="548"/>
      <c r="AG179" s="162"/>
      <c r="AH179" s="116"/>
    </row>
    <row r="180" spans="1:34" ht="17.899999999999999" customHeight="1">
      <c r="A180" s="116"/>
      <c r="B180" s="121"/>
      <c r="P180" s="371" t="s">
        <v>2364</v>
      </c>
      <c r="Q180" s="372"/>
      <c r="R180" s="372"/>
      <c r="S180" s="372"/>
      <c r="T180" s="441">
        <f>COUNTIFS(Table4[Status Anterior],'1. Status Resumo FY24'!$P179,Table4[Sub-âmbito],'1. Status Resumo FY24'!$G$143,Table4[Tipo de teste],"2. Campo",'2. Status Detalhe Campos FY24'!$Y$7:$Y$740,"*Plano anterior*")</f>
        <v>0</v>
      </c>
      <c r="U180" s="441">
        <f>COUNTIFS(Table4[Status Atual],'1. Status Resumo FY24'!$P179,Table4[Sub-âmbito],'1. Status Resumo FY24'!$G$143,Table4[Tipo de teste],"2. Campo",'2. Status Detalhe Campos FY24'!$Y$7:$Y$740,"*Plano anterior*")</f>
        <v>0</v>
      </c>
      <c r="V180" s="441">
        <f t="shared" si="6"/>
        <v>0</v>
      </c>
      <c r="X180" s="548"/>
      <c r="Y180" s="548"/>
      <c r="Z180" s="548"/>
      <c r="AA180" s="548"/>
      <c r="AB180" s="548"/>
      <c r="AC180" s="548"/>
      <c r="AD180" s="548"/>
      <c r="AE180" s="548"/>
      <c r="AF180" s="548"/>
      <c r="AG180" s="162"/>
      <c r="AH180" s="116"/>
    </row>
    <row r="181" spans="1:34" ht="17.899999999999999" customHeight="1">
      <c r="A181" s="116"/>
      <c r="B181" s="121"/>
      <c r="P181" s="371" t="s">
        <v>2359</v>
      </c>
      <c r="Q181" s="372"/>
      <c r="R181" s="372"/>
      <c r="S181" s="372"/>
      <c r="T181" s="441">
        <f>COUNTIFS(Table4[Status Anterior],'1. Status Resumo FY24'!$P179,Table4[Sub-âmbito],'1. Status Resumo FY24'!$G$143,Table4[Tipo de teste],"2. Campo",'2. Status Detalhe Campos FY24'!$Y$7:$Y$740,"*Novo Plano*",'2. Status Detalhe Campos FY24'!$X$7:$X$740,"*Âmbito ESTR e (ou) LF*")</f>
        <v>0</v>
      </c>
      <c r="U181" s="441">
        <f>COUNTIFS(Table4[Status Atual],'1. Status Resumo FY24'!$P179,Table4[Sub-âmbito],'1. Status Resumo FY24'!$G$143,Table4[Tipo de teste],"2. Campo",'2. Status Detalhe Campos FY24'!$Y$7:$Y$740,"*Novo Plano*",'2. Status Detalhe Campos FY24'!$Y$7:$Y$740,"*Novo Plano*",'2. Status Detalhe Campos FY24'!$X$7:$X$740,"*Âmbito ESTR e (ou) LF*")</f>
        <v>0</v>
      </c>
      <c r="V181" s="441">
        <f t="shared" si="6"/>
        <v>0</v>
      </c>
      <c r="X181" s="548"/>
      <c r="Y181" s="548"/>
      <c r="Z181" s="548"/>
      <c r="AA181" s="548"/>
      <c r="AB181" s="548"/>
      <c r="AC181" s="548"/>
      <c r="AD181" s="548"/>
      <c r="AE181" s="548"/>
      <c r="AF181" s="548"/>
      <c r="AG181" s="162"/>
      <c r="AH181" s="116"/>
    </row>
    <row r="182" spans="1:34" ht="17.899999999999999" customHeight="1">
      <c r="A182" s="116"/>
      <c r="B182" s="121"/>
      <c r="P182" s="375" t="s">
        <v>2360</v>
      </c>
      <c r="Q182" s="376"/>
      <c r="R182" s="376"/>
      <c r="S182" s="376"/>
      <c r="T182" s="443">
        <f>COUNTIFS(Table4[Status Anterior],'1. Status Resumo FY24'!$P179,Table4[Sub-âmbito],'1. Status Resumo FY24'!$G$143,Table4[Tipo de teste],"2. Campo",'2. Status Detalhe Campos FY24'!$Y$7:$Y$740,"*Novo Plano*",'2. Status Detalhe Campos FY24'!$X$7:$X$740,"*Outros*")</f>
        <v>0</v>
      </c>
      <c r="U182" s="443">
        <f>COUNTIFS(Table4[Status Atual],'1. Status Resumo FY24'!$P179,Table4[Sub-âmbito],'1. Status Resumo FY24'!$G$143,Table4[Tipo de teste],"2. Campo",'2. Status Detalhe Campos FY24'!$Y$7:$Y$740,"*Novo Plano*",'2. Status Detalhe Campos FY24'!$Y$7:$Y$740,"*Novo Plano*",'2. Status Detalhe Campos FY24'!$X$7:$X$740,"*Outros*")</f>
        <v>0</v>
      </c>
      <c r="V182" s="443">
        <f t="shared" si="6"/>
        <v>0</v>
      </c>
      <c r="X182" s="548"/>
      <c r="Y182" s="548"/>
      <c r="Z182" s="548"/>
      <c r="AA182" s="548"/>
      <c r="AB182" s="548"/>
      <c r="AC182" s="548"/>
      <c r="AD182" s="548"/>
      <c r="AE182" s="548"/>
      <c r="AF182" s="548"/>
      <c r="AG182" s="162"/>
      <c r="AH182" s="116"/>
    </row>
    <row r="183" spans="1:34" ht="17.899999999999999" customHeight="1">
      <c r="A183" s="116"/>
      <c r="B183" s="121"/>
      <c r="P183" s="127" t="s">
        <v>2325</v>
      </c>
      <c r="T183" s="127">
        <f t="shared" ref="T183:U186" si="7">+SUM(T147,T151,T155,T159,T163,T167,T171,T175,T179)</f>
        <v>205</v>
      </c>
      <c r="U183" s="127">
        <f t="shared" si="7"/>
        <v>205</v>
      </c>
      <c r="V183" s="127">
        <f>+U183-T183</f>
        <v>0</v>
      </c>
      <c r="X183" s="548"/>
      <c r="Y183" s="548"/>
      <c r="Z183" s="548"/>
      <c r="AA183" s="548"/>
      <c r="AB183" s="548"/>
      <c r="AC183" s="548"/>
      <c r="AD183" s="548"/>
      <c r="AE183" s="548"/>
      <c r="AF183" s="548"/>
      <c r="AG183" s="162"/>
      <c r="AH183" s="116"/>
    </row>
    <row r="184" spans="1:34" ht="17.899999999999999" customHeight="1">
      <c r="A184" s="116"/>
      <c r="B184" s="121"/>
      <c r="P184" s="377" t="s">
        <v>2364</v>
      </c>
      <c r="T184" s="444">
        <f t="shared" si="7"/>
        <v>134</v>
      </c>
      <c r="U184" s="444">
        <f t="shared" si="7"/>
        <v>134</v>
      </c>
      <c r="V184" s="444">
        <f>+U184-T184</f>
        <v>0</v>
      </c>
      <c r="X184" s="548"/>
      <c r="Y184" s="548"/>
      <c r="Z184" s="548"/>
      <c r="AA184" s="548"/>
      <c r="AB184" s="548"/>
      <c r="AC184" s="548"/>
      <c r="AD184" s="548"/>
      <c r="AE184" s="548"/>
      <c r="AF184" s="548"/>
      <c r="AG184" s="162"/>
      <c r="AH184" s="116"/>
    </row>
    <row r="185" spans="1:34" ht="17.899999999999999" customHeight="1">
      <c r="A185" s="116"/>
      <c r="B185" s="121"/>
      <c r="P185" s="377" t="s">
        <v>2359</v>
      </c>
      <c r="T185" s="444">
        <f t="shared" si="7"/>
        <v>20</v>
      </c>
      <c r="U185" s="444">
        <f t="shared" si="7"/>
        <v>20</v>
      </c>
      <c r="V185" s="444">
        <f>+U185-T185</f>
        <v>0</v>
      </c>
      <c r="X185" s="548"/>
      <c r="Y185" s="548"/>
      <c r="Z185" s="548"/>
      <c r="AA185" s="548"/>
      <c r="AB185" s="548"/>
      <c r="AC185" s="548"/>
      <c r="AD185" s="548"/>
      <c r="AE185" s="548"/>
      <c r="AF185" s="548"/>
      <c r="AG185" s="162"/>
      <c r="AH185" s="116"/>
    </row>
    <row r="186" spans="1:34" ht="17.899999999999999" customHeight="1">
      <c r="A186" s="116"/>
      <c r="B186" s="121"/>
      <c r="P186" s="378" t="s">
        <v>2360</v>
      </c>
      <c r="Q186" s="130"/>
      <c r="R186" s="130"/>
      <c r="S186" s="130"/>
      <c r="T186" s="445">
        <f t="shared" si="7"/>
        <v>51</v>
      </c>
      <c r="U186" s="445">
        <f t="shared" si="7"/>
        <v>51</v>
      </c>
      <c r="V186" s="445">
        <f>+U186-T186</f>
        <v>0</v>
      </c>
      <c r="X186" s="548"/>
      <c r="Y186" s="548"/>
      <c r="Z186" s="548"/>
      <c r="AA186" s="548"/>
      <c r="AB186" s="548"/>
      <c r="AC186" s="548"/>
      <c r="AD186" s="548"/>
      <c r="AE186" s="548"/>
      <c r="AF186" s="548"/>
      <c r="AG186" s="162"/>
      <c r="AH186" s="116"/>
    </row>
    <row r="187" spans="1:34">
      <c r="A187" s="116"/>
      <c r="B187" s="121"/>
      <c r="T187" s="127"/>
      <c r="U187" s="127"/>
      <c r="X187" s="548"/>
      <c r="Y187" s="548"/>
      <c r="Z187" s="548"/>
      <c r="AA187" s="548"/>
      <c r="AB187" s="548"/>
      <c r="AC187" s="548"/>
      <c r="AD187" s="548"/>
      <c r="AE187" s="548"/>
      <c r="AF187" s="548"/>
      <c r="AG187" s="162"/>
      <c r="AH187" s="116"/>
    </row>
    <row r="188" spans="1:34">
      <c r="A188" s="116"/>
      <c r="B188" s="121"/>
      <c r="P188" s="129" t="s">
        <v>617</v>
      </c>
      <c r="Q188" s="130"/>
      <c r="R188" s="130"/>
      <c r="S188" s="130"/>
      <c r="T188" s="130"/>
      <c r="U188" s="130"/>
      <c r="V188" s="130"/>
      <c r="X188" s="548"/>
      <c r="Y188" s="548"/>
      <c r="Z188" s="548"/>
      <c r="AA188" s="548"/>
      <c r="AB188" s="548"/>
      <c r="AC188" s="548"/>
      <c r="AD188" s="548"/>
      <c r="AE188" s="548"/>
      <c r="AF188" s="548"/>
      <c r="AG188" s="162"/>
      <c r="AH188" s="116"/>
    </row>
    <row r="189" spans="1:34">
      <c r="A189" s="116"/>
      <c r="B189" s="121"/>
      <c r="O189" s="159" t="s">
        <v>619</v>
      </c>
      <c r="P189" s="25" t="s">
        <v>379</v>
      </c>
      <c r="T189" s="497" t="s">
        <v>2460</v>
      </c>
      <c r="X189" s="548"/>
      <c r="Y189" s="548"/>
      <c r="Z189" s="548"/>
      <c r="AA189" s="548"/>
      <c r="AB189" s="548"/>
      <c r="AC189" s="548"/>
      <c r="AD189" s="548"/>
      <c r="AE189" s="548"/>
      <c r="AF189" s="548"/>
      <c r="AG189" s="162"/>
      <c r="AH189" s="116"/>
    </row>
    <row r="190" spans="1:34">
      <c r="A190" s="116"/>
      <c r="B190" s="121"/>
      <c r="O190" s="159" t="s">
        <v>619</v>
      </c>
      <c r="P190" s="25" t="s">
        <v>335</v>
      </c>
      <c r="T190" s="161" t="s">
        <v>621</v>
      </c>
      <c r="X190" s="548"/>
      <c r="Y190" s="548"/>
      <c r="Z190" s="548"/>
      <c r="AA190" s="548"/>
      <c r="AB190" s="548"/>
      <c r="AC190" s="548"/>
      <c r="AD190" s="548"/>
      <c r="AE190" s="548"/>
      <c r="AF190" s="548"/>
      <c r="AG190" s="162"/>
      <c r="AH190" s="116"/>
    </row>
    <row r="191" spans="1:34">
      <c r="A191" s="116"/>
      <c r="B191" s="121"/>
      <c r="O191" s="159" t="s">
        <v>619</v>
      </c>
      <c r="P191" s="25" t="s">
        <v>368</v>
      </c>
      <c r="T191" s="497" t="s">
        <v>2460</v>
      </c>
      <c r="X191" s="548"/>
      <c r="Y191" s="548"/>
      <c r="Z191" s="548"/>
      <c r="AA191" s="548"/>
      <c r="AB191" s="548"/>
      <c r="AC191" s="548"/>
      <c r="AD191" s="548"/>
      <c r="AE191" s="548"/>
      <c r="AF191" s="548"/>
      <c r="AG191" s="162"/>
      <c r="AH191" s="116"/>
    </row>
    <row r="192" spans="1:34">
      <c r="A192" s="116"/>
      <c r="B192" s="121"/>
      <c r="O192" s="159" t="s">
        <v>619</v>
      </c>
      <c r="P192" s="25" t="s">
        <v>439</v>
      </c>
      <c r="T192" s="161" t="s">
        <v>621</v>
      </c>
      <c r="X192" s="548"/>
      <c r="Y192" s="548"/>
      <c r="Z192" s="548"/>
      <c r="AA192" s="548"/>
      <c r="AB192" s="548"/>
      <c r="AC192" s="548"/>
      <c r="AD192" s="548"/>
      <c r="AE192" s="548"/>
      <c r="AF192" s="548"/>
      <c r="AG192" s="162"/>
      <c r="AH192" s="116"/>
    </row>
    <row r="193" spans="1:34">
      <c r="A193" s="116"/>
      <c r="B193" s="121"/>
      <c r="O193" s="159" t="s">
        <v>619</v>
      </c>
      <c r="P193" s="25" t="s">
        <v>441</v>
      </c>
      <c r="T193" s="497" t="s">
        <v>2460</v>
      </c>
      <c r="X193" s="548"/>
      <c r="Y193" s="548"/>
      <c r="Z193" s="548"/>
      <c r="AA193" s="548"/>
      <c r="AB193" s="548"/>
      <c r="AC193" s="548"/>
      <c r="AD193" s="548"/>
      <c r="AE193" s="548"/>
      <c r="AF193" s="548"/>
      <c r="AG193" s="162"/>
      <c r="AH193" s="116"/>
    </row>
    <row r="194" spans="1:34">
      <c r="A194" s="116"/>
      <c r="B194" s="121"/>
      <c r="O194" s="159" t="s">
        <v>619</v>
      </c>
      <c r="P194" s="25" t="s">
        <v>1859</v>
      </c>
      <c r="T194" s="569" t="s">
        <v>2467</v>
      </c>
      <c r="X194" s="548"/>
      <c r="Y194" s="548"/>
      <c r="Z194" s="548"/>
      <c r="AA194" s="548"/>
      <c r="AB194" s="548"/>
      <c r="AC194" s="548"/>
      <c r="AD194" s="548"/>
      <c r="AE194" s="548"/>
      <c r="AF194" s="548"/>
      <c r="AG194" s="162"/>
      <c r="AH194" s="116"/>
    </row>
    <row r="195" spans="1:34">
      <c r="A195" s="116"/>
      <c r="B195" s="121"/>
      <c r="O195" s="159" t="s">
        <v>619</v>
      </c>
      <c r="P195" s="25" t="s">
        <v>1860</v>
      </c>
      <c r="T195" s="161" t="s">
        <v>621</v>
      </c>
      <c r="X195" s="548"/>
      <c r="Y195" s="548"/>
      <c r="Z195" s="548"/>
      <c r="AA195" s="548"/>
      <c r="AB195" s="548"/>
      <c r="AC195" s="548"/>
      <c r="AD195" s="548"/>
      <c r="AE195" s="548"/>
      <c r="AF195" s="548"/>
      <c r="AG195" s="162"/>
      <c r="AH195" s="116"/>
    </row>
    <row r="196" spans="1:34">
      <c r="A196" s="116"/>
      <c r="B196" s="121"/>
      <c r="O196" s="159" t="s">
        <v>619</v>
      </c>
      <c r="P196" s="25" t="s">
        <v>392</v>
      </c>
      <c r="T196" s="161" t="s">
        <v>621</v>
      </c>
      <c r="X196" s="548"/>
      <c r="Y196" s="548"/>
      <c r="Z196" s="548"/>
      <c r="AA196" s="548"/>
      <c r="AB196" s="548"/>
      <c r="AC196" s="548"/>
      <c r="AD196" s="548"/>
      <c r="AE196" s="548"/>
      <c r="AF196" s="548"/>
      <c r="AG196" s="162"/>
      <c r="AH196" s="116"/>
    </row>
    <row r="197" spans="1:34">
      <c r="A197" s="116"/>
      <c r="B197" s="121"/>
      <c r="X197" s="548"/>
      <c r="Y197" s="548"/>
      <c r="Z197" s="548"/>
      <c r="AA197" s="548"/>
      <c r="AB197" s="548"/>
      <c r="AC197" s="548"/>
      <c r="AD197" s="548"/>
      <c r="AE197" s="548"/>
      <c r="AF197" s="548"/>
      <c r="AG197" s="162"/>
      <c r="AH197" s="116"/>
    </row>
    <row r="198" spans="1:34">
      <c r="A198" s="116"/>
      <c r="B198" s="123"/>
      <c r="C198" s="124"/>
      <c r="D198" s="124"/>
      <c r="E198" s="124"/>
      <c r="F198" s="124"/>
      <c r="G198" s="124"/>
      <c r="H198" s="124"/>
      <c r="I198" s="124"/>
      <c r="J198" s="124"/>
      <c r="K198" s="124"/>
      <c r="L198" s="124"/>
      <c r="M198" s="124"/>
      <c r="N198" s="124"/>
      <c r="O198" s="124"/>
      <c r="P198" s="124"/>
      <c r="Q198" s="124"/>
      <c r="R198" s="124"/>
      <c r="S198" s="124"/>
      <c r="T198" s="124"/>
      <c r="U198" s="124"/>
      <c r="V198" s="124"/>
      <c r="W198" s="124"/>
      <c r="X198" s="124"/>
      <c r="Y198" s="124"/>
      <c r="Z198" s="124"/>
      <c r="AA198" s="124"/>
      <c r="AB198" s="124"/>
      <c r="AC198" s="124"/>
      <c r="AD198" s="124"/>
      <c r="AE198" s="124"/>
      <c r="AF198" s="124"/>
      <c r="AG198" s="125"/>
      <c r="AH198" s="116"/>
    </row>
    <row r="199" spans="1:34" ht="22.4" hidden="1" customHeight="1">
      <c r="A199" s="116"/>
      <c r="B199" s="116"/>
      <c r="C199" s="116"/>
      <c r="D199" s="116"/>
      <c r="E199" s="116"/>
      <c r="F199" s="116"/>
      <c r="G199" s="116"/>
      <c r="H199" s="116"/>
      <c r="I199" s="116"/>
      <c r="J199" s="116"/>
      <c r="K199" s="116"/>
      <c r="L199" s="116"/>
      <c r="M199" s="116"/>
      <c r="N199" s="116"/>
      <c r="O199" s="116"/>
      <c r="P199" s="116"/>
      <c r="Q199" s="116"/>
      <c r="R199" s="116"/>
      <c r="S199" s="116"/>
      <c r="T199" s="116"/>
      <c r="U199" s="116"/>
      <c r="V199" s="116"/>
      <c r="W199" s="116"/>
      <c r="X199" s="116"/>
      <c r="Y199" s="116"/>
      <c r="Z199" s="116"/>
      <c r="AA199" s="116"/>
      <c r="AB199" s="116"/>
      <c r="AC199" s="116"/>
      <c r="AD199" s="116"/>
      <c r="AE199" s="116"/>
      <c r="AF199" s="116"/>
      <c r="AG199" s="116"/>
      <c r="AH199" s="116"/>
    </row>
    <row r="200" spans="1:34" ht="5.15" hidden="1" customHeight="1">
      <c r="A200" s="116"/>
      <c r="B200" s="116"/>
      <c r="C200" s="116"/>
      <c r="D200" s="116"/>
      <c r="E200" s="116"/>
      <c r="F200" s="116"/>
      <c r="G200" s="116"/>
      <c r="H200" s="116"/>
      <c r="I200" s="116"/>
      <c r="J200" s="116"/>
      <c r="K200" s="116"/>
      <c r="L200" s="116"/>
      <c r="M200" s="116"/>
      <c r="N200" s="116"/>
      <c r="O200" s="116"/>
      <c r="P200" s="116"/>
      <c r="Q200" s="116"/>
      <c r="R200" s="116"/>
      <c r="S200" s="116"/>
      <c r="T200" s="116"/>
      <c r="U200" s="116"/>
      <c r="V200" s="116"/>
      <c r="W200" s="116"/>
      <c r="X200" s="116"/>
      <c r="Y200" s="116"/>
      <c r="Z200" s="116"/>
      <c r="AA200" s="116"/>
      <c r="AB200" s="116"/>
      <c r="AC200" s="116"/>
      <c r="AD200" s="116"/>
      <c r="AE200" s="116"/>
      <c r="AF200" s="116"/>
      <c r="AG200" s="116"/>
      <c r="AH200" s="116"/>
    </row>
    <row r="201" spans="1:34" ht="17.899999999999999" hidden="1" customHeight="1">
      <c r="A201" s="116"/>
      <c r="B201" s="116"/>
      <c r="C201" s="116"/>
      <c r="D201" s="116"/>
      <c r="E201" s="116"/>
      <c r="F201" s="116"/>
      <c r="G201" s="116"/>
      <c r="H201" s="116"/>
      <c r="I201" s="116"/>
      <c r="J201" s="116"/>
      <c r="K201" s="116"/>
      <c r="L201" s="116"/>
      <c r="M201" s="116"/>
      <c r="N201" s="116"/>
      <c r="O201" s="116"/>
      <c r="P201" s="116"/>
      <c r="Q201" s="116"/>
      <c r="R201" s="116"/>
      <c r="S201" s="116"/>
      <c r="T201" s="116"/>
      <c r="U201" s="116"/>
      <c r="V201" s="116"/>
      <c r="W201" s="116"/>
      <c r="X201" s="116"/>
      <c r="Y201" s="116"/>
      <c r="Z201" s="116"/>
      <c r="AA201" s="116"/>
      <c r="AB201" s="116"/>
      <c r="AC201" s="116"/>
      <c r="AD201" s="116"/>
      <c r="AE201" s="116"/>
      <c r="AF201" s="116"/>
      <c r="AG201" s="116"/>
      <c r="AH201" s="116"/>
    </row>
    <row r="202" spans="1:34" ht="17.899999999999999" hidden="1" customHeight="1">
      <c r="A202" s="116"/>
      <c r="B202" s="116"/>
      <c r="C202" s="116"/>
      <c r="D202" s="116"/>
      <c r="E202" s="116"/>
      <c r="F202" s="116"/>
      <c r="G202" s="116"/>
      <c r="H202" s="116"/>
      <c r="I202" s="116"/>
      <c r="J202" s="116"/>
      <c r="K202" s="116"/>
      <c r="L202" s="116"/>
      <c r="M202" s="116"/>
      <c r="N202" s="116"/>
      <c r="O202" s="116"/>
      <c r="P202" s="116"/>
      <c r="Q202" s="116"/>
      <c r="R202" s="116"/>
      <c r="S202" s="116"/>
      <c r="T202" s="116"/>
      <c r="U202" s="116"/>
      <c r="V202" s="116"/>
      <c r="W202" s="116"/>
      <c r="X202" s="116"/>
      <c r="Y202" s="116"/>
      <c r="Z202" s="116"/>
      <c r="AA202" s="116"/>
      <c r="AB202" s="116"/>
      <c r="AC202" s="116"/>
      <c r="AD202" s="116"/>
      <c r="AE202" s="116"/>
      <c r="AF202" s="116"/>
      <c r="AG202" s="116"/>
      <c r="AH202" s="116"/>
    </row>
    <row r="203" spans="1:34" ht="17.899999999999999" hidden="1" customHeight="1">
      <c r="A203" s="116"/>
      <c r="B203" s="116"/>
      <c r="C203" s="116"/>
      <c r="D203" s="116"/>
      <c r="E203" s="116"/>
      <c r="F203" s="116"/>
      <c r="G203" s="116"/>
      <c r="H203" s="116"/>
      <c r="I203" s="116"/>
      <c r="J203" s="116"/>
      <c r="K203" s="116"/>
      <c r="L203" s="116"/>
      <c r="M203" s="116"/>
      <c r="N203" s="116"/>
      <c r="O203" s="116"/>
      <c r="P203" s="116"/>
      <c r="Q203" s="116"/>
      <c r="R203" s="116"/>
      <c r="S203" s="116"/>
      <c r="T203" s="116"/>
      <c r="U203" s="116"/>
      <c r="V203" s="116"/>
      <c r="W203" s="116"/>
      <c r="X203" s="116"/>
      <c r="Y203" s="116"/>
      <c r="Z203" s="116"/>
      <c r="AA203" s="116"/>
      <c r="AB203" s="116"/>
      <c r="AC203" s="116"/>
      <c r="AD203" s="116"/>
      <c r="AE203" s="116"/>
      <c r="AF203" s="116"/>
      <c r="AG203" s="116"/>
      <c r="AH203" s="116"/>
    </row>
    <row r="204" spans="1:34" ht="17.899999999999999" hidden="1" customHeight="1">
      <c r="A204" s="116"/>
      <c r="B204" s="116"/>
      <c r="C204" s="116"/>
      <c r="D204" s="116"/>
      <c r="E204" s="116"/>
      <c r="F204" s="116"/>
      <c r="G204" s="116"/>
      <c r="H204" s="116"/>
      <c r="I204" s="116"/>
      <c r="J204" s="116"/>
      <c r="K204" s="116"/>
      <c r="L204" s="116"/>
      <c r="M204" s="116"/>
      <c r="N204" s="116"/>
      <c r="O204" s="116"/>
      <c r="P204" s="116"/>
      <c r="Q204" s="116"/>
      <c r="R204" s="116"/>
      <c r="S204" s="116"/>
      <c r="T204" s="116"/>
      <c r="U204" s="116"/>
      <c r="V204" s="116"/>
      <c r="W204" s="116"/>
      <c r="X204" s="116"/>
      <c r="Y204" s="116"/>
      <c r="Z204" s="116"/>
      <c r="AA204" s="116"/>
      <c r="AB204" s="116"/>
      <c r="AC204" s="116"/>
      <c r="AD204" s="116"/>
      <c r="AE204" s="116"/>
      <c r="AF204" s="116"/>
      <c r="AG204" s="116"/>
      <c r="AH204" s="116"/>
    </row>
    <row r="205" spans="1:34" ht="17.899999999999999" hidden="1" customHeight="1">
      <c r="A205" s="116"/>
      <c r="B205" s="116"/>
      <c r="C205" s="116"/>
      <c r="D205" s="116"/>
      <c r="E205" s="116"/>
      <c r="F205" s="116"/>
      <c r="G205" s="116"/>
      <c r="H205" s="116"/>
      <c r="I205" s="116"/>
      <c r="J205" s="116"/>
      <c r="K205" s="116"/>
      <c r="L205" s="116"/>
      <c r="M205" s="116"/>
      <c r="N205" s="116"/>
      <c r="O205" s="116"/>
      <c r="P205" s="116"/>
      <c r="Q205" s="116"/>
      <c r="R205" s="116"/>
      <c r="S205" s="116"/>
      <c r="T205" s="116"/>
      <c r="U205" s="116"/>
      <c r="V205" s="116"/>
      <c r="W205" s="116"/>
      <c r="X205" s="116"/>
      <c r="Y205" s="116"/>
      <c r="Z205" s="116"/>
      <c r="AA205" s="116"/>
      <c r="AB205" s="116"/>
      <c r="AC205" s="116"/>
      <c r="AD205" s="116"/>
      <c r="AE205" s="116"/>
      <c r="AF205" s="116"/>
      <c r="AG205" s="116"/>
      <c r="AH205" s="116"/>
    </row>
    <row r="206" spans="1:34" ht="17.899999999999999" hidden="1" customHeight="1">
      <c r="A206" s="116"/>
      <c r="B206" s="116"/>
      <c r="C206" s="116"/>
      <c r="D206" s="116"/>
      <c r="E206" s="116"/>
      <c r="F206" s="116"/>
      <c r="G206" s="116"/>
      <c r="H206" s="116"/>
      <c r="I206" s="116"/>
      <c r="J206" s="116"/>
      <c r="K206" s="116"/>
      <c r="L206" s="116"/>
      <c r="M206" s="116"/>
      <c r="N206" s="116"/>
      <c r="O206" s="116"/>
      <c r="P206" s="116"/>
      <c r="Q206" s="116"/>
      <c r="R206" s="116"/>
      <c r="S206" s="116"/>
      <c r="T206" s="116"/>
      <c r="U206" s="116"/>
      <c r="V206" s="116"/>
      <c r="W206" s="116"/>
      <c r="X206" s="116"/>
      <c r="Y206" s="116"/>
      <c r="Z206" s="116"/>
      <c r="AA206" s="116"/>
      <c r="AB206" s="116"/>
      <c r="AC206" s="116"/>
      <c r="AD206" s="116"/>
      <c r="AE206" s="116"/>
      <c r="AF206" s="116"/>
      <c r="AG206" s="116"/>
      <c r="AH206" s="116"/>
    </row>
    <row r="207" spans="1:34" ht="17.899999999999999" hidden="1" customHeight="1">
      <c r="A207" s="116"/>
      <c r="B207" s="116"/>
      <c r="C207" s="116"/>
      <c r="D207" s="116"/>
      <c r="E207" s="116"/>
      <c r="F207" s="116"/>
      <c r="G207" s="116"/>
      <c r="H207" s="116"/>
      <c r="I207" s="116"/>
      <c r="J207" s="116"/>
      <c r="K207" s="116"/>
      <c r="L207" s="116"/>
      <c r="M207" s="116"/>
      <c r="N207" s="116"/>
      <c r="O207" s="116"/>
      <c r="P207" s="116"/>
      <c r="Q207" s="116"/>
      <c r="R207" s="116"/>
      <c r="S207" s="116"/>
      <c r="T207" s="116"/>
      <c r="U207" s="116"/>
      <c r="V207" s="116"/>
      <c r="W207" s="116"/>
      <c r="X207" s="116"/>
      <c r="Y207" s="116"/>
      <c r="Z207" s="116"/>
      <c r="AA207" s="116"/>
      <c r="AB207" s="116"/>
      <c r="AC207" s="116"/>
      <c r="AD207" s="116"/>
      <c r="AE207" s="116"/>
      <c r="AF207" s="116"/>
      <c r="AG207" s="116"/>
      <c r="AH207" s="116"/>
    </row>
    <row r="208" spans="1:34" ht="17.899999999999999" hidden="1" customHeight="1">
      <c r="A208" s="116"/>
      <c r="B208" s="116"/>
      <c r="C208" s="116"/>
      <c r="D208" s="116"/>
      <c r="E208" s="116"/>
      <c r="F208" s="116"/>
      <c r="G208" s="116"/>
      <c r="H208" s="116"/>
      <c r="I208" s="116"/>
      <c r="J208" s="116"/>
      <c r="K208" s="116"/>
      <c r="L208" s="116"/>
      <c r="M208" s="116"/>
      <c r="N208" s="116"/>
      <c r="O208" s="116"/>
      <c r="P208" s="116"/>
      <c r="Q208" s="116"/>
      <c r="R208" s="116"/>
      <c r="S208" s="116"/>
      <c r="T208" s="116"/>
      <c r="U208" s="116"/>
      <c r="V208" s="116"/>
      <c r="W208" s="116"/>
      <c r="X208" s="116"/>
      <c r="Y208" s="116"/>
      <c r="Z208" s="116"/>
      <c r="AA208" s="116"/>
      <c r="AB208" s="116"/>
      <c r="AC208" s="116"/>
      <c r="AD208" s="116"/>
      <c r="AE208" s="116"/>
      <c r="AF208" s="116"/>
      <c r="AG208" s="116"/>
      <c r="AH208" s="116"/>
    </row>
    <row r="209" spans="1:34" ht="17.899999999999999" hidden="1" customHeight="1">
      <c r="A209" s="116"/>
      <c r="B209" s="116"/>
      <c r="C209" s="116"/>
      <c r="D209" s="116"/>
      <c r="E209" s="116"/>
      <c r="F209" s="116"/>
      <c r="G209" s="116"/>
      <c r="H209" s="116"/>
      <c r="I209" s="116"/>
      <c r="J209" s="116"/>
      <c r="K209" s="116"/>
      <c r="L209" s="116"/>
      <c r="M209" s="116"/>
      <c r="N209" s="116"/>
      <c r="O209" s="116"/>
      <c r="P209" s="116"/>
      <c r="Q209" s="116"/>
      <c r="R209" s="116"/>
      <c r="S209" s="116"/>
      <c r="T209" s="116"/>
      <c r="U209" s="116"/>
      <c r="V209" s="116"/>
      <c r="W209" s="116"/>
      <c r="X209" s="116"/>
      <c r="Y209" s="116"/>
      <c r="Z209" s="116"/>
      <c r="AA209" s="116"/>
      <c r="AB209" s="116"/>
      <c r="AC209" s="116"/>
      <c r="AD209" s="116"/>
      <c r="AE209" s="116"/>
      <c r="AF209" s="116"/>
      <c r="AG209" s="116"/>
      <c r="AH209" s="116"/>
    </row>
    <row r="210" spans="1:34" ht="17.899999999999999" hidden="1" customHeight="1">
      <c r="A210" s="116"/>
      <c r="B210" s="116"/>
      <c r="C210" s="116"/>
      <c r="D210" s="116"/>
      <c r="E210" s="116"/>
      <c r="F210" s="116"/>
      <c r="G210" s="116"/>
      <c r="H210" s="116"/>
      <c r="I210" s="116"/>
      <c r="J210" s="116"/>
      <c r="K210" s="116"/>
      <c r="L210" s="116"/>
      <c r="M210" s="116"/>
      <c r="N210" s="116"/>
      <c r="O210" s="116"/>
      <c r="P210" s="116"/>
      <c r="Q210" s="116"/>
      <c r="R210" s="116"/>
      <c r="S210" s="116"/>
      <c r="T210" s="116"/>
      <c r="U210" s="116"/>
      <c r="V210" s="116"/>
      <c r="W210" s="116"/>
      <c r="X210" s="116"/>
      <c r="Y210" s="116"/>
      <c r="Z210" s="116"/>
      <c r="AA210" s="116"/>
      <c r="AB210" s="116"/>
      <c r="AC210" s="116"/>
      <c r="AD210" s="116"/>
      <c r="AE210" s="116"/>
      <c r="AF210" s="116"/>
      <c r="AG210" s="116"/>
      <c r="AH210" s="116"/>
    </row>
    <row r="211" spans="1:34" ht="17.899999999999999" hidden="1" customHeight="1">
      <c r="A211" s="116"/>
      <c r="B211" s="116"/>
      <c r="C211" s="116"/>
      <c r="D211" s="116"/>
      <c r="E211" s="116"/>
      <c r="F211" s="116"/>
      <c r="G211" s="116"/>
      <c r="H211" s="116"/>
      <c r="I211" s="116"/>
      <c r="J211" s="116"/>
      <c r="K211" s="116"/>
      <c r="L211" s="116"/>
      <c r="M211" s="116"/>
      <c r="N211" s="116"/>
      <c r="O211" s="116"/>
      <c r="P211" s="116"/>
      <c r="Q211" s="116"/>
      <c r="R211" s="116"/>
      <c r="S211" s="116"/>
      <c r="T211" s="116"/>
      <c r="U211" s="116"/>
      <c r="V211" s="116"/>
      <c r="W211" s="116"/>
      <c r="X211" s="116"/>
      <c r="Y211" s="116"/>
      <c r="Z211" s="116"/>
      <c r="AA211" s="116"/>
      <c r="AB211" s="116"/>
      <c r="AC211" s="116"/>
      <c r="AD211" s="116"/>
      <c r="AE211" s="116"/>
      <c r="AF211" s="116"/>
      <c r="AG211" s="116"/>
      <c r="AH211" s="116"/>
    </row>
    <row r="212" spans="1:34" ht="17.899999999999999" hidden="1" customHeight="1">
      <c r="A212" s="116"/>
      <c r="B212" s="116"/>
      <c r="C212" s="116"/>
      <c r="D212" s="116"/>
      <c r="E212" s="116"/>
      <c r="F212" s="116"/>
      <c r="G212" s="116"/>
      <c r="H212" s="116"/>
      <c r="I212" s="116"/>
      <c r="J212" s="116"/>
      <c r="K212" s="116"/>
      <c r="L212" s="116"/>
      <c r="M212" s="116"/>
      <c r="N212" s="116"/>
      <c r="O212" s="116"/>
      <c r="P212" s="116"/>
      <c r="Q212" s="116"/>
      <c r="R212" s="116"/>
      <c r="S212" s="116"/>
      <c r="T212" s="116"/>
      <c r="U212" s="116"/>
      <c r="V212" s="116"/>
      <c r="W212" s="116"/>
      <c r="X212" s="116"/>
      <c r="Y212" s="116"/>
      <c r="Z212" s="116"/>
      <c r="AA212" s="116"/>
      <c r="AB212" s="116"/>
      <c r="AC212" s="116"/>
      <c r="AD212" s="116"/>
      <c r="AE212" s="116"/>
      <c r="AF212" s="116"/>
      <c r="AG212" s="116"/>
      <c r="AH212" s="116"/>
    </row>
    <row r="213" spans="1:34" ht="17.899999999999999" hidden="1" customHeight="1">
      <c r="A213" s="116"/>
      <c r="B213" s="116"/>
      <c r="C213" s="116"/>
      <c r="D213" s="116"/>
      <c r="E213" s="116"/>
      <c r="F213" s="116"/>
      <c r="G213" s="116"/>
      <c r="H213" s="116"/>
      <c r="I213" s="116"/>
      <c r="J213" s="116"/>
      <c r="K213" s="116"/>
      <c r="L213" s="116"/>
      <c r="M213" s="116"/>
      <c r="N213" s="116"/>
      <c r="O213" s="116"/>
      <c r="P213" s="116"/>
      <c r="Q213" s="116"/>
      <c r="R213" s="116"/>
      <c r="S213" s="116"/>
      <c r="T213" s="116"/>
      <c r="U213" s="116"/>
      <c r="V213" s="116"/>
      <c r="W213" s="116"/>
      <c r="X213" s="116"/>
      <c r="Y213" s="116"/>
      <c r="Z213" s="116"/>
      <c r="AA213" s="116"/>
      <c r="AB213" s="116"/>
      <c r="AC213" s="116"/>
      <c r="AD213" s="116"/>
      <c r="AE213" s="116"/>
      <c r="AF213" s="116"/>
      <c r="AG213" s="116"/>
      <c r="AH213" s="116"/>
    </row>
    <row r="214" spans="1:34">
      <c r="A214" s="116"/>
      <c r="B214" s="116"/>
      <c r="C214" s="116"/>
      <c r="D214" s="116"/>
      <c r="E214" s="116"/>
      <c r="F214" s="116"/>
      <c r="G214" s="116"/>
      <c r="H214" s="116"/>
      <c r="I214" s="116"/>
      <c r="J214" s="116"/>
      <c r="K214" s="116"/>
      <c r="L214" s="116"/>
      <c r="M214" s="116"/>
      <c r="N214" s="116"/>
      <c r="O214" s="116"/>
      <c r="P214" s="116"/>
      <c r="Q214" s="116"/>
      <c r="R214" s="116"/>
      <c r="S214" s="116"/>
      <c r="T214" s="116"/>
      <c r="U214" s="116"/>
      <c r="V214" s="116"/>
      <c r="W214" s="116"/>
      <c r="X214" s="116"/>
      <c r="Y214" s="116"/>
      <c r="Z214" s="116"/>
      <c r="AA214" s="116"/>
      <c r="AB214" s="116"/>
      <c r="AC214" s="116"/>
      <c r="AD214" s="116"/>
      <c r="AE214" s="116"/>
      <c r="AF214" s="116"/>
      <c r="AG214" s="116"/>
      <c r="AH214" s="116"/>
    </row>
    <row r="215" spans="1:34">
      <c r="A215" s="116"/>
      <c r="B215" s="116"/>
      <c r="C215" s="116"/>
      <c r="D215" s="116"/>
      <c r="E215" s="116"/>
      <c r="F215" s="116"/>
      <c r="G215" s="116"/>
      <c r="H215" s="116"/>
      <c r="I215" s="116"/>
      <c r="J215" s="116"/>
      <c r="K215" s="116"/>
      <c r="L215" s="116"/>
      <c r="M215" s="116"/>
      <c r="N215" s="116"/>
      <c r="O215" s="116"/>
      <c r="P215" s="116"/>
      <c r="Q215" s="116"/>
      <c r="R215" s="116"/>
      <c r="S215" s="116"/>
      <c r="T215" s="116"/>
      <c r="U215" s="116"/>
      <c r="V215" s="116"/>
      <c r="W215" s="116"/>
      <c r="X215" s="116"/>
      <c r="Y215" s="116"/>
      <c r="Z215" s="116"/>
      <c r="AA215" s="116"/>
      <c r="AB215" s="116"/>
      <c r="AC215" s="116"/>
      <c r="AD215" s="116"/>
      <c r="AE215" s="116"/>
      <c r="AF215" s="116"/>
      <c r="AG215" s="116"/>
      <c r="AH215" s="116"/>
    </row>
    <row r="216" spans="1:34" ht="17.899999999999999" hidden="1" customHeight="1">
      <c r="A216" s="116"/>
      <c r="B216" s="116"/>
      <c r="C216" s="116"/>
      <c r="D216" s="116"/>
      <c r="E216" s="116"/>
      <c r="F216" s="116"/>
      <c r="G216" s="116"/>
      <c r="H216" s="116"/>
      <c r="I216" s="116"/>
      <c r="J216" s="116"/>
      <c r="K216" s="116"/>
      <c r="L216" s="116"/>
      <c r="M216" s="116"/>
      <c r="N216" s="116"/>
      <c r="O216" s="116"/>
      <c r="P216" s="116"/>
      <c r="Q216" s="116"/>
      <c r="R216" s="116"/>
      <c r="S216" s="116"/>
      <c r="T216" s="116"/>
      <c r="U216" s="116"/>
      <c r="V216" s="116"/>
      <c r="W216" s="116"/>
      <c r="X216" s="116"/>
      <c r="Y216" s="116"/>
      <c r="Z216" s="116"/>
      <c r="AA216" s="116"/>
      <c r="AB216" s="116"/>
      <c r="AC216" s="116"/>
      <c r="AD216" s="116"/>
      <c r="AE216" s="116"/>
      <c r="AF216" s="116"/>
      <c r="AG216" s="116"/>
      <c r="AH216" s="116"/>
    </row>
    <row r="217" spans="1:34" ht="17.899999999999999" hidden="1" customHeight="1">
      <c r="A217" s="116"/>
      <c r="B217" s="116"/>
      <c r="C217" s="116"/>
      <c r="D217" s="116"/>
      <c r="E217" s="116"/>
      <c r="F217" s="116"/>
      <c r="G217" s="116"/>
      <c r="H217" s="116"/>
      <c r="I217" s="116"/>
      <c r="J217" s="116"/>
      <c r="K217" s="116"/>
      <c r="L217" s="116"/>
      <c r="M217" s="116"/>
      <c r="N217" s="116"/>
      <c r="O217" s="116"/>
      <c r="P217" s="116"/>
      <c r="Q217" s="116"/>
      <c r="R217" s="116"/>
      <c r="S217" s="116"/>
      <c r="T217" s="116"/>
      <c r="U217" s="116"/>
      <c r="V217" s="116"/>
      <c r="W217" s="116"/>
      <c r="X217" s="116"/>
      <c r="Y217" s="116"/>
      <c r="Z217" s="116"/>
      <c r="AA217" s="116"/>
      <c r="AB217" s="116"/>
      <c r="AC217" s="116"/>
      <c r="AD217" s="116"/>
      <c r="AE217" s="116"/>
      <c r="AF217" s="116"/>
      <c r="AG217" s="116"/>
      <c r="AH217" s="116"/>
    </row>
    <row r="218" spans="1:34" ht="17.899999999999999" hidden="1" customHeight="1">
      <c r="A218" s="116"/>
      <c r="B218" s="116"/>
      <c r="C218" s="116"/>
      <c r="D218" s="116"/>
      <c r="E218" s="116"/>
      <c r="F218" s="116"/>
      <c r="G218" s="116"/>
      <c r="H218" s="116"/>
      <c r="I218" s="116"/>
      <c r="J218" s="116"/>
      <c r="K218" s="116"/>
      <c r="L218" s="116"/>
      <c r="M218" s="116"/>
      <c r="N218" s="116"/>
      <c r="O218" s="116"/>
      <c r="P218" s="116"/>
      <c r="Q218" s="116"/>
      <c r="R218" s="116"/>
      <c r="S218" s="116"/>
      <c r="T218" s="116"/>
      <c r="U218" s="116"/>
      <c r="V218" s="116"/>
      <c r="W218" s="116"/>
      <c r="X218" s="116"/>
      <c r="Y218" s="116"/>
      <c r="Z218" s="116"/>
      <c r="AA218" s="116"/>
      <c r="AB218" s="116"/>
      <c r="AC218" s="116"/>
      <c r="AD218" s="116"/>
      <c r="AE218" s="116"/>
      <c r="AF218" s="116"/>
      <c r="AG218" s="116"/>
      <c r="AH218" s="116"/>
    </row>
    <row r="219" spans="1:34" ht="17.899999999999999" hidden="1" customHeight="1">
      <c r="A219" s="116"/>
      <c r="B219" s="116"/>
      <c r="C219" s="116"/>
      <c r="D219" s="116"/>
      <c r="E219" s="116"/>
      <c r="F219" s="116"/>
      <c r="G219" s="116"/>
      <c r="H219" s="116"/>
      <c r="I219" s="116"/>
      <c r="J219" s="116"/>
      <c r="K219" s="116"/>
      <c r="L219" s="116"/>
      <c r="M219" s="116"/>
      <c r="N219" s="116"/>
      <c r="O219" s="116"/>
      <c r="P219" s="116"/>
      <c r="Q219" s="116"/>
      <c r="R219" s="116"/>
      <c r="S219" s="116"/>
      <c r="T219" s="116"/>
      <c r="U219" s="116"/>
      <c r="V219" s="116"/>
      <c r="W219" s="116"/>
      <c r="X219" s="116"/>
      <c r="Y219" s="116"/>
      <c r="Z219" s="116"/>
      <c r="AA219" s="116"/>
      <c r="AB219" s="116"/>
      <c r="AC219" s="116"/>
      <c r="AD219" s="116"/>
      <c r="AE219" s="116"/>
      <c r="AF219" s="116"/>
      <c r="AG219" s="116"/>
      <c r="AH219" s="116"/>
    </row>
    <row r="220" spans="1:34" ht="17.899999999999999" hidden="1" customHeight="1">
      <c r="A220" s="116"/>
      <c r="B220" s="116"/>
      <c r="C220" s="116"/>
      <c r="D220" s="116"/>
      <c r="E220" s="116"/>
      <c r="F220" s="116"/>
      <c r="G220" s="116"/>
      <c r="H220" s="116"/>
      <c r="I220" s="116"/>
      <c r="J220" s="116"/>
      <c r="K220" s="116"/>
      <c r="L220" s="116"/>
      <c r="M220" s="116"/>
      <c r="N220" s="116"/>
      <c r="O220" s="116"/>
      <c r="P220" s="116"/>
      <c r="Q220" s="116"/>
      <c r="R220" s="116"/>
      <c r="S220" s="116"/>
      <c r="T220" s="116"/>
      <c r="U220" s="116"/>
      <c r="V220" s="116"/>
      <c r="W220" s="116"/>
      <c r="X220" s="116"/>
      <c r="Y220" s="116"/>
      <c r="Z220" s="116"/>
      <c r="AA220" s="116"/>
      <c r="AB220" s="116"/>
      <c r="AC220" s="116"/>
      <c r="AD220" s="116"/>
      <c r="AE220" s="116"/>
      <c r="AF220" s="116"/>
      <c r="AG220" s="116"/>
      <c r="AH220" s="116"/>
    </row>
    <row r="221" spans="1:34" ht="17.899999999999999" hidden="1" customHeight="1">
      <c r="A221" s="116"/>
      <c r="B221" s="116"/>
      <c r="C221" s="116"/>
      <c r="D221" s="116"/>
      <c r="E221" s="116"/>
      <c r="F221" s="116"/>
      <c r="G221" s="116"/>
      <c r="H221" s="116"/>
      <c r="I221" s="116"/>
      <c r="J221" s="116"/>
      <c r="K221" s="116"/>
      <c r="L221" s="116"/>
      <c r="M221" s="116"/>
      <c r="N221" s="116"/>
      <c r="O221" s="116"/>
      <c r="P221" s="116"/>
      <c r="Q221" s="116"/>
      <c r="R221" s="116"/>
      <c r="S221" s="116"/>
      <c r="T221" s="116"/>
      <c r="U221" s="116"/>
      <c r="V221" s="116"/>
      <c r="W221" s="116"/>
      <c r="X221" s="116"/>
      <c r="Y221" s="116"/>
      <c r="Z221" s="116"/>
      <c r="AA221" s="116"/>
      <c r="AB221" s="116"/>
      <c r="AC221" s="116"/>
      <c r="AD221" s="116"/>
      <c r="AE221" s="116"/>
      <c r="AF221" s="116"/>
      <c r="AG221" s="116"/>
      <c r="AH221" s="116"/>
    </row>
    <row r="222" spans="1:34" ht="17.899999999999999" hidden="1" customHeight="1">
      <c r="A222" s="116"/>
      <c r="B222" s="116"/>
      <c r="C222" s="116"/>
      <c r="D222" s="116"/>
      <c r="E222" s="116"/>
      <c r="F222" s="116"/>
      <c r="G222" s="116"/>
      <c r="H222" s="116"/>
      <c r="I222" s="116"/>
      <c r="J222" s="116"/>
      <c r="K222" s="116"/>
      <c r="L222" s="116"/>
      <c r="M222" s="116"/>
      <c r="N222" s="116"/>
      <c r="O222" s="116"/>
      <c r="P222" s="116"/>
      <c r="Q222" s="116"/>
      <c r="R222" s="116"/>
      <c r="S222" s="116"/>
      <c r="T222" s="116"/>
      <c r="U222" s="116"/>
      <c r="V222" s="116"/>
      <c r="W222" s="116"/>
      <c r="X222" s="116"/>
      <c r="Y222" s="116"/>
      <c r="Z222" s="116"/>
      <c r="AA222" s="116"/>
      <c r="AB222" s="116"/>
      <c r="AC222" s="116"/>
      <c r="AD222" s="116"/>
      <c r="AE222" s="116"/>
      <c r="AF222" s="116"/>
      <c r="AG222" s="116"/>
      <c r="AH222" s="116"/>
    </row>
    <row r="223" spans="1:34" ht="17.899999999999999" hidden="1" customHeight="1">
      <c r="A223" s="116"/>
      <c r="B223" s="116"/>
      <c r="C223" s="116"/>
      <c r="D223" s="116"/>
      <c r="E223" s="116"/>
      <c r="F223" s="116"/>
      <c r="G223" s="116"/>
      <c r="H223" s="116"/>
      <c r="I223" s="116"/>
      <c r="J223" s="116"/>
      <c r="K223" s="116"/>
      <c r="L223" s="116"/>
      <c r="M223" s="116"/>
      <c r="N223" s="116"/>
      <c r="O223" s="116"/>
      <c r="P223" s="116"/>
      <c r="Q223" s="116"/>
      <c r="R223" s="116"/>
      <c r="S223" s="116"/>
      <c r="T223" s="116"/>
      <c r="U223" s="116"/>
      <c r="V223" s="116"/>
      <c r="W223" s="116"/>
      <c r="X223" s="116"/>
      <c r="Y223" s="116"/>
      <c r="Z223" s="116"/>
      <c r="AA223" s="116"/>
      <c r="AB223" s="116"/>
      <c r="AC223" s="116"/>
      <c r="AD223" s="116"/>
      <c r="AE223" s="116"/>
      <c r="AF223" s="116"/>
      <c r="AG223" s="116"/>
      <c r="AH223" s="116"/>
    </row>
    <row r="224" spans="1:34" ht="17.899999999999999" hidden="1" customHeight="1">
      <c r="A224" s="116"/>
      <c r="B224" s="116"/>
      <c r="C224" s="116"/>
      <c r="D224" s="116"/>
      <c r="E224" s="116"/>
      <c r="F224" s="116"/>
      <c r="G224" s="116"/>
      <c r="H224" s="116"/>
      <c r="I224" s="116"/>
      <c r="J224" s="116"/>
      <c r="K224" s="116"/>
      <c r="L224" s="116"/>
      <c r="M224" s="116"/>
      <c r="N224" s="116"/>
      <c r="O224" s="116"/>
      <c r="P224" s="116"/>
      <c r="Q224" s="116"/>
      <c r="R224" s="116"/>
      <c r="S224" s="116"/>
      <c r="T224" s="116"/>
      <c r="U224" s="116"/>
      <c r="V224" s="116"/>
      <c r="W224" s="116"/>
      <c r="X224" s="116"/>
      <c r="Y224" s="116"/>
      <c r="Z224" s="116"/>
      <c r="AA224" s="116"/>
      <c r="AB224" s="116"/>
      <c r="AC224" s="116"/>
      <c r="AD224" s="116"/>
      <c r="AE224" s="116"/>
      <c r="AF224" s="116"/>
      <c r="AG224" s="116"/>
      <c r="AH224" s="116"/>
    </row>
    <row r="225" spans="1:34" ht="17.899999999999999" hidden="1" customHeight="1">
      <c r="A225" s="116"/>
      <c r="B225" s="116"/>
      <c r="C225" s="116"/>
      <c r="D225" s="116"/>
      <c r="E225" s="116"/>
      <c r="F225" s="116"/>
      <c r="G225" s="116"/>
      <c r="H225" s="116"/>
      <c r="I225" s="116"/>
      <c r="J225" s="116"/>
      <c r="K225" s="116"/>
      <c r="L225" s="116"/>
      <c r="M225" s="116"/>
      <c r="N225" s="116"/>
      <c r="O225" s="116"/>
      <c r="P225" s="116"/>
      <c r="Q225" s="116"/>
      <c r="R225" s="116"/>
      <c r="S225" s="116"/>
      <c r="T225" s="116"/>
      <c r="U225" s="116"/>
      <c r="V225" s="116"/>
      <c r="W225" s="116"/>
      <c r="X225" s="116"/>
      <c r="Y225" s="116"/>
      <c r="Z225" s="116"/>
      <c r="AA225" s="116"/>
      <c r="AB225" s="116"/>
      <c r="AC225" s="116"/>
      <c r="AD225" s="116"/>
      <c r="AE225" s="116"/>
      <c r="AF225" s="116"/>
      <c r="AG225" s="116"/>
      <c r="AH225" s="116"/>
    </row>
    <row r="226" spans="1:34" ht="17.899999999999999" hidden="1" customHeight="1">
      <c r="A226" s="116"/>
      <c r="B226" s="116"/>
      <c r="C226" s="116"/>
      <c r="D226" s="116"/>
      <c r="E226" s="116"/>
      <c r="F226" s="116"/>
      <c r="G226" s="116"/>
      <c r="H226" s="116"/>
      <c r="I226" s="116"/>
      <c r="J226" s="116"/>
      <c r="K226" s="116"/>
      <c r="L226" s="116"/>
      <c r="M226" s="116"/>
      <c r="N226" s="116"/>
      <c r="O226" s="116"/>
      <c r="P226" s="116"/>
      <c r="Q226" s="116"/>
      <c r="R226" s="116"/>
      <c r="S226" s="116"/>
      <c r="T226" s="116"/>
      <c r="U226" s="116"/>
      <c r="V226" s="116"/>
      <c r="W226" s="116"/>
      <c r="X226" s="116"/>
      <c r="Y226" s="116"/>
      <c r="Z226" s="116"/>
      <c r="AA226" s="116"/>
      <c r="AB226" s="116"/>
      <c r="AC226" s="116"/>
      <c r="AD226" s="116"/>
      <c r="AE226" s="116"/>
      <c r="AF226" s="116"/>
      <c r="AG226" s="116"/>
      <c r="AH226" s="116"/>
    </row>
    <row r="227" spans="1:34" s="195" customFormat="1">
      <c r="A227" s="116"/>
      <c r="B227" s="116"/>
      <c r="C227" s="116"/>
      <c r="D227" s="116"/>
      <c r="E227" s="116"/>
      <c r="F227" s="116"/>
      <c r="G227" s="116"/>
      <c r="H227" s="116"/>
      <c r="I227" s="116"/>
      <c r="J227" s="116"/>
      <c r="K227" s="116"/>
      <c r="L227" s="116"/>
      <c r="M227" s="116"/>
      <c r="N227" s="116"/>
      <c r="O227" s="116"/>
      <c r="P227" s="116"/>
      <c r="Q227" s="116"/>
      <c r="R227" s="116"/>
      <c r="S227" s="116"/>
      <c r="T227" s="116"/>
      <c r="U227" s="116"/>
      <c r="V227" s="116"/>
      <c r="W227" s="116"/>
      <c r="X227" s="116"/>
      <c r="Y227" s="116"/>
      <c r="Z227" s="116"/>
      <c r="AA227" s="116"/>
      <c r="AB227" s="116"/>
      <c r="AC227" s="116"/>
      <c r="AD227" s="116"/>
      <c r="AE227" s="116"/>
      <c r="AF227" s="116"/>
      <c r="AG227" s="116"/>
      <c r="AH227" s="116"/>
    </row>
    <row r="228" spans="1:34" s="195" customFormat="1" hidden="1">
      <c r="B228" s="116"/>
      <c r="C228" s="116"/>
      <c r="D228" s="116"/>
      <c r="E228" s="116"/>
      <c r="F228" s="116"/>
      <c r="G228" s="116"/>
      <c r="H228" s="116"/>
      <c r="I228" s="116"/>
      <c r="J228" s="116"/>
      <c r="K228" s="116"/>
      <c r="L228" s="116"/>
      <c r="M228" s="116"/>
      <c r="N228" s="116"/>
      <c r="O228" s="116"/>
      <c r="P228" s="116"/>
      <c r="Q228" s="116"/>
      <c r="R228" s="116"/>
      <c r="S228" s="116"/>
      <c r="T228" s="116"/>
      <c r="U228" s="116"/>
      <c r="V228" s="116"/>
      <c r="W228" s="116"/>
      <c r="X228" s="116"/>
      <c r="Y228" s="116"/>
      <c r="Z228" s="116"/>
      <c r="AA228" s="116"/>
      <c r="AB228" s="116"/>
      <c r="AC228" s="116"/>
      <c r="AD228" s="116"/>
      <c r="AE228" s="116"/>
      <c r="AF228" s="116"/>
      <c r="AG228" s="116"/>
    </row>
    <row r="229" spans="1:34" s="195" customFormat="1" hidden="1"/>
    <row r="230" spans="1:34" s="195" customFormat="1" hidden="1"/>
    <row r="231" spans="1:34" s="195" customFormat="1" hidden="1"/>
    <row r="232" spans="1:34" hidden="1">
      <c r="B232" s="195"/>
      <c r="C232" s="195"/>
      <c r="D232" s="195"/>
      <c r="E232" s="195"/>
      <c r="F232" s="195"/>
      <c r="G232" s="195"/>
      <c r="H232" s="195"/>
      <c r="I232" s="195"/>
      <c r="J232" s="195"/>
      <c r="K232" s="195"/>
      <c r="L232" s="195"/>
      <c r="M232" s="195"/>
      <c r="N232" s="195"/>
      <c r="O232" s="195"/>
      <c r="P232" s="195"/>
      <c r="Q232" s="195"/>
      <c r="R232" s="195"/>
      <c r="S232" s="195"/>
      <c r="T232" s="195"/>
      <c r="U232" s="195"/>
      <c r="V232" s="195"/>
      <c r="W232" s="195"/>
      <c r="X232" s="195"/>
      <c r="Y232" s="195"/>
      <c r="Z232" s="195"/>
      <c r="AA232" s="195"/>
      <c r="AB232" s="195"/>
      <c r="AC232" s="195"/>
      <c r="AD232" s="195"/>
      <c r="AE232" s="195"/>
      <c r="AF232" s="195"/>
      <c r="AG232" s="195"/>
    </row>
    <row r="233" spans="1:34"/>
    <row r="234" spans="1:34"/>
    <row r="235" spans="1:34"/>
    <row r="236" spans="1:34"/>
    <row r="237" spans="1:34"/>
    <row r="238" spans="1:34"/>
    <row r="239" spans="1:34"/>
    <row r="240" spans="1:34"/>
    <row r="241"/>
    <row r="242"/>
    <row r="243"/>
    <row r="244"/>
    <row r="245"/>
    <row r="246"/>
    <row r="247"/>
    <row r="248"/>
    <row r="249"/>
    <row r="250"/>
    <row r="251"/>
    <row r="252"/>
    <row r="253"/>
    <row r="254"/>
    <row r="255"/>
    <row r="256"/>
    <row r="257"/>
  </sheetData>
  <sortState ref="O13:O20">
    <sortCondition ref="O13:O20"/>
  </sortState>
  <mergeCells count="38">
    <mergeCell ref="X10:AF39"/>
    <mergeCell ref="E156:E158"/>
    <mergeCell ref="E176:E178"/>
    <mergeCell ref="D103:D105"/>
    <mergeCell ref="J26:O26"/>
    <mergeCell ref="E26:I26"/>
    <mergeCell ref="P26:R26"/>
    <mergeCell ref="X46:AF84"/>
    <mergeCell ref="D55:E61"/>
    <mergeCell ref="X147:AF197"/>
    <mergeCell ref="X91:AF140"/>
    <mergeCell ref="T11:U11"/>
    <mergeCell ref="R11:S11"/>
    <mergeCell ref="R12:S12"/>
    <mergeCell ref="R13:S13"/>
    <mergeCell ref="R14:S14"/>
    <mergeCell ref="C31:D31"/>
    <mergeCell ref="C34:D34"/>
    <mergeCell ref="C37:D37"/>
    <mergeCell ref="C26:D27"/>
    <mergeCell ref="C28:D28"/>
    <mergeCell ref="C13:D13"/>
    <mergeCell ref="C16:D16"/>
    <mergeCell ref="C19:D19"/>
    <mergeCell ref="C22:D22"/>
    <mergeCell ref="L11:N11"/>
    <mergeCell ref="H11:K11"/>
    <mergeCell ref="C11:D12"/>
    <mergeCell ref="E11:G11"/>
    <mergeCell ref="R15:S15"/>
    <mergeCell ref="R16:S16"/>
    <mergeCell ref="R17:S17"/>
    <mergeCell ref="T17:U17"/>
    <mergeCell ref="T12:U12"/>
    <mergeCell ref="T13:U13"/>
    <mergeCell ref="T14:U14"/>
    <mergeCell ref="T15:U15"/>
    <mergeCell ref="T16:U16"/>
  </mergeCells>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A2:J24"/>
  <sheetViews>
    <sheetView zoomScale="85" zoomScaleNormal="85" workbookViewId="0">
      <selection activeCell="B22" sqref="B22"/>
    </sheetView>
  </sheetViews>
  <sheetFormatPr defaultRowHeight="14"/>
  <cols>
    <col min="1" max="1" width="44.08203125" bestFit="1" customWidth="1"/>
    <col min="2" max="2" width="58.08203125" customWidth="1"/>
    <col min="3" max="3" width="100.58203125" customWidth="1"/>
  </cols>
  <sheetData>
    <row r="2" spans="2:10">
      <c r="D2" t="s">
        <v>1823</v>
      </c>
    </row>
    <row r="3" spans="2:10" ht="18">
      <c r="B3" s="16" t="s">
        <v>1824</v>
      </c>
      <c r="D3" t="s">
        <v>1154</v>
      </c>
    </row>
    <row r="4" spans="2:10" ht="18">
      <c r="B4" s="52" t="s">
        <v>1825</v>
      </c>
      <c r="C4" s="52" t="s">
        <v>1826</v>
      </c>
      <c r="D4" s="51" t="s">
        <v>1175</v>
      </c>
      <c r="E4" s="51" t="s">
        <v>1176</v>
      </c>
      <c r="F4" s="51" t="s">
        <v>1167</v>
      </c>
      <c r="H4" s="30" t="s">
        <v>1175</v>
      </c>
      <c r="I4" s="30" t="s">
        <v>1176</v>
      </c>
      <c r="J4" s="30" t="s">
        <v>1167</v>
      </c>
    </row>
    <row r="5" spans="2:10" ht="36">
      <c r="B5" s="2" t="s">
        <v>1165</v>
      </c>
      <c r="C5" s="4" t="s">
        <v>1827</v>
      </c>
      <c r="D5">
        <v>8</v>
      </c>
      <c r="E5">
        <v>8</v>
      </c>
      <c r="F5">
        <v>8</v>
      </c>
      <c r="H5" s="30">
        <v>1</v>
      </c>
      <c r="I5" s="30">
        <v>3</v>
      </c>
      <c r="J5" s="30">
        <v>8</v>
      </c>
    </row>
    <row r="6" spans="2:10" ht="36">
      <c r="B6" s="2" t="s">
        <v>1168</v>
      </c>
      <c r="C6" s="4" t="s">
        <v>1828</v>
      </c>
      <c r="D6">
        <v>2</v>
      </c>
      <c r="E6">
        <v>4</v>
      </c>
      <c r="F6">
        <v>8</v>
      </c>
      <c r="H6" s="30">
        <v>1</v>
      </c>
      <c r="I6" s="30">
        <v>3</v>
      </c>
      <c r="J6" s="30">
        <v>4</v>
      </c>
    </row>
    <row r="7" spans="2:10" ht="18">
      <c r="B7" s="2" t="s">
        <v>1169</v>
      </c>
      <c r="C7" s="4" t="s">
        <v>1829</v>
      </c>
      <c r="D7">
        <v>2</v>
      </c>
      <c r="E7">
        <v>4</v>
      </c>
      <c r="F7">
        <v>8</v>
      </c>
      <c r="H7" s="30">
        <v>1</v>
      </c>
      <c r="I7" s="30">
        <v>1</v>
      </c>
      <c r="J7" s="30">
        <v>2</v>
      </c>
    </row>
    <row r="8" spans="2:10" ht="18">
      <c r="B8" s="27" t="s">
        <v>1170</v>
      </c>
      <c r="C8" s="4" t="s">
        <v>1830</v>
      </c>
      <c r="D8">
        <v>2</v>
      </c>
      <c r="E8">
        <v>4</v>
      </c>
      <c r="F8">
        <v>8</v>
      </c>
      <c r="H8" s="30">
        <v>2</v>
      </c>
      <c r="I8" s="30">
        <v>4</v>
      </c>
      <c r="J8" s="30">
        <v>4</v>
      </c>
    </row>
    <row r="9" spans="2:10" ht="18">
      <c r="B9" s="28" t="s">
        <v>1173</v>
      </c>
      <c r="C9" s="4" t="s">
        <v>1831</v>
      </c>
      <c r="D9">
        <v>1</v>
      </c>
      <c r="E9">
        <v>1</v>
      </c>
      <c r="F9">
        <v>1</v>
      </c>
      <c r="H9" s="30"/>
      <c r="I9" s="30"/>
      <c r="J9" s="30"/>
    </row>
    <row r="10" spans="2:10" ht="54">
      <c r="B10" s="2" t="s">
        <v>1171</v>
      </c>
      <c r="C10" s="4" t="s">
        <v>1832</v>
      </c>
      <c r="D10">
        <v>0.1</v>
      </c>
      <c r="E10">
        <v>0.1</v>
      </c>
      <c r="F10">
        <v>0.1</v>
      </c>
      <c r="H10" s="30">
        <v>0.1</v>
      </c>
      <c r="I10" s="30">
        <v>0.5</v>
      </c>
      <c r="J10" s="30">
        <v>0.5</v>
      </c>
    </row>
    <row r="11" spans="2:10" ht="18">
      <c r="B11" s="28" t="s">
        <v>1172</v>
      </c>
      <c r="C11" s="4" t="s">
        <v>1833</v>
      </c>
      <c r="D11">
        <v>1</v>
      </c>
      <c r="E11">
        <v>2</v>
      </c>
      <c r="F11">
        <v>2</v>
      </c>
      <c r="H11" s="30"/>
      <c r="I11" s="30"/>
      <c r="J11" s="30"/>
    </row>
    <row r="12" spans="2:10" ht="18">
      <c r="B12" s="28" t="s">
        <v>1212</v>
      </c>
      <c r="C12" s="4" t="s">
        <v>1834</v>
      </c>
      <c r="D12">
        <v>0.5</v>
      </c>
      <c r="E12">
        <v>0.5</v>
      </c>
      <c r="F12">
        <v>0.5</v>
      </c>
      <c r="H12" s="30">
        <v>0.5</v>
      </c>
      <c r="I12" s="30">
        <v>0.5</v>
      </c>
      <c r="J12" s="30">
        <v>0.5</v>
      </c>
    </row>
    <row r="13" spans="2:10" ht="36">
      <c r="B13" s="33" t="s">
        <v>1179</v>
      </c>
      <c r="C13" s="4" t="s">
        <v>1835</v>
      </c>
      <c r="D13">
        <v>0.5</v>
      </c>
      <c r="E13">
        <v>0.5</v>
      </c>
      <c r="F13">
        <v>0.5</v>
      </c>
      <c r="H13" s="30">
        <v>0.5</v>
      </c>
      <c r="I13" s="30">
        <v>0.5</v>
      </c>
      <c r="J13" s="30">
        <v>0.5</v>
      </c>
    </row>
    <row r="14" spans="2:10" ht="18">
      <c r="B14" s="34"/>
      <c r="C14" s="26"/>
    </row>
    <row r="15" spans="2:10">
      <c r="B15" s="11" t="s">
        <v>13</v>
      </c>
    </row>
    <row r="16" spans="2:10" ht="18">
      <c r="B16" s="17" t="s">
        <v>612</v>
      </c>
      <c r="C16">
        <f>_xlfn.NUMBERVALUE(LEFT(B16,1))</f>
        <v>1</v>
      </c>
      <c r="D16" s="95">
        <v>1</v>
      </c>
      <c r="E16" s="95">
        <v>1</v>
      </c>
    </row>
    <row r="17" spans="1:5" ht="18">
      <c r="A17" t="s">
        <v>1836</v>
      </c>
      <c r="B17" s="17" t="s">
        <v>613</v>
      </c>
      <c r="C17">
        <v>4</v>
      </c>
      <c r="D17" s="95">
        <v>0.25</v>
      </c>
      <c r="E17" s="95">
        <v>0</v>
      </c>
    </row>
    <row r="18" spans="1:5" ht="18">
      <c r="B18" s="23" t="s">
        <v>28</v>
      </c>
      <c r="C18">
        <v>8</v>
      </c>
      <c r="D18" s="95">
        <v>0</v>
      </c>
      <c r="E18" s="95">
        <v>0</v>
      </c>
    </row>
    <row r="19" spans="1:5" ht="18">
      <c r="B19" s="1" t="s">
        <v>1840</v>
      </c>
      <c r="C19">
        <f>_xlfn.NUMBERVALUE(LEFT(B19,1))</f>
        <v>2</v>
      </c>
      <c r="D19" s="95">
        <v>0.5</v>
      </c>
      <c r="E19" s="95">
        <v>0.25</v>
      </c>
    </row>
    <row r="20" spans="1:5" ht="18">
      <c r="B20" s="1" t="s">
        <v>2318</v>
      </c>
      <c r="C20">
        <v>3</v>
      </c>
      <c r="D20" s="95">
        <v>0.5</v>
      </c>
      <c r="E20" s="95">
        <v>0</v>
      </c>
    </row>
    <row r="21" spans="1:5" ht="18">
      <c r="A21" t="s">
        <v>1837</v>
      </c>
      <c r="B21" s="24" t="s">
        <v>614</v>
      </c>
      <c r="C21">
        <v>5</v>
      </c>
      <c r="D21" s="95">
        <v>0.25</v>
      </c>
      <c r="E21" s="95">
        <v>0.25</v>
      </c>
    </row>
    <row r="22" spans="1:5" ht="18">
      <c r="A22" t="s">
        <v>1838</v>
      </c>
      <c r="B22" s="18" t="s">
        <v>615</v>
      </c>
      <c r="C22">
        <v>6</v>
      </c>
      <c r="D22" s="95">
        <v>0.25</v>
      </c>
      <c r="E22" s="95">
        <v>0</v>
      </c>
    </row>
    <row r="23" spans="1:5" ht="18">
      <c r="A23" t="s">
        <v>1838</v>
      </c>
      <c r="B23" s="18" t="s">
        <v>2319</v>
      </c>
      <c r="C23">
        <v>7</v>
      </c>
      <c r="D23" s="95">
        <v>0.25</v>
      </c>
      <c r="E23" s="95">
        <v>0</v>
      </c>
    </row>
    <row r="24" spans="1:5" ht="18">
      <c r="A24" t="s">
        <v>1839</v>
      </c>
      <c r="B24" s="1" t="s">
        <v>611</v>
      </c>
      <c r="C24">
        <f>_xlfn.NUMBERVALUE(LEFT(B24,1))</f>
        <v>0</v>
      </c>
      <c r="D24" s="95">
        <v>0</v>
      </c>
      <c r="E24" s="95">
        <v>0</v>
      </c>
    </row>
  </sheetData>
  <conditionalFormatting sqref="B16:B24">
    <cfRule type="cellIs" dxfId="374" priority="1" operator="equal">
      <formula>$B$24</formula>
    </cfRule>
  </conditionalFormatting>
  <pageMargins left="0.7" right="0.7" top="0.75" bottom="0.75" header="0.3" footer="0.3"/>
  <pageSetup paperSize="9" orientation="portrait" r:id="rId1"/>
  <extLst>
    <ext xmlns:x14="http://schemas.microsoft.com/office/spreadsheetml/2009/9/main" uri="{78C0D931-6437-407d-A8EE-F0AAD7539E65}">
      <x14:conditionalFormattings>
        <x14:conditionalFormatting xmlns:xm="http://schemas.microsoft.com/office/excel/2006/main">
          <x14:cfRule type="containsText" priority="2" operator="containsText" id="{B95969BE-C34E-49F0-8570-DF3795205EE0}">
            <xm:f>NOT(ISERROR(SEARCH($B$22,B16)))</xm:f>
            <xm:f>$B$22</xm:f>
            <x14:dxf>
              <font>
                <b/>
                <i val="0"/>
                <color rgb="FFC00000"/>
              </font>
              <fill>
                <patternFill>
                  <bgColor theme="5" tint="0.79998168889431442"/>
                </patternFill>
              </fill>
            </x14:dxf>
          </x14:cfRule>
          <x14:cfRule type="containsText" priority="3" operator="containsText" id="{B0574C7E-907B-4484-A1CC-EBB9AA1C8984}">
            <xm:f>NOT(ISERROR(SEARCH($B$19,B16)))</xm:f>
            <xm:f>$B$19</xm:f>
            <x14:dxf>
              <font>
                <b/>
                <i val="0"/>
                <color theme="7" tint="-0.24994659260841701"/>
              </font>
              <fill>
                <patternFill>
                  <bgColor theme="7" tint="0.79998168889431442"/>
                </patternFill>
              </fill>
            </x14:dxf>
          </x14:cfRule>
          <x14:cfRule type="containsText" priority="4" operator="containsText" id="{189E0EEA-8B4A-4A84-ABC7-266A6AAD0E7B}">
            <xm:f>NOT(ISERROR(SEARCH($B$16,B16)))</xm:f>
            <xm:f>$B$16</xm:f>
            <x14:dxf>
              <font>
                <b/>
                <i val="0"/>
                <color theme="9"/>
              </font>
              <fill>
                <patternFill>
                  <bgColor theme="9" tint="0.79998168889431442"/>
                </patternFill>
              </fill>
            </x14:dxf>
          </x14:cfRule>
          <xm:sqref>B16:B24</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Z740"/>
  <sheetViews>
    <sheetView showGridLines="0" zoomScale="50" zoomScaleNormal="50" workbookViewId="0">
      <pane xSplit="3" ySplit="6" topLeftCell="D7" activePane="bottomRight" state="frozen"/>
      <selection pane="topRight" activeCell="D136" sqref="D136"/>
      <selection pane="bottomLeft" activeCell="D136" sqref="D136"/>
      <selection pane="bottomRight" activeCell="F754" sqref="F754"/>
    </sheetView>
  </sheetViews>
  <sheetFormatPr defaultColWidth="8.58203125" defaultRowHeight="14"/>
  <cols>
    <col min="1" max="1" width="3.58203125" customWidth="1"/>
    <col min="2" max="2" width="8.08203125" customWidth="1"/>
    <col min="3" max="3" width="19.58203125" bestFit="1" customWidth="1"/>
    <col min="4" max="4" width="12.5" customWidth="1"/>
    <col min="5" max="5" width="35.58203125" bestFit="1" customWidth="1"/>
    <col min="6" max="6" width="30.08203125" bestFit="1" customWidth="1"/>
    <col min="7" max="7" width="30.58203125" bestFit="1" customWidth="1"/>
    <col min="8" max="8" width="30.58203125" customWidth="1"/>
    <col min="9" max="9" width="30.58203125" style="259" hidden="1" customWidth="1"/>
    <col min="10" max="10" width="40.08203125" hidden="1" customWidth="1"/>
    <col min="11" max="14" width="40.08203125" customWidth="1"/>
    <col min="15" max="15" width="40.08203125" hidden="1" customWidth="1"/>
    <col min="16" max="16" width="35" hidden="1" customWidth="1"/>
    <col min="17" max="17" width="24" hidden="1" customWidth="1"/>
    <col min="18" max="20" width="22" hidden="1" customWidth="1"/>
    <col min="21" max="21" width="24.08203125" hidden="1" customWidth="1"/>
    <col min="22" max="23" width="15.83203125" customWidth="1"/>
    <col min="24" max="24" width="42.58203125" customWidth="1"/>
    <col min="25" max="25" width="40.83203125" style="259" bestFit="1" customWidth="1"/>
    <col min="26" max="26" width="14.33203125" hidden="1" customWidth="1"/>
  </cols>
  <sheetData>
    <row r="1" spans="1:26" ht="18">
      <c r="A1" s="25"/>
      <c r="B1" s="25"/>
      <c r="C1" s="25"/>
      <c r="D1" s="25"/>
      <c r="E1" s="25"/>
      <c r="F1" s="25"/>
      <c r="G1" s="25"/>
      <c r="H1" s="25"/>
      <c r="I1" s="465"/>
      <c r="J1" s="25"/>
      <c r="K1" s="25"/>
      <c r="L1" s="25"/>
      <c r="M1" s="25"/>
      <c r="N1" s="25"/>
      <c r="O1" s="25"/>
      <c r="P1" s="25"/>
      <c r="Q1" s="25"/>
      <c r="R1" s="25"/>
      <c r="S1" s="25"/>
      <c r="T1" s="25"/>
      <c r="U1" s="25"/>
    </row>
    <row r="2" spans="1:26" ht="18">
      <c r="A2" s="25"/>
      <c r="B2" s="25"/>
      <c r="C2" s="25"/>
      <c r="D2" s="25"/>
      <c r="E2" s="25"/>
      <c r="F2" s="25"/>
      <c r="G2" s="25"/>
      <c r="H2" s="25"/>
      <c r="I2" s="465"/>
      <c r="J2" s="25"/>
      <c r="K2" s="25"/>
      <c r="L2" s="25"/>
      <c r="M2" s="25"/>
      <c r="N2" s="25"/>
      <c r="O2" s="25"/>
      <c r="P2" s="25"/>
      <c r="Q2" s="25"/>
      <c r="R2" s="25"/>
      <c r="S2" s="25"/>
      <c r="T2" s="25"/>
      <c r="U2" s="25"/>
    </row>
    <row r="3" spans="1:26" ht="18">
      <c r="A3" s="25"/>
      <c r="B3" s="25"/>
      <c r="C3" s="25"/>
      <c r="D3" s="25"/>
      <c r="E3" s="25"/>
      <c r="F3" s="25"/>
      <c r="G3" s="25"/>
      <c r="H3" s="25"/>
      <c r="I3" s="465"/>
      <c r="J3" s="25"/>
      <c r="K3" s="25"/>
      <c r="L3" s="25"/>
      <c r="M3" s="25"/>
      <c r="N3" s="25"/>
      <c r="O3" s="25"/>
      <c r="P3" s="25"/>
      <c r="Q3" s="25"/>
      <c r="R3" s="25"/>
      <c r="S3" s="25"/>
      <c r="T3" s="25"/>
      <c r="U3" s="25"/>
    </row>
    <row r="4" spans="1:26" ht="5.15" customHeight="1">
      <c r="A4" s="114"/>
      <c r="B4" s="114"/>
      <c r="C4" s="114"/>
      <c r="D4" s="114"/>
      <c r="E4" s="114"/>
      <c r="F4" s="114"/>
      <c r="G4" s="114"/>
      <c r="H4" s="114"/>
      <c r="I4" s="466"/>
      <c r="J4" s="114"/>
      <c r="K4" s="114"/>
      <c r="L4" s="114"/>
      <c r="M4" s="114"/>
      <c r="N4" s="114"/>
      <c r="O4" s="114"/>
      <c r="P4" s="114"/>
      <c r="Q4" s="114"/>
      <c r="R4" s="114"/>
      <c r="S4" s="114"/>
      <c r="T4" s="114"/>
      <c r="U4" s="114"/>
      <c r="V4" s="114"/>
      <c r="W4" s="114"/>
      <c r="X4" s="114"/>
      <c r="Y4" s="114"/>
      <c r="Z4" s="114"/>
    </row>
    <row r="5" spans="1:26">
      <c r="J5" s="104" t="s">
        <v>2363</v>
      </c>
      <c r="K5" s="104" t="s">
        <v>2363</v>
      </c>
      <c r="L5" s="104"/>
      <c r="M5" s="104"/>
      <c r="N5" s="104"/>
      <c r="O5" s="104" t="s">
        <v>2363</v>
      </c>
      <c r="P5" s="29"/>
      <c r="Q5" s="29"/>
      <c r="R5" s="29"/>
      <c r="S5" s="29"/>
      <c r="T5" s="29"/>
      <c r="U5" s="104" t="s">
        <v>2363</v>
      </c>
      <c r="V5" s="104" t="s">
        <v>2363</v>
      </c>
      <c r="W5" s="104"/>
      <c r="X5" s="104" t="s">
        <v>2363</v>
      </c>
      <c r="Y5" s="104" t="s">
        <v>2363</v>
      </c>
      <c r="Z5" s="104" t="s">
        <v>2363</v>
      </c>
    </row>
    <row r="6" spans="1:26" ht="18">
      <c r="B6" s="212" t="s">
        <v>8</v>
      </c>
      <c r="C6" s="213" t="s">
        <v>9</v>
      </c>
      <c r="D6" s="213" t="s">
        <v>10</v>
      </c>
      <c r="E6" s="213" t="s">
        <v>11</v>
      </c>
      <c r="F6" s="213" t="s">
        <v>12</v>
      </c>
      <c r="G6" s="213" t="s">
        <v>636</v>
      </c>
      <c r="H6" s="213" t="s">
        <v>637</v>
      </c>
      <c r="I6" s="358" t="s">
        <v>2413</v>
      </c>
      <c r="J6" s="358" t="s">
        <v>2340</v>
      </c>
      <c r="K6" s="358" t="s">
        <v>2341</v>
      </c>
      <c r="L6" s="358" t="s">
        <v>2440</v>
      </c>
      <c r="M6" s="358" t="s">
        <v>2441</v>
      </c>
      <c r="N6" s="358" t="s">
        <v>2442</v>
      </c>
      <c r="O6" s="358" t="s">
        <v>2362</v>
      </c>
      <c r="P6" s="359" t="s">
        <v>638</v>
      </c>
      <c r="Q6" s="359" t="s">
        <v>639</v>
      </c>
      <c r="R6" s="360" t="s">
        <v>640</v>
      </c>
      <c r="S6" s="361" t="s">
        <v>1842</v>
      </c>
      <c r="T6" s="362" t="s">
        <v>1843</v>
      </c>
      <c r="U6" s="362" t="s">
        <v>2380</v>
      </c>
      <c r="V6" s="365" t="s">
        <v>2324</v>
      </c>
      <c r="W6" s="365" t="s">
        <v>2454</v>
      </c>
      <c r="X6" s="362" t="s">
        <v>2373</v>
      </c>
      <c r="Y6" s="365" t="s">
        <v>1934</v>
      </c>
      <c r="Z6" s="363" t="s">
        <v>1158</v>
      </c>
    </row>
    <row r="7" spans="1:26" ht="16.399999999999999" hidden="1" customHeight="1">
      <c r="A7" s="29" t="str">
        <f>E7&amp;F7</f>
        <v>PROPERTY_ENERGY_CERTIFICATECURRENT_ENERGY_RATING_PERCENTAGE</v>
      </c>
      <c r="B7" s="141" t="s">
        <v>26</v>
      </c>
      <c r="C7" s="137" t="s">
        <v>54</v>
      </c>
      <c r="D7" s="133" t="s">
        <v>40</v>
      </c>
      <c r="E7" s="134" t="s">
        <v>123</v>
      </c>
      <c r="F7" s="470" t="s">
        <v>1957</v>
      </c>
      <c r="G7" s="135" t="str">
        <f>VLOOKUP(A7,Plano_V3!$A$26:$G$768,7,0)</f>
        <v>1. Concluído</v>
      </c>
      <c r="H7" s="135" t="s">
        <v>612</v>
      </c>
      <c r="I7" s="467"/>
      <c r="J7" s="355" t="s">
        <v>2242</v>
      </c>
      <c r="K7" s="355" t="s">
        <v>2449</v>
      </c>
      <c r="L7" s="364">
        <v>45730</v>
      </c>
      <c r="M7" s="364">
        <v>45737</v>
      </c>
      <c r="N7" s="355"/>
      <c r="O7" s="355"/>
      <c r="P7" s="152" t="str">
        <f>IF(VLOOKUP(A7,'Aux - pivots1'!$A:$E,3,0)=0, "",VLOOKUP(A7,'Aux - pivots1'!$A:$E,3,0))</f>
        <v/>
      </c>
      <c r="Q7" s="152" t="str">
        <f>IF(VLOOKUP(A7,'Aux - pivots1'!$A:$E,4,0)=0, "",VLOOKUP(A7,'Aux - pivots1'!$A:$E,4,0))</f>
        <v/>
      </c>
      <c r="R7" s="152" t="str">
        <f>IF(VLOOKUP(A7,'Aux - pivots1'!$A:$E,5,0)=0, "",VLOOKUP(A7,'Aux - pivots1'!$A:$E,5,0))</f>
        <v/>
      </c>
      <c r="S7" s="199"/>
      <c r="T7" s="199"/>
      <c r="U7" s="199"/>
      <c r="V7" s="320"/>
      <c r="W7" s="320"/>
      <c r="X7" s="320"/>
      <c r="Y7" s="368" t="s">
        <v>2320</v>
      </c>
      <c r="Z7" s="320" t="s">
        <v>1856</v>
      </c>
    </row>
    <row r="8" spans="1:26" ht="16.399999999999999" hidden="1" customHeight="1">
      <c r="A8" s="29" t="str">
        <f t="shared" ref="A8:A72" si="0">E8&amp;F8</f>
        <v>lt002_instrumentOFF_BLNC_SHT_AMNT_INSTRMNT</v>
      </c>
      <c r="B8" s="141" t="s">
        <v>26</v>
      </c>
      <c r="C8" s="137" t="s">
        <v>26</v>
      </c>
      <c r="D8" s="133" t="s">
        <v>40</v>
      </c>
      <c r="E8" s="136" t="s">
        <v>379</v>
      </c>
      <c r="F8" s="474" t="s">
        <v>1412</v>
      </c>
      <c r="G8" s="135" t="str">
        <f>VLOOKUP(A8,Plano_V3!$A$26:$G$768,7,0)</f>
        <v>1. Concluído</v>
      </c>
      <c r="H8" s="135" t="s">
        <v>2319</v>
      </c>
      <c r="I8" s="467"/>
      <c r="J8" s="142" t="s">
        <v>2305</v>
      </c>
      <c r="K8" s="355" t="s">
        <v>2462</v>
      </c>
      <c r="L8" s="364">
        <v>45764</v>
      </c>
      <c r="M8" s="364">
        <v>45771</v>
      </c>
      <c r="N8" s="355" t="s">
        <v>2443</v>
      </c>
      <c r="O8" s="142"/>
      <c r="P8" s="152" t="str">
        <f>IF(VLOOKUP(A8,'Aux - pivots1'!$A:$E,3,0)=0, "",VLOOKUP(A8,'Aux - pivots1'!$A:$E,3,0))</f>
        <v/>
      </c>
      <c r="Q8" s="152" t="str">
        <f>IF(VLOOKUP(A8,'Aux - pivots1'!$A:$E,4,0)=0, "",VLOOKUP(A8,'Aux - pivots1'!$A:$E,4,0))</f>
        <v/>
      </c>
      <c r="R8" s="152" t="str">
        <f>IF(VLOOKUP(A8,'Aux - pivots1'!$A:$E,5,0)=0, "",VLOOKUP(A8,'Aux - pivots1'!$A:$E,5,0))</f>
        <v/>
      </c>
      <c r="S8" s="198"/>
      <c r="T8" s="198"/>
      <c r="U8" s="368" t="s">
        <v>2313</v>
      </c>
      <c r="V8" s="320" t="s">
        <v>2387</v>
      </c>
      <c r="W8" s="320" t="s">
        <v>2455</v>
      </c>
      <c r="X8" s="368" t="s">
        <v>2359</v>
      </c>
      <c r="Y8" s="368" t="s">
        <v>2321</v>
      </c>
      <c r="Z8" s="320" t="s">
        <v>1856</v>
      </c>
    </row>
    <row r="9" spans="1:26" ht="16.399999999999999" hidden="1" customHeight="1">
      <c r="A9" s="29" t="str">
        <f t="shared" si="0"/>
        <v>lt003_entityec_grp_id</v>
      </c>
      <c r="B9" s="141" t="s">
        <v>26</v>
      </c>
      <c r="C9" s="137" t="s">
        <v>26</v>
      </c>
      <c r="D9" s="133" t="s">
        <v>40</v>
      </c>
      <c r="E9" s="136" t="s">
        <v>335</v>
      </c>
      <c r="F9" s="474" t="s">
        <v>2192</v>
      </c>
      <c r="G9" s="135" t="str">
        <f>VLOOKUP(A9,Plano_V3!$A$26:$G$768,7,0)</f>
        <v>1. Concluído</v>
      </c>
      <c r="H9" s="135" t="s">
        <v>615</v>
      </c>
      <c r="I9" s="467"/>
      <c r="J9" s="355" t="s">
        <v>2240</v>
      </c>
      <c r="K9" s="355" t="s">
        <v>2450</v>
      </c>
      <c r="L9" s="364">
        <v>45744</v>
      </c>
      <c r="M9" s="364">
        <v>45751</v>
      </c>
      <c r="N9" s="355" t="s">
        <v>2443</v>
      </c>
      <c r="O9" s="355"/>
      <c r="P9" s="152" t="str">
        <f>IF(VLOOKUP(A9,'Aux - pivots1'!$A:$E,3,0)=0, "",VLOOKUP(A9,'Aux - pivots1'!$A:$E,3,0))</f>
        <v/>
      </c>
      <c r="Q9" s="152" t="str">
        <f>IF(VLOOKUP(A9,'Aux - pivots1'!$A:$E,4,0)=0, "",VLOOKUP(A9,'Aux - pivots1'!$A:$E,4,0))</f>
        <v/>
      </c>
      <c r="R9" s="152" t="str">
        <f>IF(VLOOKUP(A9,'Aux - pivots1'!$A:$E,5,0)=0, "",VLOOKUP(A9,'Aux - pivots1'!$A:$E,5,0))</f>
        <v/>
      </c>
      <c r="S9" s="198"/>
      <c r="T9" s="198"/>
      <c r="U9" s="368" t="s">
        <v>2313</v>
      </c>
      <c r="V9" s="320" t="s">
        <v>2385</v>
      </c>
      <c r="W9" s="320" t="s">
        <v>2455</v>
      </c>
      <c r="X9" s="368" t="s">
        <v>2359</v>
      </c>
      <c r="Y9" s="368" t="s">
        <v>2321</v>
      </c>
      <c r="Z9" s="320" t="s">
        <v>1855</v>
      </c>
    </row>
    <row r="10" spans="1:26" ht="16.399999999999999" hidden="1" customHeight="1">
      <c r="A10" s="29" t="str">
        <f t="shared" si="0"/>
        <v>lt003_entityec_grp_nm</v>
      </c>
      <c r="B10" s="141" t="s">
        <v>26</v>
      </c>
      <c r="C10" s="137" t="s">
        <v>26</v>
      </c>
      <c r="D10" s="133" t="s">
        <v>40</v>
      </c>
      <c r="E10" s="136" t="s">
        <v>335</v>
      </c>
      <c r="F10" s="474" t="s">
        <v>2193</v>
      </c>
      <c r="G10" s="135" t="str">
        <f>VLOOKUP(A10,Plano_V3!$A$26:$G$768,7,0)</f>
        <v>1. Concluído</v>
      </c>
      <c r="H10" s="135" t="s">
        <v>615</v>
      </c>
      <c r="I10" s="467"/>
      <c r="J10" s="355" t="s">
        <v>2240</v>
      </c>
      <c r="K10" s="355" t="s">
        <v>2450</v>
      </c>
      <c r="L10" s="364">
        <v>45744</v>
      </c>
      <c r="M10" s="364">
        <v>45751</v>
      </c>
      <c r="N10" s="355" t="s">
        <v>2443</v>
      </c>
      <c r="O10" s="355"/>
      <c r="P10" s="152" t="str">
        <f>IF(VLOOKUP(A10,'Aux - pivots1'!$A:$E,3,0)=0, "",VLOOKUP(A10,'Aux - pivots1'!$A:$E,3,0))</f>
        <v/>
      </c>
      <c r="Q10" s="152" t="str">
        <f>IF(VLOOKUP(A10,'Aux - pivots1'!$A:$E,4,0)=0, "",VLOOKUP(A10,'Aux - pivots1'!$A:$E,4,0))</f>
        <v/>
      </c>
      <c r="R10" s="152" t="str">
        <f>IF(VLOOKUP(A10,'Aux - pivots1'!$A:$E,5,0)=0, "",VLOOKUP(A10,'Aux - pivots1'!$A:$E,5,0))</f>
        <v/>
      </c>
      <c r="S10" s="198"/>
      <c r="T10" s="198"/>
      <c r="U10" s="368" t="s">
        <v>2313</v>
      </c>
      <c r="V10" s="320" t="s">
        <v>2385</v>
      </c>
      <c r="W10" s="320" t="s">
        <v>2455</v>
      </c>
      <c r="X10" s="368" t="s">
        <v>2359</v>
      </c>
      <c r="Y10" s="368" t="s">
        <v>2321</v>
      </c>
      <c r="Z10" s="320" t="s">
        <v>1855</v>
      </c>
    </row>
    <row r="11" spans="1:26" ht="16.399999999999999" hidden="1" customHeight="1">
      <c r="A11" s="29" t="str">
        <f t="shared" si="0"/>
        <v>lt004_protectionRL_ESTT_ADDRSS</v>
      </c>
      <c r="B11" s="141" t="s">
        <v>26</v>
      </c>
      <c r="C11" s="137" t="s">
        <v>26</v>
      </c>
      <c r="D11" s="133" t="s">
        <v>40</v>
      </c>
      <c r="E11" s="136" t="s">
        <v>368</v>
      </c>
      <c r="F11" s="474" t="s">
        <v>2243</v>
      </c>
      <c r="G11" s="135" t="str">
        <f>VLOOKUP(A11,Plano_V3!$A$26:$G$768,7,0)</f>
        <v>5. Em Correção</v>
      </c>
      <c r="H11" s="135" t="s">
        <v>615</v>
      </c>
      <c r="I11" s="467"/>
      <c r="J11" s="355" t="s">
        <v>2240</v>
      </c>
      <c r="K11" s="355" t="s">
        <v>2450</v>
      </c>
      <c r="L11" s="364">
        <v>45744</v>
      </c>
      <c r="M11" s="364">
        <v>45751</v>
      </c>
      <c r="N11" s="355" t="s">
        <v>2443</v>
      </c>
      <c r="O11" s="355"/>
      <c r="P11" s="152" t="str">
        <f>IF(VLOOKUP(A11,'Aux - pivots1'!$A:$E,3,0)=0, "",VLOOKUP(A11,'Aux - pivots1'!$A:$E,3,0))</f>
        <v/>
      </c>
      <c r="Q11" s="152" t="str">
        <f>IF(VLOOKUP(A11,'Aux - pivots1'!$A:$E,4,0)=0, "",VLOOKUP(A11,'Aux - pivots1'!$A:$E,4,0))</f>
        <v/>
      </c>
      <c r="R11" s="152" t="str">
        <f>IF(VLOOKUP(A11,'Aux - pivots1'!$A:$E,5,0)=0, "",VLOOKUP(A11,'Aux - pivots1'!$A:$E,5,0))</f>
        <v/>
      </c>
      <c r="S11" s="198"/>
      <c r="T11" s="198"/>
      <c r="U11" s="368" t="s">
        <v>2313</v>
      </c>
      <c r="V11" s="320" t="s">
        <v>2390</v>
      </c>
      <c r="W11" s="320" t="s">
        <v>2455</v>
      </c>
      <c r="X11" s="368" t="s">
        <v>2359</v>
      </c>
      <c r="Y11" s="368" t="s">
        <v>2321</v>
      </c>
      <c r="Z11" s="320" t="s">
        <v>1855</v>
      </c>
    </row>
    <row r="12" spans="1:26" ht="16.399999999999999" hidden="1" customHeight="1">
      <c r="A12" s="29" t="str">
        <f t="shared" si="0"/>
        <v>lt004_protectionRL_ESTT_CLLTRL_LCTN_INT</v>
      </c>
      <c r="B12" s="141" t="s">
        <v>26</v>
      </c>
      <c r="C12" s="137" t="s">
        <v>26</v>
      </c>
      <c r="D12" s="133" t="s">
        <v>40</v>
      </c>
      <c r="E12" s="136" t="s">
        <v>368</v>
      </c>
      <c r="F12" s="474" t="s">
        <v>2244</v>
      </c>
      <c r="G12" s="135" t="str">
        <f>VLOOKUP(A12,Plano_V3!$A$26:$G$768,7,0)</f>
        <v>1. Concluído</v>
      </c>
      <c r="H12" s="135" t="s">
        <v>612</v>
      </c>
      <c r="I12" s="467"/>
      <c r="J12" s="355" t="s">
        <v>2241</v>
      </c>
      <c r="K12" s="355" t="s">
        <v>2450</v>
      </c>
      <c r="L12" s="364">
        <v>45744</v>
      </c>
      <c r="M12" s="364">
        <v>45751</v>
      </c>
      <c r="N12" s="355" t="s">
        <v>2443</v>
      </c>
      <c r="O12" s="355"/>
      <c r="P12" s="152" t="str">
        <f>IF(VLOOKUP(A12,'Aux - pivots1'!$A:$E,3,0)=0, "",VLOOKUP(A12,'Aux - pivots1'!$A:$E,3,0))</f>
        <v/>
      </c>
      <c r="Q12" s="152" t="str">
        <f>IF(VLOOKUP(A12,'Aux - pivots1'!$A:$E,4,0)=0, "",VLOOKUP(A12,'Aux - pivots1'!$A:$E,4,0))</f>
        <v/>
      </c>
      <c r="R12" s="152" t="str">
        <f>IF(VLOOKUP(A12,'Aux - pivots1'!$A:$E,5,0)=0, "",VLOOKUP(A12,'Aux - pivots1'!$A:$E,5,0))</f>
        <v/>
      </c>
      <c r="S12" s="198"/>
      <c r="T12" s="198"/>
      <c r="U12" s="368" t="s">
        <v>2313</v>
      </c>
      <c r="V12" s="320" t="s">
        <v>2390</v>
      </c>
      <c r="W12" s="320" t="s">
        <v>2455</v>
      </c>
      <c r="X12" s="368" t="s">
        <v>2359</v>
      </c>
      <c r="Y12" s="368" t="s">
        <v>2321</v>
      </c>
      <c r="Z12" s="320" t="s">
        <v>1855</v>
      </c>
    </row>
    <row r="13" spans="1:26" ht="16.399999999999999" hidden="1" customHeight="1">
      <c r="A13" s="29" t="str">
        <f t="shared" si="0"/>
        <v>lt004_protectionRL_ESTT_CTY</v>
      </c>
      <c r="B13" s="141" t="s">
        <v>26</v>
      </c>
      <c r="C13" s="137" t="s">
        <v>26</v>
      </c>
      <c r="D13" s="133" t="s">
        <v>40</v>
      </c>
      <c r="E13" s="136" t="s">
        <v>368</v>
      </c>
      <c r="F13" s="474" t="s">
        <v>2245</v>
      </c>
      <c r="G13" s="135" t="str">
        <f>VLOOKUP(A13,Plano_V3!$A$26:$G$768,7,0)</f>
        <v>1. Concluído</v>
      </c>
      <c r="H13" s="135" t="s">
        <v>612</v>
      </c>
      <c r="I13" s="467"/>
      <c r="J13" s="355" t="s">
        <v>2239</v>
      </c>
      <c r="K13" s="355" t="s">
        <v>2450</v>
      </c>
      <c r="L13" s="364">
        <v>45744</v>
      </c>
      <c r="M13" s="364">
        <v>45751</v>
      </c>
      <c r="N13" s="355" t="s">
        <v>2443</v>
      </c>
      <c r="O13" s="355"/>
      <c r="P13" s="152" t="str">
        <f>IF(VLOOKUP(A13,'Aux - pivots1'!$A:$E,3,0)=0, "",VLOOKUP(A13,'Aux - pivots1'!$A:$E,3,0))</f>
        <v/>
      </c>
      <c r="Q13" s="152" t="str">
        <f>IF(VLOOKUP(A13,'Aux - pivots1'!$A:$E,4,0)=0, "",VLOOKUP(A13,'Aux - pivots1'!$A:$E,4,0))</f>
        <v/>
      </c>
      <c r="R13" s="152" t="str">
        <f>IF(VLOOKUP(A13,'Aux - pivots1'!$A:$E,5,0)=0, "",VLOOKUP(A13,'Aux - pivots1'!$A:$E,5,0))</f>
        <v/>
      </c>
      <c r="S13" s="198"/>
      <c r="T13" s="198"/>
      <c r="U13" s="368" t="s">
        <v>2313</v>
      </c>
      <c r="V13" s="320" t="s">
        <v>2390</v>
      </c>
      <c r="W13" s="320" t="s">
        <v>2455</v>
      </c>
      <c r="X13" s="368" t="s">
        <v>2359</v>
      </c>
      <c r="Y13" s="368" t="s">
        <v>2321</v>
      </c>
      <c r="Z13" s="320" t="s">
        <v>1855</v>
      </c>
    </row>
    <row r="14" spans="1:26" ht="16.399999999999999" hidden="1" customHeight="1">
      <c r="A14" s="29" t="str">
        <f t="shared" si="0"/>
        <v>lt004_protectionYR_CNSTRCTN</v>
      </c>
      <c r="B14" s="141" t="s">
        <v>26</v>
      </c>
      <c r="C14" s="137" t="s">
        <v>26</v>
      </c>
      <c r="D14" s="133" t="s">
        <v>40</v>
      </c>
      <c r="E14" s="136" t="s">
        <v>368</v>
      </c>
      <c r="F14" s="474" t="s">
        <v>2257</v>
      </c>
      <c r="G14" s="135" t="str">
        <f>VLOOKUP(A14,Plano_V3!$A$26:$G$768,7,0)</f>
        <v>5. Em Correção</v>
      </c>
      <c r="H14" s="135" t="s">
        <v>615</v>
      </c>
      <c r="I14" s="467"/>
      <c r="J14" s="355" t="s">
        <v>2239</v>
      </c>
      <c r="K14" s="355" t="s">
        <v>2450</v>
      </c>
      <c r="L14" s="364">
        <v>45744</v>
      </c>
      <c r="M14" s="364">
        <v>45751</v>
      </c>
      <c r="N14" s="355" t="s">
        <v>2443</v>
      </c>
      <c r="O14" s="355"/>
      <c r="P14" s="152" t="str">
        <f>IF(VLOOKUP(A14,'Aux - pivots1'!$A:$E,3,0)=0, "",VLOOKUP(A14,'Aux - pivots1'!$A:$E,3,0))</f>
        <v/>
      </c>
      <c r="Q14" s="152" t="str">
        <f>IF(VLOOKUP(A14,'Aux - pivots1'!$A:$E,4,0)=0, "",VLOOKUP(A14,'Aux - pivots1'!$A:$E,4,0))</f>
        <v/>
      </c>
      <c r="R14" s="152" t="str">
        <f>IF(VLOOKUP(A14,'Aux - pivots1'!$A:$E,5,0)=0, "",VLOOKUP(A14,'Aux - pivots1'!$A:$E,5,0))</f>
        <v/>
      </c>
      <c r="S14" s="198"/>
      <c r="T14" s="198"/>
      <c r="U14" s="368" t="s">
        <v>2313</v>
      </c>
      <c r="V14" s="320" t="s">
        <v>2396</v>
      </c>
      <c r="W14" s="320" t="s">
        <v>2455</v>
      </c>
      <c r="X14" s="368" t="s">
        <v>2359</v>
      </c>
      <c r="Y14" s="368" t="s">
        <v>2321</v>
      </c>
      <c r="Z14" s="320" t="s">
        <v>1855</v>
      </c>
    </row>
    <row r="15" spans="1:26" ht="16.399999999999999" hidden="1" customHeight="1">
      <c r="A15" s="29" t="str">
        <f t="shared" si="0"/>
        <v>lt004_protectionBLDNG_AR</v>
      </c>
      <c r="B15" s="141" t="s">
        <v>26</v>
      </c>
      <c r="C15" s="137" t="s">
        <v>26</v>
      </c>
      <c r="D15" s="133" t="s">
        <v>40</v>
      </c>
      <c r="E15" s="136" t="s">
        <v>368</v>
      </c>
      <c r="F15" s="474" t="s">
        <v>2258</v>
      </c>
      <c r="G15" s="135" t="str">
        <f>VLOOKUP(A15,Plano_V3!$A$26:$G$768,7,0)</f>
        <v>1. Concluído</v>
      </c>
      <c r="H15" s="135" t="s">
        <v>612</v>
      </c>
      <c r="I15" s="467"/>
      <c r="J15" s="355" t="s">
        <v>2239</v>
      </c>
      <c r="K15" s="355" t="s">
        <v>2450</v>
      </c>
      <c r="L15" s="364">
        <v>45744</v>
      </c>
      <c r="M15" s="364">
        <v>45751</v>
      </c>
      <c r="N15" s="355" t="s">
        <v>2444</v>
      </c>
      <c r="O15" s="355"/>
      <c r="P15" s="152" t="str">
        <f>IF(VLOOKUP(A15,'Aux - pivots1'!$A:$E,3,0)=0, "",VLOOKUP(A15,'Aux - pivots1'!$A:$E,3,0))</f>
        <v/>
      </c>
      <c r="Q15" s="152" t="str">
        <f>IF(VLOOKUP(A15,'Aux - pivots1'!$A:$E,4,0)=0, "",VLOOKUP(A15,'Aux - pivots1'!$A:$E,4,0))</f>
        <v/>
      </c>
      <c r="R15" s="152" t="str">
        <f>IF(VLOOKUP(A15,'Aux - pivots1'!$A:$E,5,0)=0, "",VLOOKUP(A15,'Aux - pivots1'!$A:$E,5,0))</f>
        <v/>
      </c>
      <c r="S15" s="198"/>
      <c r="T15" s="198"/>
      <c r="U15" s="368" t="s">
        <v>2313</v>
      </c>
      <c r="V15" s="320" t="s">
        <v>2392</v>
      </c>
      <c r="W15" s="320" t="s">
        <v>2455</v>
      </c>
      <c r="X15" s="368" t="s">
        <v>2360</v>
      </c>
      <c r="Y15" s="368" t="s">
        <v>2321</v>
      </c>
      <c r="Z15" s="320" t="s">
        <v>1855</v>
      </c>
    </row>
    <row r="16" spans="1:26" ht="16.399999999999999" hidden="1" customHeight="1">
      <c r="A16" s="29" t="str">
        <f t="shared" si="0"/>
        <v>lt002_instrumentNW_BSNSS</v>
      </c>
      <c r="B16" s="141" t="s">
        <v>26</v>
      </c>
      <c r="C16" s="137" t="s">
        <v>26</v>
      </c>
      <c r="D16" s="133" t="s">
        <v>40</v>
      </c>
      <c r="E16" s="136" t="s">
        <v>379</v>
      </c>
      <c r="F16" s="474" t="s">
        <v>1334</v>
      </c>
      <c r="G16" s="135" t="str">
        <f>VLOOKUP(A16,Plano_V3!$A$26:$G$768,7,0)</f>
        <v xml:space="preserve">6. Em implementação </v>
      </c>
      <c r="H16" s="135" t="s">
        <v>2319</v>
      </c>
      <c r="I16" s="467"/>
      <c r="J16" s="142" t="s">
        <v>2302</v>
      </c>
      <c r="K16" s="355" t="s">
        <v>2461</v>
      </c>
      <c r="L16" s="364">
        <v>45793</v>
      </c>
      <c r="M16" s="364" t="s">
        <v>25</v>
      </c>
      <c r="N16" s="355" t="s">
        <v>2445</v>
      </c>
      <c r="O16" s="142"/>
      <c r="P16" s="152" t="str">
        <f>IF(VLOOKUP(A16,'Aux - pivots1'!$A:$E,3,0)=0, "",VLOOKUP(A16,'Aux - pivots1'!$A:$E,3,0))</f>
        <v/>
      </c>
      <c r="Q16" s="152" t="str">
        <f>IF(VLOOKUP(A16,'Aux - pivots1'!$A:$E,4,0)=0, "",VLOOKUP(A16,'Aux - pivots1'!$A:$E,4,0))</f>
        <v/>
      </c>
      <c r="R16" s="152" t="str">
        <f>IF(VLOOKUP(A16,'Aux - pivots1'!$A:$E,5,0)=0, "",VLOOKUP(A16,'Aux - pivots1'!$A:$E,5,0))</f>
        <v/>
      </c>
      <c r="S16" s="198"/>
      <c r="T16" s="198"/>
      <c r="U16" s="368" t="s">
        <v>2313</v>
      </c>
      <c r="V16" s="320" t="s">
        <v>2381</v>
      </c>
      <c r="W16" s="320" t="s">
        <v>2455</v>
      </c>
      <c r="X16" s="368" t="s">
        <v>2360</v>
      </c>
      <c r="Y16" s="368" t="s">
        <v>2321</v>
      </c>
      <c r="Z16" s="320" t="s">
        <v>2308</v>
      </c>
    </row>
    <row r="17" spans="1:26" ht="16.399999999999999" hidden="1" customHeight="1">
      <c r="A17" s="29" t="str">
        <f t="shared" si="0"/>
        <v>lt002_instrumentCNCLLD_INSTRMNT_STTS</v>
      </c>
      <c r="B17" s="141" t="s">
        <v>26</v>
      </c>
      <c r="C17" s="137" t="s">
        <v>26</v>
      </c>
      <c r="D17" s="133" t="s">
        <v>40</v>
      </c>
      <c r="E17" s="136" t="s">
        <v>379</v>
      </c>
      <c r="F17" s="474" t="s">
        <v>1344</v>
      </c>
      <c r="G17" s="135" t="str">
        <f>VLOOKUP(A17,Plano_V3!$A$26:$G$768,7,0)</f>
        <v xml:space="preserve">6. Em implementação </v>
      </c>
      <c r="H17" s="135" t="s">
        <v>2319</v>
      </c>
      <c r="I17" s="467"/>
      <c r="J17" s="142" t="s">
        <v>2302</v>
      </c>
      <c r="K17" s="355" t="s">
        <v>2461</v>
      </c>
      <c r="L17" s="364">
        <v>45793</v>
      </c>
      <c r="M17" s="364" t="s">
        <v>25</v>
      </c>
      <c r="N17" s="355" t="s">
        <v>2445</v>
      </c>
      <c r="O17" s="142"/>
      <c r="P17" s="152" t="str">
        <f>IF(VLOOKUP(A17,'Aux - pivots1'!$A:$E,3,0)=0, "",VLOOKUP(A17,'Aux - pivots1'!$A:$E,3,0))</f>
        <v/>
      </c>
      <c r="Q17" s="152" t="str">
        <f>IF(VLOOKUP(A17,'Aux - pivots1'!$A:$E,4,0)=0, "",VLOOKUP(A17,'Aux - pivots1'!$A:$E,4,0))</f>
        <v/>
      </c>
      <c r="R17" s="152" t="str">
        <f>IF(VLOOKUP(A17,'Aux - pivots1'!$A:$E,5,0)=0, "",VLOOKUP(A17,'Aux - pivots1'!$A:$E,5,0))</f>
        <v/>
      </c>
      <c r="S17" s="198"/>
      <c r="T17" s="198"/>
      <c r="U17" s="368" t="s">
        <v>2313</v>
      </c>
      <c r="V17" s="320" t="s">
        <v>2381</v>
      </c>
      <c r="W17" s="320" t="s">
        <v>2455</v>
      </c>
      <c r="X17" s="368" t="s">
        <v>2360</v>
      </c>
      <c r="Y17" s="368" t="s">
        <v>2321</v>
      </c>
      <c r="Z17" s="320" t="s">
        <v>2308</v>
      </c>
    </row>
    <row r="18" spans="1:26" ht="16.399999999999999" hidden="1" customHeight="1">
      <c r="A18" s="29" t="str">
        <f t="shared" si="0"/>
        <v>lt002_instrumentTYP_OFF_BLNC_PRDCT</v>
      </c>
      <c r="B18" s="141" t="s">
        <v>26</v>
      </c>
      <c r="C18" s="137" t="s">
        <v>26</v>
      </c>
      <c r="D18" s="133" t="s">
        <v>40</v>
      </c>
      <c r="E18" s="136" t="s">
        <v>379</v>
      </c>
      <c r="F18" s="474" t="s">
        <v>2173</v>
      </c>
      <c r="G18" s="135" t="str">
        <f>VLOOKUP(A18,Plano_V3!$A$26:$G$768,7,0)</f>
        <v xml:space="preserve">6. Em implementação </v>
      </c>
      <c r="H18" s="135" t="s">
        <v>2319</v>
      </c>
      <c r="I18" s="467"/>
      <c r="J18" s="357" t="s">
        <v>2399</v>
      </c>
      <c r="K18" s="355" t="s">
        <v>2461</v>
      </c>
      <c r="L18" s="364">
        <v>45793</v>
      </c>
      <c r="M18" s="364" t="s">
        <v>25</v>
      </c>
      <c r="N18" s="355" t="s">
        <v>2445</v>
      </c>
      <c r="O18" s="357"/>
      <c r="P18" s="152" t="str">
        <f>IF(VLOOKUP(A18,'Aux - pivots1'!$A:$E,3,0)=0, "",VLOOKUP(A18,'Aux - pivots1'!$A:$E,3,0))</f>
        <v/>
      </c>
      <c r="Q18" s="152" t="str">
        <f>IF(VLOOKUP(A18,'Aux - pivots1'!$A:$E,4,0)=0, "",VLOOKUP(A18,'Aux - pivots1'!$A:$E,4,0))</f>
        <v/>
      </c>
      <c r="R18" s="152" t="str">
        <f>IF(VLOOKUP(A18,'Aux - pivots1'!$A:$E,5,0)=0, "",VLOOKUP(A18,'Aux - pivots1'!$A:$E,5,0))</f>
        <v/>
      </c>
      <c r="S18" s="198"/>
      <c r="T18" s="198"/>
      <c r="U18" s="368" t="s">
        <v>2313</v>
      </c>
      <c r="V18" s="320" t="s">
        <v>2391</v>
      </c>
      <c r="W18" s="320" t="s">
        <v>2455</v>
      </c>
      <c r="X18" s="368" t="s">
        <v>2359</v>
      </c>
      <c r="Y18" s="368" t="s">
        <v>2321</v>
      </c>
      <c r="Z18" s="320" t="s">
        <v>1855</v>
      </c>
    </row>
    <row r="19" spans="1:26" ht="16.399999999999999" hidden="1" customHeight="1">
      <c r="A19" s="29" t="str">
        <f t="shared" si="0"/>
        <v>modesg_out_empr_info_nfinppc_trnvr_ttl_elgbl</v>
      </c>
      <c r="B19" s="141" t="s">
        <v>26</v>
      </c>
      <c r="C19" s="137" t="s">
        <v>310</v>
      </c>
      <c r="D19" s="133" t="s">
        <v>40</v>
      </c>
      <c r="E19" s="134" t="s">
        <v>325</v>
      </c>
      <c r="F19" s="470" t="s">
        <v>259</v>
      </c>
      <c r="G19" s="135" t="str">
        <f>VLOOKUP(A19,Plano_V3!$A$26:$G$768,7,0)</f>
        <v>1. Concluído</v>
      </c>
      <c r="H19" s="135" t="s">
        <v>612</v>
      </c>
      <c r="I19" s="467"/>
      <c r="J19" s="364" t="s">
        <v>2242</v>
      </c>
      <c r="K19" s="355"/>
      <c r="L19" s="364"/>
      <c r="M19" s="364"/>
      <c r="N19" s="355"/>
      <c r="O19" s="153"/>
      <c r="P19" s="152" t="str">
        <f>IF(VLOOKUP(A19,'Aux - pivots1'!$A:$E,3,0)=0, "",VLOOKUP(A19,'Aux - pivots1'!$A:$E,3,0))</f>
        <v/>
      </c>
      <c r="Q19" s="152" t="str">
        <f>IF(VLOOKUP(A19,'Aux - pivots1'!$A:$E,4,0)=0, "",VLOOKUP(A19,'Aux - pivots1'!$A:$E,4,0))</f>
        <v/>
      </c>
      <c r="R19" s="152" t="str">
        <f>IF(VLOOKUP(A19,'Aux - pivots1'!$A:$E,5,0)=0, "",VLOOKUP(A19,'Aux - pivots1'!$A:$E,5,0))</f>
        <v/>
      </c>
      <c r="S19" s="198"/>
      <c r="T19" s="198"/>
      <c r="U19" s="199"/>
      <c r="V19" s="368"/>
      <c r="W19" s="368"/>
      <c r="X19" s="368"/>
      <c r="Y19" s="368" t="s">
        <v>2321</v>
      </c>
      <c r="Z19" s="320"/>
    </row>
    <row r="20" spans="1:26" ht="16.399999999999999" hidden="1" customHeight="1">
      <c r="A20" s="29" t="str">
        <f t="shared" si="0"/>
        <v>modesg_out_empr_info_nfinppc_turnover_own_prfrmnce_algnd</v>
      </c>
      <c r="B20" s="141" t="s">
        <v>26</v>
      </c>
      <c r="C20" s="137" t="s">
        <v>310</v>
      </c>
      <c r="D20" s="133" t="s">
        <v>40</v>
      </c>
      <c r="E20" s="134" t="s">
        <v>325</v>
      </c>
      <c r="F20" s="470" t="s">
        <v>260</v>
      </c>
      <c r="G20" s="135" t="str">
        <f>VLOOKUP(A20,Plano_V3!$A$26:$G$768,7,0)</f>
        <v>1. Concluído</v>
      </c>
      <c r="H20" s="135" t="s">
        <v>612</v>
      </c>
      <c r="I20" s="467"/>
      <c r="J20" s="364" t="s">
        <v>2242</v>
      </c>
      <c r="K20" s="355"/>
      <c r="L20" s="364"/>
      <c r="M20" s="364"/>
      <c r="N20" s="355"/>
      <c r="O20" s="153"/>
      <c r="P20" s="152" t="str">
        <f>IF(VLOOKUP(A20,'Aux - pivots1'!$A:$E,3,0)=0, "",VLOOKUP(A20,'Aux - pivots1'!$A:$E,3,0))</f>
        <v/>
      </c>
      <c r="Q20" s="152" t="str">
        <f>IF(VLOOKUP(A20,'Aux - pivots1'!$A:$E,4,0)=0, "",VLOOKUP(A20,'Aux - pivots1'!$A:$E,4,0))</f>
        <v/>
      </c>
      <c r="R20" s="152" t="str">
        <f>IF(VLOOKUP(A20,'Aux - pivots1'!$A:$E,5,0)=0, "",VLOOKUP(A20,'Aux - pivots1'!$A:$E,5,0))</f>
        <v/>
      </c>
      <c r="S20" s="198"/>
      <c r="T20" s="198"/>
      <c r="U20" s="199"/>
      <c r="V20" s="368"/>
      <c r="W20" s="368"/>
      <c r="X20" s="368"/>
      <c r="Y20" s="368" t="s">
        <v>2321</v>
      </c>
      <c r="Z20" s="320"/>
    </row>
    <row r="21" spans="1:26" ht="16.399999999999999" hidden="1" customHeight="1">
      <c r="A21" s="29" t="str">
        <f t="shared" si="0"/>
        <v>modesg_out_empr_info_nfinppc_capex_ttl_elgbl</v>
      </c>
      <c r="B21" s="141" t="s">
        <v>26</v>
      </c>
      <c r="C21" s="137" t="s">
        <v>310</v>
      </c>
      <c r="D21" s="133" t="s">
        <v>40</v>
      </c>
      <c r="E21" s="134" t="s">
        <v>325</v>
      </c>
      <c r="F21" s="470" t="s">
        <v>261</v>
      </c>
      <c r="G21" s="135" t="str">
        <f>VLOOKUP(A21,Plano_V3!$A$26:$G$768,7,0)</f>
        <v>1. Concluído</v>
      </c>
      <c r="H21" s="135" t="s">
        <v>612</v>
      </c>
      <c r="I21" s="467"/>
      <c r="J21" s="364" t="s">
        <v>2242</v>
      </c>
      <c r="K21" s="355"/>
      <c r="L21" s="364"/>
      <c r="M21" s="364"/>
      <c r="N21" s="355"/>
      <c r="O21" s="153"/>
      <c r="P21" s="152" t="str">
        <f>IF(VLOOKUP(A21,'Aux - pivots1'!$A:$E,3,0)=0, "",VLOOKUP(A21,'Aux - pivots1'!$A:$E,3,0))</f>
        <v/>
      </c>
      <c r="Q21" s="152" t="str">
        <f>IF(VLOOKUP(A21,'Aux - pivots1'!$A:$E,4,0)=0, "",VLOOKUP(A21,'Aux - pivots1'!$A:$E,4,0))</f>
        <v/>
      </c>
      <c r="R21" s="152" t="str">
        <f>IF(VLOOKUP(A21,'Aux - pivots1'!$A:$E,5,0)=0, "",VLOOKUP(A21,'Aux - pivots1'!$A:$E,5,0))</f>
        <v/>
      </c>
      <c r="S21" s="198"/>
      <c r="T21" s="198"/>
      <c r="U21" s="199"/>
      <c r="V21" s="368"/>
      <c r="W21" s="368"/>
      <c r="X21" s="368"/>
      <c r="Y21" s="368" t="s">
        <v>2321</v>
      </c>
      <c r="Z21" s="320"/>
    </row>
    <row r="22" spans="1:26" ht="16.399999999999999" hidden="1" customHeight="1">
      <c r="A22" s="29" t="str">
        <f t="shared" si="0"/>
        <v>modesg_out_empr_info_nfinppc_capex_own_prfrmnce_algnd</v>
      </c>
      <c r="B22" s="141" t="s">
        <v>26</v>
      </c>
      <c r="C22" s="137" t="s">
        <v>310</v>
      </c>
      <c r="D22" s="133" t="s">
        <v>40</v>
      </c>
      <c r="E22" s="134" t="s">
        <v>325</v>
      </c>
      <c r="F22" s="470" t="s">
        <v>262</v>
      </c>
      <c r="G22" s="135" t="str">
        <f>VLOOKUP(A22,Plano_V3!$A$26:$G$768,7,0)</f>
        <v>1. Concluído</v>
      </c>
      <c r="H22" s="135" t="s">
        <v>612</v>
      </c>
      <c r="I22" s="467"/>
      <c r="J22" s="364" t="s">
        <v>2242</v>
      </c>
      <c r="K22" s="355"/>
      <c r="L22" s="364"/>
      <c r="M22" s="364"/>
      <c r="N22" s="355"/>
      <c r="O22" s="153"/>
      <c r="P22" s="152" t="str">
        <f>IF(VLOOKUP(A22,'Aux - pivots1'!$A:$E,3,0)=0, "",VLOOKUP(A22,'Aux - pivots1'!$A:$E,3,0))</f>
        <v/>
      </c>
      <c r="Q22" s="152" t="str">
        <f>IF(VLOOKUP(A22,'Aux - pivots1'!$A:$E,4,0)=0, "",VLOOKUP(A22,'Aux - pivots1'!$A:$E,4,0))</f>
        <v/>
      </c>
      <c r="R22" s="152" t="str">
        <f>IF(VLOOKUP(A22,'Aux - pivots1'!$A:$E,5,0)=0, "",VLOOKUP(A22,'Aux - pivots1'!$A:$E,5,0))</f>
        <v/>
      </c>
      <c r="S22" s="198"/>
      <c r="T22" s="198"/>
      <c r="U22" s="199"/>
      <c r="V22" s="368"/>
      <c r="W22" s="368"/>
      <c r="X22" s="368"/>
      <c r="Y22" s="368" t="s">
        <v>2321</v>
      </c>
      <c r="Z22" s="320"/>
    </row>
    <row r="23" spans="1:26" ht="16.399999999999999" hidden="1" customHeight="1">
      <c r="A23" s="29" t="str">
        <f t="shared" si="0"/>
        <v>modesg_out_empr_info_nfinbio_trnvr_ttl_elgbl</v>
      </c>
      <c r="B23" s="141" t="s">
        <v>26</v>
      </c>
      <c r="C23" s="137" t="s">
        <v>310</v>
      </c>
      <c r="D23" s="133" t="s">
        <v>40</v>
      </c>
      <c r="E23" s="134" t="s">
        <v>325</v>
      </c>
      <c r="F23" s="470" t="s">
        <v>263</v>
      </c>
      <c r="G23" s="135" t="str">
        <f>VLOOKUP(A23,Plano_V3!$A$26:$G$768,7,0)</f>
        <v>1. Concluído</v>
      </c>
      <c r="H23" s="135" t="s">
        <v>612</v>
      </c>
      <c r="I23" s="467"/>
      <c r="J23" s="364" t="s">
        <v>2242</v>
      </c>
      <c r="K23" s="355"/>
      <c r="L23" s="364"/>
      <c r="M23" s="364"/>
      <c r="N23" s="355"/>
      <c r="O23" s="153"/>
      <c r="P23" s="152" t="str">
        <f>IF(VLOOKUP(A23,'Aux - pivots1'!$A:$E,3,0)=0, "",VLOOKUP(A23,'Aux - pivots1'!$A:$E,3,0))</f>
        <v/>
      </c>
      <c r="Q23" s="152" t="str">
        <f>IF(VLOOKUP(A23,'Aux - pivots1'!$A:$E,4,0)=0, "",VLOOKUP(A23,'Aux - pivots1'!$A:$E,4,0))</f>
        <v/>
      </c>
      <c r="R23" s="152" t="str">
        <f>IF(VLOOKUP(A23,'Aux - pivots1'!$A:$E,5,0)=0, "",VLOOKUP(A23,'Aux - pivots1'!$A:$E,5,0))</f>
        <v/>
      </c>
      <c r="S23" s="198"/>
      <c r="T23" s="198"/>
      <c r="U23" s="199"/>
      <c r="V23" s="368"/>
      <c r="W23" s="368"/>
      <c r="X23" s="368"/>
      <c r="Y23" s="368" t="s">
        <v>2321</v>
      </c>
      <c r="Z23" s="320"/>
    </row>
    <row r="24" spans="1:26" ht="16.399999999999999" hidden="1" customHeight="1">
      <c r="A24" s="29" t="str">
        <f t="shared" si="0"/>
        <v>modesg_out_empr_info_nfinbio_turnover_own_prfrmnce_algnd</v>
      </c>
      <c r="B24" s="141" t="s">
        <v>26</v>
      </c>
      <c r="C24" s="137" t="s">
        <v>310</v>
      </c>
      <c r="D24" s="133" t="s">
        <v>40</v>
      </c>
      <c r="E24" s="134" t="s">
        <v>325</v>
      </c>
      <c r="F24" s="470" t="s">
        <v>264</v>
      </c>
      <c r="G24" s="135" t="str">
        <f>VLOOKUP(A24,Plano_V3!$A$26:$G$768,7,0)</f>
        <v>1. Concluído</v>
      </c>
      <c r="H24" s="135" t="s">
        <v>612</v>
      </c>
      <c r="I24" s="467"/>
      <c r="J24" s="364" t="s">
        <v>2242</v>
      </c>
      <c r="K24" s="355"/>
      <c r="L24" s="364"/>
      <c r="M24" s="364"/>
      <c r="N24" s="355"/>
      <c r="O24" s="153"/>
      <c r="P24" s="152" t="str">
        <f>IF(VLOOKUP(A24,'Aux - pivots1'!$A:$E,3,0)=0, "",VLOOKUP(A24,'Aux - pivots1'!$A:$E,3,0))</f>
        <v/>
      </c>
      <c r="Q24" s="152" t="str">
        <f>IF(VLOOKUP(A24,'Aux - pivots1'!$A:$E,4,0)=0, "",VLOOKUP(A24,'Aux - pivots1'!$A:$E,4,0))</f>
        <v/>
      </c>
      <c r="R24" s="152" t="str">
        <f>IF(VLOOKUP(A24,'Aux - pivots1'!$A:$E,5,0)=0, "",VLOOKUP(A24,'Aux - pivots1'!$A:$E,5,0))</f>
        <v/>
      </c>
      <c r="S24" s="198"/>
      <c r="T24" s="198"/>
      <c r="U24" s="199"/>
      <c r="V24" s="368"/>
      <c r="W24" s="368"/>
      <c r="X24" s="368"/>
      <c r="Y24" s="368" t="s">
        <v>2321</v>
      </c>
      <c r="Z24" s="320"/>
    </row>
    <row r="25" spans="1:26" ht="16.399999999999999" hidden="1" customHeight="1">
      <c r="A25" s="29" t="str">
        <f t="shared" si="0"/>
        <v>modesg_out_empr_info_nfinbio_capex_ttl_elgbl</v>
      </c>
      <c r="B25" s="141" t="s">
        <v>26</v>
      </c>
      <c r="C25" s="137" t="s">
        <v>310</v>
      </c>
      <c r="D25" s="133" t="s">
        <v>40</v>
      </c>
      <c r="E25" s="134" t="s">
        <v>325</v>
      </c>
      <c r="F25" s="470" t="s">
        <v>265</v>
      </c>
      <c r="G25" s="135" t="str">
        <f>VLOOKUP(A25,Plano_V3!$A$26:$G$768,7,0)</f>
        <v>1. Concluído</v>
      </c>
      <c r="H25" s="135" t="s">
        <v>612</v>
      </c>
      <c r="I25" s="467"/>
      <c r="J25" s="364" t="s">
        <v>2242</v>
      </c>
      <c r="K25" s="355"/>
      <c r="L25" s="364"/>
      <c r="M25" s="364"/>
      <c r="N25" s="355"/>
      <c r="O25" s="153"/>
      <c r="P25" s="152" t="str">
        <f>IF(VLOOKUP(A25,'Aux - pivots1'!$A:$E,3,0)=0, "",VLOOKUP(A25,'Aux - pivots1'!$A:$E,3,0))</f>
        <v/>
      </c>
      <c r="Q25" s="152" t="str">
        <f>IF(VLOOKUP(A25,'Aux - pivots1'!$A:$E,4,0)=0, "",VLOOKUP(A25,'Aux - pivots1'!$A:$E,4,0))</f>
        <v/>
      </c>
      <c r="R25" s="152" t="str">
        <f>IF(VLOOKUP(A25,'Aux - pivots1'!$A:$E,5,0)=0, "",VLOOKUP(A25,'Aux - pivots1'!$A:$E,5,0))</f>
        <v/>
      </c>
      <c r="S25" s="198"/>
      <c r="T25" s="198"/>
      <c r="U25" s="199"/>
      <c r="V25" s="368"/>
      <c r="W25" s="368"/>
      <c r="X25" s="368"/>
      <c r="Y25" s="368" t="s">
        <v>2321</v>
      </c>
      <c r="Z25" s="320"/>
    </row>
    <row r="26" spans="1:26" ht="16.399999999999999" hidden="1" customHeight="1">
      <c r="A26" s="29" t="str">
        <f t="shared" si="0"/>
        <v>modesg_out_empr_info_nfinbio_capex_own_prfrmnce_algnd</v>
      </c>
      <c r="B26" s="141" t="s">
        <v>26</v>
      </c>
      <c r="C26" s="137" t="s">
        <v>310</v>
      </c>
      <c r="D26" s="133" t="s">
        <v>40</v>
      </c>
      <c r="E26" s="134" t="s">
        <v>325</v>
      </c>
      <c r="F26" s="470" t="s">
        <v>266</v>
      </c>
      <c r="G26" s="135" t="str">
        <f>VLOOKUP(A26,Plano_V3!$A$26:$G$768,7,0)</f>
        <v>1. Concluído</v>
      </c>
      <c r="H26" s="135" t="s">
        <v>612</v>
      </c>
      <c r="I26" s="467"/>
      <c r="J26" s="364" t="s">
        <v>2242</v>
      </c>
      <c r="K26" s="355"/>
      <c r="L26" s="364"/>
      <c r="M26" s="364"/>
      <c r="N26" s="355"/>
      <c r="O26" s="153"/>
      <c r="P26" s="152" t="str">
        <f>IF(VLOOKUP(A26,'Aux - pivots1'!$A:$E,3,0)=0, "",VLOOKUP(A26,'Aux - pivots1'!$A:$E,3,0))</f>
        <v/>
      </c>
      <c r="Q26" s="152" t="str">
        <f>IF(VLOOKUP(A26,'Aux - pivots1'!$A:$E,4,0)=0, "",VLOOKUP(A26,'Aux - pivots1'!$A:$E,4,0))</f>
        <v/>
      </c>
      <c r="R26" s="152" t="str">
        <f>IF(VLOOKUP(A26,'Aux - pivots1'!$A:$E,5,0)=0, "",VLOOKUP(A26,'Aux - pivots1'!$A:$E,5,0))</f>
        <v/>
      </c>
      <c r="S26" s="198"/>
      <c r="T26" s="198"/>
      <c r="U26" s="199"/>
      <c r="V26" s="368"/>
      <c r="W26" s="368"/>
      <c r="X26" s="368"/>
      <c r="Y26" s="368" t="s">
        <v>2321</v>
      </c>
      <c r="Z26" s="320"/>
    </row>
    <row r="27" spans="1:26" ht="16.399999999999999" hidden="1" customHeight="1">
      <c r="A27" s="29" t="str">
        <f t="shared" si="0"/>
        <v>modesg_out_empr_info_nfinwtr_trnvr_ttl_elgbl</v>
      </c>
      <c r="B27" s="141" t="s">
        <v>26</v>
      </c>
      <c r="C27" s="137" t="s">
        <v>310</v>
      </c>
      <c r="D27" s="133" t="s">
        <v>40</v>
      </c>
      <c r="E27" s="134" t="s">
        <v>325</v>
      </c>
      <c r="F27" s="470" t="s">
        <v>267</v>
      </c>
      <c r="G27" s="135" t="str">
        <f>VLOOKUP(A27,Plano_V3!$A$26:$G$768,7,0)</f>
        <v>1. Concluído</v>
      </c>
      <c r="H27" s="135" t="s">
        <v>612</v>
      </c>
      <c r="I27" s="467"/>
      <c r="J27" s="364" t="s">
        <v>2242</v>
      </c>
      <c r="K27" s="355"/>
      <c r="L27" s="364"/>
      <c r="M27" s="364"/>
      <c r="N27" s="355"/>
      <c r="O27" s="153"/>
      <c r="P27" s="152" t="str">
        <f>IF(VLOOKUP(A27,'Aux - pivots1'!$A:$E,3,0)=0, "",VLOOKUP(A27,'Aux - pivots1'!$A:$E,3,0))</f>
        <v/>
      </c>
      <c r="Q27" s="152" t="str">
        <f>IF(VLOOKUP(A27,'Aux - pivots1'!$A:$E,4,0)=0, "",VLOOKUP(A27,'Aux - pivots1'!$A:$E,4,0))</f>
        <v/>
      </c>
      <c r="R27" s="152" t="str">
        <f>IF(VLOOKUP(A27,'Aux - pivots1'!$A:$E,5,0)=0, "",VLOOKUP(A27,'Aux - pivots1'!$A:$E,5,0))</f>
        <v/>
      </c>
      <c r="S27" s="198"/>
      <c r="T27" s="198"/>
      <c r="U27" s="199"/>
      <c r="V27" s="368"/>
      <c r="W27" s="368"/>
      <c r="X27" s="368"/>
      <c r="Y27" s="368" t="s">
        <v>2321</v>
      </c>
      <c r="Z27" s="320"/>
    </row>
    <row r="28" spans="1:26" ht="16.399999999999999" hidden="1" customHeight="1">
      <c r="A28" s="29" t="str">
        <f t="shared" si="0"/>
        <v>modesg_out_empr_info_nfinwtr_trnvr_enblng_alignd</v>
      </c>
      <c r="B28" s="141" t="s">
        <v>26</v>
      </c>
      <c r="C28" s="137" t="s">
        <v>310</v>
      </c>
      <c r="D28" s="133" t="s">
        <v>40</v>
      </c>
      <c r="E28" s="134" t="s">
        <v>325</v>
      </c>
      <c r="F28" s="470" t="s">
        <v>268</v>
      </c>
      <c r="G28" s="135" t="str">
        <f>VLOOKUP(A28,Plano_V3!$A$26:$G$768,7,0)</f>
        <v>1. Concluído</v>
      </c>
      <c r="H28" s="135" t="s">
        <v>612</v>
      </c>
      <c r="I28" s="467"/>
      <c r="J28" s="364" t="s">
        <v>2242</v>
      </c>
      <c r="K28" s="355"/>
      <c r="L28" s="364"/>
      <c r="M28" s="364"/>
      <c r="N28" s="355"/>
      <c r="O28" s="153"/>
      <c r="P28" s="152" t="str">
        <f>IF(VLOOKUP(A28,'Aux - pivots1'!$A:$E,3,0)=0, "",VLOOKUP(A28,'Aux - pivots1'!$A:$E,3,0))</f>
        <v/>
      </c>
      <c r="Q28" s="152" t="str">
        <f>IF(VLOOKUP(A28,'Aux - pivots1'!$A:$E,4,0)=0, "",VLOOKUP(A28,'Aux - pivots1'!$A:$E,4,0))</f>
        <v/>
      </c>
      <c r="R28" s="152" t="str">
        <f>IF(VLOOKUP(A28,'Aux - pivots1'!$A:$E,5,0)=0, "",VLOOKUP(A28,'Aux - pivots1'!$A:$E,5,0))</f>
        <v/>
      </c>
      <c r="S28" s="198"/>
      <c r="T28" s="198"/>
      <c r="U28" s="199"/>
      <c r="V28" s="368"/>
      <c r="W28" s="368"/>
      <c r="X28" s="368"/>
      <c r="Y28" s="368" t="s">
        <v>2321</v>
      </c>
      <c r="Z28" s="320"/>
    </row>
    <row r="29" spans="1:26" ht="16.399999999999999" hidden="1" customHeight="1">
      <c r="A29" s="29" t="str">
        <f t="shared" si="0"/>
        <v>modesg_out_empr_info_nfinwtr_turnover_own_prfrmnce_algnd</v>
      </c>
      <c r="B29" s="141" t="s">
        <v>26</v>
      </c>
      <c r="C29" s="137" t="s">
        <v>310</v>
      </c>
      <c r="D29" s="133" t="s">
        <v>40</v>
      </c>
      <c r="E29" s="134" t="s">
        <v>325</v>
      </c>
      <c r="F29" s="470" t="s">
        <v>269</v>
      </c>
      <c r="G29" s="135" t="str">
        <f>VLOOKUP(A29,Plano_V3!$A$26:$G$768,7,0)</f>
        <v>1. Concluído</v>
      </c>
      <c r="H29" s="135" t="s">
        <v>612</v>
      </c>
      <c r="I29" s="467"/>
      <c r="J29" s="364" t="s">
        <v>2242</v>
      </c>
      <c r="K29" s="355"/>
      <c r="L29" s="364"/>
      <c r="M29" s="364"/>
      <c r="N29" s="355"/>
      <c r="O29" s="153"/>
      <c r="P29" s="152" t="str">
        <f>IF(VLOOKUP(A29,'Aux - pivots1'!$A:$E,3,0)=0, "",VLOOKUP(A29,'Aux - pivots1'!$A:$E,3,0))</f>
        <v/>
      </c>
      <c r="Q29" s="152" t="str">
        <f>IF(VLOOKUP(A29,'Aux - pivots1'!$A:$E,4,0)=0, "",VLOOKUP(A29,'Aux - pivots1'!$A:$E,4,0))</f>
        <v/>
      </c>
      <c r="R29" s="152" t="str">
        <f>IF(VLOOKUP(A29,'Aux - pivots1'!$A:$E,5,0)=0, "",VLOOKUP(A29,'Aux - pivots1'!$A:$E,5,0))</f>
        <v/>
      </c>
      <c r="S29" s="198"/>
      <c r="T29" s="198"/>
      <c r="U29" s="199"/>
      <c r="V29" s="368"/>
      <c r="W29" s="368"/>
      <c r="X29" s="368"/>
      <c r="Y29" s="368" t="s">
        <v>2321</v>
      </c>
      <c r="Z29" s="320"/>
    </row>
    <row r="30" spans="1:26" ht="16.399999999999999" hidden="1" customHeight="1">
      <c r="A30" s="29" t="str">
        <f t="shared" si="0"/>
        <v>modesg_out_empr_info_nfinwtr_capex_ttl_elgbl</v>
      </c>
      <c r="B30" s="141" t="s">
        <v>26</v>
      </c>
      <c r="C30" s="137" t="s">
        <v>310</v>
      </c>
      <c r="D30" s="133" t="s">
        <v>40</v>
      </c>
      <c r="E30" s="134" t="s">
        <v>325</v>
      </c>
      <c r="F30" s="470" t="s">
        <v>270</v>
      </c>
      <c r="G30" s="135" t="str">
        <f>VLOOKUP(A30,Plano_V3!$A$26:$G$768,7,0)</f>
        <v>1. Concluído</v>
      </c>
      <c r="H30" s="135" t="s">
        <v>612</v>
      </c>
      <c r="I30" s="467"/>
      <c r="J30" s="364" t="s">
        <v>2242</v>
      </c>
      <c r="K30" s="355"/>
      <c r="L30" s="364"/>
      <c r="M30" s="364"/>
      <c r="N30" s="355"/>
      <c r="O30" s="153"/>
      <c r="P30" s="152" t="str">
        <f>IF(VLOOKUP(A30,'Aux - pivots1'!$A:$E,3,0)=0, "",VLOOKUP(A30,'Aux - pivots1'!$A:$E,3,0))</f>
        <v/>
      </c>
      <c r="Q30" s="152" t="str">
        <f>IF(VLOOKUP(A30,'Aux - pivots1'!$A:$E,4,0)=0, "",VLOOKUP(A30,'Aux - pivots1'!$A:$E,4,0))</f>
        <v/>
      </c>
      <c r="R30" s="152" t="str">
        <f>IF(VLOOKUP(A30,'Aux - pivots1'!$A:$E,5,0)=0, "",VLOOKUP(A30,'Aux - pivots1'!$A:$E,5,0))</f>
        <v/>
      </c>
      <c r="S30" s="198"/>
      <c r="T30" s="198"/>
      <c r="U30" s="199"/>
      <c r="V30" s="368"/>
      <c r="W30" s="368"/>
      <c r="X30" s="368"/>
      <c r="Y30" s="368" t="s">
        <v>2321</v>
      </c>
      <c r="Z30" s="320"/>
    </row>
    <row r="31" spans="1:26" ht="16.399999999999999" hidden="1" customHeight="1">
      <c r="A31" s="29" t="str">
        <f t="shared" si="0"/>
        <v>modesg_out_empr_info_nfinwtr_capex_enblng_algnd</v>
      </c>
      <c r="B31" s="141" t="s">
        <v>26</v>
      </c>
      <c r="C31" s="137" t="s">
        <v>310</v>
      </c>
      <c r="D31" s="133" t="s">
        <v>40</v>
      </c>
      <c r="E31" s="134" t="s">
        <v>325</v>
      </c>
      <c r="F31" s="470" t="s">
        <v>271</v>
      </c>
      <c r="G31" s="135" t="str">
        <f>VLOOKUP(A31,Plano_V3!$A$26:$G$768,7,0)</f>
        <v>1. Concluído</v>
      </c>
      <c r="H31" s="135" t="s">
        <v>612</v>
      </c>
      <c r="I31" s="467"/>
      <c r="J31" s="364" t="s">
        <v>2242</v>
      </c>
      <c r="K31" s="355"/>
      <c r="L31" s="364"/>
      <c r="M31" s="364"/>
      <c r="N31" s="355"/>
      <c r="O31" s="153"/>
      <c r="P31" s="152" t="str">
        <f>IF(VLOOKUP(A31,'Aux - pivots1'!$A:$E,3,0)=0, "",VLOOKUP(A31,'Aux - pivots1'!$A:$E,3,0))</f>
        <v/>
      </c>
      <c r="Q31" s="152" t="str">
        <f>IF(VLOOKUP(A31,'Aux - pivots1'!$A:$E,4,0)=0, "",VLOOKUP(A31,'Aux - pivots1'!$A:$E,4,0))</f>
        <v/>
      </c>
      <c r="R31" s="152" t="str">
        <f>IF(VLOOKUP(A31,'Aux - pivots1'!$A:$E,5,0)=0, "",VLOOKUP(A31,'Aux - pivots1'!$A:$E,5,0))</f>
        <v/>
      </c>
      <c r="S31" s="198"/>
      <c r="T31" s="198"/>
      <c r="U31" s="199"/>
      <c r="V31" s="368"/>
      <c r="W31" s="368"/>
      <c r="X31" s="368"/>
      <c r="Y31" s="368" t="s">
        <v>2321</v>
      </c>
      <c r="Z31" s="320"/>
    </row>
    <row r="32" spans="1:26" ht="16.399999999999999" hidden="1" customHeight="1">
      <c r="A32" s="29" t="str">
        <f t="shared" si="0"/>
        <v>modesg_out_empr_info_nfinwtr_capex_own_prfrmnce_algnd</v>
      </c>
      <c r="B32" s="141" t="s">
        <v>26</v>
      </c>
      <c r="C32" s="137" t="s">
        <v>310</v>
      </c>
      <c r="D32" s="133" t="s">
        <v>40</v>
      </c>
      <c r="E32" s="134" t="s">
        <v>325</v>
      </c>
      <c r="F32" s="470" t="s">
        <v>272</v>
      </c>
      <c r="G32" s="135" t="str">
        <f>VLOOKUP(A32,Plano_V3!$A$26:$G$768,7,0)</f>
        <v>1. Concluído</v>
      </c>
      <c r="H32" s="135" t="s">
        <v>612</v>
      </c>
      <c r="I32" s="467"/>
      <c r="J32" s="364" t="s">
        <v>2242</v>
      </c>
      <c r="K32" s="355"/>
      <c r="L32" s="364"/>
      <c r="M32" s="364"/>
      <c r="N32" s="355"/>
      <c r="O32" s="153"/>
      <c r="P32" s="152" t="str">
        <f>IF(VLOOKUP(A32,'Aux - pivots1'!$A:$E,3,0)=0, "",VLOOKUP(A32,'Aux - pivots1'!$A:$E,3,0))</f>
        <v/>
      </c>
      <c r="Q32" s="152" t="str">
        <f>IF(VLOOKUP(A32,'Aux - pivots1'!$A:$E,4,0)=0, "",VLOOKUP(A32,'Aux - pivots1'!$A:$E,4,0))</f>
        <v/>
      </c>
      <c r="R32" s="152" t="str">
        <f>IF(VLOOKUP(A32,'Aux - pivots1'!$A:$E,5,0)=0, "",VLOOKUP(A32,'Aux - pivots1'!$A:$E,5,0))</f>
        <v/>
      </c>
      <c r="S32" s="198"/>
      <c r="T32" s="198"/>
      <c r="U32" s="199"/>
      <c r="V32" s="368"/>
      <c r="W32" s="368"/>
      <c r="X32" s="368"/>
      <c r="Y32" s="368" t="s">
        <v>2321</v>
      </c>
      <c r="Z32" s="320"/>
    </row>
    <row r="33" spans="1:26" ht="16.399999999999999" hidden="1" customHeight="1">
      <c r="A33" s="29" t="str">
        <f t="shared" si="0"/>
        <v>modesg_out_empr_info_nfince_trnvr_ttl_elgbl</v>
      </c>
      <c r="B33" s="141" t="s">
        <v>26</v>
      </c>
      <c r="C33" s="137" t="s">
        <v>310</v>
      </c>
      <c r="D33" s="133" t="s">
        <v>40</v>
      </c>
      <c r="E33" s="134" t="s">
        <v>325</v>
      </c>
      <c r="F33" s="470" t="s">
        <v>273</v>
      </c>
      <c r="G33" s="135" t="str">
        <f>VLOOKUP(A33,Plano_V3!$A$26:$G$768,7,0)</f>
        <v>1. Concluído</v>
      </c>
      <c r="H33" s="135" t="s">
        <v>612</v>
      </c>
      <c r="I33" s="467"/>
      <c r="J33" s="364" t="s">
        <v>2242</v>
      </c>
      <c r="K33" s="355"/>
      <c r="L33" s="364"/>
      <c r="M33" s="364"/>
      <c r="N33" s="355"/>
      <c r="O33" s="153"/>
      <c r="P33" s="152" t="str">
        <f>IF(VLOOKUP(A33,'Aux - pivots1'!$A:$E,3,0)=0, "",VLOOKUP(A33,'Aux - pivots1'!$A:$E,3,0))</f>
        <v/>
      </c>
      <c r="Q33" s="152" t="str">
        <f>IF(VLOOKUP(A33,'Aux - pivots1'!$A:$E,4,0)=0, "",VLOOKUP(A33,'Aux - pivots1'!$A:$E,4,0))</f>
        <v/>
      </c>
      <c r="R33" s="152" t="str">
        <f>IF(VLOOKUP(A33,'Aux - pivots1'!$A:$E,5,0)=0, "",VLOOKUP(A33,'Aux - pivots1'!$A:$E,5,0))</f>
        <v/>
      </c>
      <c r="S33" s="198"/>
      <c r="T33" s="198"/>
      <c r="U33" s="199"/>
      <c r="V33" s="368"/>
      <c r="W33" s="368"/>
      <c r="X33" s="368"/>
      <c r="Y33" s="368" t="s">
        <v>2321</v>
      </c>
      <c r="Z33" s="320"/>
    </row>
    <row r="34" spans="1:26" ht="16.399999999999999" hidden="1" customHeight="1">
      <c r="A34" s="29" t="str">
        <f t="shared" si="0"/>
        <v>modesg_out_empr_info_nfince_trnvr_enblng_alignd</v>
      </c>
      <c r="B34" s="141" t="s">
        <v>26</v>
      </c>
      <c r="C34" s="137" t="s">
        <v>310</v>
      </c>
      <c r="D34" s="133" t="s">
        <v>40</v>
      </c>
      <c r="E34" s="134" t="s">
        <v>325</v>
      </c>
      <c r="F34" s="470" t="s">
        <v>274</v>
      </c>
      <c r="G34" s="135" t="str">
        <f>VLOOKUP(A34,Plano_V3!$A$26:$G$768,7,0)</f>
        <v>1. Concluído</v>
      </c>
      <c r="H34" s="135" t="s">
        <v>612</v>
      </c>
      <c r="I34" s="467"/>
      <c r="J34" s="364" t="s">
        <v>2242</v>
      </c>
      <c r="K34" s="355"/>
      <c r="L34" s="364"/>
      <c r="M34" s="364"/>
      <c r="N34" s="355"/>
      <c r="O34" s="153"/>
      <c r="P34" s="152" t="str">
        <f>IF(VLOOKUP(A34,'Aux - pivots1'!$A:$E,3,0)=0, "",VLOOKUP(A34,'Aux - pivots1'!$A:$E,3,0))</f>
        <v/>
      </c>
      <c r="Q34" s="152" t="str">
        <f>IF(VLOOKUP(A34,'Aux - pivots1'!$A:$E,4,0)=0, "",VLOOKUP(A34,'Aux - pivots1'!$A:$E,4,0))</f>
        <v/>
      </c>
      <c r="R34" s="152" t="str">
        <f>IF(VLOOKUP(A34,'Aux - pivots1'!$A:$E,5,0)=0, "",VLOOKUP(A34,'Aux - pivots1'!$A:$E,5,0))</f>
        <v/>
      </c>
      <c r="S34" s="198"/>
      <c r="T34" s="198"/>
      <c r="U34" s="199"/>
      <c r="V34" s="368"/>
      <c r="W34" s="368"/>
      <c r="X34" s="368"/>
      <c r="Y34" s="368" t="s">
        <v>2321</v>
      </c>
      <c r="Z34" s="320"/>
    </row>
    <row r="35" spans="1:26" ht="16.399999999999999" hidden="1" customHeight="1">
      <c r="A35" s="29" t="str">
        <f t="shared" si="0"/>
        <v>modesg_out_empr_info_nfince_turnover_own_prfrmnce_algnd</v>
      </c>
      <c r="B35" s="141" t="s">
        <v>26</v>
      </c>
      <c r="C35" s="137" t="s">
        <v>310</v>
      </c>
      <c r="D35" s="133" t="s">
        <v>40</v>
      </c>
      <c r="E35" s="134" t="s">
        <v>325</v>
      </c>
      <c r="F35" s="470" t="s">
        <v>275</v>
      </c>
      <c r="G35" s="135" t="str">
        <f>VLOOKUP(A35,Plano_V3!$A$26:$G$768,7,0)</f>
        <v>1. Concluído</v>
      </c>
      <c r="H35" s="135" t="s">
        <v>612</v>
      </c>
      <c r="I35" s="467"/>
      <c r="J35" s="364" t="s">
        <v>2242</v>
      </c>
      <c r="K35" s="355"/>
      <c r="L35" s="364"/>
      <c r="M35" s="364"/>
      <c r="N35" s="355"/>
      <c r="O35" s="153"/>
      <c r="P35" s="152" t="str">
        <f>IF(VLOOKUP(A35,'Aux - pivots1'!$A:$E,3,0)=0, "",VLOOKUP(A35,'Aux - pivots1'!$A:$E,3,0))</f>
        <v/>
      </c>
      <c r="Q35" s="152" t="str">
        <f>IF(VLOOKUP(A35,'Aux - pivots1'!$A:$E,4,0)=0, "",VLOOKUP(A35,'Aux - pivots1'!$A:$E,4,0))</f>
        <v/>
      </c>
      <c r="R35" s="152" t="str">
        <f>IF(VLOOKUP(A35,'Aux - pivots1'!$A:$E,5,0)=0, "",VLOOKUP(A35,'Aux - pivots1'!$A:$E,5,0))</f>
        <v/>
      </c>
      <c r="S35" s="198"/>
      <c r="T35" s="198"/>
      <c r="U35" s="199"/>
      <c r="V35" s="368"/>
      <c r="W35" s="368"/>
      <c r="X35" s="368"/>
      <c r="Y35" s="368" t="s">
        <v>2321</v>
      </c>
      <c r="Z35" s="320"/>
    </row>
    <row r="36" spans="1:26" ht="16.399999999999999" hidden="1" customHeight="1">
      <c r="A36" s="29" t="str">
        <f t="shared" si="0"/>
        <v>modesg_out_empr_info_nfince_capex_ttl_elgbl</v>
      </c>
      <c r="B36" s="141" t="s">
        <v>26</v>
      </c>
      <c r="C36" s="137" t="s">
        <v>310</v>
      </c>
      <c r="D36" s="133" t="s">
        <v>40</v>
      </c>
      <c r="E36" s="134" t="s">
        <v>325</v>
      </c>
      <c r="F36" s="470" t="s">
        <v>276</v>
      </c>
      <c r="G36" s="135" t="str">
        <f>VLOOKUP(A36,Plano_V3!$A$26:$G$768,7,0)</f>
        <v>1. Concluído</v>
      </c>
      <c r="H36" s="135" t="s">
        <v>612</v>
      </c>
      <c r="I36" s="467"/>
      <c r="J36" s="364" t="s">
        <v>2242</v>
      </c>
      <c r="K36" s="355"/>
      <c r="L36" s="364"/>
      <c r="M36" s="364"/>
      <c r="N36" s="355"/>
      <c r="O36" s="153"/>
      <c r="P36" s="152" t="str">
        <f>IF(VLOOKUP(A36,'Aux - pivots1'!$A:$E,3,0)=0, "",VLOOKUP(A36,'Aux - pivots1'!$A:$E,3,0))</f>
        <v/>
      </c>
      <c r="Q36" s="152" t="str">
        <f>IF(VLOOKUP(A36,'Aux - pivots1'!$A:$E,4,0)=0, "",VLOOKUP(A36,'Aux - pivots1'!$A:$E,4,0))</f>
        <v/>
      </c>
      <c r="R36" s="152" t="str">
        <f>IF(VLOOKUP(A36,'Aux - pivots1'!$A:$E,5,0)=0, "",VLOOKUP(A36,'Aux - pivots1'!$A:$E,5,0))</f>
        <v/>
      </c>
      <c r="S36" s="198"/>
      <c r="T36" s="198"/>
      <c r="U36" s="199"/>
      <c r="V36" s="368"/>
      <c r="W36" s="368"/>
      <c r="X36" s="368"/>
      <c r="Y36" s="368" t="s">
        <v>2321</v>
      </c>
      <c r="Z36" s="320"/>
    </row>
    <row r="37" spans="1:26" ht="16.399999999999999" hidden="1" customHeight="1">
      <c r="A37" s="29" t="str">
        <f t="shared" si="0"/>
        <v>modesg_out_empr_info_nfince_capex_enblng_algnd</v>
      </c>
      <c r="B37" s="141" t="s">
        <v>26</v>
      </c>
      <c r="C37" s="137" t="s">
        <v>310</v>
      </c>
      <c r="D37" s="133" t="s">
        <v>40</v>
      </c>
      <c r="E37" s="134" t="s">
        <v>325</v>
      </c>
      <c r="F37" s="470" t="s">
        <v>277</v>
      </c>
      <c r="G37" s="135" t="str">
        <f>VLOOKUP(A37,Plano_V3!$A$26:$G$768,7,0)</f>
        <v>1. Concluído</v>
      </c>
      <c r="H37" s="135" t="s">
        <v>612</v>
      </c>
      <c r="I37" s="467"/>
      <c r="J37" s="364" t="s">
        <v>2242</v>
      </c>
      <c r="K37" s="355"/>
      <c r="L37" s="364"/>
      <c r="M37" s="364"/>
      <c r="N37" s="355"/>
      <c r="O37" s="153"/>
      <c r="P37" s="152" t="str">
        <f>IF(VLOOKUP(A37,'Aux - pivots1'!$A:$E,3,0)=0, "",VLOOKUP(A37,'Aux - pivots1'!$A:$E,3,0))</f>
        <v/>
      </c>
      <c r="Q37" s="152" t="str">
        <f>IF(VLOOKUP(A37,'Aux - pivots1'!$A:$E,4,0)=0, "",VLOOKUP(A37,'Aux - pivots1'!$A:$E,4,0))</f>
        <v/>
      </c>
      <c r="R37" s="152" t="str">
        <f>IF(VLOOKUP(A37,'Aux - pivots1'!$A:$E,5,0)=0, "",VLOOKUP(A37,'Aux - pivots1'!$A:$E,5,0))</f>
        <v/>
      </c>
      <c r="S37" s="198"/>
      <c r="T37" s="198"/>
      <c r="U37" s="199"/>
      <c r="V37" s="368"/>
      <c r="W37" s="368"/>
      <c r="X37" s="368"/>
      <c r="Y37" s="368" t="s">
        <v>2321</v>
      </c>
      <c r="Z37" s="320"/>
    </row>
    <row r="38" spans="1:26" ht="16.399999999999999" hidden="1" customHeight="1">
      <c r="A38" s="29" t="str">
        <f t="shared" si="0"/>
        <v>modesg_out_empr_info_nfince_capex_own_prfrmnce_algnd</v>
      </c>
      <c r="B38" s="141" t="s">
        <v>26</v>
      </c>
      <c r="C38" s="137" t="s">
        <v>310</v>
      </c>
      <c r="D38" s="133" t="s">
        <v>40</v>
      </c>
      <c r="E38" s="134" t="s">
        <v>325</v>
      </c>
      <c r="F38" s="470" t="s">
        <v>278</v>
      </c>
      <c r="G38" s="135" t="str">
        <f>VLOOKUP(A38,Plano_V3!$A$26:$G$768,7,0)</f>
        <v>1. Concluído</v>
      </c>
      <c r="H38" s="135" t="s">
        <v>612</v>
      </c>
      <c r="I38" s="467"/>
      <c r="J38" s="364" t="s">
        <v>2242</v>
      </c>
      <c r="K38" s="355"/>
      <c r="L38" s="364"/>
      <c r="M38" s="364"/>
      <c r="N38" s="355"/>
      <c r="O38" s="153"/>
      <c r="P38" s="152" t="str">
        <f>IF(VLOOKUP(A38,'Aux - pivots1'!$A:$E,3,0)=0, "",VLOOKUP(A38,'Aux - pivots1'!$A:$E,3,0))</f>
        <v/>
      </c>
      <c r="Q38" s="152" t="str">
        <f>IF(VLOOKUP(A38,'Aux - pivots1'!$A:$E,4,0)=0, "",VLOOKUP(A38,'Aux - pivots1'!$A:$E,4,0))</f>
        <v/>
      </c>
      <c r="R38" s="152" t="str">
        <f>IF(VLOOKUP(A38,'Aux - pivots1'!$A:$E,5,0)=0, "",VLOOKUP(A38,'Aux - pivots1'!$A:$E,5,0))</f>
        <v/>
      </c>
      <c r="S38" s="152"/>
      <c r="T38" s="152"/>
      <c r="U38" s="368"/>
      <c r="V38" s="368"/>
      <c r="W38" s="368"/>
      <c r="X38" s="368"/>
      <c r="Y38" s="368" t="s">
        <v>2321</v>
      </c>
      <c r="Z38" s="368"/>
    </row>
    <row r="39" spans="1:26" ht="16.399999999999999" hidden="1" customHeight="1">
      <c r="A39" s="29" t="str">
        <f t="shared" si="0"/>
        <v>lt007_instr_activityPRCNTG_ACTVTY</v>
      </c>
      <c r="B39" s="141" t="s">
        <v>26</v>
      </c>
      <c r="C39" s="137" t="s">
        <v>26</v>
      </c>
      <c r="D39" s="133" t="s">
        <v>40</v>
      </c>
      <c r="E39" s="136" t="s">
        <v>1859</v>
      </c>
      <c r="F39" s="474" t="s">
        <v>2291</v>
      </c>
      <c r="G39" s="135" t="str">
        <f>VLOOKUP(A39,Plano_V3!$A$26:$G$768,7,0)</f>
        <v xml:space="preserve">6. Em implementação </v>
      </c>
      <c r="H39" s="135" t="s">
        <v>2319</v>
      </c>
      <c r="I39" s="467"/>
      <c r="J39" s="355" t="s">
        <v>2241</v>
      </c>
      <c r="K39" s="355" t="s">
        <v>2462</v>
      </c>
      <c r="L39" s="364">
        <v>45764</v>
      </c>
      <c r="M39" s="364">
        <v>45771</v>
      </c>
      <c r="N39" s="355" t="s">
        <v>2444</v>
      </c>
      <c r="O39" s="355"/>
      <c r="P39" s="152" t="str">
        <f>IF(VLOOKUP(A39,'Aux - pivots1'!$A:$E,3,0)=0, "",VLOOKUP(A39,'Aux - pivots1'!$A:$E,3,0))</f>
        <v/>
      </c>
      <c r="Q39" s="152" t="str">
        <f>IF(VLOOKUP(A39,'Aux - pivots1'!$A:$E,4,0)=0, "",VLOOKUP(A39,'Aux - pivots1'!$A:$E,4,0))</f>
        <v/>
      </c>
      <c r="R39" s="152" t="str">
        <f>IF(VLOOKUP(A39,'Aux - pivots1'!$A:$E,5,0)=0, "",VLOOKUP(A39,'Aux - pivots1'!$A:$E,5,0))</f>
        <v/>
      </c>
      <c r="S39" s="198"/>
      <c r="T39" s="198"/>
      <c r="U39" s="368" t="s">
        <v>2313</v>
      </c>
      <c r="V39" s="320" t="s">
        <v>2381</v>
      </c>
      <c r="W39" s="320" t="s">
        <v>2455</v>
      </c>
      <c r="X39" s="368" t="s">
        <v>2360</v>
      </c>
      <c r="Y39" s="368" t="s">
        <v>2321</v>
      </c>
      <c r="Z39" s="320" t="s">
        <v>2308</v>
      </c>
    </row>
    <row r="40" spans="1:26" ht="16.399999999999999" hidden="1" customHeight="1">
      <c r="A40" s="29" t="str">
        <f t="shared" si="0"/>
        <v>lt007_instr_activityFLG_SBSTNTL_CNTRBTN</v>
      </c>
      <c r="B40" s="141" t="s">
        <v>26</v>
      </c>
      <c r="C40" s="137" t="s">
        <v>26</v>
      </c>
      <c r="D40" s="133" t="s">
        <v>40</v>
      </c>
      <c r="E40" s="136" t="s">
        <v>1859</v>
      </c>
      <c r="F40" s="474" t="s">
        <v>2292</v>
      </c>
      <c r="G40" s="135" t="str">
        <f>VLOOKUP(A40,Plano_V3!$A$26:$G$768,7,0)</f>
        <v xml:space="preserve">6. Em implementação </v>
      </c>
      <c r="H40" s="135" t="s">
        <v>2319</v>
      </c>
      <c r="I40" s="467"/>
      <c r="J40" s="355" t="s">
        <v>2241</v>
      </c>
      <c r="K40" s="355" t="s">
        <v>2462</v>
      </c>
      <c r="L40" s="364">
        <v>45764</v>
      </c>
      <c r="M40" s="364">
        <v>45771</v>
      </c>
      <c r="N40" s="355" t="s">
        <v>2444</v>
      </c>
      <c r="O40" s="355"/>
      <c r="P40" s="152" t="str">
        <f>IF(VLOOKUP(A40,'Aux - pivots1'!$A:$E,3,0)=0, "",VLOOKUP(A40,'Aux - pivots1'!$A:$E,3,0))</f>
        <v/>
      </c>
      <c r="Q40" s="152" t="str">
        <f>IF(VLOOKUP(A40,'Aux - pivots1'!$A:$E,4,0)=0, "",VLOOKUP(A40,'Aux - pivots1'!$A:$E,4,0))</f>
        <v/>
      </c>
      <c r="R40" s="152" t="str">
        <f>IF(VLOOKUP(A40,'Aux - pivots1'!$A:$E,5,0)=0, "",VLOOKUP(A40,'Aux - pivots1'!$A:$E,5,0))</f>
        <v/>
      </c>
      <c r="S40" s="198"/>
      <c r="T40" s="198"/>
      <c r="U40" s="368" t="s">
        <v>2313</v>
      </c>
      <c r="V40" s="320" t="s">
        <v>2382</v>
      </c>
      <c r="W40" s="320" t="s">
        <v>2455</v>
      </c>
      <c r="X40" s="368" t="s">
        <v>2360</v>
      </c>
      <c r="Y40" s="368" t="s">
        <v>2321</v>
      </c>
      <c r="Z40" s="320" t="s">
        <v>2308</v>
      </c>
    </row>
    <row r="41" spans="1:26" ht="16.399999999999999" hidden="1" customHeight="1">
      <c r="A41" s="29" t="str">
        <f t="shared" si="0"/>
        <v>lt003_entitygrp_ecnmc_actvty</v>
      </c>
      <c r="B41" s="141" t="s">
        <v>26</v>
      </c>
      <c r="C41" s="137" t="s">
        <v>26</v>
      </c>
      <c r="D41" s="133" t="s">
        <v>40</v>
      </c>
      <c r="E41" s="136" t="s">
        <v>335</v>
      </c>
      <c r="F41" s="474" t="s">
        <v>2194</v>
      </c>
      <c r="G41" s="135" t="str">
        <f>VLOOKUP(A41,Plano_V3!$A$26:$G$768,7,0)</f>
        <v>1. Concluído</v>
      </c>
      <c r="H41" s="135" t="s">
        <v>612</v>
      </c>
      <c r="I41" s="467"/>
      <c r="J41" s="355" t="s">
        <v>2241</v>
      </c>
      <c r="K41" s="355" t="s">
        <v>2450</v>
      </c>
      <c r="L41" s="364">
        <v>45744</v>
      </c>
      <c r="M41" s="364">
        <v>45751</v>
      </c>
      <c r="N41" s="355" t="s">
        <v>2444</v>
      </c>
      <c r="O41" s="355"/>
      <c r="P41" s="152" t="str">
        <f>IF(VLOOKUP(A41,'Aux - pivots1'!$A:$E,3,0)=0, "",VLOOKUP(A41,'Aux - pivots1'!$A:$E,3,0))</f>
        <v/>
      </c>
      <c r="Q41" s="152" t="str">
        <f>IF(VLOOKUP(A41,'Aux - pivots1'!$A:$E,4,0)=0, "",VLOOKUP(A41,'Aux - pivots1'!$A:$E,4,0))</f>
        <v/>
      </c>
      <c r="R41" s="152" t="str">
        <f>IF(VLOOKUP(A41,'Aux - pivots1'!$A:$E,5,0)=0, "",VLOOKUP(A41,'Aux - pivots1'!$A:$E,5,0))</f>
        <v/>
      </c>
      <c r="S41" s="198"/>
      <c r="T41" s="198"/>
      <c r="U41" s="368" t="s">
        <v>2313</v>
      </c>
      <c r="V41" s="320" t="s">
        <v>2393</v>
      </c>
      <c r="W41" s="320" t="s">
        <v>2455</v>
      </c>
      <c r="X41" s="368" t="s">
        <v>2360</v>
      </c>
      <c r="Y41" s="368" t="s">
        <v>2321</v>
      </c>
      <c r="Z41" s="320" t="s">
        <v>1855</v>
      </c>
    </row>
    <row r="42" spans="1:26" ht="16.399999999999999" hidden="1" customHeight="1">
      <c r="A42" s="29" t="str">
        <f t="shared" si="0"/>
        <v>lt006_instr_protTYP_RLTN</v>
      </c>
      <c r="B42" s="141" t="s">
        <v>26</v>
      </c>
      <c r="C42" s="137" t="s">
        <v>26</v>
      </c>
      <c r="D42" s="133" t="s">
        <v>40</v>
      </c>
      <c r="E42" s="136" t="s">
        <v>441</v>
      </c>
      <c r="F42" s="474" t="s">
        <v>2289</v>
      </c>
      <c r="G42" s="135" t="str">
        <f>VLOOKUP(A42,Plano_V3!$A$26:$G$768,7,0)</f>
        <v xml:space="preserve">6. Em implementação </v>
      </c>
      <c r="H42" s="135" t="s">
        <v>2319</v>
      </c>
      <c r="I42" s="467"/>
      <c r="J42" s="355" t="s">
        <v>2241</v>
      </c>
      <c r="K42" s="355" t="s">
        <v>2462</v>
      </c>
      <c r="L42" s="364">
        <v>45764</v>
      </c>
      <c r="M42" s="364">
        <v>45771</v>
      </c>
      <c r="N42" s="355" t="s">
        <v>2446</v>
      </c>
      <c r="O42" s="355"/>
      <c r="P42" s="152" t="str">
        <f>IF(VLOOKUP(A33,'Aux - pivots1'!$A:$E,3,0)=0, "",VLOOKUP(A33,'Aux - pivots1'!$A:$E,3,0))</f>
        <v/>
      </c>
      <c r="Q42" s="152" t="str">
        <f>IF(VLOOKUP(A33,'Aux - pivots1'!$A:$E,4,0)=0, "",VLOOKUP(A33,'Aux - pivots1'!$A:$E,4,0))</f>
        <v/>
      </c>
      <c r="R42" s="152" t="str">
        <f>IF(VLOOKUP(A33,'Aux - pivots1'!$A:$E,5,0)=0, "",VLOOKUP(A33,'Aux - pivots1'!$A:$E,5,0))</f>
        <v/>
      </c>
      <c r="S42" s="198"/>
      <c r="T42" s="198"/>
      <c r="U42" s="368" t="s">
        <v>2313</v>
      </c>
      <c r="V42" s="320" t="s">
        <v>2394</v>
      </c>
      <c r="W42" s="320" t="s">
        <v>2455</v>
      </c>
      <c r="X42" s="368" t="s">
        <v>2360</v>
      </c>
      <c r="Y42" s="368" t="s">
        <v>2321</v>
      </c>
      <c r="Z42" s="320" t="s">
        <v>1855</v>
      </c>
    </row>
    <row r="43" spans="1:26" ht="16.399999999999999" hidden="1" customHeight="1">
      <c r="A43" s="29" t="str">
        <f t="shared" si="0"/>
        <v>lt004_protectionEPC_EMSSNS_LBL</v>
      </c>
      <c r="B43" s="141" t="s">
        <v>26</v>
      </c>
      <c r="C43" s="137" t="s">
        <v>26</v>
      </c>
      <c r="D43" s="133" t="s">
        <v>40</v>
      </c>
      <c r="E43" s="136" t="s">
        <v>368</v>
      </c>
      <c r="F43" s="474" t="s">
        <v>2247</v>
      </c>
      <c r="G43" s="135" t="str">
        <f>VLOOKUP(A43,Plano_V3!$A$26:$G$768,7,0)</f>
        <v>1. Concluído</v>
      </c>
      <c r="H43" s="135" t="s">
        <v>2319</v>
      </c>
      <c r="I43" s="467"/>
      <c r="J43" s="355" t="s">
        <v>2240</v>
      </c>
      <c r="K43" s="355" t="s">
        <v>2452</v>
      </c>
      <c r="L43" s="364">
        <v>45758</v>
      </c>
      <c r="M43" s="364">
        <v>45765</v>
      </c>
      <c r="N43" s="355" t="s">
        <v>2444</v>
      </c>
      <c r="O43" s="355"/>
      <c r="P43" s="152" t="str">
        <f>IF(VLOOKUP(A43,'Aux - pivots1'!$A:$E,3,0)=0, "",VLOOKUP(A43,'Aux - pivots1'!$A:$E,3,0))</f>
        <v/>
      </c>
      <c r="Q43" s="152" t="str">
        <f>IF(VLOOKUP(A43,'Aux - pivots1'!$A:$E,4,0)=0, "",VLOOKUP(A43,'Aux - pivots1'!$A:$E,4,0))</f>
        <v/>
      </c>
      <c r="R43" s="152" t="str">
        <f>IF(VLOOKUP(A43,'Aux - pivots1'!$A:$E,5,0)=0, "",VLOOKUP(A43,'Aux - pivots1'!$A:$E,5,0))</f>
        <v/>
      </c>
      <c r="S43" s="198"/>
      <c r="T43" s="198"/>
      <c r="U43" s="368" t="s">
        <v>2313</v>
      </c>
      <c r="V43" s="320" t="s">
        <v>2395</v>
      </c>
      <c r="W43" s="320" t="s">
        <v>2455</v>
      </c>
      <c r="X43" s="368" t="s">
        <v>2360</v>
      </c>
      <c r="Y43" s="368" t="s">
        <v>2321</v>
      </c>
      <c r="Z43" s="320" t="s">
        <v>1855</v>
      </c>
    </row>
    <row r="44" spans="1:26" ht="16.399999999999999" hidden="1" customHeight="1">
      <c r="A44" s="29" t="str">
        <f t="shared" si="0"/>
        <v>lt004_protectionTYP_EMSSNS_SCR</v>
      </c>
      <c r="B44" s="141" t="s">
        <v>26</v>
      </c>
      <c r="C44" s="137" t="s">
        <v>26</v>
      </c>
      <c r="D44" s="133" t="s">
        <v>40</v>
      </c>
      <c r="E44" s="136" t="s">
        <v>368</v>
      </c>
      <c r="F44" s="474" t="s">
        <v>2249</v>
      </c>
      <c r="G44" s="135" t="str">
        <f>VLOOKUP(A44,Plano_V3!$A$26:$G$768,7,0)</f>
        <v>1. Concluído</v>
      </c>
      <c r="H44" s="135" t="s">
        <v>2319</v>
      </c>
      <c r="I44" s="467"/>
      <c r="J44" s="355" t="s">
        <v>2240</v>
      </c>
      <c r="K44" s="355" t="s">
        <v>2452</v>
      </c>
      <c r="L44" s="364">
        <v>45758</v>
      </c>
      <c r="M44" s="364">
        <v>45765</v>
      </c>
      <c r="N44" s="355" t="s">
        <v>2444</v>
      </c>
      <c r="O44" s="355"/>
      <c r="P44" s="152" t="str">
        <f>IF(VLOOKUP(A44,'Aux - pivots1'!$A:$E,3,0)=0, "",VLOOKUP(A44,'Aux - pivots1'!$A:$E,3,0))</f>
        <v/>
      </c>
      <c r="Q44" s="152" t="str">
        <f>IF(VLOOKUP(A44,'Aux - pivots1'!$A:$E,4,0)=0, "",VLOOKUP(A44,'Aux - pivots1'!$A:$E,4,0))</f>
        <v/>
      </c>
      <c r="R44" s="152" t="str">
        <f>IF(VLOOKUP(A44,'Aux - pivots1'!$A:$E,5,0)=0, "",VLOOKUP(A44,'Aux - pivots1'!$A:$E,5,0))</f>
        <v/>
      </c>
      <c r="S44" s="198"/>
      <c r="T44" s="198"/>
      <c r="U44" s="368" t="s">
        <v>2313</v>
      </c>
      <c r="V44" s="320" t="s">
        <v>2395</v>
      </c>
      <c r="W44" s="320" t="s">
        <v>2455</v>
      </c>
      <c r="X44" s="368" t="s">
        <v>2360</v>
      </c>
      <c r="Y44" s="368" t="s">
        <v>2321</v>
      </c>
      <c r="Z44" s="320" t="s">
        <v>1855</v>
      </c>
    </row>
    <row r="45" spans="1:26" ht="16.399999999999999" hidden="1" customHeight="1">
      <c r="A45" s="29" t="str">
        <f t="shared" si="0"/>
        <v>lt004_protectionEPC_EMSSNS_SCR</v>
      </c>
      <c r="B45" s="141" t="s">
        <v>26</v>
      </c>
      <c r="C45" s="137" t="s">
        <v>26</v>
      </c>
      <c r="D45" s="133" t="s">
        <v>40</v>
      </c>
      <c r="E45" s="136" t="s">
        <v>368</v>
      </c>
      <c r="F45" s="474" t="s">
        <v>2250</v>
      </c>
      <c r="G45" s="135" t="str">
        <f>VLOOKUP(A45,Plano_V3!$A$26:$G$768,7,0)</f>
        <v>1. Concluído</v>
      </c>
      <c r="H45" s="135" t="s">
        <v>2319</v>
      </c>
      <c r="I45" s="467"/>
      <c r="J45" s="355" t="s">
        <v>2240</v>
      </c>
      <c r="K45" s="355" t="s">
        <v>2452</v>
      </c>
      <c r="L45" s="364">
        <v>45758</v>
      </c>
      <c r="M45" s="364">
        <v>45765</v>
      </c>
      <c r="N45" s="355" t="s">
        <v>2444</v>
      </c>
      <c r="O45" s="355"/>
      <c r="P45" s="152" t="str">
        <f>IF(VLOOKUP(A45,'Aux - pivots1'!$A:$E,3,0)=0, "",VLOOKUP(A45,'Aux - pivots1'!$A:$E,3,0))</f>
        <v/>
      </c>
      <c r="Q45" s="152" t="str">
        <f>IF(VLOOKUP(A45,'Aux - pivots1'!$A:$E,4,0)=0, "",VLOOKUP(A45,'Aux - pivots1'!$A:$E,4,0))</f>
        <v/>
      </c>
      <c r="R45" s="152" t="str">
        <f>IF(VLOOKUP(A45,'Aux - pivots1'!$A:$E,5,0)=0, "",VLOOKUP(A45,'Aux - pivots1'!$A:$E,5,0))</f>
        <v/>
      </c>
      <c r="S45" s="198"/>
      <c r="T45" s="198"/>
      <c r="U45" s="368" t="s">
        <v>2313</v>
      </c>
      <c r="V45" s="320" t="s">
        <v>2395</v>
      </c>
      <c r="W45" s="320" t="s">
        <v>2455</v>
      </c>
      <c r="X45" s="368" t="s">
        <v>2360</v>
      </c>
      <c r="Y45" s="368" t="s">
        <v>2321</v>
      </c>
      <c r="Z45" s="320" t="s">
        <v>1855</v>
      </c>
    </row>
    <row r="46" spans="1:26" ht="16.399999999999999" hidden="1" customHeight="1">
      <c r="A46" s="29" t="str">
        <f t="shared" si="0"/>
        <v>lt004_protectionTYP_VHCL</v>
      </c>
      <c r="B46" s="141" t="s">
        <v>26</v>
      </c>
      <c r="C46" s="137" t="s">
        <v>26</v>
      </c>
      <c r="D46" s="133" t="s">
        <v>40</v>
      </c>
      <c r="E46" s="136" t="s">
        <v>368</v>
      </c>
      <c r="F46" s="474" t="s">
        <v>2260</v>
      </c>
      <c r="G46" s="135" t="str">
        <f>VLOOKUP(A46,Plano_V3!$A$26:$G$768,7,0)</f>
        <v>5. Em Correção</v>
      </c>
      <c r="H46" s="135" t="s">
        <v>2319</v>
      </c>
      <c r="I46" s="467"/>
      <c r="J46" s="355" t="s">
        <v>2240</v>
      </c>
      <c r="K46" s="355" t="s">
        <v>2452</v>
      </c>
      <c r="L46" s="364">
        <v>45758</v>
      </c>
      <c r="M46" s="364">
        <v>45765</v>
      </c>
      <c r="N46" s="355" t="s">
        <v>2444</v>
      </c>
      <c r="O46" s="355"/>
      <c r="P46" s="152" t="str">
        <f>IF(VLOOKUP(A46,'Aux - pivots1'!$A:$E,3,0)=0, "",VLOOKUP(A46,'Aux - pivots1'!$A:$E,3,0))</f>
        <v/>
      </c>
      <c r="Q46" s="152" t="str">
        <f>IF(VLOOKUP(A46,'Aux - pivots1'!$A:$E,4,0)=0, "",VLOOKUP(A46,'Aux - pivots1'!$A:$E,4,0))</f>
        <v/>
      </c>
      <c r="R46" s="152" t="str">
        <f>IF(VLOOKUP(A46,'Aux - pivots1'!$A:$E,5,0)=0, "",VLOOKUP(A46,'Aux - pivots1'!$A:$E,5,0))</f>
        <v/>
      </c>
      <c r="S46" s="198"/>
      <c r="T46" s="198"/>
      <c r="U46" s="368" t="s">
        <v>2313</v>
      </c>
      <c r="V46" s="320" t="s">
        <v>2397</v>
      </c>
      <c r="W46" s="320" t="s">
        <v>2455</v>
      </c>
      <c r="X46" s="368" t="s">
        <v>2360</v>
      </c>
      <c r="Y46" s="368" t="s">
        <v>2321</v>
      </c>
      <c r="Z46" s="320" t="s">
        <v>1855</v>
      </c>
    </row>
    <row r="47" spans="1:26" ht="16.399999999999999" hidden="1" customHeight="1">
      <c r="A47" s="29" t="str">
        <f t="shared" si="0"/>
        <v>lt004_protectionPRMRY_ENRGY_DMND_TTL</v>
      </c>
      <c r="B47" s="141" t="s">
        <v>26</v>
      </c>
      <c r="C47" s="137" t="s">
        <v>26</v>
      </c>
      <c r="D47" s="133" t="s">
        <v>40</v>
      </c>
      <c r="E47" s="136" t="s">
        <v>368</v>
      </c>
      <c r="F47" s="474" t="s">
        <v>2263</v>
      </c>
      <c r="G47" s="135" t="str">
        <f>VLOOKUP(A47,Plano_V3!$A$26:$G$768,7,0)</f>
        <v>1. Concluído</v>
      </c>
      <c r="H47" s="135" t="s">
        <v>2319</v>
      </c>
      <c r="I47" s="467"/>
      <c r="J47" s="355" t="s">
        <v>2240</v>
      </c>
      <c r="K47" s="355" t="s">
        <v>2452</v>
      </c>
      <c r="L47" s="364">
        <v>45758</v>
      </c>
      <c r="M47" s="364">
        <v>45765</v>
      </c>
      <c r="N47" s="355" t="s">
        <v>2444</v>
      </c>
      <c r="O47" s="355"/>
      <c r="P47" s="152" t="str">
        <f>IF(VLOOKUP(A47,'Aux - pivots1'!$A:$E,3,0)=0, "",VLOOKUP(A47,'Aux - pivots1'!$A:$E,3,0))</f>
        <v/>
      </c>
      <c r="Q47" s="152" t="str">
        <f>IF(VLOOKUP(A47,'Aux - pivots1'!$A:$E,4,0)=0, "",VLOOKUP(A47,'Aux - pivots1'!$A:$E,4,0))</f>
        <v/>
      </c>
      <c r="R47" s="152" t="str">
        <f>IF(VLOOKUP(A47,'Aux - pivots1'!$A:$E,5,0)=0, "",VLOOKUP(A47,'Aux - pivots1'!$A:$E,5,0))</f>
        <v/>
      </c>
      <c r="S47" s="198"/>
      <c r="T47" s="198"/>
      <c r="U47" s="368" t="s">
        <v>2313</v>
      </c>
      <c r="V47" s="320" t="s">
        <v>2392</v>
      </c>
      <c r="W47" s="320" t="s">
        <v>2455</v>
      </c>
      <c r="X47" s="368" t="s">
        <v>2360</v>
      </c>
      <c r="Y47" s="368" t="s">
        <v>2321</v>
      </c>
      <c r="Z47" s="320" t="s">
        <v>1856</v>
      </c>
    </row>
    <row r="48" spans="1:26" ht="16.399999999999999" hidden="1" customHeight="1">
      <c r="A48" s="29" t="str">
        <f t="shared" si="0"/>
        <v>lt004_protectionPRMRY_ENRGY_DMND_RFRNC_VL</v>
      </c>
      <c r="B48" s="141" t="s">
        <v>26</v>
      </c>
      <c r="C48" s="137" t="s">
        <v>26</v>
      </c>
      <c r="D48" s="133" t="s">
        <v>40</v>
      </c>
      <c r="E48" s="136" t="s">
        <v>368</v>
      </c>
      <c r="F48" s="474" t="s">
        <v>2264</v>
      </c>
      <c r="G48" s="135" t="str">
        <f>VLOOKUP(A48,Plano_V3!$A$26:$G$768,7,0)</f>
        <v>1. Concluído</v>
      </c>
      <c r="H48" s="135" t="s">
        <v>2319</v>
      </c>
      <c r="I48" s="467"/>
      <c r="J48" s="355" t="s">
        <v>2240</v>
      </c>
      <c r="K48" s="355" t="s">
        <v>2452</v>
      </c>
      <c r="L48" s="364">
        <v>45758</v>
      </c>
      <c r="M48" s="364">
        <v>45765</v>
      </c>
      <c r="N48" s="355" t="s">
        <v>2444</v>
      </c>
      <c r="O48" s="355"/>
      <c r="P48" s="152" t="str">
        <f>IF(VLOOKUP(A48,'Aux - pivots1'!$A:$E,3,0)=0, "",VLOOKUP(A48,'Aux - pivots1'!$A:$E,3,0))</f>
        <v/>
      </c>
      <c r="Q48" s="152" t="str">
        <f>IF(VLOOKUP(A48,'Aux - pivots1'!$A:$E,4,0)=0, "",VLOOKUP(A48,'Aux - pivots1'!$A:$E,4,0))</f>
        <v/>
      </c>
      <c r="R48" s="152" t="str">
        <f>IF(VLOOKUP(A48,'Aux - pivots1'!$A:$E,5,0)=0, "",VLOOKUP(A48,'Aux - pivots1'!$A:$E,5,0))</f>
        <v/>
      </c>
      <c r="S48" s="198"/>
      <c r="T48" s="198"/>
      <c r="U48" s="368" t="s">
        <v>2313</v>
      </c>
      <c r="V48" s="320" t="s">
        <v>2392</v>
      </c>
      <c r="W48" s="320" t="s">
        <v>2455</v>
      </c>
      <c r="X48" s="368" t="s">
        <v>2360</v>
      </c>
      <c r="Y48" s="368" t="s">
        <v>2321</v>
      </c>
      <c r="Z48" s="320" t="s">
        <v>1856</v>
      </c>
    </row>
    <row r="49" spans="1:26" ht="16.399999999999999" hidden="1" customHeight="1">
      <c r="A49" s="29" t="str">
        <f t="shared" si="0"/>
        <v>lt004_protectionRL_ESTT_CLMT_ZN</v>
      </c>
      <c r="B49" s="141" t="s">
        <v>26</v>
      </c>
      <c r="C49" s="137" t="s">
        <v>26</v>
      </c>
      <c r="D49" s="133" t="s">
        <v>40</v>
      </c>
      <c r="E49" s="136" t="s">
        <v>368</v>
      </c>
      <c r="F49" s="474" t="s">
        <v>2265</v>
      </c>
      <c r="G49" s="135" t="str">
        <f>VLOOKUP(A49,Plano_V3!$A$26:$G$768,7,0)</f>
        <v>1. Concluído</v>
      </c>
      <c r="H49" s="135" t="s">
        <v>2319</v>
      </c>
      <c r="I49" s="467"/>
      <c r="J49" s="355" t="s">
        <v>2240</v>
      </c>
      <c r="K49" s="355" t="s">
        <v>2463</v>
      </c>
      <c r="L49" s="364">
        <v>45758</v>
      </c>
      <c r="M49" s="364">
        <v>45765</v>
      </c>
      <c r="N49" s="355" t="s">
        <v>2444</v>
      </c>
      <c r="O49" s="355"/>
      <c r="P49" s="152" t="str">
        <f>IF(VLOOKUP(A49,'Aux - pivots1'!$A:$E,3,0)=0, "",VLOOKUP(A49,'Aux - pivots1'!$A:$E,3,0))</f>
        <v/>
      </c>
      <c r="Q49" s="152" t="str">
        <f>IF(VLOOKUP(A49,'Aux - pivots1'!$A:$E,4,0)=0, "",VLOOKUP(A49,'Aux - pivots1'!$A:$E,4,0))</f>
        <v/>
      </c>
      <c r="R49" s="152" t="str">
        <f>IF(VLOOKUP(A49,'Aux - pivots1'!$A:$E,5,0)=0, "",VLOOKUP(A49,'Aux - pivots1'!$A:$E,5,0))</f>
        <v/>
      </c>
      <c r="S49" s="198"/>
      <c r="T49" s="198"/>
      <c r="U49" s="368" t="s">
        <v>2313</v>
      </c>
      <c r="V49" s="320" t="s">
        <v>2392</v>
      </c>
      <c r="W49" s="320" t="s">
        <v>2455</v>
      </c>
      <c r="X49" s="368" t="s">
        <v>2360</v>
      </c>
      <c r="Y49" s="368" t="s">
        <v>2321</v>
      </c>
      <c r="Z49" s="320" t="s">
        <v>1855</v>
      </c>
    </row>
    <row r="50" spans="1:26" ht="16.399999999999999" hidden="1" customHeight="1">
      <c r="A50" s="29" t="str">
        <f t="shared" si="0"/>
        <v>ENERGY_CERTIFICATE_EST_INPUTCHAVE_GLOVAL</v>
      </c>
      <c r="B50" s="141" t="s">
        <v>26</v>
      </c>
      <c r="C50" s="137" t="s">
        <v>34</v>
      </c>
      <c r="D50" s="133" t="s">
        <v>40</v>
      </c>
      <c r="E50" s="134" t="s">
        <v>37</v>
      </c>
      <c r="F50" s="471" t="s">
        <v>1967</v>
      </c>
      <c r="G50" s="135" t="str">
        <f>VLOOKUP(A50,Plano_V3!$A$26:$G$768,7,0)</f>
        <v>1. Concluído</v>
      </c>
      <c r="H50" s="135" t="s">
        <v>612</v>
      </c>
      <c r="I50" s="467" t="s">
        <v>2414</v>
      </c>
      <c r="J50" s="355" t="s">
        <v>2242</v>
      </c>
      <c r="K50" s="355"/>
      <c r="L50" s="364"/>
      <c r="M50" s="364"/>
      <c r="N50" s="355"/>
      <c r="O50" s="355"/>
      <c r="P50" s="343" t="str">
        <f>IF(VLOOKUP(A50,'Aux - pivots1'!$A:$E,3,0)=0, "",VLOOKUP(A50,'Aux - pivots1'!$A:$E,3,0))</f>
        <v/>
      </c>
      <c r="Q50" s="343" t="str">
        <f>IF(VLOOKUP(A50,'Aux - pivots1'!$A:$E,4,0)=0, "",VLOOKUP(A50,'Aux - pivots1'!$A:$E,4,0))</f>
        <v/>
      </c>
      <c r="R50" s="152" t="str">
        <f>IF(VLOOKUP(A50,'Aux - pivots1'!$A:$E,5,0)=0, "",VLOOKUP(A50,'Aux - pivots1'!$A:$E,5,0))</f>
        <v/>
      </c>
      <c r="S50" s="198"/>
      <c r="T50" s="198"/>
      <c r="U50" s="199"/>
      <c r="V50" s="368"/>
      <c r="W50" s="368"/>
      <c r="X50" s="368"/>
      <c r="Y50" s="368" t="s">
        <v>2377</v>
      </c>
      <c r="Z50" s="368"/>
    </row>
    <row r="51" spans="1:26" ht="16.399999999999999" hidden="1" customHeight="1">
      <c r="A51" s="29" t="str">
        <f t="shared" si="0"/>
        <v>ENERGY_CERTIFICATE_EST_INPUTPROPERTY_BANK_ID</v>
      </c>
      <c r="B51" s="141" t="s">
        <v>26</v>
      </c>
      <c r="C51" s="137" t="s">
        <v>34</v>
      </c>
      <c r="D51" s="133" t="s">
        <v>40</v>
      </c>
      <c r="E51" s="134" t="s">
        <v>37</v>
      </c>
      <c r="F51" s="471" t="s">
        <v>41</v>
      </c>
      <c r="G51" s="135" t="str">
        <f>VLOOKUP(A51,Plano_V3!$A$26:$G$768,7,0)</f>
        <v>1. Concluído</v>
      </c>
      <c r="H51" s="135" t="s">
        <v>612</v>
      </c>
      <c r="I51" s="467" t="s">
        <v>2414</v>
      </c>
      <c r="J51" s="355" t="s">
        <v>2242</v>
      </c>
      <c r="K51" s="355"/>
      <c r="L51" s="364"/>
      <c r="M51" s="364"/>
      <c r="N51" s="355"/>
      <c r="O51" s="355"/>
      <c r="P51" s="343" t="str">
        <f>IF(VLOOKUP(A51,'Aux - pivots1'!$A:$E,3,0)=0, "",VLOOKUP(A51,'Aux - pivots1'!$A:$E,3,0))</f>
        <v/>
      </c>
      <c r="Q51" s="343" t="str">
        <f>IF(VLOOKUP(A51,'Aux - pivots1'!$A:$E,4,0)=0, "",VLOOKUP(A51,'Aux - pivots1'!$A:$E,4,0))</f>
        <v/>
      </c>
      <c r="R51" s="152" t="str">
        <f>IF(VLOOKUP(A51,'Aux - pivots1'!$A:$E,5,0)=0, "",VLOOKUP(A51,'Aux - pivots1'!$A:$E,5,0))</f>
        <v/>
      </c>
      <c r="S51" s="198"/>
      <c r="T51" s="198"/>
      <c r="U51" s="199"/>
      <c r="V51" s="320"/>
      <c r="W51" s="320"/>
      <c r="X51" s="320"/>
      <c r="Y51" s="368" t="s">
        <v>2320</v>
      </c>
      <c r="Z51" s="368"/>
    </row>
    <row r="52" spans="1:26" ht="16.399999999999999" hidden="1" customHeight="1">
      <c r="A52" s="29" t="str">
        <f t="shared" si="0"/>
        <v>ENERGY_CERTIFICATE_EST_INPUTPROPERTY_BRANCH_CODE</v>
      </c>
      <c r="B52" s="141" t="s">
        <v>26</v>
      </c>
      <c r="C52" s="137" t="s">
        <v>34</v>
      </c>
      <c r="D52" s="133" t="s">
        <v>40</v>
      </c>
      <c r="E52" s="134" t="s">
        <v>37</v>
      </c>
      <c r="F52" s="471" t="s">
        <v>43</v>
      </c>
      <c r="G52" s="135" t="str">
        <f>VLOOKUP(A52,Plano_V3!$A$26:$G$768,7,0)</f>
        <v>1. Concluído</v>
      </c>
      <c r="H52" s="135" t="s">
        <v>612</v>
      </c>
      <c r="I52" s="467" t="s">
        <v>2414</v>
      </c>
      <c r="J52" s="355" t="s">
        <v>2242</v>
      </c>
      <c r="K52" s="355"/>
      <c r="L52" s="364"/>
      <c r="M52" s="364"/>
      <c r="N52" s="355"/>
      <c r="O52" s="355"/>
      <c r="P52" s="343" t="str">
        <f>IF(VLOOKUP(A52,'Aux - pivots1'!$A:$E,3,0)=0, "",VLOOKUP(A52,'Aux - pivots1'!$A:$E,3,0))</f>
        <v/>
      </c>
      <c r="Q52" s="343" t="str">
        <f>IF(VLOOKUP(A52,'Aux - pivots1'!$A:$E,4,0)=0, "",VLOOKUP(A52,'Aux - pivots1'!$A:$E,4,0))</f>
        <v/>
      </c>
      <c r="R52" s="152" t="str">
        <f>IF(VLOOKUP(A52,'Aux - pivots1'!$A:$E,5,0)=0, "",VLOOKUP(A52,'Aux - pivots1'!$A:$E,5,0))</f>
        <v/>
      </c>
      <c r="S52" s="198"/>
      <c r="T52" s="198"/>
      <c r="U52" s="199"/>
      <c r="V52" s="320"/>
      <c r="W52" s="320"/>
      <c r="X52" s="320"/>
      <c r="Y52" s="368" t="s">
        <v>2320</v>
      </c>
      <c r="Z52" s="368"/>
    </row>
    <row r="53" spans="1:26" ht="16.399999999999999" hidden="1" customHeight="1">
      <c r="A53" s="29" t="str">
        <f t="shared" si="0"/>
        <v>ENERGY_CERTIFICATE_EST_INPUTPROPERTY_CONTRACT_ID</v>
      </c>
      <c r="B53" s="141" t="s">
        <v>26</v>
      </c>
      <c r="C53" s="137" t="s">
        <v>34</v>
      </c>
      <c r="D53" s="133" t="s">
        <v>40</v>
      </c>
      <c r="E53" s="134" t="s">
        <v>37</v>
      </c>
      <c r="F53" s="471" t="s">
        <v>44</v>
      </c>
      <c r="G53" s="135" t="str">
        <f>VLOOKUP(A53,Plano_V3!$A$26:$G$768,7,0)</f>
        <v>1. Concluído</v>
      </c>
      <c r="H53" s="135" t="s">
        <v>612</v>
      </c>
      <c r="I53" s="467" t="s">
        <v>2414</v>
      </c>
      <c r="J53" s="355" t="s">
        <v>2242</v>
      </c>
      <c r="K53" s="355"/>
      <c r="L53" s="364"/>
      <c r="M53" s="364"/>
      <c r="N53" s="355"/>
      <c r="O53" s="355"/>
      <c r="P53" s="343" t="str">
        <f>IF(VLOOKUP(A53,'Aux - pivots1'!$A:$E,3,0)=0, "",VLOOKUP(A53,'Aux - pivots1'!$A:$E,3,0))</f>
        <v/>
      </c>
      <c r="Q53" s="343" t="str">
        <f>IF(VLOOKUP(A53,'Aux - pivots1'!$A:$E,4,0)=0, "",VLOOKUP(A53,'Aux - pivots1'!$A:$E,4,0))</f>
        <v/>
      </c>
      <c r="R53" s="152" t="str">
        <f>IF(VLOOKUP(A53,'Aux - pivots1'!$A:$E,5,0)=0, "",VLOOKUP(A53,'Aux - pivots1'!$A:$E,5,0))</f>
        <v/>
      </c>
      <c r="S53" s="198"/>
      <c r="T53" s="198"/>
      <c r="U53" s="199"/>
      <c r="V53" s="320"/>
      <c r="W53" s="320"/>
      <c r="X53" s="320"/>
      <c r="Y53" s="368" t="s">
        <v>2320</v>
      </c>
      <c r="Z53" s="368"/>
    </row>
    <row r="54" spans="1:26" ht="16.399999999999999" hidden="1" customHeight="1">
      <c r="A54" s="29" t="str">
        <f t="shared" si="0"/>
        <v>ENERGY_CERTIFICATE_EST_INPUTPROPERTY_REFERENCE_CODE</v>
      </c>
      <c r="B54" s="141" t="s">
        <v>26</v>
      </c>
      <c r="C54" s="137" t="s">
        <v>34</v>
      </c>
      <c r="D54" s="133" t="s">
        <v>40</v>
      </c>
      <c r="E54" s="134" t="s">
        <v>37</v>
      </c>
      <c r="F54" s="471" t="s">
        <v>45</v>
      </c>
      <c r="G54" s="135" t="str">
        <f>VLOOKUP(A54,Plano_V3!$A$26:$G$768,7,0)</f>
        <v>1. Concluído</v>
      </c>
      <c r="H54" s="135" t="s">
        <v>612</v>
      </c>
      <c r="I54" s="467" t="s">
        <v>2414</v>
      </c>
      <c r="J54" s="355" t="s">
        <v>2242</v>
      </c>
      <c r="K54" s="355"/>
      <c r="L54" s="364"/>
      <c r="M54" s="364"/>
      <c r="N54" s="355"/>
      <c r="O54" s="355"/>
      <c r="P54" s="343" t="str">
        <f>IF(VLOOKUP(A54,'Aux - pivots1'!$A:$E,3,0)=0, "",VLOOKUP(A54,'Aux - pivots1'!$A:$E,3,0))</f>
        <v/>
      </c>
      <c r="Q54" s="343" t="str">
        <f>IF(VLOOKUP(A54,'Aux - pivots1'!$A:$E,4,0)=0, "",VLOOKUP(A54,'Aux - pivots1'!$A:$E,4,0))</f>
        <v/>
      </c>
      <c r="R54" s="152" t="str">
        <f>IF(VLOOKUP(A54,'Aux - pivots1'!$A:$E,5,0)=0, "",VLOOKUP(A54,'Aux - pivots1'!$A:$E,5,0))</f>
        <v/>
      </c>
      <c r="S54" s="198"/>
      <c r="T54" s="198"/>
      <c r="U54" s="199"/>
      <c r="V54" s="320"/>
      <c r="W54" s="320"/>
      <c r="X54" s="320"/>
      <c r="Y54" s="368" t="s">
        <v>2320</v>
      </c>
      <c r="Z54" s="368"/>
    </row>
    <row r="55" spans="1:26" ht="16.399999999999999" hidden="1" customHeight="1">
      <c r="A55" s="29" t="str">
        <f t="shared" si="0"/>
        <v>ENERGY_CERTIFICATE_EST_INPUTCÓDIGO_DISTRITO</v>
      </c>
      <c r="B55" s="141" t="s">
        <v>26</v>
      </c>
      <c r="C55" s="137" t="s">
        <v>34</v>
      </c>
      <c r="D55" s="133" t="s">
        <v>40</v>
      </c>
      <c r="E55" s="134" t="s">
        <v>37</v>
      </c>
      <c r="F55" s="471" t="s">
        <v>1968</v>
      </c>
      <c r="G55" s="135" t="str">
        <f>VLOOKUP(A55,Plano_V3!$A$26:$G$768,7,0)</f>
        <v>1. Concluído</v>
      </c>
      <c r="H55" s="135" t="s">
        <v>612</v>
      </c>
      <c r="I55" s="467" t="s">
        <v>2414</v>
      </c>
      <c r="J55" s="355" t="s">
        <v>2242</v>
      </c>
      <c r="K55" s="355"/>
      <c r="L55" s="364"/>
      <c r="M55" s="364"/>
      <c r="N55" s="355"/>
      <c r="O55" s="355"/>
      <c r="P55" s="343" t="str">
        <f>IF(VLOOKUP(A55,'Aux - pivots1'!$A:$E,3,0)=0, "",VLOOKUP(A55,'Aux - pivots1'!$A:$E,3,0))</f>
        <v/>
      </c>
      <c r="Q55" s="343" t="str">
        <f>IF(VLOOKUP(A55,'Aux - pivots1'!$A:$E,4,0)=0, "",VLOOKUP(A55,'Aux - pivots1'!$A:$E,4,0))</f>
        <v/>
      </c>
      <c r="R55" s="152" t="str">
        <f>IF(VLOOKUP(A55,'Aux - pivots1'!$A:$E,5,0)=0, "",VLOOKUP(A55,'Aux - pivots1'!$A:$E,5,0))</f>
        <v/>
      </c>
      <c r="S55" s="198"/>
      <c r="T55" s="198"/>
      <c r="U55" s="199"/>
      <c r="V55" s="368"/>
      <c r="W55" s="368"/>
      <c r="X55" s="368"/>
      <c r="Y55" s="368" t="s">
        <v>2322</v>
      </c>
      <c r="Z55" s="368"/>
    </row>
    <row r="56" spans="1:26" ht="16.399999999999999" hidden="1" customHeight="1">
      <c r="A56" s="29" t="str">
        <f t="shared" si="0"/>
        <v>ENERGY_CERTIFICATE_EST_INPUTNOMBRE_DISTRITO</v>
      </c>
      <c r="B56" s="141" t="s">
        <v>26</v>
      </c>
      <c r="C56" s="137" t="s">
        <v>34</v>
      </c>
      <c r="D56" s="133" t="s">
        <v>40</v>
      </c>
      <c r="E56" s="134" t="s">
        <v>37</v>
      </c>
      <c r="F56" s="471" t="s">
        <v>1969</v>
      </c>
      <c r="G56" s="135" t="str">
        <f>VLOOKUP(A56,Plano_V3!$A$26:$G$768,7,0)</f>
        <v>1. Concluído</v>
      </c>
      <c r="H56" s="135" t="s">
        <v>612</v>
      </c>
      <c r="I56" s="467" t="s">
        <v>2414</v>
      </c>
      <c r="J56" s="355" t="s">
        <v>2242</v>
      </c>
      <c r="K56" s="355"/>
      <c r="L56" s="364"/>
      <c r="M56" s="364"/>
      <c r="N56" s="355"/>
      <c r="O56" s="355"/>
      <c r="P56" s="343" t="str">
        <f>IF(VLOOKUP(A56,'Aux - pivots1'!$A:$E,3,0)=0, "",VLOOKUP(A56,'Aux - pivots1'!$A:$E,3,0))</f>
        <v/>
      </c>
      <c r="Q56" s="343" t="str">
        <f>IF(VLOOKUP(A56,'Aux - pivots1'!$A:$E,4,0)=0, "",VLOOKUP(A56,'Aux - pivots1'!$A:$E,4,0))</f>
        <v/>
      </c>
      <c r="R56" s="152" t="str">
        <f>IF(VLOOKUP(A56,'Aux - pivots1'!$A:$E,5,0)=0, "",VLOOKUP(A56,'Aux - pivots1'!$A:$E,5,0))</f>
        <v/>
      </c>
      <c r="S56" s="198"/>
      <c r="T56" s="198"/>
      <c r="U56" s="199"/>
      <c r="V56" s="368"/>
      <c r="W56" s="368"/>
      <c r="X56" s="368"/>
      <c r="Y56" s="368" t="s">
        <v>2322</v>
      </c>
      <c r="Z56" s="368"/>
    </row>
    <row r="57" spans="1:26" ht="16.399999999999999" hidden="1" customHeight="1">
      <c r="A57" s="29" t="str">
        <f t="shared" si="0"/>
        <v>ENERGY_CERTIFICATE_EST_INPUTCÓDIGO_CONCEJO</v>
      </c>
      <c r="B57" s="141" t="s">
        <v>26</v>
      </c>
      <c r="C57" s="137" t="s">
        <v>34</v>
      </c>
      <c r="D57" s="133" t="s">
        <v>40</v>
      </c>
      <c r="E57" s="134" t="s">
        <v>37</v>
      </c>
      <c r="F57" s="471" t="s">
        <v>1970</v>
      </c>
      <c r="G57" s="135" t="str">
        <f>VLOOKUP(A57,Plano_V3!$A$26:$G$768,7,0)</f>
        <v>1. Concluído</v>
      </c>
      <c r="H57" s="135" t="s">
        <v>612</v>
      </c>
      <c r="I57" s="467" t="s">
        <v>2414</v>
      </c>
      <c r="J57" s="355" t="s">
        <v>2242</v>
      </c>
      <c r="K57" s="355"/>
      <c r="L57" s="364"/>
      <c r="M57" s="364"/>
      <c r="N57" s="355"/>
      <c r="O57" s="355"/>
      <c r="P57" s="343" t="str">
        <f>IF(VLOOKUP(A57,'Aux - pivots1'!$A:$E,3,0)=0, "",VLOOKUP(A57,'Aux - pivots1'!$A:$E,3,0))</f>
        <v/>
      </c>
      <c r="Q57" s="343" t="str">
        <f>IF(VLOOKUP(A57,'Aux - pivots1'!$A:$E,4,0)=0, "",VLOOKUP(A57,'Aux - pivots1'!$A:$E,4,0))</f>
        <v/>
      </c>
      <c r="R57" s="152" t="str">
        <f>IF(VLOOKUP(A57,'Aux - pivots1'!$A:$E,5,0)=0, "",VLOOKUP(A57,'Aux - pivots1'!$A:$E,5,0))</f>
        <v/>
      </c>
      <c r="S57" s="198"/>
      <c r="T57" s="198"/>
      <c r="U57" s="199"/>
      <c r="V57" s="368"/>
      <c r="W57" s="368"/>
      <c r="X57" s="368"/>
      <c r="Y57" s="368" t="s">
        <v>2322</v>
      </c>
      <c r="Z57" s="368"/>
    </row>
    <row r="58" spans="1:26" ht="16.399999999999999" hidden="1" customHeight="1">
      <c r="A58" s="29" t="str">
        <f t="shared" si="0"/>
        <v>ENERGY_CERTIFICATE_EST_INPUTNOMBRE_CONCEJO</v>
      </c>
      <c r="B58" s="141" t="s">
        <v>26</v>
      </c>
      <c r="C58" s="137" t="s">
        <v>34</v>
      </c>
      <c r="D58" s="133" t="s">
        <v>40</v>
      </c>
      <c r="E58" s="134" t="s">
        <v>37</v>
      </c>
      <c r="F58" s="471" t="s">
        <v>1971</v>
      </c>
      <c r="G58" s="135" t="str">
        <f>VLOOKUP(A58,Plano_V3!$A$26:$G$768,7,0)</f>
        <v>1. Concluído</v>
      </c>
      <c r="H58" s="135" t="s">
        <v>612</v>
      </c>
      <c r="I58" s="467" t="s">
        <v>2414</v>
      </c>
      <c r="J58" s="355" t="s">
        <v>2242</v>
      </c>
      <c r="K58" s="355"/>
      <c r="L58" s="364"/>
      <c r="M58" s="364"/>
      <c r="N58" s="355"/>
      <c r="O58" s="355"/>
      <c r="P58" s="343" t="str">
        <f>IF(VLOOKUP(A58,'Aux - pivots1'!$A:$E,3,0)=0, "",VLOOKUP(A58,'Aux - pivots1'!$A:$E,3,0))</f>
        <v/>
      </c>
      <c r="Q58" s="343" t="str">
        <f>IF(VLOOKUP(A58,'Aux - pivots1'!$A:$E,4,0)=0, "",VLOOKUP(A58,'Aux - pivots1'!$A:$E,4,0))</f>
        <v/>
      </c>
      <c r="R58" s="152" t="str">
        <f>IF(VLOOKUP(A58,'Aux - pivots1'!$A:$E,5,0)=0, "",VLOOKUP(A58,'Aux - pivots1'!$A:$E,5,0))</f>
        <v/>
      </c>
      <c r="S58" s="198"/>
      <c r="T58" s="198"/>
      <c r="U58" s="199"/>
      <c r="V58" s="368"/>
      <c r="W58" s="368"/>
      <c r="X58" s="368"/>
      <c r="Y58" s="368" t="s">
        <v>2322</v>
      </c>
      <c r="Z58" s="368"/>
    </row>
    <row r="59" spans="1:26" ht="16.399999999999999" hidden="1" customHeight="1">
      <c r="A59" s="29" t="str">
        <f t="shared" si="0"/>
        <v>ENERGY_CERTIFICATE_EST_INPUTCÓDIGO_FREGUESIA</v>
      </c>
      <c r="B59" s="141" t="s">
        <v>26</v>
      </c>
      <c r="C59" s="137" t="s">
        <v>34</v>
      </c>
      <c r="D59" s="133" t="s">
        <v>40</v>
      </c>
      <c r="E59" s="134" t="s">
        <v>37</v>
      </c>
      <c r="F59" s="471" t="s">
        <v>1972</v>
      </c>
      <c r="G59" s="135" t="str">
        <f>VLOOKUP(A59,Plano_V3!$A$26:$G$768,7,0)</f>
        <v>1. Concluído</v>
      </c>
      <c r="H59" s="135" t="s">
        <v>612</v>
      </c>
      <c r="I59" s="467" t="s">
        <v>2414</v>
      </c>
      <c r="J59" s="355" t="s">
        <v>2242</v>
      </c>
      <c r="K59" s="355"/>
      <c r="L59" s="364"/>
      <c r="M59" s="364"/>
      <c r="N59" s="355"/>
      <c r="O59" s="355"/>
      <c r="P59" s="343" t="str">
        <f>IF(VLOOKUP(A59,'Aux - pivots1'!$A:$E,3,0)=0, "",VLOOKUP(A59,'Aux - pivots1'!$A:$E,3,0))</f>
        <v/>
      </c>
      <c r="Q59" s="343" t="str">
        <f>IF(VLOOKUP(A59,'Aux - pivots1'!$A:$E,4,0)=0, "",VLOOKUP(A59,'Aux - pivots1'!$A:$E,4,0))</f>
        <v/>
      </c>
      <c r="R59" s="152" t="str">
        <f>IF(VLOOKUP(A59,'Aux - pivots1'!$A:$E,5,0)=0, "",VLOOKUP(A59,'Aux - pivots1'!$A:$E,5,0))</f>
        <v/>
      </c>
      <c r="S59" s="198"/>
      <c r="T59" s="198"/>
      <c r="U59" s="199"/>
      <c r="V59" s="368"/>
      <c r="W59" s="368"/>
      <c r="X59" s="368"/>
      <c r="Y59" s="368" t="s">
        <v>2322</v>
      </c>
      <c r="Z59" s="368"/>
    </row>
    <row r="60" spans="1:26" ht="16.399999999999999" hidden="1" customHeight="1">
      <c r="A60" s="29" t="str">
        <f t="shared" si="0"/>
        <v>ENERGY_CERTIFICATE_EST_INPUTNOMBRE_FREGUESIA</v>
      </c>
      <c r="B60" s="141" t="s">
        <v>26</v>
      </c>
      <c r="C60" s="137" t="s">
        <v>34</v>
      </c>
      <c r="D60" s="133" t="s">
        <v>40</v>
      </c>
      <c r="E60" s="134" t="s">
        <v>37</v>
      </c>
      <c r="F60" s="471" t="s">
        <v>1973</v>
      </c>
      <c r="G60" s="135" t="str">
        <f>VLOOKUP(A60,Plano_V3!$A$26:$G$768,7,0)</f>
        <v>1. Concluído</v>
      </c>
      <c r="H60" s="135" t="s">
        <v>612</v>
      </c>
      <c r="I60" s="467" t="s">
        <v>2414</v>
      </c>
      <c r="J60" s="355" t="s">
        <v>2242</v>
      </c>
      <c r="K60" s="355"/>
      <c r="L60" s="364"/>
      <c r="M60" s="364"/>
      <c r="N60" s="355"/>
      <c r="O60" s="355"/>
      <c r="P60" s="343" t="str">
        <f>IF(VLOOKUP(A60,'Aux - pivots1'!$A:$E,3,0)=0, "",VLOOKUP(A60,'Aux - pivots1'!$A:$E,3,0))</f>
        <v/>
      </c>
      <c r="Q60" s="343" t="str">
        <f>IF(VLOOKUP(A60,'Aux - pivots1'!$A:$E,4,0)=0, "",VLOOKUP(A60,'Aux - pivots1'!$A:$E,4,0))</f>
        <v/>
      </c>
      <c r="R60" s="152" t="str">
        <f>IF(VLOOKUP(A60,'Aux - pivots1'!$A:$E,5,0)=0, "",VLOOKUP(A60,'Aux - pivots1'!$A:$E,5,0))</f>
        <v/>
      </c>
      <c r="S60" s="198"/>
      <c r="T60" s="198"/>
      <c r="U60" s="199"/>
      <c r="V60" s="368"/>
      <c r="W60" s="368"/>
      <c r="X60" s="368"/>
      <c r="Y60" s="368" t="s">
        <v>2322</v>
      </c>
      <c r="Z60" s="368"/>
    </row>
    <row r="61" spans="1:26" ht="16.399999999999999" hidden="1" customHeight="1">
      <c r="A61" s="29" t="str">
        <f t="shared" si="0"/>
        <v>ENERGY_CERTIFICATE_EST_INPUTLOCALIDADE</v>
      </c>
      <c r="B61" s="141" t="s">
        <v>26</v>
      </c>
      <c r="C61" s="137" t="s">
        <v>34</v>
      </c>
      <c r="D61" s="133" t="s">
        <v>40</v>
      </c>
      <c r="E61" s="134" t="s">
        <v>37</v>
      </c>
      <c r="F61" s="471" t="s">
        <v>1974</v>
      </c>
      <c r="G61" s="135" t="str">
        <f>VLOOKUP(A61,Plano_V3!$A$26:$G$768,7,0)</f>
        <v>1. Concluído</v>
      </c>
      <c r="H61" s="135" t="s">
        <v>612</v>
      </c>
      <c r="I61" s="467" t="s">
        <v>2414</v>
      </c>
      <c r="J61" s="355" t="s">
        <v>2242</v>
      </c>
      <c r="K61" s="355"/>
      <c r="L61" s="364"/>
      <c r="M61" s="364"/>
      <c r="N61" s="355"/>
      <c r="O61" s="355"/>
      <c r="P61" s="343" t="str">
        <f>IF(VLOOKUP(A61,'Aux - pivots1'!$A:$E,3,0)=0, "",VLOOKUP(A61,'Aux - pivots1'!$A:$E,3,0))</f>
        <v/>
      </c>
      <c r="Q61" s="343" t="str">
        <f>IF(VLOOKUP(A61,'Aux - pivots1'!$A:$E,4,0)=0, "",VLOOKUP(A61,'Aux - pivots1'!$A:$E,4,0))</f>
        <v/>
      </c>
      <c r="R61" s="152" t="str">
        <f>IF(VLOOKUP(A61,'Aux - pivots1'!$A:$E,5,0)=0, "",VLOOKUP(A61,'Aux - pivots1'!$A:$E,5,0))</f>
        <v/>
      </c>
      <c r="S61" s="198"/>
      <c r="T61" s="198"/>
      <c r="U61" s="199"/>
      <c r="V61" s="368"/>
      <c r="W61" s="368"/>
      <c r="X61" s="368"/>
      <c r="Y61" s="368" t="s">
        <v>2322</v>
      </c>
      <c r="Z61" s="368"/>
    </row>
    <row r="62" spans="1:26" ht="16.399999999999999" hidden="1" customHeight="1">
      <c r="A62" s="29" t="str">
        <f t="shared" si="0"/>
        <v>ENERGY_CERTIFICATE_EST_INPUTTIPO_VIA</v>
      </c>
      <c r="B62" s="141" t="s">
        <v>26</v>
      </c>
      <c r="C62" s="137" t="s">
        <v>34</v>
      </c>
      <c r="D62" s="133" t="s">
        <v>40</v>
      </c>
      <c r="E62" s="134" t="s">
        <v>37</v>
      </c>
      <c r="F62" s="471" t="s">
        <v>1975</v>
      </c>
      <c r="G62" s="135" t="str">
        <f>VLOOKUP(A62,Plano_V3!$A$26:$G$768,7,0)</f>
        <v>1. Concluído</v>
      </c>
      <c r="H62" s="135" t="s">
        <v>612</v>
      </c>
      <c r="I62" s="467" t="s">
        <v>2414</v>
      </c>
      <c r="J62" s="355" t="s">
        <v>2242</v>
      </c>
      <c r="K62" s="355"/>
      <c r="L62" s="364"/>
      <c r="M62" s="364"/>
      <c r="N62" s="355"/>
      <c r="O62" s="355"/>
      <c r="P62" s="343" t="str">
        <f>IF(VLOOKUP(A62,'Aux - pivots1'!$A:$E,3,0)=0, "",VLOOKUP(A62,'Aux - pivots1'!$A:$E,3,0))</f>
        <v/>
      </c>
      <c r="Q62" s="343" t="str">
        <f>IF(VLOOKUP(A62,'Aux - pivots1'!$A:$E,4,0)=0, "",VLOOKUP(A62,'Aux - pivots1'!$A:$E,4,0))</f>
        <v/>
      </c>
      <c r="R62" s="152" t="str">
        <f>IF(VLOOKUP(A62,'Aux - pivots1'!$A:$E,5,0)=0, "",VLOOKUP(A62,'Aux - pivots1'!$A:$E,5,0))</f>
        <v/>
      </c>
      <c r="S62" s="198"/>
      <c r="T62" s="198"/>
      <c r="U62" s="199"/>
      <c r="V62" s="368"/>
      <c r="W62" s="368"/>
      <c r="X62" s="368"/>
      <c r="Y62" s="368" t="s">
        <v>2322</v>
      </c>
      <c r="Z62" s="368"/>
    </row>
    <row r="63" spans="1:26" ht="16.399999999999999" hidden="1" customHeight="1">
      <c r="A63" s="29" t="str">
        <f t="shared" si="0"/>
        <v>ENERGY_CERTIFICATE_EST_INPUTNOMBRE_TIPO_VIA</v>
      </c>
      <c r="B63" s="141" t="s">
        <v>26</v>
      </c>
      <c r="C63" s="137" t="s">
        <v>34</v>
      </c>
      <c r="D63" s="133" t="s">
        <v>40</v>
      </c>
      <c r="E63" s="134" t="s">
        <v>37</v>
      </c>
      <c r="F63" s="471" t="s">
        <v>1976</v>
      </c>
      <c r="G63" s="135" t="str">
        <f>VLOOKUP(A63,Plano_V3!$A$26:$G$768,7,0)</f>
        <v>1. Concluído</v>
      </c>
      <c r="H63" s="135" t="s">
        <v>612</v>
      </c>
      <c r="I63" s="467" t="s">
        <v>2414</v>
      </c>
      <c r="J63" s="355" t="s">
        <v>2242</v>
      </c>
      <c r="K63" s="355"/>
      <c r="L63" s="364"/>
      <c r="M63" s="364"/>
      <c r="N63" s="355"/>
      <c r="O63" s="355"/>
      <c r="P63" s="343" t="str">
        <f>IF(VLOOKUP(A63,'Aux - pivots1'!$A:$E,3,0)=0, "",VLOOKUP(A63,'Aux - pivots1'!$A:$E,3,0))</f>
        <v/>
      </c>
      <c r="Q63" s="343" t="str">
        <f>IF(VLOOKUP(A63,'Aux - pivots1'!$A:$E,4,0)=0, "",VLOOKUP(A63,'Aux - pivots1'!$A:$E,4,0))</f>
        <v/>
      </c>
      <c r="R63" s="152" t="str">
        <f>IF(VLOOKUP(A63,'Aux - pivots1'!$A:$E,5,0)=0, "",VLOOKUP(A63,'Aux - pivots1'!$A:$E,5,0))</f>
        <v/>
      </c>
      <c r="S63" s="198"/>
      <c r="T63" s="198"/>
      <c r="U63" s="199"/>
      <c r="V63" s="368"/>
      <c r="W63" s="368"/>
      <c r="X63" s="368"/>
      <c r="Y63" s="368" t="s">
        <v>2322</v>
      </c>
      <c r="Z63" s="368"/>
    </row>
    <row r="64" spans="1:26" ht="16.399999999999999" hidden="1" customHeight="1">
      <c r="A64" s="29" t="str">
        <f t="shared" si="0"/>
        <v>ENERGY_CERTIFICATE_EST_INPUTNOMBRE_VIA</v>
      </c>
      <c r="B64" s="141" t="s">
        <v>26</v>
      </c>
      <c r="C64" s="137" t="s">
        <v>34</v>
      </c>
      <c r="D64" s="133" t="s">
        <v>40</v>
      </c>
      <c r="E64" s="134" t="s">
        <v>37</v>
      </c>
      <c r="F64" s="471" t="s">
        <v>1977</v>
      </c>
      <c r="G64" s="135" t="str">
        <f>VLOOKUP(A64,Plano_V3!$A$26:$G$768,7,0)</f>
        <v>1. Concluído</v>
      </c>
      <c r="H64" s="135" t="s">
        <v>612</v>
      </c>
      <c r="I64" s="467" t="s">
        <v>2414</v>
      </c>
      <c r="J64" s="355" t="s">
        <v>2242</v>
      </c>
      <c r="K64" s="355"/>
      <c r="L64" s="364"/>
      <c r="M64" s="364"/>
      <c r="N64" s="355"/>
      <c r="O64" s="355"/>
      <c r="P64" s="343" t="str">
        <f>IF(VLOOKUP(A64,'Aux - pivots1'!$A:$E,3,0)=0, "",VLOOKUP(A64,'Aux - pivots1'!$A:$E,3,0))</f>
        <v/>
      </c>
      <c r="Q64" s="343" t="str">
        <f>IF(VLOOKUP(A64,'Aux - pivots1'!$A:$E,4,0)=0, "",VLOOKUP(A64,'Aux - pivots1'!$A:$E,4,0))</f>
        <v/>
      </c>
      <c r="R64" s="152" t="str">
        <f>IF(VLOOKUP(A64,'Aux - pivots1'!$A:$E,5,0)=0, "",VLOOKUP(A64,'Aux - pivots1'!$A:$E,5,0))</f>
        <v/>
      </c>
      <c r="S64" s="198"/>
      <c r="T64" s="198"/>
      <c r="U64" s="199"/>
      <c r="V64" s="368"/>
      <c r="W64" s="368"/>
      <c r="X64" s="368"/>
      <c r="Y64" s="368" t="s">
        <v>2322</v>
      </c>
      <c r="Z64" s="368"/>
    </row>
    <row r="65" spans="1:26" ht="16.399999999999999" hidden="1" customHeight="1">
      <c r="A65" s="29" t="str">
        <f t="shared" si="0"/>
        <v>ENERGY_CERTIFICATE_EST_INPUTNUMERO_VIA</v>
      </c>
      <c r="B65" s="141" t="s">
        <v>26</v>
      </c>
      <c r="C65" s="137" t="s">
        <v>34</v>
      </c>
      <c r="D65" s="133" t="s">
        <v>40</v>
      </c>
      <c r="E65" s="134" t="s">
        <v>37</v>
      </c>
      <c r="F65" s="471" t="s">
        <v>1978</v>
      </c>
      <c r="G65" s="135" t="str">
        <f>VLOOKUP(A65,Plano_V3!$A$26:$G$768,7,0)</f>
        <v>1. Concluído</v>
      </c>
      <c r="H65" s="135" t="s">
        <v>612</v>
      </c>
      <c r="I65" s="467" t="s">
        <v>2414</v>
      </c>
      <c r="J65" s="355" t="s">
        <v>2242</v>
      </c>
      <c r="K65" s="355"/>
      <c r="L65" s="364"/>
      <c r="M65" s="364"/>
      <c r="N65" s="355"/>
      <c r="O65" s="355"/>
      <c r="P65" s="343" t="str">
        <f>IF(VLOOKUP(A65,'Aux - pivots1'!$A:$E,3,0)=0, "",VLOOKUP(A65,'Aux - pivots1'!$A:$E,3,0))</f>
        <v/>
      </c>
      <c r="Q65" s="343" t="str">
        <f>IF(VLOOKUP(A65,'Aux - pivots1'!$A:$E,4,0)=0, "",VLOOKUP(A65,'Aux - pivots1'!$A:$E,4,0))</f>
        <v/>
      </c>
      <c r="R65" s="152" t="str">
        <f>IF(VLOOKUP(A65,'Aux - pivots1'!$A:$E,5,0)=0, "",VLOOKUP(A65,'Aux - pivots1'!$A:$E,5,0))</f>
        <v/>
      </c>
      <c r="S65" s="198"/>
      <c r="T65" s="198"/>
      <c r="U65" s="199"/>
      <c r="V65" s="368"/>
      <c r="W65" s="368"/>
      <c r="X65" s="368"/>
      <c r="Y65" s="368" t="s">
        <v>2322</v>
      </c>
      <c r="Z65" s="368"/>
    </row>
    <row r="66" spans="1:26" ht="16.399999999999999" hidden="1" customHeight="1">
      <c r="A66" s="29" t="str">
        <f t="shared" si="0"/>
        <v>ENERGY_CERTIFICATE_EST_INPUTLOTE</v>
      </c>
      <c r="B66" s="141" t="s">
        <v>26</v>
      </c>
      <c r="C66" s="137" t="s">
        <v>34</v>
      </c>
      <c r="D66" s="133" t="s">
        <v>40</v>
      </c>
      <c r="E66" s="134" t="s">
        <v>37</v>
      </c>
      <c r="F66" s="471" t="s">
        <v>1979</v>
      </c>
      <c r="G66" s="135" t="str">
        <f>VLOOKUP(A66,Plano_V3!$A$26:$G$768,7,0)</f>
        <v>1. Concluído</v>
      </c>
      <c r="H66" s="135" t="s">
        <v>612</v>
      </c>
      <c r="I66" s="467" t="s">
        <v>2414</v>
      </c>
      <c r="J66" s="355" t="s">
        <v>2242</v>
      </c>
      <c r="K66" s="355"/>
      <c r="L66" s="364"/>
      <c r="M66" s="364"/>
      <c r="N66" s="355"/>
      <c r="O66" s="355"/>
      <c r="P66" s="343" t="str">
        <f>IF(VLOOKUP(A66,'Aux - pivots1'!$A:$E,3,0)=0, "",VLOOKUP(A66,'Aux - pivots1'!$A:$E,3,0))</f>
        <v/>
      </c>
      <c r="Q66" s="343" t="str">
        <f>IF(VLOOKUP(A66,'Aux - pivots1'!$A:$E,4,0)=0, "",VLOOKUP(A66,'Aux - pivots1'!$A:$E,4,0))</f>
        <v/>
      </c>
      <c r="R66" s="152" t="str">
        <f>IF(VLOOKUP(A66,'Aux - pivots1'!$A:$E,5,0)=0, "",VLOOKUP(A66,'Aux - pivots1'!$A:$E,5,0))</f>
        <v/>
      </c>
      <c r="S66" s="198"/>
      <c r="T66" s="198"/>
      <c r="U66" s="199"/>
      <c r="V66" s="368"/>
      <c r="W66" s="368"/>
      <c r="X66" s="368"/>
      <c r="Y66" s="368" t="s">
        <v>2322</v>
      </c>
      <c r="Z66" s="368"/>
    </row>
    <row r="67" spans="1:26" ht="16.399999999999999" hidden="1" customHeight="1">
      <c r="A67" s="29" t="str">
        <f t="shared" si="0"/>
        <v>ENERGY_CERTIFICATE_EST_INPUTURBANIZACION</v>
      </c>
      <c r="B67" s="141" t="s">
        <v>26</v>
      </c>
      <c r="C67" s="137" t="s">
        <v>34</v>
      </c>
      <c r="D67" s="133" t="s">
        <v>40</v>
      </c>
      <c r="E67" s="134" t="s">
        <v>37</v>
      </c>
      <c r="F67" s="471" t="s">
        <v>1980</v>
      </c>
      <c r="G67" s="135" t="str">
        <f>VLOOKUP(A67,Plano_V3!$A$26:$G$768,7,0)</f>
        <v>1. Concluído</v>
      </c>
      <c r="H67" s="135" t="s">
        <v>612</v>
      </c>
      <c r="I67" s="467" t="s">
        <v>2414</v>
      </c>
      <c r="J67" s="355" t="s">
        <v>2242</v>
      </c>
      <c r="K67" s="355"/>
      <c r="L67" s="364"/>
      <c r="M67" s="364"/>
      <c r="N67" s="355"/>
      <c r="O67" s="355"/>
      <c r="P67" s="343" t="str">
        <f>IF(VLOOKUP(A67,'Aux - pivots1'!$A:$E,3,0)=0, "",VLOOKUP(A67,'Aux - pivots1'!$A:$E,3,0))</f>
        <v/>
      </c>
      <c r="Q67" s="343" t="str">
        <f>IF(VLOOKUP(A67,'Aux - pivots1'!$A:$E,4,0)=0, "",VLOOKUP(A67,'Aux - pivots1'!$A:$E,4,0))</f>
        <v/>
      </c>
      <c r="R67" s="152" t="str">
        <f>IF(VLOOKUP(A67,'Aux - pivots1'!$A:$E,5,0)=0, "",VLOOKUP(A67,'Aux - pivots1'!$A:$E,5,0))</f>
        <v/>
      </c>
      <c r="S67" s="198"/>
      <c r="T67" s="198"/>
      <c r="U67" s="199"/>
      <c r="V67" s="368"/>
      <c r="W67" s="368"/>
      <c r="X67" s="368"/>
      <c r="Y67" s="368" t="s">
        <v>2322</v>
      </c>
      <c r="Z67" s="368"/>
    </row>
    <row r="68" spans="1:26" ht="16.399999999999999" hidden="1" customHeight="1">
      <c r="A68" s="29" t="str">
        <f t="shared" si="0"/>
        <v>ENERGY_CERTIFICATE_EST_INPUTCAGLURB</v>
      </c>
      <c r="B68" s="141" t="s">
        <v>26</v>
      </c>
      <c r="C68" s="137" t="s">
        <v>34</v>
      </c>
      <c r="D68" s="133" t="s">
        <v>40</v>
      </c>
      <c r="E68" s="134" t="s">
        <v>37</v>
      </c>
      <c r="F68" s="471" t="s">
        <v>1981</v>
      </c>
      <c r="G68" s="135" t="str">
        <f>VLOOKUP(A68,Plano_V3!$A$26:$G$768,7,0)</f>
        <v>1. Concluído</v>
      </c>
      <c r="H68" s="135" t="s">
        <v>612</v>
      </c>
      <c r="I68" s="467" t="s">
        <v>2414</v>
      </c>
      <c r="J68" s="355" t="s">
        <v>2242</v>
      </c>
      <c r="K68" s="355"/>
      <c r="L68" s="364"/>
      <c r="M68" s="364"/>
      <c r="N68" s="355"/>
      <c r="O68" s="355"/>
      <c r="P68" s="343" t="str">
        <f>IF(VLOOKUP(A68,'Aux - pivots1'!$A:$E,3,0)=0, "",VLOOKUP(A68,'Aux - pivots1'!$A:$E,3,0))</f>
        <v/>
      </c>
      <c r="Q68" s="343" t="str">
        <f>IF(VLOOKUP(A68,'Aux - pivots1'!$A:$E,4,0)=0, "",VLOOKUP(A68,'Aux - pivots1'!$A:$E,4,0))</f>
        <v/>
      </c>
      <c r="R68" s="152" t="str">
        <f>IF(VLOOKUP(A68,'Aux - pivots1'!$A:$E,5,0)=0, "",VLOOKUP(A68,'Aux - pivots1'!$A:$E,5,0))</f>
        <v/>
      </c>
      <c r="S68" s="198"/>
      <c r="T68" s="198"/>
      <c r="U68" s="199"/>
      <c r="V68" s="368"/>
      <c r="W68" s="368"/>
      <c r="X68" s="368"/>
      <c r="Y68" s="368" t="s">
        <v>2322</v>
      </c>
      <c r="Z68" s="368"/>
    </row>
    <row r="69" spans="1:26" ht="16.399999999999999" hidden="1" customHeight="1">
      <c r="A69" s="29" t="str">
        <f t="shared" si="0"/>
        <v>ENERGY_CERTIFICATE_EST_INPUTRESTO_DIRECCION</v>
      </c>
      <c r="B69" s="141" t="s">
        <v>26</v>
      </c>
      <c r="C69" s="137" t="s">
        <v>34</v>
      </c>
      <c r="D69" s="133" t="s">
        <v>40</v>
      </c>
      <c r="E69" s="134" t="s">
        <v>37</v>
      </c>
      <c r="F69" s="471" t="s">
        <v>1982</v>
      </c>
      <c r="G69" s="135" t="str">
        <f>VLOOKUP(A69,Plano_V3!$A$26:$G$768,7,0)</f>
        <v>1. Concluído</v>
      </c>
      <c r="H69" s="135" t="s">
        <v>612</v>
      </c>
      <c r="I69" s="467" t="s">
        <v>2414</v>
      </c>
      <c r="J69" s="355" t="s">
        <v>2242</v>
      </c>
      <c r="K69" s="355"/>
      <c r="L69" s="364"/>
      <c r="M69" s="364"/>
      <c r="N69" s="355"/>
      <c r="O69" s="355"/>
      <c r="P69" s="343" t="str">
        <f>IF(VLOOKUP(A69,'Aux - pivots1'!$A:$E,3,0)=0, "",VLOOKUP(A69,'Aux - pivots1'!$A:$E,3,0))</f>
        <v/>
      </c>
      <c r="Q69" s="343" t="str">
        <f>IF(VLOOKUP(A69,'Aux - pivots1'!$A:$E,4,0)=0, "",VLOOKUP(A69,'Aux - pivots1'!$A:$E,4,0))</f>
        <v/>
      </c>
      <c r="R69" s="152" t="str">
        <f>IF(VLOOKUP(A69,'Aux - pivots1'!$A:$E,5,0)=0, "",VLOOKUP(A69,'Aux - pivots1'!$A:$E,5,0))</f>
        <v/>
      </c>
      <c r="S69" s="198"/>
      <c r="T69" s="198"/>
      <c r="U69" s="199"/>
      <c r="V69" s="368"/>
      <c r="W69" s="368"/>
      <c r="X69" s="368"/>
      <c r="Y69" s="368" t="s">
        <v>2322</v>
      </c>
      <c r="Z69" s="368"/>
    </row>
    <row r="70" spans="1:26" ht="16.399999999999999" hidden="1" customHeight="1">
      <c r="A70" s="29" t="str">
        <f t="shared" si="0"/>
        <v>ENERGY_CERTIFICATE_EST_INPUTLATITUDE</v>
      </c>
      <c r="B70" s="141" t="s">
        <v>26</v>
      </c>
      <c r="C70" s="137" t="s">
        <v>34</v>
      </c>
      <c r="D70" s="133" t="s">
        <v>40</v>
      </c>
      <c r="E70" s="134" t="s">
        <v>37</v>
      </c>
      <c r="F70" s="471" t="s">
        <v>1983</v>
      </c>
      <c r="G70" s="135" t="str">
        <f>VLOOKUP(A70,Plano_V3!$A$26:$G$768,7,0)</f>
        <v>1. Concluído</v>
      </c>
      <c r="H70" s="135" t="s">
        <v>612</v>
      </c>
      <c r="I70" s="467" t="s">
        <v>2414</v>
      </c>
      <c r="J70" s="355" t="s">
        <v>2242</v>
      </c>
      <c r="K70" s="355"/>
      <c r="L70" s="364"/>
      <c r="M70" s="364"/>
      <c r="N70" s="355"/>
      <c r="O70" s="355"/>
      <c r="P70" s="343" t="str">
        <f>IF(VLOOKUP(A70,'Aux - pivots1'!$A:$E,3,0)=0, "",VLOOKUP(A70,'Aux - pivots1'!$A:$E,3,0))</f>
        <v/>
      </c>
      <c r="Q70" s="343" t="str">
        <f>IF(VLOOKUP(A70,'Aux - pivots1'!$A:$E,4,0)=0, "",VLOOKUP(A70,'Aux - pivots1'!$A:$E,4,0))</f>
        <v/>
      </c>
      <c r="R70" s="152" t="str">
        <f>IF(VLOOKUP(A70,'Aux - pivots1'!$A:$E,5,0)=0, "",VLOOKUP(A70,'Aux - pivots1'!$A:$E,5,0))</f>
        <v/>
      </c>
      <c r="S70" s="198"/>
      <c r="T70" s="198"/>
      <c r="U70" s="199"/>
      <c r="V70" s="368"/>
      <c r="W70" s="368"/>
      <c r="X70" s="368"/>
      <c r="Y70" s="368" t="s">
        <v>2322</v>
      </c>
      <c r="Z70" s="368"/>
    </row>
    <row r="71" spans="1:26" ht="16.399999999999999" hidden="1" customHeight="1">
      <c r="A71" s="29" t="str">
        <f>E71&amp;F71</f>
        <v>ENERGY_CERTIFICATE_EST_INPUTLONGITUDE</v>
      </c>
      <c r="B71" s="141" t="s">
        <v>26</v>
      </c>
      <c r="C71" s="137" t="s">
        <v>34</v>
      </c>
      <c r="D71" s="133" t="s">
        <v>40</v>
      </c>
      <c r="E71" s="134" t="s">
        <v>37</v>
      </c>
      <c r="F71" s="471" t="s">
        <v>1984</v>
      </c>
      <c r="G71" s="135" t="str">
        <f>VLOOKUP(A71,Plano_V3!$A$26:$G$768,7,0)</f>
        <v>1. Concluído</v>
      </c>
      <c r="H71" s="135" t="s">
        <v>612</v>
      </c>
      <c r="I71" s="467" t="s">
        <v>2414</v>
      </c>
      <c r="J71" s="355" t="s">
        <v>2242</v>
      </c>
      <c r="K71" s="355"/>
      <c r="L71" s="364"/>
      <c r="M71" s="364"/>
      <c r="N71" s="355"/>
      <c r="O71" s="355"/>
      <c r="P71" s="343" t="str">
        <f>IF(VLOOKUP(A71,'Aux - pivots1'!$A:$E,3,0)=0, "",VLOOKUP(A71,'Aux - pivots1'!$A:$E,3,0))</f>
        <v/>
      </c>
      <c r="Q71" s="343" t="str">
        <f>IF(VLOOKUP(A71,'Aux - pivots1'!$A:$E,4,0)=0, "",VLOOKUP(A71,'Aux - pivots1'!$A:$E,4,0))</f>
        <v/>
      </c>
      <c r="R71" s="152" t="str">
        <f>IF(VLOOKUP(A71,'Aux - pivots1'!$A:$E,5,0)=0, "",VLOOKUP(A71,'Aux - pivots1'!$A:$E,5,0))</f>
        <v/>
      </c>
      <c r="S71" s="198"/>
      <c r="T71" s="198"/>
      <c r="U71" s="199"/>
      <c r="V71" s="368"/>
      <c r="W71" s="368"/>
      <c r="X71" s="368"/>
      <c r="Y71" s="368" t="s">
        <v>2322</v>
      </c>
      <c r="Z71" s="368"/>
    </row>
    <row r="72" spans="1:26" ht="16.399999999999999" hidden="1" customHeight="1">
      <c r="A72" s="29" t="str">
        <f t="shared" si="0"/>
        <v>ENERGY_CERTIFICATE_EST_INPUTCODIGO_POSTAL</v>
      </c>
      <c r="B72" s="141" t="s">
        <v>26</v>
      </c>
      <c r="C72" s="137" t="s">
        <v>34</v>
      </c>
      <c r="D72" s="133" t="s">
        <v>40</v>
      </c>
      <c r="E72" s="134" t="s">
        <v>37</v>
      </c>
      <c r="F72" s="471" t="s">
        <v>1985</v>
      </c>
      <c r="G72" s="135" t="str">
        <f>VLOOKUP(A72,Plano_V3!$A$26:$G$768,7,0)</f>
        <v>1. Concluído</v>
      </c>
      <c r="H72" s="135" t="s">
        <v>612</v>
      </c>
      <c r="I72" s="467" t="s">
        <v>2414</v>
      </c>
      <c r="J72" s="355" t="s">
        <v>2242</v>
      </c>
      <c r="K72" s="355"/>
      <c r="L72" s="364"/>
      <c r="M72" s="364"/>
      <c r="N72" s="355"/>
      <c r="O72" s="355"/>
      <c r="P72" s="343" t="str">
        <f>IF(VLOOKUP(A72,'Aux - pivots1'!$A:$E,3,0)=0, "",VLOOKUP(A72,'Aux - pivots1'!$A:$E,3,0))</f>
        <v/>
      </c>
      <c r="Q72" s="343" t="str">
        <f>IF(VLOOKUP(A72,'Aux - pivots1'!$A:$E,4,0)=0, "",VLOOKUP(A72,'Aux - pivots1'!$A:$E,4,0))</f>
        <v/>
      </c>
      <c r="R72" s="152" t="str">
        <f>IF(VLOOKUP(A72,'Aux - pivots1'!$A:$E,5,0)=0, "",VLOOKUP(A72,'Aux - pivots1'!$A:$E,5,0))</f>
        <v/>
      </c>
      <c r="S72" s="198"/>
      <c r="T72" s="198"/>
      <c r="U72" s="199"/>
      <c r="V72" s="368"/>
      <c r="W72" s="368"/>
      <c r="X72" s="368"/>
      <c r="Y72" s="368" t="s">
        <v>2322</v>
      </c>
      <c r="Z72" s="368"/>
    </row>
    <row r="73" spans="1:26" ht="16.399999999999999" hidden="1" customHeight="1">
      <c r="A73" s="29" t="str">
        <f t="shared" ref="A73:A136" si="1">E73&amp;F73</f>
        <v>ENERGY_CERTIFICATE_EST_INPUTSUBCODIGO_POSTAL</v>
      </c>
      <c r="B73" s="141" t="s">
        <v>26</v>
      </c>
      <c r="C73" s="137" t="s">
        <v>34</v>
      </c>
      <c r="D73" s="133" t="s">
        <v>40</v>
      </c>
      <c r="E73" s="134" t="s">
        <v>37</v>
      </c>
      <c r="F73" s="471" t="s">
        <v>1986</v>
      </c>
      <c r="G73" s="135" t="str">
        <f>VLOOKUP(A73,Plano_V3!$A$26:$G$768,7,0)</f>
        <v>1. Concluído</v>
      </c>
      <c r="H73" s="135" t="s">
        <v>612</v>
      </c>
      <c r="I73" s="467" t="s">
        <v>2414</v>
      </c>
      <c r="J73" s="355" t="s">
        <v>2242</v>
      </c>
      <c r="K73" s="355"/>
      <c r="L73" s="364"/>
      <c r="M73" s="364"/>
      <c r="N73" s="355"/>
      <c r="O73" s="355"/>
      <c r="P73" s="343" t="str">
        <f>IF(VLOOKUP(A73,'Aux - pivots1'!$A:$E,3,0)=0, "",VLOOKUP(A73,'Aux - pivots1'!$A:$E,3,0))</f>
        <v/>
      </c>
      <c r="Q73" s="343" t="str">
        <f>IF(VLOOKUP(A73,'Aux - pivots1'!$A:$E,4,0)=0, "",VLOOKUP(A73,'Aux - pivots1'!$A:$E,4,0))</f>
        <v/>
      </c>
      <c r="R73" s="152" t="str">
        <f>IF(VLOOKUP(A73,'Aux - pivots1'!$A:$E,5,0)=0, "",VLOOKUP(A73,'Aux - pivots1'!$A:$E,5,0))</f>
        <v/>
      </c>
      <c r="S73" s="198"/>
      <c r="T73" s="198"/>
      <c r="U73" s="199"/>
      <c r="V73" s="368"/>
      <c r="W73" s="368"/>
      <c r="X73" s="368"/>
      <c r="Y73" s="368" t="s">
        <v>2322</v>
      </c>
      <c r="Z73" s="368"/>
    </row>
    <row r="74" spans="1:26" ht="16.399999999999999" hidden="1" customHeight="1">
      <c r="A74" s="29" t="str">
        <f t="shared" si="1"/>
        <v>ENERGY_CERTIFICATE_EST_INPUTASSUPERFICIE_UTIL</v>
      </c>
      <c r="B74" s="141" t="s">
        <v>26</v>
      </c>
      <c r="C74" s="137" t="s">
        <v>34</v>
      </c>
      <c r="D74" s="133" t="s">
        <v>40</v>
      </c>
      <c r="E74" s="134" t="s">
        <v>37</v>
      </c>
      <c r="F74" s="471" t="s">
        <v>1987</v>
      </c>
      <c r="G74" s="135" t="str">
        <f>VLOOKUP(A74,Plano_V3!$A$26:$G$768,7,0)</f>
        <v>1. Concluído</v>
      </c>
      <c r="H74" s="135" t="s">
        <v>612</v>
      </c>
      <c r="I74" s="467" t="s">
        <v>2414</v>
      </c>
      <c r="J74" s="355" t="s">
        <v>2242</v>
      </c>
      <c r="K74" s="355"/>
      <c r="L74" s="364"/>
      <c r="M74" s="364"/>
      <c r="N74" s="355"/>
      <c r="O74" s="355"/>
      <c r="P74" s="343" t="str">
        <f>IF(VLOOKUP(A74,'Aux - pivots1'!$A:$E,3,0)=0, "",VLOOKUP(A74,'Aux - pivots1'!$A:$E,3,0))</f>
        <v/>
      </c>
      <c r="Q74" s="343" t="str">
        <f>IF(VLOOKUP(A74,'Aux - pivots1'!$A:$E,4,0)=0, "",VLOOKUP(A74,'Aux - pivots1'!$A:$E,4,0))</f>
        <v/>
      </c>
      <c r="R74" s="152" t="str">
        <f>IF(VLOOKUP(A74,'Aux - pivots1'!$A:$E,5,0)=0, "",VLOOKUP(A74,'Aux - pivots1'!$A:$E,5,0))</f>
        <v/>
      </c>
      <c r="S74" s="198"/>
      <c r="T74" s="198"/>
      <c r="U74" s="199"/>
      <c r="V74" s="368"/>
      <c r="W74" s="368"/>
      <c r="X74" s="368"/>
      <c r="Y74" s="368" t="s">
        <v>2322</v>
      </c>
      <c r="Z74" s="368"/>
    </row>
    <row r="75" spans="1:26" ht="16.399999999999999" hidden="1" customHeight="1">
      <c r="A75" s="29" t="str">
        <f t="shared" si="1"/>
        <v>ENERGY_CERTIFICATE_EST_INPUTANIO_CONSTRUCCION</v>
      </c>
      <c r="B75" s="141" t="s">
        <v>26</v>
      </c>
      <c r="C75" s="137" t="s">
        <v>34</v>
      </c>
      <c r="D75" s="133" t="s">
        <v>40</v>
      </c>
      <c r="E75" s="134" t="s">
        <v>37</v>
      </c>
      <c r="F75" s="471" t="s">
        <v>1988</v>
      </c>
      <c r="G75" s="135" t="str">
        <f>VLOOKUP(A75,Plano_V3!$A$26:$G$768,7,0)</f>
        <v>1. Concluído</v>
      </c>
      <c r="H75" s="135" t="s">
        <v>612</v>
      </c>
      <c r="I75" s="467" t="s">
        <v>2414</v>
      </c>
      <c r="J75" s="355" t="s">
        <v>2242</v>
      </c>
      <c r="K75" s="355"/>
      <c r="L75" s="364"/>
      <c r="M75" s="364"/>
      <c r="N75" s="355"/>
      <c r="O75" s="355"/>
      <c r="P75" s="343" t="str">
        <f>IF(VLOOKUP(A75,'Aux - pivots1'!$A:$E,3,0)=0, "",VLOOKUP(A75,'Aux - pivots1'!$A:$E,3,0))</f>
        <v/>
      </c>
      <c r="Q75" s="343" t="str">
        <f>IF(VLOOKUP(A75,'Aux - pivots1'!$A:$E,4,0)=0, "",VLOOKUP(A75,'Aux - pivots1'!$A:$E,4,0))</f>
        <v/>
      </c>
      <c r="R75" s="152" t="str">
        <f>IF(VLOOKUP(A75,'Aux - pivots1'!$A:$E,5,0)=0, "",VLOOKUP(A75,'Aux - pivots1'!$A:$E,5,0))</f>
        <v/>
      </c>
      <c r="S75" s="198"/>
      <c r="T75" s="198"/>
      <c r="U75" s="199"/>
      <c r="V75" s="368"/>
      <c r="W75" s="368"/>
      <c r="X75" s="368"/>
      <c r="Y75" s="368" t="s">
        <v>2322</v>
      </c>
      <c r="Z75" s="368"/>
    </row>
    <row r="76" spans="1:26" ht="16.399999999999999" hidden="1" customHeight="1">
      <c r="A76" s="29" t="str">
        <f t="shared" si="1"/>
        <v>ENERGY_CERTIFICATE_EST_INPUTTIPO_INMUEBLE_HABITACAO</v>
      </c>
      <c r="B76" s="141" t="s">
        <v>26</v>
      </c>
      <c r="C76" s="137" t="s">
        <v>34</v>
      </c>
      <c r="D76" s="133" t="s">
        <v>40</v>
      </c>
      <c r="E76" s="134" t="s">
        <v>37</v>
      </c>
      <c r="F76" s="471" t="s">
        <v>1989</v>
      </c>
      <c r="G76" s="135" t="str">
        <f>VLOOKUP(A76,Plano_V3!$A$26:$G$768,7,0)</f>
        <v>1. Concluído</v>
      </c>
      <c r="H76" s="135" t="s">
        <v>612</v>
      </c>
      <c r="I76" s="467" t="s">
        <v>2414</v>
      </c>
      <c r="J76" s="355" t="s">
        <v>2242</v>
      </c>
      <c r="K76" s="355"/>
      <c r="L76" s="364"/>
      <c r="M76" s="364"/>
      <c r="N76" s="355"/>
      <c r="O76" s="355"/>
      <c r="P76" s="343" t="str">
        <f>IF(VLOOKUP(A76,'Aux - pivots1'!$A:$E,3,0)=0, "",VLOOKUP(A76,'Aux - pivots1'!$A:$E,3,0))</f>
        <v/>
      </c>
      <c r="Q76" s="343" t="str">
        <f>IF(VLOOKUP(A76,'Aux - pivots1'!$A:$E,4,0)=0, "",VLOOKUP(A76,'Aux - pivots1'!$A:$E,4,0))</f>
        <v/>
      </c>
      <c r="R76" s="152" t="str">
        <f>IF(VLOOKUP(A76,'Aux - pivots1'!$A:$E,5,0)=0, "",VLOOKUP(A76,'Aux - pivots1'!$A:$E,5,0))</f>
        <v/>
      </c>
      <c r="S76" s="198"/>
      <c r="T76" s="198"/>
      <c r="U76" s="199"/>
      <c r="V76" s="368"/>
      <c r="W76" s="368"/>
      <c r="X76" s="368"/>
      <c r="Y76" s="368" t="s">
        <v>2322</v>
      </c>
      <c r="Z76" s="368"/>
    </row>
    <row r="77" spans="1:26" ht="16.399999999999999" hidden="1" customHeight="1">
      <c r="A77" s="29" t="str">
        <f t="shared" si="1"/>
        <v>ENERGY_CERTIFICATE_EST_INPUTPISO_APARTAMENTO</v>
      </c>
      <c r="B77" s="141" t="s">
        <v>26</v>
      </c>
      <c r="C77" s="137" t="s">
        <v>34</v>
      </c>
      <c r="D77" s="133" t="s">
        <v>40</v>
      </c>
      <c r="E77" s="134" t="s">
        <v>37</v>
      </c>
      <c r="F77" s="471" t="s">
        <v>1990</v>
      </c>
      <c r="G77" s="135" t="str">
        <f>VLOOKUP(A77,Plano_V3!$A$26:$G$768,7,0)</f>
        <v>1. Concluído</v>
      </c>
      <c r="H77" s="135" t="s">
        <v>612</v>
      </c>
      <c r="I77" s="467" t="s">
        <v>2414</v>
      </c>
      <c r="J77" s="355" t="s">
        <v>2242</v>
      </c>
      <c r="K77" s="355"/>
      <c r="L77" s="364"/>
      <c r="M77" s="364"/>
      <c r="N77" s="355"/>
      <c r="O77" s="355"/>
      <c r="P77" s="343" t="str">
        <f>IF(VLOOKUP(A77,'Aux - pivots1'!$A:$E,3,0)=0, "",VLOOKUP(A77,'Aux - pivots1'!$A:$E,3,0))</f>
        <v/>
      </c>
      <c r="Q77" s="343" t="str">
        <f>IF(VLOOKUP(A77,'Aux - pivots1'!$A:$E,4,0)=0, "",VLOOKUP(A77,'Aux - pivots1'!$A:$E,4,0))</f>
        <v/>
      </c>
      <c r="R77" s="152" t="str">
        <f>IF(VLOOKUP(A77,'Aux - pivots1'!$A:$E,5,0)=0, "",VLOOKUP(A77,'Aux - pivots1'!$A:$E,5,0))</f>
        <v/>
      </c>
      <c r="S77" s="198"/>
      <c r="T77" s="198"/>
      <c r="U77" s="199"/>
      <c r="V77" s="368"/>
      <c r="W77" s="368"/>
      <c r="X77" s="368"/>
      <c r="Y77" s="368" t="s">
        <v>2322</v>
      </c>
      <c r="Z77" s="368"/>
    </row>
    <row r="78" spans="1:26" ht="16.399999999999999" hidden="1" customHeight="1">
      <c r="A78" s="29" t="str">
        <f t="shared" si="1"/>
        <v>ENERGY_CERTIFICATE_EST_INPUTCASA_UNIFAMILIAR</v>
      </c>
      <c r="B78" s="141" t="s">
        <v>26</v>
      </c>
      <c r="C78" s="137" t="s">
        <v>34</v>
      </c>
      <c r="D78" s="133" t="s">
        <v>40</v>
      </c>
      <c r="E78" s="134" t="s">
        <v>37</v>
      </c>
      <c r="F78" s="471" t="s">
        <v>1991</v>
      </c>
      <c r="G78" s="135" t="str">
        <f>VLOOKUP(A78,Plano_V3!$A$26:$G$768,7,0)</f>
        <v>1. Concluído</v>
      </c>
      <c r="H78" s="135" t="s">
        <v>612</v>
      </c>
      <c r="I78" s="467" t="s">
        <v>2414</v>
      </c>
      <c r="J78" s="355" t="s">
        <v>2242</v>
      </c>
      <c r="K78" s="355"/>
      <c r="L78" s="364"/>
      <c r="M78" s="364"/>
      <c r="N78" s="355"/>
      <c r="O78" s="355"/>
      <c r="P78" s="343" t="str">
        <f>IF(VLOOKUP(A78,'Aux - pivots1'!$A:$E,3,0)=0, "",VLOOKUP(A78,'Aux - pivots1'!$A:$E,3,0))</f>
        <v/>
      </c>
      <c r="Q78" s="343" t="str">
        <f>IF(VLOOKUP(A78,'Aux - pivots1'!$A:$E,4,0)=0, "",VLOOKUP(A78,'Aux - pivots1'!$A:$E,4,0))</f>
        <v/>
      </c>
      <c r="R78" s="152" t="str">
        <f>IF(VLOOKUP(A78,'Aux - pivots1'!$A:$E,5,0)=0, "",VLOOKUP(A78,'Aux - pivots1'!$A:$E,5,0))</f>
        <v/>
      </c>
      <c r="S78" s="198"/>
      <c r="T78" s="198"/>
      <c r="U78" s="199"/>
      <c r="V78" s="368"/>
      <c r="W78" s="368"/>
      <c r="X78" s="368"/>
      <c r="Y78" s="368" t="s">
        <v>2322</v>
      </c>
      <c r="Z78" s="368"/>
    </row>
    <row r="79" spans="1:26" ht="16.399999999999999" hidden="1" customHeight="1">
      <c r="A79" s="29" t="str">
        <f t="shared" si="1"/>
        <v>ENERGY_CERTIFICATE_EST_INPUTTIPO_INMUEBLE_COMERCIO_SERVICOS</v>
      </c>
      <c r="B79" s="141" t="s">
        <v>26</v>
      </c>
      <c r="C79" s="137" t="s">
        <v>34</v>
      </c>
      <c r="D79" s="133" t="s">
        <v>40</v>
      </c>
      <c r="E79" s="134" t="s">
        <v>37</v>
      </c>
      <c r="F79" s="471" t="s">
        <v>1992</v>
      </c>
      <c r="G79" s="135" t="str">
        <f>VLOOKUP(A79,Plano_V3!$A$26:$G$768,7,0)</f>
        <v>1. Concluído</v>
      </c>
      <c r="H79" s="135" t="s">
        <v>612</v>
      </c>
      <c r="I79" s="467" t="s">
        <v>2414</v>
      </c>
      <c r="J79" s="355" t="s">
        <v>2242</v>
      </c>
      <c r="K79" s="355"/>
      <c r="L79" s="364"/>
      <c r="M79" s="364"/>
      <c r="N79" s="355"/>
      <c r="O79" s="355"/>
      <c r="P79" s="343" t="str">
        <f>IF(VLOOKUP(A79,'Aux - pivots1'!$A:$E,3,0)=0, "",VLOOKUP(A79,'Aux - pivots1'!$A:$E,3,0))</f>
        <v/>
      </c>
      <c r="Q79" s="343" t="str">
        <f>IF(VLOOKUP(A79,'Aux - pivots1'!$A:$E,4,0)=0, "",VLOOKUP(A79,'Aux - pivots1'!$A:$E,4,0))</f>
        <v/>
      </c>
      <c r="R79" s="152" t="str">
        <f>IF(VLOOKUP(A79,'Aux - pivots1'!$A:$E,5,0)=0, "",VLOOKUP(A79,'Aux - pivots1'!$A:$E,5,0))</f>
        <v/>
      </c>
      <c r="S79" s="198"/>
      <c r="T79" s="198"/>
      <c r="U79" s="199"/>
      <c r="V79" s="368"/>
      <c r="W79" s="368"/>
      <c r="X79" s="368"/>
      <c r="Y79" s="368" t="s">
        <v>2322</v>
      </c>
      <c r="Z79" s="368"/>
    </row>
    <row r="80" spans="1:26" ht="16.399999999999999" hidden="1" customHeight="1">
      <c r="A80" s="29" t="str">
        <f t="shared" si="1"/>
        <v>ENERGY_CERTIFICATE_EST_INPUTNOME_CONSERVATORIA</v>
      </c>
      <c r="B80" s="141" t="s">
        <v>26</v>
      </c>
      <c r="C80" s="137" t="s">
        <v>34</v>
      </c>
      <c r="D80" s="133" t="s">
        <v>40</v>
      </c>
      <c r="E80" s="134" t="s">
        <v>37</v>
      </c>
      <c r="F80" s="471" t="s">
        <v>1993</v>
      </c>
      <c r="G80" s="135" t="str">
        <f>VLOOKUP(A80,Plano_V3!$A$26:$G$768,7,0)</f>
        <v>1. Concluído</v>
      </c>
      <c r="H80" s="135" t="s">
        <v>612</v>
      </c>
      <c r="I80" s="467" t="s">
        <v>2414</v>
      </c>
      <c r="J80" s="355" t="s">
        <v>2242</v>
      </c>
      <c r="K80" s="355"/>
      <c r="L80" s="364"/>
      <c r="M80" s="364"/>
      <c r="N80" s="355"/>
      <c r="O80" s="355"/>
      <c r="P80" s="343" t="str">
        <f>IF(VLOOKUP(A80,'Aux - pivots1'!$A:$E,3,0)=0, "",VLOOKUP(A80,'Aux - pivots1'!$A:$E,3,0))</f>
        <v/>
      </c>
      <c r="Q80" s="343" t="str">
        <f>IF(VLOOKUP(A80,'Aux - pivots1'!$A:$E,4,0)=0, "",VLOOKUP(A80,'Aux - pivots1'!$A:$E,4,0))</f>
        <v/>
      </c>
      <c r="R80" s="152" t="str">
        <f>IF(VLOOKUP(A80,'Aux - pivots1'!$A:$E,5,0)=0, "",VLOOKUP(A80,'Aux - pivots1'!$A:$E,5,0))</f>
        <v/>
      </c>
      <c r="S80" s="198"/>
      <c r="T80" s="198"/>
      <c r="U80" s="199"/>
      <c r="V80" s="368"/>
      <c r="W80" s="368"/>
      <c r="X80" s="368"/>
      <c r="Y80" s="368" t="s">
        <v>2322</v>
      </c>
      <c r="Z80" s="368"/>
    </row>
    <row r="81" spans="1:26" ht="16.399999999999999" hidden="1" customHeight="1">
      <c r="A81" s="29" t="str">
        <f t="shared" si="1"/>
        <v>ENERGY_CERTIFICATE_EST_INPUTCOD_CONSERVATORIA</v>
      </c>
      <c r="B81" s="141" t="s">
        <v>26</v>
      </c>
      <c r="C81" s="137" t="s">
        <v>34</v>
      </c>
      <c r="D81" s="133" t="s">
        <v>40</v>
      </c>
      <c r="E81" s="134" t="s">
        <v>37</v>
      </c>
      <c r="F81" s="471" t="s">
        <v>1994</v>
      </c>
      <c r="G81" s="135" t="str">
        <f>VLOOKUP(A81,Plano_V3!$A$26:$G$768,7,0)</f>
        <v>1. Concluído</v>
      </c>
      <c r="H81" s="135" t="s">
        <v>612</v>
      </c>
      <c r="I81" s="467" t="s">
        <v>2414</v>
      </c>
      <c r="J81" s="355" t="s">
        <v>2242</v>
      </c>
      <c r="K81" s="355"/>
      <c r="L81" s="364"/>
      <c r="M81" s="364"/>
      <c r="N81" s="355"/>
      <c r="O81" s="355"/>
      <c r="P81" s="343" t="str">
        <f>IF(VLOOKUP(A81,'Aux - pivots1'!$A:$E,3,0)=0, "",VLOOKUP(A81,'Aux - pivots1'!$A:$E,3,0))</f>
        <v/>
      </c>
      <c r="Q81" s="343" t="str">
        <f>IF(VLOOKUP(A81,'Aux - pivots1'!$A:$E,4,0)=0, "",VLOOKUP(A81,'Aux - pivots1'!$A:$E,4,0))</f>
        <v/>
      </c>
      <c r="R81" s="152" t="str">
        <f>IF(VLOOKUP(A81,'Aux - pivots1'!$A:$E,5,0)=0, "",VLOOKUP(A81,'Aux - pivots1'!$A:$E,5,0))</f>
        <v/>
      </c>
      <c r="S81" s="198"/>
      <c r="T81" s="198"/>
      <c r="U81" s="199"/>
      <c r="V81" s="368"/>
      <c r="W81" s="368"/>
      <c r="X81" s="368"/>
      <c r="Y81" s="368" t="s">
        <v>2322</v>
      </c>
      <c r="Z81" s="368"/>
    </row>
    <row r="82" spans="1:26" ht="16.399999999999999" hidden="1" customHeight="1">
      <c r="A82" s="29" t="str">
        <f t="shared" si="1"/>
        <v>ENERGY_CERTIFICATE_EST_INPUTREGISTRO_CONSERVATORIA</v>
      </c>
      <c r="B82" s="141" t="s">
        <v>26</v>
      </c>
      <c r="C82" s="137" t="s">
        <v>34</v>
      </c>
      <c r="D82" s="133" t="s">
        <v>40</v>
      </c>
      <c r="E82" s="134" t="s">
        <v>37</v>
      </c>
      <c r="F82" s="471" t="s">
        <v>1995</v>
      </c>
      <c r="G82" s="135" t="str">
        <f>VLOOKUP(A82,Plano_V3!$A$26:$G$768,7,0)</f>
        <v>1. Concluído</v>
      </c>
      <c r="H82" s="135" t="s">
        <v>612</v>
      </c>
      <c r="I82" s="467" t="s">
        <v>2414</v>
      </c>
      <c r="J82" s="355" t="s">
        <v>2242</v>
      </c>
      <c r="K82" s="355"/>
      <c r="L82" s="364"/>
      <c r="M82" s="364"/>
      <c r="N82" s="355"/>
      <c r="O82" s="355"/>
      <c r="P82" s="343" t="str">
        <f>IF(VLOOKUP(A82,'Aux - pivots1'!$A:$E,3,0)=0, "",VLOOKUP(A82,'Aux - pivots1'!$A:$E,3,0))</f>
        <v/>
      </c>
      <c r="Q82" s="343" t="str">
        <f>IF(VLOOKUP(A82,'Aux - pivots1'!$A:$E,4,0)=0, "",VLOOKUP(A82,'Aux - pivots1'!$A:$E,4,0))</f>
        <v/>
      </c>
      <c r="R82" s="152" t="str">
        <f>IF(VLOOKUP(A82,'Aux - pivots1'!$A:$E,5,0)=0, "",VLOOKUP(A82,'Aux - pivots1'!$A:$E,5,0))</f>
        <v/>
      </c>
      <c r="S82" s="198"/>
      <c r="T82" s="198"/>
      <c r="U82" s="199"/>
      <c r="V82" s="368"/>
      <c r="W82" s="368"/>
      <c r="X82" s="368"/>
      <c r="Y82" s="368" t="s">
        <v>2322</v>
      </c>
      <c r="Z82" s="368"/>
    </row>
    <row r="83" spans="1:26" ht="16.399999999999999" hidden="1" customHeight="1">
      <c r="A83" s="29" t="str">
        <f t="shared" si="1"/>
        <v>ENERGY_CERTIFICATE_EST_INPUTART_MATRICIAIS</v>
      </c>
      <c r="B83" s="141" t="s">
        <v>26</v>
      </c>
      <c r="C83" s="137" t="s">
        <v>34</v>
      </c>
      <c r="D83" s="133" t="s">
        <v>40</v>
      </c>
      <c r="E83" s="134" t="s">
        <v>37</v>
      </c>
      <c r="F83" s="471" t="s">
        <v>1996</v>
      </c>
      <c r="G83" s="135" t="str">
        <f>VLOOKUP(A83,Plano_V3!$A$26:$G$768,7,0)</f>
        <v>1. Concluído</v>
      </c>
      <c r="H83" s="135" t="s">
        <v>612</v>
      </c>
      <c r="I83" s="467" t="s">
        <v>2414</v>
      </c>
      <c r="J83" s="355" t="s">
        <v>2242</v>
      </c>
      <c r="K83" s="355"/>
      <c r="L83" s="364"/>
      <c r="M83" s="364"/>
      <c r="N83" s="355"/>
      <c r="O83" s="355"/>
      <c r="P83" s="343" t="str">
        <f>IF(VLOOKUP(A83,'Aux - pivots1'!$A:$E,3,0)=0, "",VLOOKUP(A83,'Aux - pivots1'!$A:$E,3,0))</f>
        <v/>
      </c>
      <c r="Q83" s="343" t="str">
        <f>IF(VLOOKUP(A83,'Aux - pivots1'!$A:$E,4,0)=0, "",VLOOKUP(A83,'Aux - pivots1'!$A:$E,4,0))</f>
        <v/>
      </c>
      <c r="R83" s="152" t="str">
        <f>IF(VLOOKUP(A83,'Aux - pivots1'!$A:$E,5,0)=0, "",VLOOKUP(A83,'Aux - pivots1'!$A:$E,5,0))</f>
        <v/>
      </c>
      <c r="S83" s="198"/>
      <c r="T83" s="198"/>
      <c r="U83" s="199"/>
      <c r="V83" s="368"/>
      <c r="W83" s="368"/>
      <c r="X83" s="368"/>
      <c r="Y83" s="368" t="s">
        <v>2322</v>
      </c>
      <c r="Z83" s="368"/>
    </row>
    <row r="84" spans="1:26" ht="16.399999999999999" hidden="1" customHeight="1">
      <c r="A84" s="29" t="str">
        <f t="shared" si="1"/>
        <v>ENERGY_CERTIFICATE_EST_INPUTFRACCAO_AUTONOMA</v>
      </c>
      <c r="B84" s="141" t="s">
        <v>26</v>
      </c>
      <c r="C84" s="137" t="s">
        <v>34</v>
      </c>
      <c r="D84" s="133" t="s">
        <v>40</v>
      </c>
      <c r="E84" s="134" t="s">
        <v>37</v>
      </c>
      <c r="F84" s="471" t="s">
        <v>1997</v>
      </c>
      <c r="G84" s="135" t="str">
        <f>VLOOKUP(A84,Plano_V3!$A$26:$G$768,7,0)</f>
        <v>1. Concluído</v>
      </c>
      <c r="H84" s="135" t="s">
        <v>612</v>
      </c>
      <c r="I84" s="467" t="s">
        <v>2414</v>
      </c>
      <c r="J84" s="355" t="s">
        <v>2242</v>
      </c>
      <c r="K84" s="355"/>
      <c r="L84" s="364"/>
      <c r="M84" s="364"/>
      <c r="N84" s="355"/>
      <c r="O84" s="355"/>
      <c r="P84" s="343" t="str">
        <f>IF(VLOOKUP(A84,'Aux - pivots1'!$A:$E,3,0)=0, "",VLOOKUP(A84,'Aux - pivots1'!$A:$E,3,0))</f>
        <v/>
      </c>
      <c r="Q84" s="343" t="str">
        <f>IF(VLOOKUP(A84,'Aux - pivots1'!$A:$E,4,0)=0, "",VLOOKUP(A84,'Aux - pivots1'!$A:$E,4,0))</f>
        <v/>
      </c>
      <c r="R84" s="152" t="str">
        <f>IF(VLOOKUP(A84,'Aux - pivots1'!$A:$E,5,0)=0, "",VLOOKUP(A84,'Aux - pivots1'!$A:$E,5,0))</f>
        <v/>
      </c>
      <c r="S84" s="198"/>
      <c r="T84" s="198"/>
      <c r="U84" s="199"/>
      <c r="V84" s="368"/>
      <c r="W84" s="368"/>
      <c r="X84" s="368"/>
      <c r="Y84" s="368" t="s">
        <v>2322</v>
      </c>
      <c r="Z84" s="368"/>
    </row>
    <row r="85" spans="1:26" ht="16.399999999999999" hidden="1" customHeight="1">
      <c r="A85" s="29" t="str">
        <f t="shared" si="1"/>
        <v>ENERGY_CERTIFICATE_EST_INPUTFINALIDADE_BEM</v>
      </c>
      <c r="B85" s="141" t="s">
        <v>26</v>
      </c>
      <c r="C85" s="137" t="s">
        <v>34</v>
      </c>
      <c r="D85" s="133" t="s">
        <v>40</v>
      </c>
      <c r="E85" s="134" t="s">
        <v>37</v>
      </c>
      <c r="F85" s="471" t="s">
        <v>1998</v>
      </c>
      <c r="G85" s="135" t="str">
        <f>VLOOKUP(A85,Plano_V3!$A$26:$G$768,7,0)</f>
        <v>1. Concluído</v>
      </c>
      <c r="H85" s="135" t="s">
        <v>612</v>
      </c>
      <c r="I85" s="467" t="s">
        <v>2414</v>
      </c>
      <c r="J85" s="355" t="s">
        <v>2242</v>
      </c>
      <c r="K85" s="355"/>
      <c r="L85" s="364"/>
      <c r="M85" s="364"/>
      <c r="N85" s="355"/>
      <c r="O85" s="355"/>
      <c r="P85" s="343" t="str">
        <f>IF(VLOOKUP(A85,'Aux - pivots1'!$A:$E,3,0)=0, "",VLOOKUP(A85,'Aux - pivots1'!$A:$E,3,0))</f>
        <v/>
      </c>
      <c r="Q85" s="343" t="str">
        <f>IF(VLOOKUP(A85,'Aux - pivots1'!$A:$E,4,0)=0, "",VLOOKUP(A85,'Aux - pivots1'!$A:$E,4,0))</f>
        <v/>
      </c>
      <c r="R85" s="152" t="str">
        <f>IF(VLOOKUP(A85,'Aux - pivots1'!$A:$E,5,0)=0, "",VLOOKUP(A85,'Aux - pivots1'!$A:$E,5,0))</f>
        <v/>
      </c>
      <c r="S85" s="198"/>
      <c r="T85" s="198"/>
      <c r="U85" s="199"/>
      <c r="V85" s="368"/>
      <c r="W85" s="368"/>
      <c r="X85" s="368"/>
      <c r="Y85" s="368" t="s">
        <v>2322</v>
      </c>
      <c r="Z85" s="368"/>
    </row>
    <row r="86" spans="1:26" ht="16.399999999999999" hidden="1" customHeight="1">
      <c r="A86" s="29" t="str">
        <f t="shared" si="1"/>
        <v>ENERGY_CERTIFICATE_EST_INPUTCLASS_GPT31</v>
      </c>
      <c r="B86" s="141" t="s">
        <v>26</v>
      </c>
      <c r="C86" s="137" t="s">
        <v>34</v>
      </c>
      <c r="D86" s="133" t="s">
        <v>40</v>
      </c>
      <c r="E86" s="134" t="s">
        <v>37</v>
      </c>
      <c r="F86" s="471" t="s">
        <v>1999</v>
      </c>
      <c r="G86" s="135" t="str">
        <f>VLOOKUP(A86,Plano_V3!$A$26:$G$768,7,0)</f>
        <v>1. Concluído</v>
      </c>
      <c r="H86" s="135" t="s">
        <v>612</v>
      </c>
      <c r="I86" s="467" t="s">
        <v>2414</v>
      </c>
      <c r="J86" s="355" t="s">
        <v>2242</v>
      </c>
      <c r="K86" s="355"/>
      <c r="L86" s="364"/>
      <c r="M86" s="364"/>
      <c r="N86" s="355"/>
      <c r="O86" s="355"/>
      <c r="P86" s="343" t="str">
        <f>IF(VLOOKUP(A86,'Aux - pivots1'!$A:$E,3,0)=0, "",VLOOKUP(A86,'Aux - pivots1'!$A:$E,3,0))</f>
        <v/>
      </c>
      <c r="Q86" s="343" t="str">
        <f>IF(VLOOKUP(A86,'Aux - pivots1'!$A:$E,4,0)=0, "",VLOOKUP(A86,'Aux - pivots1'!$A:$E,4,0))</f>
        <v/>
      </c>
      <c r="R86" s="152" t="str">
        <f>IF(VLOOKUP(A86,'Aux - pivots1'!$A:$E,5,0)=0, "",VLOOKUP(A86,'Aux - pivots1'!$A:$E,5,0))</f>
        <v/>
      </c>
      <c r="S86" s="198"/>
      <c r="T86" s="198"/>
      <c r="U86" s="199"/>
      <c r="V86" s="368"/>
      <c r="W86" s="368"/>
      <c r="X86" s="368"/>
      <c r="Y86" s="368" t="s">
        <v>2322</v>
      </c>
      <c r="Z86" s="368"/>
    </row>
    <row r="87" spans="1:26" ht="16.399999999999999" hidden="1" customHeight="1">
      <c r="A87" s="29" t="str">
        <f t="shared" si="1"/>
        <v>ENERGY_CERTIFICATE_EST_INPUTCLASS_STCLIM</v>
      </c>
      <c r="B87" s="141" t="s">
        <v>26</v>
      </c>
      <c r="C87" s="137" t="s">
        <v>34</v>
      </c>
      <c r="D87" s="133" t="s">
        <v>40</v>
      </c>
      <c r="E87" s="134" t="s">
        <v>37</v>
      </c>
      <c r="F87" s="471" t="s">
        <v>2000</v>
      </c>
      <c r="G87" s="135" t="str">
        <f>VLOOKUP(A87,Plano_V3!$A$26:$G$768,7,0)</f>
        <v>1. Concluído</v>
      </c>
      <c r="H87" s="135" t="s">
        <v>612</v>
      </c>
      <c r="I87" s="467" t="s">
        <v>2414</v>
      </c>
      <c r="J87" s="355" t="s">
        <v>2242</v>
      </c>
      <c r="K87" s="355"/>
      <c r="L87" s="364"/>
      <c r="M87" s="364"/>
      <c r="N87" s="355"/>
      <c r="O87" s="355"/>
      <c r="P87" s="343" t="str">
        <f>IF(VLOOKUP(A87,'Aux - pivots1'!$A:$E,3,0)=0, "",VLOOKUP(A87,'Aux - pivots1'!$A:$E,3,0))</f>
        <v/>
      </c>
      <c r="Q87" s="343" t="str">
        <f>IF(VLOOKUP(A87,'Aux - pivots1'!$A:$E,4,0)=0, "",VLOOKUP(A87,'Aux - pivots1'!$A:$E,4,0))</f>
        <v/>
      </c>
      <c r="R87" s="152" t="str">
        <f>IF(VLOOKUP(A87,'Aux - pivots1'!$A:$E,5,0)=0, "",VLOOKUP(A87,'Aux - pivots1'!$A:$E,5,0))</f>
        <v/>
      </c>
      <c r="S87" s="198"/>
      <c r="T87" s="198"/>
      <c r="U87" s="199"/>
      <c r="V87" s="368"/>
      <c r="W87" s="368"/>
      <c r="X87" s="368"/>
      <c r="Y87" s="368" t="s">
        <v>2322</v>
      </c>
      <c r="Z87" s="368"/>
    </row>
    <row r="88" spans="1:26" ht="16.399999999999999" hidden="1" customHeight="1">
      <c r="A88" s="29" t="str">
        <f t="shared" si="1"/>
        <v>ENERGY_CERTIFICATE_EST_INPUTCONF_STCLIM</v>
      </c>
      <c r="B88" s="141" t="s">
        <v>26</v>
      </c>
      <c r="C88" s="137" t="s">
        <v>34</v>
      </c>
      <c r="D88" s="133" t="s">
        <v>40</v>
      </c>
      <c r="E88" s="134" t="s">
        <v>37</v>
      </c>
      <c r="F88" s="471" t="s">
        <v>2001</v>
      </c>
      <c r="G88" s="135" t="str">
        <f>VLOOKUP(A88,Plano_V3!$A$26:$G$768,7,0)</f>
        <v>1. Concluído</v>
      </c>
      <c r="H88" s="135" t="s">
        <v>612</v>
      </c>
      <c r="I88" s="467" t="s">
        <v>2414</v>
      </c>
      <c r="J88" s="355" t="s">
        <v>2242</v>
      </c>
      <c r="K88" s="355"/>
      <c r="L88" s="364"/>
      <c r="M88" s="364"/>
      <c r="N88" s="355"/>
      <c r="O88" s="355"/>
      <c r="P88" s="343" t="str">
        <f>IF(VLOOKUP(A88,'Aux - pivots1'!$A:$E,3,0)=0, "",VLOOKUP(A88,'Aux - pivots1'!$A:$E,3,0))</f>
        <v/>
      </c>
      <c r="Q88" s="343" t="str">
        <f>IF(VLOOKUP(A88,'Aux - pivots1'!$A:$E,4,0)=0, "",VLOOKUP(A88,'Aux - pivots1'!$A:$E,4,0))</f>
        <v/>
      </c>
      <c r="R88" s="152" t="str">
        <f>IF(VLOOKUP(A88,'Aux - pivots1'!$A:$E,5,0)=0, "",VLOOKUP(A88,'Aux - pivots1'!$A:$E,5,0))</f>
        <v/>
      </c>
      <c r="S88" s="198"/>
      <c r="T88" s="198"/>
      <c r="U88" s="199"/>
      <c r="V88" s="368"/>
      <c r="W88" s="368"/>
      <c r="X88" s="368"/>
      <c r="Y88" s="368" t="s">
        <v>2322</v>
      </c>
      <c r="Z88" s="368"/>
    </row>
    <row r="89" spans="1:26" ht="16.399999999999999" hidden="1" customHeight="1">
      <c r="A89" s="29" t="str">
        <f t="shared" si="1"/>
        <v>ENERGY_CERTIFICATE_EST_INPUTCLASSE_ENERGETICA</v>
      </c>
      <c r="B89" s="141" t="s">
        <v>26</v>
      </c>
      <c r="C89" s="137" t="s">
        <v>34</v>
      </c>
      <c r="D89" s="133" t="s">
        <v>40</v>
      </c>
      <c r="E89" s="134" t="s">
        <v>37</v>
      </c>
      <c r="F89" s="471" t="s">
        <v>2002</v>
      </c>
      <c r="G89" s="135" t="str">
        <f>VLOOKUP(A89,Plano_V3!$A$26:$G$768,7,0)</f>
        <v>1. Concluído</v>
      </c>
      <c r="H89" s="135" t="s">
        <v>612</v>
      </c>
      <c r="I89" s="467" t="s">
        <v>2414</v>
      </c>
      <c r="J89" s="355" t="s">
        <v>2242</v>
      </c>
      <c r="K89" s="355"/>
      <c r="L89" s="364"/>
      <c r="M89" s="364"/>
      <c r="N89" s="355"/>
      <c r="O89" s="355"/>
      <c r="P89" s="343" t="str">
        <f>IF(VLOOKUP(A89,'Aux - pivots1'!$A:$E,3,0)=0, "",VLOOKUP(A89,'Aux - pivots1'!$A:$E,3,0))</f>
        <v/>
      </c>
      <c r="Q89" s="343" t="str">
        <f>IF(VLOOKUP(A89,'Aux - pivots1'!$A:$E,4,0)=0, "",VLOOKUP(A89,'Aux - pivots1'!$A:$E,4,0))</f>
        <v/>
      </c>
      <c r="R89" s="152" t="str">
        <f>IF(VLOOKUP(A89,'Aux - pivots1'!$A:$E,5,0)=0, "",VLOOKUP(A89,'Aux - pivots1'!$A:$E,5,0))</f>
        <v/>
      </c>
      <c r="S89" s="198"/>
      <c r="T89" s="198"/>
      <c r="U89" s="199"/>
      <c r="V89" s="368"/>
      <c r="W89" s="368"/>
      <c r="X89" s="368"/>
      <c r="Y89" s="368" t="s">
        <v>2377</v>
      </c>
      <c r="Z89" s="368"/>
    </row>
    <row r="90" spans="1:26" ht="16.399999999999999" hidden="1" customHeight="1">
      <c r="A90" s="29" t="str">
        <f t="shared" si="1"/>
        <v>ENERGY_CERTIFICATE_EST_INPUTFIABILIDAD</v>
      </c>
      <c r="B90" s="141" t="s">
        <v>26</v>
      </c>
      <c r="C90" s="137" t="s">
        <v>34</v>
      </c>
      <c r="D90" s="133" t="s">
        <v>40</v>
      </c>
      <c r="E90" s="134" t="s">
        <v>37</v>
      </c>
      <c r="F90" s="471" t="s">
        <v>2003</v>
      </c>
      <c r="G90" s="135" t="str">
        <f>VLOOKUP(A90,Plano_V3!$A$26:$G$768,7,0)</f>
        <v>1. Concluído</v>
      </c>
      <c r="H90" s="135" t="s">
        <v>612</v>
      </c>
      <c r="I90" s="467" t="s">
        <v>2414</v>
      </c>
      <c r="J90" s="355" t="s">
        <v>2242</v>
      </c>
      <c r="K90" s="355"/>
      <c r="L90" s="364"/>
      <c r="M90" s="364"/>
      <c r="N90" s="355"/>
      <c r="O90" s="355"/>
      <c r="P90" s="343" t="str">
        <f>IF(VLOOKUP(A90,'Aux - pivots1'!$A:$E,3,0)=0, "",VLOOKUP(A90,'Aux - pivots1'!$A:$E,3,0))</f>
        <v/>
      </c>
      <c r="Q90" s="343" t="str">
        <f>IF(VLOOKUP(A90,'Aux - pivots1'!$A:$E,4,0)=0, "",VLOOKUP(A90,'Aux - pivots1'!$A:$E,4,0))</f>
        <v/>
      </c>
      <c r="R90" s="152" t="str">
        <f>IF(VLOOKUP(A90,'Aux - pivots1'!$A:$E,5,0)=0, "",VLOOKUP(A90,'Aux - pivots1'!$A:$E,5,0))</f>
        <v/>
      </c>
      <c r="S90" s="198"/>
      <c r="T90" s="198"/>
      <c r="U90" s="199"/>
      <c r="V90" s="368"/>
      <c r="W90" s="368"/>
      <c r="X90" s="368"/>
      <c r="Y90" s="368" t="s">
        <v>2377</v>
      </c>
      <c r="Z90" s="368"/>
    </row>
    <row r="91" spans="1:26" ht="16.399999999999999" hidden="1" customHeight="1">
      <c r="A91" s="29" t="str">
        <f t="shared" si="1"/>
        <v>ENERGY_CERTIFICATE_EST_INPUTEMISSIONES</v>
      </c>
      <c r="B91" s="141" t="s">
        <v>26</v>
      </c>
      <c r="C91" s="137" t="s">
        <v>34</v>
      </c>
      <c r="D91" s="133" t="s">
        <v>40</v>
      </c>
      <c r="E91" s="134" t="s">
        <v>37</v>
      </c>
      <c r="F91" s="471" t="s">
        <v>2004</v>
      </c>
      <c r="G91" s="135" t="str">
        <f>VLOOKUP(A91,Plano_V3!$A$26:$G$768,7,0)</f>
        <v>1. Concluído</v>
      </c>
      <c r="H91" s="135" t="s">
        <v>612</v>
      </c>
      <c r="I91" s="467" t="s">
        <v>2414</v>
      </c>
      <c r="J91" s="355" t="s">
        <v>2242</v>
      </c>
      <c r="K91" s="355"/>
      <c r="L91" s="364"/>
      <c r="M91" s="364"/>
      <c r="N91" s="355"/>
      <c r="O91" s="355"/>
      <c r="P91" s="343" t="str">
        <f>IF(VLOOKUP(A91,'Aux - pivots1'!$A:$E,3,0)=0, "",VLOOKUP(A91,'Aux - pivots1'!$A:$E,3,0))</f>
        <v/>
      </c>
      <c r="Q91" s="343" t="str">
        <f>IF(VLOOKUP(A91,'Aux - pivots1'!$A:$E,4,0)=0, "",VLOOKUP(A91,'Aux - pivots1'!$A:$E,4,0))</f>
        <v/>
      </c>
      <c r="R91" s="152" t="str">
        <f>IF(VLOOKUP(A91,'Aux - pivots1'!$A:$E,5,0)=0, "",VLOOKUP(A91,'Aux - pivots1'!$A:$E,5,0))</f>
        <v/>
      </c>
      <c r="S91" s="198"/>
      <c r="T91" s="198"/>
      <c r="U91" s="199"/>
      <c r="V91" s="368"/>
      <c r="W91" s="368"/>
      <c r="X91" s="368"/>
      <c r="Y91" s="368" t="s">
        <v>2377</v>
      </c>
      <c r="Z91" s="368"/>
    </row>
    <row r="92" spans="1:26" ht="16.399999999999999" hidden="1" customHeight="1">
      <c r="A92" s="29" t="str">
        <f t="shared" si="1"/>
        <v>ENERGY_CERTIFICATE_EST_INPUTCONSUMOS</v>
      </c>
      <c r="B92" s="141" t="s">
        <v>26</v>
      </c>
      <c r="C92" s="137" t="s">
        <v>34</v>
      </c>
      <c r="D92" s="133" t="s">
        <v>40</v>
      </c>
      <c r="E92" s="134" t="s">
        <v>37</v>
      </c>
      <c r="F92" s="471" t="s">
        <v>2005</v>
      </c>
      <c r="G92" s="135" t="str">
        <f>VLOOKUP(A92,Plano_V3!$A$26:$G$768,7,0)</f>
        <v>1. Concluído</v>
      </c>
      <c r="H92" s="135" t="s">
        <v>612</v>
      </c>
      <c r="I92" s="467" t="s">
        <v>2414</v>
      </c>
      <c r="J92" s="355" t="s">
        <v>2242</v>
      </c>
      <c r="K92" s="355"/>
      <c r="L92" s="364"/>
      <c r="M92" s="364"/>
      <c r="N92" s="355"/>
      <c r="O92" s="355"/>
      <c r="P92" s="343" t="str">
        <f>IF(VLOOKUP(A92,'Aux - pivots1'!$A:$E,3,0)=0, "",VLOOKUP(A92,'Aux - pivots1'!$A:$E,3,0))</f>
        <v/>
      </c>
      <c r="Q92" s="343" t="str">
        <f>IF(VLOOKUP(A92,'Aux - pivots1'!$A:$E,4,0)=0, "",VLOOKUP(A92,'Aux - pivots1'!$A:$E,4,0))</f>
        <v/>
      </c>
      <c r="R92" s="152" t="str">
        <f>IF(VLOOKUP(A92,'Aux - pivots1'!$A:$E,5,0)=0, "",VLOOKUP(A92,'Aux - pivots1'!$A:$E,5,0))</f>
        <v/>
      </c>
      <c r="S92" s="198"/>
      <c r="T92" s="198"/>
      <c r="U92" s="199"/>
      <c r="V92" s="368"/>
      <c r="W92" s="368"/>
      <c r="X92" s="368"/>
      <c r="Y92" s="368" t="s">
        <v>2377</v>
      </c>
      <c r="Z92" s="368"/>
    </row>
    <row r="93" spans="1:26" ht="16.399999999999999" hidden="1" customHeight="1">
      <c r="A93" s="29" t="str">
        <f t="shared" si="1"/>
        <v>ENERGY_CERTIFICATE_EST_INPUTDATA_ENVIO</v>
      </c>
      <c r="B93" s="141" t="s">
        <v>26</v>
      </c>
      <c r="C93" s="137" t="s">
        <v>34</v>
      </c>
      <c r="D93" s="133" t="s">
        <v>40</v>
      </c>
      <c r="E93" s="134" t="s">
        <v>37</v>
      </c>
      <c r="F93" s="471" t="s">
        <v>2006</v>
      </c>
      <c r="G93" s="135" t="str">
        <f>VLOOKUP(A93,Plano_V3!$A$26:$G$768,7,0)</f>
        <v>1. Concluído</v>
      </c>
      <c r="H93" s="135" t="s">
        <v>612</v>
      </c>
      <c r="I93" s="467" t="s">
        <v>2414</v>
      </c>
      <c r="J93" s="355" t="s">
        <v>2242</v>
      </c>
      <c r="K93" s="355"/>
      <c r="L93" s="364"/>
      <c r="M93" s="364"/>
      <c r="N93" s="355"/>
      <c r="O93" s="355"/>
      <c r="P93" s="343" t="str">
        <f>IF(VLOOKUP(A93,'Aux - pivots1'!$A:$E,3,0)=0, "",VLOOKUP(A93,'Aux - pivots1'!$A:$E,3,0))</f>
        <v/>
      </c>
      <c r="Q93" s="343" t="str">
        <f>IF(VLOOKUP(A93,'Aux - pivots1'!$A:$E,4,0)=0, "",VLOOKUP(A93,'Aux - pivots1'!$A:$E,4,0))</f>
        <v/>
      </c>
      <c r="R93" s="152" t="str">
        <f>IF(VLOOKUP(A93,'Aux - pivots1'!$A:$E,5,0)=0, "",VLOOKUP(A93,'Aux - pivots1'!$A:$E,5,0))</f>
        <v/>
      </c>
      <c r="S93" s="198"/>
      <c r="T93" s="198"/>
      <c r="U93" s="199"/>
      <c r="V93" s="368"/>
      <c r="W93" s="368"/>
      <c r="X93" s="368"/>
      <c r="Y93" s="368" t="s">
        <v>2377</v>
      </c>
      <c r="Z93" s="368"/>
    </row>
    <row r="94" spans="1:26" ht="16.399999999999999" hidden="1" customHeight="1">
      <c r="A94" s="29" t="str">
        <f t="shared" si="1"/>
        <v>PROPERTY_ENERGY_CERTIFICATEEPC</v>
      </c>
      <c r="B94" s="141" t="s">
        <v>26</v>
      </c>
      <c r="C94" s="137" t="s">
        <v>54</v>
      </c>
      <c r="D94" s="133" t="s">
        <v>40</v>
      </c>
      <c r="E94" s="134" t="s">
        <v>123</v>
      </c>
      <c r="F94" s="470" t="s">
        <v>47</v>
      </c>
      <c r="G94" s="135" t="str">
        <f>VLOOKUP(A94,Plano_V3!$A$26:$G$768,7,0)</f>
        <v>1. Concluído</v>
      </c>
      <c r="H94" s="135" t="s">
        <v>612</v>
      </c>
      <c r="I94" s="467"/>
      <c r="J94" s="355" t="s">
        <v>2242</v>
      </c>
      <c r="K94" s="355"/>
      <c r="L94" s="364"/>
      <c r="M94" s="364"/>
      <c r="N94" s="355"/>
      <c r="O94" s="355"/>
      <c r="P94" s="152" t="str">
        <f>IF(VLOOKUP(A94,'Aux - pivots1'!$A:$E,3,0)=0, "",VLOOKUP(A94,'Aux - pivots1'!$A:$E,3,0))</f>
        <v/>
      </c>
      <c r="Q94" s="152" t="str">
        <f>IF(VLOOKUP(A94,'Aux - pivots1'!$A:$E,4,0)=0, "",VLOOKUP(A94,'Aux - pivots1'!$A:$E,4,0))</f>
        <v/>
      </c>
      <c r="R94" s="152" t="str">
        <f>IF(VLOOKUP(A94,'Aux - pivots1'!$A:$E,5,0)=0, "",VLOOKUP(A94,'Aux - pivots1'!$A:$E,5,0))</f>
        <v/>
      </c>
      <c r="S94" s="198"/>
      <c r="T94" s="198"/>
      <c r="U94" s="199"/>
      <c r="V94" s="320"/>
      <c r="W94" s="320"/>
      <c r="X94" s="320"/>
      <c r="Y94" s="368" t="s">
        <v>2320</v>
      </c>
      <c r="Z94" s="368"/>
    </row>
    <row r="95" spans="1:26" ht="16.399999999999999" hidden="1" customHeight="1">
      <c r="A95" s="29" t="str">
        <f t="shared" si="1"/>
        <v>PROPERTY_ENERGY_CERTIFICATEPRMRY_ENRGY_DMND_RFRNC_VL</v>
      </c>
      <c r="B95" s="141" t="s">
        <v>26</v>
      </c>
      <c r="C95" s="137" t="s">
        <v>54</v>
      </c>
      <c r="D95" s="133" t="s">
        <v>40</v>
      </c>
      <c r="E95" s="134" t="s">
        <v>123</v>
      </c>
      <c r="F95" s="470" t="s">
        <v>2264</v>
      </c>
      <c r="G95" s="135" t="str">
        <f>VLOOKUP(A95,Plano_V3!$A$26:$G$768,7,0)</f>
        <v>1. Concluído</v>
      </c>
      <c r="H95" s="135" t="s">
        <v>612</v>
      </c>
      <c r="I95" s="467"/>
      <c r="J95" s="355"/>
      <c r="K95" s="355"/>
      <c r="L95" s="364"/>
      <c r="M95" s="364"/>
      <c r="N95" s="355"/>
      <c r="O95" s="355"/>
      <c r="P95" s="152" t="str">
        <f>IF(VLOOKUP(A95,'Aux - pivots1'!$A:$E,3,0)=0, "",VLOOKUP(A95,'Aux - pivots1'!$A:$E,3,0))</f>
        <v/>
      </c>
      <c r="Q95" s="152" t="str">
        <f>IF(VLOOKUP(A95,'Aux - pivots1'!$A:$E,4,0)=0, "",VLOOKUP(A95,'Aux - pivots1'!$A:$E,4,0))</f>
        <v/>
      </c>
      <c r="R95" s="152" t="str">
        <f>IF(VLOOKUP(A95,'Aux - pivots1'!$A:$E,5,0)=0, "",VLOOKUP(A95,'Aux - pivots1'!$A:$E,5,0))</f>
        <v/>
      </c>
      <c r="S95" s="198"/>
      <c r="T95" s="198"/>
      <c r="U95" s="199"/>
      <c r="V95" s="320"/>
      <c r="W95" s="320"/>
      <c r="X95" s="320"/>
      <c r="Y95" s="368" t="s">
        <v>2320</v>
      </c>
      <c r="Z95" s="368"/>
    </row>
    <row r="96" spans="1:26" ht="16.399999999999999" hidden="1" customHeight="1">
      <c r="A96" s="29" t="str">
        <f t="shared" si="1"/>
        <v>PROPERTY_ENERGY_CERTIFICATECARBON_EMISSION_VALUE_YEAR</v>
      </c>
      <c r="B96" s="141" t="s">
        <v>26</v>
      </c>
      <c r="C96" s="137" t="s">
        <v>54</v>
      </c>
      <c r="D96" s="133" t="s">
        <v>40</v>
      </c>
      <c r="E96" s="134" t="s">
        <v>123</v>
      </c>
      <c r="F96" s="470" t="s">
        <v>52</v>
      </c>
      <c r="G96" s="135" t="str">
        <f>VLOOKUP(A96,Plano_V3!$A$26:$G$768,7,0)</f>
        <v>1. Concluído</v>
      </c>
      <c r="H96" s="135" t="s">
        <v>612</v>
      </c>
      <c r="I96" s="467"/>
      <c r="J96" s="355" t="s">
        <v>2439</v>
      </c>
      <c r="K96" s="355" t="s">
        <v>2449</v>
      </c>
      <c r="L96" s="364">
        <v>45730</v>
      </c>
      <c r="M96" s="364">
        <v>45737</v>
      </c>
      <c r="N96" s="355"/>
      <c r="O96" s="355"/>
      <c r="P96" s="152" t="str">
        <f>IF(VLOOKUP(A96,'Aux - pivots1'!$A:$E,3,0)=0, "",VLOOKUP(A96,'Aux - pivots1'!$A:$E,3,0))</f>
        <v/>
      </c>
      <c r="Q96" s="152" t="str">
        <f>IF(VLOOKUP(A96,'Aux - pivots1'!$A:$E,4,0)=0, "",VLOOKUP(A96,'Aux - pivots1'!$A:$E,4,0))</f>
        <v/>
      </c>
      <c r="R96" s="152" t="str">
        <f>IF(VLOOKUP(A96,'Aux - pivots1'!$A:$E,5,0)=0, "",VLOOKUP(A96,'Aux - pivots1'!$A:$E,5,0))</f>
        <v/>
      </c>
      <c r="S96" s="198"/>
      <c r="T96" s="198"/>
      <c r="U96" s="199"/>
      <c r="V96" s="320"/>
      <c r="W96" s="320"/>
      <c r="X96" s="320"/>
      <c r="Y96" s="368" t="s">
        <v>2320</v>
      </c>
      <c r="Z96" s="368"/>
    </row>
    <row r="97" spans="1:26" ht="16.399999999999999" hidden="1" customHeight="1">
      <c r="A97" s="29" t="str">
        <f t="shared" si="1"/>
        <v>modesg_inp_risco_fisico_zipcodecod_pais</v>
      </c>
      <c r="B97" s="141" t="s">
        <v>26</v>
      </c>
      <c r="C97" s="137" t="s">
        <v>181</v>
      </c>
      <c r="D97" s="133" t="s">
        <v>40</v>
      </c>
      <c r="E97" s="134" t="s">
        <v>2154</v>
      </c>
      <c r="F97" s="470" t="s">
        <v>279</v>
      </c>
      <c r="G97" s="135" t="str">
        <f>VLOOKUP(A97,Plano_V3!$A$26:$G$768,7,0)</f>
        <v>1. Concluído</v>
      </c>
      <c r="H97" s="135" t="s">
        <v>612</v>
      </c>
      <c r="I97" s="467"/>
      <c r="J97" s="364" t="s">
        <v>2306</v>
      </c>
      <c r="K97" s="355"/>
      <c r="L97" s="364"/>
      <c r="M97" s="364"/>
      <c r="N97" s="355"/>
      <c r="O97" s="364"/>
      <c r="P97" s="152" t="str">
        <f>IF(VLOOKUP(A97,'Aux - pivots1'!$A:$E,3,0)=0, "",VLOOKUP(A97,'Aux - pivots1'!$A:$E,3,0))</f>
        <v/>
      </c>
      <c r="Q97" s="152" t="str">
        <f>IF(VLOOKUP(A97,'Aux - pivots1'!$A:$E,4,0)=0, "",VLOOKUP(A97,'Aux - pivots1'!$A:$E,4,0))</f>
        <v/>
      </c>
      <c r="R97" s="152" t="str">
        <f>IF(VLOOKUP(A97,'Aux - pivots1'!$A:$E,5,0)=0, "",VLOOKUP(A97,'Aux - pivots1'!$A:$E,5,0))</f>
        <v/>
      </c>
      <c r="S97" s="198"/>
      <c r="T97" s="198"/>
      <c r="U97" s="368" t="s">
        <v>2313</v>
      </c>
      <c r="V97" s="368"/>
      <c r="W97" s="368"/>
      <c r="X97" s="368"/>
      <c r="Y97" s="368" t="s">
        <v>2321</v>
      </c>
      <c r="Z97" s="320" t="s">
        <v>1856</v>
      </c>
    </row>
    <row r="98" spans="1:26" ht="16.399999999999999" hidden="1" customHeight="1">
      <c r="A98" s="29" t="str">
        <f t="shared" si="1"/>
        <v>modesg_inp_risco_fisico_zipcodelocalizacao</v>
      </c>
      <c r="B98" s="141" t="s">
        <v>26</v>
      </c>
      <c r="C98" s="137" t="s">
        <v>181</v>
      </c>
      <c r="D98" s="133" t="s">
        <v>40</v>
      </c>
      <c r="E98" s="134" t="s">
        <v>2154</v>
      </c>
      <c r="F98" s="470" t="s">
        <v>2155</v>
      </c>
      <c r="G98" s="135" t="str">
        <f>VLOOKUP(A98,Plano_V3!$A$26:$G$768,7,0)</f>
        <v>1. Concluído</v>
      </c>
      <c r="H98" s="135" t="s">
        <v>612</v>
      </c>
      <c r="I98" s="467"/>
      <c r="J98" s="364" t="s">
        <v>2306</v>
      </c>
      <c r="K98" s="355"/>
      <c r="L98" s="364"/>
      <c r="M98" s="364"/>
      <c r="N98" s="355"/>
      <c r="O98" s="364"/>
      <c r="P98" s="152" t="str">
        <f>IF(VLOOKUP(A98,'Aux - pivots1'!$A:$E,3,0)=0, "",VLOOKUP(A98,'Aux - pivots1'!$A:$E,3,0))</f>
        <v/>
      </c>
      <c r="Q98" s="152" t="str">
        <f>IF(VLOOKUP(A98,'Aux - pivots1'!$A:$E,4,0)=0, "",VLOOKUP(A98,'Aux - pivots1'!$A:$E,4,0))</f>
        <v/>
      </c>
      <c r="R98" s="152" t="str">
        <f>IF(VLOOKUP(A98,'Aux - pivots1'!$A:$E,5,0)=0, "",VLOOKUP(A98,'Aux - pivots1'!$A:$E,5,0))</f>
        <v/>
      </c>
      <c r="S98" s="198"/>
      <c r="T98" s="198"/>
      <c r="U98" s="368" t="s">
        <v>2313</v>
      </c>
      <c r="V98" s="368"/>
      <c r="W98" s="368"/>
      <c r="X98" s="368"/>
      <c r="Y98" s="368" t="s">
        <v>2321</v>
      </c>
      <c r="Z98" s="320" t="s">
        <v>1856</v>
      </c>
    </row>
    <row r="99" spans="1:26" ht="16.399999999999999" hidden="1" customHeight="1">
      <c r="A99" s="29" t="str">
        <f t="shared" si="1"/>
        <v>modesg_inp_risco_fisico_zipcodecod_nace_esg</v>
      </c>
      <c r="B99" s="141" t="s">
        <v>26</v>
      </c>
      <c r="C99" s="137" t="s">
        <v>181</v>
      </c>
      <c r="D99" s="133" t="s">
        <v>40</v>
      </c>
      <c r="E99" s="134" t="s">
        <v>2154</v>
      </c>
      <c r="F99" s="470" t="s">
        <v>281</v>
      </c>
      <c r="G99" s="135" t="str">
        <f>VLOOKUP(A99,Plano_V3!$A$26:$G$768,7,0)</f>
        <v>1. Concluído</v>
      </c>
      <c r="H99" s="135" t="s">
        <v>612</v>
      </c>
      <c r="I99" s="467"/>
      <c r="J99" s="364" t="s">
        <v>2306</v>
      </c>
      <c r="K99" s="355"/>
      <c r="L99" s="364"/>
      <c r="M99" s="364"/>
      <c r="N99" s="355"/>
      <c r="O99" s="364"/>
      <c r="P99" s="152" t="str">
        <f>IF(VLOOKUP(A99,'Aux - pivots1'!$A:$E,3,0)=0, "",VLOOKUP(A99,'Aux - pivots1'!$A:$E,3,0))</f>
        <v/>
      </c>
      <c r="Q99" s="152" t="str">
        <f>IF(VLOOKUP(A99,'Aux - pivots1'!$A:$E,4,0)=0, "",VLOOKUP(A99,'Aux - pivots1'!$A:$E,4,0))</f>
        <v/>
      </c>
      <c r="R99" s="152" t="str">
        <f>IF(VLOOKUP(A99,'Aux - pivots1'!$A:$E,5,0)=0, "",VLOOKUP(A99,'Aux - pivots1'!$A:$E,5,0))</f>
        <v/>
      </c>
      <c r="S99" s="198"/>
      <c r="T99" s="198"/>
      <c r="U99" s="368" t="s">
        <v>2313</v>
      </c>
      <c r="V99" s="368"/>
      <c r="W99" s="368"/>
      <c r="X99" s="368"/>
      <c r="Y99" s="368" t="s">
        <v>2321</v>
      </c>
      <c r="Z99" s="320" t="s">
        <v>1856</v>
      </c>
    </row>
    <row r="100" spans="1:26" ht="16.399999999999999" hidden="1" customHeight="1">
      <c r="A100" s="29" t="str">
        <f t="shared" si="1"/>
        <v>modesg_inp_risco_fisico_zipcodeflg_rsc_fsc_agd</v>
      </c>
      <c r="B100" s="141" t="s">
        <v>26</v>
      </c>
      <c r="C100" s="137" t="s">
        <v>181</v>
      </c>
      <c r="D100" s="133" t="s">
        <v>40</v>
      </c>
      <c r="E100" s="134" t="s">
        <v>2154</v>
      </c>
      <c r="F100" s="470" t="s">
        <v>282</v>
      </c>
      <c r="G100" s="135" t="str">
        <f>VLOOKUP(A100,Plano_V3!$A$26:$G$768,7,0)</f>
        <v>1. Concluído</v>
      </c>
      <c r="H100" s="135" t="s">
        <v>612</v>
      </c>
      <c r="I100" s="467"/>
      <c r="J100" s="364" t="s">
        <v>2306</v>
      </c>
      <c r="K100" s="355"/>
      <c r="L100" s="364"/>
      <c r="M100" s="364"/>
      <c r="N100" s="355"/>
      <c r="O100" s="364"/>
      <c r="P100" s="152" t="str">
        <f>IF(VLOOKUP(A100,'Aux - pivots1'!$A:$E,3,0)=0, "",VLOOKUP(A100,'Aux - pivots1'!$A:$E,3,0))</f>
        <v/>
      </c>
      <c r="Q100" s="152" t="str">
        <f>IF(VLOOKUP(A100,'Aux - pivots1'!$A:$E,4,0)=0, "",VLOOKUP(A100,'Aux - pivots1'!$A:$E,4,0))</f>
        <v/>
      </c>
      <c r="R100" s="152" t="str">
        <f>IF(VLOOKUP(A100,'Aux - pivots1'!$A:$E,5,0)=0, "",VLOOKUP(A100,'Aux - pivots1'!$A:$E,5,0))</f>
        <v/>
      </c>
      <c r="S100" s="198"/>
      <c r="T100" s="198"/>
      <c r="U100" s="368" t="s">
        <v>2313</v>
      </c>
      <c r="V100" s="368"/>
      <c r="W100" s="368"/>
      <c r="X100" s="368"/>
      <c r="Y100" s="368" t="s">
        <v>2321</v>
      </c>
      <c r="Z100" s="320" t="s">
        <v>1856</v>
      </c>
    </row>
    <row r="101" spans="1:26" ht="16.399999999999999" hidden="1" customHeight="1">
      <c r="A101" s="29" t="str">
        <f t="shared" si="1"/>
        <v>modesg_inp_risco_fisico_zipcodeflg_rsc_fsc_crnc</v>
      </c>
      <c r="B101" s="141" t="s">
        <v>26</v>
      </c>
      <c r="C101" s="137" t="s">
        <v>181</v>
      </c>
      <c r="D101" s="133" t="s">
        <v>40</v>
      </c>
      <c r="E101" s="134" t="s">
        <v>2154</v>
      </c>
      <c r="F101" s="470" t="s">
        <v>283</v>
      </c>
      <c r="G101" s="135" t="str">
        <f>VLOOKUP(A101,Plano_V3!$A$26:$G$768,7,0)</f>
        <v>1. Concluído</v>
      </c>
      <c r="H101" s="135" t="s">
        <v>612</v>
      </c>
      <c r="I101" s="467"/>
      <c r="J101" s="364" t="s">
        <v>2306</v>
      </c>
      <c r="K101" s="355"/>
      <c r="L101" s="364"/>
      <c r="M101" s="364"/>
      <c r="N101" s="355"/>
      <c r="O101" s="364"/>
      <c r="P101" s="152" t="str">
        <f>IF(VLOOKUP(A101,'Aux - pivots1'!$A:$E,3,0)=0, "",VLOOKUP(A101,'Aux - pivots1'!$A:$E,3,0))</f>
        <v/>
      </c>
      <c r="Q101" s="152" t="str">
        <f>IF(VLOOKUP(A101,'Aux - pivots1'!$A:$E,4,0)=0, "",VLOOKUP(A101,'Aux - pivots1'!$A:$E,4,0))</f>
        <v/>
      </c>
      <c r="R101" s="152" t="str">
        <f>IF(VLOOKUP(A101,'Aux - pivots1'!$A:$E,5,0)=0, "",VLOOKUP(A101,'Aux - pivots1'!$A:$E,5,0))</f>
        <v/>
      </c>
      <c r="S101" s="198"/>
      <c r="T101" s="198"/>
      <c r="U101" s="368" t="s">
        <v>2313</v>
      </c>
      <c r="V101" s="368"/>
      <c r="W101" s="368"/>
      <c r="X101" s="368"/>
      <c r="Y101" s="368" t="s">
        <v>2321</v>
      </c>
      <c r="Z101" s="320" t="s">
        <v>1856</v>
      </c>
    </row>
    <row r="102" spans="1:26" ht="16.399999999999999" hidden="1" customHeight="1">
      <c r="A102" s="29" t="str">
        <f t="shared" si="1"/>
        <v>modesg_out_bens_imoveisflg_rsc_fsc_agd</v>
      </c>
      <c r="B102" s="141" t="s">
        <v>26</v>
      </c>
      <c r="C102" s="137" t="s">
        <v>310</v>
      </c>
      <c r="D102" s="133" t="s">
        <v>40</v>
      </c>
      <c r="E102" s="134" t="s">
        <v>311</v>
      </c>
      <c r="F102" s="470" t="s">
        <v>282</v>
      </c>
      <c r="G102" s="135" t="str">
        <f>VLOOKUP(A102,Plano_V3!$A$26:$G$768,7,0)</f>
        <v>1. Concluído</v>
      </c>
      <c r="H102" s="135" t="s">
        <v>612</v>
      </c>
      <c r="I102" s="467"/>
      <c r="J102" s="364" t="s">
        <v>2306</v>
      </c>
      <c r="K102" s="355" t="s">
        <v>2398</v>
      </c>
      <c r="L102" s="364"/>
      <c r="M102" s="364"/>
      <c r="N102" s="355"/>
      <c r="O102" s="364"/>
      <c r="P102" s="152" t="str">
        <f>IF(VLOOKUP(A93,'Aux - pivots1'!$A:$E,3,0)=0, "",VLOOKUP(A93,'Aux - pivots1'!$A:$E,3,0))</f>
        <v/>
      </c>
      <c r="Q102" s="152" t="str">
        <f>IF(VLOOKUP(A93,'Aux - pivots1'!$A:$E,4,0)=0, "",VLOOKUP(A93,'Aux - pivots1'!$A:$E,4,0))</f>
        <v/>
      </c>
      <c r="R102" s="152" t="str">
        <f>IF(VLOOKUP(A93,'Aux - pivots1'!$A:$E,5,0)=0, "",VLOOKUP(A93,'Aux - pivots1'!$A:$E,5,0))</f>
        <v/>
      </c>
      <c r="S102" s="198"/>
      <c r="T102" s="198"/>
      <c r="U102" s="368" t="s">
        <v>2313</v>
      </c>
      <c r="V102" s="320"/>
      <c r="W102" s="320"/>
      <c r="X102" s="320"/>
      <c r="Y102" s="368" t="s">
        <v>2320</v>
      </c>
      <c r="Z102" s="320" t="s">
        <v>1856</v>
      </c>
    </row>
    <row r="103" spans="1:26" ht="16.399999999999999" hidden="1" customHeight="1">
      <c r="A103" s="29" t="str">
        <f t="shared" si="1"/>
        <v>modesg_out_bens_imoveisflg_rsc_fsc_crnc</v>
      </c>
      <c r="B103" s="141" t="s">
        <v>26</v>
      </c>
      <c r="C103" s="137" t="s">
        <v>310</v>
      </c>
      <c r="D103" s="133" t="s">
        <v>40</v>
      </c>
      <c r="E103" s="134" t="s">
        <v>311</v>
      </c>
      <c r="F103" s="470" t="s">
        <v>283</v>
      </c>
      <c r="G103" s="135" t="str">
        <f>VLOOKUP(A103,Plano_V3!$A$26:$G$768,7,0)</f>
        <v>1. Concluído</v>
      </c>
      <c r="H103" s="135" t="s">
        <v>612</v>
      </c>
      <c r="I103" s="467"/>
      <c r="J103" s="364" t="s">
        <v>2306</v>
      </c>
      <c r="K103" s="355" t="s">
        <v>2398</v>
      </c>
      <c r="L103" s="364"/>
      <c r="M103" s="364"/>
      <c r="N103" s="355"/>
      <c r="O103" s="364"/>
      <c r="P103" s="152" t="str">
        <f>IF(VLOOKUP(A94,'Aux - pivots1'!$A:$E,3,0)=0, "",VLOOKUP(A94,'Aux - pivots1'!$A:$E,3,0))</f>
        <v/>
      </c>
      <c r="Q103" s="152" t="str">
        <f>IF(VLOOKUP(A94,'Aux - pivots1'!$A:$E,4,0)=0, "",VLOOKUP(A94,'Aux - pivots1'!$A:$E,4,0))</f>
        <v/>
      </c>
      <c r="R103" s="152" t="str">
        <f>IF(VLOOKUP(A94,'Aux - pivots1'!$A:$E,5,0)=0, "",VLOOKUP(A94,'Aux - pivots1'!$A:$E,5,0))</f>
        <v/>
      </c>
      <c r="S103" s="198"/>
      <c r="T103" s="198"/>
      <c r="U103" s="368" t="s">
        <v>2313</v>
      </c>
      <c r="V103" s="320"/>
      <c r="W103" s="320"/>
      <c r="X103" s="320"/>
      <c r="Y103" s="368" t="s">
        <v>2320</v>
      </c>
      <c r="Z103" s="320" t="s">
        <v>1856</v>
      </c>
    </row>
    <row r="104" spans="1:26" ht="16.399999999999999" hidden="1" customHeight="1">
      <c r="A104" s="29" t="str">
        <f t="shared" si="1"/>
        <v>modesg_out_bens_imoveisorigem_flg_rsc_fsc_agd</v>
      </c>
      <c r="B104" s="141" t="s">
        <v>26</v>
      </c>
      <c r="C104" s="137" t="s">
        <v>310</v>
      </c>
      <c r="D104" s="133" t="s">
        <v>40</v>
      </c>
      <c r="E104" s="134" t="s">
        <v>311</v>
      </c>
      <c r="F104" s="470" t="s">
        <v>317</v>
      </c>
      <c r="G104" s="135" t="str">
        <f>VLOOKUP(A104,Plano_V3!$A$26:$G$768,7,0)</f>
        <v>1. Concluído</v>
      </c>
      <c r="H104" s="135" t="s">
        <v>612</v>
      </c>
      <c r="I104" s="467"/>
      <c r="J104" s="364" t="s">
        <v>2306</v>
      </c>
      <c r="K104" s="355" t="s">
        <v>2398</v>
      </c>
      <c r="L104" s="364"/>
      <c r="M104" s="364"/>
      <c r="N104" s="355"/>
      <c r="O104" s="364"/>
      <c r="P104" s="152" t="str">
        <f>IF(VLOOKUP(A95,'Aux - pivots1'!$A:$E,3,0)=0, "",VLOOKUP(A95,'Aux - pivots1'!$A:$E,3,0))</f>
        <v/>
      </c>
      <c r="Q104" s="152" t="str">
        <f>IF(VLOOKUP(A95,'Aux - pivots1'!$A:$E,4,0)=0, "",VLOOKUP(A95,'Aux - pivots1'!$A:$E,4,0))</f>
        <v/>
      </c>
      <c r="R104" s="152" t="str">
        <f>IF(VLOOKUP(A95,'Aux - pivots1'!$A:$E,5,0)=0, "",VLOOKUP(A95,'Aux - pivots1'!$A:$E,5,0))</f>
        <v/>
      </c>
      <c r="S104" s="198"/>
      <c r="T104" s="198"/>
      <c r="U104" s="368" t="s">
        <v>2313</v>
      </c>
      <c r="V104" s="320"/>
      <c r="W104" s="320"/>
      <c r="X104" s="320"/>
      <c r="Y104" s="368" t="s">
        <v>2320</v>
      </c>
      <c r="Z104" s="320"/>
    </row>
    <row r="105" spans="1:26" ht="16.399999999999999" hidden="1" customHeight="1">
      <c r="A105" s="29" t="str">
        <f t="shared" si="1"/>
        <v>modesg_out_bens_imoveisorigem_flg_rsc_fsc_crnc</v>
      </c>
      <c r="B105" s="141" t="s">
        <v>26</v>
      </c>
      <c r="C105" s="137" t="s">
        <v>310</v>
      </c>
      <c r="D105" s="133" t="s">
        <v>40</v>
      </c>
      <c r="E105" s="134" t="s">
        <v>311</v>
      </c>
      <c r="F105" s="470" t="s">
        <v>318</v>
      </c>
      <c r="G105" s="135" t="str">
        <f>VLOOKUP(A105,Plano_V3!$A$26:$G$768,7,0)</f>
        <v>1. Concluído</v>
      </c>
      <c r="H105" s="135" t="s">
        <v>612</v>
      </c>
      <c r="I105" s="467"/>
      <c r="J105" s="364" t="s">
        <v>2306</v>
      </c>
      <c r="K105" s="355" t="s">
        <v>2398</v>
      </c>
      <c r="L105" s="364"/>
      <c r="M105" s="364"/>
      <c r="N105" s="355"/>
      <c r="O105" s="364"/>
      <c r="P105" s="152" t="str">
        <f>IF(VLOOKUP(A96,'Aux - pivots1'!$A:$E,3,0)=0, "",VLOOKUP(A96,'Aux - pivots1'!$A:$E,3,0))</f>
        <v/>
      </c>
      <c r="Q105" s="152" t="str">
        <f>IF(VLOOKUP(A96,'Aux - pivots1'!$A:$E,4,0)=0, "",VLOOKUP(A96,'Aux - pivots1'!$A:$E,4,0))</f>
        <v/>
      </c>
      <c r="R105" s="152" t="str">
        <f>IF(VLOOKUP(A96,'Aux - pivots1'!$A:$E,5,0)=0, "",VLOOKUP(A96,'Aux - pivots1'!$A:$E,5,0))</f>
        <v/>
      </c>
      <c r="S105" s="198"/>
      <c r="T105" s="198"/>
      <c r="U105" s="368" t="s">
        <v>2313</v>
      </c>
      <c r="V105" s="320"/>
      <c r="W105" s="320"/>
      <c r="X105" s="320"/>
      <c r="Y105" s="368" t="s">
        <v>2320</v>
      </c>
      <c r="Z105" s="320"/>
    </row>
    <row r="106" spans="1:26" ht="16.399999999999999" hidden="1" customHeight="1">
      <c r="A106" s="29" t="str">
        <f t="shared" si="1"/>
        <v>modesg_out_empr_info_nfinorigem_scp1_emss</v>
      </c>
      <c r="B106" s="141" t="s">
        <v>26</v>
      </c>
      <c r="C106" s="137" t="s">
        <v>310</v>
      </c>
      <c r="D106" s="133" t="s">
        <v>40</v>
      </c>
      <c r="E106" s="134" t="s">
        <v>325</v>
      </c>
      <c r="F106" s="470" t="s">
        <v>319</v>
      </c>
      <c r="G106" s="135" t="str">
        <f>VLOOKUP(A106,Plano_V3!$A$26:$G$768,7,0)</f>
        <v>1. Concluído</v>
      </c>
      <c r="H106" s="135" t="s">
        <v>612</v>
      </c>
      <c r="I106" s="467"/>
      <c r="J106" s="153"/>
      <c r="K106" s="355" t="s">
        <v>2398</v>
      </c>
      <c r="L106" s="364"/>
      <c r="M106" s="364"/>
      <c r="N106" s="355"/>
      <c r="O106" s="153"/>
      <c r="P106" s="152" t="str">
        <f>IF(VLOOKUP(A97,'Aux - pivots1'!$A:$E,3,0)=0, "",VLOOKUP(A97,'Aux - pivots1'!$A:$E,3,0))</f>
        <v/>
      </c>
      <c r="Q106" s="152" t="str">
        <f>IF(VLOOKUP(A97,'Aux - pivots1'!$A:$E,4,0)=0, "",VLOOKUP(A97,'Aux - pivots1'!$A:$E,4,0))</f>
        <v/>
      </c>
      <c r="R106" s="152" t="str">
        <f>IF(VLOOKUP(A97,'Aux - pivots1'!$A:$E,5,0)=0, "",VLOOKUP(A97,'Aux - pivots1'!$A:$E,5,0))</f>
        <v/>
      </c>
      <c r="S106" s="198"/>
      <c r="T106" s="198"/>
      <c r="U106" s="199"/>
      <c r="V106" s="320"/>
      <c r="W106" s="320"/>
      <c r="X106" s="320"/>
      <c r="Y106" s="368" t="s">
        <v>2320</v>
      </c>
      <c r="Z106" s="320" t="s">
        <v>1856</v>
      </c>
    </row>
    <row r="107" spans="1:26" ht="16.399999999999999" hidden="1" customHeight="1">
      <c r="A107" s="29" t="str">
        <f t="shared" si="1"/>
        <v>modesg_out_empr_info_nfinorigem_scp2_emss</v>
      </c>
      <c r="B107" s="141" t="s">
        <v>26</v>
      </c>
      <c r="C107" s="137" t="s">
        <v>310</v>
      </c>
      <c r="D107" s="133" t="s">
        <v>40</v>
      </c>
      <c r="E107" s="134" t="s">
        <v>325</v>
      </c>
      <c r="F107" s="470" t="s">
        <v>320</v>
      </c>
      <c r="G107" s="135" t="str">
        <f>VLOOKUP(A107,Plano_V3!$A$26:$G$768,7,0)</f>
        <v>1. Concluído</v>
      </c>
      <c r="H107" s="135" t="s">
        <v>612</v>
      </c>
      <c r="I107" s="467"/>
      <c r="J107" s="153"/>
      <c r="K107" s="355" t="s">
        <v>2398</v>
      </c>
      <c r="L107" s="364"/>
      <c r="M107" s="364"/>
      <c r="N107" s="355"/>
      <c r="O107" s="153"/>
      <c r="P107" s="152" t="str">
        <f>IF(VLOOKUP(A98,'Aux - pivots1'!$A:$E,3,0)=0, "",VLOOKUP(A98,'Aux - pivots1'!$A:$E,3,0))</f>
        <v/>
      </c>
      <c r="Q107" s="152" t="str">
        <f>IF(VLOOKUP(A98,'Aux - pivots1'!$A:$E,4,0)=0, "",VLOOKUP(A98,'Aux - pivots1'!$A:$E,4,0))</f>
        <v/>
      </c>
      <c r="R107" s="152" t="str">
        <f>IF(VLOOKUP(A98,'Aux - pivots1'!$A:$E,5,0)=0, "",VLOOKUP(A98,'Aux - pivots1'!$A:$E,5,0))</f>
        <v/>
      </c>
      <c r="S107" s="198"/>
      <c r="T107" s="198"/>
      <c r="U107" s="199"/>
      <c r="V107" s="320"/>
      <c r="W107" s="320"/>
      <c r="X107" s="320"/>
      <c r="Y107" s="368" t="s">
        <v>2320</v>
      </c>
      <c r="Z107" s="320" t="s">
        <v>1856</v>
      </c>
    </row>
    <row r="108" spans="1:26" ht="16.399999999999999" hidden="1" customHeight="1">
      <c r="A108" s="29" t="str">
        <f t="shared" si="1"/>
        <v>modesg_out_empr_info_nfinorigem_scp3_emss</v>
      </c>
      <c r="B108" s="141" t="s">
        <v>26</v>
      </c>
      <c r="C108" s="137" t="s">
        <v>310</v>
      </c>
      <c r="D108" s="133" t="s">
        <v>40</v>
      </c>
      <c r="E108" s="134" t="s">
        <v>325</v>
      </c>
      <c r="F108" s="470" t="s">
        <v>321</v>
      </c>
      <c r="G108" s="135" t="str">
        <f>VLOOKUP(A108,Plano_V3!$A$26:$G$768,7,0)</f>
        <v>1. Concluído</v>
      </c>
      <c r="H108" s="135" t="s">
        <v>612</v>
      </c>
      <c r="I108" s="467"/>
      <c r="J108" s="153"/>
      <c r="K108" s="355" t="s">
        <v>2398</v>
      </c>
      <c r="L108" s="364"/>
      <c r="M108" s="364"/>
      <c r="N108" s="355"/>
      <c r="O108" s="153"/>
      <c r="P108" s="152" t="str">
        <f>IF(VLOOKUP(A99,'Aux - pivots1'!$A:$E,3,0)=0, "",VLOOKUP(A99,'Aux - pivots1'!$A:$E,3,0))</f>
        <v/>
      </c>
      <c r="Q108" s="152" t="str">
        <f>IF(VLOOKUP(A99,'Aux - pivots1'!$A:$E,4,0)=0, "",VLOOKUP(A99,'Aux - pivots1'!$A:$E,4,0))</f>
        <v/>
      </c>
      <c r="R108" s="152" t="str">
        <f>IF(VLOOKUP(A99,'Aux - pivots1'!$A:$E,5,0)=0, "",VLOOKUP(A99,'Aux - pivots1'!$A:$E,5,0))</f>
        <v/>
      </c>
      <c r="S108" s="198"/>
      <c r="T108" s="198"/>
      <c r="U108" s="199"/>
      <c r="V108" s="320"/>
      <c r="W108" s="320"/>
      <c r="X108" s="320"/>
      <c r="Y108" s="368" t="s">
        <v>2320</v>
      </c>
      <c r="Z108" s="320" t="s">
        <v>1856</v>
      </c>
    </row>
    <row r="109" spans="1:26" ht="16.399999999999999" hidden="1" customHeight="1">
      <c r="A109" s="29" t="str">
        <f t="shared" si="1"/>
        <v>modesg_out_empr_info_nfinscp1_emss</v>
      </c>
      <c r="B109" s="141" t="s">
        <v>26</v>
      </c>
      <c r="C109" s="137" t="s">
        <v>310</v>
      </c>
      <c r="D109" s="133" t="s">
        <v>40</v>
      </c>
      <c r="E109" s="134" t="s">
        <v>325</v>
      </c>
      <c r="F109" s="470" t="s">
        <v>285</v>
      </c>
      <c r="G109" s="135" t="str">
        <f>VLOOKUP(A109,Plano_V3!$A$26:$G$768,7,0)</f>
        <v>1. Concluído</v>
      </c>
      <c r="H109" s="135" t="s">
        <v>612</v>
      </c>
      <c r="I109" s="467"/>
      <c r="J109" s="153"/>
      <c r="K109" s="355" t="s">
        <v>2398</v>
      </c>
      <c r="L109" s="364"/>
      <c r="M109" s="364"/>
      <c r="N109" s="355"/>
      <c r="O109" s="153"/>
      <c r="P109" s="152" t="str">
        <f>IF(VLOOKUP(A100,'Aux - pivots1'!$A:$E,3,0)=0, "",VLOOKUP(A100,'Aux - pivots1'!$A:$E,3,0))</f>
        <v/>
      </c>
      <c r="Q109" s="152" t="str">
        <f>IF(VLOOKUP(A100,'Aux - pivots1'!$A:$E,4,0)=0, "",VLOOKUP(A100,'Aux - pivots1'!$A:$E,4,0))</f>
        <v/>
      </c>
      <c r="R109" s="152" t="str">
        <f>IF(VLOOKUP(A100,'Aux - pivots1'!$A:$E,5,0)=0, "",VLOOKUP(A100,'Aux - pivots1'!$A:$E,5,0))</f>
        <v/>
      </c>
      <c r="S109" s="198"/>
      <c r="T109" s="198"/>
      <c r="U109" s="199"/>
      <c r="V109" s="320"/>
      <c r="W109" s="320"/>
      <c r="X109" s="320"/>
      <c r="Y109" s="368" t="s">
        <v>2320</v>
      </c>
      <c r="Z109" s="320" t="s">
        <v>1856</v>
      </c>
    </row>
    <row r="110" spans="1:26" ht="16.399999999999999" hidden="1" customHeight="1">
      <c r="A110" s="29" t="str">
        <f t="shared" si="1"/>
        <v>modesg_out_empr_info_nfinscp2_emss</v>
      </c>
      <c r="B110" s="141" t="s">
        <v>26</v>
      </c>
      <c r="C110" s="137" t="s">
        <v>310</v>
      </c>
      <c r="D110" s="133" t="s">
        <v>40</v>
      </c>
      <c r="E110" s="134" t="s">
        <v>325</v>
      </c>
      <c r="F110" s="470" t="s">
        <v>286</v>
      </c>
      <c r="G110" s="135" t="str">
        <f>VLOOKUP(A110,Plano_V3!$A$26:$G$768,7,0)</f>
        <v>1. Concluído</v>
      </c>
      <c r="H110" s="135" t="s">
        <v>612</v>
      </c>
      <c r="I110" s="467"/>
      <c r="J110" s="153"/>
      <c r="K110" s="355" t="s">
        <v>2398</v>
      </c>
      <c r="L110" s="364"/>
      <c r="M110" s="364"/>
      <c r="N110" s="355"/>
      <c r="O110" s="153"/>
      <c r="P110" s="152" t="str">
        <f>IF(VLOOKUP(A101,'Aux - pivots1'!$A:$E,3,0)=0, "",VLOOKUP(A101,'Aux - pivots1'!$A:$E,3,0))</f>
        <v/>
      </c>
      <c r="Q110" s="152" t="str">
        <f>IF(VLOOKUP(A101,'Aux - pivots1'!$A:$E,4,0)=0, "",VLOOKUP(A101,'Aux - pivots1'!$A:$E,4,0))</f>
        <v/>
      </c>
      <c r="R110" s="152" t="str">
        <f>IF(VLOOKUP(A101,'Aux - pivots1'!$A:$E,5,0)=0, "",VLOOKUP(A101,'Aux - pivots1'!$A:$E,5,0))</f>
        <v/>
      </c>
      <c r="S110" s="198"/>
      <c r="T110" s="198"/>
      <c r="U110" s="199"/>
      <c r="V110" s="320"/>
      <c r="W110" s="320"/>
      <c r="X110" s="320"/>
      <c r="Y110" s="368" t="s">
        <v>2320</v>
      </c>
      <c r="Z110" s="320" t="s">
        <v>1856</v>
      </c>
    </row>
    <row r="111" spans="1:26" ht="16.399999999999999" hidden="1" customHeight="1">
      <c r="A111" s="29" t="str">
        <f t="shared" si="1"/>
        <v>modesg_out_empr_info_nfinscp3_emss</v>
      </c>
      <c r="B111" s="141" t="s">
        <v>26</v>
      </c>
      <c r="C111" s="137" t="s">
        <v>310</v>
      </c>
      <c r="D111" s="133" t="s">
        <v>40</v>
      </c>
      <c r="E111" s="134" t="s">
        <v>325</v>
      </c>
      <c r="F111" s="470" t="s">
        <v>287</v>
      </c>
      <c r="G111" s="135" t="str">
        <f>VLOOKUP(A111,Plano_V3!$A$26:$G$768,7,0)</f>
        <v>1. Concluído</v>
      </c>
      <c r="H111" s="135" t="s">
        <v>612</v>
      </c>
      <c r="I111" s="467"/>
      <c r="J111" s="153"/>
      <c r="K111" s="355" t="s">
        <v>2398</v>
      </c>
      <c r="L111" s="364"/>
      <c r="M111" s="364"/>
      <c r="N111" s="355"/>
      <c r="O111" s="153"/>
      <c r="P111" s="152" t="str">
        <f>IF(VLOOKUP(A101,'Aux - pivots1'!$A:$E,3,0)=0, "",VLOOKUP(A101,'Aux - pivots1'!$A:$E,3,0))</f>
        <v/>
      </c>
      <c r="Q111" s="152" t="str">
        <f>IF(VLOOKUP(A101,'Aux - pivots1'!$A:$E,4,0)=0, "",VLOOKUP(A101,'Aux - pivots1'!$A:$E,4,0))</f>
        <v/>
      </c>
      <c r="R111" s="152" t="str">
        <f>IF(VLOOKUP(A101,'Aux - pivots1'!$A:$E,5,0)=0, "",VLOOKUP(A101,'Aux - pivots1'!$A:$E,5,0))</f>
        <v/>
      </c>
      <c r="S111" s="198"/>
      <c r="T111" s="198"/>
      <c r="U111" s="199"/>
      <c r="V111" s="320"/>
      <c r="W111" s="320"/>
      <c r="X111" s="320"/>
      <c r="Y111" s="368" t="s">
        <v>2320</v>
      </c>
      <c r="Z111" s="320" t="s">
        <v>1856</v>
      </c>
    </row>
    <row r="112" spans="1:26" ht="16.399999999999999" hidden="1" customHeight="1">
      <c r="A112" s="29" t="str">
        <f t="shared" si="1"/>
        <v>modesg_out_empr_info_nfindivida_total</v>
      </c>
      <c r="B112" s="141" t="s">
        <v>26</v>
      </c>
      <c r="C112" s="137" t="s">
        <v>310</v>
      </c>
      <c r="D112" s="133" t="s">
        <v>40</v>
      </c>
      <c r="E112" s="134" t="s">
        <v>325</v>
      </c>
      <c r="F112" s="470" t="s">
        <v>295</v>
      </c>
      <c r="G112" s="135" t="str">
        <f>VLOOKUP(A112,Plano_V3!$A$26:$G$768,7,0)</f>
        <v>1. Concluído</v>
      </c>
      <c r="H112" s="135" t="s">
        <v>612</v>
      </c>
      <c r="I112" s="467"/>
      <c r="J112" s="153"/>
      <c r="K112" s="355" t="s">
        <v>2398</v>
      </c>
      <c r="L112" s="364"/>
      <c r="M112" s="364"/>
      <c r="N112" s="355"/>
      <c r="O112" s="153"/>
      <c r="P112" s="152" t="str">
        <f>IF(VLOOKUP(A101,'Aux - pivots1'!$A:$E,3,0)=0, "",VLOOKUP(A101,'Aux - pivots1'!$A:$E,3,0))</f>
        <v/>
      </c>
      <c r="Q112" s="152" t="str">
        <f>IF(VLOOKUP(A101,'Aux - pivots1'!$A:$E,4,0)=0, "",VLOOKUP(A101,'Aux - pivots1'!$A:$E,4,0))</f>
        <v/>
      </c>
      <c r="R112" s="152" t="str">
        <f>IF(VLOOKUP(A101,'Aux - pivots1'!$A:$E,5,0)=0, "",VLOOKUP(A101,'Aux - pivots1'!$A:$E,5,0))</f>
        <v/>
      </c>
      <c r="S112" s="198"/>
      <c r="T112" s="198"/>
      <c r="U112" s="199"/>
      <c r="V112" s="320"/>
      <c r="W112" s="320"/>
      <c r="X112" s="320"/>
      <c r="Y112" s="368" t="s">
        <v>2320</v>
      </c>
      <c r="Z112" s="320" t="s">
        <v>1856</v>
      </c>
    </row>
    <row r="113" spans="1:26" ht="16.399999999999999" hidden="1" customHeight="1">
      <c r="A113" s="29" t="str">
        <f t="shared" si="1"/>
        <v>modesg_out_empr_info_nfincapital_proprio</v>
      </c>
      <c r="B113" s="141" t="s">
        <v>26</v>
      </c>
      <c r="C113" s="137" t="s">
        <v>310</v>
      </c>
      <c r="D113" s="133" t="s">
        <v>40</v>
      </c>
      <c r="E113" s="134" t="s">
        <v>325</v>
      </c>
      <c r="F113" s="470" t="s">
        <v>296</v>
      </c>
      <c r="G113" s="135" t="str">
        <f>VLOOKUP(A113,Plano_V3!$A$26:$G$768,7,0)</f>
        <v>1. Concluído</v>
      </c>
      <c r="H113" s="135" t="s">
        <v>612</v>
      </c>
      <c r="I113" s="467"/>
      <c r="J113" s="153"/>
      <c r="K113" s="355" t="s">
        <v>2398</v>
      </c>
      <c r="L113" s="364"/>
      <c r="M113" s="364"/>
      <c r="N113" s="355"/>
      <c r="O113" s="153"/>
      <c r="P113" s="152" t="str">
        <f>IF(VLOOKUP(A102,'Aux - pivots1'!$A:$E,3,0)=0, "",VLOOKUP(A102,'Aux - pivots1'!$A:$E,3,0))</f>
        <v/>
      </c>
      <c r="Q113" s="152" t="str">
        <f>IF(VLOOKUP(A102,'Aux - pivots1'!$A:$E,4,0)=0, "",VLOOKUP(A102,'Aux - pivots1'!$A:$E,4,0))</f>
        <v/>
      </c>
      <c r="R113" s="152" t="str">
        <f>IF(VLOOKUP(A102,'Aux - pivots1'!$A:$E,5,0)=0, "",VLOOKUP(A102,'Aux - pivots1'!$A:$E,5,0))</f>
        <v/>
      </c>
      <c r="S113" s="198"/>
      <c r="T113" s="198"/>
      <c r="U113" s="199"/>
      <c r="V113" s="320"/>
      <c r="W113" s="320"/>
      <c r="X113" s="320"/>
      <c r="Y113" s="368" t="s">
        <v>2320</v>
      </c>
      <c r="Z113" s="320" t="s">
        <v>1856</v>
      </c>
    </row>
    <row r="114" spans="1:26" ht="16.399999999999999" hidden="1" customHeight="1">
      <c r="A114" s="29" t="str">
        <f t="shared" si="1"/>
        <v>lt004_protectionflg_act_physcl_rsk</v>
      </c>
      <c r="B114" s="141" t="s">
        <v>26</v>
      </c>
      <c r="C114" s="137" t="s">
        <v>26</v>
      </c>
      <c r="D114" s="133" t="s">
        <v>40</v>
      </c>
      <c r="E114" s="136" t="s">
        <v>368</v>
      </c>
      <c r="F114" s="474" t="s">
        <v>357</v>
      </c>
      <c r="G114" s="479" t="str">
        <f>VLOOKUP(A114,Plano_V3!$A$26:$G$768,7,0)</f>
        <v>1. Concluído</v>
      </c>
      <c r="H114" s="135" t="s">
        <v>612</v>
      </c>
      <c r="I114" s="467"/>
      <c r="J114" s="142"/>
      <c r="K114" s="355" t="s">
        <v>2398</v>
      </c>
      <c r="L114" s="153"/>
      <c r="M114" s="153"/>
      <c r="N114" s="142"/>
      <c r="O114" s="142"/>
      <c r="P114" s="152" t="str">
        <f>IF(VLOOKUP(A105,'Aux - pivots1'!$A:$E,3,0)=0, "",VLOOKUP(A105,'Aux - pivots1'!$A:$E,3,0))</f>
        <v/>
      </c>
      <c r="Q114" s="152" t="str">
        <f>IF(VLOOKUP(A105,'Aux - pivots1'!$A:$E,4,0)=0, "",VLOOKUP(A105,'Aux - pivots1'!$A:$E,4,0))</f>
        <v/>
      </c>
      <c r="R114" s="152" t="str">
        <f>IF(VLOOKUP(A105,'Aux - pivots1'!$A:$E,5,0)=0, "",VLOOKUP(A105,'Aux - pivots1'!$A:$E,5,0))</f>
        <v/>
      </c>
      <c r="S114" s="198"/>
      <c r="T114" s="198"/>
      <c r="U114" s="199"/>
      <c r="V114" s="320"/>
      <c r="W114" s="320"/>
      <c r="X114" s="320"/>
      <c r="Y114" s="368" t="s">
        <v>2320</v>
      </c>
      <c r="Z114" s="320"/>
    </row>
    <row r="115" spans="1:26" ht="16.399999999999999" hidden="1" customHeight="1">
      <c r="A115" s="29" t="str">
        <f t="shared" si="1"/>
        <v>lt004_protectionflg_chrnc_physcl_rsk</v>
      </c>
      <c r="B115" s="141" t="s">
        <v>26</v>
      </c>
      <c r="C115" s="137" t="s">
        <v>26</v>
      </c>
      <c r="D115" s="133" t="s">
        <v>40</v>
      </c>
      <c r="E115" s="136" t="s">
        <v>368</v>
      </c>
      <c r="F115" s="474" t="s">
        <v>358</v>
      </c>
      <c r="G115" s="479" t="str">
        <f>VLOOKUP(A115,Plano_V3!$A$26:$G$768,7,0)</f>
        <v>1. Concluído</v>
      </c>
      <c r="H115" s="135" t="s">
        <v>612</v>
      </c>
      <c r="I115" s="467"/>
      <c r="J115" s="142"/>
      <c r="K115" s="355" t="s">
        <v>2398</v>
      </c>
      <c r="L115" s="153"/>
      <c r="M115" s="153"/>
      <c r="N115" s="142"/>
      <c r="O115" s="142"/>
      <c r="P115" s="152" t="str">
        <f>IF(VLOOKUP(A106,'Aux - pivots1'!$A:$E,3,0)=0, "",VLOOKUP(A106,'Aux - pivots1'!$A:$E,3,0))</f>
        <v/>
      </c>
      <c r="Q115" s="152" t="str">
        <f>IF(VLOOKUP(A106,'Aux - pivots1'!$A:$E,4,0)=0, "",VLOOKUP(A106,'Aux - pivots1'!$A:$E,4,0))</f>
        <v/>
      </c>
      <c r="R115" s="152" t="str">
        <f>IF(VLOOKUP(A106,'Aux - pivots1'!$A:$E,5,0)=0, "",VLOOKUP(A106,'Aux - pivots1'!$A:$E,5,0))</f>
        <v/>
      </c>
      <c r="S115" s="198"/>
      <c r="T115" s="198"/>
      <c r="U115" s="199"/>
      <c r="V115" s="320"/>
      <c r="W115" s="320"/>
      <c r="X115" s="320"/>
      <c r="Y115" s="368" t="s">
        <v>2320</v>
      </c>
      <c r="Z115" s="320"/>
    </row>
    <row r="116" spans="1:26" ht="16.399999999999999" hidden="1" customHeight="1">
      <c r="A116" s="29" t="str">
        <f t="shared" si="1"/>
        <v>modesg_out_empr_info_nfincod_nace_esg</v>
      </c>
      <c r="B116" s="141" t="s">
        <v>26</v>
      </c>
      <c r="C116" s="137" t="s">
        <v>310</v>
      </c>
      <c r="D116" s="133" t="s">
        <v>40</v>
      </c>
      <c r="E116" s="134" t="s">
        <v>325</v>
      </c>
      <c r="F116" s="473" t="s">
        <v>281</v>
      </c>
      <c r="G116" s="206" t="str">
        <f>VLOOKUP(A116,Plano_V3!$A$26:$G$768,7,0)</f>
        <v>1. Concluído</v>
      </c>
      <c r="H116" s="135" t="s">
        <v>612</v>
      </c>
      <c r="I116" s="467"/>
      <c r="J116" s="364" t="s">
        <v>2242</v>
      </c>
      <c r="K116" s="355" t="s">
        <v>2398</v>
      </c>
      <c r="L116" s="364"/>
      <c r="M116" s="364"/>
      <c r="N116" s="355"/>
      <c r="O116" s="364"/>
      <c r="P116" s="152" t="str">
        <f>IF(VLOOKUP(A87,'Aux - pivots1'!$A:$E,3,0)=0, "",VLOOKUP(A87,'Aux - pivots1'!$A:$E,3,0))</f>
        <v/>
      </c>
      <c r="Q116" s="152" t="str">
        <f>IF(VLOOKUP(A87,'Aux - pivots1'!$A:$E,4,0)=0, "",VLOOKUP(A87,'Aux - pivots1'!$A:$E,4,0))</f>
        <v/>
      </c>
      <c r="R116" s="152" t="str">
        <f>IF(VLOOKUP(A87,'Aux - pivots1'!$A:$E,5,0)=0, "",VLOOKUP(A87,'Aux - pivots1'!$A:$E,5,0))</f>
        <v/>
      </c>
      <c r="S116" s="198"/>
      <c r="T116" s="198"/>
      <c r="U116" s="199"/>
      <c r="V116" s="320"/>
      <c r="W116" s="320"/>
      <c r="X116" s="320"/>
      <c r="Y116" s="368" t="s">
        <v>2320</v>
      </c>
      <c r="Z116" s="320" t="s">
        <v>1855</v>
      </c>
    </row>
    <row r="117" spans="1:26" ht="16.399999999999999" hidden="1" customHeight="1">
      <c r="A117" s="29" t="str">
        <f t="shared" si="1"/>
        <v>modesg_out_empr_info_nfinflg_rsc_fsc_agd</v>
      </c>
      <c r="B117" s="141" t="s">
        <v>26</v>
      </c>
      <c r="C117" s="137" t="s">
        <v>310</v>
      </c>
      <c r="D117" s="133" t="s">
        <v>40</v>
      </c>
      <c r="E117" s="134" t="s">
        <v>325</v>
      </c>
      <c r="F117" s="470" t="s">
        <v>282</v>
      </c>
      <c r="G117" s="135" t="str">
        <f>VLOOKUP(A117,Plano_V3!$A$26:$G$768,7,0)</f>
        <v>1. Concluído</v>
      </c>
      <c r="H117" s="135" t="s">
        <v>612</v>
      </c>
      <c r="I117" s="467"/>
      <c r="J117" s="364" t="s">
        <v>2306</v>
      </c>
      <c r="K117" s="355" t="s">
        <v>2398</v>
      </c>
      <c r="L117" s="364"/>
      <c r="M117" s="364"/>
      <c r="N117" s="355"/>
      <c r="O117" s="364"/>
      <c r="P117" s="152" t="str">
        <f>IF(VLOOKUP(A88,'Aux - pivots1'!$A:$E,3,0)=0, "",VLOOKUP(A88,'Aux - pivots1'!$A:$E,3,0))</f>
        <v/>
      </c>
      <c r="Q117" s="152" t="str">
        <f>IF(VLOOKUP(A88,'Aux - pivots1'!$A:$E,4,0)=0, "",VLOOKUP(A88,'Aux - pivots1'!$A:$E,4,0))</f>
        <v/>
      </c>
      <c r="R117" s="152" t="str">
        <f>IF(VLOOKUP(A88,'Aux - pivots1'!$A:$E,5,0)=0, "",VLOOKUP(A88,'Aux - pivots1'!$A:$E,5,0))</f>
        <v/>
      </c>
      <c r="S117" s="198"/>
      <c r="T117" s="198"/>
      <c r="U117" s="368" t="s">
        <v>2313</v>
      </c>
      <c r="V117" s="320"/>
      <c r="W117" s="320"/>
      <c r="X117" s="320"/>
      <c r="Y117" s="368" t="s">
        <v>2361</v>
      </c>
      <c r="Z117" s="320" t="s">
        <v>1856</v>
      </c>
    </row>
    <row r="118" spans="1:26" ht="16.399999999999999" hidden="1" customHeight="1">
      <c r="A118" s="29" t="str">
        <f t="shared" si="1"/>
        <v>modesg_out_empr_info_nfinflg_rsc_fsc_crnc</v>
      </c>
      <c r="B118" s="141" t="s">
        <v>26</v>
      </c>
      <c r="C118" s="137" t="s">
        <v>310</v>
      </c>
      <c r="D118" s="133" t="s">
        <v>40</v>
      </c>
      <c r="E118" s="134" t="s">
        <v>325</v>
      </c>
      <c r="F118" s="470" t="s">
        <v>283</v>
      </c>
      <c r="G118" s="135" t="str">
        <f>VLOOKUP(A118,Plano_V3!$A$26:$G$768,7,0)</f>
        <v>1. Concluído</v>
      </c>
      <c r="H118" s="135" t="s">
        <v>612</v>
      </c>
      <c r="I118" s="467"/>
      <c r="J118" s="364" t="s">
        <v>2306</v>
      </c>
      <c r="K118" s="355" t="s">
        <v>2398</v>
      </c>
      <c r="L118" s="364"/>
      <c r="M118" s="364"/>
      <c r="N118" s="355"/>
      <c r="O118" s="364"/>
      <c r="P118" s="152" t="str">
        <f>IF(VLOOKUP(A89,'Aux - pivots1'!$A:$E,3,0)=0, "",VLOOKUP(A89,'Aux - pivots1'!$A:$E,3,0))</f>
        <v/>
      </c>
      <c r="Q118" s="152" t="str">
        <f>IF(VLOOKUP(A89,'Aux - pivots1'!$A:$E,4,0)=0, "",VLOOKUP(A89,'Aux - pivots1'!$A:$E,4,0))</f>
        <v/>
      </c>
      <c r="R118" s="152" t="str">
        <f>IF(VLOOKUP(A89,'Aux - pivots1'!$A:$E,5,0)=0, "",VLOOKUP(A89,'Aux - pivots1'!$A:$E,5,0))</f>
        <v/>
      </c>
      <c r="S118" s="198"/>
      <c r="T118" s="198"/>
      <c r="U118" s="368" t="s">
        <v>2313</v>
      </c>
      <c r="V118" s="320"/>
      <c r="W118" s="320"/>
      <c r="X118" s="320"/>
      <c r="Y118" s="368" t="s">
        <v>2361</v>
      </c>
      <c r="Z118" s="320" t="s">
        <v>1856</v>
      </c>
    </row>
    <row r="119" spans="1:26" ht="16.399999999999999" hidden="1" customHeight="1">
      <c r="A119" s="29" t="str">
        <f t="shared" si="1"/>
        <v>modesg_out_empr_info_nfinorigem_flg_rsc_fsc_agd</v>
      </c>
      <c r="B119" s="141" t="s">
        <v>26</v>
      </c>
      <c r="C119" s="137" t="s">
        <v>310</v>
      </c>
      <c r="D119" s="133" t="s">
        <v>40</v>
      </c>
      <c r="E119" s="134" t="s">
        <v>325</v>
      </c>
      <c r="F119" s="470" t="s">
        <v>317</v>
      </c>
      <c r="G119" s="135" t="str">
        <f>VLOOKUP(A119,Plano_V3!$A$26:$G$768,7,0)</f>
        <v>1. Concluído</v>
      </c>
      <c r="H119" s="135" t="s">
        <v>612</v>
      </c>
      <c r="I119" s="467"/>
      <c r="J119" s="364" t="s">
        <v>2306</v>
      </c>
      <c r="K119" s="355" t="s">
        <v>2398</v>
      </c>
      <c r="L119" s="364"/>
      <c r="M119" s="364"/>
      <c r="N119" s="355"/>
      <c r="O119" s="364"/>
      <c r="P119" s="152" t="str">
        <f>IF(VLOOKUP(A90,'Aux - pivots1'!$A:$E,3,0)=0, "",VLOOKUP(A90,'Aux - pivots1'!$A:$E,3,0))</f>
        <v/>
      </c>
      <c r="Q119" s="152" t="str">
        <f>IF(VLOOKUP(A90,'Aux - pivots1'!$A:$E,4,0)=0, "",VLOOKUP(A90,'Aux - pivots1'!$A:$E,4,0))</f>
        <v/>
      </c>
      <c r="R119" s="152" t="str">
        <f>IF(VLOOKUP(A90,'Aux - pivots1'!$A:$E,5,0)=0, "",VLOOKUP(A90,'Aux - pivots1'!$A:$E,5,0))</f>
        <v/>
      </c>
      <c r="S119" s="198"/>
      <c r="T119" s="198"/>
      <c r="U119" s="368" t="s">
        <v>2313</v>
      </c>
      <c r="V119" s="320"/>
      <c r="W119" s="320"/>
      <c r="X119" s="320"/>
      <c r="Y119" s="368" t="s">
        <v>2361</v>
      </c>
      <c r="Z119" s="320" t="s">
        <v>1856</v>
      </c>
    </row>
    <row r="120" spans="1:26" ht="16.399999999999999" hidden="1" customHeight="1">
      <c r="A120" s="29" t="str">
        <f t="shared" si="1"/>
        <v>modesg_out_empr_info_nfinorigem_flg_rsc_fsc_crnc</v>
      </c>
      <c r="B120" s="141" t="s">
        <v>26</v>
      </c>
      <c r="C120" s="137" t="s">
        <v>310</v>
      </c>
      <c r="D120" s="133" t="s">
        <v>40</v>
      </c>
      <c r="E120" s="134" t="s">
        <v>325</v>
      </c>
      <c r="F120" s="470" t="s">
        <v>318</v>
      </c>
      <c r="G120" s="135" t="str">
        <f>VLOOKUP(A120,Plano_V3!$A$26:$G$768,7,0)</f>
        <v>1. Concluído</v>
      </c>
      <c r="H120" s="135" t="s">
        <v>612</v>
      </c>
      <c r="I120" s="467"/>
      <c r="J120" s="364" t="s">
        <v>2306</v>
      </c>
      <c r="K120" s="355" t="s">
        <v>2398</v>
      </c>
      <c r="L120" s="364"/>
      <c r="M120" s="364"/>
      <c r="N120" s="355"/>
      <c r="O120" s="364"/>
      <c r="P120" s="152" t="str">
        <f>IF(VLOOKUP(A111,'Aux - pivots1'!$A:$E,3,0)=0, "",VLOOKUP(A111,'Aux - pivots1'!$A:$E,3,0))</f>
        <v/>
      </c>
      <c r="Q120" s="152" t="str">
        <f>IF(VLOOKUP(A111,'Aux - pivots1'!$A:$E,4,0)=0, "",VLOOKUP(A111,'Aux - pivots1'!$A:$E,4,0))</f>
        <v/>
      </c>
      <c r="R120" s="152" t="str">
        <f>IF(VLOOKUP(A111,'Aux - pivots1'!$A:$E,5,0)=0, "",VLOOKUP(A111,'Aux - pivots1'!$A:$E,5,0))</f>
        <v/>
      </c>
      <c r="S120" s="198"/>
      <c r="T120" s="198"/>
      <c r="U120" s="368" t="s">
        <v>2313</v>
      </c>
      <c r="V120" s="320"/>
      <c r="W120" s="320"/>
      <c r="X120" s="320"/>
      <c r="Y120" s="368" t="s">
        <v>2361</v>
      </c>
      <c r="Z120" s="320" t="s">
        <v>1856</v>
      </c>
    </row>
    <row r="121" spans="1:26" ht="16.399999999999999" hidden="1" customHeight="1">
      <c r="A121" s="29" t="str">
        <f t="shared" si="1"/>
        <v>PROPERTY_ENERGY_CERTIFICATEEP_SCORE</v>
      </c>
      <c r="B121" s="141" t="s">
        <v>26</v>
      </c>
      <c r="C121" s="137" t="s">
        <v>54</v>
      </c>
      <c r="D121" s="133" t="s">
        <v>40</v>
      </c>
      <c r="E121" s="134" t="s">
        <v>123</v>
      </c>
      <c r="F121" s="470" t="s">
        <v>135</v>
      </c>
      <c r="G121" s="135" t="str">
        <f>VLOOKUP(A121,Plano_V3!$A$26:$G$768,7,0)</f>
        <v>1. Concluído</v>
      </c>
      <c r="H121" s="135" t="s">
        <v>614</v>
      </c>
      <c r="I121" s="467"/>
      <c r="J121" s="355" t="s">
        <v>2422</v>
      </c>
      <c r="K121" s="355" t="s">
        <v>2449</v>
      </c>
      <c r="L121" s="153" t="s">
        <v>2459</v>
      </c>
      <c r="M121" s="364">
        <v>45737</v>
      </c>
      <c r="N121" s="355"/>
      <c r="O121" s="355"/>
      <c r="P121" s="152" t="str">
        <f>IF(VLOOKUP(A121,'Aux - pivots1'!$A:$E,3,0)=0, "",VLOOKUP(A121,'Aux - pivots1'!$A:$E,3,0))</f>
        <v/>
      </c>
      <c r="Q121" s="152" t="str">
        <f>IF(VLOOKUP(A121,'Aux - pivots1'!$A:$E,4,0)=0, "",VLOOKUP(A121,'Aux - pivots1'!$A:$E,4,0))</f>
        <v/>
      </c>
      <c r="R121" s="152" t="str">
        <f>IF(VLOOKUP(A121,'Aux - pivots1'!$A:$E,5,0)=0, "",VLOOKUP(A121,'Aux - pivots1'!$A:$E,5,0))</f>
        <v/>
      </c>
      <c r="S121" s="198"/>
      <c r="T121" s="198"/>
      <c r="U121" s="199"/>
      <c r="V121" s="320"/>
      <c r="W121" s="320"/>
      <c r="X121" s="320"/>
      <c r="Y121" s="368" t="s">
        <v>2320</v>
      </c>
      <c r="Z121" s="368"/>
    </row>
    <row r="122" spans="1:26" ht="16.399999999999999" hidden="1" customHeight="1">
      <c r="A122" s="29" t="str">
        <f t="shared" si="1"/>
        <v>PROPERTY_ENERGY_CERTIFICATEENERGY_CONSUMPTION_VALUE_YEAR</v>
      </c>
      <c r="B122" s="141" t="s">
        <v>26</v>
      </c>
      <c r="C122" s="137" t="s">
        <v>54</v>
      </c>
      <c r="D122" s="133" t="s">
        <v>40</v>
      </c>
      <c r="E122" s="134" t="s">
        <v>123</v>
      </c>
      <c r="F122" s="470" t="s">
        <v>51</v>
      </c>
      <c r="G122" s="135" t="str">
        <f>VLOOKUP(A122,Plano_V3!$A$26:$G$768,7,0)</f>
        <v>1. Concluído</v>
      </c>
      <c r="H122" s="135" t="s">
        <v>612</v>
      </c>
      <c r="I122" s="467"/>
      <c r="J122" s="355" t="s">
        <v>2422</v>
      </c>
      <c r="K122" s="355" t="s">
        <v>2449</v>
      </c>
      <c r="L122" s="364">
        <v>45730</v>
      </c>
      <c r="M122" s="364">
        <v>45737</v>
      </c>
      <c r="N122" s="355"/>
      <c r="O122" s="355"/>
      <c r="P122" s="152" t="str">
        <f>IF(VLOOKUP(A122,'Aux - pivots1'!$A:$E,3,0)=0, "",VLOOKUP(A122,'Aux - pivots1'!$A:$E,3,0))</f>
        <v/>
      </c>
      <c r="Q122" s="152" t="str">
        <f>IF(VLOOKUP(A122,'Aux - pivots1'!$A:$E,4,0)=0, "",VLOOKUP(A122,'Aux - pivots1'!$A:$E,4,0))</f>
        <v/>
      </c>
      <c r="R122" s="152" t="str">
        <f>IF(VLOOKUP(A122,'Aux - pivots1'!$A:$E,5,0)=0, "",VLOOKUP(A122,'Aux - pivots1'!$A:$E,5,0))</f>
        <v/>
      </c>
      <c r="S122" s="198"/>
      <c r="T122" s="198"/>
      <c r="U122" s="199"/>
      <c r="V122" s="320"/>
      <c r="W122" s="320"/>
      <c r="X122" s="320"/>
      <c r="Y122" s="368" t="s">
        <v>2320</v>
      </c>
      <c r="Z122" s="368"/>
    </row>
    <row r="123" spans="1:26" ht="16.399999999999999" hidden="1" customHeight="1">
      <c r="A123" s="29" t="str">
        <f t="shared" si="1"/>
        <v>modesg_param_sfics_taxon_europeiacod_regra</v>
      </c>
      <c r="B123" s="141" t="s">
        <v>26</v>
      </c>
      <c r="C123" s="137" t="s">
        <v>181</v>
      </c>
      <c r="D123" s="133" t="s">
        <v>40</v>
      </c>
      <c r="E123" s="134" t="s">
        <v>2096</v>
      </c>
      <c r="F123" s="470" t="s">
        <v>191</v>
      </c>
      <c r="G123" s="135" t="str">
        <f>VLOOKUP(A123,Plano_V3!$A$26:$G$768,7,0)</f>
        <v>1. Concluído</v>
      </c>
      <c r="H123" s="135" t="s">
        <v>612</v>
      </c>
      <c r="I123" s="467"/>
      <c r="J123" s="153"/>
      <c r="K123" s="355" t="s">
        <v>2449</v>
      </c>
      <c r="L123" s="364" t="s">
        <v>2459</v>
      </c>
      <c r="M123" s="364">
        <v>45737</v>
      </c>
      <c r="N123" s="355"/>
      <c r="O123" s="153"/>
      <c r="P123" s="152" t="str">
        <f>IF(VLOOKUP(A123,'Aux - pivots1'!$A:$E,3,0)=0, "",VLOOKUP(A123,'Aux - pivots1'!$A:$E,3,0))</f>
        <v/>
      </c>
      <c r="Q123" s="152" t="str">
        <f>IF(VLOOKUP(A123,'Aux - pivots1'!$A:$E,4,0)=0, "",VLOOKUP(A123,'Aux - pivots1'!$A:$E,4,0))</f>
        <v/>
      </c>
      <c r="R123" s="152" t="str">
        <f>IF(VLOOKUP(A123,'Aux - pivots1'!$A:$E,5,0)=0, "",VLOOKUP(A123,'Aux - pivots1'!$A:$E,5,0))</f>
        <v/>
      </c>
      <c r="S123" s="198"/>
      <c r="T123" s="198"/>
      <c r="U123" s="199"/>
      <c r="V123" s="320"/>
      <c r="W123" s="320"/>
      <c r="X123" s="320"/>
      <c r="Y123" s="368" t="s">
        <v>2320</v>
      </c>
      <c r="Z123" s="320" t="s">
        <v>2308</v>
      </c>
    </row>
    <row r="124" spans="1:26" ht="16.399999999999999" hidden="1" customHeight="1">
      <c r="A124" s="29" t="str">
        <f t="shared" si="1"/>
        <v>modesg_param_sfics_taxon_europeianivel</v>
      </c>
      <c r="B124" s="141" t="s">
        <v>26</v>
      </c>
      <c r="C124" s="137" t="s">
        <v>181</v>
      </c>
      <c r="D124" s="133" t="s">
        <v>40</v>
      </c>
      <c r="E124" s="134" t="s">
        <v>2096</v>
      </c>
      <c r="F124" s="470" t="s">
        <v>2407</v>
      </c>
      <c r="G124" s="135" t="str">
        <f>VLOOKUP(A124,Plano_V3!$A$26:$G$768,7,0)</f>
        <v>0. Cancelado</v>
      </c>
      <c r="H124" s="135" t="s">
        <v>611</v>
      </c>
      <c r="I124" s="467"/>
      <c r="J124" s="153"/>
      <c r="K124" s="355"/>
      <c r="L124" s="364"/>
      <c r="M124" s="364"/>
      <c r="N124" s="355"/>
      <c r="O124" s="153"/>
      <c r="P124" s="152" t="str">
        <f>IF(VLOOKUP(A124,'Aux - pivots1'!$A:$E,3,0)=0, "",VLOOKUP(A124,'Aux - pivots1'!$A:$E,3,0))</f>
        <v/>
      </c>
      <c r="Q124" s="152" t="str">
        <f>IF(VLOOKUP(A124,'Aux - pivots1'!$A:$E,4,0)=0, "",VLOOKUP(A124,'Aux - pivots1'!$A:$E,4,0))</f>
        <v/>
      </c>
      <c r="R124" s="152" t="str">
        <f>IF(VLOOKUP(A124,'Aux - pivots1'!$A:$E,5,0)=0, "",VLOOKUP(A124,'Aux - pivots1'!$A:$E,5,0))</f>
        <v/>
      </c>
      <c r="S124" s="198"/>
      <c r="T124" s="198"/>
      <c r="U124" s="199"/>
      <c r="V124" s="320"/>
      <c r="W124" s="320"/>
      <c r="X124" s="320"/>
      <c r="Y124" s="368" t="s">
        <v>2320</v>
      </c>
      <c r="Z124" s="320" t="s">
        <v>2308</v>
      </c>
    </row>
    <row r="125" spans="1:26" ht="16.399999999999999" hidden="1" customHeight="1">
      <c r="A125" s="29" t="str">
        <f t="shared" si="1"/>
        <v>modesg_param_sfics_taxon_europeiagrupo_regra</v>
      </c>
      <c r="B125" s="141" t="s">
        <v>26</v>
      </c>
      <c r="C125" s="137" t="s">
        <v>181</v>
      </c>
      <c r="D125" s="133" t="s">
        <v>40</v>
      </c>
      <c r="E125" s="134" t="s">
        <v>2096</v>
      </c>
      <c r="F125" s="470" t="s">
        <v>2415</v>
      </c>
      <c r="G125" s="135" t="str">
        <f>VLOOKUP(A125,Plano_V3!$A$26:$G$768,7,0)</f>
        <v>0. Cancelado</v>
      </c>
      <c r="H125" s="135" t="s">
        <v>611</v>
      </c>
      <c r="I125" s="467"/>
      <c r="J125" s="153"/>
      <c r="K125" s="355" t="s">
        <v>2449</v>
      </c>
      <c r="L125" s="364">
        <v>45733</v>
      </c>
      <c r="M125" s="364">
        <v>45737</v>
      </c>
      <c r="N125" s="355"/>
      <c r="O125" s="153"/>
      <c r="P125" s="152" t="str">
        <f>IF(VLOOKUP(A125,'Aux - pivots1'!$A:$E,3,0)=0, "",VLOOKUP(A125,'Aux - pivots1'!$A:$E,3,0))</f>
        <v/>
      </c>
      <c r="Q125" s="152" t="str">
        <f>IF(VLOOKUP(A125,'Aux - pivots1'!$A:$E,4,0)=0, "",VLOOKUP(A125,'Aux - pivots1'!$A:$E,4,0))</f>
        <v/>
      </c>
      <c r="R125" s="152" t="str">
        <f>IF(VLOOKUP(A125,'Aux - pivots1'!$A:$E,5,0)=0, "",VLOOKUP(A125,'Aux - pivots1'!$A:$E,5,0))</f>
        <v/>
      </c>
      <c r="S125" s="198"/>
      <c r="T125" s="198"/>
      <c r="U125" s="199"/>
      <c r="V125" s="320"/>
      <c r="W125" s="320"/>
      <c r="X125" s="320"/>
      <c r="Y125" s="368" t="s">
        <v>2424</v>
      </c>
      <c r="Z125" s="320"/>
    </row>
    <row r="126" spans="1:26" ht="16.399999999999999" hidden="1" customHeight="1">
      <c r="A126" s="29" t="str">
        <f t="shared" si="1"/>
        <v>modesg_param_sfics_taxon_europeiadscrc</v>
      </c>
      <c r="B126" s="141" t="s">
        <v>26</v>
      </c>
      <c r="C126" s="137" t="s">
        <v>181</v>
      </c>
      <c r="D126" s="133" t="s">
        <v>40</v>
      </c>
      <c r="E126" s="134" t="s">
        <v>2096</v>
      </c>
      <c r="F126" s="470" t="s">
        <v>197</v>
      </c>
      <c r="G126" s="135" t="str">
        <f>VLOOKUP(A126,Plano_V3!$A$26:$G$768,7,0)</f>
        <v>1. Concluído</v>
      </c>
      <c r="H126" s="135" t="s">
        <v>612</v>
      </c>
      <c r="I126" s="467"/>
      <c r="J126" s="153"/>
      <c r="K126" s="355" t="s">
        <v>2449</v>
      </c>
      <c r="L126" s="364" t="s">
        <v>2459</v>
      </c>
      <c r="M126" s="364">
        <v>45737</v>
      </c>
      <c r="N126" s="355"/>
      <c r="O126" s="153"/>
      <c r="P126" s="152" t="str">
        <f>IF(VLOOKUP(A126,'Aux - pivots1'!$A:$E,3,0)=0, "",VLOOKUP(A126,'Aux - pivots1'!$A:$E,3,0))</f>
        <v/>
      </c>
      <c r="Q126" s="152" t="str">
        <f>IF(VLOOKUP(A126,'Aux - pivots1'!$A:$E,4,0)=0, "",VLOOKUP(A126,'Aux - pivots1'!$A:$E,4,0))</f>
        <v/>
      </c>
      <c r="R126" s="152" t="str">
        <f>IF(VLOOKUP(A126,'Aux - pivots1'!$A:$E,5,0)=0, "",VLOOKUP(A126,'Aux - pivots1'!$A:$E,5,0))</f>
        <v/>
      </c>
      <c r="S126" s="198"/>
      <c r="T126" s="198"/>
      <c r="U126" s="199"/>
      <c r="V126" s="320"/>
      <c r="W126" s="320"/>
      <c r="X126" s="320"/>
      <c r="Y126" s="368" t="s">
        <v>2320</v>
      </c>
      <c r="Z126" s="320" t="s">
        <v>2308</v>
      </c>
    </row>
    <row r="127" spans="1:26" ht="16.399999999999999" hidden="1" customHeight="1">
      <c r="A127" s="29" t="str">
        <f t="shared" si="1"/>
        <v>modesg_param_sfics_taxon_europeiacomite</v>
      </c>
      <c r="B127" s="141" t="s">
        <v>26</v>
      </c>
      <c r="C127" s="137" t="s">
        <v>181</v>
      </c>
      <c r="D127" s="133" t="s">
        <v>40</v>
      </c>
      <c r="E127" s="134" t="s">
        <v>2096</v>
      </c>
      <c r="F127" s="470" t="s">
        <v>192</v>
      </c>
      <c r="G127" s="135" t="str">
        <f>VLOOKUP(A127,Plano_V3!$A$26:$G$768,7,0)</f>
        <v>1. Concluído</v>
      </c>
      <c r="H127" s="135" t="s">
        <v>612</v>
      </c>
      <c r="I127" s="467"/>
      <c r="J127" s="153"/>
      <c r="K127" s="355" t="s">
        <v>2449</v>
      </c>
      <c r="L127" s="364" t="s">
        <v>2459</v>
      </c>
      <c r="M127" s="364">
        <v>45737</v>
      </c>
      <c r="N127" s="355"/>
      <c r="O127" s="153"/>
      <c r="P127" s="152" t="str">
        <f>IF(VLOOKUP(A127,'Aux - pivots1'!$A:$E,3,0)=0, "",VLOOKUP(A127,'Aux - pivots1'!$A:$E,3,0))</f>
        <v/>
      </c>
      <c r="Q127" s="152" t="str">
        <f>IF(VLOOKUP(A127,'Aux - pivots1'!$A:$E,4,0)=0, "",VLOOKUP(A127,'Aux - pivots1'!$A:$E,4,0))</f>
        <v/>
      </c>
      <c r="R127" s="152" t="str">
        <f>IF(VLOOKUP(A127,'Aux - pivots1'!$A:$E,5,0)=0, "",VLOOKUP(A127,'Aux - pivots1'!$A:$E,5,0))</f>
        <v/>
      </c>
      <c r="S127" s="198"/>
      <c r="T127" s="198"/>
      <c r="U127" s="199"/>
      <c r="V127" s="320"/>
      <c r="W127" s="320"/>
      <c r="X127" s="320"/>
      <c r="Y127" s="368" t="s">
        <v>2320</v>
      </c>
      <c r="Z127" s="320" t="s">
        <v>2308</v>
      </c>
    </row>
    <row r="128" spans="1:26" ht="16.399999999999999" hidden="1" customHeight="1">
      <c r="A128" s="29" t="str">
        <f t="shared" si="1"/>
        <v>modesg_param_sfics_taxon_europeiadata_aprvc</v>
      </c>
      <c r="B128" s="141" t="s">
        <v>26</v>
      </c>
      <c r="C128" s="137" t="s">
        <v>181</v>
      </c>
      <c r="D128" s="133" t="s">
        <v>40</v>
      </c>
      <c r="E128" s="134" t="s">
        <v>2096</v>
      </c>
      <c r="F128" s="470" t="s">
        <v>193</v>
      </c>
      <c r="G128" s="135" t="str">
        <f>VLOOKUP(A128,Plano_V3!$A$26:$G$768,7,0)</f>
        <v>1. Concluído</v>
      </c>
      <c r="H128" s="135" t="s">
        <v>612</v>
      </c>
      <c r="I128" s="467"/>
      <c r="J128" s="153"/>
      <c r="K128" s="355" t="s">
        <v>2449</v>
      </c>
      <c r="L128" s="364" t="s">
        <v>2459</v>
      </c>
      <c r="M128" s="364">
        <v>45737</v>
      </c>
      <c r="N128" s="355"/>
      <c r="O128" s="153"/>
      <c r="P128" s="152" t="str">
        <f>IF(VLOOKUP(A128,'Aux - pivots1'!$A:$E,3,0)=0, "",VLOOKUP(A128,'Aux - pivots1'!$A:$E,3,0))</f>
        <v/>
      </c>
      <c r="Q128" s="152" t="str">
        <f>IF(VLOOKUP(A128,'Aux - pivots1'!$A:$E,4,0)=0, "",VLOOKUP(A128,'Aux - pivots1'!$A:$E,4,0))</f>
        <v/>
      </c>
      <c r="R128" s="152" t="str">
        <f>IF(VLOOKUP(A128,'Aux - pivots1'!$A:$E,5,0)=0, "",VLOOKUP(A128,'Aux - pivots1'!$A:$E,5,0))</f>
        <v/>
      </c>
      <c r="S128" s="198"/>
      <c r="T128" s="198"/>
      <c r="U128" s="199"/>
      <c r="V128" s="320"/>
      <c r="W128" s="320"/>
      <c r="X128" s="320"/>
      <c r="Y128" s="368" t="s">
        <v>2320</v>
      </c>
      <c r="Z128" s="320" t="s">
        <v>2308</v>
      </c>
    </row>
    <row r="129" spans="1:26" ht="16.399999999999999" hidden="1" customHeight="1">
      <c r="A129" s="29" t="str">
        <f t="shared" si="1"/>
        <v>modesg_param_sfics_taxon_europeiadata_inicial</v>
      </c>
      <c r="B129" s="141" t="s">
        <v>26</v>
      </c>
      <c r="C129" s="137" t="s">
        <v>181</v>
      </c>
      <c r="D129" s="133" t="s">
        <v>40</v>
      </c>
      <c r="E129" s="134" t="s">
        <v>2096</v>
      </c>
      <c r="F129" s="470" t="s">
        <v>195</v>
      </c>
      <c r="G129" s="135" t="str">
        <f>VLOOKUP(A129,Plano_V3!$A$26:$G$768,7,0)</f>
        <v>1. Concluído</v>
      </c>
      <c r="H129" s="135" t="s">
        <v>612</v>
      </c>
      <c r="I129" s="467"/>
      <c r="J129" s="153"/>
      <c r="K129" s="355" t="s">
        <v>2449</v>
      </c>
      <c r="L129" s="364" t="s">
        <v>2459</v>
      </c>
      <c r="M129" s="364">
        <v>45737</v>
      </c>
      <c r="N129" s="355"/>
      <c r="O129" s="153"/>
      <c r="P129" s="152" t="str">
        <f>IF(VLOOKUP(A129,'Aux - pivots1'!$A:$E,3,0)=0, "",VLOOKUP(A129,'Aux - pivots1'!$A:$E,3,0))</f>
        <v/>
      </c>
      <c r="Q129" s="152" t="str">
        <f>IF(VLOOKUP(A129,'Aux - pivots1'!$A:$E,4,0)=0, "",VLOOKUP(A129,'Aux - pivots1'!$A:$E,4,0))</f>
        <v/>
      </c>
      <c r="R129" s="152" t="str">
        <f>IF(VLOOKUP(A129,'Aux - pivots1'!$A:$E,5,0)=0, "",VLOOKUP(A129,'Aux - pivots1'!$A:$E,5,0))</f>
        <v/>
      </c>
      <c r="S129" s="198"/>
      <c r="T129" s="198"/>
      <c r="U129" s="199"/>
      <c r="V129" s="320"/>
      <c r="W129" s="320"/>
      <c r="X129" s="320"/>
      <c r="Y129" s="368" t="s">
        <v>2320</v>
      </c>
      <c r="Z129" s="320" t="s">
        <v>2308</v>
      </c>
    </row>
    <row r="130" spans="1:26" ht="16.399999999999999" hidden="1" customHeight="1">
      <c r="A130" s="29" t="str">
        <f t="shared" si="1"/>
        <v>modesg_param_sfics_taxon_europeiadata_final</v>
      </c>
      <c r="B130" s="141" t="s">
        <v>26</v>
      </c>
      <c r="C130" s="137" t="s">
        <v>181</v>
      </c>
      <c r="D130" s="133" t="s">
        <v>40</v>
      </c>
      <c r="E130" s="134" t="s">
        <v>2096</v>
      </c>
      <c r="F130" s="470" t="s">
        <v>194</v>
      </c>
      <c r="G130" s="135" t="str">
        <f>VLOOKUP(A130,Plano_V3!$A$26:$G$768,7,0)</f>
        <v>1. Concluído</v>
      </c>
      <c r="H130" s="135" t="s">
        <v>612</v>
      </c>
      <c r="I130" s="467"/>
      <c r="J130" s="153"/>
      <c r="K130" s="355" t="s">
        <v>2449</v>
      </c>
      <c r="L130" s="364" t="s">
        <v>2459</v>
      </c>
      <c r="M130" s="364">
        <v>45737</v>
      </c>
      <c r="N130" s="355"/>
      <c r="O130" s="153"/>
      <c r="P130" s="152" t="str">
        <f>IF(VLOOKUP(A130,'Aux - pivots1'!$A:$E,3,0)=0, "",VLOOKUP(A130,'Aux - pivots1'!$A:$E,3,0))</f>
        <v/>
      </c>
      <c r="Q130" s="152" t="str">
        <f>IF(VLOOKUP(A130,'Aux - pivots1'!$A:$E,4,0)=0, "",VLOOKUP(A130,'Aux - pivots1'!$A:$E,4,0))</f>
        <v/>
      </c>
      <c r="R130" s="152" t="str">
        <f>IF(VLOOKUP(A130,'Aux - pivots1'!$A:$E,5,0)=0, "",VLOOKUP(A130,'Aux - pivots1'!$A:$E,5,0))</f>
        <v/>
      </c>
      <c r="S130" s="198"/>
      <c r="T130" s="198"/>
      <c r="U130" s="199"/>
      <c r="V130" s="320"/>
      <c r="W130" s="320"/>
      <c r="X130" s="320"/>
      <c r="Y130" s="368" t="s">
        <v>2320</v>
      </c>
      <c r="Z130" s="320" t="s">
        <v>2308</v>
      </c>
    </row>
    <row r="131" spans="1:26" ht="16.399999999999999" hidden="1" customHeight="1">
      <c r="A131" s="29" t="str">
        <f t="shared" si="1"/>
        <v>modesg_param_sfics_taxon_europeiazcliente</v>
      </c>
      <c r="B131" s="141" t="s">
        <v>26</v>
      </c>
      <c r="C131" s="137" t="s">
        <v>181</v>
      </c>
      <c r="D131" s="133" t="s">
        <v>40</v>
      </c>
      <c r="E131" s="134" t="s">
        <v>2096</v>
      </c>
      <c r="F131" s="470" t="s">
        <v>209</v>
      </c>
      <c r="G131" s="135" t="str">
        <f>VLOOKUP(A131,Plano_V3!$A$26:$G$768,7,0)</f>
        <v>1. Concluído</v>
      </c>
      <c r="H131" s="135" t="s">
        <v>612</v>
      </c>
      <c r="I131" s="467"/>
      <c r="J131" s="153"/>
      <c r="K131" s="355" t="s">
        <v>2449</v>
      </c>
      <c r="L131" s="364" t="s">
        <v>2459</v>
      </c>
      <c r="M131" s="364">
        <v>45737</v>
      </c>
      <c r="N131" s="355"/>
      <c r="O131" s="153"/>
      <c r="P131" s="152" t="str">
        <f>IF(VLOOKUP(A131,'Aux - pivots1'!$A:$E,3,0)=0, "",VLOOKUP(A131,'Aux - pivots1'!$A:$E,3,0))</f>
        <v/>
      </c>
      <c r="Q131" s="152" t="str">
        <f>IF(VLOOKUP(A131,'Aux - pivots1'!$A:$E,4,0)=0, "",VLOOKUP(A131,'Aux - pivots1'!$A:$E,4,0))</f>
        <v/>
      </c>
      <c r="R131" s="152" t="str">
        <f>IF(VLOOKUP(A131,'Aux - pivots1'!$A:$E,5,0)=0, "",VLOOKUP(A131,'Aux - pivots1'!$A:$E,5,0))</f>
        <v/>
      </c>
      <c r="S131" s="198"/>
      <c r="T131" s="198"/>
      <c r="U131" s="199"/>
      <c r="V131" s="320"/>
      <c r="W131" s="320"/>
      <c r="X131" s="320"/>
      <c r="Y131" s="368" t="s">
        <v>2320</v>
      </c>
      <c r="Z131" s="320" t="s">
        <v>2308</v>
      </c>
    </row>
    <row r="132" spans="1:26" ht="16.399999999999999" hidden="1" customHeight="1">
      <c r="A132" s="29" t="str">
        <f t="shared" si="1"/>
        <v>modesg_param_sfics_taxon_europeiacempcta</v>
      </c>
      <c r="B132" s="141" t="s">
        <v>26</v>
      </c>
      <c r="C132" s="137" t="s">
        <v>181</v>
      </c>
      <c r="D132" s="133" t="s">
        <v>40</v>
      </c>
      <c r="E132" s="134" t="s">
        <v>2096</v>
      </c>
      <c r="F132" s="470" t="s">
        <v>2402</v>
      </c>
      <c r="G132" s="135" t="str">
        <f>VLOOKUP(A132,Plano_V3!$A$26:$G$768,7,0)</f>
        <v>1. Concluído</v>
      </c>
      <c r="H132" s="135" t="s">
        <v>612</v>
      </c>
      <c r="I132" s="467"/>
      <c r="J132" s="153"/>
      <c r="K132" s="355" t="s">
        <v>2449</v>
      </c>
      <c r="L132" s="364" t="s">
        <v>2459</v>
      </c>
      <c r="M132" s="364">
        <v>45737</v>
      </c>
      <c r="N132" s="355"/>
      <c r="O132" s="153"/>
      <c r="P132" s="152" t="str">
        <f>IF(VLOOKUP(A132,'Aux - pivots1'!$A:$E,3,0)=0, "",VLOOKUP(A132,'Aux - pivots1'!$A:$E,3,0))</f>
        <v/>
      </c>
      <c r="Q132" s="152" t="str">
        <f>IF(VLOOKUP(A132,'Aux - pivots1'!$A:$E,4,0)=0, "",VLOOKUP(A132,'Aux - pivots1'!$A:$E,4,0))</f>
        <v/>
      </c>
      <c r="R132" s="152" t="str">
        <f>IF(VLOOKUP(A132,'Aux - pivots1'!$A:$E,5,0)=0, "",VLOOKUP(A132,'Aux - pivots1'!$A:$E,5,0))</f>
        <v/>
      </c>
      <c r="S132" s="198"/>
      <c r="T132" s="198"/>
      <c r="U132" s="199"/>
      <c r="V132" s="320"/>
      <c r="W132" s="320"/>
      <c r="X132" s="320"/>
      <c r="Y132" s="368" t="s">
        <v>2322</v>
      </c>
      <c r="Z132" s="320" t="s">
        <v>2308</v>
      </c>
    </row>
    <row r="133" spans="1:26" ht="16.399999999999999" hidden="1" customHeight="1">
      <c r="A133" s="29" t="str">
        <f t="shared" si="1"/>
        <v>modesg_param_sfics_taxon_europeiackbalcao</v>
      </c>
      <c r="B133" s="141" t="s">
        <v>26</v>
      </c>
      <c r="C133" s="137" t="s">
        <v>181</v>
      </c>
      <c r="D133" s="133" t="s">
        <v>40</v>
      </c>
      <c r="E133" s="134" t="s">
        <v>2096</v>
      </c>
      <c r="F133" s="470" t="s">
        <v>457</v>
      </c>
      <c r="G133" s="135" t="str">
        <f>VLOOKUP(A133,Plano_V3!$A$26:$G$768,7,0)</f>
        <v>1. Concluído</v>
      </c>
      <c r="H133" s="135" t="s">
        <v>612</v>
      </c>
      <c r="I133" s="467"/>
      <c r="J133" s="153"/>
      <c r="K133" s="355" t="s">
        <v>2449</v>
      </c>
      <c r="L133" s="364" t="s">
        <v>2459</v>
      </c>
      <c r="M133" s="364">
        <v>45737</v>
      </c>
      <c r="N133" s="355"/>
      <c r="O133" s="153"/>
      <c r="P133" s="152" t="str">
        <f>IF(VLOOKUP(A133,'Aux - pivots1'!$A:$E,3,0)=0, "",VLOOKUP(A133,'Aux - pivots1'!$A:$E,3,0))</f>
        <v/>
      </c>
      <c r="Q133" s="152" t="str">
        <f>IF(VLOOKUP(A133,'Aux - pivots1'!$A:$E,4,0)=0, "",VLOOKUP(A133,'Aux - pivots1'!$A:$E,4,0))</f>
        <v/>
      </c>
      <c r="R133" s="152" t="str">
        <f>IF(VLOOKUP(A133,'Aux - pivots1'!$A:$E,5,0)=0, "",VLOOKUP(A133,'Aux - pivots1'!$A:$E,5,0))</f>
        <v/>
      </c>
      <c r="S133" s="198"/>
      <c r="T133" s="198"/>
      <c r="U133" s="199"/>
      <c r="V133" s="320"/>
      <c r="W133" s="320"/>
      <c r="X133" s="320"/>
      <c r="Y133" s="368" t="s">
        <v>2320</v>
      </c>
      <c r="Z133" s="320" t="s">
        <v>2308</v>
      </c>
    </row>
    <row r="134" spans="1:26" ht="16.399999999999999" hidden="1" customHeight="1">
      <c r="A134" s="29" t="str">
        <f t="shared" si="1"/>
        <v>modesg_param_sfics_taxon_europeiacknumcta</v>
      </c>
      <c r="B134" s="141" t="s">
        <v>26</v>
      </c>
      <c r="C134" s="137" t="s">
        <v>181</v>
      </c>
      <c r="D134" s="133" t="s">
        <v>40</v>
      </c>
      <c r="E134" s="134" t="s">
        <v>2096</v>
      </c>
      <c r="F134" s="470" t="s">
        <v>458</v>
      </c>
      <c r="G134" s="135" t="str">
        <f>VLOOKUP(A134,Plano_V3!$A$26:$G$768,7,0)</f>
        <v>1. Concluído</v>
      </c>
      <c r="H134" s="135" t="s">
        <v>612</v>
      </c>
      <c r="I134" s="467"/>
      <c r="J134" s="153"/>
      <c r="K134" s="355" t="s">
        <v>2449</v>
      </c>
      <c r="L134" s="364" t="s">
        <v>2459</v>
      </c>
      <c r="M134" s="364">
        <v>45737</v>
      </c>
      <c r="N134" s="355"/>
      <c r="O134" s="153"/>
      <c r="P134" s="152" t="str">
        <f>IF(VLOOKUP(A134,'Aux - pivots1'!$A:$E,3,0)=0, "",VLOOKUP(A134,'Aux - pivots1'!$A:$E,3,0))</f>
        <v/>
      </c>
      <c r="Q134" s="152" t="str">
        <f>IF(VLOOKUP(A134,'Aux - pivots1'!$A:$E,4,0)=0, "",VLOOKUP(A134,'Aux - pivots1'!$A:$E,4,0))</f>
        <v/>
      </c>
      <c r="R134" s="152" t="str">
        <f>IF(VLOOKUP(A134,'Aux - pivots1'!$A:$E,5,0)=0, "",VLOOKUP(A134,'Aux - pivots1'!$A:$E,5,0))</f>
        <v/>
      </c>
      <c r="S134" s="198"/>
      <c r="T134" s="198"/>
      <c r="U134" s="199"/>
      <c r="V134" s="320"/>
      <c r="W134" s="320"/>
      <c r="X134" s="320"/>
      <c r="Y134" s="368" t="s">
        <v>2320</v>
      </c>
      <c r="Z134" s="320" t="s">
        <v>2308</v>
      </c>
    </row>
    <row r="135" spans="1:26" ht="16.399999999999999" hidden="1" customHeight="1">
      <c r="A135" s="29" t="str">
        <f t="shared" si="1"/>
        <v>modesg_param_sfics_taxon_europeiazdeposit</v>
      </c>
      <c r="B135" s="141" t="s">
        <v>26</v>
      </c>
      <c r="C135" s="137" t="s">
        <v>181</v>
      </c>
      <c r="D135" s="133" t="s">
        <v>40</v>
      </c>
      <c r="E135" s="134" t="s">
        <v>2096</v>
      </c>
      <c r="F135" s="470" t="s">
        <v>210</v>
      </c>
      <c r="G135" s="135" t="str">
        <f>VLOOKUP(A135,Plano_V3!$A$26:$G$768,7,0)</f>
        <v>1. Concluído</v>
      </c>
      <c r="H135" s="135" t="s">
        <v>612</v>
      </c>
      <c r="I135" s="467"/>
      <c r="J135" s="153"/>
      <c r="K135" s="355" t="s">
        <v>2449</v>
      </c>
      <c r="L135" s="364" t="s">
        <v>2459</v>
      </c>
      <c r="M135" s="364">
        <v>45737</v>
      </c>
      <c r="N135" s="355"/>
      <c r="O135" s="153"/>
      <c r="P135" s="152" t="str">
        <f>IF(VLOOKUP(A135,'Aux - pivots1'!$A:$E,3,0)=0, "",VLOOKUP(A135,'Aux - pivots1'!$A:$E,3,0))</f>
        <v/>
      </c>
      <c r="Q135" s="152" t="str">
        <f>IF(VLOOKUP(A135,'Aux - pivots1'!$A:$E,4,0)=0, "",VLOOKUP(A135,'Aux - pivots1'!$A:$E,4,0))</f>
        <v/>
      </c>
      <c r="R135" s="152" t="str">
        <f>IF(VLOOKUP(A135,'Aux - pivots1'!$A:$E,5,0)=0, "",VLOOKUP(A135,'Aux - pivots1'!$A:$E,5,0))</f>
        <v/>
      </c>
      <c r="S135" s="198"/>
      <c r="T135" s="198"/>
      <c r="U135" s="199"/>
      <c r="V135" s="320"/>
      <c r="W135" s="320"/>
      <c r="X135" s="320"/>
      <c r="Y135" s="368" t="s">
        <v>2320</v>
      </c>
      <c r="Z135" s="320" t="s">
        <v>2308</v>
      </c>
    </row>
    <row r="136" spans="1:26" ht="16.399999999999999" hidden="1" customHeight="1">
      <c r="A136" s="29" t="str">
        <f t="shared" si="1"/>
        <v>modesg_param_sfics_taxon_europeiackmetamis</v>
      </c>
      <c r="B136" s="141" t="s">
        <v>26</v>
      </c>
      <c r="C136" s="137" t="s">
        <v>181</v>
      </c>
      <c r="D136" s="133" t="s">
        <v>40</v>
      </c>
      <c r="E136" s="134" t="s">
        <v>2096</v>
      </c>
      <c r="F136" s="470" t="s">
        <v>185</v>
      </c>
      <c r="G136" s="135" t="str">
        <f>VLOOKUP(A136,Plano_V3!$A$26:$G$768,7,0)</f>
        <v>1. Concluído</v>
      </c>
      <c r="H136" s="135" t="s">
        <v>612</v>
      </c>
      <c r="I136" s="467"/>
      <c r="J136" s="153"/>
      <c r="K136" s="355" t="s">
        <v>2449</v>
      </c>
      <c r="L136" s="364" t="s">
        <v>2459</v>
      </c>
      <c r="M136" s="364">
        <v>45737</v>
      </c>
      <c r="N136" s="355"/>
      <c r="O136" s="153"/>
      <c r="P136" s="152" t="str">
        <f>IF(VLOOKUP(A136,'Aux - pivots1'!$A:$E,3,0)=0, "",VLOOKUP(A136,'Aux - pivots1'!$A:$E,3,0))</f>
        <v/>
      </c>
      <c r="Q136" s="152" t="str">
        <f>IF(VLOOKUP(A136,'Aux - pivots1'!$A:$E,4,0)=0, "",VLOOKUP(A136,'Aux - pivots1'!$A:$E,4,0))</f>
        <v/>
      </c>
      <c r="R136" s="152" t="str">
        <f>IF(VLOOKUP(A136,'Aux - pivots1'!$A:$E,5,0)=0, "",VLOOKUP(A136,'Aux - pivots1'!$A:$E,5,0))</f>
        <v/>
      </c>
      <c r="S136" s="198"/>
      <c r="T136" s="198"/>
      <c r="U136" s="199"/>
      <c r="V136" s="320"/>
      <c r="W136" s="320"/>
      <c r="X136" s="320"/>
      <c r="Y136" s="368" t="s">
        <v>2320</v>
      </c>
      <c r="Z136" s="320" t="s">
        <v>2308</v>
      </c>
    </row>
    <row r="137" spans="1:26" ht="16.399999999999999" hidden="1" customHeight="1">
      <c r="A137" s="29" t="str">
        <f t="shared" ref="A137:A200" si="2">E137&amp;F137</f>
        <v>modesg_param_sfics_taxon_europeiackprodmi</v>
      </c>
      <c r="B137" s="141" t="s">
        <v>26</v>
      </c>
      <c r="C137" s="137" t="s">
        <v>181</v>
      </c>
      <c r="D137" s="133" t="s">
        <v>40</v>
      </c>
      <c r="E137" s="134" t="s">
        <v>2096</v>
      </c>
      <c r="F137" s="470" t="s">
        <v>186</v>
      </c>
      <c r="G137" s="135" t="str">
        <f>VLOOKUP(A137,Plano_V3!$A$26:$G$768,7,0)</f>
        <v>1. Concluído</v>
      </c>
      <c r="H137" s="135" t="s">
        <v>612</v>
      </c>
      <c r="I137" s="467"/>
      <c r="J137" s="153"/>
      <c r="K137" s="355" t="s">
        <v>2449</v>
      </c>
      <c r="L137" s="364" t="s">
        <v>2459</v>
      </c>
      <c r="M137" s="364">
        <v>45737</v>
      </c>
      <c r="N137" s="355"/>
      <c r="O137" s="153"/>
      <c r="P137" s="152" t="str">
        <f>IF(VLOOKUP(A137,'Aux - pivots1'!$A:$E,3,0)=0, "",VLOOKUP(A137,'Aux - pivots1'!$A:$E,3,0))</f>
        <v/>
      </c>
      <c r="Q137" s="152" t="str">
        <f>IF(VLOOKUP(A137,'Aux - pivots1'!$A:$E,4,0)=0, "",VLOOKUP(A137,'Aux - pivots1'!$A:$E,4,0))</f>
        <v/>
      </c>
      <c r="R137" s="152" t="str">
        <f>IF(VLOOKUP(A137,'Aux - pivots1'!$A:$E,5,0)=0, "",VLOOKUP(A137,'Aux - pivots1'!$A:$E,5,0))</f>
        <v/>
      </c>
      <c r="S137" s="198"/>
      <c r="T137" s="198"/>
      <c r="U137" s="199"/>
      <c r="V137" s="320"/>
      <c r="W137" s="320"/>
      <c r="X137" s="320"/>
      <c r="Y137" s="368" t="s">
        <v>2320</v>
      </c>
      <c r="Z137" s="320" t="s">
        <v>2308</v>
      </c>
    </row>
    <row r="138" spans="1:26" ht="16.399999999999999" hidden="1" customHeight="1">
      <c r="A138" s="29" t="str">
        <f t="shared" si="2"/>
        <v>modesg_param_sfics_taxon_europeiacmetanseg</v>
      </c>
      <c r="B138" s="141" t="s">
        <v>26</v>
      </c>
      <c r="C138" s="137" t="s">
        <v>181</v>
      </c>
      <c r="D138" s="133" t="s">
        <v>40</v>
      </c>
      <c r="E138" s="134" t="s">
        <v>2096</v>
      </c>
      <c r="F138" s="470" t="s">
        <v>187</v>
      </c>
      <c r="G138" s="135" t="str">
        <f>VLOOKUP(A138,Plano_V3!$A$26:$G$768,7,0)</f>
        <v>1. Concluído</v>
      </c>
      <c r="H138" s="135" t="s">
        <v>612</v>
      </c>
      <c r="I138" s="467"/>
      <c r="J138" s="153"/>
      <c r="K138" s="355" t="s">
        <v>2449</v>
      </c>
      <c r="L138" s="364" t="s">
        <v>2459</v>
      </c>
      <c r="M138" s="364">
        <v>45737</v>
      </c>
      <c r="N138" s="355"/>
      <c r="O138" s="153"/>
      <c r="P138" s="152" t="str">
        <f>IF(VLOOKUP(A138,'Aux - pivots1'!$A:$E,3,0)=0, "",VLOOKUP(A138,'Aux - pivots1'!$A:$E,3,0))</f>
        <v/>
      </c>
      <c r="Q138" s="152" t="str">
        <f>IF(VLOOKUP(A138,'Aux - pivots1'!$A:$E,4,0)=0, "",VLOOKUP(A138,'Aux - pivots1'!$A:$E,4,0))</f>
        <v/>
      </c>
      <c r="R138" s="152" t="str">
        <f>IF(VLOOKUP(A138,'Aux - pivots1'!$A:$E,5,0)=0, "",VLOOKUP(A138,'Aux - pivots1'!$A:$E,5,0))</f>
        <v/>
      </c>
      <c r="S138" s="198"/>
      <c r="T138" s="198"/>
      <c r="U138" s="199"/>
      <c r="V138" s="320"/>
      <c r="W138" s="320"/>
      <c r="X138" s="320"/>
      <c r="Y138" s="368" t="s">
        <v>2320</v>
      </c>
      <c r="Z138" s="320" t="s">
        <v>2308</v>
      </c>
    </row>
    <row r="139" spans="1:26" ht="16.399999999999999" hidden="1" customHeight="1">
      <c r="A139" s="29" t="str">
        <f t="shared" si="2"/>
        <v>modesg_param_sfics_taxon_europeiaepc</v>
      </c>
      <c r="B139" s="141" t="s">
        <v>26</v>
      </c>
      <c r="C139" s="137" t="s">
        <v>181</v>
      </c>
      <c r="D139" s="133" t="s">
        <v>40</v>
      </c>
      <c r="E139" s="134" t="s">
        <v>2096</v>
      </c>
      <c r="F139" s="472" t="s">
        <v>198</v>
      </c>
      <c r="G139" s="135" t="str">
        <f>VLOOKUP(A139,Plano_V3!$A$26:$G$768,7,0)</f>
        <v>1. Concluído</v>
      </c>
      <c r="H139" s="135" t="s">
        <v>612</v>
      </c>
      <c r="I139" s="467"/>
      <c r="J139" s="482"/>
      <c r="K139" s="355" t="s">
        <v>2449</v>
      </c>
      <c r="L139" s="364" t="s">
        <v>2459</v>
      </c>
      <c r="M139" s="364">
        <v>45737</v>
      </c>
      <c r="N139" s="355"/>
      <c r="O139" s="482"/>
      <c r="P139" s="152" t="str">
        <f>IF(VLOOKUP(A139,'Aux - pivots1'!$A:$E,3,0)=0, "",VLOOKUP(A139,'Aux - pivots1'!$A:$E,3,0))</f>
        <v/>
      </c>
      <c r="Q139" s="152" t="str">
        <f>IF(VLOOKUP(A139,'Aux - pivots1'!$A:$E,4,0)=0, "",VLOOKUP(A139,'Aux - pivots1'!$A:$E,4,0))</f>
        <v/>
      </c>
      <c r="R139" s="152" t="str">
        <f>IF(VLOOKUP(A139,'Aux - pivots1'!$A:$E,5,0)=0, "",VLOOKUP(A139,'Aux - pivots1'!$A:$E,5,0))</f>
        <v/>
      </c>
      <c r="S139" s="198"/>
      <c r="T139" s="198"/>
      <c r="U139" s="199"/>
      <c r="V139" s="320"/>
      <c r="W139" s="320"/>
      <c r="X139" s="320"/>
      <c r="Y139" s="368" t="s">
        <v>2322</v>
      </c>
      <c r="Z139" s="320" t="s">
        <v>2308</v>
      </c>
    </row>
    <row r="140" spans="1:26" ht="16.399999999999999" hidden="1" customHeight="1">
      <c r="A140" s="29" t="str">
        <f t="shared" si="2"/>
        <v>modesg_param_sfics_taxon_europeiaambito</v>
      </c>
      <c r="B140" s="141" t="s">
        <v>26</v>
      </c>
      <c r="C140" s="137" t="s">
        <v>181</v>
      </c>
      <c r="D140" s="133" t="s">
        <v>40</v>
      </c>
      <c r="E140" s="134" t="s">
        <v>2096</v>
      </c>
      <c r="F140" s="470" t="s">
        <v>390</v>
      </c>
      <c r="G140" s="135" t="str">
        <f>VLOOKUP(A140,Plano_V3!$A$26:$G$768,7,0)</f>
        <v>1. Concluído</v>
      </c>
      <c r="H140" s="135" t="s">
        <v>612</v>
      </c>
      <c r="I140" s="467"/>
      <c r="J140" s="153"/>
      <c r="K140" s="355" t="s">
        <v>2449</v>
      </c>
      <c r="L140" s="364" t="s">
        <v>2459</v>
      </c>
      <c r="M140" s="364">
        <v>45737</v>
      </c>
      <c r="N140" s="355"/>
      <c r="O140" s="153"/>
      <c r="P140" s="152" t="str">
        <f>IF(VLOOKUP(A140,'Aux - pivots1'!$A:$E,3,0)=0, "",VLOOKUP(A140,'Aux - pivots1'!$A:$E,3,0))</f>
        <v/>
      </c>
      <c r="Q140" s="152" t="str">
        <f>IF(VLOOKUP(A140,'Aux - pivots1'!$A:$E,4,0)=0, "",VLOOKUP(A140,'Aux - pivots1'!$A:$E,4,0))</f>
        <v/>
      </c>
      <c r="R140" s="152" t="str">
        <f>IF(VLOOKUP(A140,'Aux - pivots1'!$A:$E,5,0)=0, "",VLOOKUP(A140,'Aux - pivots1'!$A:$E,5,0))</f>
        <v/>
      </c>
      <c r="S140" s="198"/>
      <c r="T140" s="198"/>
      <c r="U140" s="199"/>
      <c r="V140" s="320"/>
      <c r="W140" s="320"/>
      <c r="X140" s="320"/>
      <c r="Y140" s="368" t="s">
        <v>2320</v>
      </c>
      <c r="Z140" s="320" t="s">
        <v>2308</v>
      </c>
    </row>
    <row r="141" spans="1:26" ht="16.399999999999999" hidden="1" customHeight="1">
      <c r="A141" s="29" t="str">
        <f t="shared" si="2"/>
        <v>modesg_param_sfics_taxon_europeianome_ctgr_sfics</v>
      </c>
      <c r="B141" s="141" t="s">
        <v>26</v>
      </c>
      <c r="C141" s="137" t="s">
        <v>181</v>
      </c>
      <c r="D141" s="133" t="s">
        <v>40</v>
      </c>
      <c r="E141" s="134" t="s">
        <v>2096</v>
      </c>
      <c r="F141" s="470" t="s">
        <v>2047</v>
      </c>
      <c r="G141" s="135" t="str">
        <f>VLOOKUP(A141,Plano_V3!$A$26:$G$768,7,0)</f>
        <v>1. Concluído</v>
      </c>
      <c r="H141" s="135" t="s">
        <v>612</v>
      </c>
      <c r="I141" s="467"/>
      <c r="J141" s="153"/>
      <c r="K141" s="355" t="s">
        <v>2449</v>
      </c>
      <c r="L141" s="364" t="s">
        <v>2459</v>
      </c>
      <c r="M141" s="364">
        <v>45737</v>
      </c>
      <c r="N141" s="355"/>
      <c r="O141" s="153"/>
      <c r="P141" s="152" t="str">
        <f>IF(VLOOKUP(A141,'Aux - pivots1'!$A:$E,3,0)=0, "",VLOOKUP(A141,'Aux - pivots1'!$A:$E,3,0))</f>
        <v/>
      </c>
      <c r="Q141" s="152" t="str">
        <f>IF(VLOOKUP(A141,'Aux - pivots1'!$A:$E,4,0)=0, "",VLOOKUP(A141,'Aux - pivots1'!$A:$E,4,0))</f>
        <v/>
      </c>
      <c r="R141" s="152" t="str">
        <f>IF(VLOOKUP(A141,'Aux - pivots1'!$A:$E,5,0)=0, "",VLOOKUP(A141,'Aux - pivots1'!$A:$E,5,0))</f>
        <v/>
      </c>
      <c r="S141" s="198"/>
      <c r="T141" s="198"/>
      <c r="U141" s="199"/>
      <c r="V141" s="320"/>
      <c r="W141" s="320"/>
      <c r="X141" s="320"/>
      <c r="Y141" s="368" t="s">
        <v>2320</v>
      </c>
      <c r="Z141" s="320" t="s">
        <v>2308</v>
      </c>
    </row>
    <row r="142" spans="1:26" ht="16.399999999999999" hidden="1" customHeight="1">
      <c r="A142" s="29" t="str">
        <f t="shared" si="2"/>
        <v>modesg_param_sfics_taxon_europeiamontante_pndrc</v>
      </c>
      <c r="B142" s="141" t="s">
        <v>26</v>
      </c>
      <c r="C142" s="137" t="s">
        <v>181</v>
      </c>
      <c r="D142" s="133" t="s">
        <v>40</v>
      </c>
      <c r="E142" s="134" t="s">
        <v>2096</v>
      </c>
      <c r="F142" s="470" t="s">
        <v>202</v>
      </c>
      <c r="G142" s="135" t="str">
        <f>VLOOKUP(A142,Plano_V3!$A$26:$G$768,7,0)</f>
        <v>1. Concluído</v>
      </c>
      <c r="H142" s="135" t="s">
        <v>612</v>
      </c>
      <c r="I142" s="467"/>
      <c r="J142" s="153"/>
      <c r="K142" s="355" t="s">
        <v>2449</v>
      </c>
      <c r="L142" s="364" t="s">
        <v>2459</v>
      </c>
      <c r="M142" s="364">
        <v>45737</v>
      </c>
      <c r="N142" s="355"/>
      <c r="O142" s="153"/>
      <c r="P142" s="152" t="str">
        <f>IF(VLOOKUP(A142,'Aux - pivots1'!$A:$E,3,0)=0, "",VLOOKUP(A142,'Aux - pivots1'!$A:$E,3,0))</f>
        <v/>
      </c>
      <c r="Q142" s="152" t="str">
        <f>IF(VLOOKUP(A142,'Aux - pivots1'!$A:$E,4,0)=0, "",VLOOKUP(A142,'Aux - pivots1'!$A:$E,4,0))</f>
        <v/>
      </c>
      <c r="R142" s="152" t="str">
        <f>IF(VLOOKUP(A142,'Aux - pivots1'!$A:$E,5,0)=0, "",VLOOKUP(A142,'Aux - pivots1'!$A:$E,5,0))</f>
        <v/>
      </c>
      <c r="S142" s="198"/>
      <c r="T142" s="198"/>
      <c r="U142" s="199"/>
      <c r="V142" s="320"/>
      <c r="W142" s="320"/>
      <c r="X142" s="320"/>
      <c r="Y142" s="368" t="s">
        <v>2322</v>
      </c>
      <c r="Z142" s="320" t="s">
        <v>2308</v>
      </c>
    </row>
    <row r="143" spans="1:26" ht="16.399999999999999" hidden="1" customHeight="1">
      <c r="A143" s="29" t="str">
        <f t="shared" si="2"/>
        <v>modesg_param_sfics_taxon_europeiacontraparte</v>
      </c>
      <c r="B143" s="141" t="s">
        <v>26</v>
      </c>
      <c r="C143" s="137" t="s">
        <v>181</v>
      </c>
      <c r="D143" s="133" t="s">
        <v>40</v>
      </c>
      <c r="E143" s="134" t="s">
        <v>2096</v>
      </c>
      <c r="F143" s="470" t="s">
        <v>394</v>
      </c>
      <c r="G143" s="135" t="str">
        <f>VLOOKUP(A143,Plano_V3!$A$26:$G$768,7,0)</f>
        <v>1. Concluído</v>
      </c>
      <c r="H143" s="135" t="s">
        <v>612</v>
      </c>
      <c r="I143" s="467"/>
      <c r="J143" s="153"/>
      <c r="K143" s="355" t="s">
        <v>2449</v>
      </c>
      <c r="L143" s="364" t="s">
        <v>2459</v>
      </c>
      <c r="M143" s="364">
        <v>45737</v>
      </c>
      <c r="N143" s="355"/>
      <c r="O143" s="153"/>
      <c r="P143" s="152" t="str">
        <f>IF(VLOOKUP(A143,'Aux - pivots1'!$A:$E,3,0)=0, "",VLOOKUP(A143,'Aux - pivots1'!$A:$E,3,0))</f>
        <v/>
      </c>
      <c r="Q143" s="152" t="str">
        <f>IF(VLOOKUP(A143,'Aux - pivots1'!$A:$E,4,0)=0, "",VLOOKUP(A143,'Aux - pivots1'!$A:$E,4,0))</f>
        <v/>
      </c>
      <c r="R143" s="152" t="str">
        <f>IF(VLOOKUP(A143,'Aux - pivots1'!$A:$E,5,0)=0, "",VLOOKUP(A143,'Aux - pivots1'!$A:$E,5,0))</f>
        <v/>
      </c>
      <c r="S143" s="198"/>
      <c r="T143" s="198"/>
      <c r="U143" s="199"/>
      <c r="V143" s="320"/>
      <c r="W143" s="320"/>
      <c r="X143" s="320"/>
      <c r="Y143" s="368" t="s">
        <v>2322</v>
      </c>
      <c r="Z143" s="320" t="s">
        <v>2308</v>
      </c>
    </row>
    <row r="144" spans="1:26" ht="16.399999999999999" hidden="1" customHeight="1">
      <c r="A144" s="29" t="str">
        <f t="shared" si="2"/>
        <v>modesg_param_sfics_taxon_europeiaflag_project_finance</v>
      </c>
      <c r="B144" s="141" t="s">
        <v>26</v>
      </c>
      <c r="C144" s="137" t="s">
        <v>181</v>
      </c>
      <c r="D144" s="133" t="s">
        <v>40</v>
      </c>
      <c r="E144" s="134" t="s">
        <v>2096</v>
      </c>
      <c r="F144" s="470" t="s">
        <v>199</v>
      </c>
      <c r="G144" s="135" t="str">
        <f>VLOOKUP(A144,Plano_V3!$A$26:$G$768,7,0)</f>
        <v>1. Concluído</v>
      </c>
      <c r="H144" s="135" t="s">
        <v>612</v>
      </c>
      <c r="I144" s="467"/>
      <c r="J144" s="142"/>
      <c r="K144" s="355" t="s">
        <v>2449</v>
      </c>
      <c r="L144" s="364" t="s">
        <v>2459</v>
      </c>
      <c r="M144" s="364">
        <v>45737</v>
      </c>
      <c r="N144" s="355"/>
      <c r="O144" s="142"/>
      <c r="P144" s="152" t="str">
        <f>IF(VLOOKUP(A144,'Aux - pivots1'!$A:$E,3,0)=0, "",VLOOKUP(A144,'Aux - pivots1'!$A:$E,3,0))</f>
        <v/>
      </c>
      <c r="Q144" s="152" t="str">
        <f>IF(VLOOKUP(A144,'Aux - pivots1'!$A:$E,4,0)=0, "",VLOOKUP(A144,'Aux - pivots1'!$A:$E,4,0))</f>
        <v/>
      </c>
      <c r="R144" s="152" t="str">
        <f>IF(VLOOKUP(A144,'Aux - pivots1'!$A:$E,5,0)=0, "",VLOOKUP(A144,'Aux - pivots1'!$A:$E,5,0))</f>
        <v/>
      </c>
      <c r="S144" s="198"/>
      <c r="T144" s="198"/>
      <c r="U144" s="199"/>
      <c r="V144" s="320"/>
      <c r="W144" s="320"/>
      <c r="X144" s="320"/>
      <c r="Y144" s="368" t="s">
        <v>2322</v>
      </c>
      <c r="Z144" s="320" t="s">
        <v>2308</v>
      </c>
    </row>
    <row r="145" spans="1:26" ht="16.399999999999999" hidden="1" customHeight="1">
      <c r="A145" s="29" t="str">
        <f t="shared" si="2"/>
        <v>modesg_param_sfics_taxon_europeiacgarante_bem</v>
      </c>
      <c r="B145" s="141" t="s">
        <v>26</v>
      </c>
      <c r="C145" s="137" t="s">
        <v>181</v>
      </c>
      <c r="D145" s="133" t="s">
        <v>40</v>
      </c>
      <c r="E145" s="134" t="s">
        <v>2096</v>
      </c>
      <c r="F145" s="470" t="s">
        <v>2409</v>
      </c>
      <c r="G145" s="135" t="str">
        <f>VLOOKUP(A145,Plano_V3!$A$26:$G$768,7,0)</f>
        <v>1. Concluído</v>
      </c>
      <c r="H145" s="135" t="s">
        <v>612</v>
      </c>
      <c r="I145" s="467"/>
      <c r="J145" s="142"/>
      <c r="K145" s="355" t="s">
        <v>2449</v>
      </c>
      <c r="L145" s="364" t="s">
        <v>2459</v>
      </c>
      <c r="M145" s="364">
        <v>45737</v>
      </c>
      <c r="N145" s="355"/>
      <c r="O145" s="142"/>
      <c r="P145" s="152" t="str">
        <f>IF(VLOOKUP(A145,'Aux - pivots1'!$A:$E,3,0)=0, "",VLOOKUP(A145,'Aux - pivots1'!$A:$E,3,0))</f>
        <v/>
      </c>
      <c r="Q145" s="152" t="str">
        <f>IF(VLOOKUP(A145,'Aux - pivots1'!$A:$E,4,0)=0, "",VLOOKUP(A145,'Aux - pivots1'!$A:$E,4,0))</f>
        <v/>
      </c>
      <c r="R145" s="152" t="str">
        <f>IF(VLOOKUP(A145,'Aux - pivots1'!$A:$E,5,0)=0, "",VLOOKUP(A145,'Aux - pivots1'!$A:$E,5,0))</f>
        <v/>
      </c>
      <c r="S145" s="198"/>
      <c r="T145" s="198"/>
      <c r="U145" s="199"/>
      <c r="V145" s="320"/>
      <c r="W145" s="320"/>
      <c r="X145" s="320"/>
      <c r="Y145" s="368" t="s">
        <v>2322</v>
      </c>
      <c r="Z145" s="320" t="s">
        <v>2308</v>
      </c>
    </row>
    <row r="146" spans="1:26" ht="16.399999999999999" hidden="1" customHeight="1">
      <c r="A146" s="29" t="str">
        <f t="shared" si="2"/>
        <v>modesg_param_sfics_taxon_europeiaprdt_sprdt</v>
      </c>
      <c r="B146" s="141" t="s">
        <v>26</v>
      </c>
      <c r="C146" s="137" t="s">
        <v>181</v>
      </c>
      <c r="D146" s="133" t="s">
        <v>40</v>
      </c>
      <c r="E146" s="134" t="s">
        <v>2096</v>
      </c>
      <c r="F146" s="470" t="s">
        <v>2048</v>
      </c>
      <c r="G146" s="135" t="str">
        <f>VLOOKUP(A146,Plano_V3!$A$26:$G$768,7,0)</f>
        <v>1. Concluído</v>
      </c>
      <c r="H146" s="135" t="s">
        <v>612</v>
      </c>
      <c r="I146" s="467"/>
      <c r="J146" s="142"/>
      <c r="K146" s="355" t="s">
        <v>2449</v>
      </c>
      <c r="L146" s="364" t="s">
        <v>2459</v>
      </c>
      <c r="M146" s="364">
        <v>45737</v>
      </c>
      <c r="N146" s="355"/>
      <c r="O146" s="142"/>
      <c r="P146" s="152" t="str">
        <f>IF(VLOOKUP(A146,'Aux - pivots1'!$A:$E,3,0)=0, "",VLOOKUP(A146,'Aux - pivots1'!$A:$E,3,0))</f>
        <v/>
      </c>
      <c r="Q146" s="152" t="str">
        <f>IF(VLOOKUP(A146,'Aux - pivots1'!$A:$E,4,0)=0, "",VLOOKUP(A146,'Aux - pivots1'!$A:$E,4,0))</f>
        <v/>
      </c>
      <c r="R146" s="152" t="str">
        <f>IF(VLOOKUP(A146,'Aux - pivots1'!$A:$E,5,0)=0, "",VLOOKUP(A146,'Aux - pivots1'!$A:$E,5,0))</f>
        <v/>
      </c>
      <c r="S146" s="198"/>
      <c r="T146" s="198"/>
      <c r="U146" s="199"/>
      <c r="V146" s="320"/>
      <c r="W146" s="320"/>
      <c r="X146" s="320"/>
      <c r="Y146" s="368" t="s">
        <v>2322</v>
      </c>
      <c r="Z146" s="320" t="s">
        <v>2308</v>
      </c>
    </row>
    <row r="147" spans="1:26" ht="16.399999999999999" hidden="1" customHeight="1">
      <c r="A147" s="29" t="str">
        <f t="shared" si="2"/>
        <v>modesg_param_sfics_taxon_europeiaflg_csrd</v>
      </c>
      <c r="B147" s="141" t="s">
        <v>26</v>
      </c>
      <c r="C147" s="137" t="s">
        <v>181</v>
      </c>
      <c r="D147" s="133" t="s">
        <v>40</v>
      </c>
      <c r="E147" s="134" t="s">
        <v>2096</v>
      </c>
      <c r="F147" s="470" t="s">
        <v>2049</v>
      </c>
      <c r="G147" s="135" t="str">
        <f>VLOOKUP(A147,Plano_V3!$A$26:$G$768,7,0)</f>
        <v>1. Concluído</v>
      </c>
      <c r="H147" s="135" t="s">
        <v>612</v>
      </c>
      <c r="I147" s="467"/>
      <c r="J147" s="142"/>
      <c r="K147" s="355" t="s">
        <v>2449</v>
      </c>
      <c r="L147" s="364" t="s">
        <v>2459</v>
      </c>
      <c r="M147" s="364">
        <v>45737</v>
      </c>
      <c r="N147" s="355"/>
      <c r="O147" s="142"/>
      <c r="P147" s="152" t="str">
        <f>IF(VLOOKUP(A147,'Aux - pivots1'!$A:$E,3,0)=0, "",VLOOKUP(A147,'Aux - pivots1'!$A:$E,3,0))</f>
        <v/>
      </c>
      <c r="Q147" s="152" t="str">
        <f>IF(VLOOKUP(A147,'Aux - pivots1'!$A:$E,4,0)=0, "",VLOOKUP(A147,'Aux - pivots1'!$A:$E,4,0))</f>
        <v/>
      </c>
      <c r="R147" s="152" t="str">
        <f>IF(VLOOKUP(A147,'Aux - pivots1'!$A:$E,5,0)=0, "",VLOOKUP(A147,'Aux - pivots1'!$A:$E,5,0))</f>
        <v/>
      </c>
      <c r="S147" s="198"/>
      <c r="T147" s="198"/>
      <c r="U147" s="199"/>
      <c r="V147" s="320"/>
      <c r="W147" s="320"/>
      <c r="X147" s="320"/>
      <c r="Y147" s="368" t="s">
        <v>2322</v>
      </c>
      <c r="Z147" s="320" t="s">
        <v>2308</v>
      </c>
    </row>
    <row r="148" spans="1:26" ht="16.399999999999999" hidden="1" customHeight="1">
      <c r="A148" s="29" t="str">
        <f t="shared" si="2"/>
        <v>modesg_param_sfics_taxon_europeiacombustivel</v>
      </c>
      <c r="B148" s="141" t="s">
        <v>26</v>
      </c>
      <c r="C148" s="137" t="s">
        <v>181</v>
      </c>
      <c r="D148" s="133" t="s">
        <v>40</v>
      </c>
      <c r="E148" s="134" t="s">
        <v>2096</v>
      </c>
      <c r="F148" s="470" t="s">
        <v>2050</v>
      </c>
      <c r="G148" s="135" t="str">
        <f>VLOOKUP(A148,Plano_V3!$A$26:$G$768,7,0)</f>
        <v>1. Concluído</v>
      </c>
      <c r="H148" s="135" t="s">
        <v>612</v>
      </c>
      <c r="I148" s="467"/>
      <c r="J148" s="142"/>
      <c r="K148" s="355" t="s">
        <v>2449</v>
      </c>
      <c r="L148" s="364" t="s">
        <v>2459</v>
      </c>
      <c r="M148" s="364">
        <v>45737</v>
      </c>
      <c r="N148" s="355"/>
      <c r="O148" s="142"/>
      <c r="P148" s="152" t="str">
        <f>IF(VLOOKUP(A148,'Aux - pivots1'!$A:$E,3,0)=0, "",VLOOKUP(A148,'Aux - pivots1'!$A:$E,3,0))</f>
        <v/>
      </c>
      <c r="Q148" s="152" t="str">
        <f>IF(VLOOKUP(A148,'Aux - pivots1'!$A:$E,4,0)=0, "",VLOOKUP(A148,'Aux - pivots1'!$A:$E,4,0))</f>
        <v/>
      </c>
      <c r="R148" s="152" t="str">
        <f>IF(VLOOKUP(A148,'Aux - pivots1'!$A:$E,5,0)=0, "",VLOOKUP(A148,'Aux - pivots1'!$A:$E,5,0))</f>
        <v/>
      </c>
      <c r="S148" s="198"/>
      <c r="T148" s="198"/>
      <c r="U148" s="199"/>
      <c r="V148" s="320"/>
      <c r="W148" s="320"/>
      <c r="X148" s="320"/>
      <c r="Y148" s="368" t="s">
        <v>2322</v>
      </c>
      <c r="Z148" s="320" t="s">
        <v>2308</v>
      </c>
    </row>
    <row r="149" spans="1:26" ht="16.399999999999999" hidden="1" customHeight="1">
      <c r="A149" s="29" t="str">
        <f t="shared" si="2"/>
        <v>modesg_param_sfics_taxon_europeiaco2</v>
      </c>
      <c r="B149" s="141" t="s">
        <v>26</v>
      </c>
      <c r="C149" s="137" t="s">
        <v>181</v>
      </c>
      <c r="D149" s="133" t="s">
        <v>40</v>
      </c>
      <c r="E149" s="134" t="s">
        <v>2096</v>
      </c>
      <c r="F149" s="470" t="s">
        <v>2051</v>
      </c>
      <c r="G149" s="135" t="str">
        <f>VLOOKUP(A149,Plano_V3!$A$26:$G$768,7,0)</f>
        <v>1. Concluído</v>
      </c>
      <c r="H149" s="135" t="s">
        <v>612</v>
      </c>
      <c r="I149" s="467"/>
      <c r="J149" s="153"/>
      <c r="K149" s="355" t="s">
        <v>2449</v>
      </c>
      <c r="L149" s="364" t="s">
        <v>2459</v>
      </c>
      <c r="M149" s="364">
        <v>45737</v>
      </c>
      <c r="N149" s="355"/>
      <c r="O149" s="153"/>
      <c r="P149" s="152" t="str">
        <f>IF(VLOOKUP(A149,'Aux - pivots1'!$A:$E,3,0)=0, "",VLOOKUP(A149,'Aux - pivots1'!$A:$E,3,0))</f>
        <v/>
      </c>
      <c r="Q149" s="152" t="str">
        <f>IF(VLOOKUP(A149,'Aux - pivots1'!$A:$E,4,0)=0, "",VLOOKUP(A149,'Aux - pivots1'!$A:$E,4,0))</f>
        <v/>
      </c>
      <c r="R149" s="152" t="str">
        <f>IF(VLOOKUP(A149,'Aux - pivots1'!$A:$E,5,0)=0, "",VLOOKUP(A149,'Aux - pivots1'!$A:$E,5,0))</f>
        <v/>
      </c>
      <c r="S149" s="198"/>
      <c r="T149" s="198"/>
      <c r="U149" s="199"/>
      <c r="V149" s="320"/>
      <c r="W149" s="320"/>
      <c r="X149" s="320"/>
      <c r="Y149" s="368" t="s">
        <v>2322</v>
      </c>
      <c r="Z149" s="320" t="s">
        <v>2308</v>
      </c>
    </row>
    <row r="150" spans="1:26" ht="16.399999999999999" hidden="1" customHeight="1">
      <c r="A150" s="29" t="str">
        <f t="shared" si="2"/>
        <v>modesg_param_sfics_taxon_europeiacfamilia</v>
      </c>
      <c r="B150" s="141" t="s">
        <v>26</v>
      </c>
      <c r="C150" s="137" t="s">
        <v>181</v>
      </c>
      <c r="D150" s="133" t="s">
        <v>40</v>
      </c>
      <c r="E150" s="134" t="s">
        <v>2096</v>
      </c>
      <c r="F150" s="470" t="s">
        <v>2052</v>
      </c>
      <c r="G150" s="135" t="str">
        <f>VLOOKUP(A150,Plano_V3!$A$26:$G$768,7,0)</f>
        <v>1. Concluído</v>
      </c>
      <c r="H150" s="135" t="s">
        <v>612</v>
      </c>
      <c r="I150" s="467"/>
      <c r="J150" s="153"/>
      <c r="K150" s="355" t="s">
        <v>2449</v>
      </c>
      <c r="L150" s="364" t="s">
        <v>2459</v>
      </c>
      <c r="M150" s="364">
        <v>45737</v>
      </c>
      <c r="N150" s="355"/>
      <c r="O150" s="153"/>
      <c r="P150" s="152" t="str">
        <f>IF(VLOOKUP(A150,'Aux - pivots1'!$A:$E,3,0)=0, "",VLOOKUP(A150,'Aux - pivots1'!$A:$E,3,0))</f>
        <v/>
      </c>
      <c r="Q150" s="152" t="str">
        <f>IF(VLOOKUP(A150,'Aux - pivots1'!$A:$E,4,0)=0, "",VLOOKUP(A150,'Aux - pivots1'!$A:$E,4,0))</f>
        <v/>
      </c>
      <c r="R150" s="152" t="str">
        <f>IF(VLOOKUP(A150,'Aux - pivots1'!$A:$E,5,0)=0, "",VLOOKUP(A150,'Aux - pivots1'!$A:$E,5,0))</f>
        <v/>
      </c>
      <c r="S150" s="198"/>
      <c r="T150" s="198"/>
      <c r="U150" s="199"/>
      <c r="V150" s="320"/>
      <c r="W150" s="320"/>
      <c r="X150" s="320"/>
      <c r="Y150" s="368" t="s">
        <v>2322</v>
      </c>
      <c r="Z150" s="320" t="s">
        <v>2308</v>
      </c>
    </row>
    <row r="151" spans="1:26" ht="16.399999999999999" hidden="1" customHeight="1">
      <c r="A151" s="29" t="str">
        <f t="shared" si="2"/>
        <v>modesg_param_sfics_taxon_europeiaflg_rsc_fsc_crnc</v>
      </c>
      <c r="B151" s="141" t="s">
        <v>26</v>
      </c>
      <c r="C151" s="137" t="s">
        <v>181</v>
      </c>
      <c r="D151" s="133" t="s">
        <v>40</v>
      </c>
      <c r="E151" s="134" t="s">
        <v>2096</v>
      </c>
      <c r="F151" s="470" t="s">
        <v>283</v>
      </c>
      <c r="G151" s="135" t="str">
        <f>VLOOKUP(A151,Plano_V3!$A$26:$G$768,7,0)</f>
        <v>1. Concluído</v>
      </c>
      <c r="H151" s="135" t="s">
        <v>612</v>
      </c>
      <c r="I151" s="467"/>
      <c r="J151" s="153"/>
      <c r="K151" s="355" t="s">
        <v>2449</v>
      </c>
      <c r="L151" s="364" t="s">
        <v>2459</v>
      </c>
      <c r="M151" s="364">
        <v>45737</v>
      </c>
      <c r="N151" s="355"/>
      <c r="O151" s="481"/>
      <c r="P151" s="152" t="str">
        <f>IF(VLOOKUP(A151,'Aux - pivots1'!$A:$E,3,0)=0, "",VLOOKUP(A151,'Aux - pivots1'!$A:$E,3,0))</f>
        <v/>
      </c>
      <c r="Q151" s="152" t="str">
        <f>IF(VLOOKUP(A151,'Aux - pivots1'!$A:$E,4,0)=0, "",VLOOKUP(A151,'Aux - pivots1'!$A:$E,4,0))</f>
        <v/>
      </c>
      <c r="R151" s="152" t="str">
        <f>IF(VLOOKUP(A151,'Aux - pivots1'!$A:$E,5,0)=0, "",VLOOKUP(A151,'Aux - pivots1'!$A:$E,5,0))</f>
        <v/>
      </c>
      <c r="S151" s="198"/>
      <c r="T151" s="198"/>
      <c r="U151" s="199"/>
      <c r="V151" s="320"/>
      <c r="W151" s="320"/>
      <c r="X151" s="320"/>
      <c r="Y151" s="368" t="s">
        <v>2320</v>
      </c>
      <c r="Z151" s="320" t="s">
        <v>2308</v>
      </c>
    </row>
    <row r="152" spans="1:26" ht="16.399999999999999" hidden="1" customHeight="1">
      <c r="A152" s="29" t="str">
        <f t="shared" si="2"/>
        <v>modesg_param_sfics_taxon_europeiaflg_rsc_fsc_agd</v>
      </c>
      <c r="B152" s="141" t="s">
        <v>26</v>
      </c>
      <c r="C152" s="137" t="s">
        <v>181</v>
      </c>
      <c r="D152" s="133" t="s">
        <v>40</v>
      </c>
      <c r="E152" s="134" t="s">
        <v>2096</v>
      </c>
      <c r="F152" s="470" t="s">
        <v>282</v>
      </c>
      <c r="G152" s="135" t="str">
        <f>VLOOKUP(A152,Plano_V3!$A$26:$G$768,7,0)</f>
        <v>1. Concluído</v>
      </c>
      <c r="H152" s="135" t="s">
        <v>612</v>
      </c>
      <c r="I152" s="467"/>
      <c r="J152" s="480"/>
      <c r="K152" s="355" t="s">
        <v>2449</v>
      </c>
      <c r="L152" s="364" t="s">
        <v>2459</v>
      </c>
      <c r="M152" s="364">
        <v>45737</v>
      </c>
      <c r="N152" s="355"/>
      <c r="O152" s="480"/>
      <c r="P152" s="152" t="str">
        <f>IF(VLOOKUP(A152,'Aux - pivots1'!$A:$E,3,0)=0, "",VLOOKUP(A152,'Aux - pivots1'!$A:$E,3,0))</f>
        <v/>
      </c>
      <c r="Q152" s="152" t="str">
        <f>IF(VLOOKUP(A152,'Aux - pivots1'!$A:$E,4,0)=0, "",VLOOKUP(A152,'Aux - pivots1'!$A:$E,4,0))</f>
        <v/>
      </c>
      <c r="R152" s="152" t="str">
        <f>IF(VLOOKUP(A152,'Aux - pivots1'!$A:$E,5,0)=0, "",VLOOKUP(A152,'Aux - pivots1'!$A:$E,5,0))</f>
        <v/>
      </c>
      <c r="S152" s="198"/>
      <c r="T152" s="198"/>
      <c r="U152" s="199"/>
      <c r="V152" s="320"/>
      <c r="W152" s="320"/>
      <c r="X152" s="320"/>
      <c r="Y152" s="368" t="s">
        <v>2320</v>
      </c>
      <c r="Z152" s="320" t="s">
        <v>2308</v>
      </c>
    </row>
    <row r="153" spans="1:26" ht="16.399999999999999" hidden="1" customHeight="1">
      <c r="A153" s="29" t="str">
        <f t="shared" si="2"/>
        <v>modesg_param_sfics_taxon_europeiaproperty_purpose_code</v>
      </c>
      <c r="B153" s="141" t="s">
        <v>26</v>
      </c>
      <c r="C153" s="137" t="s">
        <v>181</v>
      </c>
      <c r="D153" s="133" t="s">
        <v>40</v>
      </c>
      <c r="E153" s="134" t="s">
        <v>2096</v>
      </c>
      <c r="F153" s="470" t="s">
        <v>2053</v>
      </c>
      <c r="G153" s="135" t="str">
        <f>VLOOKUP(A153,Plano_V3!$A$26:$G$768,7,0)</f>
        <v>1. Concluído</v>
      </c>
      <c r="H153" s="135" t="s">
        <v>612</v>
      </c>
      <c r="I153" s="467"/>
      <c r="J153" s="480"/>
      <c r="K153" s="355" t="s">
        <v>2449</v>
      </c>
      <c r="L153" s="364" t="s">
        <v>2459</v>
      </c>
      <c r="M153" s="364">
        <v>45737</v>
      </c>
      <c r="N153" s="355"/>
      <c r="O153" s="480"/>
      <c r="P153" s="152" t="str">
        <f>IF(VLOOKUP(A153,'Aux - pivots1'!$A:$E,3,0)=0, "",VLOOKUP(A153,'Aux - pivots1'!$A:$E,3,0))</f>
        <v/>
      </c>
      <c r="Q153" s="152" t="str">
        <f>IF(VLOOKUP(A153,'Aux - pivots1'!$A:$E,4,0)=0, "",VLOOKUP(A153,'Aux - pivots1'!$A:$E,4,0))</f>
        <v/>
      </c>
      <c r="R153" s="152" t="str">
        <f>IF(VLOOKUP(A153,'Aux - pivots1'!$A:$E,5,0)=0, "",VLOOKUP(A153,'Aux - pivots1'!$A:$E,5,0))</f>
        <v/>
      </c>
      <c r="S153" s="198"/>
      <c r="T153" s="198"/>
      <c r="U153" s="199"/>
      <c r="V153" s="320"/>
      <c r="W153" s="320"/>
      <c r="X153" s="320"/>
      <c r="Y153" s="368" t="s">
        <v>2322</v>
      </c>
      <c r="Z153" s="320" t="s">
        <v>2308</v>
      </c>
    </row>
    <row r="154" spans="1:26" ht="16.399999999999999" hidden="1" customHeight="1">
      <c r="A154" s="29" t="str">
        <f t="shared" si="2"/>
        <v>modesg_param_sfics_taxon_europeiadabertur</v>
      </c>
      <c r="B154" s="141" t="s">
        <v>26</v>
      </c>
      <c r="C154" s="137" t="s">
        <v>181</v>
      </c>
      <c r="D154" s="133" t="s">
        <v>40</v>
      </c>
      <c r="E154" s="134" t="s">
        <v>2096</v>
      </c>
      <c r="F154" s="470" t="s">
        <v>2054</v>
      </c>
      <c r="G154" s="135" t="str">
        <f>VLOOKUP(A154,Plano_V3!$A$26:$G$768,7,0)</f>
        <v>1. Concluído</v>
      </c>
      <c r="H154" s="135" t="s">
        <v>612</v>
      </c>
      <c r="I154" s="467"/>
      <c r="J154" s="480"/>
      <c r="K154" s="355" t="s">
        <v>2449</v>
      </c>
      <c r="L154" s="364" t="s">
        <v>2459</v>
      </c>
      <c r="M154" s="364">
        <v>45737</v>
      </c>
      <c r="N154" s="355"/>
      <c r="O154" s="480"/>
      <c r="P154" s="152" t="str">
        <f>IF(VLOOKUP(A154,'Aux - pivots1'!$A:$E,3,0)=0, "",VLOOKUP(A154,'Aux - pivots1'!$A:$E,3,0))</f>
        <v/>
      </c>
      <c r="Q154" s="152" t="str">
        <f>IF(VLOOKUP(A154,'Aux - pivots1'!$A:$E,4,0)=0, "",VLOOKUP(A154,'Aux - pivots1'!$A:$E,4,0))</f>
        <v/>
      </c>
      <c r="R154" s="152" t="str">
        <f>IF(VLOOKUP(A154,'Aux - pivots1'!$A:$E,5,0)=0, "",VLOOKUP(A154,'Aux - pivots1'!$A:$E,5,0))</f>
        <v/>
      </c>
      <c r="S154" s="198"/>
      <c r="T154" s="198"/>
      <c r="U154" s="199"/>
      <c r="V154" s="320"/>
      <c r="W154" s="320"/>
      <c r="X154" s="320"/>
      <c r="Y154" s="368" t="s">
        <v>2377</v>
      </c>
      <c r="Z154" s="320" t="s">
        <v>2308</v>
      </c>
    </row>
    <row r="155" spans="1:26" ht="16.399999999999999" hidden="1" customHeight="1">
      <c r="A155" s="29" t="str">
        <f t="shared" si="2"/>
        <v>modesg_param_sfics_taxon_europeiatipo_eqp</v>
      </c>
      <c r="B155" s="141" t="s">
        <v>26</v>
      </c>
      <c r="C155" s="137" t="s">
        <v>181</v>
      </c>
      <c r="D155" s="133" t="s">
        <v>40</v>
      </c>
      <c r="E155" s="134" t="s">
        <v>2096</v>
      </c>
      <c r="F155" s="470" t="s">
        <v>2055</v>
      </c>
      <c r="G155" s="135" t="str">
        <f>VLOOKUP(A155,Plano_V3!$A$26:$G$768,7,0)</f>
        <v>1. Concluído</v>
      </c>
      <c r="H155" s="135" t="s">
        <v>612</v>
      </c>
      <c r="I155" s="467"/>
      <c r="J155" s="142"/>
      <c r="K155" s="355" t="s">
        <v>2449</v>
      </c>
      <c r="L155" s="364" t="s">
        <v>2459</v>
      </c>
      <c r="M155" s="364">
        <v>45737</v>
      </c>
      <c r="N155" s="355"/>
      <c r="O155" s="480"/>
      <c r="P155" s="152" t="str">
        <f>IF(VLOOKUP(A155,'Aux - pivots1'!$A:$E,3,0)=0, "",VLOOKUP(A155,'Aux - pivots1'!$A:$E,3,0))</f>
        <v/>
      </c>
      <c r="Q155" s="152" t="str">
        <f>IF(VLOOKUP(A155,'Aux - pivots1'!$A:$E,4,0)=0, "",VLOOKUP(A155,'Aux - pivots1'!$A:$E,4,0))</f>
        <v/>
      </c>
      <c r="R155" s="152" t="str">
        <f>IF(VLOOKUP(A155,'Aux - pivots1'!$A:$E,5,0)=0, "",VLOOKUP(A155,'Aux - pivots1'!$A:$E,5,0))</f>
        <v/>
      </c>
      <c r="S155" s="198"/>
      <c r="T155" s="198"/>
      <c r="U155" s="199"/>
      <c r="V155" s="320"/>
      <c r="W155" s="320"/>
      <c r="X155" s="320"/>
      <c r="Y155" s="368" t="s">
        <v>2377</v>
      </c>
      <c r="Z155" s="320" t="s">
        <v>2308</v>
      </c>
    </row>
    <row r="156" spans="1:26" ht="16.399999999999999" hidden="1" customHeight="1">
      <c r="A156" s="29" t="str">
        <f t="shared" si="2"/>
        <v>modesg_param_sfics_taxon_europeiaconstruction_year</v>
      </c>
      <c r="B156" s="141" t="s">
        <v>26</v>
      </c>
      <c r="C156" s="137" t="s">
        <v>181</v>
      </c>
      <c r="D156" s="133" t="s">
        <v>40</v>
      </c>
      <c r="E156" s="134" t="s">
        <v>2096</v>
      </c>
      <c r="F156" s="470" t="s">
        <v>2056</v>
      </c>
      <c r="G156" s="135" t="str">
        <f>VLOOKUP(A156,Plano_V3!$A$26:$G$768,7,0)</f>
        <v>1. Concluído</v>
      </c>
      <c r="H156" s="135" t="s">
        <v>612</v>
      </c>
      <c r="I156" s="467"/>
      <c r="J156" s="142"/>
      <c r="K156" s="355" t="s">
        <v>2449</v>
      </c>
      <c r="L156" s="364" t="s">
        <v>2459</v>
      </c>
      <c r="M156" s="364">
        <v>45737</v>
      </c>
      <c r="N156" s="355"/>
      <c r="O156" s="480"/>
      <c r="P156" s="152" t="str">
        <f>IF(VLOOKUP(A156,'Aux - pivots1'!$A:$E,3,0)=0, "",VLOOKUP(A156,'Aux - pivots1'!$A:$E,3,0))</f>
        <v/>
      </c>
      <c r="Q156" s="152" t="str">
        <f>IF(VLOOKUP(A156,'Aux - pivots1'!$A:$E,4,0)=0, "",VLOOKUP(A156,'Aux - pivots1'!$A:$E,4,0))</f>
        <v/>
      </c>
      <c r="R156" s="152" t="str">
        <f>IF(VLOOKUP(A156,'Aux - pivots1'!$A:$E,5,0)=0, "",VLOOKUP(A156,'Aux - pivots1'!$A:$E,5,0))</f>
        <v/>
      </c>
      <c r="S156" s="198"/>
      <c r="T156" s="198"/>
      <c r="U156" s="199"/>
      <c r="V156" s="320"/>
      <c r="W156" s="320"/>
      <c r="X156" s="320"/>
      <c r="Y156" s="368" t="s">
        <v>2320</v>
      </c>
      <c r="Z156" s="320" t="s">
        <v>2308</v>
      </c>
    </row>
    <row r="157" spans="1:26" ht="16.399999999999999" hidden="1" customHeight="1">
      <c r="A157" s="29" t="str">
        <f t="shared" si="2"/>
        <v>modesg_param_sfics_taxon_europeiaref_date</v>
      </c>
      <c r="B157" s="141" t="s">
        <v>26</v>
      </c>
      <c r="C157" s="137" t="s">
        <v>181</v>
      </c>
      <c r="D157" s="133" t="s">
        <v>40</v>
      </c>
      <c r="E157" s="134" t="s">
        <v>2096</v>
      </c>
      <c r="F157" s="470" t="s">
        <v>208</v>
      </c>
      <c r="G157" s="135" t="str">
        <f>VLOOKUP(A157,Plano_V3!$A$26:$G$768,7,0)</f>
        <v>1. Concluído</v>
      </c>
      <c r="H157" s="135" t="s">
        <v>612</v>
      </c>
      <c r="I157" s="467"/>
      <c r="J157" s="153"/>
      <c r="K157" s="355" t="s">
        <v>2449</v>
      </c>
      <c r="L157" s="364" t="s">
        <v>2459</v>
      </c>
      <c r="M157" s="364">
        <v>45737</v>
      </c>
      <c r="N157" s="355"/>
      <c r="O157" s="481"/>
      <c r="P157" s="152" t="str">
        <f>IF(VLOOKUP(A157,'Aux - pivots1'!$A:$E,3,0)=0, "",VLOOKUP(A157,'Aux - pivots1'!$A:$E,3,0))</f>
        <v/>
      </c>
      <c r="Q157" s="152" t="str">
        <f>IF(VLOOKUP(A157,'Aux - pivots1'!$A:$E,4,0)=0, "",VLOOKUP(A157,'Aux - pivots1'!$A:$E,4,0))</f>
        <v/>
      </c>
      <c r="R157" s="152" t="str">
        <f>IF(VLOOKUP(A157,'Aux - pivots1'!$A:$E,5,0)=0, "",VLOOKUP(A157,'Aux - pivots1'!$A:$E,5,0))</f>
        <v/>
      </c>
      <c r="S157" s="198"/>
      <c r="T157" s="198"/>
      <c r="U157" s="199"/>
      <c r="V157" s="320"/>
      <c r="W157" s="320"/>
      <c r="X157" s="320"/>
      <c r="Y157" s="368" t="s">
        <v>2322</v>
      </c>
      <c r="Z157" s="320" t="s">
        <v>2308</v>
      </c>
    </row>
    <row r="158" spans="1:26" ht="16.399999999999999" hidden="1" customHeight="1">
      <c r="A158" s="29" t="str">
        <f t="shared" si="2"/>
        <v>modesg_param_sfics_taxon_europeiacfinalidad</v>
      </c>
      <c r="B158" s="141" t="s">
        <v>26</v>
      </c>
      <c r="C158" s="137" t="s">
        <v>181</v>
      </c>
      <c r="D158" s="133" t="s">
        <v>40</v>
      </c>
      <c r="E158" s="134" t="s">
        <v>2096</v>
      </c>
      <c r="F158" s="470" t="s">
        <v>200</v>
      </c>
      <c r="G158" s="135" t="str">
        <f>VLOOKUP(A158,Plano_V3!$A$26:$G$768,7,0)</f>
        <v>1. Concluído</v>
      </c>
      <c r="H158" s="135" t="s">
        <v>612</v>
      </c>
      <c r="I158" s="467"/>
      <c r="J158" s="153"/>
      <c r="K158" s="355" t="s">
        <v>2449</v>
      </c>
      <c r="L158" s="364" t="s">
        <v>2459</v>
      </c>
      <c r="M158" s="364">
        <v>45737</v>
      </c>
      <c r="N158" s="355"/>
      <c r="O158" s="153"/>
      <c r="P158" s="152"/>
      <c r="Q158" s="152"/>
      <c r="R158" s="152"/>
      <c r="S158" s="198"/>
      <c r="T158" s="198"/>
      <c r="U158" s="199"/>
      <c r="V158" s="320"/>
      <c r="W158" s="320"/>
      <c r="X158" s="320"/>
      <c r="Y158" s="368" t="s">
        <v>2320</v>
      </c>
      <c r="Z158" s="320"/>
    </row>
    <row r="159" spans="1:26" ht="16.399999999999999" hidden="1" customHeight="1">
      <c r="A159" s="29" t="str">
        <f t="shared" si="2"/>
        <v>modesg_param_sfics_taxon_europeiasst_indctr_aux</v>
      </c>
      <c r="B159" s="141" t="s">
        <v>26</v>
      </c>
      <c r="C159" s="137" t="s">
        <v>181</v>
      </c>
      <c r="D159" s="133" t="s">
        <v>40</v>
      </c>
      <c r="E159" s="134" t="s">
        <v>2096</v>
      </c>
      <c r="F159" s="470" t="s">
        <v>2416</v>
      </c>
      <c r="G159" s="135" t="str">
        <f>VLOOKUP(A159,Plano_V3!$A$26:$G$768,7,0)</f>
        <v>1. Concluído</v>
      </c>
      <c r="H159" s="135" t="s">
        <v>612</v>
      </c>
      <c r="I159" s="467"/>
      <c r="J159" s="153"/>
      <c r="K159" s="355" t="s">
        <v>2449</v>
      </c>
      <c r="L159" s="364" t="s">
        <v>2459</v>
      </c>
      <c r="M159" s="364">
        <v>45737</v>
      </c>
      <c r="N159" s="355"/>
      <c r="O159" s="153"/>
      <c r="P159" s="152" t="str">
        <f>IF(VLOOKUP(A159,'Aux - pivots1'!$A:$E,3,0)=0, "",VLOOKUP(A159,'Aux - pivots1'!$A:$E,3,0))</f>
        <v/>
      </c>
      <c r="Q159" s="152" t="str">
        <f>IF(VLOOKUP(A159,'Aux - pivots1'!$A:$E,4,0)=0, "",VLOOKUP(A159,'Aux - pivots1'!$A:$E,4,0))</f>
        <v/>
      </c>
      <c r="R159" s="152" t="str">
        <f>IF(VLOOKUP(A159,'Aux - pivots1'!$A:$E,5,0)=0, "",VLOOKUP(A159,'Aux - pivots1'!$A:$E,5,0))</f>
        <v/>
      </c>
      <c r="S159" s="198"/>
      <c r="T159" s="198"/>
      <c r="U159" s="199"/>
      <c r="V159" s="320"/>
      <c r="W159" s="320"/>
      <c r="X159" s="320"/>
      <c r="Y159" s="368" t="s">
        <v>2424</v>
      </c>
      <c r="Z159" s="320"/>
    </row>
    <row r="160" spans="1:26" ht="16.399999999999999" hidden="1" customHeight="1">
      <c r="A160" s="29" t="str">
        <f t="shared" si="2"/>
        <v>modesg_param_sfics_taxon_europeiaquality_score</v>
      </c>
      <c r="B160" s="141" t="s">
        <v>26</v>
      </c>
      <c r="C160" s="137" t="s">
        <v>181</v>
      </c>
      <c r="D160" s="133" t="s">
        <v>40</v>
      </c>
      <c r="E160" s="134" t="s">
        <v>2096</v>
      </c>
      <c r="F160" s="470" t="s">
        <v>2057</v>
      </c>
      <c r="G160" s="135" t="str">
        <f>VLOOKUP(A160,Plano_V3!$A$26:$G$768,7,0)</f>
        <v>1. Concluído</v>
      </c>
      <c r="H160" s="135" t="s">
        <v>612</v>
      </c>
      <c r="I160" s="467"/>
      <c r="J160" s="153"/>
      <c r="K160" s="355" t="s">
        <v>2449</v>
      </c>
      <c r="L160" s="364" t="s">
        <v>2459</v>
      </c>
      <c r="M160" s="364">
        <v>45737</v>
      </c>
      <c r="N160" s="355"/>
      <c r="O160" s="153"/>
      <c r="P160" s="152" t="str">
        <f>IF(VLOOKUP(A160,'Aux - pivots1'!$A:$E,3,0)=0, "",VLOOKUP(A160,'Aux - pivots1'!$A:$E,3,0))</f>
        <v/>
      </c>
      <c r="Q160" s="152" t="str">
        <f>IF(VLOOKUP(A160,'Aux - pivots1'!$A:$E,4,0)=0, "",VLOOKUP(A160,'Aux - pivots1'!$A:$E,4,0))</f>
        <v/>
      </c>
      <c r="R160" s="152" t="str">
        <f>IF(VLOOKUP(A160,'Aux - pivots1'!$A:$E,5,0)=0, "",VLOOKUP(A160,'Aux - pivots1'!$A:$E,5,0))</f>
        <v/>
      </c>
      <c r="S160" s="198"/>
      <c r="T160" s="198"/>
      <c r="U160" s="199"/>
      <c r="V160" s="320"/>
      <c r="W160" s="320"/>
      <c r="X160" s="320"/>
      <c r="Y160" s="368" t="s">
        <v>2322</v>
      </c>
      <c r="Z160" s="320" t="s">
        <v>2308</v>
      </c>
    </row>
    <row r="161" spans="1:26" ht="16.399999999999999" hidden="1" customHeight="1">
      <c r="A161" s="29" t="str">
        <f t="shared" si="2"/>
        <v>modesg_param_sfics_taxon_europeiaprimary_energy_req_value</v>
      </c>
      <c r="B161" s="141" t="s">
        <v>26</v>
      </c>
      <c r="C161" s="137" t="s">
        <v>181</v>
      </c>
      <c r="D161" s="133" t="s">
        <v>40</v>
      </c>
      <c r="E161" s="134" t="s">
        <v>2096</v>
      </c>
      <c r="F161" s="470" t="s">
        <v>2411</v>
      </c>
      <c r="G161" s="135" t="str">
        <f>VLOOKUP(A161,Plano_V3!$A$26:$G$768,7,0)</f>
        <v>1. Concluído</v>
      </c>
      <c r="H161" s="135" t="s">
        <v>612</v>
      </c>
      <c r="I161" s="467"/>
      <c r="J161" s="153"/>
      <c r="K161" s="355" t="s">
        <v>2449</v>
      </c>
      <c r="L161" s="364" t="s">
        <v>2459</v>
      </c>
      <c r="M161" s="364">
        <v>45737</v>
      </c>
      <c r="N161" s="355"/>
      <c r="O161" s="153"/>
      <c r="P161" s="152" t="str">
        <f>IF(VLOOKUP(A161,'Aux - pivots1'!$A:$E,3,0)=0, "",VLOOKUP(A161,'Aux - pivots1'!$A:$E,3,0))</f>
        <v/>
      </c>
      <c r="Q161" s="152" t="str">
        <f>IF(VLOOKUP(A161,'Aux - pivots1'!$A:$E,4,0)=0, "",VLOOKUP(A161,'Aux - pivots1'!$A:$E,4,0))</f>
        <v/>
      </c>
      <c r="R161" s="152" t="str">
        <f>IF(VLOOKUP(A161,'Aux - pivots1'!$A:$E,5,0)=0, "",VLOOKUP(A161,'Aux - pivots1'!$A:$E,5,0))</f>
        <v/>
      </c>
      <c r="S161" s="198"/>
      <c r="T161" s="198"/>
      <c r="U161" s="199"/>
      <c r="V161" s="320"/>
      <c r="W161" s="320"/>
      <c r="X161" s="320"/>
      <c r="Y161" s="368" t="s">
        <v>2320</v>
      </c>
      <c r="Z161" s="320" t="s">
        <v>2308</v>
      </c>
    </row>
    <row r="162" spans="1:26" ht="16.399999999999999" hidden="1" customHeight="1">
      <c r="A162" s="29" t="str">
        <f t="shared" si="2"/>
        <v>modesg_param_sfics_taxon_europeianet_floor_area</v>
      </c>
      <c r="B162" s="141" t="s">
        <v>26</v>
      </c>
      <c r="C162" s="137" t="s">
        <v>181</v>
      </c>
      <c r="D162" s="133" t="s">
        <v>40</v>
      </c>
      <c r="E162" s="134" t="s">
        <v>2096</v>
      </c>
      <c r="F162" s="470" t="s">
        <v>2400</v>
      </c>
      <c r="G162" s="135" t="str">
        <f>VLOOKUP(A162,Plano_V3!$A$26:$G$768,7,0)</f>
        <v>1. Concluído</v>
      </c>
      <c r="H162" s="135" t="s">
        <v>612</v>
      </c>
      <c r="I162" s="467"/>
      <c r="J162" s="153"/>
      <c r="K162" s="355" t="s">
        <v>2449</v>
      </c>
      <c r="L162" s="364" t="s">
        <v>2459</v>
      </c>
      <c r="M162" s="364">
        <v>45737</v>
      </c>
      <c r="N162" s="355"/>
      <c r="O162" s="153"/>
      <c r="P162" s="152" t="str">
        <f>IF(VLOOKUP(A162,'Aux - pivots1'!$A:$E,3,0)=0, "",VLOOKUP(A162,'Aux - pivots1'!$A:$E,3,0))</f>
        <v/>
      </c>
      <c r="Q162" s="152" t="str">
        <f>IF(VLOOKUP(A162,'Aux - pivots1'!$A:$E,4,0)=0, "",VLOOKUP(A162,'Aux - pivots1'!$A:$E,4,0))</f>
        <v/>
      </c>
      <c r="R162" s="152" t="str">
        <f>IF(VLOOKUP(A162,'Aux - pivots1'!$A:$E,5,0)=0, "",VLOOKUP(A162,'Aux - pivots1'!$A:$E,5,0))</f>
        <v/>
      </c>
      <c r="S162" s="198"/>
      <c r="T162" s="198"/>
      <c r="U162" s="199"/>
      <c r="V162" s="320"/>
      <c r="W162" s="320"/>
      <c r="X162" s="320"/>
      <c r="Y162" s="368" t="s">
        <v>2320</v>
      </c>
      <c r="Z162" s="320" t="s">
        <v>2308</v>
      </c>
    </row>
    <row r="163" spans="1:26" ht="16.399999999999999" hidden="1" customHeight="1">
      <c r="A163" s="29" t="str">
        <f t="shared" si="2"/>
        <v>modesg_param_sfics_taxon_europeianome_purpose_esg_nalinh_tax</v>
      </c>
      <c r="B163" s="141" t="s">
        <v>26</v>
      </c>
      <c r="C163" s="137" t="s">
        <v>181</v>
      </c>
      <c r="D163" s="133" t="s">
        <v>40</v>
      </c>
      <c r="E163" s="134" t="s">
        <v>2096</v>
      </c>
      <c r="F163" s="470" t="s">
        <v>2059</v>
      </c>
      <c r="G163" s="135" t="str">
        <f>VLOOKUP(A163,Plano_V3!$A$26:$G$768,7,0)</f>
        <v>1. Concluído</v>
      </c>
      <c r="H163" s="135" t="s">
        <v>612</v>
      </c>
      <c r="I163" s="467"/>
      <c r="J163" s="153"/>
      <c r="K163" s="355" t="s">
        <v>2449</v>
      </c>
      <c r="L163" s="364" t="s">
        <v>2459</v>
      </c>
      <c r="M163" s="364">
        <v>45737</v>
      </c>
      <c r="N163" s="355"/>
      <c r="O163" s="153"/>
      <c r="P163" s="152" t="str">
        <f>IF(VLOOKUP(A163,'Aux - pivots1'!$A:$E,3,0)=0, "",VLOOKUP(A163,'Aux - pivots1'!$A:$E,3,0))</f>
        <v/>
      </c>
      <c r="Q163" s="152" t="str">
        <f>IF(VLOOKUP(A163,'Aux - pivots1'!$A:$E,4,0)=0, "",VLOOKUP(A163,'Aux - pivots1'!$A:$E,4,0))</f>
        <v/>
      </c>
      <c r="R163" s="152" t="str">
        <f>IF(VLOOKUP(A163,'Aux - pivots1'!$A:$E,5,0)=0, "",VLOOKUP(A163,'Aux - pivots1'!$A:$E,5,0))</f>
        <v/>
      </c>
      <c r="S163" s="198"/>
      <c r="T163" s="198"/>
      <c r="U163" s="199"/>
      <c r="V163" s="320"/>
      <c r="W163" s="320"/>
      <c r="X163" s="320"/>
      <c r="Y163" s="368" t="s">
        <v>2377</v>
      </c>
      <c r="Z163" s="320" t="s">
        <v>2308</v>
      </c>
    </row>
    <row r="164" spans="1:26" ht="16.399999999999999" hidden="1" customHeight="1">
      <c r="A164" s="29" t="str">
        <f t="shared" si="2"/>
        <v>modesg_param_sfics_taxon_europeianome_purpose_esg_alinh_tax</v>
      </c>
      <c r="B164" s="141" t="s">
        <v>26</v>
      </c>
      <c r="C164" s="137" t="s">
        <v>181</v>
      </c>
      <c r="D164" s="133" t="s">
        <v>40</v>
      </c>
      <c r="E164" s="134" t="s">
        <v>2096</v>
      </c>
      <c r="F164" s="470" t="s">
        <v>2058</v>
      </c>
      <c r="G164" s="135" t="str">
        <f>VLOOKUP(A164,Plano_V3!$A$26:$G$768,7,0)</f>
        <v>1. Concluído</v>
      </c>
      <c r="H164" s="135" t="s">
        <v>612</v>
      </c>
      <c r="I164" s="467"/>
      <c r="J164" s="153"/>
      <c r="K164" s="355" t="s">
        <v>2449</v>
      </c>
      <c r="L164" s="364" t="s">
        <v>2459</v>
      </c>
      <c r="M164" s="364">
        <v>45737</v>
      </c>
      <c r="N164" s="355"/>
      <c r="O164" s="153"/>
      <c r="P164" s="152" t="str">
        <f>IF(VLOOKUP(A164,'Aux - pivots1'!$A:$E,3,0)=0, "",VLOOKUP(A164,'Aux - pivots1'!$A:$E,3,0))</f>
        <v/>
      </c>
      <c r="Q164" s="152" t="str">
        <f>IF(VLOOKUP(A164,'Aux - pivots1'!$A:$E,4,0)=0, "",VLOOKUP(A164,'Aux - pivots1'!$A:$E,4,0))</f>
        <v/>
      </c>
      <c r="R164" s="152" t="str">
        <f>IF(VLOOKUP(A164,'Aux - pivots1'!$A:$E,5,0)=0, "",VLOOKUP(A164,'Aux - pivots1'!$A:$E,5,0))</f>
        <v/>
      </c>
      <c r="S164" s="198"/>
      <c r="T164" s="198"/>
      <c r="U164" s="199"/>
      <c r="V164" s="320"/>
      <c r="W164" s="320"/>
      <c r="X164" s="320"/>
      <c r="Y164" s="368" t="s">
        <v>2322</v>
      </c>
      <c r="Z164" s="320" t="s">
        <v>2308</v>
      </c>
    </row>
    <row r="165" spans="1:26" ht="16.399999999999999" hidden="1" customHeight="1">
      <c r="A165" s="29" t="str">
        <f t="shared" si="2"/>
        <v>modesg_param_sfics_taxon_europeianome_general_specific_purpose</v>
      </c>
      <c r="B165" s="141" t="s">
        <v>26</v>
      </c>
      <c r="C165" s="137" t="s">
        <v>181</v>
      </c>
      <c r="D165" s="133" t="s">
        <v>40</v>
      </c>
      <c r="E165" s="134" t="s">
        <v>2096</v>
      </c>
      <c r="F165" s="470" t="s">
        <v>204</v>
      </c>
      <c r="G165" s="135" t="str">
        <f>VLOOKUP(A165,Plano_V3!$A$26:$G$768,7,0)</f>
        <v>1. Concluído</v>
      </c>
      <c r="H165" s="135" t="s">
        <v>612</v>
      </c>
      <c r="I165" s="467"/>
      <c r="J165" s="153"/>
      <c r="K165" s="355" t="s">
        <v>2449</v>
      </c>
      <c r="L165" s="364" t="s">
        <v>2459</v>
      </c>
      <c r="M165" s="364">
        <v>45737</v>
      </c>
      <c r="N165" s="355"/>
      <c r="O165" s="153"/>
      <c r="P165" s="152" t="str">
        <f>IF(VLOOKUP(A165,'Aux - pivots1'!$A:$E,3,0)=0, "",VLOOKUP(A165,'Aux - pivots1'!$A:$E,3,0))</f>
        <v/>
      </c>
      <c r="Q165" s="152" t="str">
        <f>IF(VLOOKUP(A165,'Aux - pivots1'!$A:$E,4,0)=0, "",VLOOKUP(A165,'Aux - pivots1'!$A:$E,4,0))</f>
        <v/>
      </c>
      <c r="R165" s="152" t="str">
        <f>IF(VLOOKUP(A165,'Aux - pivots1'!$A:$E,5,0)=0, "",VLOOKUP(A165,'Aux - pivots1'!$A:$E,5,0))</f>
        <v/>
      </c>
      <c r="S165" s="198"/>
      <c r="T165" s="198"/>
      <c r="U165" s="199"/>
      <c r="V165" s="320"/>
      <c r="W165" s="320"/>
      <c r="X165" s="320"/>
      <c r="Y165" s="368" t="s">
        <v>2320</v>
      </c>
      <c r="Z165" s="320" t="s">
        <v>2308</v>
      </c>
    </row>
    <row r="166" spans="1:26" ht="16.399999999999999" hidden="1" customHeight="1">
      <c r="A166" s="29" t="str">
        <f t="shared" si="2"/>
        <v>modesg_param_sfics_taxon_europeianome_specific_eligible</v>
      </c>
      <c r="B166" s="141" t="s">
        <v>26</v>
      </c>
      <c r="C166" s="137" t="s">
        <v>181</v>
      </c>
      <c r="D166" s="133" t="s">
        <v>40</v>
      </c>
      <c r="E166" s="134" t="s">
        <v>2096</v>
      </c>
      <c r="F166" s="470" t="s">
        <v>206</v>
      </c>
      <c r="G166" s="135" t="str">
        <f>VLOOKUP(A166,Plano_V3!$A$26:$G$768,7,0)</f>
        <v>1. Concluído</v>
      </c>
      <c r="H166" s="135" t="s">
        <v>612</v>
      </c>
      <c r="I166" s="467"/>
      <c r="J166" s="153"/>
      <c r="K166" s="355" t="s">
        <v>2449</v>
      </c>
      <c r="L166" s="364" t="s">
        <v>2459</v>
      </c>
      <c r="M166" s="364">
        <v>45737</v>
      </c>
      <c r="N166" s="355"/>
      <c r="O166" s="153"/>
      <c r="P166" s="152" t="str">
        <f>IF(VLOOKUP(A166,'Aux - pivots1'!$A:$E,3,0)=0, "",VLOOKUP(A166,'Aux - pivots1'!$A:$E,3,0))</f>
        <v/>
      </c>
      <c r="Q166" s="152" t="str">
        <f>IF(VLOOKUP(A166,'Aux - pivots1'!$A:$E,4,0)=0, "",VLOOKUP(A166,'Aux - pivots1'!$A:$E,4,0))</f>
        <v/>
      </c>
      <c r="R166" s="152" t="str">
        <f>IF(VLOOKUP(A166,'Aux - pivots1'!$A:$E,5,0)=0, "",VLOOKUP(A166,'Aux - pivots1'!$A:$E,5,0))</f>
        <v/>
      </c>
      <c r="S166" s="198"/>
      <c r="T166" s="198"/>
      <c r="U166" s="199"/>
      <c r="V166" s="320"/>
      <c r="W166" s="320"/>
      <c r="X166" s="320"/>
      <c r="Y166" s="368" t="s">
        <v>2320</v>
      </c>
      <c r="Z166" s="320" t="s">
        <v>2308</v>
      </c>
    </row>
    <row r="167" spans="1:26" ht="16.399999999999999" hidden="1" customHeight="1">
      <c r="A167" s="29" t="str">
        <f t="shared" si="2"/>
        <v>modesg_param_sfics_taxon_europeianome_specific_sustainable</v>
      </c>
      <c r="B167" s="141" t="s">
        <v>26</v>
      </c>
      <c r="C167" s="137" t="s">
        <v>181</v>
      </c>
      <c r="D167" s="133" t="s">
        <v>40</v>
      </c>
      <c r="E167" s="134" t="s">
        <v>2096</v>
      </c>
      <c r="F167" s="470" t="s">
        <v>207</v>
      </c>
      <c r="G167" s="135" t="str">
        <f>VLOOKUP(A167,Plano_V3!$A$26:$G$768,7,0)</f>
        <v>1. Concluído</v>
      </c>
      <c r="H167" s="135" t="s">
        <v>612</v>
      </c>
      <c r="I167" s="467"/>
      <c r="J167" s="153"/>
      <c r="K167" s="355" t="s">
        <v>2449</v>
      </c>
      <c r="L167" s="364" t="s">
        <v>2459</v>
      </c>
      <c r="M167" s="364">
        <v>45737</v>
      </c>
      <c r="N167" s="355"/>
      <c r="O167" s="153"/>
      <c r="P167" s="152" t="str">
        <f>IF(VLOOKUP(A167,'Aux - pivots1'!$A:$E,3,0)=0, "",VLOOKUP(A167,'Aux - pivots1'!$A:$E,3,0))</f>
        <v/>
      </c>
      <c r="Q167" s="152" t="str">
        <f>IF(VLOOKUP(A167,'Aux - pivots1'!$A:$E,4,0)=0, "",VLOOKUP(A167,'Aux - pivots1'!$A:$E,4,0))</f>
        <v/>
      </c>
      <c r="R167" s="152" t="str">
        <f>IF(VLOOKUP(A167,'Aux - pivots1'!$A:$E,5,0)=0, "",VLOOKUP(A167,'Aux - pivots1'!$A:$E,5,0))</f>
        <v/>
      </c>
      <c r="S167" s="198"/>
      <c r="T167" s="198"/>
      <c r="U167" s="199"/>
      <c r="V167" s="320"/>
      <c r="W167" s="320"/>
      <c r="X167" s="320"/>
      <c r="Y167" s="368" t="s">
        <v>2320</v>
      </c>
      <c r="Z167" s="320" t="s">
        <v>2308</v>
      </c>
    </row>
    <row r="168" spans="1:26" ht="16.399999999999999" hidden="1" customHeight="1">
      <c r="A168" s="29" t="str">
        <f t="shared" si="2"/>
        <v>lt006_instr_protprtctn_allctd_vl</v>
      </c>
      <c r="B168" s="141" t="s">
        <v>26</v>
      </c>
      <c r="C168" s="137" t="s">
        <v>26</v>
      </c>
      <c r="D168" s="133" t="s">
        <v>40</v>
      </c>
      <c r="E168" s="136" t="s">
        <v>441</v>
      </c>
      <c r="F168" s="474" t="s">
        <v>442</v>
      </c>
      <c r="G168" s="135" t="str">
        <f>VLOOKUP(A168,Plano_V3!$A$26:$G$768,7,0)</f>
        <v>5. Em Correção</v>
      </c>
      <c r="H168" s="135" t="s">
        <v>615</v>
      </c>
      <c r="I168" s="467"/>
      <c r="J168" s="355" t="s">
        <v>2306</v>
      </c>
      <c r="K168" s="142" t="s">
        <v>2447</v>
      </c>
      <c r="L168" s="153">
        <v>45726</v>
      </c>
      <c r="M168" s="153">
        <v>45730</v>
      </c>
      <c r="N168" s="142" t="s">
        <v>2444</v>
      </c>
      <c r="O168" s="355"/>
      <c r="P168" s="152" t="str">
        <f>IF(VLOOKUP(A159,'Aux - pivots1'!$A:$E,3,0)=0, "",VLOOKUP(A159,'Aux - pivots1'!$A:$E,3,0))</f>
        <v/>
      </c>
      <c r="Q168" s="152" t="str">
        <f>IF(VLOOKUP(A159,'Aux - pivots1'!$A:$E,4,0)=0, "",VLOOKUP(A159,'Aux - pivots1'!$A:$E,4,0))</f>
        <v/>
      </c>
      <c r="R168" s="152" t="str">
        <f>IF(VLOOKUP(A159,'Aux - pivots1'!$A:$E,5,0)=0, "",VLOOKUP(A159,'Aux - pivots1'!$A:$E,5,0))</f>
        <v/>
      </c>
      <c r="S168" s="198"/>
      <c r="T168" s="198"/>
      <c r="U168" s="368" t="s">
        <v>2313</v>
      </c>
      <c r="V168" s="320"/>
      <c r="W168" s="320" t="s">
        <v>2456</v>
      </c>
      <c r="X168" s="320"/>
      <c r="Y168" s="368" t="s">
        <v>2320</v>
      </c>
      <c r="Z168" s="320" t="s">
        <v>2311</v>
      </c>
    </row>
    <row r="169" spans="1:26" ht="16.399999999999999" hidden="1" customHeight="1">
      <c r="A169" s="29" t="str">
        <f t="shared" si="2"/>
        <v>lt003_entityesg_sbsctr</v>
      </c>
      <c r="B169" s="141" t="s">
        <v>26</v>
      </c>
      <c r="C169" s="137" t="s">
        <v>26</v>
      </c>
      <c r="D169" s="133" t="s">
        <v>40</v>
      </c>
      <c r="E169" s="136" t="s">
        <v>335</v>
      </c>
      <c r="F169" s="474" t="s">
        <v>360</v>
      </c>
      <c r="G169" s="479" t="str">
        <f>VLOOKUP(A169,Plano_V3!$A$26:$G$768,7,0)</f>
        <v>1. Concluído</v>
      </c>
      <c r="H169" s="135" t="s">
        <v>612</v>
      </c>
      <c r="I169" s="467"/>
      <c r="J169" s="142" t="s">
        <v>2306</v>
      </c>
      <c r="K169" s="355" t="s">
        <v>2449</v>
      </c>
      <c r="L169" s="153">
        <v>45730</v>
      </c>
      <c r="M169" s="153">
        <v>45737</v>
      </c>
      <c r="N169" s="142" t="s">
        <v>2444</v>
      </c>
      <c r="O169" s="142"/>
      <c r="P169" s="152" t="str">
        <f>IF(VLOOKUP(A160,'Aux - pivots1'!$A:$E,3,0)=0, "",VLOOKUP(A160,'Aux - pivots1'!$A:$E,3,0))</f>
        <v/>
      </c>
      <c r="Q169" s="152" t="str">
        <f>IF(VLOOKUP(A160,'Aux - pivots1'!$A:$E,4,0)=0, "",VLOOKUP(A160,'Aux - pivots1'!$A:$E,4,0))</f>
        <v/>
      </c>
      <c r="R169" s="152" t="str">
        <f>IF(VLOOKUP(A160,'Aux - pivots1'!$A:$E,5,0)=0, "",VLOOKUP(A160,'Aux - pivots1'!$A:$E,5,0))</f>
        <v/>
      </c>
      <c r="S169" s="198"/>
      <c r="T169" s="198"/>
      <c r="U169" s="199"/>
      <c r="V169" s="368" t="s">
        <v>2420</v>
      </c>
      <c r="W169" s="368" t="s">
        <v>2456</v>
      </c>
      <c r="X169" s="320"/>
      <c r="Y169" s="368" t="s">
        <v>2320</v>
      </c>
      <c r="Z169" s="320" t="s">
        <v>2310</v>
      </c>
    </row>
    <row r="170" spans="1:26" ht="16.399999999999999" hidden="1" customHeight="1">
      <c r="A170" s="29" t="str">
        <f t="shared" si="2"/>
        <v>lt004_protectiontyp_ep_scr</v>
      </c>
      <c r="B170" s="141" t="s">
        <v>26</v>
      </c>
      <c r="C170" s="137" t="s">
        <v>26</v>
      </c>
      <c r="D170" s="133" t="s">
        <v>40</v>
      </c>
      <c r="E170" s="136" t="s">
        <v>368</v>
      </c>
      <c r="F170" s="474" t="s">
        <v>369</v>
      </c>
      <c r="G170" s="135" t="str">
        <f>VLOOKUP(A170,Plano_V3!$A$26:$G$768,7,0)</f>
        <v>1. Concluído</v>
      </c>
      <c r="H170" s="135" t="s">
        <v>612</v>
      </c>
      <c r="I170" s="467"/>
      <c r="J170" s="355" t="s">
        <v>2422</v>
      </c>
      <c r="K170" s="355" t="s">
        <v>2449</v>
      </c>
      <c r="L170" s="364">
        <v>45730</v>
      </c>
      <c r="M170" s="364">
        <v>45737</v>
      </c>
      <c r="N170" s="355" t="s">
        <v>2444</v>
      </c>
      <c r="O170" s="142"/>
      <c r="P170" s="152" t="str">
        <f>IF(VLOOKUP(A161,'Aux - pivots1'!$A:$E,3,0)=0, "",VLOOKUP(A161,'Aux - pivots1'!$A:$E,3,0))</f>
        <v/>
      </c>
      <c r="Q170" s="152" t="str">
        <f>IF(VLOOKUP(A161,'Aux - pivots1'!$A:$E,4,0)=0, "",VLOOKUP(A161,'Aux - pivots1'!$A:$E,4,0))</f>
        <v/>
      </c>
      <c r="R170" s="152" t="str">
        <f>IF(VLOOKUP(A161,'Aux - pivots1'!$A:$E,5,0)=0, "",VLOOKUP(A161,'Aux - pivots1'!$A:$E,5,0))</f>
        <v/>
      </c>
      <c r="S170" s="198"/>
      <c r="T170" s="198"/>
      <c r="U170" s="199"/>
      <c r="V170" s="320"/>
      <c r="W170" s="320" t="s">
        <v>2456</v>
      </c>
      <c r="X170" s="320"/>
      <c r="Y170" s="368" t="s">
        <v>2320</v>
      </c>
      <c r="Z170" s="320"/>
    </row>
    <row r="171" spans="1:26" ht="16.399999999999999" hidden="1" customHeight="1">
      <c r="A171" s="29" t="str">
        <f t="shared" si="2"/>
        <v>lt004_protectionep_scr</v>
      </c>
      <c r="B171" s="141" t="s">
        <v>26</v>
      </c>
      <c r="C171" s="137" t="s">
        <v>26</v>
      </c>
      <c r="D171" s="133" t="s">
        <v>40</v>
      </c>
      <c r="E171" s="136" t="s">
        <v>368</v>
      </c>
      <c r="F171" s="474" t="s">
        <v>370</v>
      </c>
      <c r="G171" s="135" t="str">
        <f>VLOOKUP(A171,Plano_V3!$A$26:$G$768,7,0)</f>
        <v>1. Concluído</v>
      </c>
      <c r="H171" s="135" t="s">
        <v>612</v>
      </c>
      <c r="I171" s="467"/>
      <c r="J171" s="355" t="s">
        <v>2422</v>
      </c>
      <c r="K171" s="355" t="s">
        <v>2449</v>
      </c>
      <c r="L171" s="364">
        <v>45730</v>
      </c>
      <c r="M171" s="364">
        <v>45737</v>
      </c>
      <c r="N171" s="355" t="s">
        <v>2444</v>
      </c>
      <c r="O171" s="142"/>
      <c r="P171" s="152" t="str">
        <f>IF(VLOOKUP(A162,'Aux - pivots1'!$A:$E,3,0)=0, "",VLOOKUP(A162,'Aux - pivots1'!$A:$E,3,0))</f>
        <v/>
      </c>
      <c r="Q171" s="152" t="str">
        <f>IF(VLOOKUP(A162,'Aux - pivots1'!$A:$E,4,0)=0, "",VLOOKUP(A162,'Aux - pivots1'!$A:$E,4,0))</f>
        <v/>
      </c>
      <c r="R171" s="152" t="str">
        <f>IF(VLOOKUP(A162,'Aux - pivots1'!$A:$E,5,0)=0, "",VLOOKUP(A162,'Aux - pivots1'!$A:$E,5,0))</f>
        <v/>
      </c>
      <c r="S171" s="198"/>
      <c r="T171" s="198"/>
      <c r="U171" s="199"/>
      <c r="V171" s="320"/>
      <c r="W171" s="320" t="s">
        <v>2456</v>
      </c>
      <c r="X171" s="320"/>
      <c r="Y171" s="368" t="s">
        <v>2320</v>
      </c>
      <c r="Z171" s="320"/>
    </row>
    <row r="172" spans="1:26" ht="16.399999999999999" hidden="1" customHeight="1">
      <c r="A172" s="29" t="str">
        <f t="shared" si="2"/>
        <v>lt002_instrumentmthd_usd_instrmnt_scp_1</v>
      </c>
      <c r="B172" s="141" t="s">
        <v>26</v>
      </c>
      <c r="C172" s="137" t="s">
        <v>26</v>
      </c>
      <c r="D172" s="133" t="s">
        <v>40</v>
      </c>
      <c r="E172" s="136" t="s">
        <v>379</v>
      </c>
      <c r="F172" s="474" t="s">
        <v>385</v>
      </c>
      <c r="G172" s="479" t="str">
        <f>VLOOKUP(A172,Plano_V3!$A$26:$G$768,7,0)</f>
        <v>5. Em Correção</v>
      </c>
      <c r="H172" s="135" t="s">
        <v>615</v>
      </c>
      <c r="I172" s="467"/>
      <c r="J172" s="142" t="s">
        <v>2422</v>
      </c>
      <c r="K172" s="355" t="s">
        <v>2449</v>
      </c>
      <c r="L172" s="153" t="s">
        <v>2459</v>
      </c>
      <c r="M172" s="153" t="s">
        <v>2457</v>
      </c>
      <c r="N172" s="142" t="s">
        <v>2444</v>
      </c>
      <c r="O172" s="142"/>
      <c r="P172" s="152" t="str">
        <f>IF(VLOOKUP(A163,'Aux - pivots1'!$A:$E,3,0)=0, "",VLOOKUP(A163,'Aux - pivots1'!$A:$E,3,0))</f>
        <v/>
      </c>
      <c r="Q172" s="152" t="str">
        <f>IF(VLOOKUP(A163,'Aux - pivots1'!$A:$E,4,0)=0, "",VLOOKUP(A163,'Aux - pivots1'!$A:$E,4,0))</f>
        <v/>
      </c>
      <c r="R172" s="152" t="str">
        <f>IF(VLOOKUP(A163,'Aux - pivots1'!$A:$E,5,0)=0, "",VLOOKUP(A163,'Aux - pivots1'!$A:$E,5,0))</f>
        <v/>
      </c>
      <c r="S172" s="198">
        <v>45593</v>
      </c>
      <c r="T172" s="198"/>
      <c r="U172" s="368" t="s">
        <v>2314</v>
      </c>
      <c r="V172" s="320"/>
      <c r="W172" s="320" t="s">
        <v>2456</v>
      </c>
      <c r="X172" s="320"/>
      <c r="Y172" s="368" t="s">
        <v>2320</v>
      </c>
      <c r="Z172" s="320" t="s">
        <v>1856</v>
      </c>
    </row>
    <row r="173" spans="1:26" ht="16.399999999999999" hidden="1" customHeight="1">
      <c r="A173" s="29" t="str">
        <f t="shared" si="2"/>
        <v>lt002_instrumentmthd_usd_instrmnt_scp_2</v>
      </c>
      <c r="B173" s="141" t="s">
        <v>26</v>
      </c>
      <c r="C173" s="137" t="s">
        <v>26</v>
      </c>
      <c r="D173" s="133" t="s">
        <v>40</v>
      </c>
      <c r="E173" s="136" t="s">
        <v>379</v>
      </c>
      <c r="F173" s="474" t="s">
        <v>386</v>
      </c>
      <c r="G173" s="479" t="str">
        <f>VLOOKUP(A173,Plano_V3!$A$26:$G$768,7,0)</f>
        <v>5. Em Correção</v>
      </c>
      <c r="H173" s="135" t="s">
        <v>615</v>
      </c>
      <c r="I173" s="467"/>
      <c r="J173" s="142" t="s">
        <v>2422</v>
      </c>
      <c r="K173" s="355" t="s">
        <v>2449</v>
      </c>
      <c r="L173" s="153" t="s">
        <v>2459</v>
      </c>
      <c r="M173" s="153" t="s">
        <v>2457</v>
      </c>
      <c r="N173" s="142" t="s">
        <v>2444</v>
      </c>
      <c r="O173" s="142"/>
      <c r="P173" s="152" t="str">
        <f>IF(VLOOKUP(A164,'Aux - pivots1'!$A:$E,3,0)=0, "",VLOOKUP(A164,'Aux - pivots1'!$A:$E,3,0))</f>
        <v/>
      </c>
      <c r="Q173" s="152" t="str">
        <f>IF(VLOOKUP(A164,'Aux - pivots1'!$A:$E,4,0)=0, "",VLOOKUP(A164,'Aux - pivots1'!$A:$E,4,0))</f>
        <v/>
      </c>
      <c r="R173" s="152" t="str">
        <f>IF(VLOOKUP(A164,'Aux - pivots1'!$A:$E,5,0)=0, "",VLOOKUP(A164,'Aux - pivots1'!$A:$E,5,0))</f>
        <v/>
      </c>
      <c r="S173" s="198">
        <v>45593</v>
      </c>
      <c r="T173" s="198"/>
      <c r="U173" s="368" t="s">
        <v>2314</v>
      </c>
      <c r="V173" s="320"/>
      <c r="W173" s="320" t="s">
        <v>2456</v>
      </c>
      <c r="X173" s="320"/>
      <c r="Y173" s="368" t="s">
        <v>2320</v>
      </c>
      <c r="Z173" s="320" t="s">
        <v>1856</v>
      </c>
    </row>
    <row r="174" spans="1:26" ht="16.399999999999999" hidden="1" customHeight="1">
      <c r="A174" s="29" t="str">
        <f t="shared" si="2"/>
        <v>lt002_instrumentmthd_usd_instrmnt_scp_3</v>
      </c>
      <c r="B174" s="141" t="s">
        <v>26</v>
      </c>
      <c r="C174" s="137" t="s">
        <v>26</v>
      </c>
      <c r="D174" s="133" t="s">
        <v>40</v>
      </c>
      <c r="E174" s="136" t="s">
        <v>379</v>
      </c>
      <c r="F174" s="474" t="s">
        <v>387</v>
      </c>
      <c r="G174" s="479" t="str">
        <f>VLOOKUP(A174,Plano_V3!$A$26:$G$768,7,0)</f>
        <v>5. Em Correção</v>
      </c>
      <c r="H174" s="135" t="s">
        <v>615</v>
      </c>
      <c r="I174" s="467"/>
      <c r="J174" s="142" t="s">
        <v>2422</v>
      </c>
      <c r="K174" s="355" t="s">
        <v>2449</v>
      </c>
      <c r="L174" s="153" t="s">
        <v>2459</v>
      </c>
      <c r="M174" s="153" t="s">
        <v>2457</v>
      </c>
      <c r="N174" s="142" t="s">
        <v>2444</v>
      </c>
      <c r="O174" s="142"/>
      <c r="P174" s="152" t="str">
        <f>IF(VLOOKUP(A165,'Aux - pivots1'!$A:$E,3,0)=0, "",VLOOKUP(A165,'Aux - pivots1'!$A:$E,3,0))</f>
        <v/>
      </c>
      <c r="Q174" s="152" t="str">
        <f>IF(VLOOKUP(A165,'Aux - pivots1'!$A:$E,4,0)=0, "",VLOOKUP(A165,'Aux - pivots1'!$A:$E,4,0))</f>
        <v/>
      </c>
      <c r="R174" s="152" t="str">
        <f>IF(VLOOKUP(A165,'Aux - pivots1'!$A:$E,5,0)=0, "",VLOOKUP(A165,'Aux - pivots1'!$A:$E,5,0))</f>
        <v/>
      </c>
      <c r="S174" s="198">
        <v>45593</v>
      </c>
      <c r="T174" s="198"/>
      <c r="U174" s="368" t="s">
        <v>2314</v>
      </c>
      <c r="V174" s="320"/>
      <c r="W174" s="320" t="s">
        <v>2456</v>
      </c>
      <c r="X174" s="320"/>
      <c r="Y174" s="368" t="s">
        <v>2320</v>
      </c>
      <c r="Z174" s="320" t="s">
        <v>1856</v>
      </c>
    </row>
    <row r="175" spans="1:26" ht="16.399999999999999" hidden="1" customHeight="1">
      <c r="A175" s="29" t="str">
        <f t="shared" si="2"/>
        <v>lt007_instr_activitysstnbl_indctr</v>
      </c>
      <c r="B175" s="141" t="s">
        <v>26</v>
      </c>
      <c r="C175" s="137" t="s">
        <v>26</v>
      </c>
      <c r="D175" s="133" t="s">
        <v>40</v>
      </c>
      <c r="E175" s="136" t="s">
        <v>1859</v>
      </c>
      <c r="F175" s="474" t="s">
        <v>418</v>
      </c>
      <c r="G175" s="135" t="str">
        <f>VLOOKUP(A175,Plano_V3!$A$26:$G$768,7,0)</f>
        <v>5. Em Correção</v>
      </c>
      <c r="H175" s="135" t="s">
        <v>615</v>
      </c>
      <c r="I175" s="467"/>
      <c r="J175" s="355" t="s">
        <v>2422</v>
      </c>
      <c r="K175" s="355" t="s">
        <v>2450</v>
      </c>
      <c r="L175" s="364">
        <v>45744</v>
      </c>
      <c r="M175" s="364">
        <v>45751</v>
      </c>
      <c r="N175" s="355" t="s">
        <v>2444</v>
      </c>
      <c r="O175" s="355"/>
      <c r="P175" s="152" t="str">
        <f>IF(VLOOKUP(A166,'Aux - pivots1'!$A:$E,3,0)=0, "",VLOOKUP(A166,'Aux - pivots1'!$A:$E,3,0))</f>
        <v/>
      </c>
      <c r="Q175" s="152" t="str">
        <f>IF(VLOOKUP(A166,'Aux - pivots1'!$A:$E,4,0)=0, "",VLOOKUP(A166,'Aux - pivots1'!$A:$E,4,0))</f>
        <v/>
      </c>
      <c r="R175" s="152" t="str">
        <f>IF(VLOOKUP(A166,'Aux - pivots1'!$A:$E,5,0)=0, "",VLOOKUP(A166,'Aux - pivots1'!$A:$E,5,0))</f>
        <v/>
      </c>
      <c r="S175" s="198">
        <v>45593</v>
      </c>
      <c r="T175" s="198"/>
      <c r="U175" s="368" t="s">
        <v>2315</v>
      </c>
      <c r="V175" s="320"/>
      <c r="W175" s="320" t="s">
        <v>2456</v>
      </c>
      <c r="X175" s="320"/>
      <c r="Y175" s="368" t="s">
        <v>2320</v>
      </c>
      <c r="Z175" s="320" t="s">
        <v>2308</v>
      </c>
    </row>
    <row r="176" spans="1:26" ht="16.399999999999999" customHeight="1">
      <c r="A176" s="29" t="str">
        <f t="shared" si="2"/>
        <v>lt007_instr_activitysstnbl_ctgry</v>
      </c>
      <c r="B176" s="141" t="s">
        <v>26</v>
      </c>
      <c r="C176" s="137" t="s">
        <v>26</v>
      </c>
      <c r="D176" s="133" t="s">
        <v>40</v>
      </c>
      <c r="E176" s="136" t="s">
        <v>1859</v>
      </c>
      <c r="F176" s="474" t="s">
        <v>419</v>
      </c>
      <c r="G176" s="135" t="str">
        <f>VLOOKUP(A176,Plano_V3!$A$26:$G$768,7,0)</f>
        <v>2.1 Em Teste</v>
      </c>
      <c r="H176" s="135" t="s">
        <v>1840</v>
      </c>
      <c r="I176" s="467"/>
      <c r="J176" s="355" t="s">
        <v>2241</v>
      </c>
      <c r="K176" s="355" t="s">
        <v>2449</v>
      </c>
      <c r="L176" s="153" t="s">
        <v>2459</v>
      </c>
      <c r="M176" s="153">
        <v>45737</v>
      </c>
      <c r="N176" s="142" t="s">
        <v>2444</v>
      </c>
      <c r="O176" s="355"/>
      <c r="P176" s="152" t="str">
        <f>IF(VLOOKUP(A160,'Aux - pivots1'!$A:$E,3,0)=0, "",VLOOKUP(A160,'Aux - pivots1'!$A:$E,3,0))</f>
        <v/>
      </c>
      <c r="Q176" s="152" t="str">
        <f>IF(VLOOKUP(A160,'Aux - pivots1'!$A:$E,4,0)=0, "",VLOOKUP(A160,'Aux - pivots1'!$A:$E,4,0))</f>
        <v/>
      </c>
      <c r="R176" s="152" t="str">
        <f>IF(VLOOKUP(A160,'Aux - pivots1'!$A:$E,5,0)=0, "",VLOOKUP(A160,'Aux - pivots1'!$A:$E,5,0))</f>
        <v/>
      </c>
      <c r="S176" s="198">
        <v>45593</v>
      </c>
      <c r="T176" s="198"/>
      <c r="U176" s="368" t="s">
        <v>2315</v>
      </c>
      <c r="V176" s="320"/>
      <c r="W176" s="320" t="s">
        <v>2456</v>
      </c>
      <c r="X176" s="320"/>
      <c r="Y176" s="368" t="s">
        <v>2320</v>
      </c>
      <c r="Z176" s="320" t="s">
        <v>2308</v>
      </c>
    </row>
    <row r="177" spans="1:26" ht="16.399999999999999" hidden="1" customHeight="1">
      <c r="A177" s="29" t="str">
        <f t="shared" si="2"/>
        <v>modesg_param_sfics_taxon_europeian.a.</v>
      </c>
      <c r="B177" s="141" t="s">
        <v>26</v>
      </c>
      <c r="C177" s="137" t="s">
        <v>181</v>
      </c>
      <c r="D177" s="133" t="s">
        <v>36</v>
      </c>
      <c r="E177" s="134" t="s">
        <v>2096</v>
      </c>
      <c r="F177" s="470" t="s">
        <v>38</v>
      </c>
      <c r="G177" s="135" t="str">
        <f>VLOOKUP(A177,Plano_V3!$A$26:$G$768,7,0)</f>
        <v>1. Concluído</v>
      </c>
      <c r="H177" s="135" t="s">
        <v>612</v>
      </c>
      <c r="I177" s="467"/>
      <c r="J177" s="142"/>
      <c r="K177" s="355"/>
      <c r="L177" s="364"/>
      <c r="M177" s="364"/>
      <c r="N177" s="355"/>
      <c r="O177" s="142"/>
      <c r="P177" s="152" t="str">
        <f>IF(VLOOKUP(A177,'Aux - pivots1'!$A:$E,3,0)=0, "",VLOOKUP(A177,'Aux - pivots1'!$A:$E,3,0))</f>
        <v/>
      </c>
      <c r="Q177" s="152" t="str">
        <f>IF(VLOOKUP(A177,'Aux - pivots1'!$A:$E,4,0)=0, "",VLOOKUP(A177,'Aux - pivots1'!$A:$E,4,0))</f>
        <v/>
      </c>
      <c r="R177" s="152" t="str">
        <f>IF(VLOOKUP(A177,'Aux - pivots1'!$A:$E,5,0)=0, "",VLOOKUP(A177,'Aux - pivots1'!$A:$E,5,0))</f>
        <v/>
      </c>
      <c r="S177" s="198"/>
      <c r="T177" s="198"/>
      <c r="U177" s="199"/>
      <c r="V177" s="320"/>
      <c r="W177" s="320"/>
      <c r="X177" s="320"/>
      <c r="Y177" s="368" t="s">
        <v>2320</v>
      </c>
      <c r="Z177" s="320" t="s">
        <v>2308</v>
      </c>
    </row>
    <row r="178" spans="1:26" ht="16.399999999999999" hidden="1" customHeight="1">
      <c r="A178" s="29" t="str">
        <f t="shared" si="2"/>
        <v>modesg_out_sfics_taxon_europeian.a.</v>
      </c>
      <c r="B178" s="141" t="s">
        <v>26</v>
      </c>
      <c r="C178" s="137" t="s">
        <v>310</v>
      </c>
      <c r="D178" s="133" t="s">
        <v>36</v>
      </c>
      <c r="E178" s="134" t="s">
        <v>2079</v>
      </c>
      <c r="F178" s="470" t="s">
        <v>38</v>
      </c>
      <c r="G178" s="135" t="str">
        <f>VLOOKUP(A178,Plano_V3!$A$26:$G$768,7,0)</f>
        <v>1. Concluído</v>
      </c>
      <c r="H178" s="135" t="s">
        <v>612</v>
      </c>
      <c r="I178" s="467"/>
      <c r="J178" s="142"/>
      <c r="K178" s="355" t="s">
        <v>2451</v>
      </c>
      <c r="L178" s="364"/>
      <c r="M178" s="500">
        <v>45763</v>
      </c>
      <c r="N178" s="355"/>
      <c r="O178" s="142"/>
      <c r="P178" s="152" t="str">
        <f>IF(VLOOKUP(A169,'Aux - pivots1'!$A:$E,3,0)=0, "",VLOOKUP(A169,'Aux - pivots1'!$A:$E,3,0))</f>
        <v/>
      </c>
      <c r="Q178" s="152" t="str">
        <f>IF(VLOOKUP(A169,'Aux - pivots1'!$A:$E,4,0)=0, "",VLOOKUP(A169,'Aux - pivots1'!$A:$E,4,0))</f>
        <v/>
      </c>
      <c r="R178" s="152" t="str">
        <f>IF(VLOOKUP(A169,'Aux - pivots1'!$A:$E,5,0)=0, "",VLOOKUP(A169,'Aux - pivots1'!$A:$E,5,0))</f>
        <v/>
      </c>
      <c r="S178" s="198"/>
      <c r="T178" s="198"/>
      <c r="U178" s="199"/>
      <c r="V178" s="320"/>
      <c r="W178" s="320"/>
      <c r="X178" s="320"/>
      <c r="Y178" s="368" t="s">
        <v>2320</v>
      </c>
      <c r="Z178" s="320" t="s">
        <v>2308</v>
      </c>
    </row>
    <row r="179" spans="1:26" ht="16.399999999999999" hidden="1" customHeight="1">
      <c r="A179" s="29" t="str">
        <f t="shared" si="2"/>
        <v>modesg_out_sfics_taxon_europeiaorigem</v>
      </c>
      <c r="B179" s="141" t="s">
        <v>26</v>
      </c>
      <c r="C179" s="137" t="s">
        <v>310</v>
      </c>
      <c r="D179" s="133" t="s">
        <v>40</v>
      </c>
      <c r="E179" s="134" t="s">
        <v>2079</v>
      </c>
      <c r="F179" s="470" t="s">
        <v>72</v>
      </c>
      <c r="G179" s="135" t="str">
        <f>VLOOKUP(A179,Plano_V3!$A$26:$G$768,7,0)</f>
        <v>0. Cancelado</v>
      </c>
      <c r="H179" s="135" t="s">
        <v>611</v>
      </c>
      <c r="I179" s="467"/>
      <c r="J179" s="142"/>
      <c r="K179" s="355"/>
      <c r="L179" s="364"/>
      <c r="M179" s="364"/>
      <c r="N179" s="355"/>
      <c r="O179" s="142"/>
      <c r="P179" s="152" t="str">
        <f>IF(VLOOKUP(A167,'Aux - pivots1'!$A:$E,3,0)=0, "",VLOOKUP(A167,'Aux - pivots1'!$A:$E,3,0))</f>
        <v/>
      </c>
      <c r="Q179" s="152" t="str">
        <f>IF(VLOOKUP(A167,'Aux - pivots1'!$A:$E,4,0)=0, "",VLOOKUP(A167,'Aux - pivots1'!$A:$E,4,0))</f>
        <v/>
      </c>
      <c r="R179" s="152" t="str">
        <f>IF(VLOOKUP(A167,'Aux - pivots1'!$A:$E,5,0)=0, "",VLOOKUP(A167,'Aux - pivots1'!$A:$E,5,0))</f>
        <v/>
      </c>
      <c r="S179" s="198"/>
      <c r="T179" s="198"/>
      <c r="U179" s="199"/>
      <c r="V179" s="320"/>
      <c r="W179" s="320"/>
      <c r="X179" s="320"/>
      <c r="Y179" s="368" t="s">
        <v>2320</v>
      </c>
      <c r="Z179" s="320"/>
    </row>
    <row r="180" spans="1:26" ht="16.399999999999999" hidden="1" customHeight="1">
      <c r="A180" s="29" t="str">
        <f t="shared" si="2"/>
        <v>lt003_entitynace_esg</v>
      </c>
      <c r="B180" s="141" t="s">
        <v>26</v>
      </c>
      <c r="C180" s="137" t="s">
        <v>26</v>
      </c>
      <c r="D180" s="133" t="s">
        <v>40</v>
      </c>
      <c r="E180" s="136" t="s">
        <v>335</v>
      </c>
      <c r="F180" s="474" t="s">
        <v>336</v>
      </c>
      <c r="G180" s="479" t="str">
        <f>VLOOKUP(A180,Plano_V3!$A$26:$G$768,7,0)</f>
        <v>1. Concluído</v>
      </c>
      <c r="H180" s="135" t="s">
        <v>612</v>
      </c>
      <c r="I180" s="467"/>
      <c r="J180" s="142"/>
      <c r="K180" s="355" t="s">
        <v>2449</v>
      </c>
      <c r="L180" s="153">
        <v>45730</v>
      </c>
      <c r="M180" s="153">
        <v>45737</v>
      </c>
      <c r="N180" s="142" t="s">
        <v>2444</v>
      </c>
      <c r="O180" s="142"/>
      <c r="P180" s="152" t="str">
        <f>IF(VLOOKUP(A169,'Aux - pivots1'!$A:$E,3,0)=0, "",VLOOKUP(A169,'Aux - pivots1'!$A:$E,3,0))</f>
        <v/>
      </c>
      <c r="Q180" s="152" t="str">
        <f>IF(VLOOKUP(A169,'Aux - pivots1'!$A:$E,4,0)=0, "",VLOOKUP(A169,'Aux - pivots1'!$A:$E,4,0))</f>
        <v/>
      </c>
      <c r="R180" s="152" t="str">
        <f>IF(VLOOKUP(A169,'Aux - pivots1'!$A:$E,5,0)=0, "",VLOOKUP(A169,'Aux - pivots1'!$A:$E,5,0))</f>
        <v/>
      </c>
      <c r="S180" s="198"/>
      <c r="T180" s="198"/>
      <c r="U180" s="199"/>
      <c r="V180" s="320"/>
      <c r="W180" s="320" t="s">
        <v>2456</v>
      </c>
      <c r="X180" s="320"/>
      <c r="Y180" s="368" t="s">
        <v>2320</v>
      </c>
      <c r="Z180" s="320" t="s">
        <v>1855</v>
      </c>
    </row>
    <row r="181" spans="1:26" ht="16.399999999999999" hidden="1" customHeight="1">
      <c r="A181" s="29" t="str">
        <f t="shared" si="2"/>
        <v>lt003_entityflg_act_physcl_rsk</v>
      </c>
      <c r="B181" s="141" t="s">
        <v>26</v>
      </c>
      <c r="C181" s="137" t="s">
        <v>26</v>
      </c>
      <c r="D181" s="133" t="s">
        <v>40</v>
      </c>
      <c r="E181" s="136" t="s">
        <v>335</v>
      </c>
      <c r="F181" s="474" t="s">
        <v>357</v>
      </c>
      <c r="G181" s="479" t="str">
        <f>VLOOKUP(A181,Plano_V3!$A$26:$G$768,7,0)</f>
        <v>1. Concluído</v>
      </c>
      <c r="H181" s="135" t="s">
        <v>612</v>
      </c>
      <c r="I181" s="467"/>
      <c r="J181" s="142"/>
      <c r="K181" s="355" t="s">
        <v>2449</v>
      </c>
      <c r="L181" s="153">
        <v>45730</v>
      </c>
      <c r="M181" s="153">
        <v>45737</v>
      </c>
      <c r="N181" s="142" t="s">
        <v>2444</v>
      </c>
      <c r="O181" s="142"/>
      <c r="P181" s="152" t="str">
        <f>IF(VLOOKUP(A172,'Aux - pivots1'!$A:$E,3,0)=0, "",VLOOKUP(A172,'Aux - pivots1'!$A:$E,3,0))</f>
        <v/>
      </c>
      <c r="Q181" s="152" t="str">
        <f>IF(VLOOKUP(A172,'Aux - pivots1'!$A:$E,4,0)=0, "",VLOOKUP(A172,'Aux - pivots1'!$A:$E,4,0))</f>
        <v/>
      </c>
      <c r="R181" s="152" t="str">
        <f>IF(VLOOKUP(A172,'Aux - pivots1'!$A:$E,5,0)=0, "",VLOOKUP(A172,'Aux - pivots1'!$A:$E,5,0))</f>
        <v/>
      </c>
      <c r="S181" s="198"/>
      <c r="T181" s="198"/>
      <c r="U181" s="199"/>
      <c r="V181" s="320"/>
      <c r="W181" s="320" t="s">
        <v>2456</v>
      </c>
      <c r="X181" s="320"/>
      <c r="Y181" s="368" t="s">
        <v>2320</v>
      </c>
      <c r="Z181" s="320" t="s">
        <v>1856</v>
      </c>
    </row>
    <row r="182" spans="1:26" ht="16.399999999999999" hidden="1" customHeight="1">
      <c r="A182" s="29" t="str">
        <f t="shared" si="2"/>
        <v>lt003_entityflg_chrnc_physcl_rsk</v>
      </c>
      <c r="B182" s="141" t="s">
        <v>26</v>
      </c>
      <c r="C182" s="137" t="s">
        <v>26</v>
      </c>
      <c r="D182" s="133" t="s">
        <v>40</v>
      </c>
      <c r="E182" s="136" t="s">
        <v>335</v>
      </c>
      <c r="F182" s="474" t="s">
        <v>358</v>
      </c>
      <c r="G182" s="479" t="str">
        <f>VLOOKUP(A182,Plano_V3!$A$26:$G$768,7,0)</f>
        <v>1. Concluído</v>
      </c>
      <c r="H182" s="135" t="s">
        <v>612</v>
      </c>
      <c r="I182" s="467"/>
      <c r="J182" s="142"/>
      <c r="K182" s="355" t="s">
        <v>2449</v>
      </c>
      <c r="L182" s="153">
        <v>45730</v>
      </c>
      <c r="M182" s="153">
        <v>45737</v>
      </c>
      <c r="N182" s="142" t="s">
        <v>2444</v>
      </c>
      <c r="O182" s="142"/>
      <c r="P182" s="152" t="str">
        <f>IF(VLOOKUP(A173,'Aux - pivots1'!$A:$E,3,0)=0, "",VLOOKUP(A173,'Aux - pivots1'!$A:$E,3,0))</f>
        <v/>
      </c>
      <c r="Q182" s="152" t="str">
        <f>IF(VLOOKUP(A173,'Aux - pivots1'!$A:$E,4,0)=0, "",VLOOKUP(A173,'Aux - pivots1'!$A:$E,4,0))</f>
        <v/>
      </c>
      <c r="R182" s="152" t="str">
        <f>IF(VLOOKUP(A173,'Aux - pivots1'!$A:$E,5,0)=0, "",VLOOKUP(A173,'Aux - pivots1'!$A:$E,5,0))</f>
        <v/>
      </c>
      <c r="S182" s="198"/>
      <c r="T182" s="198"/>
      <c r="U182" s="199"/>
      <c r="V182" s="320"/>
      <c r="W182" s="320" t="s">
        <v>2456</v>
      </c>
      <c r="X182" s="320"/>
      <c r="Y182" s="368" t="s">
        <v>2320</v>
      </c>
      <c r="Z182" s="320" t="s">
        <v>1856</v>
      </c>
    </row>
    <row r="183" spans="1:26" ht="16.399999999999999" hidden="1" customHeight="1">
      <c r="A183" s="29" t="str">
        <f t="shared" si="2"/>
        <v>lt002_instrumentrsk_mtgtd_ccp</v>
      </c>
      <c r="B183" s="141" t="s">
        <v>26</v>
      </c>
      <c r="C183" s="137" t="s">
        <v>26</v>
      </c>
      <c r="D183" s="133" t="s">
        <v>40</v>
      </c>
      <c r="E183" s="136" t="s">
        <v>379</v>
      </c>
      <c r="F183" s="474" t="s">
        <v>381</v>
      </c>
      <c r="G183" s="479" t="str">
        <f>VLOOKUP(A183,Plano_V3!$A$26:$G$768,7,0)</f>
        <v>5. Em Correção</v>
      </c>
      <c r="H183" s="135" t="s">
        <v>615</v>
      </c>
      <c r="I183" s="467"/>
      <c r="J183" s="142"/>
      <c r="K183" s="355" t="s">
        <v>2449</v>
      </c>
      <c r="L183" s="153">
        <v>45730</v>
      </c>
      <c r="M183" s="153">
        <v>45737</v>
      </c>
      <c r="N183" s="142" t="s">
        <v>2444</v>
      </c>
      <c r="O183" s="142"/>
      <c r="P183" s="152" t="str">
        <f>IF(VLOOKUP(A174,'Aux - pivots1'!$A:$E,3,0)=0, "",VLOOKUP(A174,'Aux - pivots1'!$A:$E,3,0))</f>
        <v/>
      </c>
      <c r="Q183" s="152" t="str">
        <f>IF(VLOOKUP(A174,'Aux - pivots1'!$A:$E,4,0)=0, "",VLOOKUP(A174,'Aux - pivots1'!$A:$E,4,0))</f>
        <v/>
      </c>
      <c r="R183" s="152" t="str">
        <f>IF(VLOOKUP(A174,'Aux - pivots1'!$A:$E,5,0)=0, "",VLOOKUP(A174,'Aux - pivots1'!$A:$E,5,0))</f>
        <v/>
      </c>
      <c r="S183" s="198">
        <v>45595</v>
      </c>
      <c r="T183" s="198"/>
      <c r="U183" s="368" t="s">
        <v>2314</v>
      </c>
      <c r="V183" s="320"/>
      <c r="W183" s="320" t="s">
        <v>2456</v>
      </c>
      <c r="X183" s="320"/>
      <c r="Y183" s="368" t="s">
        <v>2320</v>
      </c>
      <c r="Z183" s="320" t="s">
        <v>1855</v>
      </c>
    </row>
    <row r="184" spans="1:26" ht="16.399999999999999" hidden="1" customHeight="1">
      <c r="A184" s="29" t="str">
        <f t="shared" si="2"/>
        <v>lt007_instr_activityCOD_SOC</v>
      </c>
      <c r="B184" s="141" t="s">
        <v>26</v>
      </c>
      <c r="C184" s="137" t="s">
        <v>26</v>
      </c>
      <c r="D184" s="133" t="s">
        <v>40</v>
      </c>
      <c r="E184" s="136" t="s">
        <v>1859</v>
      </c>
      <c r="F184" s="474" t="s">
        <v>1293</v>
      </c>
      <c r="G184" s="135" t="str">
        <f>VLOOKUP(A184,Plano_V3!$A$26:$G$768,7,0)</f>
        <v>1. Concluído</v>
      </c>
      <c r="H184" s="135" t="s">
        <v>612</v>
      </c>
      <c r="I184" s="467"/>
      <c r="J184" s="355" t="s">
        <v>2240</v>
      </c>
      <c r="K184" s="355" t="s">
        <v>2448</v>
      </c>
      <c r="L184" s="364">
        <v>45726</v>
      </c>
      <c r="M184" s="364">
        <v>45735</v>
      </c>
      <c r="N184" s="355" t="s">
        <v>2443</v>
      </c>
      <c r="O184" s="355"/>
      <c r="P184" s="152" t="str">
        <f>IF(VLOOKUP(A184,'Aux - pivots1'!$A:$E,3,0)=0, "",VLOOKUP(A184,'Aux - pivots1'!$A:$E,3,0))</f>
        <v/>
      </c>
      <c r="Q184" s="152" t="str">
        <f>IF(VLOOKUP(A184,'Aux - pivots1'!$A:$E,4,0)=0, "",VLOOKUP(A184,'Aux - pivots1'!$A:$E,4,0))</f>
        <v/>
      </c>
      <c r="R184" s="152" t="str">
        <f>IF(VLOOKUP(A184,'Aux - pivots1'!$A:$E,5,0)=0, "",VLOOKUP(A184,'Aux - pivots1'!$A:$E,5,0))</f>
        <v/>
      </c>
      <c r="S184" s="198"/>
      <c r="T184" s="198"/>
      <c r="U184" s="368" t="s">
        <v>2313</v>
      </c>
      <c r="V184" s="320" t="s">
        <v>2381</v>
      </c>
      <c r="W184" s="320" t="s">
        <v>2455</v>
      </c>
      <c r="X184" s="368" t="s">
        <v>2360</v>
      </c>
      <c r="Y184" s="368" t="s">
        <v>2321</v>
      </c>
      <c r="Z184" s="320" t="s">
        <v>2308</v>
      </c>
    </row>
    <row r="185" spans="1:26" ht="16.399999999999999" hidden="1" customHeight="1">
      <c r="A185" s="29" t="str">
        <f t="shared" si="2"/>
        <v>lt007_instr_activityDT_RFRNC</v>
      </c>
      <c r="B185" s="141" t="s">
        <v>26</v>
      </c>
      <c r="C185" s="137" t="s">
        <v>26</v>
      </c>
      <c r="D185" s="133" t="s">
        <v>40</v>
      </c>
      <c r="E185" s="136" t="s">
        <v>1859</v>
      </c>
      <c r="F185" s="474" t="s">
        <v>1298</v>
      </c>
      <c r="G185" s="135" t="str">
        <f>VLOOKUP(A185,Plano_V3!$A$26:$G$768,7,0)</f>
        <v>1. Concluído</v>
      </c>
      <c r="H185" s="135" t="s">
        <v>612</v>
      </c>
      <c r="I185" s="467"/>
      <c r="J185" s="355" t="s">
        <v>2239</v>
      </c>
      <c r="K185" s="355" t="s">
        <v>2448</v>
      </c>
      <c r="L185" s="364">
        <v>45726</v>
      </c>
      <c r="M185" s="364">
        <v>45735</v>
      </c>
      <c r="N185" s="355" t="s">
        <v>2443</v>
      </c>
      <c r="O185" s="355"/>
      <c r="P185" s="152" t="str">
        <f>IF(VLOOKUP(A185,'Aux - pivots1'!$A:$E,3,0)=0, "",VLOOKUP(A185,'Aux - pivots1'!$A:$E,3,0))</f>
        <v/>
      </c>
      <c r="Q185" s="152" t="str">
        <f>IF(VLOOKUP(A185,'Aux - pivots1'!$A:$E,4,0)=0, "",VLOOKUP(A185,'Aux - pivots1'!$A:$E,4,0))</f>
        <v/>
      </c>
      <c r="R185" s="152" t="str">
        <f>IF(VLOOKUP(A185,'Aux - pivots1'!$A:$E,5,0)=0, "",VLOOKUP(A185,'Aux - pivots1'!$A:$E,5,0))</f>
        <v/>
      </c>
      <c r="S185" s="198"/>
      <c r="T185" s="198"/>
      <c r="U185" s="368" t="s">
        <v>2313</v>
      </c>
      <c r="V185" s="320" t="s">
        <v>2381</v>
      </c>
      <c r="W185" s="320" t="s">
        <v>2455</v>
      </c>
      <c r="X185" s="368" t="s">
        <v>2360</v>
      </c>
      <c r="Y185" s="368" t="s">
        <v>2321</v>
      </c>
      <c r="Z185" s="320" t="s">
        <v>2308</v>
      </c>
    </row>
    <row r="186" spans="1:26" ht="16.399999999999999" hidden="1" customHeight="1">
      <c r="A186" s="29" t="str">
        <f t="shared" si="2"/>
        <v>lt007_instr_activityINSTRMNT_ID</v>
      </c>
      <c r="B186" s="141" t="s">
        <v>26</v>
      </c>
      <c r="C186" s="137" t="s">
        <v>26</v>
      </c>
      <c r="D186" s="133" t="s">
        <v>40</v>
      </c>
      <c r="E186" s="136" t="s">
        <v>1859</v>
      </c>
      <c r="F186" s="474" t="s">
        <v>1307</v>
      </c>
      <c r="G186" s="135" t="str">
        <f>VLOOKUP(A186,Plano_V3!$A$26:$G$768,7,0)</f>
        <v>2.1 Em Teste</v>
      </c>
      <c r="H186" s="135" t="s">
        <v>615</v>
      </c>
      <c r="I186" s="467"/>
      <c r="J186" s="355" t="s">
        <v>2240</v>
      </c>
      <c r="K186" s="355" t="s">
        <v>2448</v>
      </c>
      <c r="L186" s="364">
        <v>45726</v>
      </c>
      <c r="M186" s="364">
        <v>45735</v>
      </c>
      <c r="N186" s="355" t="s">
        <v>2443</v>
      </c>
      <c r="O186" s="355"/>
      <c r="P186" s="152" t="str">
        <f>IF(VLOOKUP(A186,'Aux - pivots1'!$A:$E,3,0)=0, "",VLOOKUP(A186,'Aux - pivots1'!$A:$E,3,0))</f>
        <v/>
      </c>
      <c r="Q186" s="152" t="str">
        <f>IF(VLOOKUP(A186,'Aux - pivots1'!$A:$E,4,0)=0, "",VLOOKUP(A186,'Aux - pivots1'!$A:$E,4,0))</f>
        <v/>
      </c>
      <c r="R186" s="152" t="str">
        <f>IF(VLOOKUP(A186,'Aux - pivots1'!$A:$E,5,0)=0, "",VLOOKUP(A186,'Aux - pivots1'!$A:$E,5,0))</f>
        <v/>
      </c>
      <c r="S186" s="198"/>
      <c r="T186" s="198"/>
      <c r="U186" s="368" t="s">
        <v>2313</v>
      </c>
      <c r="V186" s="320" t="s">
        <v>2381</v>
      </c>
      <c r="W186" s="320" t="s">
        <v>2455</v>
      </c>
      <c r="X186" s="368" t="s">
        <v>2360</v>
      </c>
      <c r="Y186" s="368" t="s">
        <v>2321</v>
      </c>
      <c r="Z186" s="320" t="s">
        <v>2308</v>
      </c>
    </row>
    <row r="187" spans="1:26" ht="16.399999999999999" hidden="1" customHeight="1">
      <c r="A187" s="29" t="str">
        <f t="shared" si="2"/>
        <v>lt007_instr_activityFLG_DNSH_CMPLNC</v>
      </c>
      <c r="B187" s="141" t="s">
        <v>26</v>
      </c>
      <c r="C187" s="137" t="s">
        <v>26</v>
      </c>
      <c r="D187" s="133" t="s">
        <v>40</v>
      </c>
      <c r="E187" s="136" t="s">
        <v>1859</v>
      </c>
      <c r="F187" s="474" t="s">
        <v>2293</v>
      </c>
      <c r="G187" s="135" t="str">
        <f>VLOOKUP(A187,Plano_V3!$A$26:$G$768,7,0)</f>
        <v>1. Concluído</v>
      </c>
      <c r="H187" s="135" t="s">
        <v>612</v>
      </c>
      <c r="I187" s="467"/>
      <c r="J187" s="355" t="s">
        <v>2306</v>
      </c>
      <c r="K187" s="355" t="s">
        <v>2448</v>
      </c>
      <c r="L187" s="364">
        <v>45726</v>
      </c>
      <c r="M187" s="364">
        <v>45735</v>
      </c>
      <c r="N187" s="355" t="s">
        <v>2444</v>
      </c>
      <c r="O187" s="355"/>
      <c r="P187" s="152" t="str">
        <f>IF(VLOOKUP(A187,'Aux - pivots1'!$A:$E,3,0)=0, "",VLOOKUP(A187,'Aux - pivots1'!$A:$E,3,0))</f>
        <v/>
      </c>
      <c r="Q187" s="152" t="str">
        <f>IF(VLOOKUP(A187,'Aux - pivots1'!$A:$E,4,0)=0, "",VLOOKUP(A187,'Aux - pivots1'!$A:$E,4,0))</f>
        <v/>
      </c>
      <c r="R187" s="152" t="str">
        <f>IF(VLOOKUP(A187,'Aux - pivots1'!$A:$E,5,0)=0, "",VLOOKUP(A187,'Aux - pivots1'!$A:$E,5,0))</f>
        <v/>
      </c>
      <c r="S187" s="198"/>
      <c r="T187" s="198"/>
      <c r="U187" s="368" t="s">
        <v>2313</v>
      </c>
      <c r="V187" s="320" t="s">
        <v>2382</v>
      </c>
      <c r="W187" s="320" t="s">
        <v>2455</v>
      </c>
      <c r="X187" s="368" t="s">
        <v>2360</v>
      </c>
      <c r="Y187" s="368" t="s">
        <v>2321</v>
      </c>
      <c r="Z187" s="320" t="s">
        <v>2310</v>
      </c>
    </row>
    <row r="188" spans="1:26" ht="16.399999999999999" hidden="1" customHeight="1">
      <c r="A188" s="29" t="str">
        <f t="shared" si="2"/>
        <v>lt007_instr_activityDNSH_DTL</v>
      </c>
      <c r="B188" s="141" t="s">
        <v>26</v>
      </c>
      <c r="C188" s="137" t="s">
        <v>26</v>
      </c>
      <c r="D188" s="133" t="s">
        <v>40</v>
      </c>
      <c r="E188" s="136" t="s">
        <v>1859</v>
      </c>
      <c r="F188" s="474" t="s">
        <v>2294</v>
      </c>
      <c r="G188" s="135" t="str">
        <f>VLOOKUP(A188,Plano_V3!$A$26:$G$768,7,0)</f>
        <v>2.1 Em Teste</v>
      </c>
      <c r="H188" s="135" t="s">
        <v>615</v>
      </c>
      <c r="I188" s="467"/>
      <c r="J188" s="355" t="s">
        <v>2306</v>
      </c>
      <c r="K188" s="355" t="s">
        <v>2448</v>
      </c>
      <c r="L188" s="364">
        <v>45726</v>
      </c>
      <c r="M188" s="364">
        <v>45735</v>
      </c>
      <c r="N188" s="355" t="s">
        <v>2444</v>
      </c>
      <c r="O188" s="355"/>
      <c r="P188" s="152" t="str">
        <f>IF(VLOOKUP(A188,'Aux - pivots1'!$A:$E,3,0)=0, "",VLOOKUP(A188,'Aux - pivots1'!$A:$E,3,0))</f>
        <v/>
      </c>
      <c r="Q188" s="152" t="str">
        <f>IF(VLOOKUP(A188,'Aux - pivots1'!$A:$E,4,0)=0, "",VLOOKUP(A188,'Aux - pivots1'!$A:$E,4,0))</f>
        <v/>
      </c>
      <c r="R188" s="152" t="str">
        <f>IF(VLOOKUP(A188,'Aux - pivots1'!$A:$E,5,0)=0, "",VLOOKUP(A188,'Aux - pivots1'!$A:$E,5,0))</f>
        <v/>
      </c>
      <c r="S188" s="198"/>
      <c r="T188" s="198"/>
      <c r="U188" s="368" t="s">
        <v>2313</v>
      </c>
      <c r="V188" s="320" t="s">
        <v>2382</v>
      </c>
      <c r="W188" s="320" t="s">
        <v>2455</v>
      </c>
      <c r="X188" s="368" t="s">
        <v>2360</v>
      </c>
      <c r="Y188" s="368" t="s">
        <v>2321</v>
      </c>
      <c r="Z188" s="320" t="s">
        <v>2310</v>
      </c>
    </row>
    <row r="189" spans="1:26" ht="16.399999999999999" hidden="1" customHeight="1">
      <c r="A189" s="29" t="str">
        <f t="shared" si="2"/>
        <v>lt002_instrumentFLG_MNMM_SFGRDS</v>
      </c>
      <c r="B189" s="141" t="s">
        <v>26</v>
      </c>
      <c r="C189" s="137" t="s">
        <v>26</v>
      </c>
      <c r="D189" s="133" t="s">
        <v>40</v>
      </c>
      <c r="E189" s="136" t="s">
        <v>379</v>
      </c>
      <c r="F189" s="474" t="s">
        <v>2174</v>
      </c>
      <c r="G189" s="135" t="str">
        <f>VLOOKUP(A189,Plano_V3!$A$26:$G$768,7,0)</f>
        <v>1. Concluído</v>
      </c>
      <c r="H189" s="135" t="s">
        <v>612</v>
      </c>
      <c r="I189" s="467"/>
      <c r="J189" s="142" t="s">
        <v>2303</v>
      </c>
      <c r="K189" s="142" t="s">
        <v>2447</v>
      </c>
      <c r="L189" s="364">
        <v>45726</v>
      </c>
      <c r="M189" s="364">
        <v>45730</v>
      </c>
      <c r="N189" s="355" t="s">
        <v>2444</v>
      </c>
      <c r="O189" s="142"/>
      <c r="P189" s="152" t="str">
        <f>IF(VLOOKUP(A189,'Aux - pivots1'!$A:$E,3,0)=0, "",VLOOKUP(A189,'Aux - pivots1'!$A:$E,3,0))</f>
        <v/>
      </c>
      <c r="Q189" s="152" t="str">
        <f>IF(VLOOKUP(A189,'Aux - pivots1'!$A:$E,4,0)=0, "",VLOOKUP(A189,'Aux - pivots1'!$A:$E,4,0))</f>
        <v/>
      </c>
      <c r="R189" s="152" t="str">
        <f>IF(VLOOKUP(A189,'Aux - pivots1'!$A:$E,5,0)=0, "",VLOOKUP(A189,'Aux - pivots1'!$A:$E,5,0))</f>
        <v/>
      </c>
      <c r="S189" s="198"/>
      <c r="T189" s="198"/>
      <c r="U189" s="368" t="s">
        <v>2313</v>
      </c>
      <c r="V189" s="320" t="s">
        <v>2392</v>
      </c>
      <c r="W189" s="320" t="s">
        <v>2455</v>
      </c>
      <c r="X189" s="368" t="s">
        <v>2360</v>
      </c>
      <c r="Y189" s="368" t="s">
        <v>2321</v>
      </c>
      <c r="Z189" s="320" t="s">
        <v>1855</v>
      </c>
    </row>
    <row r="190" spans="1:26" ht="16.399999999999999" hidden="1" customHeight="1">
      <c r="A190" s="29" t="str">
        <f t="shared" si="2"/>
        <v>lt003_entitytxnmy_elgbl_capex_w</v>
      </c>
      <c r="B190" s="141" t="s">
        <v>26</v>
      </c>
      <c r="C190" s="137" t="s">
        <v>26</v>
      </c>
      <c r="D190" s="133" t="s">
        <v>40</v>
      </c>
      <c r="E190" s="136" t="s">
        <v>335</v>
      </c>
      <c r="F190" s="474" t="s">
        <v>2195</v>
      </c>
      <c r="G190" s="135" t="str">
        <f>VLOOKUP(A190,Plano_V3!$A$26:$G$768,7,0)</f>
        <v>1. Concluído</v>
      </c>
      <c r="H190" s="135" t="s">
        <v>612</v>
      </c>
      <c r="I190" s="467"/>
      <c r="J190" s="355" t="s">
        <v>2242</v>
      </c>
      <c r="K190" s="142" t="s">
        <v>2447</v>
      </c>
      <c r="L190" s="364">
        <v>45726</v>
      </c>
      <c r="M190" s="364">
        <v>45730</v>
      </c>
      <c r="N190" s="355" t="s">
        <v>2444</v>
      </c>
      <c r="O190" s="355"/>
      <c r="P190" s="152" t="str">
        <f>IF(VLOOKUP(A190,'Aux - pivots1'!$A:$E,3,0)=0, "",VLOOKUP(A190,'Aux - pivots1'!$A:$E,3,0))</f>
        <v/>
      </c>
      <c r="Q190" s="152" t="str">
        <f>IF(VLOOKUP(A190,'Aux - pivots1'!$A:$E,4,0)=0, "",VLOOKUP(A190,'Aux - pivots1'!$A:$E,4,0))</f>
        <v/>
      </c>
      <c r="R190" s="152" t="str">
        <f>IF(VLOOKUP(A190,'Aux - pivots1'!$A:$E,5,0)=0, "",VLOOKUP(A190,'Aux - pivots1'!$A:$E,5,0))</f>
        <v/>
      </c>
      <c r="S190" s="198"/>
      <c r="T190" s="198"/>
      <c r="U190" s="368" t="s">
        <v>2313</v>
      </c>
      <c r="V190" s="320" t="s">
        <v>2382</v>
      </c>
      <c r="W190" s="320" t="s">
        <v>2455</v>
      </c>
      <c r="X190" s="368" t="s">
        <v>2360</v>
      </c>
      <c r="Y190" s="368" t="s">
        <v>2321</v>
      </c>
      <c r="Z190" s="320" t="s">
        <v>1855</v>
      </c>
    </row>
    <row r="191" spans="1:26" ht="16.399999999999999" hidden="1" customHeight="1">
      <c r="A191" s="29" t="str">
        <f t="shared" si="2"/>
        <v>lt003_entitytxnmy_elgbl_trnvr_w</v>
      </c>
      <c r="B191" s="141" t="s">
        <v>26</v>
      </c>
      <c r="C191" s="137" t="s">
        <v>26</v>
      </c>
      <c r="D191" s="133" t="s">
        <v>40</v>
      </c>
      <c r="E191" s="136" t="s">
        <v>335</v>
      </c>
      <c r="F191" s="474" t="s">
        <v>2196</v>
      </c>
      <c r="G191" s="135" t="str">
        <f>VLOOKUP(A191,Plano_V3!$A$26:$G$768,7,0)</f>
        <v>1. Concluído</v>
      </c>
      <c r="H191" s="135" t="s">
        <v>612</v>
      </c>
      <c r="I191" s="467"/>
      <c r="J191" s="355" t="s">
        <v>2242</v>
      </c>
      <c r="K191" s="142" t="s">
        <v>2447</v>
      </c>
      <c r="L191" s="364">
        <v>45726</v>
      </c>
      <c r="M191" s="364">
        <v>45730</v>
      </c>
      <c r="N191" s="355" t="s">
        <v>2444</v>
      </c>
      <c r="O191" s="355"/>
      <c r="P191" s="152" t="str">
        <f>IF(VLOOKUP(A191,'Aux - pivots1'!$A:$E,3,0)=0, "",VLOOKUP(A191,'Aux - pivots1'!$A:$E,3,0))</f>
        <v/>
      </c>
      <c r="Q191" s="152" t="str">
        <f>IF(VLOOKUP(A191,'Aux - pivots1'!$A:$E,4,0)=0, "",VLOOKUP(A191,'Aux - pivots1'!$A:$E,4,0))</f>
        <v/>
      </c>
      <c r="R191" s="152" t="str">
        <f>IF(VLOOKUP(A191,'Aux - pivots1'!$A:$E,5,0)=0, "",VLOOKUP(A191,'Aux - pivots1'!$A:$E,5,0))</f>
        <v/>
      </c>
      <c r="S191" s="198"/>
      <c r="T191" s="198"/>
      <c r="U191" s="368" t="s">
        <v>2313</v>
      </c>
      <c r="V191" s="320" t="s">
        <v>2382</v>
      </c>
      <c r="W191" s="320" t="s">
        <v>2455</v>
      </c>
      <c r="X191" s="368" t="s">
        <v>2360</v>
      </c>
      <c r="Y191" s="368" t="s">
        <v>2321</v>
      </c>
      <c r="Z191" s="320" t="s">
        <v>1855</v>
      </c>
    </row>
    <row r="192" spans="1:26" ht="16.399999999999999" hidden="1" customHeight="1">
      <c r="A192" s="29" t="str">
        <f t="shared" si="2"/>
        <v>lt003_entitytxnmy_elgbl_capex_p</v>
      </c>
      <c r="B192" s="141" t="s">
        <v>26</v>
      </c>
      <c r="C192" s="137" t="s">
        <v>26</v>
      </c>
      <c r="D192" s="133" t="s">
        <v>40</v>
      </c>
      <c r="E192" s="136" t="s">
        <v>335</v>
      </c>
      <c r="F192" s="474" t="s">
        <v>2197</v>
      </c>
      <c r="G192" s="135" t="str">
        <f>VLOOKUP(A192,Plano_V3!$A$26:$G$768,7,0)</f>
        <v>1. Concluído</v>
      </c>
      <c r="H192" s="135" t="s">
        <v>612</v>
      </c>
      <c r="I192" s="467"/>
      <c r="J192" s="355" t="s">
        <v>2242</v>
      </c>
      <c r="K192" s="142" t="s">
        <v>2447</v>
      </c>
      <c r="L192" s="364">
        <v>45726</v>
      </c>
      <c r="M192" s="364">
        <v>45730</v>
      </c>
      <c r="N192" s="355" t="s">
        <v>2444</v>
      </c>
      <c r="O192" s="355"/>
      <c r="P192" s="152" t="str">
        <f>IF(VLOOKUP(A192,'Aux - pivots1'!$A:$E,3,0)=0, "",VLOOKUP(A192,'Aux - pivots1'!$A:$E,3,0))</f>
        <v/>
      </c>
      <c r="Q192" s="152" t="str">
        <f>IF(VLOOKUP(A192,'Aux - pivots1'!$A:$E,4,0)=0, "",VLOOKUP(A192,'Aux - pivots1'!$A:$E,4,0))</f>
        <v/>
      </c>
      <c r="R192" s="152" t="str">
        <f>IF(VLOOKUP(A192,'Aux - pivots1'!$A:$E,5,0)=0, "",VLOOKUP(A192,'Aux - pivots1'!$A:$E,5,0))</f>
        <v/>
      </c>
      <c r="S192" s="198"/>
      <c r="T192" s="198"/>
      <c r="U192" s="368" t="s">
        <v>2313</v>
      </c>
      <c r="V192" s="320" t="s">
        <v>2382</v>
      </c>
      <c r="W192" s="320" t="s">
        <v>2455</v>
      </c>
      <c r="X192" s="368" t="s">
        <v>2360</v>
      </c>
      <c r="Y192" s="368" t="s">
        <v>2321</v>
      </c>
      <c r="Z192" s="320" t="s">
        <v>1855</v>
      </c>
    </row>
    <row r="193" spans="1:26" ht="16.399999999999999" hidden="1" customHeight="1">
      <c r="A193" s="29" t="str">
        <f t="shared" si="2"/>
        <v>lt003_entitytxnmy_elgbl_trnvr_p</v>
      </c>
      <c r="B193" s="141" t="s">
        <v>26</v>
      </c>
      <c r="C193" s="137" t="s">
        <v>26</v>
      </c>
      <c r="D193" s="133" t="s">
        <v>40</v>
      </c>
      <c r="E193" s="136" t="s">
        <v>335</v>
      </c>
      <c r="F193" s="474" t="s">
        <v>2198</v>
      </c>
      <c r="G193" s="135" t="str">
        <f>VLOOKUP(A193,Plano_V3!$A$26:$G$768,7,0)</f>
        <v>1. Concluído</v>
      </c>
      <c r="H193" s="135" t="s">
        <v>612</v>
      </c>
      <c r="I193" s="467"/>
      <c r="J193" s="355" t="s">
        <v>2242</v>
      </c>
      <c r="K193" s="142" t="s">
        <v>2447</v>
      </c>
      <c r="L193" s="364">
        <v>45726</v>
      </c>
      <c r="M193" s="364">
        <v>45730</v>
      </c>
      <c r="N193" s="355" t="s">
        <v>2444</v>
      </c>
      <c r="O193" s="355"/>
      <c r="P193" s="152" t="str">
        <f>IF(VLOOKUP(A193,'Aux - pivots1'!$A:$E,3,0)=0, "",VLOOKUP(A193,'Aux - pivots1'!$A:$E,3,0))</f>
        <v/>
      </c>
      <c r="Q193" s="152" t="str">
        <f>IF(VLOOKUP(A193,'Aux - pivots1'!$A:$E,4,0)=0, "",VLOOKUP(A193,'Aux - pivots1'!$A:$E,4,0))</f>
        <v/>
      </c>
      <c r="R193" s="152" t="str">
        <f>IF(VLOOKUP(A193,'Aux - pivots1'!$A:$E,5,0)=0, "",VLOOKUP(A193,'Aux - pivots1'!$A:$E,5,0))</f>
        <v/>
      </c>
      <c r="S193" s="198"/>
      <c r="T193" s="198"/>
      <c r="U193" s="368" t="s">
        <v>2313</v>
      </c>
      <c r="V193" s="320" t="s">
        <v>2382</v>
      </c>
      <c r="W193" s="320" t="s">
        <v>2455</v>
      </c>
      <c r="X193" s="368" t="s">
        <v>2360</v>
      </c>
      <c r="Y193" s="368" t="s">
        <v>2321</v>
      </c>
      <c r="Z193" s="320" t="s">
        <v>1855</v>
      </c>
    </row>
    <row r="194" spans="1:26" ht="16.399999999999999" hidden="1" customHeight="1">
      <c r="A194" s="29" t="str">
        <f t="shared" si="2"/>
        <v>lt003_entitytxnmy_elgbl_capex_b</v>
      </c>
      <c r="B194" s="141" t="s">
        <v>26</v>
      </c>
      <c r="C194" s="137" t="s">
        <v>26</v>
      </c>
      <c r="D194" s="133" t="s">
        <v>40</v>
      </c>
      <c r="E194" s="136" t="s">
        <v>335</v>
      </c>
      <c r="F194" s="474" t="s">
        <v>2199</v>
      </c>
      <c r="G194" s="135" t="str">
        <f>VLOOKUP(A194,Plano_V3!$A$26:$G$768,7,0)</f>
        <v>1. Concluído</v>
      </c>
      <c r="H194" s="135" t="s">
        <v>612</v>
      </c>
      <c r="I194" s="467"/>
      <c r="J194" s="355" t="s">
        <v>2242</v>
      </c>
      <c r="K194" s="142" t="s">
        <v>2447</v>
      </c>
      <c r="L194" s="364">
        <v>45726</v>
      </c>
      <c r="M194" s="364">
        <v>45730</v>
      </c>
      <c r="N194" s="355" t="s">
        <v>2444</v>
      </c>
      <c r="O194" s="355"/>
      <c r="P194" s="152" t="str">
        <f>IF(VLOOKUP(A194,'Aux - pivots1'!$A:$E,3,0)=0, "",VLOOKUP(A194,'Aux - pivots1'!$A:$E,3,0))</f>
        <v/>
      </c>
      <c r="Q194" s="152" t="str">
        <f>IF(VLOOKUP(A194,'Aux - pivots1'!$A:$E,4,0)=0, "",VLOOKUP(A194,'Aux - pivots1'!$A:$E,4,0))</f>
        <v/>
      </c>
      <c r="R194" s="152" t="str">
        <f>IF(VLOOKUP(A194,'Aux - pivots1'!$A:$E,5,0)=0, "",VLOOKUP(A194,'Aux - pivots1'!$A:$E,5,0))</f>
        <v/>
      </c>
      <c r="S194" s="198"/>
      <c r="T194" s="198"/>
      <c r="U194" s="368" t="s">
        <v>2313</v>
      </c>
      <c r="V194" s="320" t="s">
        <v>2382</v>
      </c>
      <c r="W194" s="320" t="s">
        <v>2455</v>
      </c>
      <c r="X194" s="368" t="s">
        <v>2360</v>
      </c>
      <c r="Y194" s="368" t="s">
        <v>2321</v>
      </c>
      <c r="Z194" s="320" t="s">
        <v>1855</v>
      </c>
    </row>
    <row r="195" spans="1:26" ht="16.399999999999999" hidden="1" customHeight="1">
      <c r="A195" s="29" t="str">
        <f t="shared" si="2"/>
        <v>lt003_entitytxnmy_elgbl_trnvr_b</v>
      </c>
      <c r="B195" s="141" t="s">
        <v>26</v>
      </c>
      <c r="C195" s="137" t="s">
        <v>26</v>
      </c>
      <c r="D195" s="133" t="s">
        <v>40</v>
      </c>
      <c r="E195" s="136" t="s">
        <v>335</v>
      </c>
      <c r="F195" s="474" t="s">
        <v>2200</v>
      </c>
      <c r="G195" s="135" t="str">
        <f>VLOOKUP(A195,Plano_V3!$A$26:$G$768,7,0)</f>
        <v>1. Concluído</v>
      </c>
      <c r="H195" s="135" t="s">
        <v>612</v>
      </c>
      <c r="I195" s="467"/>
      <c r="J195" s="355" t="s">
        <v>2242</v>
      </c>
      <c r="K195" s="142" t="s">
        <v>2447</v>
      </c>
      <c r="L195" s="364">
        <v>45726</v>
      </c>
      <c r="M195" s="364">
        <v>45730</v>
      </c>
      <c r="N195" s="355" t="s">
        <v>2444</v>
      </c>
      <c r="O195" s="355"/>
      <c r="P195" s="152" t="str">
        <f>IF(VLOOKUP(A195,'Aux - pivots1'!$A:$E,3,0)=0, "",VLOOKUP(A195,'Aux - pivots1'!$A:$E,3,0))</f>
        <v/>
      </c>
      <c r="Q195" s="152" t="str">
        <f>IF(VLOOKUP(A195,'Aux - pivots1'!$A:$E,4,0)=0, "",VLOOKUP(A195,'Aux - pivots1'!$A:$E,4,0))</f>
        <v/>
      </c>
      <c r="R195" s="152" t="str">
        <f>IF(VLOOKUP(A195,'Aux - pivots1'!$A:$E,5,0)=0, "",VLOOKUP(A195,'Aux - pivots1'!$A:$E,5,0))</f>
        <v/>
      </c>
      <c r="S195" s="198"/>
      <c r="T195" s="198"/>
      <c r="U195" s="368" t="s">
        <v>2313</v>
      </c>
      <c r="V195" s="320" t="s">
        <v>2382</v>
      </c>
      <c r="W195" s="320" t="s">
        <v>2455</v>
      </c>
      <c r="X195" s="368" t="s">
        <v>2360</v>
      </c>
      <c r="Y195" s="368" t="s">
        <v>2321</v>
      </c>
      <c r="Z195" s="320" t="s">
        <v>1855</v>
      </c>
    </row>
    <row r="196" spans="1:26" ht="16.399999999999999" hidden="1" customHeight="1">
      <c r="A196" s="29" t="str">
        <f t="shared" si="2"/>
        <v>lt003_entitytxnmy_elgbl_capex_ce</v>
      </c>
      <c r="B196" s="141" t="s">
        <v>26</v>
      </c>
      <c r="C196" s="137" t="s">
        <v>26</v>
      </c>
      <c r="D196" s="133" t="s">
        <v>40</v>
      </c>
      <c r="E196" s="136" t="s">
        <v>335</v>
      </c>
      <c r="F196" s="474" t="s">
        <v>2201</v>
      </c>
      <c r="G196" s="135" t="str">
        <f>VLOOKUP(A196,Plano_V3!$A$26:$G$768,7,0)</f>
        <v>1. Concluído</v>
      </c>
      <c r="H196" s="135" t="s">
        <v>612</v>
      </c>
      <c r="I196" s="467"/>
      <c r="J196" s="355" t="s">
        <v>2242</v>
      </c>
      <c r="K196" s="142" t="s">
        <v>2447</v>
      </c>
      <c r="L196" s="364">
        <v>45726</v>
      </c>
      <c r="M196" s="364">
        <v>45730</v>
      </c>
      <c r="N196" s="355" t="s">
        <v>2444</v>
      </c>
      <c r="O196" s="355"/>
      <c r="P196" s="152" t="str">
        <f>IF(VLOOKUP(A196,'Aux - pivots1'!$A:$E,3,0)=0, "",VLOOKUP(A196,'Aux - pivots1'!$A:$E,3,0))</f>
        <v/>
      </c>
      <c r="Q196" s="152" t="str">
        <f>IF(VLOOKUP(A196,'Aux - pivots1'!$A:$E,4,0)=0, "",VLOOKUP(A196,'Aux - pivots1'!$A:$E,4,0))</f>
        <v/>
      </c>
      <c r="R196" s="152" t="str">
        <f>IF(VLOOKUP(A196,'Aux - pivots1'!$A:$E,5,0)=0, "",VLOOKUP(A196,'Aux - pivots1'!$A:$E,5,0))</f>
        <v/>
      </c>
      <c r="S196" s="198"/>
      <c r="T196" s="198"/>
      <c r="U196" s="368" t="s">
        <v>2313</v>
      </c>
      <c r="V196" s="320" t="s">
        <v>2382</v>
      </c>
      <c r="W196" s="320" t="s">
        <v>2455</v>
      </c>
      <c r="X196" s="368" t="s">
        <v>2360</v>
      </c>
      <c r="Y196" s="368" t="s">
        <v>2321</v>
      </c>
      <c r="Z196" s="320" t="s">
        <v>1855</v>
      </c>
    </row>
    <row r="197" spans="1:26" ht="16.399999999999999" hidden="1" customHeight="1">
      <c r="A197" s="29" t="str">
        <f t="shared" si="2"/>
        <v>lt003_entitytxnmy_elgbl_trnvr_ce</v>
      </c>
      <c r="B197" s="141" t="s">
        <v>26</v>
      </c>
      <c r="C197" s="137" t="s">
        <v>26</v>
      </c>
      <c r="D197" s="133" t="s">
        <v>40</v>
      </c>
      <c r="E197" s="136" t="s">
        <v>335</v>
      </c>
      <c r="F197" s="474" t="s">
        <v>2202</v>
      </c>
      <c r="G197" s="135" t="str">
        <f>VLOOKUP(A197,Plano_V3!$A$26:$G$768,7,0)</f>
        <v>1. Concluído</v>
      </c>
      <c r="H197" s="135" t="s">
        <v>612</v>
      </c>
      <c r="I197" s="467"/>
      <c r="J197" s="355" t="s">
        <v>2242</v>
      </c>
      <c r="K197" s="142" t="s">
        <v>2447</v>
      </c>
      <c r="L197" s="364">
        <v>45726</v>
      </c>
      <c r="M197" s="364">
        <v>45730</v>
      </c>
      <c r="N197" s="355" t="s">
        <v>2444</v>
      </c>
      <c r="O197" s="355"/>
      <c r="P197" s="152" t="str">
        <f>IF(VLOOKUP(A197,'Aux - pivots1'!$A:$E,3,0)=0, "",VLOOKUP(A197,'Aux - pivots1'!$A:$E,3,0))</f>
        <v/>
      </c>
      <c r="Q197" s="152" t="str">
        <f>IF(VLOOKUP(A197,'Aux - pivots1'!$A:$E,4,0)=0, "",VLOOKUP(A197,'Aux - pivots1'!$A:$E,4,0))</f>
        <v/>
      </c>
      <c r="R197" s="152" t="str">
        <f>IF(VLOOKUP(A197,'Aux - pivots1'!$A:$E,5,0)=0, "",VLOOKUP(A197,'Aux - pivots1'!$A:$E,5,0))</f>
        <v/>
      </c>
      <c r="S197" s="198"/>
      <c r="T197" s="198"/>
      <c r="U197" s="368" t="s">
        <v>2313</v>
      </c>
      <c r="V197" s="320" t="s">
        <v>2382</v>
      </c>
      <c r="W197" s="320" t="s">
        <v>2455</v>
      </c>
      <c r="X197" s="368" t="s">
        <v>2360</v>
      </c>
      <c r="Y197" s="368" t="s">
        <v>2321</v>
      </c>
      <c r="Z197" s="320" t="s">
        <v>1855</v>
      </c>
    </row>
    <row r="198" spans="1:26" ht="16.399999999999999" hidden="1" customHeight="1">
      <c r="A198" s="29" t="str">
        <f t="shared" si="2"/>
        <v>lt003_entitypure_capex_p</v>
      </c>
      <c r="B198" s="141" t="s">
        <v>26</v>
      </c>
      <c r="C198" s="137" t="s">
        <v>26</v>
      </c>
      <c r="D198" s="133" t="s">
        <v>40</v>
      </c>
      <c r="E198" s="136" t="s">
        <v>335</v>
      </c>
      <c r="F198" s="474" t="s">
        <v>2203</v>
      </c>
      <c r="G198" s="135" t="str">
        <f>VLOOKUP(A198,Plano_V3!$A$26:$G$768,7,0)</f>
        <v>1. Concluído</v>
      </c>
      <c r="H198" s="135" t="s">
        <v>612</v>
      </c>
      <c r="I198" s="467"/>
      <c r="J198" s="355" t="s">
        <v>2242</v>
      </c>
      <c r="K198" s="142" t="s">
        <v>2447</v>
      </c>
      <c r="L198" s="364">
        <v>45726</v>
      </c>
      <c r="M198" s="364">
        <v>45730</v>
      </c>
      <c r="N198" s="355" t="s">
        <v>2444</v>
      </c>
      <c r="O198" s="355"/>
      <c r="P198" s="152" t="str">
        <f>IF(VLOOKUP(A198,'Aux - pivots1'!$A:$E,3,0)=0, "",VLOOKUP(A198,'Aux - pivots1'!$A:$E,3,0))</f>
        <v/>
      </c>
      <c r="Q198" s="152" t="str">
        <f>IF(VLOOKUP(A198,'Aux - pivots1'!$A:$E,4,0)=0, "",VLOOKUP(A198,'Aux - pivots1'!$A:$E,4,0))</f>
        <v/>
      </c>
      <c r="R198" s="152" t="str">
        <f>IF(VLOOKUP(A198,'Aux - pivots1'!$A:$E,5,0)=0, "",VLOOKUP(A198,'Aux - pivots1'!$A:$E,5,0))</f>
        <v/>
      </c>
      <c r="S198" s="198"/>
      <c r="T198" s="198"/>
      <c r="U198" s="368" t="s">
        <v>2313</v>
      </c>
      <c r="V198" s="320" t="s">
        <v>2382</v>
      </c>
      <c r="W198" s="320" t="s">
        <v>2455</v>
      </c>
      <c r="X198" s="368" t="s">
        <v>2360</v>
      </c>
      <c r="Y198" s="368" t="s">
        <v>2321</v>
      </c>
      <c r="Z198" s="320" t="s">
        <v>1855</v>
      </c>
    </row>
    <row r="199" spans="1:26" ht="16.399999999999999" hidden="1" customHeight="1">
      <c r="A199" s="29" t="str">
        <f t="shared" si="2"/>
        <v>lt003_entitypure_trnvr_p</v>
      </c>
      <c r="B199" s="141" t="s">
        <v>26</v>
      </c>
      <c r="C199" s="137" t="s">
        <v>26</v>
      </c>
      <c r="D199" s="133" t="s">
        <v>40</v>
      </c>
      <c r="E199" s="136" t="s">
        <v>335</v>
      </c>
      <c r="F199" s="474" t="s">
        <v>2204</v>
      </c>
      <c r="G199" s="135" t="str">
        <f>VLOOKUP(A199,Plano_V3!$A$26:$G$768,7,0)</f>
        <v>1. Concluído</v>
      </c>
      <c r="H199" s="135" t="s">
        <v>612</v>
      </c>
      <c r="I199" s="467"/>
      <c r="J199" s="355" t="s">
        <v>2242</v>
      </c>
      <c r="K199" s="142" t="s">
        <v>2447</v>
      </c>
      <c r="L199" s="364">
        <v>45726</v>
      </c>
      <c r="M199" s="364">
        <v>45730</v>
      </c>
      <c r="N199" s="355" t="s">
        <v>2444</v>
      </c>
      <c r="O199" s="355"/>
      <c r="P199" s="152" t="str">
        <f>IF(VLOOKUP(A199,'Aux - pivots1'!$A:$E,3,0)=0, "",VLOOKUP(A199,'Aux - pivots1'!$A:$E,3,0))</f>
        <v/>
      </c>
      <c r="Q199" s="152" t="str">
        <f>IF(VLOOKUP(A199,'Aux - pivots1'!$A:$E,4,0)=0, "",VLOOKUP(A199,'Aux - pivots1'!$A:$E,4,0))</f>
        <v/>
      </c>
      <c r="R199" s="152" t="str">
        <f>IF(VLOOKUP(A199,'Aux - pivots1'!$A:$E,5,0)=0, "",VLOOKUP(A199,'Aux - pivots1'!$A:$E,5,0))</f>
        <v/>
      </c>
      <c r="S199" s="198"/>
      <c r="T199" s="198"/>
      <c r="U199" s="368" t="s">
        <v>2313</v>
      </c>
      <c r="V199" s="320" t="s">
        <v>2382</v>
      </c>
      <c r="W199" s="320" t="s">
        <v>2455</v>
      </c>
      <c r="X199" s="368" t="s">
        <v>2360</v>
      </c>
      <c r="Y199" s="368" t="s">
        <v>2321</v>
      </c>
      <c r="Z199" s="320" t="s">
        <v>1855</v>
      </c>
    </row>
    <row r="200" spans="1:26" ht="16.399999999999999" hidden="1" customHeight="1">
      <c r="A200" s="29" t="str">
        <f t="shared" si="2"/>
        <v>lt003_entitypure_capex_b</v>
      </c>
      <c r="B200" s="141" t="s">
        <v>26</v>
      </c>
      <c r="C200" s="137" t="s">
        <v>26</v>
      </c>
      <c r="D200" s="133" t="s">
        <v>40</v>
      </c>
      <c r="E200" s="136" t="s">
        <v>335</v>
      </c>
      <c r="F200" s="474" t="s">
        <v>2205</v>
      </c>
      <c r="G200" s="135" t="str">
        <f>VLOOKUP(A200,Plano_V3!$A$26:$G$768,7,0)</f>
        <v>1. Concluído</v>
      </c>
      <c r="H200" s="135" t="s">
        <v>612</v>
      </c>
      <c r="I200" s="467"/>
      <c r="J200" s="355" t="s">
        <v>2242</v>
      </c>
      <c r="K200" s="142" t="s">
        <v>2447</v>
      </c>
      <c r="L200" s="364">
        <v>45726</v>
      </c>
      <c r="M200" s="364">
        <v>45730</v>
      </c>
      <c r="N200" s="355" t="s">
        <v>2444</v>
      </c>
      <c r="O200" s="355"/>
      <c r="P200" s="152" t="str">
        <f>IF(VLOOKUP(A200,'Aux - pivots1'!$A:$E,3,0)=0, "",VLOOKUP(A200,'Aux - pivots1'!$A:$E,3,0))</f>
        <v/>
      </c>
      <c r="Q200" s="152" t="str">
        <f>IF(VLOOKUP(A200,'Aux - pivots1'!$A:$E,4,0)=0, "",VLOOKUP(A200,'Aux - pivots1'!$A:$E,4,0))</f>
        <v/>
      </c>
      <c r="R200" s="152" t="str">
        <f>IF(VLOOKUP(A200,'Aux - pivots1'!$A:$E,5,0)=0, "",VLOOKUP(A200,'Aux - pivots1'!$A:$E,5,0))</f>
        <v/>
      </c>
      <c r="S200" s="198"/>
      <c r="T200" s="198"/>
      <c r="U200" s="368" t="s">
        <v>2313</v>
      </c>
      <c r="V200" s="320" t="s">
        <v>2382</v>
      </c>
      <c r="W200" s="320" t="s">
        <v>2455</v>
      </c>
      <c r="X200" s="368" t="s">
        <v>2360</v>
      </c>
      <c r="Y200" s="368" t="s">
        <v>2321</v>
      </c>
      <c r="Z200" s="320" t="s">
        <v>1855</v>
      </c>
    </row>
    <row r="201" spans="1:26" ht="16.399999999999999" hidden="1" customHeight="1">
      <c r="A201" s="29" t="str">
        <f t="shared" ref="A201:A266" si="3">E201&amp;F201</f>
        <v>lt003_entitypure_trnvr_b</v>
      </c>
      <c r="B201" s="141" t="s">
        <v>26</v>
      </c>
      <c r="C201" s="137" t="s">
        <v>26</v>
      </c>
      <c r="D201" s="133" t="s">
        <v>40</v>
      </c>
      <c r="E201" s="136" t="s">
        <v>335</v>
      </c>
      <c r="F201" s="474" t="s">
        <v>2206</v>
      </c>
      <c r="G201" s="135" t="str">
        <f>VLOOKUP(A201,Plano_V3!$A$26:$G$768,7,0)</f>
        <v>1. Concluído</v>
      </c>
      <c r="H201" s="135" t="s">
        <v>612</v>
      </c>
      <c r="I201" s="467"/>
      <c r="J201" s="355" t="s">
        <v>2242</v>
      </c>
      <c r="K201" s="142" t="s">
        <v>2447</v>
      </c>
      <c r="L201" s="364">
        <v>45726</v>
      </c>
      <c r="M201" s="364">
        <v>45730</v>
      </c>
      <c r="N201" s="355" t="s">
        <v>2444</v>
      </c>
      <c r="O201" s="355"/>
      <c r="P201" s="152" t="str">
        <f>IF(VLOOKUP(A201,'Aux - pivots1'!$A:$E,3,0)=0, "",VLOOKUP(A201,'Aux - pivots1'!$A:$E,3,0))</f>
        <v/>
      </c>
      <c r="Q201" s="152" t="str">
        <f>IF(VLOOKUP(A201,'Aux - pivots1'!$A:$E,4,0)=0, "",VLOOKUP(A201,'Aux - pivots1'!$A:$E,4,0))</f>
        <v/>
      </c>
      <c r="R201" s="152" t="str">
        <f>IF(VLOOKUP(A201,'Aux - pivots1'!$A:$E,5,0)=0, "",VLOOKUP(A201,'Aux - pivots1'!$A:$E,5,0))</f>
        <v/>
      </c>
      <c r="S201" s="198"/>
      <c r="T201" s="198"/>
      <c r="U201" s="368" t="s">
        <v>2313</v>
      </c>
      <c r="V201" s="320" t="s">
        <v>2382</v>
      </c>
      <c r="W201" s="320" t="s">
        <v>2455</v>
      </c>
      <c r="X201" s="368" t="s">
        <v>2360</v>
      </c>
      <c r="Y201" s="368" t="s">
        <v>2321</v>
      </c>
      <c r="Z201" s="320" t="s">
        <v>1855</v>
      </c>
    </row>
    <row r="202" spans="1:26" ht="16.399999999999999" hidden="1" customHeight="1">
      <c r="A202" s="29" t="str">
        <f t="shared" si="3"/>
        <v>lt003_entitypure_capex_w</v>
      </c>
      <c r="B202" s="141" t="s">
        <v>26</v>
      </c>
      <c r="C202" s="137" t="s">
        <v>26</v>
      </c>
      <c r="D202" s="133" t="s">
        <v>40</v>
      </c>
      <c r="E202" s="136" t="s">
        <v>335</v>
      </c>
      <c r="F202" s="474" t="s">
        <v>2207</v>
      </c>
      <c r="G202" s="135" t="str">
        <f>VLOOKUP(A202,Plano_V3!$A$26:$G$768,7,0)</f>
        <v>1. Concluído</v>
      </c>
      <c r="H202" s="135" t="s">
        <v>612</v>
      </c>
      <c r="I202" s="467"/>
      <c r="J202" s="355" t="s">
        <v>2242</v>
      </c>
      <c r="K202" s="142" t="s">
        <v>2447</v>
      </c>
      <c r="L202" s="364">
        <v>45726</v>
      </c>
      <c r="M202" s="364">
        <v>45730</v>
      </c>
      <c r="N202" s="355" t="s">
        <v>2444</v>
      </c>
      <c r="O202" s="355"/>
      <c r="P202" s="152" t="str">
        <f>IF(VLOOKUP(A202,'Aux - pivots1'!$A:$E,3,0)=0, "",VLOOKUP(A202,'Aux - pivots1'!$A:$E,3,0))</f>
        <v/>
      </c>
      <c r="Q202" s="152" t="str">
        <f>IF(VLOOKUP(A202,'Aux - pivots1'!$A:$E,4,0)=0, "",VLOOKUP(A202,'Aux - pivots1'!$A:$E,4,0))</f>
        <v/>
      </c>
      <c r="R202" s="152" t="str">
        <f>IF(VLOOKUP(A202,'Aux - pivots1'!$A:$E,5,0)=0, "",VLOOKUP(A202,'Aux - pivots1'!$A:$E,5,0))</f>
        <v/>
      </c>
      <c r="S202" s="198"/>
      <c r="T202" s="198"/>
      <c r="U202" s="368" t="s">
        <v>2313</v>
      </c>
      <c r="V202" s="320" t="s">
        <v>2382</v>
      </c>
      <c r="W202" s="320" t="s">
        <v>2455</v>
      </c>
      <c r="X202" s="368" t="s">
        <v>2360</v>
      </c>
      <c r="Y202" s="368" t="s">
        <v>2321</v>
      </c>
      <c r="Z202" s="320" t="s">
        <v>1855</v>
      </c>
    </row>
    <row r="203" spans="1:26" ht="16.399999999999999" hidden="1" customHeight="1">
      <c r="A203" s="29" t="str">
        <f t="shared" si="3"/>
        <v>lt003_entitypure_trnvr_w</v>
      </c>
      <c r="B203" s="141" t="s">
        <v>26</v>
      </c>
      <c r="C203" s="137" t="s">
        <v>26</v>
      </c>
      <c r="D203" s="133" t="s">
        <v>40</v>
      </c>
      <c r="E203" s="136" t="s">
        <v>335</v>
      </c>
      <c r="F203" s="474" t="s">
        <v>2208</v>
      </c>
      <c r="G203" s="135" t="str">
        <f>VLOOKUP(A203,Plano_V3!$A$26:$G$768,7,0)</f>
        <v>1. Concluído</v>
      </c>
      <c r="H203" s="135" t="s">
        <v>612</v>
      </c>
      <c r="I203" s="467"/>
      <c r="J203" s="355" t="s">
        <v>2242</v>
      </c>
      <c r="K203" s="142" t="s">
        <v>2447</v>
      </c>
      <c r="L203" s="364">
        <v>45726</v>
      </c>
      <c r="M203" s="364">
        <v>45730</v>
      </c>
      <c r="N203" s="355" t="s">
        <v>2444</v>
      </c>
      <c r="O203" s="355"/>
      <c r="P203" s="152" t="str">
        <f>IF(VLOOKUP(A203,'Aux - pivots1'!$A:$E,3,0)=0, "",VLOOKUP(A203,'Aux - pivots1'!$A:$E,3,0))</f>
        <v/>
      </c>
      <c r="Q203" s="152" t="str">
        <f>IF(VLOOKUP(A203,'Aux - pivots1'!$A:$E,4,0)=0, "",VLOOKUP(A203,'Aux - pivots1'!$A:$E,4,0))</f>
        <v/>
      </c>
      <c r="R203" s="152" t="str">
        <f>IF(VLOOKUP(A203,'Aux - pivots1'!$A:$E,5,0)=0, "",VLOOKUP(A203,'Aux - pivots1'!$A:$E,5,0))</f>
        <v/>
      </c>
      <c r="S203" s="198"/>
      <c r="T203" s="198"/>
      <c r="U203" s="368" t="s">
        <v>2313</v>
      </c>
      <c r="V203" s="320" t="s">
        <v>2382</v>
      </c>
      <c r="W203" s="320" t="s">
        <v>2455</v>
      </c>
      <c r="X203" s="368" t="s">
        <v>2360</v>
      </c>
      <c r="Y203" s="368" t="s">
        <v>2321</v>
      </c>
      <c r="Z203" s="320" t="s">
        <v>1855</v>
      </c>
    </row>
    <row r="204" spans="1:26" ht="16.399999999999999" hidden="1" customHeight="1">
      <c r="A204" s="29" t="str">
        <f t="shared" si="3"/>
        <v>lt003_entitypure_capex_ce</v>
      </c>
      <c r="B204" s="141" t="s">
        <v>26</v>
      </c>
      <c r="C204" s="137" t="s">
        <v>26</v>
      </c>
      <c r="D204" s="133" t="s">
        <v>40</v>
      </c>
      <c r="E204" s="136" t="s">
        <v>335</v>
      </c>
      <c r="F204" s="474" t="s">
        <v>2209</v>
      </c>
      <c r="G204" s="135" t="str">
        <f>VLOOKUP(A204,Plano_V3!$A$26:$G$768,7,0)</f>
        <v>1. Concluído</v>
      </c>
      <c r="H204" s="135" t="s">
        <v>612</v>
      </c>
      <c r="I204" s="467"/>
      <c r="J204" s="355" t="s">
        <v>2242</v>
      </c>
      <c r="K204" s="142" t="s">
        <v>2447</v>
      </c>
      <c r="L204" s="364">
        <v>45726</v>
      </c>
      <c r="M204" s="364">
        <v>45730</v>
      </c>
      <c r="N204" s="355" t="s">
        <v>2444</v>
      </c>
      <c r="O204" s="355"/>
      <c r="P204" s="152" t="str">
        <f>IF(VLOOKUP(A204,'Aux - pivots1'!$A:$E,3,0)=0, "",VLOOKUP(A204,'Aux - pivots1'!$A:$E,3,0))</f>
        <v/>
      </c>
      <c r="Q204" s="152" t="str">
        <f>IF(VLOOKUP(A204,'Aux - pivots1'!$A:$E,4,0)=0, "",VLOOKUP(A204,'Aux - pivots1'!$A:$E,4,0))</f>
        <v/>
      </c>
      <c r="R204" s="152" t="str">
        <f>IF(VLOOKUP(A204,'Aux - pivots1'!$A:$E,5,0)=0, "",VLOOKUP(A204,'Aux - pivots1'!$A:$E,5,0))</f>
        <v/>
      </c>
      <c r="S204" s="198"/>
      <c r="T204" s="198"/>
      <c r="U204" s="368" t="s">
        <v>2313</v>
      </c>
      <c r="V204" s="320" t="s">
        <v>2382</v>
      </c>
      <c r="W204" s="320" t="s">
        <v>2455</v>
      </c>
      <c r="X204" s="368" t="s">
        <v>2360</v>
      </c>
      <c r="Y204" s="368" t="s">
        <v>2321</v>
      </c>
      <c r="Z204" s="320" t="s">
        <v>1855</v>
      </c>
    </row>
    <row r="205" spans="1:26" ht="16.399999999999999" hidden="1" customHeight="1">
      <c r="A205" s="29" t="str">
        <f t="shared" si="3"/>
        <v>lt003_entitypure_trnvr_ce</v>
      </c>
      <c r="B205" s="141" t="s">
        <v>26</v>
      </c>
      <c r="C205" s="137" t="s">
        <v>26</v>
      </c>
      <c r="D205" s="133" t="s">
        <v>40</v>
      </c>
      <c r="E205" s="136" t="s">
        <v>335</v>
      </c>
      <c r="F205" s="474" t="s">
        <v>2210</v>
      </c>
      <c r="G205" s="135" t="str">
        <f>VLOOKUP(A205,Plano_V3!$A$26:$G$768,7,0)</f>
        <v>1. Concluído</v>
      </c>
      <c r="H205" s="135" t="s">
        <v>612</v>
      </c>
      <c r="I205" s="467"/>
      <c r="J205" s="355" t="s">
        <v>2242</v>
      </c>
      <c r="K205" s="142" t="s">
        <v>2447</v>
      </c>
      <c r="L205" s="364">
        <v>45726</v>
      </c>
      <c r="M205" s="364">
        <v>45730</v>
      </c>
      <c r="N205" s="355" t="s">
        <v>2444</v>
      </c>
      <c r="O205" s="355"/>
      <c r="P205" s="152" t="str">
        <f>IF(VLOOKUP(A205,'Aux - pivots1'!$A:$E,3,0)=0, "",VLOOKUP(A205,'Aux - pivots1'!$A:$E,3,0))</f>
        <v/>
      </c>
      <c r="Q205" s="152" t="str">
        <f>IF(VLOOKUP(A205,'Aux - pivots1'!$A:$E,4,0)=0, "",VLOOKUP(A205,'Aux - pivots1'!$A:$E,4,0))</f>
        <v/>
      </c>
      <c r="R205" s="152" t="str">
        <f>IF(VLOOKUP(A205,'Aux - pivots1'!$A:$E,5,0)=0, "",VLOOKUP(A205,'Aux - pivots1'!$A:$E,5,0))</f>
        <v/>
      </c>
      <c r="S205" s="198"/>
      <c r="T205" s="198"/>
      <c r="U205" s="368" t="s">
        <v>2313</v>
      </c>
      <c r="V205" s="320" t="s">
        <v>2382</v>
      </c>
      <c r="W205" s="320" t="s">
        <v>2455</v>
      </c>
      <c r="X205" s="368" t="s">
        <v>2360</v>
      </c>
      <c r="Y205" s="368" t="s">
        <v>2321</v>
      </c>
      <c r="Z205" s="320" t="s">
        <v>1855</v>
      </c>
    </row>
    <row r="206" spans="1:26" ht="16.399999999999999" hidden="1" customHeight="1">
      <c r="A206" s="29" t="str">
        <f t="shared" si="3"/>
        <v>lt003_entityenblng_capex_w</v>
      </c>
      <c r="B206" s="141" t="s">
        <v>26</v>
      </c>
      <c r="C206" s="137" t="s">
        <v>26</v>
      </c>
      <c r="D206" s="133" t="s">
        <v>40</v>
      </c>
      <c r="E206" s="136" t="s">
        <v>335</v>
      </c>
      <c r="F206" s="474" t="s">
        <v>2211</v>
      </c>
      <c r="G206" s="135" t="str">
        <f>VLOOKUP(A206,Plano_V3!$A$26:$G$768,7,0)</f>
        <v>1. Concluído</v>
      </c>
      <c r="H206" s="135" t="s">
        <v>612</v>
      </c>
      <c r="I206" s="467"/>
      <c r="J206" s="355" t="s">
        <v>2242</v>
      </c>
      <c r="K206" s="142" t="s">
        <v>2447</v>
      </c>
      <c r="L206" s="364">
        <v>45726</v>
      </c>
      <c r="M206" s="364">
        <v>45730</v>
      </c>
      <c r="N206" s="355" t="s">
        <v>2444</v>
      </c>
      <c r="O206" s="355"/>
      <c r="P206" s="152" t="str">
        <f>IF(VLOOKUP(A206,'Aux - pivots1'!$A:$E,3,0)=0, "",VLOOKUP(A206,'Aux - pivots1'!$A:$E,3,0))</f>
        <v/>
      </c>
      <c r="Q206" s="152" t="str">
        <f>IF(VLOOKUP(A206,'Aux - pivots1'!$A:$E,4,0)=0, "",VLOOKUP(A206,'Aux - pivots1'!$A:$E,4,0))</f>
        <v/>
      </c>
      <c r="R206" s="152" t="str">
        <f>IF(VLOOKUP(A206,'Aux - pivots1'!$A:$E,5,0)=0, "",VLOOKUP(A206,'Aux - pivots1'!$A:$E,5,0))</f>
        <v/>
      </c>
      <c r="S206" s="198"/>
      <c r="T206" s="198"/>
      <c r="U206" s="368" t="s">
        <v>2313</v>
      </c>
      <c r="V206" s="320" t="s">
        <v>2382</v>
      </c>
      <c r="W206" s="320" t="s">
        <v>2455</v>
      </c>
      <c r="X206" s="368" t="s">
        <v>2360</v>
      </c>
      <c r="Y206" s="368" t="s">
        <v>2321</v>
      </c>
      <c r="Z206" s="320" t="s">
        <v>1855</v>
      </c>
    </row>
    <row r="207" spans="1:26" ht="16.399999999999999" hidden="1" customHeight="1">
      <c r="A207" s="29" t="str">
        <f t="shared" si="3"/>
        <v>lt003_entityenblng_trnvr_w</v>
      </c>
      <c r="B207" s="141" t="s">
        <v>26</v>
      </c>
      <c r="C207" s="137" t="s">
        <v>26</v>
      </c>
      <c r="D207" s="133" t="s">
        <v>40</v>
      </c>
      <c r="E207" s="136" t="s">
        <v>335</v>
      </c>
      <c r="F207" s="474" t="s">
        <v>2212</v>
      </c>
      <c r="G207" s="135" t="str">
        <f>VLOOKUP(A207,Plano_V3!$A$26:$G$768,7,0)</f>
        <v>1. Concluído</v>
      </c>
      <c r="H207" s="135" t="s">
        <v>612</v>
      </c>
      <c r="I207" s="467"/>
      <c r="J207" s="355" t="s">
        <v>2242</v>
      </c>
      <c r="K207" s="142" t="s">
        <v>2447</v>
      </c>
      <c r="L207" s="364">
        <v>45726</v>
      </c>
      <c r="M207" s="364">
        <v>45730</v>
      </c>
      <c r="N207" s="355" t="s">
        <v>2444</v>
      </c>
      <c r="O207" s="355"/>
      <c r="P207" s="152" t="str">
        <f>IF(VLOOKUP(A207,'Aux - pivots1'!$A:$E,3,0)=0, "",VLOOKUP(A207,'Aux - pivots1'!$A:$E,3,0))</f>
        <v/>
      </c>
      <c r="Q207" s="152" t="str">
        <f>IF(VLOOKUP(A207,'Aux - pivots1'!$A:$E,4,0)=0, "",VLOOKUP(A207,'Aux - pivots1'!$A:$E,4,0))</f>
        <v/>
      </c>
      <c r="R207" s="152" t="str">
        <f>IF(VLOOKUP(A207,'Aux - pivots1'!$A:$E,5,0)=0, "",VLOOKUP(A207,'Aux - pivots1'!$A:$E,5,0))</f>
        <v/>
      </c>
      <c r="S207" s="198"/>
      <c r="T207" s="198"/>
      <c r="U207" s="368" t="s">
        <v>2313</v>
      </c>
      <c r="V207" s="320" t="s">
        <v>2382</v>
      </c>
      <c r="W207" s="320" t="s">
        <v>2455</v>
      </c>
      <c r="X207" s="368" t="s">
        <v>2360</v>
      </c>
      <c r="Y207" s="368" t="s">
        <v>2321</v>
      </c>
      <c r="Z207" s="320" t="s">
        <v>1855</v>
      </c>
    </row>
    <row r="208" spans="1:26" ht="16.399999999999999" hidden="1" customHeight="1">
      <c r="A208" s="29" t="str">
        <f t="shared" si="3"/>
        <v>lt003_entityenblng_capex_ce</v>
      </c>
      <c r="B208" s="141" t="s">
        <v>26</v>
      </c>
      <c r="C208" s="137" t="s">
        <v>26</v>
      </c>
      <c r="D208" s="133" t="s">
        <v>40</v>
      </c>
      <c r="E208" s="136" t="s">
        <v>335</v>
      </c>
      <c r="F208" s="474" t="s">
        <v>2213</v>
      </c>
      <c r="G208" s="135" t="str">
        <f>VLOOKUP(A208,Plano_V3!$A$26:$G$768,7,0)</f>
        <v>1. Concluído</v>
      </c>
      <c r="H208" s="135" t="s">
        <v>612</v>
      </c>
      <c r="I208" s="467"/>
      <c r="J208" s="355" t="s">
        <v>2242</v>
      </c>
      <c r="K208" s="142" t="s">
        <v>2447</v>
      </c>
      <c r="L208" s="364">
        <v>45726</v>
      </c>
      <c r="M208" s="364">
        <v>45730</v>
      </c>
      <c r="N208" s="355" t="s">
        <v>2444</v>
      </c>
      <c r="O208" s="355"/>
      <c r="P208" s="152" t="str">
        <f>IF(VLOOKUP(A175,'Aux - pivots1'!$A:$E,3,0)=0, "",VLOOKUP(A175,'Aux - pivots1'!$A:$E,3,0))</f>
        <v/>
      </c>
      <c r="Q208" s="152" t="str">
        <f>IF(VLOOKUP(A175,'Aux - pivots1'!$A:$E,4,0)=0, "",VLOOKUP(A175,'Aux - pivots1'!$A:$E,4,0))</f>
        <v/>
      </c>
      <c r="R208" s="152" t="str">
        <f>IF(VLOOKUP(A175,'Aux - pivots1'!$A:$E,5,0)=0, "",VLOOKUP(A175,'Aux - pivots1'!$A:$E,5,0))</f>
        <v/>
      </c>
      <c r="S208" s="198"/>
      <c r="T208" s="198"/>
      <c r="U208" s="368" t="s">
        <v>2313</v>
      </c>
      <c r="V208" s="320" t="s">
        <v>2382</v>
      </c>
      <c r="W208" s="320" t="s">
        <v>2455</v>
      </c>
      <c r="X208" s="368" t="s">
        <v>2360</v>
      </c>
      <c r="Y208" s="368" t="s">
        <v>2321</v>
      </c>
      <c r="Z208" s="320" t="s">
        <v>1855</v>
      </c>
    </row>
    <row r="209" spans="1:26" ht="16.399999999999999" hidden="1" customHeight="1">
      <c r="A209" s="29" t="str">
        <f t="shared" si="3"/>
        <v>lt003_entityenblng_trnvr_ce</v>
      </c>
      <c r="B209" s="141" t="s">
        <v>26</v>
      </c>
      <c r="C209" s="137" t="s">
        <v>26</v>
      </c>
      <c r="D209" s="133" t="s">
        <v>40</v>
      </c>
      <c r="E209" s="136" t="s">
        <v>335</v>
      </c>
      <c r="F209" s="474" t="s">
        <v>2214</v>
      </c>
      <c r="G209" s="135" t="str">
        <f>VLOOKUP(A209,Plano_V3!$A$26:$G$768,7,0)</f>
        <v>1. Concluído</v>
      </c>
      <c r="H209" s="135" t="s">
        <v>612</v>
      </c>
      <c r="I209" s="467"/>
      <c r="J209" s="355" t="s">
        <v>2242</v>
      </c>
      <c r="K209" s="142" t="s">
        <v>2447</v>
      </c>
      <c r="L209" s="364">
        <v>45726</v>
      </c>
      <c r="M209" s="364">
        <v>45730</v>
      </c>
      <c r="N209" s="355" t="s">
        <v>2444</v>
      </c>
      <c r="O209" s="355"/>
      <c r="P209" s="152" t="str">
        <f>IF(VLOOKUP(A176,'Aux - pivots1'!$A:$E,3,0)=0, "",VLOOKUP(A176,'Aux - pivots1'!$A:$E,3,0))</f>
        <v/>
      </c>
      <c r="Q209" s="152" t="str">
        <f>IF(VLOOKUP(A176,'Aux - pivots1'!$A:$E,4,0)=0, "",VLOOKUP(A176,'Aux - pivots1'!$A:$E,4,0))</f>
        <v/>
      </c>
      <c r="R209" s="152" t="str">
        <f>IF(VLOOKUP(A176,'Aux - pivots1'!$A:$E,5,0)=0, "",VLOOKUP(A176,'Aux - pivots1'!$A:$E,5,0))</f>
        <v/>
      </c>
      <c r="S209" s="198"/>
      <c r="T209" s="198"/>
      <c r="U209" s="368" t="s">
        <v>2313</v>
      </c>
      <c r="V209" s="320" t="s">
        <v>2382</v>
      </c>
      <c r="W209" s="320" t="s">
        <v>2455</v>
      </c>
      <c r="X209" s="368" t="s">
        <v>2360</v>
      </c>
      <c r="Y209" s="368" t="s">
        <v>2321</v>
      </c>
      <c r="Z209" s="320" t="s">
        <v>1855</v>
      </c>
    </row>
    <row r="210" spans="1:26" ht="16.399999999999999" hidden="1" customHeight="1">
      <c r="A210" s="29" t="str">
        <f t="shared" si="3"/>
        <v>lt004_protectionTYP_EMSSNS_LBL</v>
      </c>
      <c r="B210" s="141" t="s">
        <v>26</v>
      </c>
      <c r="C210" s="137" t="s">
        <v>26</v>
      </c>
      <c r="D210" s="133" t="s">
        <v>40</v>
      </c>
      <c r="E210" s="136" t="s">
        <v>368</v>
      </c>
      <c r="F210" s="474" t="s">
        <v>2246</v>
      </c>
      <c r="G210" s="135" t="str">
        <f>VLOOKUP(A210,Plano_V3!$A$26:$G$768,7,0)</f>
        <v>1. Concluído</v>
      </c>
      <c r="H210" s="135" t="s">
        <v>612</v>
      </c>
      <c r="I210" s="467"/>
      <c r="J210" s="355" t="s">
        <v>2306</v>
      </c>
      <c r="K210" s="142" t="s">
        <v>2447</v>
      </c>
      <c r="L210" s="364">
        <v>45726</v>
      </c>
      <c r="M210" s="364">
        <v>45730</v>
      </c>
      <c r="N210" s="355" t="s">
        <v>2444</v>
      </c>
      <c r="O210" s="355"/>
      <c r="P210" s="152" t="str">
        <f>IF(VLOOKUP(A210,'Aux - pivots1'!$A:$E,3,0)=0, "",VLOOKUP(A210,'Aux - pivots1'!$A:$E,3,0))</f>
        <v/>
      </c>
      <c r="Q210" s="152" t="str">
        <f>IF(VLOOKUP(A210,'Aux - pivots1'!$A:$E,4,0)=0, "",VLOOKUP(A210,'Aux - pivots1'!$A:$E,4,0))</f>
        <v/>
      </c>
      <c r="R210" s="152" t="str">
        <f>IF(VLOOKUP(A210,'Aux - pivots1'!$A:$E,5,0)=0, "",VLOOKUP(A210,'Aux - pivots1'!$A:$E,5,0))</f>
        <v/>
      </c>
      <c r="S210" s="198"/>
      <c r="T210" s="198"/>
      <c r="U210" s="368" t="s">
        <v>2313</v>
      </c>
      <c r="V210" s="320" t="s">
        <v>2395</v>
      </c>
      <c r="W210" s="320" t="s">
        <v>2455</v>
      </c>
      <c r="X210" s="368" t="s">
        <v>2360</v>
      </c>
      <c r="Y210" s="368" t="s">
        <v>2321</v>
      </c>
      <c r="Z210" s="320" t="s">
        <v>1855</v>
      </c>
    </row>
    <row r="211" spans="1:26" ht="16.399999999999999" hidden="1" customHeight="1">
      <c r="A211" s="29" t="str">
        <f t="shared" si="3"/>
        <v>lt004_protectionVHCL_EMSSNS_LBL</v>
      </c>
      <c r="B211" s="141" t="s">
        <v>26</v>
      </c>
      <c r="C211" s="137" t="s">
        <v>26</v>
      </c>
      <c r="D211" s="133" t="s">
        <v>40</v>
      </c>
      <c r="E211" s="136" t="s">
        <v>368</v>
      </c>
      <c r="F211" s="474" t="s">
        <v>2248</v>
      </c>
      <c r="G211" s="135" t="str">
        <f>VLOOKUP(A211,Plano_V3!$A$26:$G$768,7,0)</f>
        <v>1. Concluído</v>
      </c>
      <c r="H211" s="135" t="s">
        <v>612</v>
      </c>
      <c r="I211" s="467"/>
      <c r="J211" s="355" t="s">
        <v>2306</v>
      </c>
      <c r="K211" s="142" t="s">
        <v>2447</v>
      </c>
      <c r="L211" s="364">
        <v>45726</v>
      </c>
      <c r="M211" s="364">
        <v>45730</v>
      </c>
      <c r="N211" s="355" t="s">
        <v>2444</v>
      </c>
      <c r="O211" s="355"/>
      <c r="P211" s="152" t="str">
        <f>IF(VLOOKUP(A211,'Aux - pivots1'!$A:$E,3,0)=0, "",VLOOKUP(A211,'Aux - pivots1'!$A:$E,3,0))</f>
        <v/>
      </c>
      <c r="Q211" s="152" t="str">
        <f>IF(VLOOKUP(A211,'Aux - pivots1'!$A:$E,4,0)=0, "",VLOOKUP(A211,'Aux - pivots1'!$A:$E,4,0))</f>
        <v/>
      </c>
      <c r="R211" s="152" t="str">
        <f>IF(VLOOKUP(A211,'Aux - pivots1'!$A:$E,5,0)=0, "",VLOOKUP(A211,'Aux - pivots1'!$A:$E,5,0))</f>
        <v/>
      </c>
      <c r="S211" s="198"/>
      <c r="T211" s="198"/>
      <c r="U211" s="368" t="s">
        <v>2313</v>
      </c>
      <c r="V211" s="320" t="s">
        <v>2395</v>
      </c>
      <c r="W211" s="320" t="s">
        <v>2455</v>
      </c>
      <c r="X211" s="368" t="s">
        <v>2360</v>
      </c>
      <c r="Y211" s="368" t="s">
        <v>2321</v>
      </c>
      <c r="Z211" s="320" t="s">
        <v>1855</v>
      </c>
    </row>
    <row r="212" spans="1:26" ht="16.399999999999999" hidden="1" customHeight="1">
      <c r="A212" s="29" t="str">
        <f t="shared" si="3"/>
        <v>lt004_protectionVHCL_EMSSNS_SCR</v>
      </c>
      <c r="B212" s="141" t="s">
        <v>26</v>
      </c>
      <c r="C212" s="137" t="s">
        <v>26</v>
      </c>
      <c r="D212" s="133" t="s">
        <v>40</v>
      </c>
      <c r="E212" s="136" t="s">
        <v>368</v>
      </c>
      <c r="F212" s="474" t="s">
        <v>2251</v>
      </c>
      <c r="G212" s="135" t="str">
        <f>VLOOKUP(A212,Plano_V3!$A$26:$G$768,7,0)</f>
        <v>1. Concluído</v>
      </c>
      <c r="H212" s="135" t="s">
        <v>612</v>
      </c>
      <c r="I212" s="467"/>
      <c r="J212" s="355" t="s">
        <v>2306</v>
      </c>
      <c r="K212" s="142" t="s">
        <v>2447</v>
      </c>
      <c r="L212" s="364">
        <v>45726</v>
      </c>
      <c r="M212" s="364">
        <v>45730</v>
      </c>
      <c r="N212" s="355" t="s">
        <v>2444</v>
      </c>
      <c r="O212" s="355"/>
      <c r="P212" s="152" t="str">
        <f>IF(VLOOKUP(A212,'Aux - pivots1'!$A:$E,3,0)=0, "",VLOOKUP(A212,'Aux - pivots1'!$A:$E,3,0))</f>
        <v/>
      </c>
      <c r="Q212" s="152" t="str">
        <f>IF(VLOOKUP(A212,'Aux - pivots1'!$A:$E,4,0)=0, "",VLOOKUP(A212,'Aux - pivots1'!$A:$E,4,0))</f>
        <v/>
      </c>
      <c r="R212" s="152" t="str">
        <f>IF(VLOOKUP(A212,'Aux - pivots1'!$A:$E,5,0)=0, "",VLOOKUP(A212,'Aux - pivots1'!$A:$E,5,0))</f>
        <v/>
      </c>
      <c r="S212" s="198"/>
      <c r="T212" s="198"/>
      <c r="U212" s="368" t="s">
        <v>2313</v>
      </c>
      <c r="V212" s="320" t="s">
        <v>2395</v>
      </c>
      <c r="W212" s="320" t="s">
        <v>2455</v>
      </c>
      <c r="X212" s="368" t="s">
        <v>2360</v>
      </c>
      <c r="Y212" s="368" t="s">
        <v>2321</v>
      </c>
      <c r="Z212" s="320" t="s">
        <v>1855</v>
      </c>
    </row>
    <row r="213" spans="1:26" ht="16.399999999999999" hidden="1" customHeight="1">
      <c r="A213" s="29" t="str">
        <f t="shared" si="3"/>
        <v>lt004_protectionINSRNC_ID</v>
      </c>
      <c r="B213" s="141" t="s">
        <v>26</v>
      </c>
      <c r="C213" s="137" t="s">
        <v>26</v>
      </c>
      <c r="D213" s="133" t="s">
        <v>40</v>
      </c>
      <c r="E213" s="136" t="s">
        <v>368</v>
      </c>
      <c r="F213" s="474" t="s">
        <v>2252</v>
      </c>
      <c r="G213" s="135" t="str">
        <f>VLOOKUP(A213,Plano_V3!$A$26:$G$768,7,0)</f>
        <v>1. Concluído</v>
      </c>
      <c r="H213" s="135" t="s">
        <v>612</v>
      </c>
      <c r="I213" s="467"/>
      <c r="J213" s="355" t="s">
        <v>2306</v>
      </c>
      <c r="K213" s="142" t="s">
        <v>2447</v>
      </c>
      <c r="L213" s="364">
        <v>45726</v>
      </c>
      <c r="M213" s="364">
        <v>45730</v>
      </c>
      <c r="N213" s="355" t="s">
        <v>2444</v>
      </c>
      <c r="O213" s="355"/>
      <c r="P213" s="152" t="str">
        <f>IF(VLOOKUP(A213,'Aux - pivots1'!$A:$E,3,0)=0, "",VLOOKUP(A213,'Aux - pivots1'!$A:$E,3,0))</f>
        <v/>
      </c>
      <c r="Q213" s="152" t="str">
        <f>IF(VLOOKUP(A213,'Aux - pivots1'!$A:$E,4,0)=0, "",VLOOKUP(A213,'Aux - pivots1'!$A:$E,4,0))</f>
        <v/>
      </c>
      <c r="R213" s="152" t="str">
        <f>IF(VLOOKUP(A213,'Aux - pivots1'!$A:$E,5,0)=0, "",VLOOKUP(A213,'Aux - pivots1'!$A:$E,5,0))</f>
        <v/>
      </c>
      <c r="S213" s="198"/>
      <c r="T213" s="198"/>
      <c r="U213" s="368" t="s">
        <v>2313</v>
      </c>
      <c r="V213" s="320" t="s">
        <v>2395</v>
      </c>
      <c r="W213" s="320" t="s">
        <v>2455</v>
      </c>
      <c r="X213" s="368" t="s">
        <v>2360</v>
      </c>
      <c r="Y213" s="368" t="s">
        <v>2321</v>
      </c>
      <c r="Z213" s="320" t="s">
        <v>1855</v>
      </c>
    </row>
    <row r="214" spans="1:26" ht="16.399999999999999" hidden="1" customHeight="1">
      <c r="A214" s="29" t="str">
        <f t="shared" si="3"/>
        <v>lt004_protectionTYP_HZRDS_INSRD</v>
      </c>
      <c r="B214" s="141" t="s">
        <v>26</v>
      </c>
      <c r="C214" s="137" t="s">
        <v>26</v>
      </c>
      <c r="D214" s="133" t="s">
        <v>40</v>
      </c>
      <c r="E214" s="136" t="s">
        <v>368</v>
      </c>
      <c r="F214" s="474" t="s">
        <v>2253</v>
      </c>
      <c r="G214" s="135" t="str">
        <f>VLOOKUP(A214,Plano_V3!$A$26:$G$768,7,0)</f>
        <v>1. Concluído</v>
      </c>
      <c r="H214" s="135" t="s">
        <v>612</v>
      </c>
      <c r="I214" s="467"/>
      <c r="J214" s="355" t="s">
        <v>2306</v>
      </c>
      <c r="K214" s="142" t="s">
        <v>2447</v>
      </c>
      <c r="L214" s="364">
        <v>45726</v>
      </c>
      <c r="M214" s="364">
        <v>45730</v>
      </c>
      <c r="N214" s="355" t="s">
        <v>2444</v>
      </c>
      <c r="O214" s="355"/>
      <c r="P214" s="152" t="str">
        <f>IF(VLOOKUP(A214,'Aux - pivots1'!$A:$E,3,0)=0, "",VLOOKUP(A214,'Aux - pivots1'!$A:$E,3,0))</f>
        <v/>
      </c>
      <c r="Q214" s="152" t="str">
        <f>IF(VLOOKUP(A214,'Aux - pivots1'!$A:$E,4,0)=0, "",VLOOKUP(A214,'Aux - pivots1'!$A:$E,4,0))</f>
        <v/>
      </c>
      <c r="R214" s="152" t="str">
        <f>IF(VLOOKUP(A214,'Aux - pivots1'!$A:$E,5,0)=0, "",VLOOKUP(A214,'Aux - pivots1'!$A:$E,5,0))</f>
        <v/>
      </c>
      <c r="S214" s="198"/>
      <c r="T214" s="198"/>
      <c r="U214" s="368" t="s">
        <v>2313</v>
      </c>
      <c r="V214" s="320" t="s">
        <v>2395</v>
      </c>
      <c r="W214" s="320" t="s">
        <v>2455</v>
      </c>
      <c r="X214" s="368" t="s">
        <v>2360</v>
      </c>
      <c r="Y214" s="368" t="s">
        <v>2321</v>
      </c>
      <c r="Z214" s="320" t="s">
        <v>1855</v>
      </c>
    </row>
    <row r="215" spans="1:26" ht="16.399999999999999" hidden="1" customHeight="1">
      <c r="A215" s="29" t="str">
        <f t="shared" si="3"/>
        <v>lt004_protectionAMNT_CVRD_INSRNC</v>
      </c>
      <c r="B215" s="141" t="s">
        <v>26</v>
      </c>
      <c r="C215" s="137" t="s">
        <v>26</v>
      </c>
      <c r="D215" s="133" t="s">
        <v>40</v>
      </c>
      <c r="E215" s="136" t="s">
        <v>368</v>
      </c>
      <c r="F215" s="474" t="s">
        <v>2254</v>
      </c>
      <c r="G215" s="135" t="str">
        <f>VLOOKUP(A215,Plano_V3!$A$26:$G$768,7,0)</f>
        <v>1. Concluído</v>
      </c>
      <c r="H215" s="135" t="s">
        <v>612</v>
      </c>
      <c r="I215" s="467"/>
      <c r="J215" s="355" t="s">
        <v>2306</v>
      </c>
      <c r="K215" s="142" t="s">
        <v>2447</v>
      </c>
      <c r="L215" s="364">
        <v>45726</v>
      </c>
      <c r="M215" s="364">
        <v>45730</v>
      </c>
      <c r="N215" s="355" t="s">
        <v>2444</v>
      </c>
      <c r="O215" s="355"/>
      <c r="P215" s="152" t="str">
        <f>IF(VLOOKUP(A215,'Aux - pivots1'!$A:$E,3,0)=0, "",VLOOKUP(A215,'Aux - pivots1'!$A:$E,3,0))</f>
        <v/>
      </c>
      <c r="Q215" s="152" t="str">
        <f>IF(VLOOKUP(A215,'Aux - pivots1'!$A:$E,4,0)=0, "",VLOOKUP(A215,'Aux - pivots1'!$A:$E,4,0))</f>
        <v/>
      </c>
      <c r="R215" s="152" t="str">
        <f>IF(VLOOKUP(A215,'Aux - pivots1'!$A:$E,5,0)=0, "",VLOOKUP(A215,'Aux - pivots1'!$A:$E,5,0))</f>
        <v/>
      </c>
      <c r="S215" s="198"/>
      <c r="T215" s="198"/>
      <c r="U215" s="368" t="s">
        <v>2313</v>
      </c>
      <c r="V215" s="320" t="s">
        <v>2395</v>
      </c>
      <c r="W215" s="320" t="s">
        <v>2455</v>
      </c>
      <c r="X215" s="368" t="s">
        <v>2360</v>
      </c>
      <c r="Y215" s="368" t="s">
        <v>2321</v>
      </c>
      <c r="Z215" s="320" t="s">
        <v>1855</v>
      </c>
    </row>
    <row r="216" spans="1:26" ht="16.399999999999999" hidden="1" customHeight="1">
      <c r="A216" s="29" t="str">
        <f t="shared" si="3"/>
        <v>lt004_protectionDT_MTRTY_INSRNC</v>
      </c>
      <c r="B216" s="141" t="s">
        <v>26</v>
      </c>
      <c r="C216" s="137" t="s">
        <v>26</v>
      </c>
      <c r="D216" s="133" t="s">
        <v>40</v>
      </c>
      <c r="E216" s="136" t="s">
        <v>368</v>
      </c>
      <c r="F216" s="474" t="s">
        <v>2255</v>
      </c>
      <c r="G216" s="135" t="str">
        <f>VLOOKUP(A216,Plano_V3!$A$26:$G$768,7,0)</f>
        <v>1. Concluído</v>
      </c>
      <c r="H216" s="135" t="s">
        <v>612</v>
      </c>
      <c r="I216" s="467"/>
      <c r="J216" s="355" t="s">
        <v>2306</v>
      </c>
      <c r="K216" s="142" t="s">
        <v>2447</v>
      </c>
      <c r="L216" s="364">
        <v>45726</v>
      </c>
      <c r="M216" s="364">
        <v>45730</v>
      </c>
      <c r="N216" s="355" t="s">
        <v>2444</v>
      </c>
      <c r="O216" s="355"/>
      <c r="P216" s="152" t="str">
        <f>IF(VLOOKUP(A216,'Aux - pivots1'!$A:$E,3,0)=0, "",VLOOKUP(A216,'Aux - pivots1'!$A:$E,3,0))</f>
        <v/>
      </c>
      <c r="Q216" s="152" t="str">
        <f>IF(VLOOKUP(A216,'Aux - pivots1'!$A:$E,4,0)=0, "",VLOOKUP(A216,'Aux - pivots1'!$A:$E,4,0))</f>
        <v/>
      </c>
      <c r="R216" s="152" t="str">
        <f>IF(VLOOKUP(A216,'Aux - pivots1'!$A:$E,5,0)=0, "",VLOOKUP(A216,'Aux - pivots1'!$A:$E,5,0))</f>
        <v/>
      </c>
      <c r="S216" s="198"/>
      <c r="T216" s="198"/>
      <c r="U216" s="368" t="s">
        <v>2313</v>
      </c>
      <c r="V216" s="320" t="s">
        <v>2395</v>
      </c>
      <c r="W216" s="320" t="s">
        <v>2455</v>
      </c>
      <c r="X216" s="368" t="s">
        <v>2360</v>
      </c>
      <c r="Y216" s="368" t="s">
        <v>2321</v>
      </c>
      <c r="Z216" s="320" t="s">
        <v>1855</v>
      </c>
    </row>
    <row r="217" spans="1:26" ht="16.399999999999999" hidden="1" customHeight="1">
      <c r="A217" s="29" t="str">
        <f t="shared" si="3"/>
        <v>lt004_protectionFLG_FRST_HM</v>
      </c>
      <c r="B217" s="141" t="s">
        <v>26</v>
      </c>
      <c r="C217" s="137" t="s">
        <v>26</v>
      </c>
      <c r="D217" s="133" t="s">
        <v>40</v>
      </c>
      <c r="E217" s="136" t="s">
        <v>368</v>
      </c>
      <c r="F217" s="474" t="s">
        <v>2256</v>
      </c>
      <c r="G217" s="135" t="str">
        <f>VLOOKUP(A217,Plano_V3!$A$26:$G$768,7,0)</f>
        <v>1. Concluído</v>
      </c>
      <c r="H217" s="135" t="s">
        <v>612</v>
      </c>
      <c r="I217" s="467"/>
      <c r="J217" s="355" t="s">
        <v>2306</v>
      </c>
      <c r="K217" s="142" t="s">
        <v>2447</v>
      </c>
      <c r="L217" s="364">
        <v>45726</v>
      </c>
      <c r="M217" s="364">
        <v>45730</v>
      </c>
      <c r="N217" s="355" t="s">
        <v>2444</v>
      </c>
      <c r="O217" s="355"/>
      <c r="P217" s="152" t="str">
        <f>IF(VLOOKUP(A217,'Aux - pivots1'!$A:$E,3,0)=0, "",VLOOKUP(A217,'Aux - pivots1'!$A:$E,3,0))</f>
        <v/>
      </c>
      <c r="Q217" s="152" t="str">
        <f>IF(VLOOKUP(A217,'Aux - pivots1'!$A:$E,4,0)=0, "",VLOOKUP(A217,'Aux - pivots1'!$A:$E,4,0))</f>
        <v/>
      </c>
      <c r="R217" s="152" t="str">
        <f>IF(VLOOKUP(A217,'Aux - pivots1'!$A:$E,5,0)=0, "",VLOOKUP(A217,'Aux - pivots1'!$A:$E,5,0))</f>
        <v/>
      </c>
      <c r="S217" s="198"/>
      <c r="T217" s="198"/>
      <c r="U217" s="368" t="s">
        <v>2313</v>
      </c>
      <c r="V217" s="320" t="s">
        <v>2395</v>
      </c>
      <c r="W217" s="320" t="s">
        <v>2455</v>
      </c>
      <c r="X217" s="368" t="s">
        <v>2360</v>
      </c>
      <c r="Y217" s="368" t="s">
        <v>2321</v>
      </c>
      <c r="Z217" s="320" t="s">
        <v>1855</v>
      </c>
    </row>
    <row r="218" spans="1:26" ht="16.399999999999999" hidden="1" customHeight="1">
      <c r="A218" s="29" t="str">
        <f>E218&amp;F218</f>
        <v>lt004_protectionRL_ESTT_CRTFCTN</v>
      </c>
      <c r="B218" s="141" t="s">
        <v>26</v>
      </c>
      <c r="C218" s="137" t="s">
        <v>26</v>
      </c>
      <c r="D218" s="133" t="s">
        <v>40</v>
      </c>
      <c r="E218" s="136" t="s">
        <v>368</v>
      </c>
      <c r="F218" s="474" t="s">
        <v>2259</v>
      </c>
      <c r="G218" s="135" t="str">
        <f>VLOOKUP(A218,Plano_V3!$A$26:$G$768,7,0)</f>
        <v>1. Concluído</v>
      </c>
      <c r="H218" s="135" t="s">
        <v>612</v>
      </c>
      <c r="I218" s="467"/>
      <c r="J218" s="355" t="s">
        <v>2306</v>
      </c>
      <c r="K218" s="142" t="s">
        <v>2447</v>
      </c>
      <c r="L218" s="364">
        <v>45726</v>
      </c>
      <c r="M218" s="364">
        <v>45730</v>
      </c>
      <c r="N218" s="355" t="s">
        <v>2444</v>
      </c>
      <c r="O218" s="355"/>
      <c r="P218" s="152" t="str">
        <f>IF(VLOOKUP(A218,'Aux - pivots1'!$A:$E,3,0)=0, "",VLOOKUP(A218,'Aux - pivots1'!$A:$E,3,0))</f>
        <v/>
      </c>
      <c r="Q218" s="152" t="str">
        <f>IF(VLOOKUP(A218,'Aux - pivots1'!$A:$E,4,0)=0, "",VLOOKUP(A218,'Aux - pivots1'!$A:$E,4,0))</f>
        <v/>
      </c>
      <c r="R218" s="152" t="str">
        <f>IF(VLOOKUP(A218,'Aux - pivots1'!$A:$E,5,0)=0, "",VLOOKUP(A218,'Aux - pivots1'!$A:$E,5,0))</f>
        <v/>
      </c>
      <c r="S218" s="198"/>
      <c r="T218" s="198"/>
      <c r="U218" s="368" t="s">
        <v>2313</v>
      </c>
      <c r="V218" s="320" t="s">
        <v>2392</v>
      </c>
      <c r="W218" s="320" t="s">
        <v>2455</v>
      </c>
      <c r="X218" s="368" t="s">
        <v>2360</v>
      </c>
      <c r="Y218" s="368" t="s">
        <v>2321</v>
      </c>
      <c r="Z218" s="320" t="s">
        <v>1855</v>
      </c>
    </row>
    <row r="219" spans="1:26" ht="16.399999999999999" hidden="1" customHeight="1">
      <c r="A219" s="29" t="str">
        <f>E219&amp;F219</f>
        <v>lt004_protectionDT_RGSTRTN</v>
      </c>
      <c r="B219" s="141" t="s">
        <v>26</v>
      </c>
      <c r="C219" s="137" t="s">
        <v>26</v>
      </c>
      <c r="D219" s="133" t="s">
        <v>40</v>
      </c>
      <c r="E219" s="136" t="s">
        <v>368</v>
      </c>
      <c r="F219" s="474" t="s">
        <v>2261</v>
      </c>
      <c r="G219" s="135" t="str">
        <f>VLOOKUP(A219,Plano_V3!$A$26:$G$768,7,0)</f>
        <v>1. Concluído</v>
      </c>
      <c r="H219" s="135" t="s">
        <v>612</v>
      </c>
      <c r="I219" s="467"/>
      <c r="J219" s="355" t="s">
        <v>2306</v>
      </c>
      <c r="K219" s="142" t="s">
        <v>2447</v>
      </c>
      <c r="L219" s="364">
        <v>45726</v>
      </c>
      <c r="M219" s="364">
        <v>45730</v>
      </c>
      <c r="N219" s="355" t="s">
        <v>2444</v>
      </c>
      <c r="O219" s="355"/>
      <c r="P219" s="152" t="str">
        <f>IF(VLOOKUP(A219,'Aux - pivots1'!$A:$E,3,0)=0, "",VLOOKUP(A219,'Aux - pivots1'!$A:$E,3,0))</f>
        <v/>
      </c>
      <c r="Q219" s="152" t="str">
        <f>IF(VLOOKUP(A219,'Aux - pivots1'!$A:$E,4,0)=0, "",VLOOKUP(A219,'Aux - pivots1'!$A:$E,4,0))</f>
        <v/>
      </c>
      <c r="R219" s="152" t="str">
        <f>IF(VLOOKUP(A219,'Aux - pivots1'!$A:$E,5,0)=0, "",VLOOKUP(A219,'Aux - pivots1'!$A:$E,5,0))</f>
        <v/>
      </c>
      <c r="S219" s="198"/>
      <c r="T219" s="198"/>
      <c r="U219" s="368" t="s">
        <v>2313</v>
      </c>
      <c r="V219" s="320" t="s">
        <v>2392</v>
      </c>
      <c r="W219" s="320" t="s">
        <v>2455</v>
      </c>
      <c r="X219" s="368" t="s">
        <v>2360</v>
      </c>
      <c r="Y219" s="368" t="s">
        <v>2321</v>
      </c>
      <c r="Z219" s="320" t="s">
        <v>1855</v>
      </c>
    </row>
    <row r="220" spans="1:26" ht="16.399999999999999" hidden="1" customHeight="1">
      <c r="A220" s="29" t="str">
        <f>E220&amp;F220</f>
        <v>lt004_protectionPRMRY_ENRGY_DMND_NN_RNWBL</v>
      </c>
      <c r="B220" s="141" t="s">
        <v>26</v>
      </c>
      <c r="C220" s="137" t="s">
        <v>26</v>
      </c>
      <c r="D220" s="133" t="s">
        <v>40</v>
      </c>
      <c r="E220" s="136" t="s">
        <v>368</v>
      </c>
      <c r="F220" s="474" t="s">
        <v>2262</v>
      </c>
      <c r="G220" s="135" t="str">
        <f>VLOOKUP(A220,Plano_V3!$A$26:$G$768,7,0)</f>
        <v>1. Concluído</v>
      </c>
      <c r="H220" s="135" t="s">
        <v>612</v>
      </c>
      <c r="I220" s="467"/>
      <c r="J220" s="355" t="s">
        <v>2239</v>
      </c>
      <c r="K220" s="142" t="s">
        <v>2447</v>
      </c>
      <c r="L220" s="364">
        <v>45726</v>
      </c>
      <c r="M220" s="364">
        <v>45730</v>
      </c>
      <c r="N220" s="355" t="s">
        <v>2444</v>
      </c>
      <c r="O220" s="355"/>
      <c r="P220" s="152" t="str">
        <f>IF(VLOOKUP(A220,'Aux - pivots1'!$A:$E,3,0)=0, "",VLOOKUP(A220,'Aux - pivots1'!$A:$E,3,0))</f>
        <v/>
      </c>
      <c r="Q220" s="152" t="str">
        <f>IF(VLOOKUP(A220,'Aux - pivots1'!$A:$E,4,0)=0, "",VLOOKUP(A220,'Aux - pivots1'!$A:$E,4,0))</f>
        <v/>
      </c>
      <c r="R220" s="152" t="str">
        <f>IF(VLOOKUP(A220,'Aux - pivots1'!$A:$E,5,0)=0, "",VLOOKUP(A220,'Aux - pivots1'!$A:$E,5,0))</f>
        <v/>
      </c>
      <c r="S220" s="198"/>
      <c r="T220" s="198"/>
      <c r="U220" s="368" t="s">
        <v>2313</v>
      </c>
      <c r="V220" s="320" t="s">
        <v>2392</v>
      </c>
      <c r="W220" s="320" t="s">
        <v>2455</v>
      </c>
      <c r="X220" s="368" t="s">
        <v>2360</v>
      </c>
      <c r="Y220" s="368" t="s">
        <v>2321</v>
      </c>
      <c r="Z220" s="320" t="s">
        <v>1856</v>
      </c>
    </row>
    <row r="221" spans="1:26" ht="16.399999999999999" hidden="1" customHeight="1">
      <c r="A221" s="29" t="str">
        <f t="shared" si="3"/>
        <v>lt002_instrumentgrss_intrst_incm</v>
      </c>
      <c r="B221" s="141" t="s">
        <v>26</v>
      </c>
      <c r="C221" s="137" t="s">
        <v>26</v>
      </c>
      <c r="D221" s="133" t="s">
        <v>40</v>
      </c>
      <c r="E221" s="136" t="s">
        <v>379</v>
      </c>
      <c r="F221" s="474" t="s">
        <v>420</v>
      </c>
      <c r="G221" s="135" t="str">
        <f>VLOOKUP(A221,Plano_V3!$A$26:$G$768,7,0)</f>
        <v xml:space="preserve">6. Em implementação </v>
      </c>
      <c r="H221" s="135" t="s">
        <v>2319</v>
      </c>
      <c r="I221" s="467"/>
      <c r="J221" s="355" t="s">
        <v>2422</v>
      </c>
      <c r="K221" s="355" t="s">
        <v>2433</v>
      </c>
      <c r="L221" s="364">
        <v>45793</v>
      </c>
      <c r="M221" s="364" t="s">
        <v>25</v>
      </c>
      <c r="N221" s="355" t="s">
        <v>2445</v>
      </c>
      <c r="O221" s="355"/>
      <c r="P221" s="152" t="str">
        <f>IF(VLOOKUP(A205,'Aux - pivots1'!$A:$E,3,0)=0, "",VLOOKUP(A205,'Aux - pivots1'!$A:$E,3,0))</f>
        <v/>
      </c>
      <c r="Q221" s="152" t="str">
        <f>IF(VLOOKUP(A205,'Aux - pivots1'!$A:$E,4,0)=0, "",VLOOKUP(A205,'Aux - pivots1'!$A:$E,4,0))</f>
        <v/>
      </c>
      <c r="R221" s="152" t="str">
        <f>IF(VLOOKUP(A205,'Aux - pivots1'!$A:$E,5,0)=0, "",VLOOKUP(A205,'Aux - pivots1'!$A:$E,5,0))</f>
        <v/>
      </c>
      <c r="S221" s="198">
        <v>45595</v>
      </c>
      <c r="T221" s="198"/>
      <c r="U221" s="198"/>
      <c r="V221" s="320"/>
      <c r="W221" s="320" t="s">
        <v>2456</v>
      </c>
      <c r="X221" s="320"/>
      <c r="Y221" s="368" t="s">
        <v>2320</v>
      </c>
      <c r="Z221" s="319" t="s">
        <v>1856</v>
      </c>
    </row>
    <row r="222" spans="1:26" ht="16.399999999999999" hidden="1" customHeight="1">
      <c r="A222" s="29" t="str">
        <f t="shared" si="3"/>
        <v>lt002_instrumentgrss_cmmssn_incm</v>
      </c>
      <c r="B222" s="141" t="s">
        <v>26</v>
      </c>
      <c r="C222" s="137" t="s">
        <v>26</v>
      </c>
      <c r="D222" s="133" t="s">
        <v>40</v>
      </c>
      <c r="E222" s="136" t="s">
        <v>379</v>
      </c>
      <c r="F222" s="474" t="s">
        <v>421</v>
      </c>
      <c r="G222" s="135" t="str">
        <f>VLOOKUP(A222,Plano_V3!$A$26:$G$768,7,0)</f>
        <v xml:space="preserve">6. Em implementação </v>
      </c>
      <c r="H222" s="135" t="s">
        <v>2319</v>
      </c>
      <c r="I222" s="467"/>
      <c r="J222" s="355" t="s">
        <v>2422</v>
      </c>
      <c r="K222" s="355" t="s">
        <v>2433</v>
      </c>
      <c r="L222" s="364">
        <v>45793</v>
      </c>
      <c r="M222" s="364" t="s">
        <v>25</v>
      </c>
      <c r="N222" s="355" t="s">
        <v>2445</v>
      </c>
      <c r="O222" s="355"/>
      <c r="P222" s="152" t="str">
        <f>IF(VLOOKUP(A206,'Aux - pivots1'!$A:$E,3,0)=0, "",VLOOKUP(A206,'Aux - pivots1'!$A:$E,3,0))</f>
        <v/>
      </c>
      <c r="Q222" s="152" t="str">
        <f>IF(VLOOKUP(A206,'Aux - pivots1'!$A:$E,4,0)=0, "",VLOOKUP(A206,'Aux - pivots1'!$A:$E,4,0))</f>
        <v/>
      </c>
      <c r="R222" s="152" t="str">
        <f>IF(VLOOKUP(A206,'Aux - pivots1'!$A:$E,5,0)=0, "",VLOOKUP(A206,'Aux - pivots1'!$A:$E,5,0))</f>
        <v/>
      </c>
      <c r="S222" s="198">
        <v>45595</v>
      </c>
      <c r="T222" s="198"/>
      <c r="U222" s="198"/>
      <c r="V222" s="320"/>
      <c r="W222" s="320" t="s">
        <v>2456</v>
      </c>
      <c r="X222" s="320"/>
      <c r="Y222" s="368" t="s">
        <v>2320</v>
      </c>
      <c r="Z222" s="319" t="s">
        <v>1856</v>
      </c>
    </row>
    <row r="223" spans="1:26" ht="16.399999999999999" hidden="1" customHeight="1">
      <c r="A223" s="29" t="str">
        <f t="shared" si="3"/>
        <v>lt002_instrumentgrss_cmmssn_incm_off_blnc</v>
      </c>
      <c r="B223" s="141" t="s">
        <v>26</v>
      </c>
      <c r="C223" s="137" t="s">
        <v>26</v>
      </c>
      <c r="D223" s="133" t="s">
        <v>40</v>
      </c>
      <c r="E223" s="136" t="s">
        <v>379</v>
      </c>
      <c r="F223" s="474" t="s">
        <v>422</v>
      </c>
      <c r="G223" s="135" t="str">
        <f>VLOOKUP(A223,Plano_V3!$A$26:$G$768,7,0)</f>
        <v xml:space="preserve">6. Em implementação </v>
      </c>
      <c r="H223" s="135" t="s">
        <v>2319</v>
      </c>
      <c r="I223" s="467"/>
      <c r="J223" s="355" t="s">
        <v>2422</v>
      </c>
      <c r="K223" s="355" t="s">
        <v>2433</v>
      </c>
      <c r="L223" s="364">
        <v>45793</v>
      </c>
      <c r="M223" s="364" t="s">
        <v>25</v>
      </c>
      <c r="N223" s="355" t="s">
        <v>2445</v>
      </c>
      <c r="O223" s="355"/>
      <c r="P223" s="152" t="str">
        <f>IF(VLOOKUP(A207,'Aux - pivots1'!$A:$E,3,0)=0, "",VLOOKUP(A207,'Aux - pivots1'!$A:$E,3,0))</f>
        <v/>
      </c>
      <c r="Q223" s="152" t="str">
        <f>IF(VLOOKUP(A207,'Aux - pivots1'!$A:$E,4,0)=0, "",VLOOKUP(A207,'Aux - pivots1'!$A:$E,4,0))</f>
        <v/>
      </c>
      <c r="R223" s="152" t="str">
        <f>IF(VLOOKUP(A207,'Aux - pivots1'!$A:$E,5,0)=0, "",VLOOKUP(A207,'Aux - pivots1'!$A:$E,5,0))</f>
        <v/>
      </c>
      <c r="S223" s="198">
        <v>45595</v>
      </c>
      <c r="T223" s="198"/>
      <c r="U223" s="198"/>
      <c r="V223" s="320"/>
      <c r="W223" s="320" t="s">
        <v>2456</v>
      </c>
      <c r="X223" s="320"/>
      <c r="Y223" s="368" t="s">
        <v>2320</v>
      </c>
      <c r="Z223" s="319" t="s">
        <v>1856</v>
      </c>
    </row>
    <row r="224" spans="1:26" ht="16.399999999999999" hidden="1" customHeight="1">
      <c r="A224" s="29" t="str">
        <f t="shared" si="3"/>
        <v>lt002_instrumentFRBRNC_STTS_INSTRMNT</v>
      </c>
      <c r="B224" s="141" t="s">
        <v>26</v>
      </c>
      <c r="C224" s="137" t="s">
        <v>26</v>
      </c>
      <c r="D224" s="133" t="s">
        <v>40</v>
      </c>
      <c r="E224" s="136" t="s">
        <v>379</v>
      </c>
      <c r="F224" s="474" t="s">
        <v>2163</v>
      </c>
      <c r="G224" s="135" t="str">
        <f>VLOOKUP(A224,Plano_V3!$A$26:$G$768,7,0)</f>
        <v>1. Concluído</v>
      </c>
      <c r="H224" s="135" t="s">
        <v>612</v>
      </c>
      <c r="I224" s="467"/>
      <c r="J224" s="142" t="s">
        <v>2309</v>
      </c>
      <c r="K224" s="355" t="s">
        <v>2448</v>
      </c>
      <c r="L224" s="364">
        <v>45726</v>
      </c>
      <c r="M224" s="364">
        <v>45735</v>
      </c>
      <c r="N224" s="355" t="s">
        <v>2443</v>
      </c>
      <c r="O224" s="142"/>
      <c r="P224" s="152" t="str">
        <f>IF(VLOOKUP(A224,'Aux - pivots1'!$A:$E,3,0)=0, "",VLOOKUP(A224,'Aux - pivots1'!$A:$E,3,0))</f>
        <v/>
      </c>
      <c r="Q224" s="152" t="str">
        <f>IF(VLOOKUP(A224,'Aux - pivots1'!$A:$E,4,0)=0, "",VLOOKUP(A224,'Aux - pivots1'!$A:$E,4,0))</f>
        <v/>
      </c>
      <c r="R224" s="152" t="str">
        <f>IF(VLOOKUP(A224,'Aux - pivots1'!$A:$E,5,0)=0, "",VLOOKUP(A224,'Aux - pivots1'!$A:$E,5,0))</f>
        <v/>
      </c>
      <c r="S224" s="198"/>
      <c r="T224" s="198"/>
      <c r="U224" s="152" t="s">
        <v>2313</v>
      </c>
      <c r="V224" s="320" t="s">
        <v>2383</v>
      </c>
      <c r="W224" s="320" t="s">
        <v>2455</v>
      </c>
      <c r="X224" s="368" t="s">
        <v>2359</v>
      </c>
      <c r="Y224" s="368" t="s">
        <v>2321</v>
      </c>
      <c r="Z224" s="319" t="s">
        <v>1855</v>
      </c>
    </row>
    <row r="225" spans="1:26" ht="16.399999999999999" hidden="1" customHeight="1">
      <c r="A225" s="29" t="str">
        <f t="shared" si="3"/>
        <v>lt002_instrumentINTRNL_SGMNT</v>
      </c>
      <c r="B225" s="141" t="s">
        <v>26</v>
      </c>
      <c r="C225" s="137" t="s">
        <v>26</v>
      </c>
      <c r="D225" s="133" t="s">
        <v>40</v>
      </c>
      <c r="E225" s="136" t="s">
        <v>379</v>
      </c>
      <c r="F225" s="474" t="s">
        <v>2164</v>
      </c>
      <c r="G225" s="135" t="str">
        <f>VLOOKUP(A225,Plano_V3!$A$26:$G$768,7,0)</f>
        <v>1. Concluído</v>
      </c>
      <c r="H225" s="135" t="s">
        <v>612</v>
      </c>
      <c r="I225" s="467"/>
      <c r="J225" s="142" t="s">
        <v>2304</v>
      </c>
      <c r="K225" s="355" t="s">
        <v>2448</v>
      </c>
      <c r="L225" s="364">
        <v>45726</v>
      </c>
      <c r="M225" s="364">
        <v>45735</v>
      </c>
      <c r="N225" s="355" t="s">
        <v>2443</v>
      </c>
      <c r="O225" s="142"/>
      <c r="P225" s="152" t="str">
        <f>IF(VLOOKUP(A225,'Aux - pivots1'!$A:$E,3,0)=0, "",VLOOKUP(A225,'Aux - pivots1'!$A:$E,3,0))</f>
        <v/>
      </c>
      <c r="Q225" s="152" t="str">
        <f>IF(VLOOKUP(A225,'Aux - pivots1'!$A:$E,4,0)=0, "",VLOOKUP(A225,'Aux - pivots1'!$A:$E,4,0))</f>
        <v/>
      </c>
      <c r="R225" s="152" t="str">
        <f>IF(VLOOKUP(A225,'Aux - pivots1'!$A:$E,5,0)=0, "",VLOOKUP(A225,'Aux - pivots1'!$A:$E,5,0))</f>
        <v/>
      </c>
      <c r="S225" s="198"/>
      <c r="T225" s="198"/>
      <c r="U225" s="152" t="s">
        <v>2313</v>
      </c>
      <c r="V225" s="320" t="s">
        <v>2384</v>
      </c>
      <c r="W225" s="320" t="s">
        <v>2455</v>
      </c>
      <c r="X225" s="368" t="s">
        <v>2359</v>
      </c>
      <c r="Y225" s="368" t="s">
        <v>2321</v>
      </c>
      <c r="Z225" s="319" t="s">
        <v>1856</v>
      </c>
    </row>
    <row r="226" spans="1:26" ht="16.399999999999999" hidden="1" customHeight="1">
      <c r="A226" s="29" t="str">
        <f t="shared" si="3"/>
        <v>lt002_instrumentDT_ORGNL_MTRTY</v>
      </c>
      <c r="B226" s="141" t="s">
        <v>26</v>
      </c>
      <c r="C226" s="137" t="s">
        <v>26</v>
      </c>
      <c r="D226" s="133" t="s">
        <v>40</v>
      </c>
      <c r="E226" s="136" t="s">
        <v>379</v>
      </c>
      <c r="F226" s="474" t="s">
        <v>2165</v>
      </c>
      <c r="G226" s="135" t="str">
        <f>VLOOKUP(A226,Plano_V3!$A$26:$G$768,7,0)</f>
        <v>1. Concluído</v>
      </c>
      <c r="H226" s="135" t="s">
        <v>612</v>
      </c>
      <c r="I226" s="467"/>
      <c r="J226" s="142" t="s">
        <v>2304</v>
      </c>
      <c r="K226" s="355" t="s">
        <v>2448</v>
      </c>
      <c r="L226" s="364">
        <v>45726</v>
      </c>
      <c r="M226" s="364">
        <v>45735</v>
      </c>
      <c r="N226" s="355" t="s">
        <v>2443</v>
      </c>
      <c r="O226" s="142"/>
      <c r="P226" s="152" t="str">
        <f>IF(VLOOKUP(A226,'Aux - pivots1'!$A:$E,3,0)=0, "",VLOOKUP(A226,'Aux - pivots1'!$A:$E,3,0))</f>
        <v/>
      </c>
      <c r="Q226" s="152" t="str">
        <f>IF(VLOOKUP(A226,'Aux - pivots1'!$A:$E,4,0)=0, "",VLOOKUP(A226,'Aux - pivots1'!$A:$E,4,0))</f>
        <v/>
      </c>
      <c r="R226" s="152" t="str">
        <f>IF(VLOOKUP(A226,'Aux - pivots1'!$A:$E,5,0)=0, "",VLOOKUP(A226,'Aux - pivots1'!$A:$E,5,0))</f>
        <v/>
      </c>
      <c r="S226" s="198"/>
      <c r="T226" s="198"/>
      <c r="U226" s="152" t="s">
        <v>2313</v>
      </c>
      <c r="V226" s="320" t="s">
        <v>2385</v>
      </c>
      <c r="W226" s="320" t="s">
        <v>2455</v>
      </c>
      <c r="X226" s="368" t="s">
        <v>2359</v>
      </c>
      <c r="Y226" s="368" t="s">
        <v>2321</v>
      </c>
      <c r="Z226" s="319" t="s">
        <v>1856</v>
      </c>
    </row>
    <row r="227" spans="1:26" ht="16.399999999999999" hidden="1" customHeight="1">
      <c r="A227" s="29" t="str">
        <f t="shared" si="3"/>
        <v>lt002_instrumentEAD</v>
      </c>
      <c r="B227" s="141" t="s">
        <v>26</v>
      </c>
      <c r="C227" s="137" t="s">
        <v>26</v>
      </c>
      <c r="D227" s="133" t="s">
        <v>40</v>
      </c>
      <c r="E227" s="136" t="s">
        <v>379</v>
      </c>
      <c r="F227" s="474" t="s">
        <v>2166</v>
      </c>
      <c r="G227" s="135" t="str">
        <f>VLOOKUP(A227,Plano_V3!$A$26:$G$768,7,0)</f>
        <v>1. Concluído</v>
      </c>
      <c r="H227" s="135" t="s">
        <v>612</v>
      </c>
      <c r="I227" s="467"/>
      <c r="J227" s="142" t="s">
        <v>2304</v>
      </c>
      <c r="K227" s="355" t="s">
        <v>2448</v>
      </c>
      <c r="L227" s="364">
        <v>45726</v>
      </c>
      <c r="M227" s="364">
        <v>45735</v>
      </c>
      <c r="N227" s="355" t="s">
        <v>2443</v>
      </c>
      <c r="O227" s="142"/>
      <c r="P227" s="152" t="str">
        <f>IF(VLOOKUP(A227,'Aux - pivots1'!$A:$E,3,0)=0, "",VLOOKUP(A227,'Aux - pivots1'!$A:$E,3,0))</f>
        <v/>
      </c>
      <c r="Q227" s="152" t="str">
        <f>IF(VLOOKUP(A227,'Aux - pivots1'!$A:$E,4,0)=0, "",VLOOKUP(A227,'Aux - pivots1'!$A:$E,4,0))</f>
        <v/>
      </c>
      <c r="R227" s="152" t="str">
        <f>IF(VLOOKUP(A227,'Aux - pivots1'!$A:$E,5,0)=0, "",VLOOKUP(A227,'Aux - pivots1'!$A:$E,5,0))</f>
        <v/>
      </c>
      <c r="S227" s="198"/>
      <c r="T227" s="198"/>
      <c r="U227" s="152" t="s">
        <v>2313</v>
      </c>
      <c r="V227" s="320" t="s">
        <v>2386</v>
      </c>
      <c r="W227" s="320" t="s">
        <v>2455</v>
      </c>
      <c r="X227" s="368" t="s">
        <v>2359</v>
      </c>
      <c r="Y227" s="368" t="s">
        <v>2321</v>
      </c>
      <c r="Z227" s="319" t="s">
        <v>1856</v>
      </c>
    </row>
    <row r="228" spans="1:26" ht="16.399999999999999" hidden="1" customHeight="1">
      <c r="A228" s="29" t="str">
        <f t="shared" si="3"/>
        <v>lt002_instrumentRWA</v>
      </c>
      <c r="B228" s="141" t="s">
        <v>26</v>
      </c>
      <c r="C228" s="137" t="s">
        <v>26</v>
      </c>
      <c r="D228" s="133" t="s">
        <v>40</v>
      </c>
      <c r="E228" s="136" t="s">
        <v>379</v>
      </c>
      <c r="F228" s="474" t="s">
        <v>1418</v>
      </c>
      <c r="G228" s="135" t="str">
        <f>VLOOKUP(A228,Plano_V3!$A$26:$G$768,7,0)</f>
        <v>1. Concluído</v>
      </c>
      <c r="H228" s="135" t="s">
        <v>612</v>
      </c>
      <c r="I228" s="467"/>
      <c r="J228" s="142" t="s">
        <v>2304</v>
      </c>
      <c r="K228" s="355" t="s">
        <v>2448</v>
      </c>
      <c r="L228" s="364">
        <v>45726</v>
      </c>
      <c r="M228" s="364">
        <v>45735</v>
      </c>
      <c r="N228" s="355" t="s">
        <v>2443</v>
      </c>
      <c r="O228" s="142"/>
      <c r="P228" s="152" t="str">
        <f>IF(VLOOKUP(A228,'Aux - pivots1'!$A:$E,3,0)=0, "",VLOOKUP(A228,'Aux - pivots1'!$A:$E,3,0))</f>
        <v/>
      </c>
      <c r="Q228" s="152" t="str">
        <f>IF(VLOOKUP(A228,'Aux - pivots1'!$A:$E,4,0)=0, "",VLOOKUP(A228,'Aux - pivots1'!$A:$E,4,0))</f>
        <v/>
      </c>
      <c r="R228" s="152" t="str">
        <f>IF(VLOOKUP(A228,'Aux - pivots1'!$A:$E,5,0)=0, "",VLOOKUP(A228,'Aux - pivots1'!$A:$E,5,0))</f>
        <v/>
      </c>
      <c r="S228" s="198"/>
      <c r="T228" s="198"/>
      <c r="U228" s="152" t="s">
        <v>2313</v>
      </c>
      <c r="V228" s="320" t="s">
        <v>2388</v>
      </c>
      <c r="W228" s="320" t="s">
        <v>2455</v>
      </c>
      <c r="X228" s="368" t="s">
        <v>2359</v>
      </c>
      <c r="Y228" s="368" t="s">
        <v>2321</v>
      </c>
      <c r="Z228" s="319" t="s">
        <v>1856</v>
      </c>
    </row>
    <row r="229" spans="1:26" ht="16.399999999999999" hidden="1" customHeight="1">
      <c r="A229" s="29" t="str">
        <f t="shared" si="3"/>
        <v>lt002_instrumentLTV</v>
      </c>
      <c r="B229" s="141" t="s">
        <v>26</v>
      </c>
      <c r="C229" s="137" t="s">
        <v>26</v>
      </c>
      <c r="D229" s="133" t="s">
        <v>40</v>
      </c>
      <c r="E229" s="136" t="s">
        <v>379</v>
      </c>
      <c r="F229" s="474" t="s">
        <v>2167</v>
      </c>
      <c r="G229" s="135" t="str">
        <f>VLOOKUP(A229,Plano_V3!$A$26:$G$768,7,0)</f>
        <v>1. Concluído</v>
      </c>
      <c r="H229" s="135" t="s">
        <v>612</v>
      </c>
      <c r="I229" s="467"/>
      <c r="J229" s="142" t="s">
        <v>2304</v>
      </c>
      <c r="K229" s="355" t="s">
        <v>2448</v>
      </c>
      <c r="L229" s="364">
        <v>45726</v>
      </c>
      <c r="M229" s="364">
        <v>45735</v>
      </c>
      <c r="N229" s="355" t="s">
        <v>2443</v>
      </c>
      <c r="O229" s="142"/>
      <c r="P229" s="152" t="str">
        <f>IF(VLOOKUP(A229,'Aux - pivots1'!$A:$E,3,0)=0, "",VLOOKUP(A229,'Aux - pivots1'!$A:$E,3,0))</f>
        <v/>
      </c>
      <c r="Q229" s="152" t="str">
        <f>IF(VLOOKUP(A229,'Aux - pivots1'!$A:$E,4,0)=0, "",VLOOKUP(A229,'Aux - pivots1'!$A:$E,4,0))</f>
        <v/>
      </c>
      <c r="R229" s="152" t="str">
        <f>IF(VLOOKUP(A229,'Aux - pivots1'!$A:$E,5,0)=0, "",VLOOKUP(A229,'Aux - pivots1'!$A:$E,5,0))</f>
        <v/>
      </c>
      <c r="S229" s="198"/>
      <c r="T229" s="198"/>
      <c r="U229" s="152" t="s">
        <v>2313</v>
      </c>
      <c r="V229" s="320" t="s">
        <v>2389</v>
      </c>
      <c r="W229" s="320" t="s">
        <v>2455</v>
      </c>
      <c r="X229" s="368" t="s">
        <v>2359</v>
      </c>
      <c r="Y229" s="368" t="s">
        <v>2321</v>
      </c>
      <c r="Z229" s="319" t="s">
        <v>1856</v>
      </c>
    </row>
    <row r="230" spans="1:26" ht="16.399999999999999" hidden="1" customHeight="1">
      <c r="A230" s="29" t="str">
        <f t="shared" si="3"/>
        <v>lt002_instrumentLTV_INCPTN</v>
      </c>
      <c r="B230" s="141" t="s">
        <v>26</v>
      </c>
      <c r="C230" s="137" t="s">
        <v>26</v>
      </c>
      <c r="D230" s="133" t="s">
        <v>40</v>
      </c>
      <c r="E230" s="136" t="s">
        <v>379</v>
      </c>
      <c r="F230" s="474" t="s">
        <v>2168</v>
      </c>
      <c r="G230" s="135" t="str">
        <f>VLOOKUP(A230,Plano_V3!$A$26:$G$768,7,0)</f>
        <v>1. Concluído</v>
      </c>
      <c r="H230" s="135" t="s">
        <v>612</v>
      </c>
      <c r="I230" s="467"/>
      <c r="J230" s="142" t="s">
        <v>2304</v>
      </c>
      <c r="K230" s="355" t="s">
        <v>2448</v>
      </c>
      <c r="L230" s="364">
        <v>45726</v>
      </c>
      <c r="M230" s="364">
        <v>45735</v>
      </c>
      <c r="N230" s="355" t="s">
        <v>2443</v>
      </c>
      <c r="O230" s="142"/>
      <c r="P230" s="152" t="str">
        <f>IF(VLOOKUP(A230,'Aux - pivots1'!$A:$E,3,0)=0, "",VLOOKUP(A230,'Aux - pivots1'!$A:$E,3,0))</f>
        <v/>
      </c>
      <c r="Q230" s="152" t="str">
        <f>IF(VLOOKUP(A230,'Aux - pivots1'!$A:$E,4,0)=0, "",VLOOKUP(A230,'Aux - pivots1'!$A:$E,4,0))</f>
        <v/>
      </c>
      <c r="R230" s="152" t="str">
        <f>IF(VLOOKUP(A230,'Aux - pivots1'!$A:$E,5,0)=0, "",VLOOKUP(A230,'Aux - pivots1'!$A:$E,5,0))</f>
        <v/>
      </c>
      <c r="S230" s="198"/>
      <c r="T230" s="198"/>
      <c r="U230" s="152" t="s">
        <v>2313</v>
      </c>
      <c r="V230" s="320" t="s">
        <v>2389</v>
      </c>
      <c r="W230" s="320" t="s">
        <v>2455</v>
      </c>
      <c r="X230" s="368" t="s">
        <v>2359</v>
      </c>
      <c r="Y230" s="368" t="s">
        <v>2321</v>
      </c>
      <c r="Z230" s="319" t="s">
        <v>1855</v>
      </c>
    </row>
    <row r="231" spans="1:26" ht="16.399999999999999" hidden="1" customHeight="1">
      <c r="A231" s="29" t="str">
        <f t="shared" si="3"/>
        <v>lt002_instrumentEIR</v>
      </c>
      <c r="B231" s="141" t="s">
        <v>26</v>
      </c>
      <c r="C231" s="137" t="s">
        <v>26</v>
      </c>
      <c r="D231" s="133" t="s">
        <v>40</v>
      </c>
      <c r="E231" s="136" t="s">
        <v>379</v>
      </c>
      <c r="F231" s="474" t="s">
        <v>2169</v>
      </c>
      <c r="G231" s="135" t="str">
        <f>VLOOKUP(A231,Plano_V3!$A$26:$G$768,7,0)</f>
        <v>1. Concluído</v>
      </c>
      <c r="H231" s="135" t="s">
        <v>612</v>
      </c>
      <c r="I231" s="467"/>
      <c r="J231" s="142" t="s">
        <v>2304</v>
      </c>
      <c r="K231" s="355" t="s">
        <v>2448</v>
      </c>
      <c r="L231" s="364">
        <v>45726</v>
      </c>
      <c r="M231" s="364">
        <v>45735</v>
      </c>
      <c r="N231" s="355" t="s">
        <v>2443</v>
      </c>
      <c r="O231" s="142"/>
      <c r="P231" s="152" t="str">
        <f>IF(VLOOKUP(A231,'Aux - pivots1'!$A:$E,3,0)=0, "",VLOOKUP(A231,'Aux - pivots1'!$A:$E,3,0))</f>
        <v/>
      </c>
      <c r="Q231" s="152" t="str">
        <f>IF(VLOOKUP(A231,'Aux - pivots1'!$A:$E,4,0)=0, "",VLOOKUP(A231,'Aux - pivots1'!$A:$E,4,0))</f>
        <v/>
      </c>
      <c r="R231" s="152" t="str">
        <f>IF(VLOOKUP(A231,'Aux - pivots1'!$A:$E,5,0)=0, "",VLOOKUP(A231,'Aux - pivots1'!$A:$E,5,0))</f>
        <v/>
      </c>
      <c r="S231" s="198"/>
      <c r="T231" s="198"/>
      <c r="U231" s="152" t="s">
        <v>2313</v>
      </c>
      <c r="V231" s="320" t="s">
        <v>2383</v>
      </c>
      <c r="W231" s="320" t="s">
        <v>2455</v>
      </c>
      <c r="X231" s="368" t="s">
        <v>2359</v>
      </c>
      <c r="Y231" s="368" t="s">
        <v>2321</v>
      </c>
      <c r="Z231" s="319" t="s">
        <v>1855</v>
      </c>
    </row>
    <row r="232" spans="1:26" ht="16.399999999999999" hidden="1" customHeight="1">
      <c r="A232" s="29" t="str">
        <f t="shared" si="3"/>
        <v>lt002_instrumentEIR_INCPTN</v>
      </c>
      <c r="B232" s="141" t="s">
        <v>26</v>
      </c>
      <c r="C232" s="137" t="s">
        <v>26</v>
      </c>
      <c r="D232" s="133" t="s">
        <v>40</v>
      </c>
      <c r="E232" s="136" t="s">
        <v>379</v>
      </c>
      <c r="F232" s="474" t="s">
        <v>2170</v>
      </c>
      <c r="G232" s="135" t="str">
        <f>VLOOKUP(A232,Plano_V3!$A$26:$G$768,7,0)</f>
        <v>1. Concluído</v>
      </c>
      <c r="H232" s="135" t="s">
        <v>612</v>
      </c>
      <c r="I232" s="467"/>
      <c r="J232" s="142" t="s">
        <v>2304</v>
      </c>
      <c r="K232" s="355" t="s">
        <v>2448</v>
      </c>
      <c r="L232" s="364">
        <v>45726</v>
      </c>
      <c r="M232" s="364">
        <v>45735</v>
      </c>
      <c r="N232" s="355" t="s">
        <v>2443</v>
      </c>
      <c r="O232" s="142"/>
      <c r="P232" s="152" t="str">
        <f>IF(VLOOKUP(A232,'Aux - pivots1'!$A:$E,3,0)=0, "",VLOOKUP(A232,'Aux - pivots1'!$A:$E,3,0))</f>
        <v/>
      </c>
      <c r="Q232" s="152" t="str">
        <f>IF(VLOOKUP(A232,'Aux - pivots1'!$A:$E,4,0)=0, "",VLOOKUP(A232,'Aux - pivots1'!$A:$E,4,0))</f>
        <v/>
      </c>
      <c r="R232" s="152" t="str">
        <f>IF(VLOOKUP(A232,'Aux - pivots1'!$A:$E,5,0)=0, "",VLOOKUP(A232,'Aux - pivots1'!$A:$E,5,0))</f>
        <v/>
      </c>
      <c r="S232" s="198"/>
      <c r="T232" s="198"/>
      <c r="U232" s="152" t="s">
        <v>2313</v>
      </c>
      <c r="V232" s="320" t="s">
        <v>2389</v>
      </c>
      <c r="W232" s="320" t="s">
        <v>2455</v>
      </c>
      <c r="X232" s="368" t="s">
        <v>2359</v>
      </c>
      <c r="Y232" s="368" t="s">
        <v>2321</v>
      </c>
      <c r="Z232" s="319" t="s">
        <v>1855</v>
      </c>
    </row>
    <row r="233" spans="1:26" ht="16.399999999999999" hidden="1" customHeight="1">
      <c r="A233" s="29" t="str">
        <f t="shared" si="3"/>
        <v>lt002_instrumentINTRNL_SGMNT_CAT_MSTA</v>
      </c>
      <c r="B233" s="141" t="s">
        <v>26</v>
      </c>
      <c r="C233" s="137" t="s">
        <v>26</v>
      </c>
      <c r="D233" s="133" t="s">
        <v>40</v>
      </c>
      <c r="E233" s="136" t="s">
        <v>379</v>
      </c>
      <c r="F233" s="474" t="s">
        <v>2171</v>
      </c>
      <c r="G233" s="135" t="str">
        <f>VLOOKUP(A233,Plano_V3!$A$26:$G$768,7,0)</f>
        <v>1. Concluído</v>
      </c>
      <c r="H233" s="135" t="s">
        <v>612</v>
      </c>
      <c r="I233" s="467"/>
      <c r="J233" s="142" t="s">
        <v>2304</v>
      </c>
      <c r="K233" s="355" t="s">
        <v>2448</v>
      </c>
      <c r="L233" s="364">
        <v>45726</v>
      </c>
      <c r="M233" s="364">
        <v>45735</v>
      </c>
      <c r="N233" s="355" t="s">
        <v>2443</v>
      </c>
      <c r="O233" s="142"/>
      <c r="P233" s="152" t="str">
        <f>IF(VLOOKUP(A233,'Aux - pivots1'!$A:$E,3,0)=0, "",VLOOKUP(A233,'Aux - pivots1'!$A:$E,3,0))</f>
        <v/>
      </c>
      <c r="Q233" s="152" t="str">
        <f>IF(VLOOKUP(A233,'Aux - pivots1'!$A:$E,4,0)=0, "",VLOOKUP(A233,'Aux - pivots1'!$A:$E,4,0))</f>
        <v/>
      </c>
      <c r="R233" s="152" t="str">
        <f>IF(VLOOKUP(A233,'Aux - pivots1'!$A:$E,5,0)=0, "",VLOOKUP(A233,'Aux - pivots1'!$A:$E,5,0))</f>
        <v/>
      </c>
      <c r="S233" s="198"/>
      <c r="T233" s="198"/>
      <c r="U233" s="152" t="s">
        <v>2313</v>
      </c>
      <c r="V233" s="320" t="s">
        <v>2390</v>
      </c>
      <c r="W233" s="320" t="s">
        <v>2455</v>
      </c>
      <c r="X233" s="368" t="s">
        <v>2359</v>
      </c>
      <c r="Y233" s="368" t="s">
        <v>2321</v>
      </c>
      <c r="Z233" s="319" t="s">
        <v>1855</v>
      </c>
    </row>
    <row r="234" spans="1:26" ht="16.399999999999999" hidden="1" customHeight="1">
      <c r="A234" s="29" t="str">
        <f t="shared" si="3"/>
        <v>lt002_instrumentINTRNL_SGMNT_CATGSUB</v>
      </c>
      <c r="B234" s="141" t="s">
        <v>26</v>
      </c>
      <c r="C234" s="137" t="s">
        <v>26</v>
      </c>
      <c r="D234" s="133" t="s">
        <v>40</v>
      </c>
      <c r="E234" s="136" t="s">
        <v>379</v>
      </c>
      <c r="F234" s="474" t="s">
        <v>2172</v>
      </c>
      <c r="G234" s="135" t="str">
        <f>VLOOKUP(A234,Plano_V3!$A$26:$G$768,7,0)</f>
        <v>1. Concluído</v>
      </c>
      <c r="H234" s="135" t="s">
        <v>612</v>
      </c>
      <c r="I234" s="467"/>
      <c r="J234" s="142" t="s">
        <v>2304</v>
      </c>
      <c r="K234" s="355" t="s">
        <v>2448</v>
      </c>
      <c r="L234" s="364">
        <v>45726</v>
      </c>
      <c r="M234" s="364">
        <v>45735</v>
      </c>
      <c r="N234" s="355" t="s">
        <v>2443</v>
      </c>
      <c r="O234" s="142"/>
      <c r="P234" s="152" t="str">
        <f>IF(VLOOKUP(A234,'Aux - pivots1'!$A:$E,3,0)=0, "",VLOOKUP(A234,'Aux - pivots1'!$A:$E,3,0))</f>
        <v/>
      </c>
      <c r="Q234" s="152" t="str">
        <f>IF(VLOOKUP(A234,'Aux - pivots1'!$A:$E,4,0)=0, "",VLOOKUP(A234,'Aux - pivots1'!$A:$E,4,0))</f>
        <v/>
      </c>
      <c r="R234" s="152" t="str">
        <f>IF(VLOOKUP(A234,'Aux - pivots1'!$A:$E,5,0)=0, "",VLOOKUP(A234,'Aux - pivots1'!$A:$E,5,0))</f>
        <v/>
      </c>
      <c r="S234" s="198"/>
      <c r="T234" s="198"/>
      <c r="U234" s="152" t="s">
        <v>2313</v>
      </c>
      <c r="V234" s="320" t="s">
        <v>2390</v>
      </c>
      <c r="W234" s="320" t="s">
        <v>2455</v>
      </c>
      <c r="X234" s="368" t="s">
        <v>2359</v>
      </c>
      <c r="Y234" s="368" t="s">
        <v>2321</v>
      </c>
      <c r="Z234" s="319" t="s">
        <v>1855</v>
      </c>
    </row>
    <row r="235" spans="1:26" ht="16.399999999999999" hidden="1" customHeight="1">
      <c r="A235" s="29" t="str">
        <f t="shared" si="3"/>
        <v>lt003_entityentty_nm</v>
      </c>
      <c r="B235" s="141" t="s">
        <v>26</v>
      </c>
      <c r="C235" s="137" t="s">
        <v>26</v>
      </c>
      <c r="D235" s="133" t="s">
        <v>40</v>
      </c>
      <c r="E235" s="136" t="s">
        <v>335</v>
      </c>
      <c r="F235" s="474" t="s">
        <v>2191</v>
      </c>
      <c r="G235" s="135" t="str">
        <f>VLOOKUP(A235,Plano_V3!$A$26:$G$768,7,0)</f>
        <v>1. Concluído</v>
      </c>
      <c r="H235" s="135" t="s">
        <v>612</v>
      </c>
      <c r="I235" s="467"/>
      <c r="J235" s="355" t="s">
        <v>2239</v>
      </c>
      <c r="K235" s="355" t="s">
        <v>2448</v>
      </c>
      <c r="L235" s="364">
        <v>45726</v>
      </c>
      <c r="M235" s="364">
        <v>45735</v>
      </c>
      <c r="N235" s="355" t="s">
        <v>2443</v>
      </c>
      <c r="O235" s="355"/>
      <c r="P235" s="152" t="str">
        <f>IF(VLOOKUP(A235,'Aux - pivots1'!$A:$E,3,0)=0, "",VLOOKUP(A235,'Aux - pivots1'!$A:$E,3,0))</f>
        <v/>
      </c>
      <c r="Q235" s="152" t="str">
        <f>IF(VLOOKUP(A235,'Aux - pivots1'!$A:$E,4,0)=0, "",VLOOKUP(A235,'Aux - pivots1'!$A:$E,4,0))</f>
        <v/>
      </c>
      <c r="R235" s="152" t="str">
        <f>IF(VLOOKUP(A235,'Aux - pivots1'!$A:$E,5,0)=0, "",VLOOKUP(A235,'Aux - pivots1'!$A:$E,5,0))</f>
        <v/>
      </c>
      <c r="S235" s="198"/>
      <c r="T235" s="198"/>
      <c r="U235" s="152" t="s">
        <v>2313</v>
      </c>
      <c r="V235" s="320" t="s">
        <v>2385</v>
      </c>
      <c r="W235" s="320" t="s">
        <v>2455</v>
      </c>
      <c r="X235" s="368" t="s">
        <v>2359</v>
      </c>
      <c r="Y235" s="368" t="s">
        <v>2321</v>
      </c>
      <c r="Z235" s="319" t="s">
        <v>1855</v>
      </c>
    </row>
    <row r="236" spans="1:26" ht="16.399999999999999" hidden="1" customHeight="1">
      <c r="A236" s="29" t="str">
        <f t="shared" si="3"/>
        <v>modesg_out_sfics_taxon_europeiacbalcao</v>
      </c>
      <c r="B236" s="141" t="s">
        <v>26</v>
      </c>
      <c r="C236" s="137" t="s">
        <v>310</v>
      </c>
      <c r="D236" s="133" t="s">
        <v>40</v>
      </c>
      <c r="E236" s="134" t="s">
        <v>2079</v>
      </c>
      <c r="F236" s="470" t="s">
        <v>183</v>
      </c>
      <c r="G236" s="135" t="str">
        <f>VLOOKUP(A236,Plano_V3!$A$26:$G$768,7,0)</f>
        <v>1. Concluído</v>
      </c>
      <c r="H236" s="135" t="s">
        <v>612</v>
      </c>
      <c r="I236" s="467"/>
      <c r="J236" s="142" t="s">
        <v>2241</v>
      </c>
      <c r="K236" s="355" t="s">
        <v>2451</v>
      </c>
      <c r="L236" s="488">
        <v>45747</v>
      </c>
      <c r="M236" s="500">
        <v>45763</v>
      </c>
      <c r="N236" s="486"/>
      <c r="O236" s="142"/>
      <c r="P236" s="152" t="str">
        <f>IF(VLOOKUP(A227,'Aux - pivots1'!$A:$E,3,0)=0, "",VLOOKUP(A227,'Aux - pivots1'!$A:$E,3,0))</f>
        <v/>
      </c>
      <c r="Q236" s="152" t="str">
        <f>IF(VLOOKUP(A227,'Aux - pivots1'!$A:$E,4,0)=0, "",VLOOKUP(A227,'Aux - pivots1'!$A:$E,4,0))</f>
        <v/>
      </c>
      <c r="R236" s="152" t="str">
        <f>IF(VLOOKUP(A227,'Aux - pivots1'!$A:$E,5,0)=0, "",VLOOKUP(A227,'Aux - pivots1'!$A:$E,5,0))</f>
        <v/>
      </c>
      <c r="S236" s="198"/>
      <c r="T236" s="198"/>
      <c r="U236" s="198"/>
      <c r="V236" s="320"/>
      <c r="W236" s="320"/>
      <c r="X236" s="320"/>
      <c r="Y236" s="368" t="s">
        <v>2320</v>
      </c>
      <c r="Z236" s="319" t="s">
        <v>2308</v>
      </c>
    </row>
    <row r="237" spans="1:26" ht="16.399999999999999" hidden="1" customHeight="1">
      <c r="A237" s="29" t="str">
        <f t="shared" si="3"/>
        <v>modesg_out_sfics_taxon_europeiacempresa</v>
      </c>
      <c r="B237" s="141" t="s">
        <v>26</v>
      </c>
      <c r="C237" s="137" t="s">
        <v>310</v>
      </c>
      <c r="D237" s="133" t="s">
        <v>40</v>
      </c>
      <c r="E237" s="134" t="s">
        <v>2079</v>
      </c>
      <c r="F237" s="470" t="s">
        <v>184</v>
      </c>
      <c r="G237" s="135" t="str">
        <f>VLOOKUP(A237,Plano_V3!$A$26:$G$768,7,0)</f>
        <v>1. Concluído</v>
      </c>
      <c r="H237" s="135" t="s">
        <v>612</v>
      </c>
      <c r="I237" s="467"/>
      <c r="J237" s="142" t="s">
        <v>2241</v>
      </c>
      <c r="K237" s="355" t="s">
        <v>2451</v>
      </c>
      <c r="L237" s="488">
        <v>45747</v>
      </c>
      <c r="M237" s="500">
        <v>45763</v>
      </c>
      <c r="N237" s="486"/>
      <c r="O237" s="142"/>
      <c r="P237" s="152" t="str">
        <f>IF(VLOOKUP(A228,'Aux - pivots1'!$A:$E,3,0)=0, "",VLOOKUP(A228,'Aux - pivots1'!$A:$E,3,0))</f>
        <v/>
      </c>
      <c r="Q237" s="152" t="str">
        <f>IF(VLOOKUP(A228,'Aux - pivots1'!$A:$E,4,0)=0, "",VLOOKUP(A228,'Aux - pivots1'!$A:$E,4,0))</f>
        <v/>
      </c>
      <c r="R237" s="152" t="str">
        <f>IF(VLOOKUP(A228,'Aux - pivots1'!$A:$E,5,0)=0, "",VLOOKUP(A228,'Aux - pivots1'!$A:$E,5,0))</f>
        <v/>
      </c>
      <c r="S237" s="198"/>
      <c r="T237" s="198"/>
      <c r="U237" s="198"/>
      <c r="V237" s="320"/>
      <c r="W237" s="320"/>
      <c r="X237" s="320"/>
      <c r="Y237" s="368" t="s">
        <v>2320</v>
      </c>
      <c r="Z237" s="319" t="s">
        <v>2308</v>
      </c>
    </row>
    <row r="238" spans="1:26" ht="16.399999999999999" hidden="1" customHeight="1">
      <c r="A238" s="29" t="str">
        <f t="shared" si="3"/>
        <v>modesg_out_sfics_taxon_europeiacnumecta</v>
      </c>
      <c r="B238" s="141" t="s">
        <v>26</v>
      </c>
      <c r="C238" s="137" t="s">
        <v>310</v>
      </c>
      <c r="D238" s="133" t="s">
        <v>40</v>
      </c>
      <c r="E238" s="134" t="s">
        <v>2079</v>
      </c>
      <c r="F238" s="470" t="s">
        <v>189</v>
      </c>
      <c r="G238" s="135" t="str">
        <f>VLOOKUP(A238,Plano_V3!$A$26:$G$768,7,0)</f>
        <v>1. Concluído</v>
      </c>
      <c r="H238" s="135" t="s">
        <v>612</v>
      </c>
      <c r="I238" s="214"/>
      <c r="J238" s="142" t="s">
        <v>2241</v>
      </c>
      <c r="K238" s="355" t="s">
        <v>2451</v>
      </c>
      <c r="L238" s="488">
        <v>45747</v>
      </c>
      <c r="M238" s="500">
        <v>45763</v>
      </c>
      <c r="N238" s="486"/>
      <c r="O238" s="135"/>
      <c r="P238" s="152" t="str">
        <f>IF(VLOOKUP(A229,'Aux - pivots1'!$A:$E,3,0)=0, "",VLOOKUP(A229,'Aux - pivots1'!$A:$E,3,0))</f>
        <v/>
      </c>
      <c r="Q238" s="152" t="str">
        <f>IF(VLOOKUP(A229,'Aux - pivots1'!$A:$E,4,0)=0, "",VLOOKUP(A229,'Aux - pivots1'!$A:$E,4,0))</f>
        <v/>
      </c>
      <c r="R238" s="152" t="str">
        <f>IF(VLOOKUP(A229,'Aux - pivots1'!$A:$E,5,0)=0, "",VLOOKUP(A229,'Aux - pivots1'!$A:$E,5,0))</f>
        <v/>
      </c>
      <c r="S238" s="198"/>
      <c r="T238" s="198"/>
      <c r="U238" s="198"/>
      <c r="V238" s="320"/>
      <c r="W238" s="320"/>
      <c r="X238" s="320"/>
      <c r="Y238" s="368" t="s">
        <v>2320</v>
      </c>
      <c r="Z238" s="319" t="s">
        <v>2308</v>
      </c>
    </row>
    <row r="239" spans="1:26" ht="16.399999999999999" hidden="1" customHeight="1">
      <c r="A239" s="29" t="str">
        <f t="shared" si="3"/>
        <v>modesg_out_sfics_taxon_europeiacod_regra</v>
      </c>
      <c r="B239" s="141" t="s">
        <v>26</v>
      </c>
      <c r="C239" s="137" t="s">
        <v>310</v>
      </c>
      <c r="D239" s="133" t="s">
        <v>40</v>
      </c>
      <c r="E239" s="134" t="s">
        <v>2079</v>
      </c>
      <c r="F239" s="470" t="s">
        <v>191</v>
      </c>
      <c r="G239" s="135" t="str">
        <f>VLOOKUP(A239,Plano_V3!$A$26:$G$768,7,0)</f>
        <v>0. Cancelado</v>
      </c>
      <c r="H239" s="135" t="s">
        <v>611</v>
      </c>
      <c r="I239" s="467"/>
      <c r="J239" s="142" t="s">
        <v>2241</v>
      </c>
      <c r="K239" s="355"/>
      <c r="L239" s="488">
        <v>45747</v>
      </c>
      <c r="M239" s="500"/>
      <c r="N239" s="486"/>
      <c r="O239" s="142"/>
      <c r="P239" s="152" t="str">
        <f>IF(VLOOKUP(A230,'Aux - pivots1'!$A:$E,3,0)=0, "",VLOOKUP(A230,'Aux - pivots1'!$A:$E,3,0))</f>
        <v/>
      </c>
      <c r="Q239" s="152" t="str">
        <f>IF(VLOOKUP(A230,'Aux - pivots1'!$A:$E,4,0)=0, "",VLOOKUP(A230,'Aux - pivots1'!$A:$E,4,0))</f>
        <v/>
      </c>
      <c r="R239" s="152" t="str">
        <f>IF(VLOOKUP(A230,'Aux - pivots1'!$A:$E,5,0)=0, "",VLOOKUP(A230,'Aux - pivots1'!$A:$E,5,0))</f>
        <v/>
      </c>
      <c r="S239" s="198"/>
      <c r="T239" s="198"/>
      <c r="U239" s="198"/>
      <c r="V239" s="320"/>
      <c r="W239" s="320"/>
      <c r="X239" s="320"/>
      <c r="Y239" s="368" t="s">
        <v>2320</v>
      </c>
      <c r="Z239" s="319" t="s">
        <v>2308</v>
      </c>
    </row>
    <row r="240" spans="1:26" ht="16.399999999999999" hidden="1" customHeight="1">
      <c r="A240" s="29" t="str">
        <f t="shared" si="3"/>
        <v>modesg_out_sfics_taxon_europeianivel</v>
      </c>
      <c r="B240" s="141" t="s">
        <v>26</v>
      </c>
      <c r="C240" s="137" t="s">
        <v>310</v>
      </c>
      <c r="D240" s="133" t="s">
        <v>40</v>
      </c>
      <c r="E240" s="134" t="s">
        <v>2079</v>
      </c>
      <c r="F240" s="470" t="s">
        <v>2407</v>
      </c>
      <c r="G240" s="135" t="str">
        <f>VLOOKUP(A240,Plano_V3!$A$26:$G$768,7,0)</f>
        <v>0. Cancelado</v>
      </c>
      <c r="H240" s="135" t="s">
        <v>611</v>
      </c>
      <c r="I240" s="467"/>
      <c r="J240" s="142" t="s">
        <v>2241</v>
      </c>
      <c r="K240" s="483"/>
      <c r="L240" s="488"/>
      <c r="M240" s="488"/>
      <c r="N240" s="486"/>
      <c r="O240" s="142"/>
      <c r="P240" s="152" t="str">
        <f>IF(VLOOKUP(A240,'Aux - pivots1'!$A:$E,3,0)=0, "",VLOOKUP(A240,'Aux - pivots1'!$A:$E,3,0))</f>
        <v/>
      </c>
      <c r="Q240" s="152" t="str">
        <f>IF(VLOOKUP(A240,'Aux - pivots1'!$A:$E,4,0)=0, "",VLOOKUP(A240,'Aux - pivots1'!$A:$E,4,0))</f>
        <v/>
      </c>
      <c r="R240" s="152" t="str">
        <f>IF(VLOOKUP(A240,'Aux - pivots1'!$A:$E,5,0)=0, "",VLOOKUP(A240,'Aux - pivots1'!$A:$E,5,0))</f>
        <v/>
      </c>
      <c r="S240" s="198"/>
      <c r="T240" s="198"/>
      <c r="U240" s="198"/>
      <c r="V240" s="320"/>
      <c r="W240" s="320"/>
      <c r="X240" s="320"/>
      <c r="Y240" s="368" t="s">
        <v>2424</v>
      </c>
      <c r="Z240" s="319"/>
    </row>
    <row r="241" spans="1:26" ht="16.399999999999999" hidden="1" customHeight="1">
      <c r="A241" s="29" t="str">
        <f t="shared" si="3"/>
        <v>modesg_out_sfics_taxon_europeiamontante_pndrc</v>
      </c>
      <c r="B241" s="141" t="s">
        <v>26</v>
      </c>
      <c r="C241" s="137" t="s">
        <v>310</v>
      </c>
      <c r="D241" s="133" t="s">
        <v>40</v>
      </c>
      <c r="E241" s="134" t="s">
        <v>2079</v>
      </c>
      <c r="F241" s="470" t="s">
        <v>202</v>
      </c>
      <c r="G241" s="135" t="str">
        <f>VLOOKUP(A241,Plano_V3!$A$26:$G$768,7,0)</f>
        <v>1. Concluído</v>
      </c>
      <c r="H241" s="135" t="s">
        <v>1840</v>
      </c>
      <c r="I241" s="467"/>
      <c r="J241" s="142" t="s">
        <v>2241</v>
      </c>
      <c r="K241" s="355" t="s">
        <v>2451</v>
      </c>
      <c r="L241" s="488">
        <v>45747</v>
      </c>
      <c r="M241" s="500">
        <v>45763</v>
      </c>
      <c r="N241" s="486"/>
      <c r="O241" s="480"/>
      <c r="P241" s="152" t="str">
        <f>IF(VLOOKUP(A231,'Aux - pivots1'!$A:$E,3,0)=0, "",VLOOKUP(A231,'Aux - pivots1'!$A:$E,3,0))</f>
        <v/>
      </c>
      <c r="Q241" s="152" t="str">
        <f>IF(VLOOKUP(A231,'Aux - pivots1'!$A:$E,4,0)=0, "",VLOOKUP(A231,'Aux - pivots1'!$A:$E,4,0))</f>
        <v/>
      </c>
      <c r="R241" s="152" t="str">
        <f>IF(VLOOKUP(A231,'Aux - pivots1'!$A:$E,5,0)=0, "",VLOOKUP(A231,'Aux - pivots1'!$A:$E,5,0))</f>
        <v/>
      </c>
      <c r="S241" s="198"/>
      <c r="T241" s="198"/>
      <c r="U241" s="198"/>
      <c r="V241" s="320"/>
      <c r="W241" s="320"/>
      <c r="X241" s="320"/>
      <c r="Y241" s="368" t="s">
        <v>2320</v>
      </c>
      <c r="Z241" s="319" t="s">
        <v>2308</v>
      </c>
    </row>
    <row r="242" spans="1:26" ht="16.399999999999999" hidden="1" customHeight="1">
      <c r="A242" s="29" t="str">
        <f t="shared" si="3"/>
        <v>modesg_out_sfics_taxon_europeianome_ctgr_sfics</v>
      </c>
      <c r="B242" s="141" t="s">
        <v>26</v>
      </c>
      <c r="C242" s="137" t="s">
        <v>310</v>
      </c>
      <c r="D242" s="133" t="s">
        <v>40</v>
      </c>
      <c r="E242" s="134" t="s">
        <v>2079</v>
      </c>
      <c r="F242" s="470" t="s">
        <v>2047</v>
      </c>
      <c r="G242" s="135" t="str">
        <f>VLOOKUP(A242,Plano_V3!$A$26:$G$768,7,0)</f>
        <v>1. Concluído</v>
      </c>
      <c r="H242" s="135" t="s">
        <v>1840</v>
      </c>
      <c r="I242" s="467"/>
      <c r="J242" s="142" t="s">
        <v>2241</v>
      </c>
      <c r="K242" s="355" t="s">
        <v>2451</v>
      </c>
      <c r="L242" s="488">
        <v>45747</v>
      </c>
      <c r="M242" s="500">
        <v>45763</v>
      </c>
      <c r="N242" s="486"/>
      <c r="O242" s="142"/>
      <c r="P242" s="152" t="str">
        <f>IF(VLOOKUP(A232,'Aux - pivots1'!$A:$E,3,0)=0, "",VLOOKUP(A232,'Aux - pivots1'!$A:$E,3,0))</f>
        <v/>
      </c>
      <c r="Q242" s="152" t="str">
        <f>IF(VLOOKUP(A232,'Aux - pivots1'!$A:$E,4,0)=0, "",VLOOKUP(A232,'Aux - pivots1'!$A:$E,4,0))</f>
        <v/>
      </c>
      <c r="R242" s="152" t="str">
        <f>IF(VLOOKUP(A232,'Aux - pivots1'!$A:$E,5,0)=0, "",VLOOKUP(A232,'Aux - pivots1'!$A:$E,5,0))</f>
        <v/>
      </c>
      <c r="S242" s="198"/>
      <c r="T242" s="198"/>
      <c r="U242" s="198"/>
      <c r="V242" s="320"/>
      <c r="W242" s="320"/>
      <c r="X242" s="320"/>
      <c r="Y242" s="368" t="s">
        <v>2320</v>
      </c>
      <c r="Z242" s="319" t="s">
        <v>2308</v>
      </c>
    </row>
    <row r="243" spans="1:26" ht="16.399999999999999" hidden="1" customHeight="1">
      <c r="A243" s="29" t="str">
        <f t="shared" si="3"/>
        <v>modesg_out_sfics_taxon_europeianome_general_specific_purpose</v>
      </c>
      <c r="B243" s="141" t="s">
        <v>26</v>
      </c>
      <c r="C243" s="137" t="s">
        <v>310</v>
      </c>
      <c r="D243" s="133" t="s">
        <v>40</v>
      </c>
      <c r="E243" s="134" t="s">
        <v>2079</v>
      </c>
      <c r="F243" s="470" t="s">
        <v>204</v>
      </c>
      <c r="G243" s="135" t="str">
        <f>VLOOKUP(A243,Plano_V3!$A$26:$G$768,7,0)</f>
        <v>5. Em Correção</v>
      </c>
      <c r="H243" s="135" t="s">
        <v>1840</v>
      </c>
      <c r="I243" s="467"/>
      <c r="J243" s="142" t="s">
        <v>2241</v>
      </c>
      <c r="K243" s="355" t="s">
        <v>2451</v>
      </c>
      <c r="L243" s="488">
        <v>45747</v>
      </c>
      <c r="M243" s="500">
        <v>45763</v>
      </c>
      <c r="N243" s="486"/>
      <c r="O243" s="142"/>
      <c r="P243" s="152" t="str">
        <f>IF(VLOOKUP(A233,'Aux - pivots1'!$A:$E,3,0)=0, "",VLOOKUP(A233,'Aux - pivots1'!$A:$E,3,0))</f>
        <v/>
      </c>
      <c r="Q243" s="152" t="str">
        <f>IF(VLOOKUP(A233,'Aux - pivots1'!$A:$E,4,0)=0, "",VLOOKUP(A233,'Aux - pivots1'!$A:$E,4,0))</f>
        <v/>
      </c>
      <c r="R243" s="152" t="str">
        <f>IF(VLOOKUP(A233,'Aux - pivots1'!$A:$E,5,0)=0, "",VLOOKUP(A233,'Aux - pivots1'!$A:$E,5,0))</f>
        <v/>
      </c>
      <c r="S243" s="198"/>
      <c r="T243" s="198"/>
      <c r="U243" s="198"/>
      <c r="V243" s="320"/>
      <c r="W243" s="320"/>
      <c r="X243" s="320"/>
      <c r="Y243" s="368" t="s">
        <v>2320</v>
      </c>
      <c r="Z243" s="319" t="s">
        <v>2308</v>
      </c>
    </row>
    <row r="244" spans="1:26" ht="16.399999999999999" hidden="1" customHeight="1">
      <c r="A244" s="29" t="str">
        <f t="shared" si="3"/>
        <v>modesg_out_sfics_taxon_europeianome_purpose_esg_alinh_tax</v>
      </c>
      <c r="B244" s="141" t="s">
        <v>26</v>
      </c>
      <c r="C244" s="137" t="s">
        <v>310</v>
      </c>
      <c r="D244" s="133" t="s">
        <v>40</v>
      </c>
      <c r="E244" s="134" t="s">
        <v>2079</v>
      </c>
      <c r="F244" s="470" t="s">
        <v>2058</v>
      </c>
      <c r="G244" s="135" t="str">
        <f>VLOOKUP(A244,Plano_V3!$A$26:$G$768,7,0)</f>
        <v>5. Em Correção</v>
      </c>
      <c r="H244" s="135" t="s">
        <v>1840</v>
      </c>
      <c r="I244" s="467"/>
      <c r="J244" s="142" t="s">
        <v>2241</v>
      </c>
      <c r="K244" s="355" t="s">
        <v>2451</v>
      </c>
      <c r="L244" s="488">
        <v>45747</v>
      </c>
      <c r="M244" s="500">
        <v>45763</v>
      </c>
      <c r="N244" s="486"/>
      <c r="O244" s="142"/>
      <c r="P244" s="152" t="str">
        <f>IF(VLOOKUP(A234,'Aux - pivots1'!$A:$E,3,0)=0, "",VLOOKUP(A234,'Aux - pivots1'!$A:$E,3,0))</f>
        <v/>
      </c>
      <c r="Q244" s="152" t="str">
        <f>IF(VLOOKUP(A234,'Aux - pivots1'!$A:$E,4,0)=0, "",VLOOKUP(A234,'Aux - pivots1'!$A:$E,4,0))</f>
        <v/>
      </c>
      <c r="R244" s="152" t="str">
        <f>IF(VLOOKUP(A234,'Aux - pivots1'!$A:$E,5,0)=0, "",VLOOKUP(A234,'Aux - pivots1'!$A:$E,5,0))</f>
        <v/>
      </c>
      <c r="S244" s="198"/>
      <c r="T244" s="198"/>
      <c r="U244" s="198"/>
      <c r="V244" s="368"/>
      <c r="W244" s="368"/>
      <c r="X244" s="368"/>
      <c r="Y244" s="368" t="s">
        <v>2320</v>
      </c>
      <c r="Z244" s="319" t="s">
        <v>2308</v>
      </c>
    </row>
    <row r="245" spans="1:26" ht="16.399999999999999" hidden="1" customHeight="1">
      <c r="A245" s="29" t="str">
        <f t="shared" si="3"/>
        <v>modesg_out_sfics_taxon_europeianome_purpose_esg_nalinh_tax</v>
      </c>
      <c r="B245" s="141" t="s">
        <v>26</v>
      </c>
      <c r="C245" s="137" t="s">
        <v>310</v>
      </c>
      <c r="D245" s="133" t="s">
        <v>40</v>
      </c>
      <c r="E245" s="134" t="s">
        <v>2079</v>
      </c>
      <c r="F245" s="470" t="s">
        <v>2059</v>
      </c>
      <c r="G245" s="135" t="str">
        <f>VLOOKUP(A245,Plano_V3!$A$26:$G$768,7,0)</f>
        <v>5. Em Correção</v>
      </c>
      <c r="H245" s="135" t="s">
        <v>1840</v>
      </c>
      <c r="I245" s="467"/>
      <c r="J245" s="142" t="s">
        <v>2241</v>
      </c>
      <c r="K245" s="355" t="s">
        <v>2451</v>
      </c>
      <c r="L245" s="488">
        <v>45747</v>
      </c>
      <c r="M245" s="500">
        <v>45763</v>
      </c>
      <c r="N245" s="486"/>
      <c r="O245" s="142"/>
      <c r="P245" s="152" t="str">
        <f>IF(VLOOKUP(A235,'Aux - pivots1'!$A:$E,3,0)=0, "",VLOOKUP(A235,'Aux - pivots1'!$A:$E,3,0))</f>
        <v/>
      </c>
      <c r="Q245" s="152" t="str">
        <f>IF(VLOOKUP(A235,'Aux - pivots1'!$A:$E,4,0)=0, "",VLOOKUP(A235,'Aux - pivots1'!$A:$E,4,0))</f>
        <v/>
      </c>
      <c r="R245" s="152" t="str">
        <f>IF(VLOOKUP(A235,'Aux - pivots1'!$A:$E,5,0)=0, "",VLOOKUP(A235,'Aux - pivots1'!$A:$E,5,0))</f>
        <v/>
      </c>
      <c r="S245" s="198"/>
      <c r="T245" s="198"/>
      <c r="U245" s="198"/>
      <c r="V245" s="368"/>
      <c r="W245" s="368"/>
      <c r="X245" s="368"/>
      <c r="Y245" s="368" t="s">
        <v>2322</v>
      </c>
      <c r="Z245" s="319" t="s">
        <v>2308</v>
      </c>
    </row>
    <row r="246" spans="1:26" ht="16.399999999999999" hidden="1" customHeight="1">
      <c r="A246" s="29" t="str">
        <f t="shared" si="3"/>
        <v>modesg_out_sfics_taxon_europeianome_specific_eligible</v>
      </c>
      <c r="B246" s="141" t="s">
        <v>26</v>
      </c>
      <c r="C246" s="137" t="s">
        <v>310</v>
      </c>
      <c r="D246" s="133" t="s">
        <v>40</v>
      </c>
      <c r="E246" s="134" t="s">
        <v>2079</v>
      </c>
      <c r="F246" s="470" t="s">
        <v>206</v>
      </c>
      <c r="G246" s="135" t="str">
        <f>VLOOKUP(A246,Plano_V3!$A$26:$G$768,7,0)</f>
        <v>5. Em Correção</v>
      </c>
      <c r="H246" s="135" t="s">
        <v>1840</v>
      </c>
      <c r="I246" s="467"/>
      <c r="J246" s="142" t="s">
        <v>2241</v>
      </c>
      <c r="K246" s="355" t="s">
        <v>2451</v>
      </c>
      <c r="L246" s="488">
        <v>45747</v>
      </c>
      <c r="M246" s="500">
        <v>45763</v>
      </c>
      <c r="N246" s="486"/>
      <c r="O246" s="142"/>
      <c r="P246" s="152" t="str">
        <f>IF(VLOOKUP(A235,'Aux - pivots1'!$A:$E,3,0)=0, "",VLOOKUP(A235,'Aux - pivots1'!$A:$E,3,0))</f>
        <v/>
      </c>
      <c r="Q246" s="152" t="str">
        <f>IF(VLOOKUP(A235,'Aux - pivots1'!$A:$E,4,0)=0, "",VLOOKUP(A235,'Aux - pivots1'!$A:$E,4,0))</f>
        <v/>
      </c>
      <c r="R246" s="152" t="str">
        <f>IF(VLOOKUP(A235,'Aux - pivots1'!$A:$E,5,0)=0, "",VLOOKUP(A235,'Aux - pivots1'!$A:$E,5,0))</f>
        <v/>
      </c>
      <c r="S246" s="198"/>
      <c r="T246" s="198"/>
      <c r="U246" s="198"/>
      <c r="V246" s="320"/>
      <c r="W246" s="320"/>
      <c r="X246" s="320"/>
      <c r="Y246" s="368" t="s">
        <v>2320</v>
      </c>
      <c r="Z246" s="319" t="s">
        <v>2308</v>
      </c>
    </row>
    <row r="247" spans="1:26" ht="16.399999999999999" hidden="1" customHeight="1">
      <c r="A247" s="29" t="str">
        <f t="shared" si="3"/>
        <v>modesg_out_sfics_taxon_europeianome_specific_sustainable</v>
      </c>
      <c r="B247" s="141" t="s">
        <v>26</v>
      </c>
      <c r="C247" s="137" t="s">
        <v>310</v>
      </c>
      <c r="D247" s="133" t="s">
        <v>40</v>
      </c>
      <c r="E247" s="134" t="s">
        <v>2079</v>
      </c>
      <c r="F247" s="470" t="s">
        <v>207</v>
      </c>
      <c r="G247" s="135" t="str">
        <f>VLOOKUP(A247,Plano_V3!$A$26:$G$768,7,0)</f>
        <v>5. Em Correção</v>
      </c>
      <c r="H247" s="135" t="s">
        <v>1840</v>
      </c>
      <c r="I247" s="467"/>
      <c r="J247" s="142" t="s">
        <v>2241</v>
      </c>
      <c r="K247" s="355" t="s">
        <v>2451</v>
      </c>
      <c r="L247" s="488">
        <v>45747</v>
      </c>
      <c r="M247" s="500">
        <v>45763</v>
      </c>
      <c r="N247" s="486"/>
      <c r="O247" s="142"/>
      <c r="P247" s="152" t="str">
        <f>IF(VLOOKUP(A236,'Aux - pivots1'!$A:$E,3,0)=0, "",VLOOKUP(A236,'Aux - pivots1'!$A:$E,3,0))</f>
        <v/>
      </c>
      <c r="Q247" s="152" t="str">
        <f>IF(VLOOKUP(A236,'Aux - pivots1'!$A:$E,4,0)=0, "",VLOOKUP(A236,'Aux - pivots1'!$A:$E,4,0))</f>
        <v/>
      </c>
      <c r="R247" s="152" t="str">
        <f>IF(VLOOKUP(A236,'Aux - pivots1'!$A:$E,5,0)=0, "",VLOOKUP(A236,'Aux - pivots1'!$A:$E,5,0))</f>
        <v/>
      </c>
      <c r="S247" s="198"/>
      <c r="T247" s="198"/>
      <c r="U247" s="198"/>
      <c r="V247" s="320"/>
      <c r="W247" s="320"/>
      <c r="X247" s="320"/>
      <c r="Y247" s="368" t="s">
        <v>2320</v>
      </c>
      <c r="Z247" s="319" t="s">
        <v>2308</v>
      </c>
    </row>
    <row r="248" spans="1:26" ht="16.399999999999999" hidden="1" customHeight="1">
      <c r="A248" s="29" t="str">
        <f t="shared" si="3"/>
        <v>modesg_out_sfics_taxon_europeiasstnbl_indctr</v>
      </c>
      <c r="B248" s="141" t="s">
        <v>26</v>
      </c>
      <c r="C248" s="137" t="s">
        <v>310</v>
      </c>
      <c r="D248" s="133" t="s">
        <v>40</v>
      </c>
      <c r="E248" s="134" t="s">
        <v>2079</v>
      </c>
      <c r="F248" s="470" t="s">
        <v>418</v>
      </c>
      <c r="G248" s="135" t="str">
        <f>VLOOKUP(A248,Plano_V3!$A$26:$G$768,7,0)</f>
        <v>1. Concluído</v>
      </c>
      <c r="H248" s="135" t="s">
        <v>1840</v>
      </c>
      <c r="I248" s="467"/>
      <c r="J248" s="355" t="s">
        <v>2422</v>
      </c>
      <c r="K248" s="355" t="s">
        <v>2451</v>
      </c>
      <c r="L248" s="488">
        <v>45747</v>
      </c>
      <c r="M248" s="500">
        <v>45763</v>
      </c>
      <c r="N248" s="486"/>
      <c r="O248" s="142"/>
      <c r="P248" s="152" t="str">
        <f>IF(VLOOKUP(A248,'Aux - pivots1'!$A:$E,3,0)=0, "",VLOOKUP(A248,'Aux - pivots1'!$A:$E,3,0))</f>
        <v/>
      </c>
      <c r="Q248" s="152" t="str">
        <f>IF(VLOOKUP(A248,'Aux - pivots1'!$A:$E,4,0)=0, "",VLOOKUP(A248,'Aux - pivots1'!$A:$E,4,0))</f>
        <v/>
      </c>
      <c r="R248" s="152" t="str">
        <f>IF(VLOOKUP(A248,'Aux - pivots1'!$A:$E,5,0)=0, "",VLOOKUP(A248,'Aux - pivots1'!$A:$E,5,0))</f>
        <v/>
      </c>
      <c r="S248" s="198"/>
      <c r="T248" s="198"/>
      <c r="U248" s="198"/>
      <c r="V248" s="320"/>
      <c r="W248" s="320"/>
      <c r="X248" s="320"/>
      <c r="Y248" s="368" t="s">
        <v>2424</v>
      </c>
      <c r="Z248" s="319"/>
    </row>
    <row r="249" spans="1:26" ht="16.399999999999999" hidden="1" customHeight="1">
      <c r="A249" s="29" t="str">
        <f t="shared" si="3"/>
        <v>modesg_out_sfics_taxon_europeiaref_date</v>
      </c>
      <c r="B249" s="141" t="s">
        <v>26</v>
      </c>
      <c r="C249" s="137" t="s">
        <v>310</v>
      </c>
      <c r="D249" s="133" t="s">
        <v>40</v>
      </c>
      <c r="E249" s="134" t="s">
        <v>2079</v>
      </c>
      <c r="F249" s="470" t="s">
        <v>208</v>
      </c>
      <c r="G249" s="135" t="str">
        <f>VLOOKUP(A249,Plano_V3!$A$26:$G$768,7,0)</f>
        <v>1. Concluído</v>
      </c>
      <c r="H249" s="135" t="s">
        <v>612</v>
      </c>
      <c r="I249" s="467"/>
      <c r="J249" s="142" t="s">
        <v>2241</v>
      </c>
      <c r="K249" s="355" t="s">
        <v>2451</v>
      </c>
      <c r="L249" s="488">
        <v>45747</v>
      </c>
      <c r="M249" s="500">
        <v>45763</v>
      </c>
      <c r="N249" s="486"/>
      <c r="O249" s="142"/>
      <c r="P249" s="152" t="str">
        <f>IF(VLOOKUP(A237,'Aux - pivots1'!$A:$E,3,0)=0, "",VLOOKUP(A237,'Aux - pivots1'!$A:$E,3,0))</f>
        <v/>
      </c>
      <c r="Q249" s="152" t="str">
        <f>IF(VLOOKUP(A237,'Aux - pivots1'!$A:$E,4,0)=0, "",VLOOKUP(A237,'Aux - pivots1'!$A:$E,4,0))</f>
        <v/>
      </c>
      <c r="R249" s="152" t="str">
        <f>IF(VLOOKUP(A237,'Aux - pivots1'!$A:$E,5,0)=0, "",VLOOKUP(A237,'Aux - pivots1'!$A:$E,5,0))</f>
        <v/>
      </c>
      <c r="S249" s="198"/>
      <c r="T249" s="198"/>
      <c r="U249" s="198"/>
      <c r="V249" s="320"/>
      <c r="W249" s="320"/>
      <c r="X249" s="320"/>
      <c r="Y249" s="368" t="s">
        <v>2320</v>
      </c>
      <c r="Z249" s="319" t="s">
        <v>2308</v>
      </c>
    </row>
    <row r="250" spans="1:26" ht="16.399999999999999" hidden="1" customHeight="1">
      <c r="A250" s="29" t="str">
        <f t="shared" si="3"/>
        <v>modesg_out_sfics_taxon_europeiazdeposit</v>
      </c>
      <c r="B250" s="141" t="s">
        <v>26</v>
      </c>
      <c r="C250" s="137" t="s">
        <v>310</v>
      </c>
      <c r="D250" s="133" t="s">
        <v>40</v>
      </c>
      <c r="E250" s="134" t="s">
        <v>2079</v>
      </c>
      <c r="F250" s="470" t="s">
        <v>210</v>
      </c>
      <c r="G250" s="135" t="str">
        <f>VLOOKUP(A250,Plano_V3!$A$26:$G$768,7,0)</f>
        <v>1. Concluído</v>
      </c>
      <c r="H250" s="135" t="s">
        <v>612</v>
      </c>
      <c r="I250" s="467"/>
      <c r="J250" s="142" t="s">
        <v>2241</v>
      </c>
      <c r="K250" s="355" t="s">
        <v>2451</v>
      </c>
      <c r="L250" s="488">
        <v>45747</v>
      </c>
      <c r="M250" s="500">
        <v>45763</v>
      </c>
      <c r="N250" s="486"/>
      <c r="O250" s="142"/>
      <c r="P250" s="152" t="str">
        <f>IF(VLOOKUP(A239,'Aux - pivots1'!$A:$E,3,0)=0, "",VLOOKUP(A239,'Aux - pivots1'!$A:$E,3,0))</f>
        <v/>
      </c>
      <c r="Q250" s="152" t="str">
        <f>IF(VLOOKUP(A239,'Aux - pivots1'!$A:$E,4,0)=0, "",VLOOKUP(A239,'Aux - pivots1'!$A:$E,4,0))</f>
        <v/>
      </c>
      <c r="R250" s="152" t="str">
        <f>IF(VLOOKUP(A239,'Aux - pivots1'!$A:$E,5,0)=0, "",VLOOKUP(A239,'Aux - pivots1'!$A:$E,5,0))</f>
        <v/>
      </c>
      <c r="S250" s="198"/>
      <c r="T250" s="198"/>
      <c r="U250" s="198"/>
      <c r="V250" s="320"/>
      <c r="W250" s="320"/>
      <c r="X250" s="320"/>
      <c r="Y250" s="368" t="s">
        <v>2320</v>
      </c>
      <c r="Z250" s="319" t="s">
        <v>2308</v>
      </c>
    </row>
    <row r="251" spans="1:26" ht="16.399999999999999" hidden="1" customHeight="1">
      <c r="A251" s="29" t="str">
        <f t="shared" si="3"/>
        <v>ENERGY_CERTIFICATE_EST_INPUTn.a.</v>
      </c>
      <c r="B251" s="141" t="s">
        <v>26</v>
      </c>
      <c r="C251" s="137" t="s">
        <v>34</v>
      </c>
      <c r="D251" s="133" t="s">
        <v>36</v>
      </c>
      <c r="E251" s="134" t="s">
        <v>37</v>
      </c>
      <c r="F251" s="470" t="s">
        <v>38</v>
      </c>
      <c r="G251" s="135" t="str">
        <f>VLOOKUP(A251,Plano_V3!$A$26:$G$768,7,0)</f>
        <v>1. Concluído</v>
      </c>
      <c r="H251" s="135" t="s">
        <v>612</v>
      </c>
      <c r="I251" s="467" t="s">
        <v>2414</v>
      </c>
      <c r="J251" s="355"/>
      <c r="K251" s="355"/>
      <c r="L251" s="364"/>
      <c r="M251" s="364"/>
      <c r="N251" s="355"/>
      <c r="O251" s="355"/>
      <c r="P251" s="343" t="str">
        <f>IF(VLOOKUP(A251,'Aux - pivots1'!$A:$E,3,0)=0, "",VLOOKUP(A251,'Aux - pivots1'!$A:$E,3,0))</f>
        <v/>
      </c>
      <c r="Q251" s="343" t="str">
        <f>IF(VLOOKUP(A251,'Aux - pivots1'!$A:$E,4,0)=0, "",VLOOKUP(A251,'Aux - pivots1'!$A:$E,4,0))</f>
        <v/>
      </c>
      <c r="R251" s="152" t="str">
        <f>IF(VLOOKUP(A251,'Aux - pivots1'!$A:$E,5,0)=0, "",VLOOKUP(A251,'Aux - pivots1'!$A:$E,5,0))</f>
        <v/>
      </c>
      <c r="S251" s="198"/>
      <c r="T251" s="198"/>
      <c r="U251" s="198"/>
      <c r="V251" s="320"/>
      <c r="W251" s="320"/>
      <c r="X251" s="320"/>
      <c r="Y251" s="368" t="s">
        <v>2320</v>
      </c>
      <c r="Z251" s="152"/>
    </row>
    <row r="252" spans="1:26" ht="16.399999999999999" hidden="1" customHeight="1">
      <c r="A252" s="29" t="str">
        <f t="shared" si="3"/>
        <v>ENERGY_CERTIFICATE_EST_INPUTDATA_PROVIDER</v>
      </c>
      <c r="B252" s="141" t="s">
        <v>26</v>
      </c>
      <c r="C252" s="137" t="s">
        <v>34</v>
      </c>
      <c r="D252" s="133" t="s">
        <v>40</v>
      </c>
      <c r="E252" s="134" t="s">
        <v>37</v>
      </c>
      <c r="F252" s="471" t="s">
        <v>48</v>
      </c>
      <c r="G252" s="135" t="str">
        <f>VLOOKUP(A252,Plano_V3!$A$26:$G$768,7,0)</f>
        <v>0. Cancelado</v>
      </c>
      <c r="H252" s="135" t="s">
        <v>611</v>
      </c>
      <c r="I252" s="467" t="s">
        <v>2414</v>
      </c>
      <c r="J252" s="355"/>
      <c r="K252" s="355"/>
      <c r="L252" s="364"/>
      <c r="M252" s="364"/>
      <c r="N252" s="355"/>
      <c r="O252" s="355"/>
      <c r="P252" s="343" t="str">
        <f>IF(VLOOKUP(A252,'Aux - pivots1'!$A:$E,3,0)=0, "",VLOOKUP(A252,'Aux - pivots1'!$A:$E,3,0))</f>
        <v/>
      </c>
      <c r="Q252" s="343" t="str">
        <f>IF(VLOOKUP(A252,'Aux - pivots1'!$A:$E,4,0)=0, "",VLOOKUP(A252,'Aux - pivots1'!$A:$E,4,0))</f>
        <v/>
      </c>
      <c r="R252" s="152" t="str">
        <f>IF(VLOOKUP(A252,'Aux - pivots1'!$A:$E,5,0)=0, "",VLOOKUP(A252,'Aux - pivots1'!$A:$E,5,0))</f>
        <v/>
      </c>
      <c r="S252" s="198"/>
      <c r="T252" s="198"/>
      <c r="U252" s="198"/>
      <c r="V252" s="368"/>
      <c r="W252" s="368"/>
      <c r="X252" s="368"/>
      <c r="Y252" s="368" t="s">
        <v>2320</v>
      </c>
      <c r="Z252" s="152"/>
    </row>
    <row r="253" spans="1:26" ht="16.399999999999999" hidden="1" customHeight="1">
      <c r="A253" s="29" t="str">
        <f t="shared" si="3"/>
        <v>ENERGY_CERTIFICATE_EST_INPUTACTUAL_VALUE_IND</v>
      </c>
      <c r="B253" s="141" t="s">
        <v>26</v>
      </c>
      <c r="C253" s="137" t="s">
        <v>34</v>
      </c>
      <c r="D253" s="133" t="s">
        <v>40</v>
      </c>
      <c r="E253" s="134" t="s">
        <v>37</v>
      </c>
      <c r="F253" s="471" t="s">
        <v>49</v>
      </c>
      <c r="G253" s="135" t="str">
        <f>VLOOKUP(A253,Plano_V3!$A$26:$G$768,7,0)</f>
        <v>0. Cancelado</v>
      </c>
      <c r="H253" s="135" t="s">
        <v>611</v>
      </c>
      <c r="I253" s="467" t="s">
        <v>2414</v>
      </c>
      <c r="J253" s="355"/>
      <c r="K253" s="355"/>
      <c r="L253" s="364"/>
      <c r="M253" s="364"/>
      <c r="N253" s="355"/>
      <c r="O253" s="355"/>
      <c r="P253" s="343" t="str">
        <f>IF(VLOOKUP(A253,'Aux - pivots1'!$A:$E,3,0)=0, "",VLOOKUP(A253,'Aux - pivots1'!$A:$E,3,0))</f>
        <v/>
      </c>
      <c r="Q253" s="343" t="str">
        <f>IF(VLOOKUP(A253,'Aux - pivots1'!$A:$E,4,0)=0, "",VLOOKUP(A253,'Aux - pivots1'!$A:$E,4,0))</f>
        <v/>
      </c>
      <c r="R253" s="152" t="str">
        <f>IF(VLOOKUP(A253,'Aux - pivots1'!$A:$E,5,0)=0, "",VLOOKUP(A253,'Aux - pivots1'!$A:$E,5,0))</f>
        <v/>
      </c>
      <c r="S253" s="198"/>
      <c r="T253" s="198"/>
      <c r="U253" s="198"/>
      <c r="V253" s="368"/>
      <c r="W253" s="368"/>
      <c r="X253" s="368"/>
      <c r="Y253" s="368" t="s">
        <v>2320</v>
      </c>
      <c r="Z253" s="152"/>
    </row>
    <row r="254" spans="1:26" ht="16.399999999999999" hidden="1" customHeight="1">
      <c r="A254" s="29" t="str">
        <f t="shared" si="3"/>
        <v>PROCESSn.a.</v>
      </c>
      <c r="B254" s="141" t="s">
        <v>26</v>
      </c>
      <c r="C254" s="137" t="s">
        <v>54</v>
      </c>
      <c r="D254" s="133" t="s">
        <v>36</v>
      </c>
      <c r="E254" s="134" t="s">
        <v>55</v>
      </c>
      <c r="F254" s="470" t="s">
        <v>38</v>
      </c>
      <c r="G254" s="135" t="str">
        <f>VLOOKUP(A254,Plano_V3!$A$26:$G$768,7,0)</f>
        <v>1. Concluído</v>
      </c>
      <c r="H254" s="135" t="s">
        <v>612</v>
      </c>
      <c r="I254" s="467"/>
      <c r="J254" s="142"/>
      <c r="K254" s="142"/>
      <c r="L254" s="153"/>
      <c r="M254" s="153"/>
      <c r="N254" s="142"/>
      <c r="O254" s="142"/>
      <c r="P254" s="152" t="str">
        <f>IF(VLOOKUP(A254,'Aux - pivots1'!$A:$E,3,0)=0, "",VLOOKUP(A254,'Aux - pivots1'!$A:$E,3,0))</f>
        <v/>
      </c>
      <c r="Q254" s="152" t="str">
        <f>IF(VLOOKUP(A254,'Aux - pivots1'!$A:$E,4,0)=0, "",VLOOKUP(A254,'Aux - pivots1'!$A:$E,4,0))</f>
        <v/>
      </c>
      <c r="R254" s="152" t="str">
        <f>IF(VLOOKUP(A254,'Aux - pivots1'!$A:$E,5,0)=0, "",VLOOKUP(A254,'Aux - pivots1'!$A:$E,5,0))</f>
        <v/>
      </c>
      <c r="S254" s="198"/>
      <c r="T254" s="198"/>
      <c r="U254" s="198"/>
      <c r="V254" s="320"/>
      <c r="W254" s="320"/>
      <c r="X254" s="320"/>
      <c r="Y254" s="368" t="s">
        <v>2320</v>
      </c>
      <c r="Z254" s="152"/>
    </row>
    <row r="255" spans="1:26" ht="16.399999999999999" hidden="1" customHeight="1">
      <c r="A255" s="29" t="str">
        <f t="shared" si="3"/>
        <v>PROCESSPROCESS_BANK_ID</v>
      </c>
      <c r="B255" s="141" t="s">
        <v>26</v>
      </c>
      <c r="C255" s="137" t="s">
        <v>54</v>
      </c>
      <c r="D255" s="133" t="s">
        <v>40</v>
      </c>
      <c r="E255" s="134" t="s">
        <v>55</v>
      </c>
      <c r="F255" s="470" t="s">
        <v>57</v>
      </c>
      <c r="G255" s="135" t="str">
        <f>VLOOKUP(A255,Plano_V3!$A$26:$G$768,7,0)</f>
        <v>1. Concluído</v>
      </c>
      <c r="H255" s="135" t="s">
        <v>612</v>
      </c>
      <c r="I255" s="467"/>
      <c r="J255" s="153"/>
      <c r="K255" s="153"/>
      <c r="L255" s="153"/>
      <c r="M255" s="153"/>
      <c r="N255" s="487"/>
      <c r="O255" s="153"/>
      <c r="P255" s="152" t="str">
        <f>IF(VLOOKUP(A255,'Aux - pivots1'!$A:$E,3,0)=0, "",VLOOKUP(A255,'Aux - pivots1'!$A:$E,3,0))</f>
        <v/>
      </c>
      <c r="Q255" s="152" t="str">
        <f>IF(VLOOKUP(A255,'Aux - pivots1'!$A:$E,4,0)=0, "",VLOOKUP(A255,'Aux - pivots1'!$A:$E,4,0))</f>
        <v/>
      </c>
      <c r="R255" s="152" t="str">
        <f>IF(VLOOKUP(A255,'Aux - pivots1'!$A:$E,5,0)=0, "",VLOOKUP(A255,'Aux - pivots1'!$A:$E,5,0))</f>
        <v/>
      </c>
      <c r="S255" s="198"/>
      <c r="T255" s="198"/>
      <c r="U255" s="198"/>
      <c r="V255" s="320"/>
      <c r="W255" s="320"/>
      <c r="X255" s="320"/>
      <c r="Y255" s="368" t="s">
        <v>2320</v>
      </c>
      <c r="Z255" s="152"/>
    </row>
    <row r="256" spans="1:26" ht="16.399999999999999" hidden="1" customHeight="1">
      <c r="A256" s="29" t="str">
        <f t="shared" si="3"/>
        <v>PROCESSPROCESS_BRANCH_CODE</v>
      </c>
      <c r="B256" s="141" t="s">
        <v>26</v>
      </c>
      <c r="C256" s="137" t="s">
        <v>54</v>
      </c>
      <c r="D256" s="133" t="s">
        <v>40</v>
      </c>
      <c r="E256" s="134" t="s">
        <v>55</v>
      </c>
      <c r="F256" s="470" t="s">
        <v>58</v>
      </c>
      <c r="G256" s="135" t="str">
        <f>VLOOKUP(A256,Plano_V3!$A$26:$G$768,7,0)</f>
        <v>1. Concluído</v>
      </c>
      <c r="H256" s="135" t="s">
        <v>612</v>
      </c>
      <c r="I256" s="467"/>
      <c r="J256" s="153"/>
      <c r="K256" s="153"/>
      <c r="L256" s="153"/>
      <c r="M256" s="153"/>
      <c r="N256" s="487"/>
      <c r="O256" s="153"/>
      <c r="P256" s="152" t="str">
        <f>IF(VLOOKUP(A256,'Aux - pivots1'!$A:$E,3,0)=0, "",VLOOKUP(A256,'Aux - pivots1'!$A:$E,3,0))</f>
        <v/>
      </c>
      <c r="Q256" s="152" t="str">
        <f>IF(VLOOKUP(A256,'Aux - pivots1'!$A:$E,4,0)=0, "",VLOOKUP(A256,'Aux - pivots1'!$A:$E,4,0))</f>
        <v/>
      </c>
      <c r="R256" s="152" t="str">
        <f>IF(VLOOKUP(A256,'Aux - pivots1'!$A:$E,5,0)=0, "",VLOOKUP(A256,'Aux - pivots1'!$A:$E,5,0))</f>
        <v/>
      </c>
      <c r="S256" s="198"/>
      <c r="T256" s="198"/>
      <c r="U256" s="198"/>
      <c r="V256" s="320"/>
      <c r="W256" s="320"/>
      <c r="X256" s="320"/>
      <c r="Y256" s="368" t="s">
        <v>2320</v>
      </c>
      <c r="Z256" s="152"/>
    </row>
    <row r="257" spans="1:26" ht="16.399999999999999" hidden="1" customHeight="1">
      <c r="A257" s="29" t="str">
        <f t="shared" si="3"/>
        <v>PROCESSPROCESS_ACCOUNT_ID</v>
      </c>
      <c r="B257" s="141" t="s">
        <v>26</v>
      </c>
      <c r="C257" s="137" t="s">
        <v>54</v>
      </c>
      <c r="D257" s="133" t="s">
        <v>40</v>
      </c>
      <c r="E257" s="134" t="s">
        <v>55</v>
      </c>
      <c r="F257" s="470" t="s">
        <v>59</v>
      </c>
      <c r="G257" s="135" t="str">
        <f>VLOOKUP(A257,Plano_V3!$A$26:$G$768,7,0)</f>
        <v>1. Concluído</v>
      </c>
      <c r="H257" s="135" t="s">
        <v>612</v>
      </c>
      <c r="I257" s="467"/>
      <c r="J257" s="153"/>
      <c r="K257" s="153"/>
      <c r="L257" s="153"/>
      <c r="M257" s="153"/>
      <c r="N257" s="487"/>
      <c r="O257" s="153"/>
      <c r="P257" s="152" t="str">
        <f>IF(VLOOKUP(A257,'Aux - pivots1'!$A:$E,3,0)=0, "",VLOOKUP(A257,'Aux - pivots1'!$A:$E,3,0))</f>
        <v/>
      </c>
      <c r="Q257" s="152" t="str">
        <f>IF(VLOOKUP(A257,'Aux - pivots1'!$A:$E,4,0)=0, "",VLOOKUP(A257,'Aux - pivots1'!$A:$E,4,0))</f>
        <v/>
      </c>
      <c r="R257" s="152" t="str">
        <f>IF(VLOOKUP(A257,'Aux - pivots1'!$A:$E,5,0)=0, "",VLOOKUP(A257,'Aux - pivots1'!$A:$E,5,0))</f>
        <v/>
      </c>
      <c r="S257" s="198"/>
      <c r="T257" s="198"/>
      <c r="U257" s="198"/>
      <c r="V257" s="320"/>
      <c r="W257" s="320"/>
      <c r="X257" s="320"/>
      <c r="Y257" s="368" t="s">
        <v>2320</v>
      </c>
      <c r="Z257" s="152"/>
    </row>
    <row r="258" spans="1:26" ht="16.399999999999999" hidden="1" customHeight="1">
      <c r="A258" s="29" t="str">
        <f t="shared" si="3"/>
        <v>PROCESScod_estd_prcs</v>
      </c>
      <c r="B258" s="141" t="s">
        <v>26</v>
      </c>
      <c r="C258" s="137" t="s">
        <v>54</v>
      </c>
      <c r="D258" s="133" t="s">
        <v>40</v>
      </c>
      <c r="E258" s="134" t="s">
        <v>55</v>
      </c>
      <c r="F258" s="470" t="s">
        <v>60</v>
      </c>
      <c r="G258" s="135" t="str">
        <f>VLOOKUP(A258,Plano_V3!$A$26:$G$768,7,0)</f>
        <v>0. Cancelado</v>
      </c>
      <c r="H258" s="135" t="s">
        <v>611</v>
      </c>
      <c r="I258" s="467"/>
      <c r="J258" s="142"/>
      <c r="K258" s="142"/>
      <c r="L258" s="153"/>
      <c r="M258" s="153"/>
      <c r="N258" s="142"/>
      <c r="O258" s="142"/>
      <c r="P258" s="152" t="str">
        <f>IF(VLOOKUP(A258,'Aux - pivots1'!$A:$E,3,0)=0, "",VLOOKUP(A258,'Aux - pivots1'!$A:$E,3,0))</f>
        <v/>
      </c>
      <c r="Q258" s="152" t="str">
        <f>IF(VLOOKUP(A258,'Aux - pivots1'!$A:$E,4,0)=0, "",VLOOKUP(A258,'Aux - pivots1'!$A:$E,4,0))</f>
        <v/>
      </c>
      <c r="R258" s="152" t="str">
        <f>IF(VLOOKUP(A258,'Aux - pivots1'!$A:$E,5,0)=0, "",VLOOKUP(A258,'Aux - pivots1'!$A:$E,5,0))</f>
        <v/>
      </c>
      <c r="S258" s="198"/>
      <c r="T258" s="198"/>
      <c r="U258" s="198"/>
      <c r="V258" s="320"/>
      <c r="W258" s="320"/>
      <c r="X258" s="320"/>
      <c r="Y258" s="368" t="s">
        <v>2320</v>
      </c>
      <c r="Z258" s="152"/>
    </row>
    <row r="259" spans="1:26" ht="16.399999999999999" hidden="1" customHeight="1">
      <c r="A259" s="29" t="str">
        <f t="shared" si="3"/>
        <v>PROCESSGUARANTEE_CODE</v>
      </c>
      <c r="B259" s="141" t="s">
        <v>26</v>
      </c>
      <c r="C259" s="137" t="s">
        <v>54</v>
      </c>
      <c r="D259" s="133" t="s">
        <v>40</v>
      </c>
      <c r="E259" s="134" t="s">
        <v>55</v>
      </c>
      <c r="F259" s="470" t="s">
        <v>61</v>
      </c>
      <c r="G259" s="135" t="str">
        <f>VLOOKUP(A259,Plano_V3!$A$26:$G$768,7,0)</f>
        <v>1. Concluído</v>
      </c>
      <c r="H259" s="135" t="s">
        <v>612</v>
      </c>
      <c r="I259" s="467"/>
      <c r="J259" s="142"/>
      <c r="K259" s="142"/>
      <c r="L259" s="153"/>
      <c r="M259" s="153"/>
      <c r="N259" s="142"/>
      <c r="O259" s="142"/>
      <c r="P259" s="152" t="str">
        <f>IF(VLOOKUP(A259,'Aux - pivots1'!$A:$E,3,0)=0, "",VLOOKUP(A259,'Aux - pivots1'!$A:$E,3,0))</f>
        <v/>
      </c>
      <c r="Q259" s="152" t="str">
        <f>IF(VLOOKUP(A259,'Aux - pivots1'!$A:$E,4,0)=0, "",VLOOKUP(A259,'Aux - pivots1'!$A:$E,4,0))</f>
        <v/>
      </c>
      <c r="R259" s="152" t="str">
        <f>IF(VLOOKUP(A259,'Aux - pivots1'!$A:$E,5,0)=0, "",VLOOKUP(A259,'Aux - pivots1'!$A:$E,5,0))</f>
        <v/>
      </c>
      <c r="S259" s="198"/>
      <c r="T259" s="198"/>
      <c r="U259" s="198"/>
      <c r="V259" s="320"/>
      <c r="W259" s="320"/>
      <c r="X259" s="320"/>
      <c r="Y259" s="368" t="s">
        <v>2320</v>
      </c>
      <c r="Z259" s="152"/>
    </row>
    <row r="260" spans="1:26" ht="16.399999999999999" hidden="1" customHeight="1">
      <c r="A260" s="29" t="str">
        <f t="shared" si="3"/>
        <v>PROCESSCURRENCY_CODE</v>
      </c>
      <c r="B260" s="141" t="s">
        <v>26</v>
      </c>
      <c r="C260" s="137" t="s">
        <v>54</v>
      </c>
      <c r="D260" s="133" t="s">
        <v>40</v>
      </c>
      <c r="E260" s="134" t="s">
        <v>55</v>
      </c>
      <c r="F260" s="470" t="s">
        <v>62</v>
      </c>
      <c r="G260" s="135" t="str">
        <f>VLOOKUP(A260,Plano_V3!$A$26:$G$768,7,0)</f>
        <v>1. Concluído</v>
      </c>
      <c r="H260" s="135" t="s">
        <v>612</v>
      </c>
      <c r="I260" s="467"/>
      <c r="J260" s="142"/>
      <c r="K260" s="142"/>
      <c r="L260" s="153"/>
      <c r="M260" s="153"/>
      <c r="N260" s="142"/>
      <c r="O260" s="142"/>
      <c r="P260" s="152" t="str">
        <f>IF(VLOOKUP(A260,'Aux - pivots1'!$A:$E,3,0)=0, "",VLOOKUP(A260,'Aux - pivots1'!$A:$E,3,0))</f>
        <v/>
      </c>
      <c r="Q260" s="152" t="str">
        <f>IF(VLOOKUP(A260,'Aux - pivots1'!$A:$E,4,0)=0, "",VLOOKUP(A260,'Aux - pivots1'!$A:$E,4,0))</f>
        <v/>
      </c>
      <c r="R260" s="152" t="str">
        <f>IF(VLOOKUP(A260,'Aux - pivots1'!$A:$E,5,0)=0, "",VLOOKUP(A260,'Aux - pivots1'!$A:$E,5,0))</f>
        <v/>
      </c>
      <c r="S260" s="198"/>
      <c r="T260" s="198"/>
      <c r="U260" s="198"/>
      <c r="V260" s="320"/>
      <c r="W260" s="320"/>
      <c r="X260" s="320"/>
      <c r="Y260" s="368" t="s">
        <v>2320</v>
      </c>
      <c r="Z260" s="152"/>
    </row>
    <row r="261" spans="1:26" ht="16.399999999999999" hidden="1" customHeight="1">
      <c r="A261" s="29" t="str">
        <f t="shared" si="3"/>
        <v>PROCESSPROCESS_CAMPAIGN_CODE</v>
      </c>
      <c r="B261" s="141" t="s">
        <v>26</v>
      </c>
      <c r="C261" s="137" t="s">
        <v>54</v>
      </c>
      <c r="D261" s="133" t="s">
        <v>40</v>
      </c>
      <c r="E261" s="134" t="s">
        <v>55</v>
      </c>
      <c r="F261" s="470" t="s">
        <v>63</v>
      </c>
      <c r="G261" s="135" t="str">
        <f>VLOOKUP(A261,Plano_V3!$A$26:$G$768,7,0)</f>
        <v>1. Concluído</v>
      </c>
      <c r="H261" s="135" t="s">
        <v>612</v>
      </c>
      <c r="I261" s="467"/>
      <c r="J261" s="142"/>
      <c r="K261" s="142"/>
      <c r="L261" s="153"/>
      <c r="M261" s="153"/>
      <c r="N261" s="142"/>
      <c r="O261" s="142"/>
      <c r="P261" s="152" t="str">
        <f>IF(VLOOKUP(A261,'Aux - pivots1'!$A:$E,3,0)=0, "",VLOOKUP(A261,'Aux - pivots1'!$A:$E,3,0))</f>
        <v/>
      </c>
      <c r="Q261" s="152" t="str">
        <f>IF(VLOOKUP(A261,'Aux - pivots1'!$A:$E,4,0)=0, "",VLOOKUP(A261,'Aux - pivots1'!$A:$E,4,0))</f>
        <v/>
      </c>
      <c r="R261" s="152" t="str">
        <f>IF(VLOOKUP(A261,'Aux - pivots1'!$A:$E,5,0)=0, "",VLOOKUP(A261,'Aux - pivots1'!$A:$E,5,0))</f>
        <v/>
      </c>
      <c r="S261" s="198"/>
      <c r="T261" s="198"/>
      <c r="U261" s="198"/>
      <c r="V261" s="320"/>
      <c r="W261" s="320"/>
      <c r="X261" s="320"/>
      <c r="Y261" s="368" t="s">
        <v>2320</v>
      </c>
      <c r="Z261" s="152"/>
    </row>
    <row r="262" spans="1:26" ht="16.399999999999999" hidden="1" customHeight="1">
      <c r="A262" s="29" t="str">
        <f t="shared" si="3"/>
        <v>PROCESSPROCESS_PRODUCT_ID</v>
      </c>
      <c r="B262" s="141" t="s">
        <v>26</v>
      </c>
      <c r="C262" s="137" t="s">
        <v>54</v>
      </c>
      <c r="D262" s="133" t="s">
        <v>40</v>
      </c>
      <c r="E262" s="134" t="s">
        <v>55</v>
      </c>
      <c r="F262" s="470" t="s">
        <v>64</v>
      </c>
      <c r="G262" s="135" t="str">
        <f>VLOOKUP(A262,Plano_V3!$A$26:$G$768,7,0)</f>
        <v>1. Concluído</v>
      </c>
      <c r="H262" s="135" t="s">
        <v>612</v>
      </c>
      <c r="I262" s="467"/>
      <c r="J262" s="142"/>
      <c r="K262" s="142"/>
      <c r="L262" s="153"/>
      <c r="M262" s="153"/>
      <c r="N262" s="142"/>
      <c r="O262" s="142"/>
      <c r="P262" s="152" t="str">
        <f>IF(VLOOKUP(A262,'Aux - pivots1'!$A:$E,3,0)=0, "",VLOOKUP(A262,'Aux - pivots1'!$A:$E,3,0))</f>
        <v/>
      </c>
      <c r="Q262" s="152" t="str">
        <f>IF(VLOOKUP(A262,'Aux - pivots1'!$A:$E,4,0)=0, "",VLOOKUP(A262,'Aux - pivots1'!$A:$E,4,0))</f>
        <v/>
      </c>
      <c r="R262" s="152" t="str">
        <f>IF(VLOOKUP(A262,'Aux - pivots1'!$A:$E,5,0)=0, "",VLOOKUP(A262,'Aux - pivots1'!$A:$E,5,0))</f>
        <v/>
      </c>
      <c r="S262" s="198"/>
      <c r="T262" s="198"/>
      <c r="U262" s="198"/>
      <c r="V262" s="320"/>
      <c r="W262" s="320"/>
      <c r="X262" s="320"/>
      <c r="Y262" s="368" t="s">
        <v>2320</v>
      </c>
      <c r="Z262" s="152"/>
    </row>
    <row r="263" spans="1:26" ht="16.399999999999999" hidden="1" customHeight="1">
      <c r="A263" s="29" t="str">
        <f t="shared" si="3"/>
        <v>PROCESSPROCESS_SUBPRODUCT_ID</v>
      </c>
      <c r="B263" s="141" t="s">
        <v>26</v>
      </c>
      <c r="C263" s="137" t="s">
        <v>54</v>
      </c>
      <c r="D263" s="133" t="s">
        <v>40</v>
      </c>
      <c r="E263" s="134" t="s">
        <v>55</v>
      </c>
      <c r="F263" s="470" t="s">
        <v>65</v>
      </c>
      <c r="G263" s="135" t="str">
        <f>VLOOKUP(A263,Plano_V3!$A$26:$G$768,7,0)</f>
        <v>1. Concluído</v>
      </c>
      <c r="H263" s="135" t="s">
        <v>612</v>
      </c>
      <c r="I263" s="467"/>
      <c r="J263" s="142"/>
      <c r="K263" s="142"/>
      <c r="L263" s="153"/>
      <c r="M263" s="153"/>
      <c r="N263" s="142"/>
      <c r="O263" s="142"/>
      <c r="P263" s="152" t="str">
        <f>IF(VLOOKUP(A263,'Aux - pivots1'!$A:$E,3,0)=0, "",VLOOKUP(A263,'Aux - pivots1'!$A:$E,3,0))</f>
        <v/>
      </c>
      <c r="Q263" s="152" t="str">
        <f>IF(VLOOKUP(A263,'Aux - pivots1'!$A:$E,4,0)=0, "",VLOOKUP(A263,'Aux - pivots1'!$A:$E,4,0))</f>
        <v/>
      </c>
      <c r="R263" s="152" t="str">
        <f>IF(VLOOKUP(A263,'Aux - pivots1'!$A:$E,5,0)=0, "",VLOOKUP(A263,'Aux - pivots1'!$A:$E,5,0))</f>
        <v/>
      </c>
      <c r="S263" s="198"/>
      <c r="T263" s="198"/>
      <c r="U263" s="198"/>
      <c r="V263" s="320"/>
      <c r="W263" s="320"/>
      <c r="X263" s="320"/>
      <c r="Y263" s="368" t="s">
        <v>2320</v>
      </c>
      <c r="Z263" s="152"/>
    </row>
    <row r="264" spans="1:26" ht="16.399999999999999" hidden="1" customHeight="1">
      <c r="A264" s="29" t="str">
        <f t="shared" si="3"/>
        <v>PROCESSGUARANTEE_TYPE_CODE</v>
      </c>
      <c r="B264" s="141" t="s">
        <v>26</v>
      </c>
      <c r="C264" s="137" t="s">
        <v>54</v>
      </c>
      <c r="D264" s="133" t="s">
        <v>40</v>
      </c>
      <c r="E264" s="134" t="s">
        <v>55</v>
      </c>
      <c r="F264" s="470" t="s">
        <v>66</v>
      </c>
      <c r="G264" s="135" t="str">
        <f>VLOOKUP(A264,Plano_V3!$A$26:$G$768,7,0)</f>
        <v>1. Concluído</v>
      </c>
      <c r="H264" s="135" t="s">
        <v>612</v>
      </c>
      <c r="I264" s="467"/>
      <c r="J264" s="142"/>
      <c r="K264" s="142"/>
      <c r="L264" s="153"/>
      <c r="M264" s="153"/>
      <c r="N264" s="142"/>
      <c r="O264" s="142"/>
      <c r="P264" s="152" t="str">
        <f>IF(VLOOKUP(A264,'Aux - pivots1'!$A:$E,3,0)=0, "",VLOOKUP(A264,'Aux - pivots1'!$A:$E,3,0))</f>
        <v/>
      </c>
      <c r="Q264" s="152" t="str">
        <f>IF(VLOOKUP(A264,'Aux - pivots1'!$A:$E,4,0)=0, "",VLOOKUP(A264,'Aux - pivots1'!$A:$E,4,0))</f>
        <v/>
      </c>
      <c r="R264" s="152" t="str">
        <f>IF(VLOOKUP(A264,'Aux - pivots1'!$A:$E,5,0)=0, "",VLOOKUP(A264,'Aux - pivots1'!$A:$E,5,0))</f>
        <v/>
      </c>
      <c r="S264" s="198"/>
      <c r="T264" s="198"/>
      <c r="U264" s="198"/>
      <c r="V264" s="320"/>
      <c r="W264" s="320"/>
      <c r="X264" s="320"/>
      <c r="Y264" s="368" t="s">
        <v>2320</v>
      </c>
      <c r="Z264" s="152"/>
    </row>
    <row r="265" spans="1:26" ht="16.399999999999999" hidden="1" customHeight="1">
      <c r="A265" s="29" t="str">
        <f t="shared" si="3"/>
        <v>PROCESSPROCESS_REFERENCE_CODE</v>
      </c>
      <c r="B265" s="141" t="s">
        <v>26</v>
      </c>
      <c r="C265" s="137" t="s">
        <v>54</v>
      </c>
      <c r="D265" s="133" t="s">
        <v>40</v>
      </c>
      <c r="E265" s="134" t="s">
        <v>55</v>
      </c>
      <c r="F265" s="470" t="s">
        <v>67</v>
      </c>
      <c r="G265" s="135" t="str">
        <f>VLOOKUP(A265,Plano_V3!$A$26:$G$768,7,0)</f>
        <v>1. Concluído</v>
      </c>
      <c r="H265" s="135" t="s">
        <v>612</v>
      </c>
      <c r="I265" s="467"/>
      <c r="J265" s="142"/>
      <c r="K265" s="142"/>
      <c r="L265" s="153"/>
      <c r="M265" s="153"/>
      <c r="N265" s="142"/>
      <c r="O265" s="142"/>
      <c r="P265" s="152" t="str">
        <f>IF(VLOOKUP(A265,'Aux - pivots1'!$A:$E,3,0)=0, "",VLOOKUP(A265,'Aux - pivots1'!$A:$E,3,0))</f>
        <v/>
      </c>
      <c r="Q265" s="152" t="str">
        <f>IF(VLOOKUP(A265,'Aux - pivots1'!$A:$E,4,0)=0, "",VLOOKUP(A265,'Aux - pivots1'!$A:$E,4,0))</f>
        <v/>
      </c>
      <c r="R265" s="152" t="str">
        <f>IF(VLOOKUP(A265,'Aux - pivots1'!$A:$E,5,0)=0, "",VLOOKUP(A265,'Aux - pivots1'!$A:$E,5,0))</f>
        <v/>
      </c>
      <c r="S265" s="198"/>
      <c r="T265" s="198"/>
      <c r="U265" s="198"/>
      <c r="V265" s="320"/>
      <c r="W265" s="320"/>
      <c r="X265" s="320"/>
      <c r="Y265" s="368" t="s">
        <v>2320</v>
      </c>
      <c r="Z265" s="152"/>
    </row>
    <row r="266" spans="1:26" ht="16.399999999999999" hidden="1" customHeight="1">
      <c r="A266" s="29" t="str">
        <f t="shared" si="3"/>
        <v>PROCESSPROCESS_START_DATE</v>
      </c>
      <c r="B266" s="141" t="s">
        <v>26</v>
      </c>
      <c r="C266" s="137" t="s">
        <v>54</v>
      </c>
      <c r="D266" s="133" t="s">
        <v>40</v>
      </c>
      <c r="E266" s="134" t="s">
        <v>55</v>
      </c>
      <c r="F266" s="470" t="s">
        <v>68</v>
      </c>
      <c r="G266" s="135" t="str">
        <f>VLOOKUP(A266,Plano_V3!$A$26:$G$768,7,0)</f>
        <v>1. Concluído</v>
      </c>
      <c r="H266" s="135" t="s">
        <v>612</v>
      </c>
      <c r="I266" s="467"/>
      <c r="J266" s="142"/>
      <c r="K266" s="142"/>
      <c r="L266" s="153"/>
      <c r="M266" s="153"/>
      <c r="N266" s="142"/>
      <c r="O266" s="142"/>
      <c r="P266" s="152" t="str">
        <f>IF(VLOOKUP(A266,'Aux - pivots1'!$A:$E,3,0)=0, "",VLOOKUP(A266,'Aux - pivots1'!$A:$E,3,0))</f>
        <v/>
      </c>
      <c r="Q266" s="152" t="str">
        <f>IF(VLOOKUP(A266,'Aux - pivots1'!$A:$E,4,0)=0, "",VLOOKUP(A266,'Aux - pivots1'!$A:$E,4,0))</f>
        <v/>
      </c>
      <c r="R266" s="152" t="str">
        <f>IF(VLOOKUP(A266,'Aux - pivots1'!$A:$E,5,0)=0, "",VLOOKUP(A266,'Aux - pivots1'!$A:$E,5,0))</f>
        <v/>
      </c>
      <c r="S266" s="198"/>
      <c r="T266" s="198"/>
      <c r="U266" s="198"/>
      <c r="V266" s="320"/>
      <c r="W266" s="320"/>
      <c r="X266" s="320"/>
      <c r="Y266" s="368" t="s">
        <v>2320</v>
      </c>
      <c r="Z266" s="152"/>
    </row>
    <row r="267" spans="1:26" ht="16.399999999999999" hidden="1" customHeight="1">
      <c r="A267" s="29" t="str">
        <f t="shared" ref="A267:A330" si="4">E267&amp;F267</f>
        <v>PROCESSPROCESS_DUE_DATE</v>
      </c>
      <c r="B267" s="141" t="s">
        <v>26</v>
      </c>
      <c r="C267" s="137" t="s">
        <v>54</v>
      </c>
      <c r="D267" s="133" t="s">
        <v>40</v>
      </c>
      <c r="E267" s="134" t="s">
        <v>55</v>
      </c>
      <c r="F267" s="470" t="s">
        <v>69</v>
      </c>
      <c r="G267" s="135" t="str">
        <f>VLOOKUP(A267,Plano_V3!$A$26:$G$768,7,0)</f>
        <v>1. Concluído</v>
      </c>
      <c r="H267" s="135" t="s">
        <v>612</v>
      </c>
      <c r="I267" s="467"/>
      <c r="J267" s="142"/>
      <c r="K267" s="142"/>
      <c r="L267" s="153"/>
      <c r="M267" s="153"/>
      <c r="N267" s="142"/>
      <c r="O267" s="142"/>
      <c r="P267" s="152" t="str">
        <f>IF(VLOOKUP(A267,'Aux - pivots1'!$A:$E,3,0)=0, "",VLOOKUP(A267,'Aux - pivots1'!$A:$E,3,0))</f>
        <v/>
      </c>
      <c r="Q267" s="152" t="str">
        <f>IF(VLOOKUP(A267,'Aux - pivots1'!$A:$E,4,0)=0, "",VLOOKUP(A267,'Aux - pivots1'!$A:$E,4,0))</f>
        <v/>
      </c>
      <c r="R267" s="152" t="str">
        <f>IF(VLOOKUP(A267,'Aux - pivots1'!$A:$E,5,0)=0, "",VLOOKUP(A267,'Aux - pivots1'!$A:$E,5,0))</f>
        <v/>
      </c>
      <c r="S267" s="198"/>
      <c r="T267" s="198"/>
      <c r="U267" s="198"/>
      <c r="V267" s="320"/>
      <c r="W267" s="320"/>
      <c r="X267" s="320"/>
      <c r="Y267" s="368" t="s">
        <v>2320</v>
      </c>
      <c r="Z267" s="152"/>
    </row>
    <row r="268" spans="1:26" ht="16.399999999999999" hidden="1" customHeight="1">
      <c r="A268" s="29" t="str">
        <f t="shared" si="4"/>
        <v>PROCESSmontante_eur</v>
      </c>
      <c r="B268" s="141" t="s">
        <v>26</v>
      </c>
      <c r="C268" s="137" t="s">
        <v>54</v>
      </c>
      <c r="D268" s="133" t="s">
        <v>40</v>
      </c>
      <c r="E268" s="134" t="s">
        <v>55</v>
      </c>
      <c r="F268" s="470" t="s">
        <v>70</v>
      </c>
      <c r="G268" s="135" t="str">
        <f>VLOOKUP(A268,Plano_V3!$A$26:$G$768,7,0)</f>
        <v>0. Cancelado</v>
      </c>
      <c r="H268" s="135" t="s">
        <v>611</v>
      </c>
      <c r="I268" s="467"/>
      <c r="J268" s="142"/>
      <c r="K268" s="142"/>
      <c r="L268" s="153"/>
      <c r="M268" s="153"/>
      <c r="N268" s="142"/>
      <c r="O268" s="142"/>
      <c r="P268" s="152" t="str">
        <f>IF(VLOOKUP(A268,'Aux - pivots1'!$A:$E,3,0)=0, "",VLOOKUP(A268,'Aux - pivots1'!$A:$E,3,0))</f>
        <v/>
      </c>
      <c r="Q268" s="152" t="str">
        <f>IF(VLOOKUP(A268,'Aux - pivots1'!$A:$E,4,0)=0, "",VLOOKUP(A268,'Aux - pivots1'!$A:$E,4,0))</f>
        <v/>
      </c>
      <c r="R268" s="152" t="str">
        <f>IF(VLOOKUP(A268,'Aux - pivots1'!$A:$E,5,0)=0, "",VLOOKUP(A268,'Aux - pivots1'!$A:$E,5,0))</f>
        <v/>
      </c>
      <c r="S268" s="198"/>
      <c r="T268" s="198"/>
      <c r="U268" s="198"/>
      <c r="V268" s="320"/>
      <c r="W268" s="320"/>
      <c r="X268" s="320"/>
      <c r="Y268" s="368" t="s">
        <v>2320</v>
      </c>
      <c r="Z268" s="152"/>
    </row>
    <row r="269" spans="1:26" ht="16.399999999999999" hidden="1" customHeight="1">
      <c r="A269" s="29" t="str">
        <f t="shared" si="4"/>
        <v>PROCESSmontante_org</v>
      </c>
      <c r="B269" s="141" t="s">
        <v>26</v>
      </c>
      <c r="C269" s="137" t="s">
        <v>54</v>
      </c>
      <c r="D269" s="133" t="s">
        <v>40</v>
      </c>
      <c r="E269" s="134" t="s">
        <v>55</v>
      </c>
      <c r="F269" s="470" t="s">
        <v>71</v>
      </c>
      <c r="G269" s="135" t="str">
        <f>VLOOKUP(A269,Plano_V3!$A$26:$G$768,7,0)</f>
        <v>0. Cancelado</v>
      </c>
      <c r="H269" s="135" t="s">
        <v>611</v>
      </c>
      <c r="I269" s="467"/>
      <c r="J269" s="142"/>
      <c r="K269" s="142"/>
      <c r="L269" s="153"/>
      <c r="M269" s="153"/>
      <c r="N269" s="142"/>
      <c r="O269" s="142"/>
      <c r="P269" s="152" t="str">
        <f>IF(VLOOKUP(A269,'Aux - pivots1'!$A:$E,3,0)=0, "",VLOOKUP(A269,'Aux - pivots1'!$A:$E,3,0))</f>
        <v/>
      </c>
      <c r="Q269" s="152" t="str">
        <f>IF(VLOOKUP(A269,'Aux - pivots1'!$A:$E,4,0)=0, "",VLOOKUP(A269,'Aux - pivots1'!$A:$E,4,0))</f>
        <v/>
      </c>
      <c r="R269" s="152" t="str">
        <f>IF(VLOOKUP(A269,'Aux - pivots1'!$A:$E,5,0)=0, "",VLOOKUP(A269,'Aux - pivots1'!$A:$E,5,0))</f>
        <v/>
      </c>
      <c r="S269" s="198"/>
      <c r="T269" s="198"/>
      <c r="U269" s="198"/>
      <c r="V269" s="320"/>
      <c r="W269" s="320"/>
      <c r="X269" s="320"/>
      <c r="Y269" s="368" t="s">
        <v>2320</v>
      </c>
      <c r="Z269" s="152"/>
    </row>
    <row r="270" spans="1:26" ht="16.399999999999999" hidden="1" customHeight="1">
      <c r="A270" s="29" t="str">
        <f t="shared" si="4"/>
        <v>PROCESSorigem</v>
      </c>
      <c r="B270" s="141" t="s">
        <v>26</v>
      </c>
      <c r="C270" s="137" t="s">
        <v>54</v>
      </c>
      <c r="D270" s="133" t="s">
        <v>40</v>
      </c>
      <c r="E270" s="134" t="s">
        <v>55</v>
      </c>
      <c r="F270" s="470" t="s">
        <v>72</v>
      </c>
      <c r="G270" s="135" t="str">
        <f>VLOOKUP(A270,Plano_V3!$A$26:$G$768,7,0)</f>
        <v>0. Cancelado</v>
      </c>
      <c r="H270" s="135" t="s">
        <v>611</v>
      </c>
      <c r="I270" s="467"/>
      <c r="J270" s="142"/>
      <c r="K270" s="142"/>
      <c r="L270" s="153"/>
      <c r="M270" s="153"/>
      <c r="N270" s="142"/>
      <c r="O270" s="142"/>
      <c r="P270" s="152" t="str">
        <f>IF(VLOOKUP(A270,'Aux - pivots1'!$A:$E,3,0)=0, "",VLOOKUP(A270,'Aux - pivots1'!$A:$E,3,0))</f>
        <v/>
      </c>
      <c r="Q270" s="152" t="str">
        <f>IF(VLOOKUP(A270,'Aux - pivots1'!$A:$E,4,0)=0, "",VLOOKUP(A270,'Aux - pivots1'!$A:$E,4,0))</f>
        <v/>
      </c>
      <c r="R270" s="152" t="str">
        <f>IF(VLOOKUP(A270,'Aux - pivots1'!$A:$E,5,0)=0, "",VLOOKUP(A270,'Aux - pivots1'!$A:$E,5,0))</f>
        <v/>
      </c>
      <c r="S270" s="198"/>
      <c r="T270" s="198"/>
      <c r="U270" s="198"/>
      <c r="V270" s="320"/>
      <c r="W270" s="320"/>
      <c r="X270" s="320"/>
      <c r="Y270" s="368" t="s">
        <v>2320</v>
      </c>
      <c r="Z270" s="152"/>
    </row>
    <row r="271" spans="1:26" ht="16.399999999999999" hidden="1" customHeight="1">
      <c r="A271" s="29" t="str">
        <f t="shared" si="4"/>
        <v>PROCESSDATA_DATE_PART</v>
      </c>
      <c r="B271" s="141" t="s">
        <v>26</v>
      </c>
      <c r="C271" s="137" t="s">
        <v>54</v>
      </c>
      <c r="D271" s="133" t="s">
        <v>40</v>
      </c>
      <c r="E271" s="134" t="s">
        <v>55</v>
      </c>
      <c r="F271" s="470" t="s">
        <v>73</v>
      </c>
      <c r="G271" s="135" t="str">
        <f>VLOOKUP(A271,Plano_V3!$A$26:$G$768,7,0)</f>
        <v>1. Concluído</v>
      </c>
      <c r="H271" s="135" t="s">
        <v>612</v>
      </c>
      <c r="I271" s="467"/>
      <c r="J271" s="142"/>
      <c r="K271" s="142"/>
      <c r="L271" s="153"/>
      <c r="M271" s="153"/>
      <c r="N271" s="142"/>
      <c r="O271" s="142"/>
      <c r="P271" s="152" t="str">
        <f>IF(VLOOKUP(A271,'Aux - pivots1'!$A:$E,3,0)=0, "",VLOOKUP(A271,'Aux - pivots1'!$A:$E,3,0))</f>
        <v/>
      </c>
      <c r="Q271" s="152" t="str">
        <f>IF(VLOOKUP(A271,'Aux - pivots1'!$A:$E,4,0)=0, "",VLOOKUP(A271,'Aux - pivots1'!$A:$E,4,0))</f>
        <v/>
      </c>
      <c r="R271" s="152" t="str">
        <f>IF(VLOOKUP(A271,'Aux - pivots1'!$A:$E,5,0)=0, "",VLOOKUP(A271,'Aux - pivots1'!$A:$E,5,0))</f>
        <v/>
      </c>
      <c r="S271" s="198"/>
      <c r="T271" s="198"/>
      <c r="U271" s="198"/>
      <c r="V271" s="320"/>
      <c r="W271" s="320"/>
      <c r="X271" s="320"/>
      <c r="Y271" s="368" t="s">
        <v>2320</v>
      </c>
      <c r="Z271" s="152"/>
    </row>
    <row r="272" spans="1:26" ht="16.399999999999999" hidden="1" customHeight="1">
      <c r="A272" s="29" t="str">
        <f t="shared" si="4"/>
        <v>PROCESSSOURCE_CODE</v>
      </c>
      <c r="B272" s="141" t="s">
        <v>26</v>
      </c>
      <c r="C272" s="137" t="s">
        <v>54</v>
      </c>
      <c r="D272" s="133" t="s">
        <v>40</v>
      </c>
      <c r="E272" s="134" t="s">
        <v>55</v>
      </c>
      <c r="F272" s="470" t="s">
        <v>87</v>
      </c>
      <c r="G272" s="135" t="str">
        <f>VLOOKUP(A272,Plano_V3!$A$26:$G$768,7,0)</f>
        <v>1. Concluído</v>
      </c>
      <c r="H272" s="135" t="s">
        <v>612</v>
      </c>
      <c r="I272" s="467"/>
      <c r="J272" s="142"/>
      <c r="K272" s="142"/>
      <c r="L272" s="153"/>
      <c r="M272" s="153"/>
      <c r="N272" s="142"/>
      <c r="O272" s="142"/>
      <c r="P272" s="152" t="str">
        <f>IF(VLOOKUP(A272,'Aux - pivots1'!$A:$E,3,0)=0, "",VLOOKUP(A272,'Aux - pivots1'!$A:$E,3,0))</f>
        <v/>
      </c>
      <c r="Q272" s="152" t="str">
        <f>IF(VLOOKUP(A272,'Aux - pivots1'!$A:$E,4,0)=0, "",VLOOKUP(A272,'Aux - pivots1'!$A:$E,4,0))</f>
        <v/>
      </c>
      <c r="R272" s="152" t="str">
        <f>IF(VLOOKUP(A272,'Aux - pivots1'!$A:$E,5,0)=0, "",VLOOKUP(A272,'Aux - pivots1'!$A:$E,5,0))</f>
        <v/>
      </c>
      <c r="S272" s="198"/>
      <c r="T272" s="198"/>
      <c r="U272" s="198"/>
      <c r="V272" s="320"/>
      <c r="W272" s="320"/>
      <c r="X272" s="320"/>
      <c r="Y272" s="368" t="s">
        <v>2320</v>
      </c>
      <c r="Z272" s="152"/>
    </row>
    <row r="273" spans="1:26" ht="16.399999999999999" hidden="1" customHeight="1">
      <c r="A273" s="29" t="str">
        <f t="shared" si="4"/>
        <v>RESPONSIBILITY_PROCESS_RELn.a.</v>
      </c>
      <c r="B273" s="141" t="s">
        <v>26</v>
      </c>
      <c r="C273" s="137" t="s">
        <v>54</v>
      </c>
      <c r="D273" s="133" t="s">
        <v>36</v>
      </c>
      <c r="E273" s="134" t="s">
        <v>74</v>
      </c>
      <c r="F273" s="470" t="s">
        <v>38</v>
      </c>
      <c r="G273" s="135" t="str">
        <f>VLOOKUP(A273,Plano_V3!$A$26:$G$768,7,0)</f>
        <v>1. Concluído</v>
      </c>
      <c r="H273" s="135" t="s">
        <v>612</v>
      </c>
      <c r="I273" s="467"/>
      <c r="J273" s="142"/>
      <c r="K273" s="142"/>
      <c r="L273" s="153"/>
      <c r="M273" s="153"/>
      <c r="N273" s="142"/>
      <c r="O273" s="142"/>
      <c r="P273" s="152" t="str">
        <f>IF(VLOOKUP(A273,'Aux - pivots1'!$A:$E,3,0)=0, "",VLOOKUP(A273,'Aux - pivots1'!$A:$E,3,0))</f>
        <v/>
      </c>
      <c r="Q273" s="152" t="str">
        <f>IF(VLOOKUP(A273,'Aux - pivots1'!$A:$E,4,0)=0, "",VLOOKUP(A273,'Aux - pivots1'!$A:$E,4,0))</f>
        <v/>
      </c>
      <c r="R273" s="152" t="str">
        <f>IF(VLOOKUP(A273,'Aux - pivots1'!$A:$E,5,0)=0, "",VLOOKUP(A273,'Aux - pivots1'!$A:$E,5,0))</f>
        <v/>
      </c>
      <c r="S273" s="198"/>
      <c r="T273" s="198"/>
      <c r="U273" s="198"/>
      <c r="V273" s="320"/>
      <c r="W273" s="320"/>
      <c r="X273" s="320"/>
      <c r="Y273" s="368" t="s">
        <v>2320</v>
      </c>
      <c r="Z273" s="152"/>
    </row>
    <row r="274" spans="1:26" ht="16.399999999999999" hidden="1" customHeight="1">
      <c r="A274" s="29" t="str">
        <f t="shared" si="4"/>
        <v>RESPONSIBILITY_PROCESS_RELPROCESS_BANK_ID</v>
      </c>
      <c r="B274" s="141" t="s">
        <v>26</v>
      </c>
      <c r="C274" s="137" t="s">
        <v>54</v>
      </c>
      <c r="D274" s="133" t="s">
        <v>40</v>
      </c>
      <c r="E274" s="134" t="s">
        <v>74</v>
      </c>
      <c r="F274" s="470" t="s">
        <v>57</v>
      </c>
      <c r="G274" s="135" t="str">
        <f>VLOOKUP(A274,Plano_V3!$A$26:$G$768,7,0)</f>
        <v>1. Concluído</v>
      </c>
      <c r="H274" s="135" t="s">
        <v>612</v>
      </c>
      <c r="I274" s="467"/>
      <c r="J274" s="153"/>
      <c r="K274" s="153"/>
      <c r="L274" s="153"/>
      <c r="M274" s="153"/>
      <c r="N274" s="487"/>
      <c r="O274" s="153"/>
      <c r="P274" s="152" t="str">
        <f>IF(VLOOKUP(A274,'Aux - pivots1'!$A:$E,3,0)=0, "",VLOOKUP(A274,'Aux - pivots1'!$A:$E,3,0))</f>
        <v/>
      </c>
      <c r="Q274" s="152" t="str">
        <f>IF(VLOOKUP(A274,'Aux - pivots1'!$A:$E,4,0)=0, "",VLOOKUP(A274,'Aux - pivots1'!$A:$E,4,0))</f>
        <v/>
      </c>
      <c r="R274" s="152" t="str">
        <f>IF(VLOOKUP(A274,'Aux - pivots1'!$A:$E,5,0)=0, "",VLOOKUP(A274,'Aux - pivots1'!$A:$E,5,0))</f>
        <v/>
      </c>
      <c r="S274" s="198"/>
      <c r="T274" s="198"/>
      <c r="U274" s="198"/>
      <c r="V274" s="320"/>
      <c r="W274" s="320"/>
      <c r="X274" s="320"/>
      <c r="Y274" s="368" t="s">
        <v>2320</v>
      </c>
      <c r="Z274" s="152"/>
    </row>
    <row r="275" spans="1:26" ht="16.399999999999999" hidden="1" customHeight="1">
      <c r="A275" s="29" t="str">
        <f t="shared" si="4"/>
        <v>RESPONSIBILITY_PROCESS_RELBANK_ID</v>
      </c>
      <c r="B275" s="141" t="s">
        <v>26</v>
      </c>
      <c r="C275" s="137" t="s">
        <v>54</v>
      </c>
      <c r="D275" s="133" t="s">
        <v>40</v>
      </c>
      <c r="E275" s="134" t="s">
        <v>74</v>
      </c>
      <c r="F275" s="470" t="s">
        <v>75</v>
      </c>
      <c r="G275" s="135" t="str">
        <f>VLOOKUP(A275,Plano_V3!$A$26:$G$768,7,0)</f>
        <v>1. Concluído</v>
      </c>
      <c r="H275" s="135" t="s">
        <v>612</v>
      </c>
      <c r="I275" s="467"/>
      <c r="J275" s="153"/>
      <c r="K275" s="153"/>
      <c r="L275" s="153"/>
      <c r="M275" s="153"/>
      <c r="N275" s="487"/>
      <c r="O275" s="153"/>
      <c r="P275" s="152" t="str">
        <f>IF(VLOOKUP(A275,'Aux - pivots1'!$A:$E,3,0)=0, "",VLOOKUP(A275,'Aux - pivots1'!$A:$E,3,0))</f>
        <v/>
      </c>
      <c r="Q275" s="152" t="str">
        <f>IF(VLOOKUP(A275,'Aux - pivots1'!$A:$E,4,0)=0, "",VLOOKUP(A275,'Aux - pivots1'!$A:$E,4,0))</f>
        <v/>
      </c>
      <c r="R275" s="152" t="str">
        <f>IF(VLOOKUP(A275,'Aux - pivots1'!$A:$E,5,0)=0, "",VLOOKUP(A275,'Aux - pivots1'!$A:$E,5,0))</f>
        <v/>
      </c>
      <c r="S275" s="198"/>
      <c r="T275" s="198"/>
      <c r="U275" s="198"/>
      <c r="V275" s="320"/>
      <c r="W275" s="320"/>
      <c r="X275" s="320"/>
      <c r="Y275" s="368" t="s">
        <v>2320</v>
      </c>
      <c r="Z275" s="152"/>
    </row>
    <row r="276" spans="1:26" ht="16.399999999999999" hidden="1" customHeight="1">
      <c r="A276" s="29" t="str">
        <f t="shared" si="4"/>
        <v>RESPONSIBILITY_PROCESS_RELPROCESS_BRANCH_CODE</v>
      </c>
      <c r="B276" s="141" t="s">
        <v>26</v>
      </c>
      <c r="C276" s="137" t="s">
        <v>54</v>
      </c>
      <c r="D276" s="133" t="s">
        <v>40</v>
      </c>
      <c r="E276" s="134" t="s">
        <v>74</v>
      </c>
      <c r="F276" s="470" t="s">
        <v>58</v>
      </c>
      <c r="G276" s="135" t="str">
        <f>VLOOKUP(A276,Plano_V3!$A$26:$G$768,7,0)</f>
        <v>1. Concluído</v>
      </c>
      <c r="H276" s="135" t="s">
        <v>612</v>
      </c>
      <c r="I276" s="467"/>
      <c r="J276" s="153"/>
      <c r="K276" s="153"/>
      <c r="L276" s="153"/>
      <c r="M276" s="153"/>
      <c r="N276" s="487"/>
      <c r="O276" s="153"/>
      <c r="P276" s="152" t="str">
        <f>IF(VLOOKUP(A276,'Aux - pivots1'!$A:$E,3,0)=0, "",VLOOKUP(A276,'Aux - pivots1'!$A:$E,3,0))</f>
        <v/>
      </c>
      <c r="Q276" s="152" t="str">
        <f>IF(VLOOKUP(A276,'Aux - pivots1'!$A:$E,4,0)=0, "",VLOOKUP(A276,'Aux - pivots1'!$A:$E,4,0))</f>
        <v/>
      </c>
      <c r="R276" s="152" t="str">
        <f>IF(VLOOKUP(A276,'Aux - pivots1'!$A:$E,5,0)=0, "",VLOOKUP(A276,'Aux - pivots1'!$A:$E,5,0))</f>
        <v/>
      </c>
      <c r="S276" s="198"/>
      <c r="T276" s="198"/>
      <c r="U276" s="198"/>
      <c r="V276" s="320"/>
      <c r="W276" s="320"/>
      <c r="X276" s="320"/>
      <c r="Y276" s="368" t="s">
        <v>2320</v>
      </c>
      <c r="Z276" s="152"/>
    </row>
    <row r="277" spans="1:26" ht="16.399999999999999" hidden="1" customHeight="1">
      <c r="A277" s="29" t="str">
        <f t="shared" si="4"/>
        <v>RESPONSIBILITY_PROCESS_RELBRANCH_CODE</v>
      </c>
      <c r="B277" s="141" t="s">
        <v>26</v>
      </c>
      <c r="C277" s="137" t="s">
        <v>54</v>
      </c>
      <c r="D277" s="133" t="s">
        <v>40</v>
      </c>
      <c r="E277" s="134" t="s">
        <v>74</v>
      </c>
      <c r="F277" s="470" t="s">
        <v>76</v>
      </c>
      <c r="G277" s="135" t="str">
        <f>VLOOKUP(A277,Plano_V3!$A$26:$G$768,7,0)</f>
        <v>1. Concluído</v>
      </c>
      <c r="H277" s="135" t="s">
        <v>612</v>
      </c>
      <c r="I277" s="467"/>
      <c r="J277" s="153"/>
      <c r="K277" s="153"/>
      <c r="L277" s="153"/>
      <c r="M277" s="153"/>
      <c r="N277" s="487"/>
      <c r="O277" s="153"/>
      <c r="P277" s="152" t="str">
        <f>IF(VLOOKUP(A277,'Aux - pivots1'!$A:$E,3,0)=0, "",VLOOKUP(A277,'Aux - pivots1'!$A:$E,3,0))</f>
        <v/>
      </c>
      <c r="Q277" s="152" t="str">
        <f>IF(VLOOKUP(A277,'Aux - pivots1'!$A:$E,4,0)=0, "",VLOOKUP(A277,'Aux - pivots1'!$A:$E,4,0))</f>
        <v/>
      </c>
      <c r="R277" s="152" t="str">
        <f>IF(VLOOKUP(A277,'Aux - pivots1'!$A:$E,5,0)=0, "",VLOOKUP(A277,'Aux - pivots1'!$A:$E,5,0))</f>
        <v/>
      </c>
      <c r="S277" s="198"/>
      <c r="T277" s="198"/>
      <c r="U277" s="198"/>
      <c r="V277" s="320"/>
      <c r="W277" s="320"/>
      <c r="X277" s="320"/>
      <c r="Y277" s="368" t="s">
        <v>2320</v>
      </c>
      <c r="Z277" s="152"/>
    </row>
    <row r="278" spans="1:26" ht="16.399999999999999" hidden="1" customHeight="1">
      <c r="A278" s="29" t="str">
        <f t="shared" si="4"/>
        <v>RESPONSIBILITY_PROCESS_RELCONTRACT_ID</v>
      </c>
      <c r="B278" s="141" t="s">
        <v>26</v>
      </c>
      <c r="C278" s="137" t="s">
        <v>54</v>
      </c>
      <c r="D278" s="133" t="s">
        <v>40</v>
      </c>
      <c r="E278" s="134" t="s">
        <v>74</v>
      </c>
      <c r="F278" s="470" t="s">
        <v>77</v>
      </c>
      <c r="G278" s="135" t="str">
        <f>VLOOKUP(A278,Plano_V3!$A$26:$G$768,7,0)</f>
        <v>1. Concluído</v>
      </c>
      <c r="H278" s="135" t="s">
        <v>612</v>
      </c>
      <c r="I278" s="467"/>
      <c r="J278" s="153"/>
      <c r="K278" s="153"/>
      <c r="L278" s="153"/>
      <c r="M278" s="153"/>
      <c r="N278" s="487"/>
      <c r="O278" s="153"/>
      <c r="P278" s="152" t="str">
        <f>IF(VLOOKUP(A278,'Aux - pivots1'!$A:$E,3,0)=0, "",VLOOKUP(A278,'Aux - pivots1'!$A:$E,3,0))</f>
        <v/>
      </c>
      <c r="Q278" s="152" t="str">
        <f>IF(VLOOKUP(A278,'Aux - pivots1'!$A:$E,4,0)=0, "",VLOOKUP(A278,'Aux - pivots1'!$A:$E,4,0))</f>
        <v/>
      </c>
      <c r="R278" s="152" t="str">
        <f>IF(VLOOKUP(A278,'Aux - pivots1'!$A:$E,5,0)=0, "",VLOOKUP(A278,'Aux - pivots1'!$A:$E,5,0))</f>
        <v/>
      </c>
      <c r="S278" s="198"/>
      <c r="T278" s="198"/>
      <c r="U278" s="198"/>
      <c r="V278" s="320"/>
      <c r="W278" s="320"/>
      <c r="X278" s="320"/>
      <c r="Y278" s="368" t="s">
        <v>2320</v>
      </c>
      <c r="Z278" s="152"/>
    </row>
    <row r="279" spans="1:26" ht="16.399999999999999" hidden="1" customHeight="1">
      <c r="A279" s="29" t="str">
        <f t="shared" si="4"/>
        <v>RESPONSIBILITY_PROCESS_RELPROCESS_ACCOUNT_ID</v>
      </c>
      <c r="B279" s="141" t="s">
        <v>26</v>
      </c>
      <c r="C279" s="137" t="s">
        <v>54</v>
      </c>
      <c r="D279" s="133" t="s">
        <v>40</v>
      </c>
      <c r="E279" s="134" t="s">
        <v>74</v>
      </c>
      <c r="F279" s="470" t="s">
        <v>59</v>
      </c>
      <c r="G279" s="135" t="str">
        <f>VLOOKUP(A279,Plano_V3!$A$26:$G$768,7,0)</f>
        <v>1. Concluído</v>
      </c>
      <c r="H279" s="135" t="s">
        <v>612</v>
      </c>
      <c r="I279" s="467"/>
      <c r="J279" s="153"/>
      <c r="K279" s="153"/>
      <c r="L279" s="153"/>
      <c r="M279" s="153"/>
      <c r="N279" s="487"/>
      <c r="O279" s="153"/>
      <c r="P279" s="152" t="str">
        <f>IF(VLOOKUP(A279,'Aux - pivots1'!$A:$E,3,0)=0, "",VLOOKUP(A279,'Aux - pivots1'!$A:$E,3,0))</f>
        <v/>
      </c>
      <c r="Q279" s="152" t="str">
        <f>IF(VLOOKUP(A279,'Aux - pivots1'!$A:$E,4,0)=0, "",VLOOKUP(A279,'Aux - pivots1'!$A:$E,4,0))</f>
        <v/>
      </c>
      <c r="R279" s="152" t="str">
        <f>IF(VLOOKUP(A279,'Aux - pivots1'!$A:$E,5,0)=0, "",VLOOKUP(A279,'Aux - pivots1'!$A:$E,5,0))</f>
        <v/>
      </c>
      <c r="S279" s="198"/>
      <c r="T279" s="198"/>
      <c r="U279" s="198"/>
      <c r="V279" s="320"/>
      <c r="W279" s="320"/>
      <c r="X279" s="320"/>
      <c r="Y279" s="368" t="s">
        <v>2320</v>
      </c>
      <c r="Z279" s="152"/>
    </row>
    <row r="280" spans="1:26" ht="16.399999999999999" hidden="1" customHeight="1">
      <c r="A280" s="29" t="str">
        <f t="shared" si="4"/>
        <v>RESPONSIBILITY_PROCESS_RELREFERENCE_CODE</v>
      </c>
      <c r="B280" s="141" t="s">
        <v>26</v>
      </c>
      <c r="C280" s="137" t="s">
        <v>54</v>
      </c>
      <c r="D280" s="133" t="s">
        <v>40</v>
      </c>
      <c r="E280" s="134" t="s">
        <v>74</v>
      </c>
      <c r="F280" s="470" t="s">
        <v>78</v>
      </c>
      <c r="G280" s="135" t="str">
        <f>VLOOKUP(A280,Plano_V3!$A$26:$G$768,7,0)</f>
        <v>1. Concluído</v>
      </c>
      <c r="H280" s="135" t="s">
        <v>612</v>
      </c>
      <c r="I280" s="467"/>
      <c r="J280" s="153"/>
      <c r="K280" s="153"/>
      <c r="L280" s="153"/>
      <c r="M280" s="153"/>
      <c r="N280" s="487"/>
      <c r="O280" s="153"/>
      <c r="P280" s="152" t="str">
        <f>IF(VLOOKUP(A280,'Aux - pivots1'!$A:$E,3,0)=0, "",VLOOKUP(A280,'Aux - pivots1'!$A:$E,3,0))</f>
        <v/>
      </c>
      <c r="Q280" s="152" t="str">
        <f>IF(VLOOKUP(A280,'Aux - pivots1'!$A:$E,4,0)=0, "",VLOOKUP(A280,'Aux - pivots1'!$A:$E,4,0))</f>
        <v/>
      </c>
      <c r="R280" s="152" t="str">
        <f>IF(VLOOKUP(A280,'Aux - pivots1'!$A:$E,5,0)=0, "",VLOOKUP(A280,'Aux - pivots1'!$A:$E,5,0))</f>
        <v/>
      </c>
      <c r="S280" s="198"/>
      <c r="T280" s="198"/>
      <c r="U280" s="198"/>
      <c r="V280" s="320"/>
      <c r="W280" s="320"/>
      <c r="X280" s="320"/>
      <c r="Y280" s="368" t="s">
        <v>2320</v>
      </c>
      <c r="Z280" s="152"/>
    </row>
    <row r="281" spans="1:26" ht="16.399999999999999" hidden="1" customHeight="1">
      <c r="A281" s="29" t="str">
        <f t="shared" si="4"/>
        <v>RESPONSIBILITY_PROCESS_RELPURPOSE_CODE</v>
      </c>
      <c r="B281" s="141" t="s">
        <v>26</v>
      </c>
      <c r="C281" s="137" t="s">
        <v>54</v>
      </c>
      <c r="D281" s="133" t="s">
        <v>40</v>
      </c>
      <c r="E281" s="134" t="s">
        <v>74</v>
      </c>
      <c r="F281" s="470" t="s">
        <v>79</v>
      </c>
      <c r="G281" s="135" t="str">
        <f>VLOOKUP(A281,Plano_V3!$A$26:$G$768,7,0)</f>
        <v>1. Concluído</v>
      </c>
      <c r="H281" s="135" t="s">
        <v>612</v>
      </c>
      <c r="I281" s="467"/>
      <c r="J281" s="142"/>
      <c r="K281" s="142"/>
      <c r="L281" s="153"/>
      <c r="M281" s="153"/>
      <c r="N281" s="142"/>
      <c r="O281" s="142"/>
      <c r="P281" s="152" t="str">
        <f>IF(VLOOKUP(A281,'Aux - pivots1'!$A:$E,3,0)=0, "",VLOOKUP(A281,'Aux - pivots1'!$A:$E,3,0))</f>
        <v/>
      </c>
      <c r="Q281" s="152" t="str">
        <f>IF(VLOOKUP(A281,'Aux - pivots1'!$A:$E,4,0)=0, "",VLOOKUP(A281,'Aux - pivots1'!$A:$E,4,0))</f>
        <v/>
      </c>
      <c r="R281" s="152" t="str">
        <f>IF(VLOOKUP(A281,'Aux - pivots1'!$A:$E,5,0)=0, "",VLOOKUP(A281,'Aux - pivots1'!$A:$E,5,0))</f>
        <v/>
      </c>
      <c r="S281" s="198"/>
      <c r="T281" s="198"/>
      <c r="U281" s="198"/>
      <c r="V281" s="320"/>
      <c r="W281" s="320"/>
      <c r="X281" s="320"/>
      <c r="Y281" s="368" t="s">
        <v>2320</v>
      </c>
      <c r="Z281" s="152"/>
    </row>
    <row r="282" spans="1:26" ht="16.399999999999999" hidden="1" customHeight="1">
      <c r="A282" s="29" t="str">
        <f t="shared" si="4"/>
        <v>RESPONSIBILITY_PROCESS_RELINDIVIDUAL_OCCUPATION_CODE</v>
      </c>
      <c r="B282" s="141" t="s">
        <v>26</v>
      </c>
      <c r="C282" s="137" t="s">
        <v>54</v>
      </c>
      <c r="D282" s="133" t="s">
        <v>40</v>
      </c>
      <c r="E282" s="134" t="s">
        <v>74</v>
      </c>
      <c r="F282" s="470" t="s">
        <v>80</v>
      </c>
      <c r="G282" s="135" t="str">
        <f>VLOOKUP(A282,Plano_V3!$A$26:$G$768,7,0)</f>
        <v>1. Concluído</v>
      </c>
      <c r="H282" s="135" t="s">
        <v>612</v>
      </c>
      <c r="I282" s="467"/>
      <c r="J282" s="142"/>
      <c r="K282" s="142"/>
      <c r="L282" s="153"/>
      <c r="M282" s="153"/>
      <c r="N282" s="142"/>
      <c r="O282" s="142"/>
      <c r="P282" s="152" t="str">
        <f>IF(VLOOKUP(A282,'Aux - pivots1'!$A:$E,3,0)=0, "",VLOOKUP(A282,'Aux - pivots1'!$A:$E,3,0))</f>
        <v/>
      </c>
      <c r="Q282" s="152" t="str">
        <f>IF(VLOOKUP(A282,'Aux - pivots1'!$A:$E,4,0)=0, "",VLOOKUP(A282,'Aux - pivots1'!$A:$E,4,0))</f>
        <v/>
      </c>
      <c r="R282" s="152" t="str">
        <f>IF(VLOOKUP(A282,'Aux - pivots1'!$A:$E,5,0)=0, "",VLOOKUP(A282,'Aux - pivots1'!$A:$E,5,0))</f>
        <v/>
      </c>
      <c r="S282" s="198"/>
      <c r="T282" s="198"/>
      <c r="U282" s="198"/>
      <c r="V282" s="320"/>
      <c r="W282" s="320"/>
      <c r="X282" s="320"/>
      <c r="Y282" s="368" t="s">
        <v>2320</v>
      </c>
      <c r="Z282" s="152"/>
    </row>
    <row r="283" spans="1:26" ht="16.399999999999999" hidden="1" customHeight="1">
      <c r="A283" s="29" t="str">
        <f t="shared" si="4"/>
        <v>RESPONSIBILITY_PROCESS_RELPRODUCT_ID</v>
      </c>
      <c r="B283" s="141" t="s">
        <v>26</v>
      </c>
      <c r="C283" s="137" t="s">
        <v>54</v>
      </c>
      <c r="D283" s="133" t="s">
        <v>40</v>
      </c>
      <c r="E283" s="134" t="s">
        <v>74</v>
      </c>
      <c r="F283" s="470" t="s">
        <v>81</v>
      </c>
      <c r="G283" s="135" t="str">
        <f>VLOOKUP(A283,Plano_V3!$A$26:$G$768,7,0)</f>
        <v>1. Concluído</v>
      </c>
      <c r="H283" s="135" t="s">
        <v>612</v>
      </c>
      <c r="I283" s="467"/>
      <c r="J283" s="142"/>
      <c r="K283" s="142"/>
      <c r="L283" s="153"/>
      <c r="M283" s="153"/>
      <c r="N283" s="142"/>
      <c r="O283" s="142"/>
      <c r="P283" s="152" t="str">
        <f>IF(VLOOKUP(A283,'Aux - pivots1'!$A:$E,3,0)=0, "",VLOOKUP(A283,'Aux - pivots1'!$A:$E,3,0))</f>
        <v/>
      </c>
      <c r="Q283" s="152" t="str">
        <f>IF(VLOOKUP(A283,'Aux - pivots1'!$A:$E,4,0)=0, "",VLOOKUP(A283,'Aux - pivots1'!$A:$E,4,0))</f>
        <v/>
      </c>
      <c r="R283" s="152" t="str">
        <f>IF(VLOOKUP(A283,'Aux - pivots1'!$A:$E,5,0)=0, "",VLOOKUP(A283,'Aux - pivots1'!$A:$E,5,0))</f>
        <v/>
      </c>
      <c r="S283" s="198"/>
      <c r="T283" s="198"/>
      <c r="U283" s="198"/>
      <c r="V283" s="320"/>
      <c r="W283" s="320"/>
      <c r="X283" s="320"/>
      <c r="Y283" s="368" t="s">
        <v>2320</v>
      </c>
      <c r="Z283" s="152"/>
    </row>
    <row r="284" spans="1:26" ht="16.399999999999999" hidden="1" customHeight="1">
      <c r="A284" s="29" t="str">
        <f t="shared" si="4"/>
        <v>RESPONSIBILITY_PROCESS_RELcod_sit</v>
      </c>
      <c r="B284" s="141" t="s">
        <v>26</v>
      </c>
      <c r="C284" s="137" t="s">
        <v>54</v>
      </c>
      <c r="D284" s="133" t="s">
        <v>40</v>
      </c>
      <c r="E284" s="134" t="s">
        <v>74</v>
      </c>
      <c r="F284" s="470" t="s">
        <v>82</v>
      </c>
      <c r="G284" s="135" t="str">
        <f>VLOOKUP(A284,Plano_V3!$A$26:$G$768,7,0)</f>
        <v>0. Cancelado</v>
      </c>
      <c r="H284" s="135" t="s">
        <v>611</v>
      </c>
      <c r="I284" s="467"/>
      <c r="J284" s="142"/>
      <c r="K284" s="142"/>
      <c r="L284" s="153"/>
      <c r="M284" s="153"/>
      <c r="N284" s="142"/>
      <c r="O284" s="142"/>
      <c r="P284" s="152" t="str">
        <f>IF(VLOOKUP(A284,'Aux - pivots1'!$A:$E,3,0)=0, "",VLOOKUP(A284,'Aux - pivots1'!$A:$E,3,0))</f>
        <v/>
      </c>
      <c r="Q284" s="152" t="str">
        <f>IF(VLOOKUP(A284,'Aux - pivots1'!$A:$E,4,0)=0, "",VLOOKUP(A284,'Aux - pivots1'!$A:$E,4,0))</f>
        <v/>
      </c>
      <c r="R284" s="152" t="str">
        <f>IF(VLOOKUP(A284,'Aux - pivots1'!$A:$E,5,0)=0, "",VLOOKUP(A284,'Aux - pivots1'!$A:$E,5,0))</f>
        <v/>
      </c>
      <c r="S284" s="198"/>
      <c r="T284" s="198"/>
      <c r="U284" s="198"/>
      <c r="V284" s="320"/>
      <c r="W284" s="320"/>
      <c r="X284" s="320"/>
      <c r="Y284" s="368" t="s">
        <v>2320</v>
      </c>
      <c r="Z284" s="152"/>
    </row>
    <row r="285" spans="1:26" ht="16.399999999999999" hidden="1" customHeight="1">
      <c r="A285" s="29" t="str">
        <f t="shared" si="4"/>
        <v>RESPONSIBILITY_PROCESS_RELSUBPRODUCT_ID</v>
      </c>
      <c r="B285" s="141" t="s">
        <v>26</v>
      </c>
      <c r="C285" s="137" t="s">
        <v>54</v>
      </c>
      <c r="D285" s="133" t="s">
        <v>40</v>
      </c>
      <c r="E285" s="134" t="s">
        <v>74</v>
      </c>
      <c r="F285" s="470" t="s">
        <v>83</v>
      </c>
      <c r="G285" s="135" t="str">
        <f>VLOOKUP(A285,Plano_V3!$A$26:$G$768,7,0)</f>
        <v>1. Concluído</v>
      </c>
      <c r="H285" s="135" t="s">
        <v>612</v>
      </c>
      <c r="I285" s="467"/>
      <c r="J285" s="142"/>
      <c r="K285" s="142"/>
      <c r="L285" s="153"/>
      <c r="M285" s="153"/>
      <c r="N285" s="142"/>
      <c r="O285" s="142"/>
      <c r="P285" s="152" t="str">
        <f>IF(VLOOKUP(A285,'Aux - pivots1'!$A:$E,3,0)=0, "",VLOOKUP(A285,'Aux - pivots1'!$A:$E,3,0))</f>
        <v/>
      </c>
      <c r="Q285" s="152" t="str">
        <f>IF(VLOOKUP(A285,'Aux - pivots1'!$A:$E,4,0)=0, "",VLOOKUP(A285,'Aux - pivots1'!$A:$E,4,0))</f>
        <v/>
      </c>
      <c r="R285" s="152" t="str">
        <f>IF(VLOOKUP(A285,'Aux - pivots1'!$A:$E,5,0)=0, "",VLOOKUP(A285,'Aux - pivots1'!$A:$E,5,0))</f>
        <v/>
      </c>
      <c r="S285" s="198"/>
      <c r="T285" s="198"/>
      <c r="U285" s="198"/>
      <c r="V285" s="320"/>
      <c r="W285" s="320"/>
      <c r="X285" s="320"/>
      <c r="Y285" s="368" t="s">
        <v>2320</v>
      </c>
      <c r="Z285" s="152"/>
    </row>
    <row r="286" spans="1:26" ht="16.399999999999999" hidden="1" customHeight="1">
      <c r="A286" s="29" t="str">
        <f t="shared" si="4"/>
        <v>RESPONSIBILITY_PROCESS_RELPROCESS_REFERENCE_CODE</v>
      </c>
      <c r="B286" s="141" t="s">
        <v>26</v>
      </c>
      <c r="C286" s="137" t="s">
        <v>54</v>
      </c>
      <c r="D286" s="133" t="s">
        <v>40</v>
      </c>
      <c r="E286" s="134" t="s">
        <v>74</v>
      </c>
      <c r="F286" s="470" t="s">
        <v>67</v>
      </c>
      <c r="G286" s="135" t="str">
        <f>VLOOKUP(A286,Plano_V3!$A$26:$G$768,7,0)</f>
        <v>1. Concluído</v>
      </c>
      <c r="H286" s="135" t="s">
        <v>612</v>
      </c>
      <c r="I286" s="467"/>
      <c r="J286" s="142"/>
      <c r="K286" s="142"/>
      <c r="L286" s="153"/>
      <c r="M286" s="153"/>
      <c r="N286" s="142"/>
      <c r="O286" s="142"/>
      <c r="P286" s="152" t="str">
        <f>IF(VLOOKUP(A286,'Aux - pivots1'!$A:$E,3,0)=0, "",VLOOKUP(A286,'Aux - pivots1'!$A:$E,3,0))</f>
        <v/>
      </c>
      <c r="Q286" s="152" t="str">
        <f>IF(VLOOKUP(A286,'Aux - pivots1'!$A:$E,4,0)=0, "",VLOOKUP(A286,'Aux - pivots1'!$A:$E,4,0))</f>
        <v/>
      </c>
      <c r="R286" s="152" t="str">
        <f>IF(VLOOKUP(A286,'Aux - pivots1'!$A:$E,5,0)=0, "",VLOOKUP(A286,'Aux - pivots1'!$A:$E,5,0))</f>
        <v/>
      </c>
      <c r="S286" s="198"/>
      <c r="T286" s="198"/>
      <c r="U286" s="198"/>
      <c r="V286" s="320"/>
      <c r="W286" s="320"/>
      <c r="X286" s="320"/>
      <c r="Y286" s="368" t="s">
        <v>2320</v>
      </c>
      <c r="Z286" s="152"/>
    </row>
    <row r="287" spans="1:26" ht="16.399999999999999" hidden="1" customHeight="1">
      <c r="A287" s="29" t="str">
        <f t="shared" si="4"/>
        <v>RESPONSIBILITY_PROCESS_RELEFFECTIVE_RELATION_END_DATE</v>
      </c>
      <c r="B287" s="141" t="s">
        <v>26</v>
      </c>
      <c r="C287" s="137" t="s">
        <v>54</v>
      </c>
      <c r="D287" s="133" t="s">
        <v>40</v>
      </c>
      <c r="E287" s="134" t="s">
        <v>74</v>
      </c>
      <c r="F287" s="470" t="s">
        <v>84</v>
      </c>
      <c r="G287" s="135" t="str">
        <f>VLOOKUP(A287,Plano_V3!$A$26:$G$768,7,0)</f>
        <v>1. Concluído</v>
      </c>
      <c r="H287" s="135" t="s">
        <v>612</v>
      </c>
      <c r="I287" s="467"/>
      <c r="J287" s="142"/>
      <c r="K287" s="142"/>
      <c r="L287" s="153"/>
      <c r="M287" s="153"/>
      <c r="N287" s="142"/>
      <c r="O287" s="142"/>
      <c r="P287" s="152" t="str">
        <f>IF(VLOOKUP(A287,'Aux - pivots1'!$A:$E,3,0)=0, "",VLOOKUP(A287,'Aux - pivots1'!$A:$E,3,0))</f>
        <v/>
      </c>
      <c r="Q287" s="152" t="str">
        <f>IF(VLOOKUP(A287,'Aux - pivots1'!$A:$E,4,0)=0, "",VLOOKUP(A287,'Aux - pivots1'!$A:$E,4,0))</f>
        <v/>
      </c>
      <c r="R287" s="152" t="str">
        <f>IF(VLOOKUP(A287,'Aux - pivots1'!$A:$E,5,0)=0, "",VLOOKUP(A287,'Aux - pivots1'!$A:$E,5,0))</f>
        <v/>
      </c>
      <c r="S287" s="198"/>
      <c r="T287" s="198"/>
      <c r="U287" s="198"/>
      <c r="V287" s="320"/>
      <c r="W287" s="320"/>
      <c r="X287" s="320"/>
      <c r="Y287" s="368" t="s">
        <v>2320</v>
      </c>
      <c r="Z287" s="152"/>
    </row>
    <row r="288" spans="1:26" ht="16.399999999999999" hidden="1" customHeight="1">
      <c r="A288" s="29" t="str">
        <f t="shared" si="4"/>
        <v>RESPONSIBILITY_PROCESS_RELRELATION_START_DATE</v>
      </c>
      <c r="B288" s="141" t="s">
        <v>26</v>
      </c>
      <c r="C288" s="137" t="s">
        <v>54</v>
      </c>
      <c r="D288" s="133" t="s">
        <v>40</v>
      </c>
      <c r="E288" s="134" t="s">
        <v>74</v>
      </c>
      <c r="F288" s="470" t="s">
        <v>2434</v>
      </c>
      <c r="G288" s="135" t="str">
        <f>VLOOKUP(A288,Plano_V3!$A$26:$G$768,7,0)</f>
        <v>1. Concluído</v>
      </c>
      <c r="H288" s="135" t="s">
        <v>612</v>
      </c>
      <c r="I288" s="467"/>
      <c r="J288" s="142"/>
      <c r="K288" s="142"/>
      <c r="L288" s="153"/>
      <c r="M288" s="153"/>
      <c r="N288" s="142"/>
      <c r="O288" s="142"/>
      <c r="P288" s="152" t="str">
        <f>IF(VLOOKUP(A288,'Aux - pivots1'!$A:$E,3,0)=0, "",VLOOKUP(A288,'Aux - pivots1'!$A:$E,3,0))</f>
        <v/>
      </c>
      <c r="Q288" s="152" t="str">
        <f>IF(VLOOKUP(A288,'Aux - pivots1'!$A:$E,4,0)=0, "",VLOOKUP(A288,'Aux - pivots1'!$A:$E,4,0))</f>
        <v/>
      </c>
      <c r="R288" s="152" t="str">
        <f>IF(VLOOKUP(A288,'Aux - pivots1'!$A:$E,5,0)=0, "",VLOOKUP(A288,'Aux - pivots1'!$A:$E,5,0))</f>
        <v/>
      </c>
      <c r="S288" s="198"/>
      <c r="T288" s="198"/>
      <c r="U288" s="198"/>
      <c r="V288" s="320"/>
      <c r="W288" s="320"/>
      <c r="X288" s="320"/>
      <c r="Y288" s="368" t="s">
        <v>2320</v>
      </c>
      <c r="Z288" s="152"/>
    </row>
    <row r="289" spans="1:26" ht="16.399999999999999" hidden="1" customHeight="1">
      <c r="A289" s="29" t="str">
        <f t="shared" si="4"/>
        <v>RESPONSIBILITY_PROCESS_RELESTABLISHED_RELATION_END_DATE</v>
      </c>
      <c r="B289" s="141" t="s">
        <v>26</v>
      </c>
      <c r="C289" s="137" t="s">
        <v>54</v>
      </c>
      <c r="D289" s="133" t="s">
        <v>40</v>
      </c>
      <c r="E289" s="134" t="s">
        <v>74</v>
      </c>
      <c r="F289" s="470" t="s">
        <v>2435</v>
      </c>
      <c r="G289" s="135" t="str">
        <f>VLOOKUP(A289,Plano_V3!$A$26:$G$768,7,0)</f>
        <v>1. Concluído</v>
      </c>
      <c r="H289" s="135" t="s">
        <v>612</v>
      </c>
      <c r="I289" s="467"/>
      <c r="J289" s="142"/>
      <c r="K289" s="142"/>
      <c r="L289" s="153"/>
      <c r="M289" s="153"/>
      <c r="N289" s="142"/>
      <c r="O289" s="142"/>
      <c r="P289" s="152" t="str">
        <f>IF(VLOOKUP(A289,'Aux - pivots1'!$A:$E,3,0)=0, "",VLOOKUP(A289,'Aux - pivots1'!$A:$E,3,0))</f>
        <v/>
      </c>
      <c r="Q289" s="152" t="str">
        <f>IF(VLOOKUP(A289,'Aux - pivots1'!$A:$E,4,0)=0, "",VLOOKUP(A289,'Aux - pivots1'!$A:$E,4,0))</f>
        <v/>
      </c>
      <c r="R289" s="152" t="str">
        <f>IF(VLOOKUP(A289,'Aux - pivots1'!$A:$E,5,0)=0, "",VLOOKUP(A289,'Aux - pivots1'!$A:$E,5,0))</f>
        <v/>
      </c>
      <c r="S289" s="198"/>
      <c r="T289" s="198"/>
      <c r="U289" s="198"/>
      <c r="V289" s="320"/>
      <c r="W289" s="320"/>
      <c r="X289" s="320"/>
      <c r="Y289" s="368" t="s">
        <v>2320</v>
      </c>
      <c r="Z289" s="152"/>
    </row>
    <row r="290" spans="1:26" ht="16.399999999999999" hidden="1" customHeight="1">
      <c r="A290" s="29" t="str">
        <f t="shared" si="4"/>
        <v>RESPONSIBILITY_PROCESS_RELidetgar</v>
      </c>
      <c r="B290" s="141" t="s">
        <v>26</v>
      </c>
      <c r="C290" s="137" t="s">
        <v>54</v>
      </c>
      <c r="D290" s="133" t="s">
        <v>40</v>
      </c>
      <c r="E290" s="134" t="s">
        <v>74</v>
      </c>
      <c r="F290" s="470" t="s">
        <v>85</v>
      </c>
      <c r="G290" s="135" t="str">
        <f>VLOOKUP(A290,Plano_V3!$A$26:$G$768,7,0)</f>
        <v>0. Cancelado</v>
      </c>
      <c r="H290" s="135" t="s">
        <v>611</v>
      </c>
      <c r="I290" s="467"/>
      <c r="J290" s="142"/>
      <c r="K290" s="142"/>
      <c r="L290" s="153"/>
      <c r="M290" s="153"/>
      <c r="N290" s="142"/>
      <c r="O290" s="142"/>
      <c r="P290" s="152" t="str">
        <f>IF(VLOOKUP(A290,'Aux - pivots1'!$A:$E,3,0)=0, "",VLOOKUP(A290,'Aux - pivots1'!$A:$E,3,0))</f>
        <v/>
      </c>
      <c r="Q290" s="152" t="str">
        <f>IF(VLOOKUP(A290,'Aux - pivots1'!$A:$E,4,0)=0, "",VLOOKUP(A290,'Aux - pivots1'!$A:$E,4,0))</f>
        <v/>
      </c>
      <c r="R290" s="152" t="str">
        <f>IF(VLOOKUP(A290,'Aux - pivots1'!$A:$E,5,0)=0, "",VLOOKUP(A290,'Aux - pivots1'!$A:$E,5,0))</f>
        <v/>
      </c>
      <c r="S290" s="198"/>
      <c r="T290" s="198"/>
      <c r="U290" s="198"/>
      <c r="V290" s="320"/>
      <c r="W290" s="320"/>
      <c r="X290" s="320"/>
      <c r="Y290" s="368" t="s">
        <v>2320</v>
      </c>
      <c r="Z290" s="152"/>
    </row>
    <row r="291" spans="1:26" ht="16.399999999999999" hidden="1" customHeight="1">
      <c r="A291" s="29" t="str">
        <f t="shared" si="4"/>
        <v>RESPONSIBILITY_PROCESS_RELnum_prop</v>
      </c>
      <c r="B291" s="141" t="s">
        <v>26</v>
      </c>
      <c r="C291" s="137" t="s">
        <v>54</v>
      </c>
      <c r="D291" s="133" t="s">
        <v>40</v>
      </c>
      <c r="E291" s="134" t="s">
        <v>74</v>
      </c>
      <c r="F291" s="470" t="s">
        <v>86</v>
      </c>
      <c r="G291" s="135" t="str">
        <f>VLOOKUP(A291,Plano_V3!$A$26:$G$768,7,0)</f>
        <v>0. Cancelado</v>
      </c>
      <c r="H291" s="135" t="s">
        <v>611</v>
      </c>
      <c r="I291" s="467"/>
      <c r="J291" s="142"/>
      <c r="K291" s="142"/>
      <c r="L291" s="153"/>
      <c r="M291" s="153"/>
      <c r="N291" s="142"/>
      <c r="O291" s="142"/>
      <c r="P291" s="152" t="str">
        <f>IF(VLOOKUP(A291,'Aux - pivots1'!$A:$E,3,0)=0, "",VLOOKUP(A291,'Aux - pivots1'!$A:$E,3,0))</f>
        <v/>
      </c>
      <c r="Q291" s="152" t="str">
        <f>IF(VLOOKUP(A291,'Aux - pivots1'!$A:$E,4,0)=0, "",VLOOKUP(A291,'Aux - pivots1'!$A:$E,4,0))</f>
        <v/>
      </c>
      <c r="R291" s="152" t="str">
        <f>IF(VLOOKUP(A291,'Aux - pivots1'!$A:$E,5,0)=0, "",VLOOKUP(A291,'Aux - pivots1'!$A:$E,5,0))</f>
        <v/>
      </c>
      <c r="S291" s="198"/>
      <c r="T291" s="198"/>
      <c r="U291" s="198"/>
      <c r="V291" s="320"/>
      <c r="W291" s="320"/>
      <c r="X291" s="320"/>
      <c r="Y291" s="368" t="s">
        <v>2320</v>
      </c>
      <c r="Z291" s="152"/>
    </row>
    <row r="292" spans="1:26" ht="16.399999999999999" hidden="1" customHeight="1">
      <c r="A292" s="29" t="str">
        <f t="shared" si="4"/>
        <v>RESPONSIBILITY_PROCESS_RELSOURCE_CODE</v>
      </c>
      <c r="B292" s="141" t="s">
        <v>26</v>
      </c>
      <c r="C292" s="137" t="s">
        <v>54</v>
      </c>
      <c r="D292" s="133" t="s">
        <v>40</v>
      </c>
      <c r="E292" s="134" t="s">
        <v>74</v>
      </c>
      <c r="F292" s="470" t="s">
        <v>87</v>
      </c>
      <c r="G292" s="135" t="str">
        <f>VLOOKUP(A292,Plano_V3!$A$26:$G$768,7,0)</f>
        <v>1. Concluído</v>
      </c>
      <c r="H292" s="135" t="s">
        <v>612</v>
      </c>
      <c r="I292" s="467"/>
      <c r="J292" s="142"/>
      <c r="K292" s="142"/>
      <c r="L292" s="153"/>
      <c r="M292" s="153"/>
      <c r="N292" s="142"/>
      <c r="O292" s="142"/>
      <c r="P292" s="152" t="str">
        <f>IF(VLOOKUP(A292,'Aux - pivots1'!$A:$E,3,0)=0, "",VLOOKUP(A292,'Aux - pivots1'!$A:$E,3,0))</f>
        <v/>
      </c>
      <c r="Q292" s="152" t="str">
        <f>IF(VLOOKUP(A292,'Aux - pivots1'!$A:$E,4,0)=0, "",VLOOKUP(A292,'Aux - pivots1'!$A:$E,4,0))</f>
        <v/>
      </c>
      <c r="R292" s="152" t="str">
        <f>IF(VLOOKUP(A292,'Aux - pivots1'!$A:$E,5,0)=0, "",VLOOKUP(A292,'Aux - pivots1'!$A:$E,5,0))</f>
        <v/>
      </c>
      <c r="S292" s="198"/>
      <c r="T292" s="198"/>
      <c r="U292" s="198"/>
      <c r="V292" s="320"/>
      <c r="W292" s="320"/>
      <c r="X292" s="320"/>
      <c r="Y292" s="368" t="s">
        <v>2320</v>
      </c>
      <c r="Z292" s="152"/>
    </row>
    <row r="293" spans="1:26" ht="16.399999999999999" hidden="1" customHeight="1">
      <c r="A293" s="29" t="str">
        <f t="shared" si="4"/>
        <v>RESPONSIBILITY_PROCESS_RELDATA_DATE_PART</v>
      </c>
      <c r="B293" s="141" t="s">
        <v>26</v>
      </c>
      <c r="C293" s="137" t="s">
        <v>54</v>
      </c>
      <c r="D293" s="133" t="s">
        <v>40</v>
      </c>
      <c r="E293" s="134" t="s">
        <v>74</v>
      </c>
      <c r="F293" s="470" t="s">
        <v>73</v>
      </c>
      <c r="G293" s="135" t="str">
        <f>VLOOKUP(A293,Plano_V3!$A$26:$G$768,7,0)</f>
        <v>1. Concluído</v>
      </c>
      <c r="H293" s="135" t="s">
        <v>612</v>
      </c>
      <c r="I293" s="467"/>
      <c r="J293" s="142"/>
      <c r="K293" s="142"/>
      <c r="L293" s="153"/>
      <c r="M293" s="153"/>
      <c r="N293" s="142"/>
      <c r="O293" s="142"/>
      <c r="P293" s="152" t="str">
        <f>IF(VLOOKUP(A293,'Aux - pivots1'!$A:$E,3,0)=0, "",VLOOKUP(A293,'Aux - pivots1'!$A:$E,3,0))</f>
        <v/>
      </c>
      <c r="Q293" s="152" t="str">
        <f>IF(VLOOKUP(A293,'Aux - pivots1'!$A:$E,4,0)=0, "",VLOOKUP(A293,'Aux - pivots1'!$A:$E,4,0))</f>
        <v/>
      </c>
      <c r="R293" s="152" t="str">
        <f>IF(VLOOKUP(A293,'Aux - pivots1'!$A:$E,5,0)=0, "",VLOOKUP(A293,'Aux - pivots1'!$A:$E,5,0))</f>
        <v/>
      </c>
      <c r="S293" s="198"/>
      <c r="T293" s="198"/>
      <c r="U293" s="198"/>
      <c r="V293" s="320"/>
      <c r="W293" s="320"/>
      <c r="X293" s="320"/>
      <c r="Y293" s="368" t="s">
        <v>2320</v>
      </c>
      <c r="Z293" s="152"/>
    </row>
    <row r="294" spans="1:26" ht="16.399999999999999" hidden="1" customHeight="1">
      <c r="A294" s="29" t="str">
        <f t="shared" si="4"/>
        <v>PROCESS_PROPERTY_RELn.a.</v>
      </c>
      <c r="B294" s="141" t="s">
        <v>26</v>
      </c>
      <c r="C294" s="137" t="s">
        <v>54</v>
      </c>
      <c r="D294" s="133" t="s">
        <v>36</v>
      </c>
      <c r="E294" s="134" t="s">
        <v>88</v>
      </c>
      <c r="F294" s="470" t="s">
        <v>38</v>
      </c>
      <c r="G294" s="135" t="str">
        <f>VLOOKUP(A294,Plano_V3!$A$26:$G$768,7,0)</f>
        <v>1. Concluído</v>
      </c>
      <c r="H294" s="135" t="s">
        <v>612</v>
      </c>
      <c r="I294" s="467"/>
      <c r="J294" s="142"/>
      <c r="K294" s="142"/>
      <c r="L294" s="153"/>
      <c r="M294" s="153"/>
      <c r="N294" s="142"/>
      <c r="O294" s="142"/>
      <c r="P294" s="152" t="str">
        <f>IF(VLOOKUP(A294,'Aux - pivots1'!$A:$E,3,0)=0, "",VLOOKUP(A294,'Aux - pivots1'!$A:$E,3,0))</f>
        <v/>
      </c>
      <c r="Q294" s="152" t="str">
        <f>IF(VLOOKUP(A294,'Aux - pivots1'!$A:$E,4,0)=0, "",VLOOKUP(A294,'Aux - pivots1'!$A:$E,4,0))</f>
        <v/>
      </c>
      <c r="R294" s="152" t="str">
        <f>IF(VLOOKUP(A294,'Aux - pivots1'!$A:$E,5,0)=0, "",VLOOKUP(A294,'Aux - pivots1'!$A:$E,5,0))</f>
        <v/>
      </c>
      <c r="S294" s="198"/>
      <c r="T294" s="198"/>
      <c r="U294" s="198"/>
      <c r="V294" s="320"/>
      <c r="W294" s="320"/>
      <c r="X294" s="320"/>
      <c r="Y294" s="368" t="s">
        <v>2320</v>
      </c>
      <c r="Z294" s="152"/>
    </row>
    <row r="295" spans="1:26" ht="16.399999999999999" hidden="1" customHeight="1">
      <c r="A295" s="29" t="str">
        <f t="shared" si="4"/>
        <v>PROCESS_PROPERTY_RELPROPERTY_BANK_ID</v>
      </c>
      <c r="B295" s="141" t="s">
        <v>26</v>
      </c>
      <c r="C295" s="137" t="s">
        <v>54</v>
      </c>
      <c r="D295" s="133" t="s">
        <v>40</v>
      </c>
      <c r="E295" s="134" t="s">
        <v>88</v>
      </c>
      <c r="F295" s="470" t="s">
        <v>41</v>
      </c>
      <c r="G295" s="135" t="str">
        <f>VLOOKUP(A295,Plano_V3!$A$26:$G$768,7,0)</f>
        <v>1. Concluído</v>
      </c>
      <c r="H295" s="135" t="s">
        <v>612</v>
      </c>
      <c r="I295" s="467"/>
      <c r="J295" s="153"/>
      <c r="K295" s="153"/>
      <c r="L295" s="153"/>
      <c r="M295" s="153"/>
      <c r="N295" s="487"/>
      <c r="O295" s="153"/>
      <c r="P295" s="152" t="str">
        <f>IF(VLOOKUP(A295,'Aux - pivots1'!$A:$E,3,0)=0, "",VLOOKUP(A295,'Aux - pivots1'!$A:$E,3,0))</f>
        <v/>
      </c>
      <c r="Q295" s="152" t="str">
        <f>IF(VLOOKUP(A295,'Aux - pivots1'!$A:$E,4,0)=0, "",VLOOKUP(A295,'Aux - pivots1'!$A:$E,4,0))</f>
        <v/>
      </c>
      <c r="R295" s="152" t="str">
        <f>IF(VLOOKUP(A295,'Aux - pivots1'!$A:$E,5,0)=0, "",VLOOKUP(A295,'Aux - pivots1'!$A:$E,5,0))</f>
        <v/>
      </c>
      <c r="S295" s="198"/>
      <c r="T295" s="198"/>
      <c r="U295" s="198"/>
      <c r="V295" s="320"/>
      <c r="W295" s="320"/>
      <c r="X295" s="320"/>
      <c r="Y295" s="368" t="s">
        <v>2320</v>
      </c>
      <c r="Z295" s="152"/>
    </row>
    <row r="296" spans="1:26" ht="16.399999999999999" hidden="1" customHeight="1">
      <c r="A296" s="29" t="str">
        <f t="shared" si="4"/>
        <v>PROCESS_PROPERTY_RELPROCESS_BANK_ID</v>
      </c>
      <c r="B296" s="141" t="s">
        <v>26</v>
      </c>
      <c r="C296" s="137" t="s">
        <v>54</v>
      </c>
      <c r="D296" s="133" t="s">
        <v>40</v>
      </c>
      <c r="E296" s="134" t="s">
        <v>88</v>
      </c>
      <c r="F296" s="470" t="s">
        <v>57</v>
      </c>
      <c r="G296" s="135" t="str">
        <f>VLOOKUP(A296,Plano_V3!$A$26:$G$768,7,0)</f>
        <v>1. Concluído</v>
      </c>
      <c r="H296" s="135" t="s">
        <v>612</v>
      </c>
      <c r="I296" s="467"/>
      <c r="J296" s="153"/>
      <c r="K296" s="153"/>
      <c r="L296" s="153"/>
      <c r="M296" s="153"/>
      <c r="N296" s="487"/>
      <c r="O296" s="153"/>
      <c r="P296" s="152" t="str">
        <f>IF(VLOOKUP(A296,'Aux - pivots1'!$A:$E,3,0)=0, "",VLOOKUP(A296,'Aux - pivots1'!$A:$E,3,0))</f>
        <v/>
      </c>
      <c r="Q296" s="152" t="str">
        <f>IF(VLOOKUP(A296,'Aux - pivots1'!$A:$E,4,0)=0, "",VLOOKUP(A296,'Aux - pivots1'!$A:$E,4,0))</f>
        <v/>
      </c>
      <c r="R296" s="152" t="str">
        <f>IF(VLOOKUP(A296,'Aux - pivots1'!$A:$E,5,0)=0, "",VLOOKUP(A296,'Aux - pivots1'!$A:$E,5,0))</f>
        <v/>
      </c>
      <c r="S296" s="198"/>
      <c r="T296" s="198"/>
      <c r="U296" s="198"/>
      <c r="V296" s="320"/>
      <c r="W296" s="320"/>
      <c r="X296" s="320"/>
      <c r="Y296" s="368" t="s">
        <v>2320</v>
      </c>
      <c r="Z296" s="152"/>
    </row>
    <row r="297" spans="1:26" ht="16.399999999999999" hidden="1" customHeight="1">
      <c r="A297" s="29" t="str">
        <f t="shared" si="4"/>
        <v>PROCESS_PROPERTY_RELPROPERTY_BRANCH_CODE</v>
      </c>
      <c r="B297" s="141" t="s">
        <v>26</v>
      </c>
      <c r="C297" s="137" t="s">
        <v>54</v>
      </c>
      <c r="D297" s="133" t="s">
        <v>40</v>
      </c>
      <c r="E297" s="134" t="s">
        <v>88</v>
      </c>
      <c r="F297" s="470" t="s">
        <v>43</v>
      </c>
      <c r="G297" s="135" t="str">
        <f>VLOOKUP(A297,Plano_V3!$A$26:$G$768,7,0)</f>
        <v>1. Concluído</v>
      </c>
      <c r="H297" s="135" t="s">
        <v>612</v>
      </c>
      <c r="I297" s="467"/>
      <c r="J297" s="153"/>
      <c r="K297" s="153"/>
      <c r="L297" s="153"/>
      <c r="M297" s="153"/>
      <c r="N297" s="487"/>
      <c r="O297" s="153"/>
      <c r="P297" s="152" t="str">
        <f>IF(VLOOKUP(A297,'Aux - pivots1'!$A:$E,3,0)=0, "",VLOOKUP(A297,'Aux - pivots1'!$A:$E,3,0))</f>
        <v/>
      </c>
      <c r="Q297" s="152" t="str">
        <f>IF(VLOOKUP(A297,'Aux - pivots1'!$A:$E,4,0)=0, "",VLOOKUP(A297,'Aux - pivots1'!$A:$E,4,0))</f>
        <v/>
      </c>
      <c r="R297" s="152" t="str">
        <f>IF(VLOOKUP(A297,'Aux - pivots1'!$A:$E,5,0)=0, "",VLOOKUP(A297,'Aux - pivots1'!$A:$E,5,0))</f>
        <v/>
      </c>
      <c r="S297" s="198"/>
      <c r="T297" s="198"/>
      <c r="U297" s="198"/>
      <c r="V297" s="320"/>
      <c r="W297" s="320"/>
      <c r="X297" s="320"/>
      <c r="Y297" s="368" t="s">
        <v>2320</v>
      </c>
      <c r="Z297" s="152"/>
    </row>
    <row r="298" spans="1:26" ht="16.399999999999999" hidden="1" customHeight="1">
      <c r="A298" s="29" t="str">
        <f t="shared" si="4"/>
        <v>PROCESS_PROPERTY_RELPROCESS_BRANCH_CODE</v>
      </c>
      <c r="B298" s="141" t="s">
        <v>26</v>
      </c>
      <c r="C298" s="137" t="s">
        <v>54</v>
      </c>
      <c r="D298" s="133" t="s">
        <v>40</v>
      </c>
      <c r="E298" s="134" t="s">
        <v>88</v>
      </c>
      <c r="F298" s="470" t="s">
        <v>58</v>
      </c>
      <c r="G298" s="135" t="str">
        <f>VLOOKUP(A298,Plano_V3!$A$26:$G$768,7,0)</f>
        <v>1. Concluído</v>
      </c>
      <c r="H298" s="135" t="s">
        <v>612</v>
      </c>
      <c r="I298" s="467"/>
      <c r="J298" s="153"/>
      <c r="K298" s="153"/>
      <c r="L298" s="153"/>
      <c r="M298" s="153"/>
      <c r="N298" s="487"/>
      <c r="O298" s="153"/>
      <c r="P298" s="152" t="str">
        <f>IF(VLOOKUP(A298,'Aux - pivots1'!$A:$E,3,0)=0, "",VLOOKUP(A298,'Aux - pivots1'!$A:$E,3,0))</f>
        <v/>
      </c>
      <c r="Q298" s="152" t="str">
        <f>IF(VLOOKUP(A298,'Aux - pivots1'!$A:$E,4,0)=0, "",VLOOKUP(A298,'Aux - pivots1'!$A:$E,4,0))</f>
        <v/>
      </c>
      <c r="R298" s="152" t="str">
        <f>IF(VLOOKUP(A298,'Aux - pivots1'!$A:$E,5,0)=0, "",VLOOKUP(A298,'Aux - pivots1'!$A:$E,5,0))</f>
        <v/>
      </c>
      <c r="S298" s="198"/>
      <c r="T298" s="198"/>
      <c r="U298" s="198"/>
      <c r="V298" s="320"/>
      <c r="W298" s="320"/>
      <c r="X298" s="320"/>
      <c r="Y298" s="368" t="s">
        <v>2320</v>
      </c>
      <c r="Z298" s="152"/>
    </row>
    <row r="299" spans="1:26" ht="16.399999999999999" hidden="1" customHeight="1">
      <c r="A299" s="29" t="str">
        <f t="shared" si="4"/>
        <v>PROCESS_PROPERTY_RELPROPERTY_CONTRACT_ID</v>
      </c>
      <c r="B299" s="141" t="s">
        <v>26</v>
      </c>
      <c r="C299" s="137" t="s">
        <v>54</v>
      </c>
      <c r="D299" s="133" t="s">
        <v>40</v>
      </c>
      <c r="E299" s="134" t="s">
        <v>88</v>
      </c>
      <c r="F299" s="470" t="s">
        <v>44</v>
      </c>
      <c r="G299" s="135" t="str">
        <f>VLOOKUP(A299,Plano_V3!$A$26:$G$768,7,0)</f>
        <v>1. Concluído</v>
      </c>
      <c r="H299" s="135" t="s">
        <v>612</v>
      </c>
      <c r="I299" s="467"/>
      <c r="J299" s="153"/>
      <c r="K299" s="153"/>
      <c r="L299" s="153"/>
      <c r="M299" s="153"/>
      <c r="N299" s="487"/>
      <c r="O299" s="153"/>
      <c r="P299" s="152" t="str">
        <f>IF(VLOOKUP(A299,'Aux - pivots1'!$A:$E,3,0)=0, "",VLOOKUP(A299,'Aux - pivots1'!$A:$E,3,0))</f>
        <v/>
      </c>
      <c r="Q299" s="152" t="str">
        <f>IF(VLOOKUP(A299,'Aux - pivots1'!$A:$E,4,0)=0, "",VLOOKUP(A299,'Aux - pivots1'!$A:$E,4,0))</f>
        <v/>
      </c>
      <c r="R299" s="152" t="str">
        <f>IF(VLOOKUP(A299,'Aux - pivots1'!$A:$E,5,0)=0, "",VLOOKUP(A299,'Aux - pivots1'!$A:$E,5,0))</f>
        <v/>
      </c>
      <c r="S299" s="198"/>
      <c r="T299" s="198"/>
      <c r="U299" s="198"/>
      <c r="V299" s="320"/>
      <c r="W299" s="320"/>
      <c r="X299" s="320"/>
      <c r="Y299" s="368" t="s">
        <v>2320</v>
      </c>
      <c r="Z299" s="152"/>
    </row>
    <row r="300" spans="1:26" ht="16.399999999999999" hidden="1" customHeight="1">
      <c r="A300" s="29" t="str">
        <f t="shared" si="4"/>
        <v>PROCESS_PROPERTY_RELPROCESS_ACCOUNT_ID</v>
      </c>
      <c r="B300" s="141" t="s">
        <v>26</v>
      </c>
      <c r="C300" s="137" t="s">
        <v>54</v>
      </c>
      <c r="D300" s="133" t="s">
        <v>40</v>
      </c>
      <c r="E300" s="134" t="s">
        <v>88</v>
      </c>
      <c r="F300" s="470" t="s">
        <v>59</v>
      </c>
      <c r="G300" s="135" t="str">
        <f>VLOOKUP(A300,Plano_V3!$A$26:$G$768,7,0)</f>
        <v>1. Concluído</v>
      </c>
      <c r="H300" s="135" t="s">
        <v>612</v>
      </c>
      <c r="I300" s="467"/>
      <c r="J300" s="153"/>
      <c r="K300" s="153"/>
      <c r="L300" s="153"/>
      <c r="M300" s="153"/>
      <c r="N300" s="487"/>
      <c r="O300" s="153"/>
      <c r="P300" s="152" t="str">
        <f>IF(VLOOKUP(A300,'Aux - pivots1'!$A:$E,3,0)=0, "",VLOOKUP(A300,'Aux - pivots1'!$A:$E,3,0))</f>
        <v/>
      </c>
      <c r="Q300" s="152" t="str">
        <f>IF(VLOOKUP(A300,'Aux - pivots1'!$A:$E,4,0)=0, "",VLOOKUP(A300,'Aux - pivots1'!$A:$E,4,0))</f>
        <v/>
      </c>
      <c r="R300" s="152" t="str">
        <f>IF(VLOOKUP(A300,'Aux - pivots1'!$A:$E,5,0)=0, "",VLOOKUP(A300,'Aux - pivots1'!$A:$E,5,0))</f>
        <v/>
      </c>
      <c r="S300" s="198"/>
      <c r="T300" s="198"/>
      <c r="U300" s="198"/>
      <c r="V300" s="320"/>
      <c r="W300" s="320"/>
      <c r="X300" s="320"/>
      <c r="Y300" s="368" t="s">
        <v>2320</v>
      </c>
      <c r="Z300" s="152"/>
    </row>
    <row r="301" spans="1:26" ht="16.399999999999999" hidden="1" customHeight="1">
      <c r="A301" s="29" t="str">
        <f t="shared" si="4"/>
        <v>PROCESS_PROPERTY_RELPROPERTY_REFERENCE_CODE</v>
      </c>
      <c r="B301" s="141" t="s">
        <v>26</v>
      </c>
      <c r="C301" s="137" t="s">
        <v>54</v>
      </c>
      <c r="D301" s="133" t="s">
        <v>40</v>
      </c>
      <c r="E301" s="134" t="s">
        <v>88</v>
      </c>
      <c r="F301" s="470" t="s">
        <v>45</v>
      </c>
      <c r="G301" s="135" t="str">
        <f>VLOOKUP(A301,Plano_V3!$A$26:$G$768,7,0)</f>
        <v>1. Concluído</v>
      </c>
      <c r="H301" s="135" t="s">
        <v>612</v>
      </c>
      <c r="I301" s="467"/>
      <c r="J301" s="153"/>
      <c r="K301" s="153"/>
      <c r="L301" s="153"/>
      <c r="M301" s="153"/>
      <c r="N301" s="487"/>
      <c r="O301" s="153"/>
      <c r="P301" s="152" t="str">
        <f>IF(VLOOKUP(A301,'Aux - pivots1'!$A:$E,3,0)=0, "",VLOOKUP(A301,'Aux - pivots1'!$A:$E,3,0))</f>
        <v/>
      </c>
      <c r="Q301" s="152" t="str">
        <f>IF(VLOOKUP(A301,'Aux - pivots1'!$A:$E,4,0)=0, "",VLOOKUP(A301,'Aux - pivots1'!$A:$E,4,0))</f>
        <v/>
      </c>
      <c r="R301" s="152" t="str">
        <f>IF(VLOOKUP(A301,'Aux - pivots1'!$A:$E,5,0)=0, "",VLOOKUP(A301,'Aux - pivots1'!$A:$E,5,0))</f>
        <v/>
      </c>
      <c r="S301" s="198"/>
      <c r="T301" s="198"/>
      <c r="U301" s="198"/>
      <c r="V301" s="320"/>
      <c r="W301" s="320"/>
      <c r="X301" s="320"/>
      <c r="Y301" s="368" t="s">
        <v>2320</v>
      </c>
      <c r="Z301" s="152"/>
    </row>
    <row r="302" spans="1:26" ht="16.399999999999999" hidden="1" customHeight="1">
      <c r="A302" s="29" t="str">
        <f t="shared" si="4"/>
        <v>PROCESS_PROPERTY_RELPROCESS_REFERENCE_CODE</v>
      </c>
      <c r="B302" s="141" t="s">
        <v>26</v>
      </c>
      <c r="C302" s="137" t="s">
        <v>54</v>
      </c>
      <c r="D302" s="133" t="s">
        <v>40</v>
      </c>
      <c r="E302" s="134" t="s">
        <v>88</v>
      </c>
      <c r="F302" s="470" t="s">
        <v>67</v>
      </c>
      <c r="G302" s="135" t="str">
        <f>VLOOKUP(A302,Plano_V3!$A$26:$G$768,7,0)</f>
        <v>1. Concluído</v>
      </c>
      <c r="H302" s="135" t="s">
        <v>612</v>
      </c>
      <c r="I302" s="467"/>
      <c r="J302" s="142"/>
      <c r="K302" s="142"/>
      <c r="L302" s="153"/>
      <c r="M302" s="153"/>
      <c r="N302" s="142"/>
      <c r="O302" s="142"/>
      <c r="P302" s="152" t="str">
        <f>IF(VLOOKUP(A302,'Aux - pivots1'!$A:$E,3,0)=0, "",VLOOKUP(A302,'Aux - pivots1'!$A:$E,3,0))</f>
        <v/>
      </c>
      <c r="Q302" s="152" t="str">
        <f>IF(VLOOKUP(A302,'Aux - pivots1'!$A:$E,4,0)=0, "",VLOOKUP(A302,'Aux - pivots1'!$A:$E,4,0))</f>
        <v/>
      </c>
      <c r="R302" s="152" t="str">
        <f>IF(VLOOKUP(A302,'Aux - pivots1'!$A:$E,5,0)=0, "",VLOOKUP(A302,'Aux - pivots1'!$A:$E,5,0))</f>
        <v/>
      </c>
      <c r="S302" s="198"/>
      <c r="T302" s="198"/>
      <c r="U302" s="198"/>
      <c r="V302" s="320"/>
      <c r="W302" s="320"/>
      <c r="X302" s="320"/>
      <c r="Y302" s="368" t="s">
        <v>2320</v>
      </c>
      <c r="Z302" s="152"/>
    </row>
    <row r="303" spans="1:26" ht="16.399999999999999" hidden="1" customHeight="1">
      <c r="A303" s="29" t="str">
        <f t="shared" si="4"/>
        <v>PROCESS_PROPERTY_RELdata_assc</v>
      </c>
      <c r="B303" s="141" t="s">
        <v>26</v>
      </c>
      <c r="C303" s="137" t="s">
        <v>54</v>
      </c>
      <c r="D303" s="133" t="s">
        <v>40</v>
      </c>
      <c r="E303" s="134" t="s">
        <v>88</v>
      </c>
      <c r="F303" s="470" t="s">
        <v>89</v>
      </c>
      <c r="G303" s="135" t="str">
        <f>VLOOKUP(A303,Plano_V3!$A$26:$G$768,7,0)</f>
        <v>0. Cancelado</v>
      </c>
      <c r="H303" s="135" t="s">
        <v>611</v>
      </c>
      <c r="I303" s="467"/>
      <c r="J303" s="142"/>
      <c r="K303" s="142"/>
      <c r="L303" s="153"/>
      <c r="M303" s="153"/>
      <c r="N303" s="142"/>
      <c r="O303" s="142"/>
      <c r="P303" s="152" t="str">
        <f>IF(VLOOKUP(A303,'Aux - pivots1'!$A:$E,3,0)=0, "",VLOOKUP(A303,'Aux - pivots1'!$A:$E,3,0))</f>
        <v/>
      </c>
      <c r="Q303" s="152" t="str">
        <f>IF(VLOOKUP(A303,'Aux - pivots1'!$A:$E,4,0)=0, "",VLOOKUP(A303,'Aux - pivots1'!$A:$E,4,0))</f>
        <v/>
      </c>
      <c r="R303" s="152" t="str">
        <f>IF(VLOOKUP(A303,'Aux - pivots1'!$A:$E,5,0)=0, "",VLOOKUP(A303,'Aux - pivots1'!$A:$E,5,0))</f>
        <v/>
      </c>
      <c r="S303" s="198"/>
      <c r="T303" s="198"/>
      <c r="U303" s="198"/>
      <c r="V303" s="320"/>
      <c r="W303" s="320"/>
      <c r="X303" s="320"/>
      <c r="Y303" s="368" t="s">
        <v>2320</v>
      </c>
      <c r="Z303" s="152"/>
    </row>
    <row r="304" spans="1:26" ht="16.399999999999999" hidden="1" customHeight="1">
      <c r="A304" s="29" t="str">
        <f t="shared" si="4"/>
        <v>PROCESS_PROPERTY_RELSEIZED_PROPERTY_IND</v>
      </c>
      <c r="B304" s="141" t="s">
        <v>26</v>
      </c>
      <c r="C304" s="137" t="s">
        <v>54</v>
      </c>
      <c r="D304" s="133" t="s">
        <v>40</v>
      </c>
      <c r="E304" s="134" t="s">
        <v>88</v>
      </c>
      <c r="F304" s="470" t="s">
        <v>90</v>
      </c>
      <c r="G304" s="135" t="str">
        <f>VLOOKUP(A304,Plano_V3!$A$26:$G$768,7,0)</f>
        <v>1. Concluído</v>
      </c>
      <c r="H304" s="135" t="s">
        <v>612</v>
      </c>
      <c r="I304" s="467"/>
      <c r="J304" s="153"/>
      <c r="K304" s="153"/>
      <c r="L304" s="153"/>
      <c r="M304" s="153"/>
      <c r="N304" s="487"/>
      <c r="O304" s="153"/>
      <c r="P304" s="152" t="str">
        <f>IF(VLOOKUP(A304,'Aux - pivots1'!$A:$E,3,0)=0, "",VLOOKUP(A304,'Aux - pivots1'!$A:$E,3,0))</f>
        <v/>
      </c>
      <c r="Q304" s="152" t="str">
        <f>IF(VLOOKUP(A304,'Aux - pivots1'!$A:$E,4,0)=0, "",VLOOKUP(A304,'Aux - pivots1'!$A:$E,4,0))</f>
        <v/>
      </c>
      <c r="R304" s="152" t="str">
        <f>IF(VLOOKUP(A304,'Aux - pivots1'!$A:$E,5,0)=0, "",VLOOKUP(A304,'Aux - pivots1'!$A:$E,5,0))</f>
        <v/>
      </c>
      <c r="S304" s="198"/>
      <c r="T304" s="198"/>
      <c r="U304" s="198"/>
      <c r="V304" s="320"/>
      <c r="W304" s="320"/>
      <c r="X304" s="320"/>
      <c r="Y304" s="368" t="s">
        <v>2320</v>
      </c>
      <c r="Z304" s="152"/>
    </row>
    <row r="305" spans="1:26" ht="16.399999999999999" hidden="1" customHeight="1">
      <c r="A305" s="29" t="str">
        <f t="shared" si="4"/>
        <v>PROCESS_PROPERTY_RELCOLLATERAL_PROPERTY_IND</v>
      </c>
      <c r="B305" s="141" t="s">
        <v>26</v>
      </c>
      <c r="C305" s="137" t="s">
        <v>54</v>
      </c>
      <c r="D305" s="133" t="s">
        <v>40</v>
      </c>
      <c r="E305" s="134" t="s">
        <v>88</v>
      </c>
      <c r="F305" s="470" t="s">
        <v>91</v>
      </c>
      <c r="G305" s="135" t="str">
        <f>VLOOKUP(A305,Plano_V3!$A$26:$G$768,7,0)</f>
        <v>1. Concluído</v>
      </c>
      <c r="H305" s="135" t="s">
        <v>612</v>
      </c>
      <c r="I305" s="467"/>
      <c r="J305" s="153"/>
      <c r="K305" s="153"/>
      <c r="L305" s="153"/>
      <c r="M305" s="153"/>
      <c r="N305" s="487"/>
      <c r="O305" s="153"/>
      <c r="P305" s="152" t="str">
        <f>IF(VLOOKUP(A305,'Aux - pivots1'!$A:$E,3,0)=0, "",VLOOKUP(A305,'Aux - pivots1'!$A:$E,3,0))</f>
        <v/>
      </c>
      <c r="Q305" s="152" t="str">
        <f>IF(VLOOKUP(A305,'Aux - pivots1'!$A:$E,4,0)=0, "",VLOOKUP(A305,'Aux - pivots1'!$A:$E,4,0))</f>
        <v/>
      </c>
      <c r="R305" s="152" t="str">
        <f>IF(VLOOKUP(A305,'Aux - pivots1'!$A:$E,5,0)=0, "",VLOOKUP(A305,'Aux - pivots1'!$A:$E,5,0))</f>
        <v/>
      </c>
      <c r="S305" s="198"/>
      <c r="T305" s="198"/>
      <c r="U305" s="198"/>
      <c r="V305" s="320"/>
      <c r="W305" s="320"/>
      <c r="X305" s="320"/>
      <c r="Y305" s="368" t="s">
        <v>2320</v>
      </c>
      <c r="Z305" s="152"/>
    </row>
    <row r="306" spans="1:26" ht="16.399999999999999" hidden="1" customHeight="1">
      <c r="A306" s="29" t="str">
        <f t="shared" si="4"/>
        <v>PROCESS_PROPERTY_RELFINANCED_PROPERTY_IND</v>
      </c>
      <c r="B306" s="141" t="s">
        <v>26</v>
      </c>
      <c r="C306" s="137" t="s">
        <v>54</v>
      </c>
      <c r="D306" s="133" t="s">
        <v>40</v>
      </c>
      <c r="E306" s="134" t="s">
        <v>88</v>
      </c>
      <c r="F306" s="470" t="s">
        <v>92</v>
      </c>
      <c r="G306" s="135" t="str">
        <f>VLOOKUP(A306,Plano_V3!$A$26:$G$768,7,0)</f>
        <v>1. Concluído</v>
      </c>
      <c r="H306" s="135" t="s">
        <v>612</v>
      </c>
      <c r="I306" s="467"/>
      <c r="J306" s="153"/>
      <c r="K306" s="153"/>
      <c r="L306" s="153"/>
      <c r="M306" s="153"/>
      <c r="N306" s="487"/>
      <c r="O306" s="153"/>
      <c r="P306" s="152" t="str">
        <f>IF(VLOOKUP(A306,'Aux - pivots1'!$A:$E,3,0)=0, "",VLOOKUP(A306,'Aux - pivots1'!$A:$E,3,0))</f>
        <v/>
      </c>
      <c r="Q306" s="152" t="str">
        <f>IF(VLOOKUP(A306,'Aux - pivots1'!$A:$E,4,0)=0, "",VLOOKUP(A306,'Aux - pivots1'!$A:$E,4,0))</f>
        <v/>
      </c>
      <c r="R306" s="152" t="str">
        <f>IF(VLOOKUP(A306,'Aux - pivots1'!$A:$E,5,0)=0, "",VLOOKUP(A306,'Aux - pivots1'!$A:$E,5,0))</f>
        <v/>
      </c>
      <c r="S306" s="198"/>
      <c r="T306" s="198"/>
      <c r="U306" s="198"/>
      <c r="V306" s="320"/>
      <c r="W306" s="320"/>
      <c r="X306" s="320"/>
      <c r="Y306" s="368" t="s">
        <v>2320</v>
      </c>
      <c r="Z306" s="152"/>
    </row>
    <row r="307" spans="1:26" ht="16.399999999999999" hidden="1" customHeight="1">
      <c r="A307" s="29" t="str">
        <f t="shared" si="4"/>
        <v>PROCESS_PROPERTY_RELOWNED_PROPERTY_IND</v>
      </c>
      <c r="B307" s="141" t="s">
        <v>26</v>
      </c>
      <c r="C307" s="137" t="s">
        <v>54</v>
      </c>
      <c r="D307" s="133" t="s">
        <v>40</v>
      </c>
      <c r="E307" s="134" t="s">
        <v>88</v>
      </c>
      <c r="F307" s="470" t="s">
        <v>93</v>
      </c>
      <c r="G307" s="135" t="str">
        <f>VLOOKUP(A307,Plano_V3!$A$26:$G$768,7,0)</f>
        <v>1. Concluído</v>
      </c>
      <c r="H307" s="135" t="s">
        <v>612</v>
      </c>
      <c r="I307" s="467"/>
      <c r="J307" s="153"/>
      <c r="K307" s="153"/>
      <c r="L307" s="153"/>
      <c r="M307" s="153"/>
      <c r="N307" s="487"/>
      <c r="O307" s="153"/>
      <c r="P307" s="152" t="str">
        <f>IF(VLOOKUP(A307,'Aux - pivots1'!$A:$E,3,0)=0, "",VLOOKUP(A307,'Aux - pivots1'!$A:$E,3,0))</f>
        <v/>
      </c>
      <c r="Q307" s="152" t="str">
        <f>IF(VLOOKUP(A307,'Aux - pivots1'!$A:$E,4,0)=0, "",VLOOKUP(A307,'Aux - pivots1'!$A:$E,4,0))</f>
        <v/>
      </c>
      <c r="R307" s="152" t="str">
        <f>IF(VLOOKUP(A307,'Aux - pivots1'!$A:$E,5,0)=0, "",VLOOKUP(A307,'Aux - pivots1'!$A:$E,5,0))</f>
        <v/>
      </c>
      <c r="S307" s="198"/>
      <c r="T307" s="198"/>
      <c r="U307" s="198"/>
      <c r="V307" s="320"/>
      <c r="W307" s="320"/>
      <c r="X307" s="320"/>
      <c r="Y307" s="368" t="s">
        <v>2320</v>
      </c>
      <c r="Z307" s="152"/>
    </row>
    <row r="308" spans="1:26" ht="16.399999999999999" hidden="1" customHeight="1">
      <c r="A308" s="29" t="str">
        <f t="shared" si="4"/>
        <v>PROCESS_PROPERTY_RELSOURCE_CODE</v>
      </c>
      <c r="B308" s="141" t="s">
        <v>26</v>
      </c>
      <c r="C308" s="137" t="s">
        <v>54</v>
      </c>
      <c r="D308" s="133" t="s">
        <v>40</v>
      </c>
      <c r="E308" s="134" t="s">
        <v>88</v>
      </c>
      <c r="F308" s="470" t="s">
        <v>87</v>
      </c>
      <c r="G308" s="135" t="str">
        <f>VLOOKUP(A308,Plano_V3!$A$26:$G$768,7,0)</f>
        <v>1. Concluído</v>
      </c>
      <c r="H308" s="135" t="s">
        <v>612</v>
      </c>
      <c r="I308" s="467"/>
      <c r="J308" s="153"/>
      <c r="K308" s="153"/>
      <c r="L308" s="153"/>
      <c r="M308" s="153"/>
      <c r="N308" s="487"/>
      <c r="O308" s="153"/>
      <c r="P308" s="152" t="str">
        <f>IF(VLOOKUP(A308,'Aux - pivots1'!$A:$E,3,0)=0, "",VLOOKUP(A308,'Aux - pivots1'!$A:$E,3,0))</f>
        <v/>
      </c>
      <c r="Q308" s="152" t="str">
        <f>IF(VLOOKUP(A308,'Aux - pivots1'!$A:$E,4,0)=0, "",VLOOKUP(A308,'Aux - pivots1'!$A:$E,4,0))</f>
        <v/>
      </c>
      <c r="R308" s="152" t="str">
        <f>IF(VLOOKUP(A308,'Aux - pivots1'!$A:$E,5,0)=0, "",VLOOKUP(A308,'Aux - pivots1'!$A:$E,5,0))</f>
        <v/>
      </c>
      <c r="S308" s="198"/>
      <c r="T308" s="198"/>
      <c r="U308" s="198"/>
      <c r="V308" s="320"/>
      <c r="W308" s="320"/>
      <c r="X308" s="320"/>
      <c r="Y308" s="368" t="s">
        <v>2320</v>
      </c>
      <c r="Z308" s="152"/>
    </row>
    <row r="309" spans="1:26" ht="16.399999999999999" hidden="1" customHeight="1">
      <c r="A309" s="29" t="str">
        <f t="shared" si="4"/>
        <v>PROCESS_PROPERTY_RELDATA_DATE_PART</v>
      </c>
      <c r="B309" s="141" t="s">
        <v>26</v>
      </c>
      <c r="C309" s="137" t="s">
        <v>54</v>
      </c>
      <c r="D309" s="133" t="s">
        <v>40</v>
      </c>
      <c r="E309" s="134" t="s">
        <v>88</v>
      </c>
      <c r="F309" s="470" t="s">
        <v>73</v>
      </c>
      <c r="G309" s="135" t="str">
        <f>VLOOKUP(A309,Plano_V3!$A$26:$G$768,7,0)</f>
        <v>1. Concluído</v>
      </c>
      <c r="H309" s="135" t="s">
        <v>612</v>
      </c>
      <c r="I309" s="467"/>
      <c r="J309" s="153"/>
      <c r="K309" s="153"/>
      <c r="L309" s="153"/>
      <c r="M309" s="153"/>
      <c r="N309" s="487"/>
      <c r="O309" s="153"/>
      <c r="P309" s="152" t="str">
        <f>IF(VLOOKUP(A309,'Aux - pivots1'!$A:$E,3,0)=0, "",VLOOKUP(A309,'Aux - pivots1'!$A:$E,3,0))</f>
        <v/>
      </c>
      <c r="Q309" s="152" t="str">
        <f>IF(VLOOKUP(A309,'Aux - pivots1'!$A:$E,4,0)=0, "",VLOOKUP(A309,'Aux - pivots1'!$A:$E,4,0))</f>
        <v/>
      </c>
      <c r="R309" s="152" t="str">
        <f>IF(VLOOKUP(A309,'Aux - pivots1'!$A:$E,5,0)=0, "",VLOOKUP(A309,'Aux - pivots1'!$A:$E,5,0))</f>
        <v/>
      </c>
      <c r="S309" s="198"/>
      <c r="T309" s="198"/>
      <c r="U309" s="198"/>
      <c r="V309" s="320"/>
      <c r="W309" s="320"/>
      <c r="X309" s="320"/>
      <c r="Y309" s="368" t="s">
        <v>2320</v>
      </c>
      <c r="Z309" s="152"/>
    </row>
    <row r="310" spans="1:26" ht="16.399999999999999" hidden="1" customHeight="1">
      <c r="A310" s="29" t="str">
        <f t="shared" si="4"/>
        <v>PROPERTYn.a.</v>
      </c>
      <c r="B310" s="141" t="s">
        <v>26</v>
      </c>
      <c r="C310" s="137" t="s">
        <v>54</v>
      </c>
      <c r="D310" s="133" t="s">
        <v>36</v>
      </c>
      <c r="E310" s="134" t="s">
        <v>94</v>
      </c>
      <c r="F310" s="470" t="s">
        <v>38</v>
      </c>
      <c r="G310" s="135" t="str">
        <f>VLOOKUP(A310,Plano_V3!$A$26:$G$768,7,0)</f>
        <v>1. Concluído</v>
      </c>
      <c r="H310" s="135" t="s">
        <v>612</v>
      </c>
      <c r="I310" s="467"/>
      <c r="J310" s="142"/>
      <c r="K310" s="142"/>
      <c r="L310" s="153"/>
      <c r="M310" s="153"/>
      <c r="N310" s="142"/>
      <c r="O310" s="142"/>
      <c r="P310" s="152" t="str">
        <f>IF(VLOOKUP(A310,'Aux - pivots1'!$A:$E,3,0)=0, "",VLOOKUP(A310,'Aux - pivots1'!$A:$E,3,0))</f>
        <v/>
      </c>
      <c r="Q310" s="152" t="str">
        <f>IF(VLOOKUP(A310,'Aux - pivots1'!$A:$E,4,0)=0, "",VLOOKUP(A310,'Aux - pivots1'!$A:$E,4,0))</f>
        <v/>
      </c>
      <c r="R310" s="152" t="str">
        <f>IF(VLOOKUP(A310,'Aux - pivots1'!$A:$E,5,0)=0, "",VLOOKUP(A310,'Aux - pivots1'!$A:$E,5,0))</f>
        <v/>
      </c>
      <c r="S310" s="198"/>
      <c r="T310" s="198"/>
      <c r="U310" s="198"/>
      <c r="V310" s="320"/>
      <c r="W310" s="320"/>
      <c r="X310" s="320"/>
      <c r="Y310" s="368" t="s">
        <v>2320</v>
      </c>
      <c r="Z310" s="152"/>
    </row>
    <row r="311" spans="1:26" ht="16.399999999999999" hidden="1" customHeight="1">
      <c r="A311" s="29" t="str">
        <f t="shared" si="4"/>
        <v>PROPERTYCONSTRUCTION_YEAR</v>
      </c>
      <c r="B311" s="141" t="s">
        <v>26</v>
      </c>
      <c r="C311" s="137" t="s">
        <v>54</v>
      </c>
      <c r="D311" s="133" t="s">
        <v>40</v>
      </c>
      <c r="E311" s="134" t="s">
        <v>94</v>
      </c>
      <c r="F311" s="470" t="s">
        <v>96</v>
      </c>
      <c r="G311" s="135" t="str">
        <f>VLOOKUP(A311,Plano_V3!$A$26:$G$768,7,0)</f>
        <v>1. Concluído</v>
      </c>
      <c r="H311" s="135" t="s">
        <v>612</v>
      </c>
      <c r="I311" s="467"/>
      <c r="J311" s="142"/>
      <c r="K311" s="142"/>
      <c r="L311" s="153"/>
      <c r="M311" s="153"/>
      <c r="N311" s="142"/>
      <c r="O311" s="142"/>
      <c r="P311" s="152" t="str">
        <f>IF(VLOOKUP(A311,'Aux - pivots1'!$A:$E,3,0)=0, "",VLOOKUP(A311,'Aux - pivots1'!$A:$E,3,0))</f>
        <v/>
      </c>
      <c r="Q311" s="152" t="str">
        <f>IF(VLOOKUP(A311,'Aux - pivots1'!$A:$E,4,0)=0, "",VLOOKUP(A311,'Aux - pivots1'!$A:$E,4,0))</f>
        <v/>
      </c>
      <c r="R311" s="152" t="str">
        <f>IF(VLOOKUP(A311,'Aux - pivots1'!$A:$E,5,0)=0, "",VLOOKUP(A311,'Aux - pivots1'!$A:$E,5,0))</f>
        <v/>
      </c>
      <c r="S311" s="198"/>
      <c r="T311" s="198"/>
      <c r="U311" s="198"/>
      <c r="V311" s="320"/>
      <c r="W311" s="320"/>
      <c r="X311" s="320"/>
      <c r="Y311" s="368" t="s">
        <v>2320</v>
      </c>
      <c r="Z311" s="152"/>
    </row>
    <row r="312" spans="1:26" ht="16.399999999999999" hidden="1" customHeight="1">
      <c r="A312" s="29" t="str">
        <f t="shared" si="4"/>
        <v>PROPERTYNET_FLOOR_AREA</v>
      </c>
      <c r="B312" s="141" t="s">
        <v>26</v>
      </c>
      <c r="C312" s="137" t="s">
        <v>54</v>
      </c>
      <c r="D312" s="133" t="s">
        <v>40</v>
      </c>
      <c r="E312" s="134" t="s">
        <v>94</v>
      </c>
      <c r="F312" s="470" t="s">
        <v>97</v>
      </c>
      <c r="G312" s="135" t="str">
        <f>VLOOKUP(A312,Plano_V3!$A$26:$G$768,7,0)</f>
        <v>1. Concluído</v>
      </c>
      <c r="H312" s="135" t="s">
        <v>612</v>
      </c>
      <c r="I312" s="467"/>
      <c r="J312" s="142"/>
      <c r="K312" s="142"/>
      <c r="L312" s="153"/>
      <c r="M312" s="153"/>
      <c r="N312" s="142"/>
      <c r="O312" s="142"/>
      <c r="P312" s="152" t="str">
        <f>IF(VLOOKUP(A312,'Aux - pivots1'!$A:$E,3,0)=0, "",VLOOKUP(A312,'Aux - pivots1'!$A:$E,3,0))</f>
        <v/>
      </c>
      <c r="Q312" s="152" t="str">
        <f>IF(VLOOKUP(A312,'Aux - pivots1'!$A:$E,4,0)=0, "",VLOOKUP(A312,'Aux - pivots1'!$A:$E,4,0))</f>
        <v/>
      </c>
      <c r="R312" s="152" t="str">
        <f>IF(VLOOKUP(A312,'Aux - pivots1'!$A:$E,5,0)=0, "",VLOOKUP(A312,'Aux - pivots1'!$A:$E,5,0))</f>
        <v/>
      </c>
      <c r="S312" s="198"/>
      <c r="T312" s="198"/>
      <c r="U312" s="198"/>
      <c r="V312" s="320"/>
      <c r="W312" s="320"/>
      <c r="X312" s="320"/>
      <c r="Y312" s="368" t="s">
        <v>2320</v>
      </c>
      <c r="Z312" s="152"/>
    </row>
    <row r="313" spans="1:26" ht="16.399999999999999" hidden="1" customHeight="1">
      <c r="A313" s="29" t="str">
        <f t="shared" si="4"/>
        <v>PROPERTYPROPERTY_BANK_ID</v>
      </c>
      <c r="B313" s="141" t="s">
        <v>26</v>
      </c>
      <c r="C313" s="137" t="s">
        <v>54</v>
      </c>
      <c r="D313" s="133" t="s">
        <v>40</v>
      </c>
      <c r="E313" s="134" t="s">
        <v>94</v>
      </c>
      <c r="F313" s="470" t="s">
        <v>41</v>
      </c>
      <c r="G313" s="135" t="str">
        <f>VLOOKUP(A313,Plano_V3!$A$26:$G$768,7,0)</f>
        <v>1. Concluído</v>
      </c>
      <c r="H313" s="135" t="s">
        <v>612</v>
      </c>
      <c r="I313" s="467"/>
      <c r="J313" s="153"/>
      <c r="K313" s="153"/>
      <c r="L313" s="153"/>
      <c r="M313" s="153"/>
      <c r="N313" s="487"/>
      <c r="O313" s="153"/>
      <c r="P313" s="152" t="str">
        <f>IF(VLOOKUP(A313,'Aux - pivots1'!$A:$E,3,0)=0, "",VLOOKUP(A313,'Aux - pivots1'!$A:$E,3,0))</f>
        <v/>
      </c>
      <c r="Q313" s="152" t="str">
        <f>IF(VLOOKUP(A313,'Aux - pivots1'!$A:$E,4,0)=0, "",VLOOKUP(A313,'Aux - pivots1'!$A:$E,4,0))</f>
        <v/>
      </c>
      <c r="R313" s="152" t="str">
        <f>IF(VLOOKUP(A313,'Aux - pivots1'!$A:$E,5,0)=0, "",VLOOKUP(A313,'Aux - pivots1'!$A:$E,5,0))</f>
        <v/>
      </c>
      <c r="S313" s="198"/>
      <c r="T313" s="198"/>
      <c r="U313" s="198"/>
      <c r="V313" s="320"/>
      <c r="W313" s="320"/>
      <c r="X313" s="320"/>
      <c r="Y313" s="368" t="s">
        <v>2320</v>
      </c>
      <c r="Z313" s="152"/>
    </row>
    <row r="314" spans="1:26" ht="16.399999999999999" hidden="1" customHeight="1">
      <c r="A314" s="29" t="str">
        <f t="shared" si="4"/>
        <v>PROPERTYPROPERTY_BRANCH_CODE</v>
      </c>
      <c r="B314" s="141" t="s">
        <v>26</v>
      </c>
      <c r="C314" s="137" t="s">
        <v>54</v>
      </c>
      <c r="D314" s="133" t="s">
        <v>40</v>
      </c>
      <c r="E314" s="134" t="s">
        <v>94</v>
      </c>
      <c r="F314" s="470" t="s">
        <v>43</v>
      </c>
      <c r="G314" s="135" t="str">
        <f>VLOOKUP(A314,Plano_V3!$A$26:$G$768,7,0)</f>
        <v>1. Concluído</v>
      </c>
      <c r="H314" s="135" t="s">
        <v>612</v>
      </c>
      <c r="I314" s="467"/>
      <c r="J314" s="153"/>
      <c r="K314" s="153"/>
      <c r="L314" s="153"/>
      <c r="M314" s="153"/>
      <c r="N314" s="487"/>
      <c r="O314" s="153"/>
      <c r="P314" s="152" t="str">
        <f>IF(VLOOKUP(A314,'Aux - pivots1'!$A:$E,3,0)=0, "",VLOOKUP(A314,'Aux - pivots1'!$A:$E,3,0))</f>
        <v/>
      </c>
      <c r="Q314" s="152" t="str">
        <f>IF(VLOOKUP(A314,'Aux - pivots1'!$A:$E,4,0)=0, "",VLOOKUP(A314,'Aux - pivots1'!$A:$E,4,0))</f>
        <v/>
      </c>
      <c r="R314" s="152" t="str">
        <f>IF(VLOOKUP(A314,'Aux - pivots1'!$A:$E,5,0)=0, "",VLOOKUP(A314,'Aux - pivots1'!$A:$E,5,0))</f>
        <v/>
      </c>
      <c r="S314" s="198"/>
      <c r="T314" s="198"/>
      <c r="U314" s="198"/>
      <c r="V314" s="320"/>
      <c r="W314" s="320"/>
      <c r="X314" s="320"/>
      <c r="Y314" s="368" t="s">
        <v>2320</v>
      </c>
      <c r="Z314" s="152"/>
    </row>
    <row r="315" spans="1:26" ht="16.399999999999999" hidden="1" customHeight="1">
      <c r="A315" s="29" t="str">
        <f t="shared" si="4"/>
        <v>PROPERTYPROPERTY_CONTRACT_ID</v>
      </c>
      <c r="B315" s="141" t="s">
        <v>26</v>
      </c>
      <c r="C315" s="137" t="s">
        <v>54</v>
      </c>
      <c r="D315" s="133" t="s">
        <v>40</v>
      </c>
      <c r="E315" s="134" t="s">
        <v>94</v>
      </c>
      <c r="F315" s="470" t="s">
        <v>44</v>
      </c>
      <c r="G315" s="135" t="str">
        <f>VLOOKUP(A315,Plano_V3!$A$26:$G$768,7,0)</f>
        <v>1. Concluído</v>
      </c>
      <c r="H315" s="135" t="s">
        <v>612</v>
      </c>
      <c r="I315" s="467"/>
      <c r="J315" s="153"/>
      <c r="K315" s="153"/>
      <c r="L315" s="153"/>
      <c r="M315" s="153"/>
      <c r="N315" s="487"/>
      <c r="O315" s="153"/>
      <c r="P315" s="152" t="str">
        <f>IF(VLOOKUP(A315,'Aux - pivots1'!$A:$E,3,0)=0, "",VLOOKUP(A315,'Aux - pivots1'!$A:$E,3,0))</f>
        <v/>
      </c>
      <c r="Q315" s="152" t="str">
        <f>IF(VLOOKUP(A315,'Aux - pivots1'!$A:$E,4,0)=0, "",VLOOKUP(A315,'Aux - pivots1'!$A:$E,4,0))</f>
        <v/>
      </c>
      <c r="R315" s="152" t="str">
        <f>IF(VLOOKUP(A315,'Aux - pivots1'!$A:$E,5,0)=0, "",VLOOKUP(A315,'Aux - pivots1'!$A:$E,5,0))</f>
        <v/>
      </c>
      <c r="S315" s="198"/>
      <c r="T315" s="198"/>
      <c r="U315" s="198"/>
      <c r="V315" s="320"/>
      <c r="W315" s="320"/>
      <c r="X315" s="320"/>
      <c r="Y315" s="368" t="s">
        <v>2320</v>
      </c>
      <c r="Z315" s="152"/>
    </row>
    <row r="316" spans="1:26" ht="16.399999999999999" hidden="1" customHeight="1">
      <c r="A316" s="29" t="str">
        <f t="shared" si="4"/>
        <v>PROPERTYPROPERTY_REFERENCE_CODE</v>
      </c>
      <c r="B316" s="141" t="s">
        <v>26</v>
      </c>
      <c r="C316" s="137" t="s">
        <v>54</v>
      </c>
      <c r="D316" s="133" t="s">
        <v>40</v>
      </c>
      <c r="E316" s="134" t="s">
        <v>94</v>
      </c>
      <c r="F316" s="470" t="s">
        <v>45</v>
      </c>
      <c r="G316" s="135" t="str">
        <f>VLOOKUP(A316,Plano_V3!$A$26:$G$768,7,0)</f>
        <v>1. Concluído</v>
      </c>
      <c r="H316" s="135" t="s">
        <v>612</v>
      </c>
      <c r="I316" s="467"/>
      <c r="J316" s="153"/>
      <c r="K316" s="153"/>
      <c r="L316" s="153"/>
      <c r="M316" s="153"/>
      <c r="N316" s="487"/>
      <c r="O316" s="153"/>
      <c r="P316" s="152" t="str">
        <f>IF(VLOOKUP(A316,'Aux - pivots1'!$A:$E,3,0)=0, "",VLOOKUP(A316,'Aux - pivots1'!$A:$E,3,0))</f>
        <v/>
      </c>
      <c r="Q316" s="152" t="str">
        <f>IF(VLOOKUP(A316,'Aux - pivots1'!$A:$E,4,0)=0, "",VLOOKUP(A316,'Aux - pivots1'!$A:$E,4,0))</f>
        <v/>
      </c>
      <c r="R316" s="152" t="str">
        <f>IF(VLOOKUP(A316,'Aux - pivots1'!$A:$E,5,0)=0, "",VLOOKUP(A316,'Aux - pivots1'!$A:$E,5,0))</f>
        <v/>
      </c>
      <c r="S316" s="198"/>
      <c r="T316" s="198"/>
      <c r="U316" s="198"/>
      <c r="V316" s="320"/>
      <c r="W316" s="320"/>
      <c r="X316" s="320"/>
      <c r="Y316" s="368" t="s">
        <v>2320</v>
      </c>
      <c r="Z316" s="152"/>
    </row>
    <row r="317" spans="1:26" ht="16.399999999999999" hidden="1" customHeight="1">
      <c r="A317" s="29" t="str">
        <f t="shared" si="4"/>
        <v>PROPERTYCADASTRAL_REGISTER_CODE</v>
      </c>
      <c r="B317" s="141" t="s">
        <v>26</v>
      </c>
      <c r="C317" s="137" t="s">
        <v>54</v>
      </c>
      <c r="D317" s="133" t="s">
        <v>40</v>
      </c>
      <c r="E317" s="134" t="s">
        <v>94</v>
      </c>
      <c r="F317" s="470" t="s">
        <v>98</v>
      </c>
      <c r="G317" s="135" t="str">
        <f>VLOOKUP(A317,Plano_V3!$A$26:$G$768,7,0)</f>
        <v>1. Concluído</v>
      </c>
      <c r="H317" s="135" t="s">
        <v>612</v>
      </c>
      <c r="I317" s="467"/>
      <c r="J317" s="153"/>
      <c r="K317" s="153"/>
      <c r="L317" s="153"/>
      <c r="M317" s="153"/>
      <c r="N317" s="487"/>
      <c r="O317" s="153"/>
      <c r="P317" s="152" t="str">
        <f>IF(VLOOKUP(A317,'Aux - pivots1'!$A:$E,3,0)=0, "",VLOOKUP(A317,'Aux - pivots1'!$A:$E,3,0))</f>
        <v/>
      </c>
      <c r="Q317" s="152" t="str">
        <f>IF(VLOOKUP(A317,'Aux - pivots1'!$A:$E,4,0)=0, "",VLOOKUP(A317,'Aux - pivots1'!$A:$E,4,0))</f>
        <v/>
      </c>
      <c r="R317" s="152" t="str">
        <f>IF(VLOOKUP(A317,'Aux - pivots1'!$A:$E,5,0)=0, "",VLOOKUP(A317,'Aux - pivots1'!$A:$E,5,0))</f>
        <v/>
      </c>
      <c r="S317" s="198"/>
      <c r="T317" s="198"/>
      <c r="U317" s="198"/>
      <c r="V317" s="320"/>
      <c r="W317" s="320"/>
      <c r="X317" s="320"/>
      <c r="Y317" s="368" t="s">
        <v>2320</v>
      </c>
      <c r="Z317" s="152"/>
    </row>
    <row r="318" spans="1:26" ht="16.399999999999999" hidden="1" customHeight="1">
      <c r="A318" s="29" t="str">
        <f t="shared" si="4"/>
        <v>PROPERTYAPPRAISAL_CODE</v>
      </c>
      <c r="B318" s="141" t="s">
        <v>26</v>
      </c>
      <c r="C318" s="137" t="s">
        <v>54</v>
      </c>
      <c r="D318" s="133" t="s">
        <v>40</v>
      </c>
      <c r="E318" s="134" t="s">
        <v>94</v>
      </c>
      <c r="F318" s="470" t="s">
        <v>99</v>
      </c>
      <c r="G318" s="135" t="str">
        <f>VLOOKUP(A318,Plano_V3!$A$26:$G$768,7,0)</f>
        <v>1. Concluído</v>
      </c>
      <c r="H318" s="135" t="s">
        <v>612</v>
      </c>
      <c r="I318" s="467"/>
      <c r="J318" s="153"/>
      <c r="K318" s="153"/>
      <c r="L318" s="153"/>
      <c r="M318" s="153"/>
      <c r="N318" s="487"/>
      <c r="O318" s="153"/>
      <c r="P318" s="152" t="str">
        <f>IF(VLOOKUP(A318,'Aux - pivots1'!$A:$E,3,0)=0, "",VLOOKUP(A318,'Aux - pivots1'!$A:$E,3,0))</f>
        <v/>
      </c>
      <c r="Q318" s="152" t="str">
        <f>IF(VLOOKUP(A318,'Aux - pivots1'!$A:$E,4,0)=0, "",VLOOKUP(A318,'Aux - pivots1'!$A:$E,4,0))</f>
        <v/>
      </c>
      <c r="R318" s="152" t="str">
        <f>IF(VLOOKUP(A318,'Aux - pivots1'!$A:$E,5,0)=0, "",VLOOKUP(A318,'Aux - pivots1'!$A:$E,5,0))</f>
        <v/>
      </c>
      <c r="S318" s="198"/>
      <c r="T318" s="198"/>
      <c r="U318" s="198"/>
      <c r="V318" s="320"/>
      <c r="W318" s="320"/>
      <c r="X318" s="320"/>
      <c r="Y318" s="368" t="s">
        <v>2320</v>
      </c>
      <c r="Z318" s="152"/>
    </row>
    <row r="319" spans="1:26" ht="16.399999999999999" hidden="1" customHeight="1">
      <c r="A319" s="29" t="str">
        <f t="shared" si="4"/>
        <v>PROPERTYcod_bem</v>
      </c>
      <c r="B319" s="141" t="s">
        <v>26</v>
      </c>
      <c r="C319" s="137" t="s">
        <v>54</v>
      </c>
      <c r="D319" s="133" t="s">
        <v>40</v>
      </c>
      <c r="E319" s="134" t="s">
        <v>94</v>
      </c>
      <c r="F319" s="470" t="s">
        <v>100</v>
      </c>
      <c r="G319" s="135" t="str">
        <f>VLOOKUP(A319,Plano_V3!$A$26:$G$768,7,0)</f>
        <v>0. Cancelado</v>
      </c>
      <c r="H319" s="135" t="s">
        <v>611</v>
      </c>
      <c r="I319" s="467"/>
      <c r="J319" s="142"/>
      <c r="K319" s="142"/>
      <c r="L319" s="153"/>
      <c r="M319" s="153"/>
      <c r="N319" s="142"/>
      <c r="O319" s="142"/>
      <c r="P319" s="152" t="str">
        <f>IF(VLOOKUP(A319,'Aux - pivots1'!$A:$E,3,0)=0, "",VLOOKUP(A319,'Aux - pivots1'!$A:$E,3,0))</f>
        <v/>
      </c>
      <c r="Q319" s="152" t="str">
        <f>IF(VLOOKUP(A319,'Aux - pivots1'!$A:$E,4,0)=0, "",VLOOKUP(A319,'Aux - pivots1'!$A:$E,4,0))</f>
        <v/>
      </c>
      <c r="R319" s="152" t="str">
        <f>IF(VLOOKUP(A319,'Aux - pivots1'!$A:$E,5,0)=0, "",VLOOKUP(A319,'Aux - pivots1'!$A:$E,5,0))</f>
        <v/>
      </c>
      <c r="S319" s="198"/>
      <c r="T319" s="198"/>
      <c r="U319" s="198"/>
      <c r="V319" s="320"/>
      <c r="W319" s="320"/>
      <c r="X319" s="320"/>
      <c r="Y319" s="368" t="s">
        <v>2320</v>
      </c>
      <c r="Z319" s="152"/>
    </row>
    <row r="320" spans="1:26" ht="16.399999999999999" hidden="1" customHeight="1">
      <c r="A320" s="29" t="str">
        <f t="shared" si="4"/>
        <v>PROPERTYDISTRICT_MUNICIP_PARISH_CODE</v>
      </c>
      <c r="B320" s="141" t="s">
        <v>26</v>
      </c>
      <c r="C320" s="137" t="s">
        <v>54</v>
      </c>
      <c r="D320" s="133" t="s">
        <v>40</v>
      </c>
      <c r="E320" s="134" t="s">
        <v>94</v>
      </c>
      <c r="F320" s="470" t="s">
        <v>101</v>
      </c>
      <c r="G320" s="135" t="str">
        <f>VLOOKUP(A320,Plano_V3!$A$26:$G$768,7,0)</f>
        <v>1. Concluído</v>
      </c>
      <c r="H320" s="135" t="s">
        <v>612</v>
      </c>
      <c r="I320" s="467"/>
      <c r="J320" s="153"/>
      <c r="K320" s="153"/>
      <c r="L320" s="153"/>
      <c r="M320" s="153"/>
      <c r="N320" s="487"/>
      <c r="O320" s="153"/>
      <c r="P320" s="152" t="str">
        <f>IF(VLOOKUP(A320,'Aux - pivots1'!$A:$E,3,0)=0, "",VLOOKUP(A320,'Aux - pivots1'!$A:$E,3,0))</f>
        <v/>
      </c>
      <c r="Q320" s="152" t="str">
        <f>IF(VLOOKUP(A320,'Aux - pivots1'!$A:$E,4,0)=0, "",VLOOKUP(A320,'Aux - pivots1'!$A:$E,4,0))</f>
        <v/>
      </c>
      <c r="R320" s="152" t="str">
        <f>IF(VLOOKUP(A320,'Aux - pivots1'!$A:$E,5,0)=0, "",VLOOKUP(A320,'Aux - pivots1'!$A:$E,5,0))</f>
        <v/>
      </c>
      <c r="S320" s="198"/>
      <c r="T320" s="198"/>
      <c r="U320" s="198"/>
      <c r="V320" s="320"/>
      <c r="W320" s="320"/>
      <c r="X320" s="320"/>
      <c r="Y320" s="368" t="s">
        <v>2320</v>
      </c>
      <c r="Z320" s="152"/>
    </row>
    <row r="321" spans="1:26" ht="16.399999999999999" hidden="1" customHeight="1">
      <c r="A321" s="29" t="str">
        <f t="shared" si="4"/>
        <v>PROPERTYPROPERTY_PURPOSE_CODE</v>
      </c>
      <c r="B321" s="141" t="s">
        <v>26</v>
      </c>
      <c r="C321" s="137" t="s">
        <v>54</v>
      </c>
      <c r="D321" s="133" t="s">
        <v>40</v>
      </c>
      <c r="E321" s="134" t="s">
        <v>94</v>
      </c>
      <c r="F321" s="470" t="s">
        <v>102</v>
      </c>
      <c r="G321" s="135" t="str">
        <f>VLOOKUP(A321,Plano_V3!$A$26:$G$768,7,0)</f>
        <v>1. Concluído</v>
      </c>
      <c r="H321" s="135" t="s">
        <v>612</v>
      </c>
      <c r="I321" s="467"/>
      <c r="J321" s="153"/>
      <c r="K321" s="153"/>
      <c r="L321" s="153"/>
      <c r="M321" s="153"/>
      <c r="N321" s="487"/>
      <c r="O321" s="153"/>
      <c r="P321" s="152" t="str">
        <f>IF(VLOOKUP(A321,'Aux - pivots1'!$A:$E,3,0)=0, "",VLOOKUP(A321,'Aux - pivots1'!$A:$E,3,0))</f>
        <v/>
      </c>
      <c r="Q321" s="152" t="str">
        <f>IF(VLOOKUP(A321,'Aux - pivots1'!$A:$E,4,0)=0, "",VLOOKUP(A321,'Aux - pivots1'!$A:$E,4,0))</f>
        <v/>
      </c>
      <c r="R321" s="152" t="str">
        <f>IF(VLOOKUP(A321,'Aux - pivots1'!$A:$E,5,0)=0, "",VLOOKUP(A321,'Aux - pivots1'!$A:$E,5,0))</f>
        <v/>
      </c>
      <c r="S321" s="198"/>
      <c r="T321" s="198"/>
      <c r="U321" s="198"/>
      <c r="V321" s="320"/>
      <c r="W321" s="320"/>
      <c r="X321" s="320"/>
      <c r="Y321" s="368" t="s">
        <v>2320</v>
      </c>
      <c r="Z321" s="152"/>
    </row>
    <row r="322" spans="1:26" ht="16.399999999999999" hidden="1" customHeight="1">
      <c r="A322" s="29" t="str">
        <f t="shared" si="4"/>
        <v>PROPERTYPROPERTY_LIFETIME_CODE</v>
      </c>
      <c r="B322" s="141" t="s">
        <v>26</v>
      </c>
      <c r="C322" s="137" t="s">
        <v>54</v>
      </c>
      <c r="D322" s="133" t="s">
        <v>40</v>
      </c>
      <c r="E322" s="134" t="s">
        <v>94</v>
      </c>
      <c r="F322" s="470" t="s">
        <v>103</v>
      </c>
      <c r="G322" s="135" t="str">
        <f>VLOOKUP(A322,Plano_V3!$A$26:$G$768,7,0)</f>
        <v>1. Concluído</v>
      </c>
      <c r="H322" s="135" t="s">
        <v>612</v>
      </c>
      <c r="I322" s="467"/>
      <c r="J322" s="153"/>
      <c r="K322" s="153"/>
      <c r="L322" s="153"/>
      <c r="M322" s="153"/>
      <c r="N322" s="487"/>
      <c r="O322" s="153"/>
      <c r="P322" s="152" t="str">
        <f>IF(VLOOKUP(A322,'Aux - pivots1'!$A:$E,3,0)=0, "",VLOOKUP(A322,'Aux - pivots1'!$A:$E,3,0))</f>
        <v/>
      </c>
      <c r="Q322" s="152" t="str">
        <f>IF(VLOOKUP(A322,'Aux - pivots1'!$A:$E,4,0)=0, "",VLOOKUP(A322,'Aux - pivots1'!$A:$E,4,0))</f>
        <v/>
      </c>
      <c r="R322" s="152" t="str">
        <f>IF(VLOOKUP(A322,'Aux - pivots1'!$A:$E,5,0)=0, "",VLOOKUP(A322,'Aux - pivots1'!$A:$E,5,0))</f>
        <v/>
      </c>
      <c r="S322" s="198"/>
      <c r="T322" s="198"/>
      <c r="U322" s="198"/>
      <c r="V322" s="320"/>
      <c r="W322" s="320"/>
      <c r="X322" s="320"/>
      <c r="Y322" s="368" t="s">
        <v>2320</v>
      </c>
      <c r="Z322" s="152"/>
    </row>
    <row r="323" spans="1:26" ht="16.399999999999999" hidden="1" customHeight="1">
      <c r="A323" s="29" t="str">
        <f t="shared" si="4"/>
        <v>PROPERTYADDRESS_CODE</v>
      </c>
      <c r="B323" s="141" t="s">
        <v>26</v>
      </c>
      <c r="C323" s="137" t="s">
        <v>54</v>
      </c>
      <c r="D323" s="133" t="s">
        <v>40</v>
      </c>
      <c r="E323" s="134" t="s">
        <v>94</v>
      </c>
      <c r="F323" s="470" t="s">
        <v>104</v>
      </c>
      <c r="G323" s="135" t="str">
        <f>VLOOKUP(A323,Plano_V3!$A$26:$G$768,7,0)</f>
        <v>1. Concluído</v>
      </c>
      <c r="H323" s="135" t="s">
        <v>612</v>
      </c>
      <c r="I323" s="467"/>
      <c r="J323" s="153"/>
      <c r="K323" s="153"/>
      <c r="L323" s="153"/>
      <c r="M323" s="153"/>
      <c r="N323" s="487"/>
      <c r="O323" s="153"/>
      <c r="P323" s="152" t="str">
        <f>IF(VLOOKUP(A323,'Aux - pivots1'!$A:$E,3,0)=0, "",VLOOKUP(A323,'Aux - pivots1'!$A:$E,3,0))</f>
        <v/>
      </c>
      <c r="Q323" s="152" t="str">
        <f>IF(VLOOKUP(A323,'Aux - pivots1'!$A:$E,4,0)=0, "",VLOOKUP(A323,'Aux - pivots1'!$A:$E,4,0))</f>
        <v/>
      </c>
      <c r="R323" s="152" t="str">
        <f>IF(VLOOKUP(A323,'Aux - pivots1'!$A:$E,5,0)=0, "",VLOOKUP(A323,'Aux - pivots1'!$A:$E,5,0))</f>
        <v/>
      </c>
      <c r="S323" s="198"/>
      <c r="T323" s="198"/>
      <c r="U323" s="198"/>
      <c r="V323" s="320"/>
      <c r="W323" s="320"/>
      <c r="X323" s="320"/>
      <c r="Y323" s="368" t="s">
        <v>2320</v>
      </c>
      <c r="Z323" s="152"/>
    </row>
    <row r="324" spans="1:26" ht="16.399999999999999" hidden="1" customHeight="1">
      <c r="A324" s="29" t="str">
        <f t="shared" si="4"/>
        <v>PROPERTYCOUNTRY_CODE</v>
      </c>
      <c r="B324" s="141" t="s">
        <v>26</v>
      </c>
      <c r="C324" s="137" t="s">
        <v>54</v>
      </c>
      <c r="D324" s="133" t="s">
        <v>40</v>
      </c>
      <c r="E324" s="134" t="s">
        <v>94</v>
      </c>
      <c r="F324" s="470" t="s">
        <v>105</v>
      </c>
      <c r="G324" s="135" t="str">
        <f>VLOOKUP(A324,Plano_V3!$A$26:$G$768,7,0)</f>
        <v>1. Concluído</v>
      </c>
      <c r="H324" s="135" t="s">
        <v>612</v>
      </c>
      <c r="I324" s="467"/>
      <c r="J324" s="153"/>
      <c r="K324" s="153"/>
      <c r="L324" s="153"/>
      <c r="M324" s="153"/>
      <c r="N324" s="487"/>
      <c r="O324" s="153"/>
      <c r="P324" s="152" t="str">
        <f>IF(VLOOKUP(A324,'Aux - pivots1'!$A:$E,3,0)=0, "",VLOOKUP(A324,'Aux - pivots1'!$A:$E,3,0))</f>
        <v/>
      </c>
      <c r="Q324" s="152" t="str">
        <f>IF(VLOOKUP(A324,'Aux - pivots1'!$A:$E,4,0)=0, "",VLOOKUP(A324,'Aux - pivots1'!$A:$E,4,0))</f>
        <v/>
      </c>
      <c r="R324" s="152" t="str">
        <f>IF(VLOOKUP(A324,'Aux - pivots1'!$A:$E,5,0)=0, "",VLOOKUP(A324,'Aux - pivots1'!$A:$E,5,0))</f>
        <v/>
      </c>
      <c r="S324" s="198"/>
      <c r="T324" s="198"/>
      <c r="U324" s="198"/>
      <c r="V324" s="320"/>
      <c r="W324" s="320"/>
      <c r="X324" s="320"/>
      <c r="Y324" s="368" t="s">
        <v>2320</v>
      </c>
      <c r="Z324" s="152"/>
    </row>
    <row r="325" spans="1:26" ht="16.399999999999999" hidden="1" customHeight="1">
      <c r="A325" s="29" t="str">
        <f t="shared" si="4"/>
        <v>PROPERTYPOSTAL_CODE</v>
      </c>
      <c r="B325" s="141" t="s">
        <v>26</v>
      </c>
      <c r="C325" s="137" t="s">
        <v>54</v>
      </c>
      <c r="D325" s="133" t="s">
        <v>40</v>
      </c>
      <c r="E325" s="134" t="s">
        <v>94</v>
      </c>
      <c r="F325" s="470" t="s">
        <v>106</v>
      </c>
      <c r="G325" s="135" t="str">
        <f>VLOOKUP(A325,Plano_V3!$A$26:$G$768,7,0)</f>
        <v>1. Concluído</v>
      </c>
      <c r="H325" s="135" t="s">
        <v>612</v>
      </c>
      <c r="I325" s="467"/>
      <c r="J325" s="153"/>
      <c r="K325" s="153"/>
      <c r="L325" s="153"/>
      <c r="M325" s="153"/>
      <c r="N325" s="487"/>
      <c r="O325" s="153"/>
      <c r="P325" s="152" t="str">
        <f>IF(VLOOKUP(A325,'Aux - pivots1'!$A:$E,3,0)=0, "",VLOOKUP(A325,'Aux - pivots1'!$A:$E,3,0))</f>
        <v/>
      </c>
      <c r="Q325" s="152" t="str">
        <f>IF(VLOOKUP(A325,'Aux - pivots1'!$A:$E,4,0)=0, "",VLOOKUP(A325,'Aux - pivots1'!$A:$E,4,0))</f>
        <v/>
      </c>
      <c r="R325" s="152" t="str">
        <f>IF(VLOOKUP(A325,'Aux - pivots1'!$A:$E,5,0)=0, "",VLOOKUP(A325,'Aux - pivots1'!$A:$E,5,0))</f>
        <v/>
      </c>
      <c r="S325" s="198"/>
      <c r="T325" s="198"/>
      <c r="U325" s="198"/>
      <c r="V325" s="320"/>
      <c r="W325" s="320"/>
      <c r="X325" s="320"/>
      <c r="Y325" s="368" t="s">
        <v>2320</v>
      </c>
      <c r="Z325" s="152"/>
    </row>
    <row r="326" spans="1:26" ht="16.399999999999999" hidden="1" customHeight="1">
      <c r="A326" s="29" t="str">
        <f t="shared" si="4"/>
        <v>PROPERTYPROPERTY_TYPE_CODE</v>
      </c>
      <c r="B326" s="141" t="s">
        <v>26</v>
      </c>
      <c r="C326" s="137" t="s">
        <v>54</v>
      </c>
      <c r="D326" s="133" t="s">
        <v>40</v>
      </c>
      <c r="E326" s="134" t="s">
        <v>94</v>
      </c>
      <c r="F326" s="470" t="s">
        <v>107</v>
      </c>
      <c r="G326" s="135" t="str">
        <f>VLOOKUP(A326,Plano_V3!$A$26:$G$768,7,0)</f>
        <v>1. Concluído</v>
      </c>
      <c r="H326" s="135" t="s">
        <v>612</v>
      </c>
      <c r="I326" s="467"/>
      <c r="J326" s="153"/>
      <c r="K326" s="153"/>
      <c r="L326" s="153"/>
      <c r="M326" s="153"/>
      <c r="N326" s="487"/>
      <c r="O326" s="153"/>
      <c r="P326" s="152" t="str">
        <f>IF(VLOOKUP(A326,'Aux - pivots1'!$A:$E,3,0)=0, "",VLOOKUP(A326,'Aux - pivots1'!$A:$E,3,0))</f>
        <v/>
      </c>
      <c r="Q326" s="152" t="str">
        <f>IF(VLOOKUP(A326,'Aux - pivots1'!$A:$E,4,0)=0, "",VLOOKUP(A326,'Aux - pivots1'!$A:$E,4,0))</f>
        <v/>
      </c>
      <c r="R326" s="152" t="str">
        <f>IF(VLOOKUP(A326,'Aux - pivots1'!$A:$E,5,0)=0, "",VLOOKUP(A326,'Aux - pivots1'!$A:$E,5,0))</f>
        <v/>
      </c>
      <c r="S326" s="198"/>
      <c r="T326" s="198"/>
      <c r="U326" s="198"/>
      <c r="V326" s="320"/>
      <c r="W326" s="320"/>
      <c r="X326" s="320"/>
      <c r="Y326" s="368" t="s">
        <v>2320</v>
      </c>
      <c r="Z326" s="152"/>
    </row>
    <row r="327" spans="1:26" ht="16.399999999999999" hidden="1" customHeight="1">
      <c r="A327" s="29" t="str">
        <f t="shared" si="4"/>
        <v>PROPERTYLAST_APPRAISAL_DATE</v>
      </c>
      <c r="B327" s="141" t="s">
        <v>26</v>
      </c>
      <c r="C327" s="137" t="s">
        <v>54</v>
      </c>
      <c r="D327" s="133" t="s">
        <v>40</v>
      </c>
      <c r="E327" s="134" t="s">
        <v>94</v>
      </c>
      <c r="F327" s="470" t="s">
        <v>108</v>
      </c>
      <c r="G327" s="135" t="str">
        <f>VLOOKUP(A327,Plano_V3!$A$26:$G$768,7,0)</f>
        <v>1. Concluído</v>
      </c>
      <c r="H327" s="135" t="s">
        <v>612</v>
      </c>
      <c r="I327" s="467"/>
      <c r="J327" s="153"/>
      <c r="K327" s="153"/>
      <c r="L327" s="153"/>
      <c r="M327" s="153"/>
      <c r="N327" s="487"/>
      <c r="O327" s="153"/>
      <c r="P327" s="152" t="str">
        <f>IF(VLOOKUP(A327,'Aux - pivots1'!$A:$E,3,0)=0, "",VLOOKUP(A327,'Aux - pivots1'!$A:$E,3,0))</f>
        <v/>
      </c>
      <c r="Q327" s="152" t="str">
        <f>IF(VLOOKUP(A327,'Aux - pivots1'!$A:$E,4,0)=0, "",VLOOKUP(A327,'Aux - pivots1'!$A:$E,4,0))</f>
        <v/>
      </c>
      <c r="R327" s="152" t="str">
        <f>IF(VLOOKUP(A327,'Aux - pivots1'!$A:$E,5,0)=0, "",VLOOKUP(A327,'Aux - pivots1'!$A:$E,5,0))</f>
        <v/>
      </c>
      <c r="S327" s="198"/>
      <c r="T327" s="198"/>
      <c r="U327" s="198"/>
      <c r="V327" s="320"/>
      <c r="W327" s="320"/>
      <c r="X327" s="320"/>
      <c r="Y327" s="368" t="s">
        <v>2320</v>
      </c>
      <c r="Z327" s="152"/>
    </row>
    <row r="328" spans="1:26" ht="16.399999999999999" hidden="1" customHeight="1">
      <c r="A328" s="29" t="str">
        <f t="shared" si="4"/>
        <v>PROPERTYUSAGE_PERMIT_START_DATE</v>
      </c>
      <c r="B328" s="141" t="s">
        <v>26</v>
      </c>
      <c r="C328" s="137" t="s">
        <v>54</v>
      </c>
      <c r="D328" s="133" t="s">
        <v>40</v>
      </c>
      <c r="E328" s="134" t="s">
        <v>94</v>
      </c>
      <c r="F328" s="470" t="s">
        <v>109</v>
      </c>
      <c r="G328" s="135" t="str">
        <f>VLOOKUP(A328,Plano_V3!$A$26:$G$768,7,0)</f>
        <v>1. Concluído</v>
      </c>
      <c r="H328" s="135" t="s">
        <v>612</v>
      </c>
      <c r="I328" s="467"/>
      <c r="J328" s="153"/>
      <c r="K328" s="153"/>
      <c r="L328" s="153"/>
      <c r="M328" s="153"/>
      <c r="N328" s="487"/>
      <c r="O328" s="153"/>
      <c r="P328" s="152" t="str">
        <f>IF(VLOOKUP(A328,'Aux - pivots1'!$A:$E,3,0)=0, "",VLOOKUP(A328,'Aux - pivots1'!$A:$E,3,0))</f>
        <v/>
      </c>
      <c r="Q328" s="152" t="str">
        <f>IF(VLOOKUP(A328,'Aux - pivots1'!$A:$E,4,0)=0, "",VLOOKUP(A328,'Aux - pivots1'!$A:$E,4,0))</f>
        <v/>
      </c>
      <c r="R328" s="152" t="str">
        <f>IF(VLOOKUP(A328,'Aux - pivots1'!$A:$E,5,0)=0, "",VLOOKUP(A328,'Aux - pivots1'!$A:$E,5,0))</f>
        <v/>
      </c>
      <c r="S328" s="198"/>
      <c r="T328" s="198"/>
      <c r="U328" s="198"/>
      <c r="V328" s="320"/>
      <c r="W328" s="320"/>
      <c r="X328" s="320"/>
      <c r="Y328" s="368" t="s">
        <v>2320</v>
      </c>
      <c r="Z328" s="152"/>
    </row>
    <row r="329" spans="1:26" ht="16.399999999999999" hidden="1" customHeight="1">
      <c r="A329" s="29" t="str">
        <f t="shared" si="4"/>
        <v>PROPERTYCONSERVATORY_REG_FILE_ID</v>
      </c>
      <c r="B329" s="141" t="s">
        <v>26</v>
      </c>
      <c r="C329" s="137" t="s">
        <v>54</v>
      </c>
      <c r="D329" s="133" t="s">
        <v>40</v>
      </c>
      <c r="E329" s="134" t="s">
        <v>94</v>
      </c>
      <c r="F329" s="470" t="s">
        <v>110</v>
      </c>
      <c r="G329" s="135" t="str">
        <f>VLOOKUP(A329,Plano_V3!$A$26:$G$768,7,0)</f>
        <v>1. Concluído</v>
      </c>
      <c r="H329" s="135" t="s">
        <v>612</v>
      </c>
      <c r="I329" s="467"/>
      <c r="J329" s="153"/>
      <c r="K329" s="153"/>
      <c r="L329" s="153"/>
      <c r="M329" s="153"/>
      <c r="N329" s="487"/>
      <c r="O329" s="153"/>
      <c r="P329" s="152" t="str">
        <f>IF(VLOOKUP(A329,'Aux - pivots1'!$A:$E,3,0)=0, "",VLOOKUP(A329,'Aux - pivots1'!$A:$E,3,0))</f>
        <v/>
      </c>
      <c r="Q329" s="152" t="str">
        <f>IF(VLOOKUP(A329,'Aux - pivots1'!$A:$E,4,0)=0, "",VLOOKUP(A329,'Aux - pivots1'!$A:$E,4,0))</f>
        <v/>
      </c>
      <c r="R329" s="152" t="str">
        <f>IF(VLOOKUP(A329,'Aux - pivots1'!$A:$E,5,0)=0, "",VLOOKUP(A329,'Aux - pivots1'!$A:$E,5,0))</f>
        <v/>
      </c>
      <c r="S329" s="198"/>
      <c r="T329" s="198"/>
      <c r="U329" s="198"/>
      <c r="V329" s="320"/>
      <c r="W329" s="320"/>
      <c r="X329" s="320"/>
      <c r="Y329" s="368" t="s">
        <v>2320</v>
      </c>
      <c r="Z329" s="152"/>
    </row>
    <row r="330" spans="1:26" ht="16.399999999999999" hidden="1" customHeight="1">
      <c r="A330" s="29" t="str">
        <f t="shared" si="4"/>
        <v>PROPERTYFLOOR_NUMBER</v>
      </c>
      <c r="B330" s="141" t="s">
        <v>26</v>
      </c>
      <c r="C330" s="137" t="s">
        <v>54</v>
      </c>
      <c r="D330" s="133" t="s">
        <v>40</v>
      </c>
      <c r="E330" s="134" t="s">
        <v>94</v>
      </c>
      <c r="F330" s="470" t="s">
        <v>111</v>
      </c>
      <c r="G330" s="135" t="str">
        <f>VLOOKUP(A330,Plano_V3!$A$26:$G$768,7,0)</f>
        <v>1. Concluído</v>
      </c>
      <c r="H330" s="135" t="s">
        <v>612</v>
      </c>
      <c r="I330" s="467"/>
      <c r="J330" s="153"/>
      <c r="K330" s="153"/>
      <c r="L330" s="153"/>
      <c r="M330" s="153"/>
      <c r="N330" s="487"/>
      <c r="O330" s="153"/>
      <c r="P330" s="152" t="str">
        <f>IF(VLOOKUP(A330,'Aux - pivots1'!$A:$E,3,0)=0, "",VLOOKUP(A330,'Aux - pivots1'!$A:$E,3,0))</f>
        <v/>
      </c>
      <c r="Q330" s="152" t="str">
        <f>IF(VLOOKUP(A330,'Aux - pivots1'!$A:$E,4,0)=0, "",VLOOKUP(A330,'Aux - pivots1'!$A:$E,4,0))</f>
        <v/>
      </c>
      <c r="R330" s="152" t="str">
        <f>IF(VLOOKUP(A330,'Aux - pivots1'!$A:$E,5,0)=0, "",VLOOKUP(A330,'Aux - pivots1'!$A:$E,5,0))</f>
        <v/>
      </c>
      <c r="S330" s="198"/>
      <c r="T330" s="198"/>
      <c r="U330" s="198"/>
      <c r="V330" s="320"/>
      <c r="W330" s="320"/>
      <c r="X330" s="320"/>
      <c r="Y330" s="368" t="s">
        <v>2320</v>
      </c>
      <c r="Z330" s="152"/>
    </row>
    <row r="331" spans="1:26" ht="16.399999999999999" hidden="1" customHeight="1">
      <c r="A331" s="29" t="str">
        <f t="shared" ref="A331:A394" si="5">E331&amp;F331</f>
        <v>PROPERTYLOCALITY</v>
      </c>
      <c r="B331" s="141" t="s">
        <v>26</v>
      </c>
      <c r="C331" s="137" t="s">
        <v>54</v>
      </c>
      <c r="D331" s="133" t="s">
        <v>40</v>
      </c>
      <c r="E331" s="134" t="s">
        <v>94</v>
      </c>
      <c r="F331" s="470" t="s">
        <v>112</v>
      </c>
      <c r="G331" s="135" t="str">
        <f>VLOOKUP(A331,Plano_V3!$A$26:$G$768,7,0)</f>
        <v>1. Concluído</v>
      </c>
      <c r="H331" s="135" t="s">
        <v>612</v>
      </c>
      <c r="I331" s="467"/>
      <c r="J331" s="153"/>
      <c r="K331" s="153"/>
      <c r="L331" s="153"/>
      <c r="M331" s="153"/>
      <c r="N331" s="487"/>
      <c r="O331" s="153"/>
      <c r="P331" s="152" t="str">
        <f>IF(VLOOKUP(A331,'Aux - pivots1'!$A:$E,3,0)=0, "",VLOOKUP(A331,'Aux - pivots1'!$A:$E,3,0))</f>
        <v/>
      </c>
      <c r="Q331" s="152" t="str">
        <f>IF(VLOOKUP(A331,'Aux - pivots1'!$A:$E,4,0)=0, "",VLOOKUP(A331,'Aux - pivots1'!$A:$E,4,0))</f>
        <v/>
      </c>
      <c r="R331" s="152" t="str">
        <f>IF(VLOOKUP(A331,'Aux - pivots1'!$A:$E,5,0)=0, "",VLOOKUP(A331,'Aux - pivots1'!$A:$E,5,0))</f>
        <v/>
      </c>
      <c r="S331" s="198"/>
      <c r="T331" s="198"/>
      <c r="U331" s="198"/>
      <c r="V331" s="320"/>
      <c r="W331" s="320"/>
      <c r="X331" s="320"/>
      <c r="Y331" s="368" t="s">
        <v>2320</v>
      </c>
      <c r="Z331" s="152"/>
    </row>
    <row r="332" spans="1:26" ht="16.399999999999999" hidden="1" customHeight="1">
      <c r="A332" s="29" t="str">
        <f t="shared" si="5"/>
        <v>PROPERTYPROPERTY_LOT</v>
      </c>
      <c r="B332" s="141" t="s">
        <v>26</v>
      </c>
      <c r="C332" s="137" t="s">
        <v>54</v>
      </c>
      <c r="D332" s="133" t="s">
        <v>40</v>
      </c>
      <c r="E332" s="134" t="s">
        <v>94</v>
      </c>
      <c r="F332" s="470" t="s">
        <v>113</v>
      </c>
      <c r="G332" s="135" t="str">
        <f>VLOOKUP(A332,Plano_V3!$A$26:$G$768,7,0)</f>
        <v>1. Concluído</v>
      </c>
      <c r="H332" s="135" t="s">
        <v>612</v>
      </c>
      <c r="I332" s="467"/>
      <c r="J332" s="153"/>
      <c r="K332" s="153"/>
      <c r="L332" s="153"/>
      <c r="M332" s="153"/>
      <c r="N332" s="487"/>
      <c r="O332" s="153"/>
      <c r="P332" s="152" t="str">
        <f>IF(VLOOKUP(A332,'Aux - pivots1'!$A:$E,3,0)=0, "",VLOOKUP(A332,'Aux - pivots1'!$A:$E,3,0))</f>
        <v/>
      </c>
      <c r="Q332" s="152" t="str">
        <f>IF(VLOOKUP(A332,'Aux - pivots1'!$A:$E,4,0)=0, "",VLOOKUP(A332,'Aux - pivots1'!$A:$E,4,0))</f>
        <v/>
      </c>
      <c r="R332" s="152" t="str">
        <f>IF(VLOOKUP(A332,'Aux - pivots1'!$A:$E,5,0)=0, "",VLOOKUP(A332,'Aux - pivots1'!$A:$E,5,0))</f>
        <v/>
      </c>
      <c r="S332" s="198"/>
      <c r="T332" s="198"/>
      <c r="U332" s="198"/>
      <c r="V332" s="320"/>
      <c r="W332" s="320"/>
      <c r="X332" s="320"/>
      <c r="Y332" s="368" t="s">
        <v>2320</v>
      </c>
      <c r="Z332" s="152"/>
    </row>
    <row r="333" spans="1:26" ht="16.399999999999999" hidden="1" customHeight="1">
      <c r="A333" s="29" t="str">
        <f t="shared" si="5"/>
        <v>PROPERTYLAST_APPRAISAL_AMOUNT</v>
      </c>
      <c r="B333" s="141" t="s">
        <v>26</v>
      </c>
      <c r="C333" s="137" t="s">
        <v>54</v>
      </c>
      <c r="D333" s="133" t="s">
        <v>40</v>
      </c>
      <c r="E333" s="134" t="s">
        <v>94</v>
      </c>
      <c r="F333" s="470" t="s">
        <v>114</v>
      </c>
      <c r="G333" s="135" t="str">
        <f>VLOOKUP(A333,Plano_V3!$A$26:$G$768,7,0)</f>
        <v>1. Concluído</v>
      </c>
      <c r="H333" s="135" t="s">
        <v>612</v>
      </c>
      <c r="I333" s="467"/>
      <c r="J333" s="153"/>
      <c r="K333" s="153"/>
      <c r="L333" s="153"/>
      <c r="M333" s="153"/>
      <c r="N333" s="487"/>
      <c r="O333" s="153"/>
      <c r="P333" s="152" t="str">
        <f>IF(VLOOKUP(A333,'Aux - pivots1'!$A:$E,3,0)=0, "",VLOOKUP(A333,'Aux - pivots1'!$A:$E,3,0))</f>
        <v/>
      </c>
      <c r="Q333" s="152" t="str">
        <f>IF(VLOOKUP(A333,'Aux - pivots1'!$A:$E,4,0)=0, "",VLOOKUP(A333,'Aux - pivots1'!$A:$E,4,0))</f>
        <v/>
      </c>
      <c r="R333" s="152" t="str">
        <f>IF(VLOOKUP(A333,'Aux - pivots1'!$A:$E,5,0)=0, "",VLOOKUP(A333,'Aux - pivots1'!$A:$E,5,0))</f>
        <v/>
      </c>
      <c r="S333" s="198"/>
      <c r="T333" s="198"/>
      <c r="U333" s="198"/>
      <c r="V333" s="320"/>
      <c r="W333" s="320"/>
      <c r="X333" s="320"/>
      <c r="Y333" s="368" t="s">
        <v>2320</v>
      </c>
      <c r="Z333" s="152"/>
    </row>
    <row r="334" spans="1:26" ht="16.399999999999999" hidden="1" customHeight="1">
      <c r="A334" s="29" t="str">
        <f t="shared" si="5"/>
        <v>PROPERTYNET_APPRAISAL_AMOUNT</v>
      </c>
      <c r="B334" s="141" t="s">
        <v>26</v>
      </c>
      <c r="C334" s="137" t="s">
        <v>54</v>
      </c>
      <c r="D334" s="133" t="s">
        <v>40</v>
      </c>
      <c r="E334" s="134" t="s">
        <v>94</v>
      </c>
      <c r="F334" s="470" t="s">
        <v>115</v>
      </c>
      <c r="G334" s="135" t="str">
        <f>VLOOKUP(A334,Plano_V3!$A$26:$G$768,7,0)</f>
        <v>1. Concluído</v>
      </c>
      <c r="H334" s="135" t="s">
        <v>612</v>
      </c>
      <c r="I334" s="467"/>
      <c r="J334" s="153"/>
      <c r="K334" s="153"/>
      <c r="L334" s="153"/>
      <c r="M334" s="153"/>
      <c r="N334" s="487"/>
      <c r="O334" s="153"/>
      <c r="P334" s="152" t="str">
        <f>IF(VLOOKUP(A334,'Aux - pivots1'!$A:$E,3,0)=0, "",VLOOKUP(A334,'Aux - pivots1'!$A:$E,3,0))</f>
        <v/>
      </c>
      <c r="Q334" s="152" t="str">
        <f>IF(VLOOKUP(A334,'Aux - pivots1'!$A:$E,4,0)=0, "",VLOOKUP(A334,'Aux - pivots1'!$A:$E,4,0))</f>
        <v/>
      </c>
      <c r="R334" s="152" t="str">
        <f>IF(VLOOKUP(A334,'Aux - pivots1'!$A:$E,5,0)=0, "",VLOOKUP(A334,'Aux - pivots1'!$A:$E,5,0))</f>
        <v/>
      </c>
      <c r="S334" s="198"/>
      <c r="T334" s="198"/>
      <c r="U334" s="198"/>
      <c r="V334" s="320"/>
      <c r="W334" s="320"/>
      <c r="X334" s="320"/>
      <c r="Y334" s="368" t="s">
        <v>2320</v>
      </c>
      <c r="Z334" s="152"/>
    </row>
    <row r="335" spans="1:26" ht="16.399999999999999" hidden="1" customHeight="1">
      <c r="A335" s="29" t="str">
        <f t="shared" si="5"/>
        <v>PROPERTYCOLLATERAL_FAST_SALE_AMOUNT</v>
      </c>
      <c r="B335" s="141" t="s">
        <v>26</v>
      </c>
      <c r="C335" s="137" t="s">
        <v>54</v>
      </c>
      <c r="D335" s="133" t="s">
        <v>40</v>
      </c>
      <c r="E335" s="134" t="s">
        <v>94</v>
      </c>
      <c r="F335" s="470" t="s">
        <v>116</v>
      </c>
      <c r="G335" s="135" t="str">
        <f>VLOOKUP(A335,Plano_V3!$A$26:$G$768,7,0)</f>
        <v>1. Concluído</v>
      </c>
      <c r="H335" s="135" t="s">
        <v>612</v>
      </c>
      <c r="I335" s="467"/>
      <c r="J335" s="153"/>
      <c r="K335" s="153"/>
      <c r="L335" s="153"/>
      <c r="M335" s="153"/>
      <c r="N335" s="487"/>
      <c r="O335" s="153"/>
      <c r="P335" s="152" t="str">
        <f>IF(VLOOKUP(A335,'Aux - pivots1'!$A:$E,3,0)=0, "",VLOOKUP(A335,'Aux - pivots1'!$A:$E,3,0))</f>
        <v/>
      </c>
      <c r="Q335" s="152" t="str">
        <f>IF(VLOOKUP(A335,'Aux - pivots1'!$A:$E,4,0)=0, "",VLOOKUP(A335,'Aux - pivots1'!$A:$E,4,0))</f>
        <v/>
      </c>
      <c r="R335" s="152" t="str">
        <f>IF(VLOOKUP(A335,'Aux - pivots1'!$A:$E,5,0)=0, "",VLOOKUP(A335,'Aux - pivots1'!$A:$E,5,0))</f>
        <v/>
      </c>
      <c r="S335" s="198"/>
      <c r="T335" s="198"/>
      <c r="U335" s="198"/>
      <c r="V335" s="320"/>
      <c r="W335" s="320"/>
      <c r="X335" s="320"/>
      <c r="Y335" s="368" t="s">
        <v>2320</v>
      </c>
      <c r="Z335" s="152"/>
    </row>
    <row r="336" spans="1:26" ht="16.399999999999999" hidden="1" customHeight="1">
      <c r="A336" s="29" t="str">
        <f t="shared" si="5"/>
        <v>PROPERTYADDRESS</v>
      </c>
      <c r="B336" s="141" t="s">
        <v>26</v>
      </c>
      <c r="C336" s="137" t="s">
        <v>54</v>
      </c>
      <c r="D336" s="133" t="s">
        <v>40</v>
      </c>
      <c r="E336" s="134" t="s">
        <v>94</v>
      </c>
      <c r="F336" s="470" t="s">
        <v>117</v>
      </c>
      <c r="G336" s="135" t="str">
        <f>VLOOKUP(A336,Plano_V3!$A$26:$G$768,7,0)</f>
        <v>1. Concluído</v>
      </c>
      <c r="H336" s="135" t="s">
        <v>612</v>
      </c>
      <c r="I336" s="467"/>
      <c r="J336" s="153"/>
      <c r="K336" s="153"/>
      <c r="L336" s="153"/>
      <c r="M336" s="153"/>
      <c r="N336" s="487"/>
      <c r="O336" s="153"/>
      <c r="P336" s="152" t="str">
        <f>IF(VLOOKUP(A336,'Aux - pivots1'!$A:$E,3,0)=0, "",VLOOKUP(A336,'Aux - pivots1'!$A:$E,3,0))</f>
        <v/>
      </c>
      <c r="Q336" s="152" t="str">
        <f>IF(VLOOKUP(A336,'Aux - pivots1'!$A:$E,4,0)=0, "",VLOOKUP(A336,'Aux - pivots1'!$A:$E,4,0))</f>
        <v/>
      </c>
      <c r="R336" s="152" t="str">
        <f>IF(VLOOKUP(A336,'Aux - pivots1'!$A:$E,5,0)=0, "",VLOOKUP(A336,'Aux - pivots1'!$A:$E,5,0))</f>
        <v/>
      </c>
      <c r="S336" s="198"/>
      <c r="T336" s="198"/>
      <c r="U336" s="198"/>
      <c r="V336" s="320"/>
      <c r="W336" s="320"/>
      <c r="X336" s="320"/>
      <c r="Y336" s="368" t="s">
        <v>2320</v>
      </c>
      <c r="Z336" s="152"/>
    </row>
    <row r="337" spans="1:26" ht="16.399999999999999" hidden="1" customHeight="1">
      <c r="A337" s="29" t="str">
        <f t="shared" si="5"/>
        <v>PROPERTYPROPERTY_NUMBER</v>
      </c>
      <c r="B337" s="141" t="s">
        <v>26</v>
      </c>
      <c r="C337" s="137" t="s">
        <v>54</v>
      </c>
      <c r="D337" s="133" t="s">
        <v>40</v>
      </c>
      <c r="E337" s="134" t="s">
        <v>94</v>
      </c>
      <c r="F337" s="470" t="s">
        <v>118</v>
      </c>
      <c r="G337" s="135" t="str">
        <f>VLOOKUP(A337,Plano_V3!$A$26:$G$768,7,0)</f>
        <v>1. Concluído</v>
      </c>
      <c r="H337" s="135" t="s">
        <v>612</v>
      </c>
      <c r="I337" s="467"/>
      <c r="J337" s="153"/>
      <c r="K337" s="153"/>
      <c r="L337" s="153"/>
      <c r="M337" s="153"/>
      <c r="N337" s="487"/>
      <c r="O337" s="153"/>
      <c r="P337" s="152" t="str">
        <f>IF(VLOOKUP(A337,'Aux - pivots1'!$A:$E,3,0)=0, "",VLOOKUP(A337,'Aux - pivots1'!$A:$E,3,0))</f>
        <v/>
      </c>
      <c r="Q337" s="152" t="str">
        <f>IF(VLOOKUP(A337,'Aux - pivots1'!$A:$E,4,0)=0, "",VLOOKUP(A337,'Aux - pivots1'!$A:$E,4,0))</f>
        <v/>
      </c>
      <c r="R337" s="152" t="str">
        <f>IF(VLOOKUP(A337,'Aux - pivots1'!$A:$E,5,0)=0, "",VLOOKUP(A337,'Aux - pivots1'!$A:$E,5,0))</f>
        <v/>
      </c>
      <c r="S337" s="198"/>
      <c r="T337" s="198"/>
      <c r="U337" s="198"/>
      <c r="V337" s="320"/>
      <c r="W337" s="320"/>
      <c r="X337" s="320"/>
      <c r="Y337" s="368" t="s">
        <v>2320</v>
      </c>
      <c r="Z337" s="152"/>
    </row>
    <row r="338" spans="1:26" ht="16.399999999999999" hidden="1" customHeight="1">
      <c r="A338" s="29" t="str">
        <f t="shared" si="5"/>
        <v>PROPERTYOrigem</v>
      </c>
      <c r="B338" s="141" t="s">
        <v>26</v>
      </c>
      <c r="C338" s="137" t="s">
        <v>54</v>
      </c>
      <c r="D338" s="133" t="s">
        <v>40</v>
      </c>
      <c r="E338" s="134" t="s">
        <v>94</v>
      </c>
      <c r="F338" s="470" t="s">
        <v>119</v>
      </c>
      <c r="G338" s="135" t="str">
        <f>VLOOKUP(A338,Plano_V3!$A$26:$G$768,7,0)</f>
        <v>0. Cancelado</v>
      </c>
      <c r="H338" s="135" t="s">
        <v>611</v>
      </c>
      <c r="I338" s="467"/>
      <c r="J338" s="142"/>
      <c r="K338" s="142"/>
      <c r="L338" s="153"/>
      <c r="M338" s="153"/>
      <c r="N338" s="142"/>
      <c r="O338" s="142"/>
      <c r="P338" s="152" t="str">
        <f>IF(VLOOKUP(A338,'Aux - pivots1'!$A:$E,3,0)=0, "",VLOOKUP(A338,'Aux - pivots1'!$A:$E,3,0))</f>
        <v/>
      </c>
      <c r="Q338" s="152" t="str">
        <f>IF(VLOOKUP(A338,'Aux - pivots1'!$A:$E,4,0)=0, "",VLOOKUP(A338,'Aux - pivots1'!$A:$E,4,0))</f>
        <v/>
      </c>
      <c r="R338" s="152" t="str">
        <f>IF(VLOOKUP(A338,'Aux - pivots1'!$A:$E,5,0)=0, "",VLOOKUP(A338,'Aux - pivots1'!$A:$E,5,0))</f>
        <v/>
      </c>
      <c r="S338" s="198"/>
      <c r="T338" s="198"/>
      <c r="U338" s="198"/>
      <c r="V338" s="320"/>
      <c r="W338" s="320"/>
      <c r="X338" s="320"/>
      <c r="Y338" s="368" t="s">
        <v>2320</v>
      </c>
      <c r="Z338" s="152"/>
    </row>
    <row r="339" spans="1:26" ht="16.399999999999999" hidden="1" customHeight="1">
      <c r="A339" s="29" t="str">
        <f t="shared" si="5"/>
        <v>PROPERTYCURRENT_CONSTRUCTION_PCT</v>
      </c>
      <c r="B339" s="141" t="s">
        <v>26</v>
      </c>
      <c r="C339" s="137" t="s">
        <v>54</v>
      </c>
      <c r="D339" s="133" t="s">
        <v>40</v>
      </c>
      <c r="E339" s="134" t="s">
        <v>94</v>
      </c>
      <c r="F339" s="470" t="s">
        <v>120</v>
      </c>
      <c r="G339" s="135" t="str">
        <f>VLOOKUP(A339,Plano_V3!$A$26:$G$768,7,0)</f>
        <v>1. Concluído</v>
      </c>
      <c r="H339" s="135" t="s">
        <v>612</v>
      </c>
      <c r="I339" s="467"/>
      <c r="J339" s="142"/>
      <c r="K339" s="142"/>
      <c r="L339" s="153"/>
      <c r="M339" s="153"/>
      <c r="N339" s="142"/>
      <c r="O339" s="142"/>
      <c r="P339" s="152" t="str">
        <f>IF(VLOOKUP(A339,'Aux - pivots1'!$A:$E,3,0)=0, "",VLOOKUP(A339,'Aux - pivots1'!$A:$E,3,0))</f>
        <v/>
      </c>
      <c r="Q339" s="152" t="str">
        <f>IF(VLOOKUP(A339,'Aux - pivots1'!$A:$E,4,0)=0, "",VLOOKUP(A339,'Aux - pivots1'!$A:$E,4,0))</f>
        <v/>
      </c>
      <c r="R339" s="152" t="str">
        <f>IF(VLOOKUP(A339,'Aux - pivots1'!$A:$E,5,0)=0, "",VLOOKUP(A339,'Aux - pivots1'!$A:$E,5,0))</f>
        <v/>
      </c>
      <c r="S339" s="198"/>
      <c r="T339" s="198"/>
      <c r="U339" s="198"/>
      <c r="V339" s="320"/>
      <c r="W339" s="320"/>
      <c r="X339" s="320"/>
      <c r="Y339" s="368" t="s">
        <v>2320</v>
      </c>
      <c r="Z339" s="152"/>
    </row>
    <row r="340" spans="1:26" ht="16.399999999999999" hidden="1" customHeight="1">
      <c r="A340" s="29" t="str">
        <f t="shared" si="5"/>
        <v>PROPERTYCONSTRUCTION_COMPLETED_PCT</v>
      </c>
      <c r="B340" s="141" t="s">
        <v>26</v>
      </c>
      <c r="C340" s="137" t="s">
        <v>54</v>
      </c>
      <c r="D340" s="133" t="s">
        <v>40</v>
      </c>
      <c r="E340" s="134" t="s">
        <v>94</v>
      </c>
      <c r="F340" s="470" t="s">
        <v>121</v>
      </c>
      <c r="G340" s="135" t="str">
        <f>VLOOKUP(A340,Plano_V3!$A$26:$G$768,7,0)</f>
        <v>1. Concluído</v>
      </c>
      <c r="H340" s="135" t="s">
        <v>612</v>
      </c>
      <c r="I340" s="467"/>
      <c r="J340" s="142"/>
      <c r="K340" s="142"/>
      <c r="L340" s="153"/>
      <c r="M340" s="153"/>
      <c r="N340" s="142"/>
      <c r="O340" s="142"/>
      <c r="P340" s="152" t="str">
        <f>IF(VLOOKUP(A340,'Aux - pivots1'!$A:$E,3,0)=0, "",VLOOKUP(A340,'Aux - pivots1'!$A:$E,3,0))</f>
        <v/>
      </c>
      <c r="Q340" s="152" t="str">
        <f>IF(VLOOKUP(A340,'Aux - pivots1'!$A:$E,4,0)=0, "",VLOOKUP(A340,'Aux - pivots1'!$A:$E,4,0))</f>
        <v/>
      </c>
      <c r="R340" s="152" t="str">
        <f>IF(VLOOKUP(A340,'Aux - pivots1'!$A:$E,5,0)=0, "",VLOOKUP(A340,'Aux - pivots1'!$A:$E,5,0))</f>
        <v/>
      </c>
      <c r="S340" s="198"/>
      <c r="T340" s="198"/>
      <c r="U340" s="198"/>
      <c r="V340" s="320"/>
      <c r="W340" s="320"/>
      <c r="X340" s="320"/>
      <c r="Y340" s="368" t="s">
        <v>2320</v>
      </c>
      <c r="Z340" s="152"/>
    </row>
    <row r="341" spans="1:26" ht="16.399999999999999" hidden="1" customHeight="1">
      <c r="A341" s="29" t="str">
        <f t="shared" si="5"/>
        <v>PROPERTYDATA_DATE_PART</v>
      </c>
      <c r="B341" s="141" t="s">
        <v>26</v>
      </c>
      <c r="C341" s="137" t="s">
        <v>54</v>
      </c>
      <c r="D341" s="133" t="s">
        <v>40</v>
      </c>
      <c r="E341" s="134" t="s">
        <v>94</v>
      </c>
      <c r="F341" s="470" t="s">
        <v>73</v>
      </c>
      <c r="G341" s="135" t="str">
        <f>VLOOKUP(A341,Plano_V3!$A$26:$G$768,7,0)</f>
        <v>1. Concluído</v>
      </c>
      <c r="H341" s="135" t="s">
        <v>612</v>
      </c>
      <c r="I341" s="467"/>
      <c r="J341" s="153"/>
      <c r="K341" s="153"/>
      <c r="L341" s="153"/>
      <c r="M341" s="153"/>
      <c r="N341" s="487"/>
      <c r="O341" s="153"/>
      <c r="P341" s="152" t="str">
        <f>IF(VLOOKUP(A341,'Aux - pivots1'!$A:$E,3,0)=0, "",VLOOKUP(A341,'Aux - pivots1'!$A:$E,3,0))</f>
        <v/>
      </c>
      <c r="Q341" s="152" t="str">
        <f>IF(VLOOKUP(A341,'Aux - pivots1'!$A:$E,4,0)=0, "",VLOOKUP(A341,'Aux - pivots1'!$A:$E,4,0))</f>
        <v/>
      </c>
      <c r="R341" s="152" t="str">
        <f>IF(VLOOKUP(A341,'Aux - pivots1'!$A:$E,5,0)=0, "",VLOOKUP(A341,'Aux - pivots1'!$A:$E,5,0))</f>
        <v/>
      </c>
      <c r="S341" s="198"/>
      <c r="T341" s="198"/>
      <c r="U341" s="198"/>
      <c r="V341" s="320"/>
      <c r="W341" s="320"/>
      <c r="X341" s="320"/>
      <c r="Y341" s="368" t="s">
        <v>2320</v>
      </c>
      <c r="Z341" s="152"/>
    </row>
    <row r="342" spans="1:26" ht="16.399999999999999" hidden="1" customHeight="1">
      <c r="A342" s="29" t="str">
        <f t="shared" si="5"/>
        <v>PROPERTYPROPERTY_CODE</v>
      </c>
      <c r="B342" s="141" t="s">
        <v>26</v>
      </c>
      <c r="C342" s="137" t="s">
        <v>54</v>
      </c>
      <c r="D342" s="133" t="s">
        <v>40</v>
      </c>
      <c r="E342" s="134" t="s">
        <v>94</v>
      </c>
      <c r="F342" s="470" t="s">
        <v>2161</v>
      </c>
      <c r="G342" s="135" t="str">
        <f>VLOOKUP(A342,Plano_V3!$A$26:$G$768,7,0)</f>
        <v>1. Concluído</v>
      </c>
      <c r="H342" s="135" t="s">
        <v>612</v>
      </c>
      <c r="I342" s="467"/>
      <c r="J342" s="153"/>
      <c r="K342" s="153"/>
      <c r="L342" s="153"/>
      <c r="M342" s="153"/>
      <c r="N342" s="487"/>
      <c r="O342" s="153"/>
      <c r="P342" s="152" t="str">
        <f>IF(VLOOKUP(A342,'Aux - pivots1'!$A:$E,3,0)=0, "",VLOOKUP(A342,'Aux - pivots1'!$A:$E,3,0))</f>
        <v/>
      </c>
      <c r="Q342" s="152" t="str">
        <f>IF(VLOOKUP(A342,'Aux - pivots1'!$A:$E,4,0)=0, "",VLOOKUP(A342,'Aux - pivots1'!$A:$E,4,0))</f>
        <v/>
      </c>
      <c r="R342" s="152" t="str">
        <f>IF(VLOOKUP(A342,'Aux - pivots1'!$A:$E,5,0)=0, "",VLOOKUP(A342,'Aux - pivots1'!$A:$E,5,0))</f>
        <v/>
      </c>
      <c r="S342" s="198"/>
      <c r="T342" s="198"/>
      <c r="U342" s="198"/>
      <c r="V342" s="320"/>
      <c r="W342" s="320"/>
      <c r="X342" s="320"/>
      <c r="Y342" s="368" t="s">
        <v>2320</v>
      </c>
      <c r="Z342" s="152"/>
    </row>
    <row r="343" spans="1:26" ht="16.399999999999999" hidden="1" customHeight="1">
      <c r="A343" s="29" t="str">
        <f t="shared" si="5"/>
        <v>PROPERTYURBANIZATION</v>
      </c>
      <c r="B343" s="141" t="s">
        <v>26</v>
      </c>
      <c r="C343" s="137" t="s">
        <v>54</v>
      </c>
      <c r="D343" s="133" t="s">
        <v>40</v>
      </c>
      <c r="E343" s="134" t="s">
        <v>94</v>
      </c>
      <c r="F343" s="470" t="s">
        <v>122</v>
      </c>
      <c r="G343" s="135" t="str">
        <f>VLOOKUP(A343,Plano_V3!$A$26:$G$768,7,0)</f>
        <v>1. Concluído</v>
      </c>
      <c r="H343" s="135" t="s">
        <v>612</v>
      </c>
      <c r="I343" s="467"/>
      <c r="J343" s="153"/>
      <c r="K343" s="153"/>
      <c r="L343" s="153"/>
      <c r="M343" s="153"/>
      <c r="N343" s="487"/>
      <c r="O343" s="153"/>
      <c r="P343" s="152" t="str">
        <f>IF(VLOOKUP(A343,'Aux - pivots1'!$A:$E,3,0)=0, "",VLOOKUP(A343,'Aux - pivots1'!$A:$E,3,0))</f>
        <v/>
      </c>
      <c r="Q343" s="152" t="str">
        <f>IF(VLOOKUP(A343,'Aux - pivots1'!$A:$E,4,0)=0, "",VLOOKUP(A343,'Aux - pivots1'!$A:$E,4,0))</f>
        <v/>
      </c>
      <c r="R343" s="152" t="str">
        <f>IF(VLOOKUP(A343,'Aux - pivots1'!$A:$E,5,0)=0, "",VLOOKUP(A343,'Aux - pivots1'!$A:$E,5,0))</f>
        <v/>
      </c>
      <c r="S343" s="198"/>
      <c r="T343" s="198"/>
      <c r="U343" s="198"/>
      <c r="V343" s="320"/>
      <c r="W343" s="320"/>
      <c r="X343" s="320"/>
      <c r="Y343" s="368" t="s">
        <v>2320</v>
      </c>
      <c r="Z343" s="152"/>
    </row>
    <row r="344" spans="1:26" ht="16.399999999999999" hidden="1" customHeight="1">
      <c r="A344" s="29" t="str">
        <f t="shared" si="5"/>
        <v>PROPERTY_ENERGY_CERTIFICATEn.a.</v>
      </c>
      <c r="B344" s="141" t="s">
        <v>26</v>
      </c>
      <c r="C344" s="137" t="s">
        <v>54</v>
      </c>
      <c r="D344" s="133" t="s">
        <v>36</v>
      </c>
      <c r="E344" s="134" t="s">
        <v>123</v>
      </c>
      <c r="F344" s="470" t="s">
        <v>38</v>
      </c>
      <c r="G344" s="135" t="str">
        <f>VLOOKUP(A344,Plano_V3!$A$26:$G$768,7,0)</f>
        <v>1. Concluído</v>
      </c>
      <c r="H344" s="135" t="s">
        <v>612</v>
      </c>
      <c r="I344" s="467"/>
      <c r="J344" s="142"/>
      <c r="K344" s="142"/>
      <c r="L344" s="153"/>
      <c r="M344" s="153"/>
      <c r="N344" s="142"/>
      <c r="O344" s="142"/>
      <c r="P344" s="152" t="str">
        <f>IF(VLOOKUP(A344,'Aux - pivots1'!$A:$E,3,0)=0, "",VLOOKUP(A344,'Aux - pivots1'!$A:$E,3,0))</f>
        <v/>
      </c>
      <c r="Q344" s="152" t="str">
        <f>IF(VLOOKUP(A344,'Aux - pivots1'!$A:$E,4,0)=0, "",VLOOKUP(A344,'Aux - pivots1'!$A:$E,4,0))</f>
        <v/>
      </c>
      <c r="R344" s="152" t="str">
        <f>IF(VLOOKUP(A344,'Aux - pivots1'!$A:$E,5,0)=0, "",VLOOKUP(A344,'Aux - pivots1'!$A:$E,5,0))</f>
        <v/>
      </c>
      <c r="S344" s="198"/>
      <c r="T344" s="198"/>
      <c r="U344" s="198"/>
      <c r="V344" s="320"/>
      <c r="W344" s="320"/>
      <c r="X344" s="320"/>
      <c r="Y344" s="368" t="s">
        <v>2320</v>
      </c>
      <c r="Z344" s="152"/>
    </row>
    <row r="345" spans="1:26" ht="16.399999999999999" hidden="1" customHeight="1">
      <c r="A345" s="29" t="str">
        <f t="shared" si="5"/>
        <v>PROPERTY_ENERGY_CERTIFICATEPROPERTY_BANK_ID</v>
      </c>
      <c r="B345" s="141" t="s">
        <v>26</v>
      </c>
      <c r="C345" s="137" t="s">
        <v>54</v>
      </c>
      <c r="D345" s="133" t="s">
        <v>40</v>
      </c>
      <c r="E345" s="134" t="s">
        <v>123</v>
      </c>
      <c r="F345" s="470" t="s">
        <v>41</v>
      </c>
      <c r="G345" s="135" t="str">
        <f>VLOOKUP(A345,Plano_V3!$A$26:$G$768,7,0)</f>
        <v>1. Concluído</v>
      </c>
      <c r="H345" s="135" t="s">
        <v>612</v>
      </c>
      <c r="I345" s="467"/>
      <c r="J345" s="142"/>
      <c r="K345" s="142"/>
      <c r="L345" s="153"/>
      <c r="M345" s="153"/>
      <c r="N345" s="142"/>
      <c r="O345" s="142"/>
      <c r="P345" s="152" t="str">
        <f>IF(VLOOKUP(A345,'Aux - pivots1'!$A:$E,3,0)=0, "",VLOOKUP(A345,'Aux - pivots1'!$A:$E,3,0))</f>
        <v/>
      </c>
      <c r="Q345" s="152" t="str">
        <f>IF(VLOOKUP(A345,'Aux - pivots1'!$A:$E,4,0)=0, "",VLOOKUP(A345,'Aux - pivots1'!$A:$E,4,0))</f>
        <v/>
      </c>
      <c r="R345" s="152" t="str">
        <f>IF(VLOOKUP(A345,'Aux - pivots1'!$A:$E,5,0)=0, "",VLOOKUP(A345,'Aux - pivots1'!$A:$E,5,0))</f>
        <v/>
      </c>
      <c r="S345" s="198"/>
      <c r="T345" s="198"/>
      <c r="U345" s="198"/>
      <c r="V345" s="320"/>
      <c r="W345" s="320"/>
      <c r="X345" s="320"/>
      <c r="Y345" s="368" t="s">
        <v>2320</v>
      </c>
      <c r="Z345" s="152"/>
    </row>
    <row r="346" spans="1:26" ht="16.399999999999999" hidden="1" customHeight="1">
      <c r="A346" s="29" t="str">
        <f t="shared" si="5"/>
        <v>PROPERTY_ENERGY_CERTIFICATEPROPERTY_BRANCH_CODE</v>
      </c>
      <c r="B346" s="141" t="s">
        <v>26</v>
      </c>
      <c r="C346" s="137" t="s">
        <v>54</v>
      </c>
      <c r="D346" s="133" t="s">
        <v>40</v>
      </c>
      <c r="E346" s="134" t="s">
        <v>123</v>
      </c>
      <c r="F346" s="470" t="s">
        <v>43</v>
      </c>
      <c r="G346" s="135" t="str">
        <f>VLOOKUP(A346,Plano_V3!$A$26:$G$768,7,0)</f>
        <v>1. Concluído</v>
      </c>
      <c r="H346" s="135" t="s">
        <v>612</v>
      </c>
      <c r="I346" s="467"/>
      <c r="J346" s="142"/>
      <c r="K346" s="142"/>
      <c r="L346" s="153"/>
      <c r="M346" s="153"/>
      <c r="N346" s="142"/>
      <c r="O346" s="142"/>
      <c r="P346" s="152" t="str">
        <f>IF(VLOOKUP(A346,'Aux - pivots1'!$A:$E,3,0)=0, "",VLOOKUP(A346,'Aux - pivots1'!$A:$E,3,0))</f>
        <v/>
      </c>
      <c r="Q346" s="152" t="str">
        <f>IF(VLOOKUP(A346,'Aux - pivots1'!$A:$E,4,0)=0, "",VLOOKUP(A346,'Aux - pivots1'!$A:$E,4,0))</f>
        <v/>
      </c>
      <c r="R346" s="152" t="str">
        <f>IF(VLOOKUP(A346,'Aux - pivots1'!$A:$E,5,0)=0, "",VLOOKUP(A346,'Aux - pivots1'!$A:$E,5,0))</f>
        <v/>
      </c>
      <c r="S346" s="198"/>
      <c r="T346" s="198"/>
      <c r="U346" s="198"/>
      <c r="V346" s="320"/>
      <c r="W346" s="320"/>
      <c r="X346" s="320"/>
      <c r="Y346" s="368" t="s">
        <v>2320</v>
      </c>
      <c r="Z346" s="152"/>
    </row>
    <row r="347" spans="1:26" ht="16.399999999999999" hidden="1" customHeight="1">
      <c r="A347" s="29" t="str">
        <f t="shared" si="5"/>
        <v>PROPERTY_ENERGY_CERTIFICATEPROPERTY_CONTRACT_ID</v>
      </c>
      <c r="B347" s="141" t="s">
        <v>26</v>
      </c>
      <c r="C347" s="137" t="s">
        <v>54</v>
      </c>
      <c r="D347" s="133" t="s">
        <v>40</v>
      </c>
      <c r="E347" s="134" t="s">
        <v>123</v>
      </c>
      <c r="F347" s="470" t="s">
        <v>44</v>
      </c>
      <c r="G347" s="135" t="str">
        <f>VLOOKUP(A347,Plano_V3!$A$26:$G$768,7,0)</f>
        <v>1. Concluído</v>
      </c>
      <c r="H347" s="135" t="s">
        <v>612</v>
      </c>
      <c r="I347" s="467"/>
      <c r="J347" s="142"/>
      <c r="K347" s="142"/>
      <c r="L347" s="153"/>
      <c r="M347" s="153"/>
      <c r="N347" s="142"/>
      <c r="O347" s="142"/>
      <c r="P347" s="152" t="str">
        <f>IF(VLOOKUP(A347,'Aux - pivots1'!$A:$E,3,0)=0, "",VLOOKUP(A347,'Aux - pivots1'!$A:$E,3,0))</f>
        <v/>
      </c>
      <c r="Q347" s="152" t="str">
        <f>IF(VLOOKUP(A347,'Aux - pivots1'!$A:$E,4,0)=0, "",VLOOKUP(A347,'Aux - pivots1'!$A:$E,4,0))</f>
        <v/>
      </c>
      <c r="R347" s="152" t="str">
        <f>IF(VLOOKUP(A347,'Aux - pivots1'!$A:$E,5,0)=0, "",VLOOKUP(A347,'Aux - pivots1'!$A:$E,5,0))</f>
        <v/>
      </c>
      <c r="S347" s="198"/>
      <c r="T347" s="198"/>
      <c r="U347" s="198"/>
      <c r="V347" s="320"/>
      <c r="W347" s="320"/>
      <c r="X347" s="320"/>
      <c r="Y347" s="368" t="s">
        <v>2320</v>
      </c>
      <c r="Z347" s="152"/>
    </row>
    <row r="348" spans="1:26" ht="16.399999999999999" hidden="1" customHeight="1">
      <c r="A348" s="29" t="str">
        <f t="shared" si="5"/>
        <v>PROPERTY_ENERGY_CERTIFICATEPROPERTY_REFERENCE_CODE</v>
      </c>
      <c r="B348" s="141" t="s">
        <v>26</v>
      </c>
      <c r="C348" s="137" t="s">
        <v>54</v>
      </c>
      <c r="D348" s="133" t="s">
        <v>40</v>
      </c>
      <c r="E348" s="134" t="s">
        <v>123</v>
      </c>
      <c r="F348" s="470" t="s">
        <v>45</v>
      </c>
      <c r="G348" s="135" t="str">
        <f>VLOOKUP(A348,Plano_V3!$A$26:$G$768,7,0)</f>
        <v>1. Concluído</v>
      </c>
      <c r="H348" s="135" t="s">
        <v>612</v>
      </c>
      <c r="I348" s="467"/>
      <c r="J348" s="142"/>
      <c r="K348" s="142"/>
      <c r="L348" s="153"/>
      <c r="M348" s="153"/>
      <c r="N348" s="142"/>
      <c r="O348" s="142"/>
      <c r="P348" s="152" t="str">
        <f>IF(VLOOKUP(A348,'Aux - pivots1'!$A:$E,3,0)=0, "",VLOOKUP(A348,'Aux - pivots1'!$A:$E,3,0))</f>
        <v/>
      </c>
      <c r="Q348" s="152" t="str">
        <f>IF(VLOOKUP(A348,'Aux - pivots1'!$A:$E,4,0)=0, "",VLOOKUP(A348,'Aux - pivots1'!$A:$E,4,0))</f>
        <v/>
      </c>
      <c r="R348" s="152" t="str">
        <f>IF(VLOOKUP(A348,'Aux - pivots1'!$A:$E,5,0)=0, "",VLOOKUP(A348,'Aux - pivots1'!$A:$E,5,0))</f>
        <v/>
      </c>
      <c r="S348" s="198"/>
      <c r="T348" s="198"/>
      <c r="U348" s="198"/>
      <c r="V348" s="320"/>
      <c r="W348" s="320"/>
      <c r="X348" s="320"/>
      <c r="Y348" s="368" t="s">
        <v>2320</v>
      </c>
      <c r="Z348" s="152"/>
    </row>
    <row r="349" spans="1:26" ht="16.399999999999999" hidden="1" customHeight="1">
      <c r="A349" s="29" t="str">
        <f t="shared" si="5"/>
        <v>PROPERTY_ENERGY_CERTIFICATELAND_REGISTRY_OFFICE_CODE</v>
      </c>
      <c r="B349" s="141" t="s">
        <v>26</v>
      </c>
      <c r="C349" s="137" t="s">
        <v>54</v>
      </c>
      <c r="D349" s="133" t="s">
        <v>40</v>
      </c>
      <c r="E349" s="134" t="s">
        <v>123</v>
      </c>
      <c r="F349" s="470" t="s">
        <v>125</v>
      </c>
      <c r="G349" s="135" t="str">
        <f>VLOOKUP(A349,Plano_V3!$A$26:$G$768,7,0)</f>
        <v>1. Concluído</v>
      </c>
      <c r="H349" s="135" t="s">
        <v>612</v>
      </c>
      <c r="I349" s="467"/>
      <c r="J349" s="142"/>
      <c r="K349" s="142"/>
      <c r="L349" s="153"/>
      <c r="M349" s="153"/>
      <c r="N349" s="142"/>
      <c r="O349" s="142"/>
      <c r="P349" s="152" t="str">
        <f>IF(VLOOKUP(A349,'Aux - pivots1'!$A:$E,3,0)=0, "",VLOOKUP(A349,'Aux - pivots1'!$A:$E,3,0))</f>
        <v/>
      </c>
      <c r="Q349" s="152" t="str">
        <f>IF(VLOOKUP(A349,'Aux - pivots1'!$A:$E,4,0)=0, "",VLOOKUP(A349,'Aux - pivots1'!$A:$E,4,0))</f>
        <v/>
      </c>
      <c r="R349" s="152" t="str">
        <f>IF(VLOOKUP(A349,'Aux - pivots1'!$A:$E,5,0)=0, "",VLOOKUP(A349,'Aux - pivots1'!$A:$E,5,0))</f>
        <v/>
      </c>
      <c r="S349" s="198"/>
      <c r="T349" s="198"/>
      <c r="U349" s="198"/>
      <c r="V349" s="320"/>
      <c r="W349" s="320"/>
      <c r="X349" s="320"/>
      <c r="Y349" s="368" t="s">
        <v>2320</v>
      </c>
      <c r="Z349" s="152"/>
    </row>
    <row r="350" spans="1:26" ht="16.399999999999999" hidden="1" customHeight="1">
      <c r="A350" s="29" t="str">
        <f t="shared" si="5"/>
        <v>PROPERTY_ENERGY_CERTIFICATEPROPERTY_IDENTIFICATION_CODE</v>
      </c>
      <c r="B350" s="141" t="s">
        <v>26</v>
      </c>
      <c r="C350" s="137" t="s">
        <v>54</v>
      </c>
      <c r="D350" s="133" t="s">
        <v>40</v>
      </c>
      <c r="E350" s="134" t="s">
        <v>123</v>
      </c>
      <c r="F350" s="470" t="s">
        <v>126</v>
      </c>
      <c r="G350" s="135" t="str">
        <f>VLOOKUP(A350,Plano_V3!$A$26:$G$768,7,0)</f>
        <v>1. Concluído</v>
      </c>
      <c r="H350" s="135" t="s">
        <v>612</v>
      </c>
      <c r="I350" s="467"/>
      <c r="J350" s="142"/>
      <c r="K350" s="142"/>
      <c r="L350" s="153"/>
      <c r="M350" s="153"/>
      <c r="N350" s="142"/>
      <c r="O350" s="142"/>
      <c r="P350" s="152" t="str">
        <f>IF(VLOOKUP(A350,'Aux - pivots1'!$A:$E,3,0)=0, "",VLOOKUP(A350,'Aux - pivots1'!$A:$E,3,0))</f>
        <v/>
      </c>
      <c r="Q350" s="152" t="str">
        <f>IF(VLOOKUP(A350,'Aux - pivots1'!$A:$E,4,0)=0, "",VLOOKUP(A350,'Aux - pivots1'!$A:$E,4,0))</f>
        <v/>
      </c>
      <c r="R350" s="152" t="str">
        <f>IF(VLOOKUP(A350,'Aux - pivots1'!$A:$E,5,0)=0, "",VLOOKUP(A350,'Aux - pivots1'!$A:$E,5,0))</f>
        <v/>
      </c>
      <c r="S350" s="198"/>
      <c r="T350" s="198"/>
      <c r="U350" s="198"/>
      <c r="V350" s="320"/>
      <c r="W350" s="320"/>
      <c r="X350" s="320"/>
      <c r="Y350" s="368" t="s">
        <v>2320</v>
      </c>
      <c r="Z350" s="152"/>
    </row>
    <row r="351" spans="1:26" ht="16.399999999999999" hidden="1" customHeight="1">
      <c r="A351" s="29" t="str">
        <f t="shared" si="5"/>
        <v>PROPERTY_ENERGY_CERTIFICATEENERGY_CERTIFICATION_SYSTEM_CODE</v>
      </c>
      <c r="B351" s="141" t="s">
        <v>26</v>
      </c>
      <c r="C351" s="137" t="s">
        <v>54</v>
      </c>
      <c r="D351" s="133" t="s">
        <v>40</v>
      </c>
      <c r="E351" s="134" t="s">
        <v>123</v>
      </c>
      <c r="F351" s="470" t="s">
        <v>127</v>
      </c>
      <c r="G351" s="135" t="str">
        <f>VLOOKUP(A351,Plano_V3!$A$26:$G$768,7,0)</f>
        <v>1. Concluído</v>
      </c>
      <c r="H351" s="135" t="s">
        <v>612</v>
      </c>
      <c r="I351" s="467"/>
      <c r="J351" s="142"/>
      <c r="K351" s="142"/>
      <c r="L351" s="153"/>
      <c r="M351" s="153"/>
      <c r="N351" s="142"/>
      <c r="O351" s="142"/>
      <c r="P351" s="152" t="str">
        <f>IF(VLOOKUP(A351,'Aux - pivots1'!$A:$E,3,0)=0, "",VLOOKUP(A351,'Aux - pivots1'!$A:$E,3,0))</f>
        <v/>
      </c>
      <c r="Q351" s="152" t="str">
        <f>IF(VLOOKUP(A351,'Aux - pivots1'!$A:$E,4,0)=0, "",VLOOKUP(A351,'Aux - pivots1'!$A:$E,4,0))</f>
        <v/>
      </c>
      <c r="R351" s="152" t="str">
        <f>IF(VLOOKUP(A351,'Aux - pivots1'!$A:$E,5,0)=0, "",VLOOKUP(A351,'Aux - pivots1'!$A:$E,5,0))</f>
        <v/>
      </c>
      <c r="S351" s="198"/>
      <c r="T351" s="198"/>
      <c r="U351" s="198"/>
      <c r="V351" s="320"/>
      <c r="W351" s="320"/>
      <c r="X351" s="320"/>
      <c r="Y351" s="368" t="s">
        <v>2320</v>
      </c>
      <c r="Z351" s="152"/>
    </row>
    <row r="352" spans="1:26" ht="16.399999999999999" hidden="1" customHeight="1">
      <c r="A352" s="29" t="str">
        <f t="shared" si="5"/>
        <v>PROPERTY_ENERGY_CERTIFICATEEPC_ISSUING_DATE</v>
      </c>
      <c r="B352" s="141" t="s">
        <v>26</v>
      </c>
      <c r="C352" s="137" t="s">
        <v>54</v>
      </c>
      <c r="D352" s="133" t="s">
        <v>40</v>
      </c>
      <c r="E352" s="134" t="s">
        <v>123</v>
      </c>
      <c r="F352" s="470" t="s">
        <v>128</v>
      </c>
      <c r="G352" s="135" t="str">
        <f>VLOOKUP(A352,Plano_V3!$A$26:$G$768,7,0)</f>
        <v>1. Concluído</v>
      </c>
      <c r="H352" s="135" t="s">
        <v>612</v>
      </c>
      <c r="I352" s="467"/>
      <c r="J352" s="142"/>
      <c r="K352" s="142"/>
      <c r="L352" s="153"/>
      <c r="M352" s="153"/>
      <c r="N352" s="142"/>
      <c r="O352" s="142"/>
      <c r="P352" s="152" t="str">
        <f>IF(VLOOKUP(A352,'Aux - pivots1'!$A:$E,3,0)=0, "",VLOOKUP(A352,'Aux - pivots1'!$A:$E,3,0))</f>
        <v/>
      </c>
      <c r="Q352" s="152" t="str">
        <f>IF(VLOOKUP(A352,'Aux - pivots1'!$A:$E,4,0)=0, "",VLOOKUP(A352,'Aux - pivots1'!$A:$E,4,0))</f>
        <v/>
      </c>
      <c r="R352" s="152" t="str">
        <f>IF(VLOOKUP(A352,'Aux - pivots1'!$A:$E,5,0)=0, "",VLOOKUP(A352,'Aux - pivots1'!$A:$E,5,0))</f>
        <v/>
      </c>
      <c r="S352" s="198"/>
      <c r="T352" s="198"/>
      <c r="U352" s="198"/>
      <c r="V352" s="320"/>
      <c r="W352" s="320"/>
      <c r="X352" s="320"/>
      <c r="Y352" s="368" t="s">
        <v>2320</v>
      </c>
      <c r="Z352" s="152"/>
    </row>
    <row r="353" spans="1:26" ht="16.399999999999999" hidden="1" customHeight="1">
      <c r="A353" s="29" t="str">
        <f t="shared" si="5"/>
        <v>PROPERTY_ENERGY_CERTIFICATEEPC_EXPIRATION_DATE</v>
      </c>
      <c r="B353" s="141" t="s">
        <v>26</v>
      </c>
      <c r="C353" s="137" t="s">
        <v>54</v>
      </c>
      <c r="D353" s="133" t="s">
        <v>40</v>
      </c>
      <c r="E353" s="134" t="s">
        <v>123</v>
      </c>
      <c r="F353" s="470" t="s">
        <v>129</v>
      </c>
      <c r="G353" s="135" t="str">
        <f>VLOOKUP(A353,Plano_V3!$A$26:$G$768,7,0)</f>
        <v>1. Concluído</v>
      </c>
      <c r="H353" s="135" t="s">
        <v>612</v>
      </c>
      <c r="I353" s="467"/>
      <c r="J353" s="142"/>
      <c r="K353" s="142"/>
      <c r="L353" s="153"/>
      <c r="M353" s="153"/>
      <c r="N353" s="142"/>
      <c r="O353" s="142"/>
      <c r="P353" s="152" t="str">
        <f>IF(VLOOKUP(A353,'Aux - pivots1'!$A:$E,3,0)=0, "",VLOOKUP(A353,'Aux - pivots1'!$A:$E,3,0))</f>
        <v/>
      </c>
      <c r="Q353" s="152" t="str">
        <f>IF(VLOOKUP(A353,'Aux - pivots1'!$A:$E,4,0)=0, "",VLOOKUP(A353,'Aux - pivots1'!$A:$E,4,0))</f>
        <v/>
      </c>
      <c r="R353" s="152" t="str">
        <f>IF(VLOOKUP(A353,'Aux - pivots1'!$A:$E,5,0)=0, "",VLOOKUP(A353,'Aux - pivots1'!$A:$E,5,0))</f>
        <v/>
      </c>
      <c r="S353" s="198"/>
      <c r="T353" s="198"/>
      <c r="U353" s="198"/>
      <c r="V353" s="320"/>
      <c r="W353" s="320"/>
      <c r="X353" s="320"/>
      <c r="Y353" s="368" t="s">
        <v>2320</v>
      </c>
      <c r="Z353" s="152"/>
    </row>
    <row r="354" spans="1:26" ht="16.399999999999999" hidden="1" customHeight="1">
      <c r="A354" s="29" t="str">
        <f t="shared" si="5"/>
        <v>PROPERTY_ENERGY_CERTIFICATEENERGY_CONSUMPTION_TYPE_S_IND</v>
      </c>
      <c r="B354" s="141" t="s">
        <v>26</v>
      </c>
      <c r="C354" s="137" t="s">
        <v>54</v>
      </c>
      <c r="D354" s="133" t="s">
        <v>40</v>
      </c>
      <c r="E354" s="134" t="s">
        <v>123</v>
      </c>
      <c r="F354" s="470" t="s">
        <v>130</v>
      </c>
      <c r="G354" s="135" t="str">
        <f>VLOOKUP(A354,Plano_V3!$A$26:$G$768,7,0)</f>
        <v>1. Concluído</v>
      </c>
      <c r="H354" s="135" t="s">
        <v>612</v>
      </c>
      <c r="I354" s="467"/>
      <c r="J354" s="142"/>
      <c r="K354" s="142"/>
      <c r="L354" s="153"/>
      <c r="M354" s="153"/>
      <c r="N354" s="142"/>
      <c r="O354" s="142"/>
      <c r="P354" s="152" t="str">
        <f>IF(VLOOKUP(A354,'Aux - pivots1'!$A:$E,3,0)=0, "",VLOOKUP(A354,'Aux - pivots1'!$A:$E,3,0))</f>
        <v/>
      </c>
      <c r="Q354" s="152" t="str">
        <f>IF(VLOOKUP(A354,'Aux - pivots1'!$A:$E,4,0)=0, "",VLOOKUP(A354,'Aux - pivots1'!$A:$E,4,0))</f>
        <v/>
      </c>
      <c r="R354" s="152" t="str">
        <f>IF(VLOOKUP(A354,'Aux - pivots1'!$A:$E,5,0)=0, "",VLOOKUP(A354,'Aux - pivots1'!$A:$E,5,0))</f>
        <v/>
      </c>
      <c r="S354" s="198"/>
      <c r="T354" s="198"/>
      <c r="U354" s="198"/>
      <c r="V354" s="320"/>
      <c r="W354" s="320"/>
      <c r="X354" s="320"/>
      <c r="Y354" s="368" t="s">
        <v>2320</v>
      </c>
      <c r="Z354" s="152"/>
    </row>
    <row r="355" spans="1:26" ht="16.399999999999999" hidden="1" customHeight="1">
      <c r="A355" s="29" t="str">
        <f t="shared" si="5"/>
        <v>PROPERTY_ENERGY_CERTIFICATEENERGY_CONSUMPTION_TYPE_T_IND</v>
      </c>
      <c r="B355" s="141" t="s">
        <v>26</v>
      </c>
      <c r="C355" s="137" t="s">
        <v>54</v>
      </c>
      <c r="D355" s="133" t="s">
        <v>40</v>
      </c>
      <c r="E355" s="134" t="s">
        <v>123</v>
      </c>
      <c r="F355" s="470" t="s">
        <v>131</v>
      </c>
      <c r="G355" s="135" t="str">
        <f>VLOOKUP(A355,Plano_V3!$A$26:$G$768,7,0)</f>
        <v>1. Concluído</v>
      </c>
      <c r="H355" s="135" t="s">
        <v>612</v>
      </c>
      <c r="I355" s="467"/>
      <c r="J355" s="142"/>
      <c r="K355" s="142"/>
      <c r="L355" s="153"/>
      <c r="M355" s="153"/>
      <c r="N355" s="142"/>
      <c r="O355" s="142"/>
      <c r="P355" s="152" t="str">
        <f>IF(VLOOKUP(A355,'Aux - pivots1'!$A:$E,3,0)=0, "",VLOOKUP(A355,'Aux - pivots1'!$A:$E,3,0))</f>
        <v/>
      </c>
      <c r="Q355" s="152" t="str">
        <f>IF(VLOOKUP(A355,'Aux - pivots1'!$A:$E,4,0)=0, "",VLOOKUP(A355,'Aux - pivots1'!$A:$E,4,0))</f>
        <v/>
      </c>
      <c r="R355" s="152" t="str">
        <f>IF(VLOOKUP(A355,'Aux - pivots1'!$A:$E,5,0)=0, "",VLOOKUP(A355,'Aux - pivots1'!$A:$E,5,0))</f>
        <v/>
      </c>
      <c r="S355" s="198"/>
      <c r="T355" s="198"/>
      <c r="U355" s="198"/>
      <c r="V355" s="320"/>
      <c r="W355" s="320"/>
      <c r="X355" s="320"/>
      <c r="Y355" s="368" t="s">
        <v>2320</v>
      </c>
      <c r="Z355" s="152"/>
    </row>
    <row r="356" spans="1:26" ht="16.399999999999999" hidden="1" customHeight="1">
      <c r="A356" s="29" t="str">
        <f t="shared" si="5"/>
        <v>PROPERTY_ENERGY_CERTIFICATEENERGY_EFFICIENCY_IND</v>
      </c>
      <c r="B356" s="141" t="s">
        <v>26</v>
      </c>
      <c r="C356" s="137" t="s">
        <v>54</v>
      </c>
      <c r="D356" s="133" t="s">
        <v>40</v>
      </c>
      <c r="E356" s="134" t="s">
        <v>123</v>
      </c>
      <c r="F356" s="470" t="s">
        <v>132</v>
      </c>
      <c r="G356" s="135" t="str">
        <f>VLOOKUP(A356,Plano_V3!$A$26:$G$768,7,0)</f>
        <v>1. Concluído</v>
      </c>
      <c r="H356" s="135" t="s">
        <v>612</v>
      </c>
      <c r="I356" s="467"/>
      <c r="J356" s="142"/>
      <c r="K356" s="142"/>
      <c r="L356" s="153"/>
      <c r="M356" s="153"/>
      <c r="N356" s="142"/>
      <c r="O356" s="142"/>
      <c r="P356" s="152" t="str">
        <f>IF(VLOOKUP(A356,'Aux - pivots1'!$A:$E,3,0)=0, "",VLOOKUP(A356,'Aux - pivots1'!$A:$E,3,0))</f>
        <v/>
      </c>
      <c r="Q356" s="152" t="str">
        <f>IF(VLOOKUP(A356,'Aux - pivots1'!$A:$E,4,0)=0, "",VLOOKUP(A356,'Aux - pivots1'!$A:$E,4,0))</f>
        <v/>
      </c>
      <c r="R356" s="152" t="str">
        <f>IF(VLOOKUP(A356,'Aux - pivots1'!$A:$E,5,0)=0, "",VLOOKUP(A356,'Aux - pivots1'!$A:$E,5,0))</f>
        <v/>
      </c>
      <c r="S356" s="198"/>
      <c r="T356" s="198"/>
      <c r="U356" s="198"/>
      <c r="V356" s="320"/>
      <c r="W356" s="320"/>
      <c r="X356" s="320"/>
      <c r="Y356" s="368" t="s">
        <v>2320</v>
      </c>
      <c r="Z356" s="152"/>
    </row>
    <row r="357" spans="1:26" ht="16.399999999999999" hidden="1" customHeight="1">
      <c r="A357" s="29" t="str">
        <f t="shared" si="5"/>
        <v>PROPERTY_ENERGY_CERTIFICATEREN_ENERGY_EFFICIENCY_IND</v>
      </c>
      <c r="B357" s="141" t="s">
        <v>26</v>
      </c>
      <c r="C357" s="137" t="s">
        <v>54</v>
      </c>
      <c r="D357" s="133" t="s">
        <v>40</v>
      </c>
      <c r="E357" s="134" t="s">
        <v>123</v>
      </c>
      <c r="F357" s="470" t="s">
        <v>133</v>
      </c>
      <c r="G357" s="135" t="str">
        <f>VLOOKUP(A357,Plano_V3!$A$26:$G$768,7,0)</f>
        <v>1. Concluído</v>
      </c>
      <c r="H357" s="135" t="s">
        <v>612</v>
      </c>
      <c r="I357" s="467"/>
      <c r="J357" s="142"/>
      <c r="K357" s="142"/>
      <c r="L357" s="153"/>
      <c r="M357" s="153"/>
      <c r="N357" s="142"/>
      <c r="O357" s="142"/>
      <c r="P357" s="152" t="str">
        <f>IF(VLOOKUP(A357,'Aux - pivots1'!$A:$E,3,0)=0, "",VLOOKUP(A357,'Aux - pivots1'!$A:$E,3,0))</f>
        <v/>
      </c>
      <c r="Q357" s="152" t="str">
        <f>IF(VLOOKUP(A357,'Aux - pivots1'!$A:$E,4,0)=0, "",VLOOKUP(A357,'Aux - pivots1'!$A:$E,4,0))</f>
        <v/>
      </c>
      <c r="R357" s="152" t="str">
        <f>IF(VLOOKUP(A357,'Aux - pivots1'!$A:$E,5,0)=0, "",VLOOKUP(A357,'Aux - pivots1'!$A:$E,5,0))</f>
        <v/>
      </c>
      <c r="S357" s="198"/>
      <c r="T357" s="198"/>
      <c r="U357" s="198"/>
      <c r="V357" s="320"/>
      <c r="W357" s="320"/>
      <c r="X357" s="320"/>
      <c r="Y357" s="368" t="s">
        <v>2320</v>
      </c>
      <c r="Z357" s="152"/>
    </row>
    <row r="358" spans="1:26" ht="16.399999999999999" hidden="1" customHeight="1">
      <c r="A358" s="29" t="str">
        <f t="shared" si="5"/>
        <v>PROPERTY_ENERGY_CERTIFICATENZEB_IND</v>
      </c>
      <c r="B358" s="141" t="s">
        <v>26</v>
      </c>
      <c r="C358" s="137" t="s">
        <v>54</v>
      </c>
      <c r="D358" s="133" t="s">
        <v>40</v>
      </c>
      <c r="E358" s="134" t="s">
        <v>123</v>
      </c>
      <c r="F358" s="470" t="s">
        <v>134</v>
      </c>
      <c r="G358" s="135" t="str">
        <f>VLOOKUP(A358,Plano_V3!$A$26:$G$768,7,0)</f>
        <v>1. Concluído</v>
      </c>
      <c r="H358" s="135" t="s">
        <v>612</v>
      </c>
      <c r="I358" s="467"/>
      <c r="J358" s="142"/>
      <c r="K358" s="142"/>
      <c r="L358" s="153"/>
      <c r="M358" s="153"/>
      <c r="N358" s="142"/>
      <c r="O358" s="142"/>
      <c r="P358" s="152" t="str">
        <f>IF(VLOOKUP(A358,'Aux - pivots1'!$A:$E,3,0)=0, "",VLOOKUP(A358,'Aux - pivots1'!$A:$E,3,0))</f>
        <v/>
      </c>
      <c r="Q358" s="152" t="str">
        <f>IF(VLOOKUP(A358,'Aux - pivots1'!$A:$E,4,0)=0, "",VLOOKUP(A358,'Aux - pivots1'!$A:$E,4,0))</f>
        <v/>
      </c>
      <c r="R358" s="152" t="str">
        <f>IF(VLOOKUP(A358,'Aux - pivots1'!$A:$E,5,0)=0, "",VLOOKUP(A358,'Aux - pivots1'!$A:$E,5,0))</f>
        <v/>
      </c>
      <c r="S358" s="198"/>
      <c r="T358" s="198"/>
      <c r="U358" s="198"/>
      <c r="V358" s="320"/>
      <c r="W358" s="320"/>
      <c r="X358" s="320"/>
      <c r="Y358" s="368" t="s">
        <v>2320</v>
      </c>
      <c r="Z358" s="152"/>
    </row>
    <row r="359" spans="1:26" ht="16.399999999999999" hidden="1" customHeight="1">
      <c r="A359" s="29" t="str">
        <f t="shared" si="5"/>
        <v>PROPERTY_ENERGY_CERTIFICATEQUALITY_SCORE</v>
      </c>
      <c r="B359" s="141" t="s">
        <v>26</v>
      </c>
      <c r="C359" s="137" t="s">
        <v>54</v>
      </c>
      <c r="D359" s="133" t="s">
        <v>40</v>
      </c>
      <c r="E359" s="134" t="s">
        <v>123</v>
      </c>
      <c r="F359" s="470" t="s">
        <v>50</v>
      </c>
      <c r="G359" s="135" t="str">
        <f>VLOOKUP(A359,Plano_V3!$A$26:$G$768,7,0)</f>
        <v>1. Concluído</v>
      </c>
      <c r="H359" s="135" t="s">
        <v>612</v>
      </c>
      <c r="I359" s="467"/>
      <c r="J359" s="142"/>
      <c r="K359" s="142"/>
      <c r="L359" s="153"/>
      <c r="M359" s="153"/>
      <c r="N359" s="142"/>
      <c r="O359" s="142"/>
      <c r="P359" s="152" t="str">
        <f>IF(VLOOKUP(A359,'Aux - pivots1'!$A:$E,3,0)=0, "",VLOOKUP(A359,'Aux - pivots1'!$A:$E,3,0))</f>
        <v/>
      </c>
      <c r="Q359" s="152" t="str">
        <f>IF(VLOOKUP(A359,'Aux - pivots1'!$A:$E,4,0)=0, "",VLOOKUP(A359,'Aux - pivots1'!$A:$E,4,0))</f>
        <v/>
      </c>
      <c r="R359" s="152" t="str">
        <f>IF(VLOOKUP(A359,'Aux - pivots1'!$A:$E,5,0)=0, "",VLOOKUP(A359,'Aux - pivots1'!$A:$E,5,0))</f>
        <v/>
      </c>
      <c r="S359" s="198"/>
      <c r="T359" s="198"/>
      <c r="U359" s="198"/>
      <c r="V359" s="320"/>
      <c r="W359" s="320"/>
      <c r="X359" s="320"/>
      <c r="Y359" s="368" t="s">
        <v>2320</v>
      </c>
      <c r="Z359" s="152"/>
    </row>
    <row r="360" spans="1:26" ht="16.399999999999999" hidden="1" customHeight="1">
      <c r="A360" s="29" t="str">
        <f t="shared" si="5"/>
        <v>PROPERTY_ENERGY_CERTIFICATESOURCE_CODE</v>
      </c>
      <c r="B360" s="141" t="s">
        <v>26</v>
      </c>
      <c r="C360" s="137" t="s">
        <v>54</v>
      </c>
      <c r="D360" s="133" t="s">
        <v>40</v>
      </c>
      <c r="E360" s="134" t="s">
        <v>123</v>
      </c>
      <c r="F360" s="470" t="s">
        <v>87</v>
      </c>
      <c r="G360" s="135" t="str">
        <f>VLOOKUP(A360,Plano_V3!$A$26:$G$768,7,0)</f>
        <v>1. Concluído</v>
      </c>
      <c r="H360" s="135" t="s">
        <v>612</v>
      </c>
      <c r="I360" s="467"/>
      <c r="J360" s="142"/>
      <c r="K360" s="142"/>
      <c r="L360" s="153"/>
      <c r="M360" s="153"/>
      <c r="N360" s="142"/>
      <c r="O360" s="142"/>
      <c r="P360" s="152" t="str">
        <f>IF(VLOOKUP(A360,'Aux - pivots1'!$A:$E,3,0)=0, "",VLOOKUP(A360,'Aux - pivots1'!$A:$E,3,0))</f>
        <v/>
      </c>
      <c r="Q360" s="152" t="str">
        <f>IF(VLOOKUP(A360,'Aux - pivots1'!$A:$E,4,0)=0, "",VLOOKUP(A360,'Aux - pivots1'!$A:$E,4,0))</f>
        <v/>
      </c>
      <c r="R360" s="152" t="str">
        <f>IF(VLOOKUP(A360,'Aux - pivots1'!$A:$E,5,0)=0, "",VLOOKUP(A360,'Aux - pivots1'!$A:$E,5,0))</f>
        <v/>
      </c>
      <c r="S360" s="198"/>
      <c r="T360" s="198"/>
      <c r="U360" s="198"/>
      <c r="V360" s="320"/>
      <c r="W360" s="320"/>
      <c r="X360" s="320"/>
      <c r="Y360" s="368" t="s">
        <v>2320</v>
      </c>
      <c r="Z360" s="152"/>
    </row>
    <row r="361" spans="1:26" ht="16.399999999999999" hidden="1" customHeight="1">
      <c r="A361" s="29" t="str">
        <f t="shared" si="5"/>
        <v>PROPERTY_ENERGY_CERTIFICATEDATA_DATE_PART</v>
      </c>
      <c r="B361" s="141" t="s">
        <v>26</v>
      </c>
      <c r="C361" s="137" t="s">
        <v>54</v>
      </c>
      <c r="D361" s="133" t="s">
        <v>40</v>
      </c>
      <c r="E361" s="134" t="s">
        <v>123</v>
      </c>
      <c r="F361" s="470" t="s">
        <v>73</v>
      </c>
      <c r="G361" s="135" t="str">
        <f>VLOOKUP(A361,Plano_V3!$A$26:$G$768,7,0)</f>
        <v>1. Concluído</v>
      </c>
      <c r="H361" s="135" t="s">
        <v>612</v>
      </c>
      <c r="I361" s="467"/>
      <c r="J361" s="142"/>
      <c r="K361" s="142"/>
      <c r="L361" s="153"/>
      <c r="M361" s="153"/>
      <c r="N361" s="142"/>
      <c r="O361" s="142"/>
      <c r="P361" s="152" t="str">
        <f>IF(VLOOKUP(A361,'Aux - pivots1'!$A:$E,3,0)=0, "",VLOOKUP(A361,'Aux - pivots1'!$A:$E,3,0))</f>
        <v/>
      </c>
      <c r="Q361" s="152" t="str">
        <f>IF(VLOOKUP(A361,'Aux - pivots1'!$A:$E,4,0)=0, "",VLOOKUP(A361,'Aux - pivots1'!$A:$E,4,0))</f>
        <v/>
      </c>
      <c r="R361" s="152" t="str">
        <f>IF(VLOOKUP(A361,'Aux - pivots1'!$A:$E,5,0)=0, "",VLOOKUP(A361,'Aux - pivots1'!$A:$E,5,0))</f>
        <v/>
      </c>
      <c r="S361" s="198"/>
      <c r="T361" s="198"/>
      <c r="U361" s="198"/>
      <c r="V361" s="320"/>
      <c r="W361" s="320"/>
      <c r="X361" s="320"/>
      <c r="Y361" s="368" t="s">
        <v>2320</v>
      </c>
      <c r="Z361" s="152"/>
    </row>
    <row r="362" spans="1:26" ht="16.399999999999999" hidden="1" customHeight="1">
      <c r="A362" s="29" t="str">
        <f t="shared" si="5"/>
        <v>PROPERTY_ENERGY_CERTIFICATECERTIFICATE_TYPE</v>
      </c>
      <c r="B362" s="141" t="s">
        <v>26</v>
      </c>
      <c r="C362" s="137" t="s">
        <v>54</v>
      </c>
      <c r="D362" s="133" t="s">
        <v>40</v>
      </c>
      <c r="E362" s="134" t="s">
        <v>123</v>
      </c>
      <c r="F362" s="470" t="s">
        <v>136</v>
      </c>
      <c r="G362" s="135" t="str">
        <f>VLOOKUP(A362,Plano_V3!$A$26:$G$768,7,0)</f>
        <v>1. Concluído</v>
      </c>
      <c r="H362" s="135" t="s">
        <v>612</v>
      </c>
      <c r="I362" s="467"/>
      <c r="J362" s="142"/>
      <c r="K362" s="142"/>
      <c r="L362" s="153"/>
      <c r="M362" s="153"/>
      <c r="N362" s="142"/>
      <c r="O362" s="142"/>
      <c r="P362" s="152" t="str">
        <f>IF(VLOOKUP(A362,'Aux - pivots1'!$A:$E,3,0)=0, "",VLOOKUP(A362,'Aux - pivots1'!$A:$E,3,0))</f>
        <v/>
      </c>
      <c r="Q362" s="152" t="str">
        <f>IF(VLOOKUP(A362,'Aux - pivots1'!$A:$E,4,0)=0, "",VLOOKUP(A362,'Aux - pivots1'!$A:$E,4,0))</f>
        <v/>
      </c>
      <c r="R362" s="152" t="str">
        <f>IF(VLOOKUP(A362,'Aux - pivots1'!$A:$E,5,0)=0, "",VLOOKUP(A362,'Aux - pivots1'!$A:$E,5,0))</f>
        <v/>
      </c>
      <c r="S362" s="198"/>
      <c r="T362" s="198"/>
      <c r="U362" s="198"/>
      <c r="V362" s="320"/>
      <c r="W362" s="320"/>
      <c r="X362" s="320"/>
      <c r="Y362" s="368" t="s">
        <v>2320</v>
      </c>
      <c r="Z362" s="152"/>
    </row>
    <row r="363" spans="1:26" ht="16.399999999999999" hidden="1" customHeight="1">
      <c r="A363" s="29" t="str">
        <f t="shared" si="5"/>
        <v>PROPERTY_ENERGY_CERTIFICATEBUILDING_DOMEST_HOTWATER_VALUE</v>
      </c>
      <c r="B363" s="141" t="s">
        <v>26</v>
      </c>
      <c r="C363" s="137" t="s">
        <v>54</v>
      </c>
      <c r="D363" s="133" t="s">
        <v>40</v>
      </c>
      <c r="E363" s="134" t="s">
        <v>123</v>
      </c>
      <c r="F363" s="470" t="s">
        <v>137</v>
      </c>
      <c r="G363" s="135" t="str">
        <f>VLOOKUP(A363,Plano_V3!$A$26:$G$768,7,0)</f>
        <v>1. Concluído</v>
      </c>
      <c r="H363" s="135" t="s">
        <v>612</v>
      </c>
      <c r="I363" s="467"/>
      <c r="J363" s="142"/>
      <c r="K363" s="142"/>
      <c r="L363" s="153"/>
      <c r="M363" s="153"/>
      <c r="N363" s="142"/>
      <c r="O363" s="142"/>
      <c r="P363" s="152" t="str">
        <f>IF(VLOOKUP(A363,'Aux - pivots1'!$A:$E,3,0)=0, "",VLOOKUP(A363,'Aux - pivots1'!$A:$E,3,0))</f>
        <v/>
      </c>
      <c r="Q363" s="152" t="str">
        <f>IF(VLOOKUP(A363,'Aux - pivots1'!$A:$E,4,0)=0, "",VLOOKUP(A363,'Aux - pivots1'!$A:$E,4,0))</f>
        <v/>
      </c>
      <c r="R363" s="152" t="str">
        <f>IF(VLOOKUP(A363,'Aux - pivots1'!$A:$E,5,0)=0, "",VLOOKUP(A363,'Aux - pivots1'!$A:$E,5,0))</f>
        <v/>
      </c>
      <c r="S363" s="198"/>
      <c r="T363" s="198"/>
      <c r="U363" s="198"/>
      <c r="V363" s="320"/>
      <c r="W363" s="320"/>
      <c r="X363" s="320"/>
      <c r="Y363" s="368" t="s">
        <v>2320</v>
      </c>
      <c r="Z363" s="152"/>
    </row>
    <row r="364" spans="1:26" ht="16.399999999999999" hidden="1" customHeight="1">
      <c r="A364" s="29" t="str">
        <f t="shared" si="5"/>
        <v>PROPERTY_ENERGY_CERTIFICATERENEWABLE_DOMEST_HOTWATER_VALUE</v>
      </c>
      <c r="B364" s="141" t="s">
        <v>26</v>
      </c>
      <c r="C364" s="137" t="s">
        <v>54</v>
      </c>
      <c r="D364" s="133" t="s">
        <v>40</v>
      </c>
      <c r="E364" s="134" t="s">
        <v>123</v>
      </c>
      <c r="F364" s="470" t="s">
        <v>138</v>
      </c>
      <c r="G364" s="135" t="str">
        <f>VLOOKUP(A364,Plano_V3!$A$26:$G$768,7,0)</f>
        <v>1. Concluído</v>
      </c>
      <c r="H364" s="135" t="s">
        <v>612</v>
      </c>
      <c r="I364" s="467"/>
      <c r="J364" s="142"/>
      <c r="K364" s="142"/>
      <c r="L364" s="153"/>
      <c r="M364" s="153"/>
      <c r="N364" s="142"/>
      <c r="O364" s="142"/>
      <c r="P364" s="152" t="str">
        <f>IF(VLOOKUP(A364,'Aux - pivots1'!$A:$E,3,0)=0, "",VLOOKUP(A364,'Aux - pivots1'!$A:$E,3,0))</f>
        <v/>
      </c>
      <c r="Q364" s="152" t="str">
        <f>IF(VLOOKUP(A364,'Aux - pivots1'!$A:$E,4,0)=0, "",VLOOKUP(A364,'Aux - pivots1'!$A:$E,4,0))</f>
        <v/>
      </c>
      <c r="R364" s="152" t="str">
        <f>IF(VLOOKUP(A364,'Aux - pivots1'!$A:$E,5,0)=0, "",VLOOKUP(A364,'Aux - pivots1'!$A:$E,5,0))</f>
        <v/>
      </c>
      <c r="S364" s="198"/>
      <c r="T364" s="198"/>
      <c r="U364" s="198"/>
      <c r="V364" s="320"/>
      <c r="W364" s="320"/>
      <c r="X364" s="320"/>
      <c r="Y364" s="368" t="s">
        <v>2320</v>
      </c>
      <c r="Z364" s="152"/>
    </row>
    <row r="365" spans="1:26" ht="16.399999999999999" hidden="1" customHeight="1">
      <c r="A365" s="29" t="str">
        <f t="shared" si="5"/>
        <v>PROPERTY_ENERGY_CERTIFICATEDOMEST_HOTWATER_REF_VALUE</v>
      </c>
      <c r="B365" s="141" t="s">
        <v>26</v>
      </c>
      <c r="C365" s="137" t="s">
        <v>54</v>
      </c>
      <c r="D365" s="133" t="s">
        <v>40</v>
      </c>
      <c r="E365" s="134" t="s">
        <v>123</v>
      </c>
      <c r="F365" s="470" t="s">
        <v>139</v>
      </c>
      <c r="G365" s="135" t="str">
        <f>VLOOKUP(A365,Plano_V3!$A$26:$G$768,7,0)</f>
        <v>1. Concluído</v>
      </c>
      <c r="H365" s="135" t="s">
        <v>612</v>
      </c>
      <c r="I365" s="467"/>
      <c r="J365" s="142"/>
      <c r="K365" s="142"/>
      <c r="L365" s="153"/>
      <c r="M365" s="153"/>
      <c r="N365" s="142"/>
      <c r="O365" s="142"/>
      <c r="P365" s="152" t="str">
        <f>IF(VLOOKUP(A365,'Aux - pivots1'!$A:$E,3,0)=0, "",VLOOKUP(A365,'Aux - pivots1'!$A:$E,3,0))</f>
        <v/>
      </c>
      <c r="Q365" s="152" t="str">
        <f>IF(VLOOKUP(A365,'Aux - pivots1'!$A:$E,4,0)=0, "",VLOOKUP(A365,'Aux - pivots1'!$A:$E,4,0))</f>
        <v/>
      </c>
      <c r="R365" s="152" t="str">
        <f>IF(VLOOKUP(A365,'Aux - pivots1'!$A:$E,5,0)=0, "",VLOOKUP(A365,'Aux - pivots1'!$A:$E,5,0))</f>
        <v/>
      </c>
      <c r="S365" s="198"/>
      <c r="T365" s="198"/>
      <c r="U365" s="198"/>
      <c r="V365" s="320"/>
      <c r="W365" s="320"/>
      <c r="X365" s="320"/>
      <c r="Y365" s="368" t="s">
        <v>2320</v>
      </c>
      <c r="Z365" s="152"/>
    </row>
    <row r="366" spans="1:26" ht="16.399999999999999" hidden="1" customHeight="1">
      <c r="A366" s="29" t="str">
        <f t="shared" si="5"/>
        <v>PROPERTY_ENERGY_CERTIFICATEHEIGHT</v>
      </c>
      <c r="B366" s="141" t="s">
        <v>26</v>
      </c>
      <c r="C366" s="137" t="s">
        <v>54</v>
      </c>
      <c r="D366" s="133" t="s">
        <v>40</v>
      </c>
      <c r="E366" s="134" t="s">
        <v>123</v>
      </c>
      <c r="F366" s="470" t="s">
        <v>140</v>
      </c>
      <c r="G366" s="135" t="str">
        <f>VLOOKUP(A366,Plano_V3!$A$26:$G$768,7,0)</f>
        <v>1. Concluído</v>
      </c>
      <c r="H366" s="135" t="s">
        <v>612</v>
      </c>
      <c r="I366" s="467"/>
      <c r="J366" s="142"/>
      <c r="K366" s="142"/>
      <c r="L366" s="153"/>
      <c r="M366" s="153"/>
      <c r="N366" s="142"/>
      <c r="O366" s="142"/>
      <c r="P366" s="152" t="str">
        <f>IF(VLOOKUP(A366,'Aux - pivots1'!$A:$E,3,0)=0, "",VLOOKUP(A366,'Aux - pivots1'!$A:$E,3,0))</f>
        <v/>
      </c>
      <c r="Q366" s="152" t="str">
        <f>IF(VLOOKUP(A366,'Aux - pivots1'!$A:$E,4,0)=0, "",VLOOKUP(A366,'Aux - pivots1'!$A:$E,4,0))</f>
        <v/>
      </c>
      <c r="R366" s="152" t="str">
        <f>IF(VLOOKUP(A366,'Aux - pivots1'!$A:$E,5,0)=0, "",VLOOKUP(A366,'Aux - pivots1'!$A:$E,5,0))</f>
        <v/>
      </c>
      <c r="S366" s="198"/>
      <c r="T366" s="198"/>
      <c r="U366" s="198"/>
      <c r="V366" s="320"/>
      <c r="W366" s="320"/>
      <c r="X366" s="320"/>
      <c r="Y366" s="368" t="s">
        <v>2320</v>
      </c>
      <c r="Z366" s="152"/>
    </row>
    <row r="367" spans="1:26" ht="16.399999999999999" hidden="1" customHeight="1">
      <c r="A367" s="29" t="str">
        <f t="shared" si="5"/>
        <v>PROPERTY_ENERGY_CERTIFICATEBUILDING_SPACE_HEATING_VALUE</v>
      </c>
      <c r="B367" s="141" t="s">
        <v>26</v>
      </c>
      <c r="C367" s="137" t="s">
        <v>54</v>
      </c>
      <c r="D367" s="133" t="s">
        <v>40</v>
      </c>
      <c r="E367" s="134" t="s">
        <v>123</v>
      </c>
      <c r="F367" s="470" t="s">
        <v>141</v>
      </c>
      <c r="G367" s="135" t="str">
        <f>VLOOKUP(A367,Plano_V3!$A$26:$G$768,7,0)</f>
        <v>1. Concluído</v>
      </c>
      <c r="H367" s="135" t="s">
        <v>612</v>
      </c>
      <c r="I367" s="467"/>
      <c r="J367" s="142"/>
      <c r="K367" s="142"/>
      <c r="L367" s="153"/>
      <c r="M367" s="153"/>
      <c r="N367" s="142"/>
      <c r="O367" s="142"/>
      <c r="P367" s="152" t="str">
        <f>IF(VLOOKUP(A367,'Aux - pivots1'!$A:$E,3,0)=0, "",VLOOKUP(A367,'Aux - pivots1'!$A:$E,3,0))</f>
        <v/>
      </c>
      <c r="Q367" s="152" t="str">
        <f>IF(VLOOKUP(A367,'Aux - pivots1'!$A:$E,4,0)=0, "",VLOOKUP(A367,'Aux - pivots1'!$A:$E,4,0))</f>
        <v/>
      </c>
      <c r="R367" s="152" t="str">
        <f>IF(VLOOKUP(A367,'Aux - pivots1'!$A:$E,5,0)=0, "",VLOOKUP(A367,'Aux - pivots1'!$A:$E,5,0))</f>
        <v/>
      </c>
      <c r="S367" s="198"/>
      <c r="T367" s="198"/>
      <c r="U367" s="198"/>
      <c r="V367" s="320"/>
      <c r="W367" s="320"/>
      <c r="X367" s="320"/>
      <c r="Y367" s="368" t="s">
        <v>2320</v>
      </c>
      <c r="Z367" s="152"/>
    </row>
    <row r="368" spans="1:26" ht="16.399999999999999" hidden="1" customHeight="1">
      <c r="A368" s="29" t="str">
        <f t="shared" si="5"/>
        <v>PROPERTY_ENERGY_CERTIFICATESPACE_HEATING_REF_VALUE</v>
      </c>
      <c r="B368" s="141" t="s">
        <v>26</v>
      </c>
      <c r="C368" s="137" t="s">
        <v>54</v>
      </c>
      <c r="D368" s="133" t="s">
        <v>40</v>
      </c>
      <c r="E368" s="134" t="s">
        <v>123</v>
      </c>
      <c r="F368" s="470" t="s">
        <v>142</v>
      </c>
      <c r="G368" s="135" t="str">
        <f>VLOOKUP(A368,Plano_V3!$A$26:$G$768,7,0)</f>
        <v>1. Concluído</v>
      </c>
      <c r="H368" s="135" t="s">
        <v>612</v>
      </c>
      <c r="I368" s="467"/>
      <c r="J368" s="142"/>
      <c r="K368" s="142"/>
      <c r="L368" s="153"/>
      <c r="M368" s="153"/>
      <c r="N368" s="142"/>
      <c r="O368" s="142"/>
      <c r="P368" s="152" t="str">
        <f>IF(VLOOKUP(A368,'Aux - pivots1'!$A:$E,3,0)=0, "",VLOOKUP(A368,'Aux - pivots1'!$A:$E,3,0))</f>
        <v/>
      </c>
      <c r="Q368" s="152" t="str">
        <f>IF(VLOOKUP(A368,'Aux - pivots1'!$A:$E,4,0)=0, "",VLOOKUP(A368,'Aux - pivots1'!$A:$E,4,0))</f>
        <v/>
      </c>
      <c r="R368" s="152" t="str">
        <f>IF(VLOOKUP(A368,'Aux - pivots1'!$A:$E,5,0)=0, "",VLOOKUP(A368,'Aux - pivots1'!$A:$E,5,0))</f>
        <v/>
      </c>
      <c r="S368" s="198"/>
      <c r="T368" s="198"/>
      <c r="U368" s="198"/>
      <c r="V368" s="320"/>
      <c r="W368" s="320"/>
      <c r="X368" s="320"/>
      <c r="Y368" s="368" t="s">
        <v>2320</v>
      </c>
      <c r="Z368" s="152"/>
    </row>
    <row r="369" spans="1:26" ht="16.399999999999999" hidden="1" customHeight="1">
      <c r="A369" s="29" t="str">
        <f t="shared" si="5"/>
        <v>PROPERTY_ENERGY_CERTIFICATERENEWABLE_SPACE_HEATING_VALUE</v>
      </c>
      <c r="B369" s="141" t="s">
        <v>26</v>
      </c>
      <c r="C369" s="137" t="s">
        <v>54</v>
      </c>
      <c r="D369" s="133" t="s">
        <v>40</v>
      </c>
      <c r="E369" s="134" t="s">
        <v>123</v>
      </c>
      <c r="F369" s="470" t="s">
        <v>143</v>
      </c>
      <c r="G369" s="135" t="str">
        <f>VLOOKUP(A369,Plano_V3!$A$26:$G$768,7,0)</f>
        <v>1. Concluído</v>
      </c>
      <c r="H369" s="135" t="s">
        <v>612</v>
      </c>
      <c r="I369" s="467"/>
      <c r="J369" s="142"/>
      <c r="K369" s="142"/>
      <c r="L369" s="153"/>
      <c r="M369" s="153"/>
      <c r="N369" s="142"/>
      <c r="O369" s="142"/>
      <c r="P369" s="152" t="str">
        <f>IF(VLOOKUP(A369,'Aux - pivots1'!$A:$E,3,0)=0, "",VLOOKUP(A369,'Aux - pivots1'!$A:$E,3,0))</f>
        <v/>
      </c>
      <c r="Q369" s="152" t="str">
        <f>IF(VLOOKUP(A369,'Aux - pivots1'!$A:$E,4,0)=0, "",VLOOKUP(A369,'Aux - pivots1'!$A:$E,4,0))</f>
        <v/>
      </c>
      <c r="R369" s="152" t="str">
        <f>IF(VLOOKUP(A369,'Aux - pivots1'!$A:$E,5,0)=0, "",VLOOKUP(A369,'Aux - pivots1'!$A:$E,5,0))</f>
        <v/>
      </c>
      <c r="S369" s="198"/>
      <c r="T369" s="198"/>
      <c r="U369" s="198"/>
      <c r="V369" s="320"/>
      <c r="W369" s="320"/>
      <c r="X369" s="320"/>
      <c r="Y369" s="368" t="s">
        <v>2320</v>
      </c>
      <c r="Z369" s="152"/>
    </row>
    <row r="370" spans="1:26" ht="16.399999999999999" hidden="1" customHeight="1">
      <c r="A370" s="29" t="str">
        <f t="shared" si="5"/>
        <v>PROPERTY_ENERGY_CERTIFICATEBUILDING_SPACE_COOLING_VALUE</v>
      </c>
      <c r="B370" s="141" t="s">
        <v>26</v>
      </c>
      <c r="C370" s="137" t="s">
        <v>54</v>
      </c>
      <c r="D370" s="133" t="s">
        <v>40</v>
      </c>
      <c r="E370" s="134" t="s">
        <v>123</v>
      </c>
      <c r="F370" s="470" t="s">
        <v>144</v>
      </c>
      <c r="G370" s="135" t="str">
        <f>VLOOKUP(A370,Plano_V3!$A$26:$G$768,7,0)</f>
        <v>1. Concluído</v>
      </c>
      <c r="H370" s="135" t="s">
        <v>612</v>
      </c>
      <c r="I370" s="467"/>
      <c r="J370" s="142"/>
      <c r="K370" s="142"/>
      <c r="L370" s="153"/>
      <c r="M370" s="153"/>
      <c r="N370" s="142"/>
      <c r="O370" s="142"/>
      <c r="P370" s="152" t="str">
        <f>IF(VLOOKUP(A370,'Aux - pivots1'!$A:$E,3,0)=0, "",VLOOKUP(A370,'Aux - pivots1'!$A:$E,3,0))</f>
        <v/>
      </c>
      <c r="Q370" s="152" t="str">
        <f>IF(VLOOKUP(A370,'Aux - pivots1'!$A:$E,4,0)=0, "",VLOOKUP(A370,'Aux - pivots1'!$A:$E,4,0))</f>
        <v/>
      </c>
      <c r="R370" s="152" t="str">
        <f>IF(VLOOKUP(A370,'Aux - pivots1'!$A:$E,5,0)=0, "",VLOOKUP(A370,'Aux - pivots1'!$A:$E,5,0))</f>
        <v/>
      </c>
      <c r="S370" s="198"/>
      <c r="T370" s="198"/>
      <c r="U370" s="198"/>
      <c r="V370" s="320"/>
      <c r="W370" s="320"/>
      <c r="X370" s="320"/>
      <c r="Y370" s="368" t="s">
        <v>2320</v>
      </c>
      <c r="Z370" s="152"/>
    </row>
    <row r="371" spans="1:26" ht="16.399999999999999" hidden="1" customHeight="1">
      <c r="A371" s="29" t="str">
        <f t="shared" si="5"/>
        <v>PROPERTY_ENERGY_CERTIFICATERENEWABLE_SPACE_COOLING_VALUE</v>
      </c>
      <c r="B371" s="141" t="s">
        <v>26</v>
      </c>
      <c r="C371" s="137" t="s">
        <v>54</v>
      </c>
      <c r="D371" s="133" t="s">
        <v>40</v>
      </c>
      <c r="E371" s="134" t="s">
        <v>123</v>
      </c>
      <c r="F371" s="470" t="s">
        <v>145</v>
      </c>
      <c r="G371" s="135" t="str">
        <f>VLOOKUP(A371,Plano_V3!$A$26:$G$768,7,0)</f>
        <v>1. Concluído</v>
      </c>
      <c r="H371" s="135" t="s">
        <v>612</v>
      </c>
      <c r="I371" s="467"/>
      <c r="J371" s="142"/>
      <c r="K371" s="142"/>
      <c r="L371" s="153"/>
      <c r="M371" s="153"/>
      <c r="N371" s="142"/>
      <c r="O371" s="142"/>
      <c r="P371" s="152" t="str">
        <f>IF(VLOOKUP(A371,'Aux - pivots1'!$A:$E,3,0)=0, "",VLOOKUP(A371,'Aux - pivots1'!$A:$E,3,0))</f>
        <v/>
      </c>
      <c r="Q371" s="152" t="str">
        <f>IF(VLOOKUP(A371,'Aux - pivots1'!$A:$E,4,0)=0, "",VLOOKUP(A371,'Aux - pivots1'!$A:$E,4,0))</f>
        <v/>
      </c>
      <c r="R371" s="152" t="str">
        <f>IF(VLOOKUP(A371,'Aux - pivots1'!$A:$E,5,0)=0, "",VLOOKUP(A371,'Aux - pivots1'!$A:$E,5,0))</f>
        <v/>
      </c>
      <c r="S371" s="198"/>
      <c r="T371" s="198"/>
      <c r="U371" s="198"/>
      <c r="V371" s="320"/>
      <c r="W371" s="320"/>
      <c r="X371" s="320"/>
      <c r="Y371" s="368" t="s">
        <v>2320</v>
      </c>
      <c r="Z371" s="152"/>
    </row>
    <row r="372" spans="1:26" ht="16.399999999999999" hidden="1" customHeight="1">
      <c r="A372" s="29" t="str">
        <f t="shared" si="5"/>
        <v>PROPERTY_ENERGY_CERTIFICATESPACE_COOLING_REF_VALUE</v>
      </c>
      <c r="B372" s="141" t="s">
        <v>26</v>
      </c>
      <c r="C372" s="137" t="s">
        <v>54</v>
      </c>
      <c r="D372" s="133" t="s">
        <v>40</v>
      </c>
      <c r="E372" s="134" t="s">
        <v>123</v>
      </c>
      <c r="F372" s="470" t="s">
        <v>146</v>
      </c>
      <c r="G372" s="135" t="str">
        <f>VLOOKUP(A372,Plano_V3!$A$26:$G$768,7,0)</f>
        <v>1. Concluído</v>
      </c>
      <c r="H372" s="135" t="s">
        <v>612</v>
      </c>
      <c r="I372" s="467"/>
      <c r="J372" s="142"/>
      <c r="K372" s="142"/>
      <c r="L372" s="153"/>
      <c r="M372" s="153"/>
      <c r="N372" s="142"/>
      <c r="O372" s="142"/>
      <c r="P372" s="152" t="str">
        <f>IF(VLOOKUP(A372,'Aux - pivots1'!$A:$E,3,0)=0, "",VLOOKUP(A372,'Aux - pivots1'!$A:$E,3,0))</f>
        <v/>
      </c>
      <c r="Q372" s="152" t="str">
        <f>IF(VLOOKUP(A372,'Aux - pivots1'!$A:$E,4,0)=0, "",VLOOKUP(A372,'Aux - pivots1'!$A:$E,4,0))</f>
        <v/>
      </c>
      <c r="R372" s="152" t="str">
        <f>IF(VLOOKUP(A372,'Aux - pivots1'!$A:$E,5,0)=0, "",VLOOKUP(A372,'Aux - pivots1'!$A:$E,5,0))</f>
        <v/>
      </c>
      <c r="S372" s="198"/>
      <c r="T372" s="198"/>
      <c r="U372" s="198"/>
      <c r="V372" s="320"/>
      <c r="W372" s="320"/>
      <c r="X372" s="320"/>
      <c r="Y372" s="368" t="s">
        <v>2320</v>
      </c>
      <c r="Z372" s="152"/>
    </row>
    <row r="373" spans="1:26" ht="16.399999999999999" hidden="1" customHeight="1">
      <c r="A373" s="29" t="str">
        <f t="shared" si="5"/>
        <v>PROPERTY_ENERGY_CERTIFICATEENERGY_CLASS_AFTER_MEASUREMENT</v>
      </c>
      <c r="B373" s="141" t="s">
        <v>26</v>
      </c>
      <c r="C373" s="137" t="s">
        <v>54</v>
      </c>
      <c r="D373" s="133" t="s">
        <v>40</v>
      </c>
      <c r="E373" s="134" t="s">
        <v>123</v>
      </c>
      <c r="F373" s="470" t="s">
        <v>147</v>
      </c>
      <c r="G373" s="135" t="str">
        <f>VLOOKUP(A373,Plano_V3!$A$26:$G$768,7,0)</f>
        <v>1. Concluído</v>
      </c>
      <c r="H373" s="135" t="s">
        <v>612</v>
      </c>
      <c r="I373" s="467"/>
      <c r="J373" s="142"/>
      <c r="K373" s="142"/>
      <c r="L373" s="153"/>
      <c r="M373" s="153"/>
      <c r="N373" s="142"/>
      <c r="O373" s="142"/>
      <c r="P373" s="152" t="str">
        <f>IF(VLOOKUP(A373,'Aux - pivots1'!$A:$E,3,0)=0, "",VLOOKUP(A373,'Aux - pivots1'!$A:$E,3,0))</f>
        <v/>
      </c>
      <c r="Q373" s="152" t="str">
        <f>IF(VLOOKUP(A373,'Aux - pivots1'!$A:$E,4,0)=0, "",VLOOKUP(A373,'Aux - pivots1'!$A:$E,4,0))</f>
        <v/>
      </c>
      <c r="R373" s="152" t="str">
        <f>IF(VLOOKUP(A373,'Aux - pivots1'!$A:$E,5,0)=0, "",VLOOKUP(A373,'Aux - pivots1'!$A:$E,5,0))</f>
        <v/>
      </c>
      <c r="S373" s="198"/>
      <c r="T373" s="198"/>
      <c r="U373" s="198"/>
      <c r="V373" s="320"/>
      <c r="W373" s="320"/>
      <c r="X373" s="320"/>
      <c r="Y373" s="368" t="s">
        <v>2320</v>
      </c>
      <c r="Z373" s="152"/>
    </row>
    <row r="374" spans="1:26" ht="16.399999999999999" hidden="1" customHeight="1">
      <c r="A374" s="29" t="str">
        <f t="shared" si="5"/>
        <v>PROPERTY_ENERGY_CERTIFICATETHERMAL_BEHAVIOUR_ROOF</v>
      </c>
      <c r="B374" s="141" t="s">
        <v>26</v>
      </c>
      <c r="C374" s="137" t="s">
        <v>54</v>
      </c>
      <c r="D374" s="133" t="s">
        <v>40</v>
      </c>
      <c r="E374" s="134" t="s">
        <v>123</v>
      </c>
      <c r="F374" s="470" t="s">
        <v>148</v>
      </c>
      <c r="G374" s="135" t="str">
        <f>VLOOKUP(A374,Plano_V3!$A$26:$G$768,7,0)</f>
        <v>1. Concluído</v>
      </c>
      <c r="H374" s="135" t="s">
        <v>612</v>
      </c>
      <c r="I374" s="467"/>
      <c r="J374" s="142"/>
      <c r="K374" s="142"/>
      <c r="L374" s="153"/>
      <c r="M374" s="153"/>
      <c r="N374" s="142"/>
      <c r="O374" s="142"/>
      <c r="P374" s="152" t="str">
        <f>IF(VLOOKUP(A374,'Aux - pivots1'!$A:$E,3,0)=0, "",VLOOKUP(A374,'Aux - pivots1'!$A:$E,3,0))</f>
        <v/>
      </c>
      <c r="Q374" s="152" t="str">
        <f>IF(VLOOKUP(A374,'Aux - pivots1'!$A:$E,4,0)=0, "",VLOOKUP(A374,'Aux - pivots1'!$A:$E,4,0))</f>
        <v/>
      </c>
      <c r="R374" s="152" t="str">
        <f>IF(VLOOKUP(A374,'Aux - pivots1'!$A:$E,5,0)=0, "",VLOOKUP(A374,'Aux - pivots1'!$A:$E,5,0))</f>
        <v/>
      </c>
      <c r="S374" s="198"/>
      <c r="T374" s="198"/>
      <c r="U374" s="198"/>
      <c r="V374" s="320"/>
      <c r="W374" s="320"/>
      <c r="X374" s="320"/>
      <c r="Y374" s="368" t="s">
        <v>2320</v>
      </c>
      <c r="Z374" s="152"/>
    </row>
    <row r="375" spans="1:26" ht="16.399999999999999" hidden="1" customHeight="1">
      <c r="A375" s="29" t="str">
        <f t="shared" si="5"/>
        <v>PROPERTY_ENERGY_CERTIFICATETHERMAL_BEHAVIOUR_WINDOWS</v>
      </c>
      <c r="B375" s="141" t="s">
        <v>26</v>
      </c>
      <c r="C375" s="137" t="s">
        <v>54</v>
      </c>
      <c r="D375" s="133" t="s">
        <v>40</v>
      </c>
      <c r="E375" s="134" t="s">
        <v>123</v>
      </c>
      <c r="F375" s="470" t="s">
        <v>149</v>
      </c>
      <c r="G375" s="135" t="str">
        <f>VLOOKUP(A375,Plano_V3!$A$26:$G$768,7,0)</f>
        <v>1. Concluído</v>
      </c>
      <c r="H375" s="135" t="s">
        <v>612</v>
      </c>
      <c r="I375" s="467"/>
      <c r="J375" s="142"/>
      <c r="K375" s="142"/>
      <c r="L375" s="153"/>
      <c r="M375" s="153"/>
      <c r="N375" s="142"/>
      <c r="O375" s="142"/>
      <c r="P375" s="152" t="str">
        <f>IF(VLOOKUP(A375,'Aux - pivots1'!$A:$E,3,0)=0, "",VLOOKUP(A375,'Aux - pivots1'!$A:$E,3,0))</f>
        <v/>
      </c>
      <c r="Q375" s="152" t="str">
        <f>IF(VLOOKUP(A375,'Aux - pivots1'!$A:$E,4,0)=0, "",VLOOKUP(A375,'Aux - pivots1'!$A:$E,4,0))</f>
        <v/>
      </c>
      <c r="R375" s="152" t="str">
        <f>IF(VLOOKUP(A375,'Aux - pivots1'!$A:$E,5,0)=0, "",VLOOKUP(A375,'Aux - pivots1'!$A:$E,5,0))</f>
        <v/>
      </c>
      <c r="S375" s="198"/>
      <c r="T375" s="198"/>
      <c r="U375" s="198"/>
      <c r="V375" s="320"/>
      <c r="W375" s="320"/>
      <c r="X375" s="320"/>
      <c r="Y375" s="368" t="s">
        <v>2320</v>
      </c>
      <c r="Z375" s="152"/>
    </row>
    <row r="376" spans="1:26" ht="16.399999999999999" hidden="1" customHeight="1">
      <c r="A376" s="29" t="str">
        <f t="shared" si="5"/>
        <v>PROPERTY_ENERGY_CERTIFICATETHERMAL_BEHAVIOUR_WALL</v>
      </c>
      <c r="B376" s="141" t="s">
        <v>26</v>
      </c>
      <c r="C376" s="137" t="s">
        <v>54</v>
      </c>
      <c r="D376" s="133" t="s">
        <v>40</v>
      </c>
      <c r="E376" s="134" t="s">
        <v>123</v>
      </c>
      <c r="F376" s="470" t="s">
        <v>150</v>
      </c>
      <c r="G376" s="135" t="str">
        <f>VLOOKUP(A376,Plano_V3!$A$26:$G$768,7,0)</f>
        <v>1. Concluído</v>
      </c>
      <c r="H376" s="135" t="s">
        <v>612</v>
      </c>
      <c r="I376" s="467"/>
      <c r="J376" s="142"/>
      <c r="K376" s="142"/>
      <c r="L376" s="153"/>
      <c r="M376" s="153"/>
      <c r="N376" s="142"/>
      <c r="O376" s="142"/>
      <c r="P376" s="152" t="str">
        <f>IF(VLOOKUP(A376,'Aux - pivots1'!$A:$E,3,0)=0, "",VLOOKUP(A376,'Aux - pivots1'!$A:$E,3,0))</f>
        <v/>
      </c>
      <c r="Q376" s="152" t="str">
        <f>IF(VLOOKUP(A376,'Aux - pivots1'!$A:$E,4,0)=0, "",VLOOKUP(A376,'Aux - pivots1'!$A:$E,4,0))</f>
        <v/>
      </c>
      <c r="R376" s="152" t="str">
        <f>IF(VLOOKUP(A376,'Aux - pivots1'!$A:$E,5,0)=0, "",VLOOKUP(A376,'Aux - pivots1'!$A:$E,5,0))</f>
        <v/>
      </c>
      <c r="S376" s="198"/>
      <c r="T376" s="198"/>
      <c r="U376" s="198"/>
      <c r="V376" s="320"/>
      <c r="W376" s="320"/>
      <c r="X376" s="320"/>
      <c r="Y376" s="368" t="s">
        <v>2320</v>
      </c>
      <c r="Z376" s="152"/>
    </row>
    <row r="377" spans="1:26" ht="16.399999999999999" hidden="1" customHeight="1">
      <c r="A377" s="29" t="str">
        <f t="shared" si="5"/>
        <v>PROPERTY_ENERGY_CERTIFICATETHERMAL_BEHAVIOUR_FLOORS</v>
      </c>
      <c r="B377" s="141" t="s">
        <v>26</v>
      </c>
      <c r="C377" s="137" t="s">
        <v>54</v>
      </c>
      <c r="D377" s="133" t="s">
        <v>40</v>
      </c>
      <c r="E377" s="134" t="s">
        <v>123</v>
      </c>
      <c r="F377" s="470" t="s">
        <v>151</v>
      </c>
      <c r="G377" s="135" t="str">
        <f>VLOOKUP(A377,Plano_V3!$A$26:$G$768,7,0)</f>
        <v>1. Concluído</v>
      </c>
      <c r="H377" s="135" t="s">
        <v>612</v>
      </c>
      <c r="I377" s="467"/>
      <c r="J377" s="142"/>
      <c r="K377" s="142"/>
      <c r="L377" s="153"/>
      <c r="M377" s="153"/>
      <c r="N377" s="142"/>
      <c r="O377" s="142"/>
      <c r="P377" s="152" t="str">
        <f>IF(VLOOKUP(A377,'Aux - pivots1'!$A:$E,3,0)=0, "",VLOOKUP(A377,'Aux - pivots1'!$A:$E,3,0))</f>
        <v/>
      </c>
      <c r="Q377" s="152" t="str">
        <f>IF(VLOOKUP(A377,'Aux - pivots1'!$A:$E,4,0)=0, "",VLOOKUP(A377,'Aux - pivots1'!$A:$E,4,0))</f>
        <v/>
      </c>
      <c r="R377" s="152" t="str">
        <f>IF(VLOOKUP(A377,'Aux - pivots1'!$A:$E,5,0)=0, "",VLOOKUP(A377,'Aux - pivots1'!$A:$E,5,0))</f>
        <v/>
      </c>
      <c r="S377" s="198"/>
      <c r="T377" s="198"/>
      <c r="U377" s="198"/>
      <c r="V377" s="320"/>
      <c r="W377" s="320"/>
      <c r="X377" s="320"/>
      <c r="Y377" s="368" t="s">
        <v>2320</v>
      </c>
      <c r="Z377" s="152"/>
    </row>
    <row r="378" spans="1:26" ht="16.399999999999999" hidden="1" customHeight="1">
      <c r="A378" s="29" t="str">
        <f t="shared" si="5"/>
        <v>PROPERTY_ENERGY_CERTIFICATETHERMAL_BEHAVIOUR_TECH_SYS_VENT</v>
      </c>
      <c r="B378" s="141" t="s">
        <v>26</v>
      </c>
      <c r="C378" s="137" t="s">
        <v>54</v>
      </c>
      <c r="D378" s="133" t="s">
        <v>40</v>
      </c>
      <c r="E378" s="134" t="s">
        <v>123</v>
      </c>
      <c r="F378" s="470" t="s">
        <v>152</v>
      </c>
      <c r="G378" s="135" t="str">
        <f>VLOOKUP(A378,Plano_V3!$A$26:$G$768,7,0)</f>
        <v>1. Concluído</v>
      </c>
      <c r="H378" s="135" t="s">
        <v>612</v>
      </c>
      <c r="I378" s="467"/>
      <c r="J378" s="142"/>
      <c r="K378" s="142"/>
      <c r="L378" s="153"/>
      <c r="M378" s="153"/>
      <c r="N378" s="142"/>
      <c r="O378" s="142"/>
      <c r="P378" s="152" t="str">
        <f>IF(VLOOKUP(A378,'Aux - pivots1'!$A:$E,3,0)=0, "",VLOOKUP(A378,'Aux - pivots1'!$A:$E,3,0))</f>
        <v/>
      </c>
      <c r="Q378" s="152" t="str">
        <f>IF(VLOOKUP(A378,'Aux - pivots1'!$A:$E,4,0)=0, "",VLOOKUP(A378,'Aux - pivots1'!$A:$E,4,0))</f>
        <v/>
      </c>
      <c r="R378" s="152" t="str">
        <f>IF(VLOOKUP(A378,'Aux - pivots1'!$A:$E,5,0)=0, "",VLOOKUP(A378,'Aux - pivots1'!$A:$E,5,0))</f>
        <v/>
      </c>
      <c r="S378" s="198"/>
      <c r="T378" s="198"/>
      <c r="U378" s="198"/>
      <c r="V378" s="320"/>
      <c r="W378" s="320"/>
      <c r="X378" s="320"/>
      <c r="Y378" s="368" t="s">
        <v>2320</v>
      </c>
      <c r="Z378" s="152"/>
    </row>
    <row r="379" spans="1:26" ht="16.399999999999999" hidden="1" customHeight="1">
      <c r="A379" s="29" t="str">
        <f t="shared" si="5"/>
        <v>PROPERTY_ENERGY_CERTIFICATETOTAL_INVSTMNT_ESTMTD_VALUE</v>
      </c>
      <c r="B379" s="141" t="s">
        <v>26</v>
      </c>
      <c r="C379" s="137" t="s">
        <v>54</v>
      </c>
      <c r="D379" s="133" t="s">
        <v>40</v>
      </c>
      <c r="E379" s="134" t="s">
        <v>123</v>
      </c>
      <c r="F379" s="470" t="s">
        <v>153</v>
      </c>
      <c r="G379" s="135" t="str">
        <f>VLOOKUP(A379,Plano_V3!$A$26:$G$768,7,0)</f>
        <v>1. Concluído</v>
      </c>
      <c r="H379" s="135" t="s">
        <v>612</v>
      </c>
      <c r="I379" s="467"/>
      <c r="J379" s="142"/>
      <c r="K379" s="142"/>
      <c r="L379" s="153"/>
      <c r="M379" s="153"/>
      <c r="N379" s="142"/>
      <c r="O379" s="142"/>
      <c r="P379" s="152" t="str">
        <f>IF(VLOOKUP(A379,'Aux - pivots1'!$A:$E,3,0)=0, "",VLOOKUP(A379,'Aux - pivots1'!$A:$E,3,0))</f>
        <v/>
      </c>
      <c r="Q379" s="152" t="str">
        <f>IF(VLOOKUP(A379,'Aux - pivots1'!$A:$E,4,0)=0, "",VLOOKUP(A379,'Aux - pivots1'!$A:$E,4,0))</f>
        <v/>
      </c>
      <c r="R379" s="152" t="str">
        <f>IF(VLOOKUP(A379,'Aux - pivots1'!$A:$E,5,0)=0, "",VLOOKUP(A379,'Aux - pivots1'!$A:$E,5,0))</f>
        <v/>
      </c>
      <c r="S379" s="198"/>
      <c r="T379" s="198"/>
      <c r="U379" s="198"/>
      <c r="V379" s="320"/>
      <c r="W379" s="320"/>
      <c r="X379" s="320"/>
      <c r="Y379" s="368" t="s">
        <v>2320</v>
      </c>
      <c r="Z379" s="152"/>
    </row>
    <row r="380" spans="1:26" ht="16.399999999999999" hidden="1" customHeight="1">
      <c r="A380" s="29" t="str">
        <f t="shared" si="5"/>
        <v>PROPERTY_ENERGY_CERTIFICATEDURATION_SUMMER</v>
      </c>
      <c r="B380" s="141" t="s">
        <v>26</v>
      </c>
      <c r="C380" s="137" t="s">
        <v>54</v>
      </c>
      <c r="D380" s="133" t="s">
        <v>40</v>
      </c>
      <c r="E380" s="134" t="s">
        <v>123</v>
      </c>
      <c r="F380" s="470" t="s">
        <v>154</v>
      </c>
      <c r="G380" s="135" t="str">
        <f>VLOOKUP(A380,Plano_V3!$A$26:$G$768,7,0)</f>
        <v>1. Concluído</v>
      </c>
      <c r="H380" s="135" t="s">
        <v>612</v>
      </c>
      <c r="I380" s="467"/>
      <c r="J380" s="142"/>
      <c r="K380" s="142"/>
      <c r="L380" s="153"/>
      <c r="M380" s="153"/>
      <c r="N380" s="142"/>
      <c r="O380" s="142"/>
      <c r="P380" s="152" t="str">
        <f>IF(VLOOKUP(A380,'Aux - pivots1'!$A:$E,3,0)=0, "",VLOOKUP(A380,'Aux - pivots1'!$A:$E,3,0))</f>
        <v/>
      </c>
      <c r="Q380" s="152" t="str">
        <f>IF(VLOOKUP(A380,'Aux - pivots1'!$A:$E,4,0)=0, "",VLOOKUP(A380,'Aux - pivots1'!$A:$E,4,0))</f>
        <v/>
      </c>
      <c r="R380" s="152" t="str">
        <f>IF(VLOOKUP(A380,'Aux - pivots1'!$A:$E,5,0)=0, "",VLOOKUP(A380,'Aux - pivots1'!$A:$E,5,0))</f>
        <v/>
      </c>
      <c r="S380" s="198"/>
      <c r="T380" s="198"/>
      <c r="U380" s="198"/>
      <c r="V380" s="320"/>
      <c r="W380" s="320"/>
      <c r="X380" s="320"/>
      <c r="Y380" s="368" t="s">
        <v>2320</v>
      </c>
      <c r="Z380" s="152"/>
    </row>
    <row r="381" spans="1:26" ht="16.399999999999999" hidden="1" customHeight="1">
      <c r="A381" s="29" t="str">
        <f t="shared" si="5"/>
        <v>PROPERTY_ENERGY_CERTIFICATEDURATION_WINTER</v>
      </c>
      <c r="B381" s="141" t="s">
        <v>26</v>
      </c>
      <c r="C381" s="137" t="s">
        <v>54</v>
      </c>
      <c r="D381" s="133" t="s">
        <v>40</v>
      </c>
      <c r="E381" s="134" t="s">
        <v>123</v>
      </c>
      <c r="F381" s="470" t="s">
        <v>155</v>
      </c>
      <c r="G381" s="135" t="str">
        <f>VLOOKUP(A381,Plano_V3!$A$26:$G$768,7,0)</f>
        <v>1. Concluído</v>
      </c>
      <c r="H381" s="135" t="s">
        <v>612</v>
      </c>
      <c r="I381" s="467"/>
      <c r="J381" s="142"/>
      <c r="K381" s="142"/>
      <c r="L381" s="153"/>
      <c r="M381" s="153"/>
      <c r="N381" s="142"/>
      <c r="O381" s="142"/>
      <c r="P381" s="152" t="str">
        <f>IF(VLOOKUP(A381,'Aux - pivots1'!$A:$E,3,0)=0, "",VLOOKUP(A381,'Aux - pivots1'!$A:$E,3,0))</f>
        <v/>
      </c>
      <c r="Q381" s="152" t="str">
        <f>IF(VLOOKUP(A381,'Aux - pivots1'!$A:$E,4,0)=0, "",VLOOKUP(A381,'Aux - pivots1'!$A:$E,4,0))</f>
        <v/>
      </c>
      <c r="R381" s="152" t="str">
        <f>IF(VLOOKUP(A381,'Aux - pivots1'!$A:$E,5,0)=0, "",VLOOKUP(A381,'Aux - pivots1'!$A:$E,5,0))</f>
        <v/>
      </c>
      <c r="S381" s="198"/>
      <c r="T381" s="198"/>
      <c r="U381" s="198"/>
      <c r="V381" s="320"/>
      <c r="W381" s="320"/>
      <c r="X381" s="320"/>
      <c r="Y381" s="368" t="s">
        <v>2320</v>
      </c>
      <c r="Z381" s="152"/>
    </row>
    <row r="382" spans="1:26" ht="16.399999999999999" hidden="1" customHeight="1">
      <c r="A382" s="29" t="str">
        <f t="shared" si="5"/>
        <v>PROPERTY_ENERGY_CERTIFICATECARBON_EMISSION_VALUE</v>
      </c>
      <c r="B382" s="141" t="s">
        <v>26</v>
      </c>
      <c r="C382" s="137" t="s">
        <v>54</v>
      </c>
      <c r="D382" s="133" t="s">
        <v>40</v>
      </c>
      <c r="E382" s="134" t="s">
        <v>123</v>
      </c>
      <c r="F382" s="470" t="s">
        <v>156</v>
      </c>
      <c r="G382" s="135" t="str">
        <f>VLOOKUP(A382,Plano_V3!$A$26:$G$768,7,0)</f>
        <v>1. Concluído</v>
      </c>
      <c r="H382" s="135" t="s">
        <v>612</v>
      </c>
      <c r="I382" s="467"/>
      <c r="J382" s="142"/>
      <c r="K382" s="142"/>
      <c r="L382" s="153"/>
      <c r="M382" s="153"/>
      <c r="N382" s="142"/>
      <c r="O382" s="142"/>
      <c r="P382" s="152" t="str">
        <f>IF(VLOOKUP(A382,'Aux - pivots1'!$A:$E,3,0)=0, "",VLOOKUP(A382,'Aux - pivots1'!$A:$E,3,0))</f>
        <v/>
      </c>
      <c r="Q382" s="152" t="str">
        <f>IF(VLOOKUP(A382,'Aux - pivots1'!$A:$E,4,0)=0, "",VLOOKUP(A382,'Aux - pivots1'!$A:$E,4,0))</f>
        <v/>
      </c>
      <c r="R382" s="152" t="str">
        <f>IF(VLOOKUP(A382,'Aux - pivots1'!$A:$E,5,0)=0, "",VLOOKUP(A382,'Aux - pivots1'!$A:$E,5,0))</f>
        <v/>
      </c>
      <c r="S382" s="198"/>
      <c r="T382" s="198"/>
      <c r="U382" s="198"/>
      <c r="V382" s="320"/>
      <c r="W382" s="320"/>
      <c r="X382" s="320"/>
      <c r="Y382" s="368" t="s">
        <v>2320</v>
      </c>
      <c r="Z382" s="152"/>
    </row>
    <row r="383" spans="1:26" ht="16.399999999999999" hidden="1" customHeight="1">
      <c r="A383" s="29" t="str">
        <f t="shared" si="5"/>
        <v>PROPERTY_ENERGY_CERTIFICATEUSEFUL_ENERGY_FANS_REQ_VALUE</v>
      </c>
      <c r="B383" s="141" t="s">
        <v>26</v>
      </c>
      <c r="C383" s="137" t="s">
        <v>54</v>
      </c>
      <c r="D383" s="133" t="s">
        <v>40</v>
      </c>
      <c r="E383" s="134" t="s">
        <v>123</v>
      </c>
      <c r="F383" s="470" t="s">
        <v>157</v>
      </c>
      <c r="G383" s="135" t="str">
        <f>VLOOKUP(A383,Plano_V3!$A$26:$G$768,7,0)</f>
        <v>1. Concluído</v>
      </c>
      <c r="H383" s="135" t="s">
        <v>612</v>
      </c>
      <c r="I383" s="467"/>
      <c r="J383" s="142"/>
      <c r="K383" s="142"/>
      <c r="L383" s="153"/>
      <c r="M383" s="153"/>
      <c r="N383" s="142"/>
      <c r="O383" s="142"/>
      <c r="P383" s="152" t="str">
        <f>IF(VLOOKUP(A383,'Aux - pivots1'!$A:$E,3,0)=0, "",VLOOKUP(A383,'Aux - pivots1'!$A:$E,3,0))</f>
        <v/>
      </c>
      <c r="Q383" s="152" t="str">
        <f>IF(VLOOKUP(A383,'Aux - pivots1'!$A:$E,4,0)=0, "",VLOOKUP(A383,'Aux - pivots1'!$A:$E,4,0))</f>
        <v/>
      </c>
      <c r="R383" s="152" t="str">
        <f>IF(VLOOKUP(A383,'Aux - pivots1'!$A:$E,5,0)=0, "",VLOOKUP(A383,'Aux - pivots1'!$A:$E,5,0))</f>
        <v/>
      </c>
      <c r="S383" s="198"/>
      <c r="T383" s="198"/>
      <c r="U383" s="198"/>
      <c r="V383" s="320"/>
      <c r="W383" s="320"/>
      <c r="X383" s="320"/>
      <c r="Y383" s="368" t="s">
        <v>2320</v>
      </c>
      <c r="Z383" s="152"/>
    </row>
    <row r="384" spans="1:26" ht="16.399999999999999" hidden="1" customHeight="1">
      <c r="A384" s="29" t="str">
        <f t="shared" si="5"/>
        <v>PROPERTY_ENERGY_CERTIFICATEREN_ENERGY_PRODUCED_OTHER_VALUE</v>
      </c>
      <c r="B384" s="141" t="s">
        <v>26</v>
      </c>
      <c r="C384" s="137" t="s">
        <v>54</v>
      </c>
      <c r="D384" s="133" t="s">
        <v>40</v>
      </c>
      <c r="E384" s="134" t="s">
        <v>123</v>
      </c>
      <c r="F384" s="470" t="s">
        <v>158</v>
      </c>
      <c r="G384" s="135" t="str">
        <f>VLOOKUP(A384,Plano_V3!$A$26:$G$768,7,0)</f>
        <v>1. Concluído</v>
      </c>
      <c r="H384" s="135" t="s">
        <v>612</v>
      </c>
      <c r="I384" s="467"/>
      <c r="J384" s="142"/>
      <c r="K384" s="142"/>
      <c r="L384" s="153"/>
      <c r="M384" s="153"/>
      <c r="N384" s="142"/>
      <c r="O384" s="142"/>
      <c r="P384" s="152" t="str">
        <f>IF(VLOOKUP(A384,'Aux - pivots1'!$A:$E,3,0)=0, "",VLOOKUP(A384,'Aux - pivots1'!$A:$E,3,0))</f>
        <v/>
      </c>
      <c r="Q384" s="152" t="str">
        <f>IF(VLOOKUP(A384,'Aux - pivots1'!$A:$E,4,0)=0, "",VLOOKUP(A384,'Aux - pivots1'!$A:$E,4,0))</f>
        <v/>
      </c>
      <c r="R384" s="152" t="str">
        <f>IF(VLOOKUP(A384,'Aux - pivots1'!$A:$E,5,0)=0, "",VLOOKUP(A384,'Aux - pivots1'!$A:$E,5,0))</f>
        <v/>
      </c>
      <c r="S384" s="198"/>
      <c r="T384" s="198"/>
      <c r="U384" s="198"/>
      <c r="V384" s="320"/>
      <c r="W384" s="320"/>
      <c r="X384" s="320"/>
      <c r="Y384" s="368" t="s">
        <v>2320</v>
      </c>
      <c r="Z384" s="152"/>
    </row>
    <row r="385" spans="1:26" ht="16.399999999999999" hidden="1" customHeight="1">
      <c r="A385" s="29" t="str">
        <f t="shared" si="5"/>
        <v>PROPERTY_ENERGY_CERTIFICATEREN_ENERGY_PRODUCED_REG_VALUE</v>
      </c>
      <c r="B385" s="141" t="s">
        <v>26</v>
      </c>
      <c r="C385" s="137" t="s">
        <v>54</v>
      </c>
      <c r="D385" s="133" t="s">
        <v>40</v>
      </c>
      <c r="E385" s="134" t="s">
        <v>123</v>
      </c>
      <c r="F385" s="470" t="s">
        <v>159</v>
      </c>
      <c r="G385" s="135" t="str">
        <f>VLOOKUP(A385,Plano_V3!$A$26:$G$768,7,0)</f>
        <v>1. Concluído</v>
      </c>
      <c r="H385" s="135" t="s">
        <v>612</v>
      </c>
      <c r="I385" s="467"/>
      <c r="J385" s="142"/>
      <c r="K385" s="142"/>
      <c r="L385" s="153"/>
      <c r="M385" s="153"/>
      <c r="N385" s="142"/>
      <c r="O385" s="142"/>
      <c r="P385" s="152" t="str">
        <f>IF(VLOOKUP(A385,'Aux - pivots1'!$A:$E,3,0)=0, "",VLOOKUP(A385,'Aux - pivots1'!$A:$E,3,0))</f>
        <v/>
      </c>
      <c r="Q385" s="152" t="str">
        <f>IF(VLOOKUP(A385,'Aux - pivots1'!$A:$E,4,0)=0, "",VLOOKUP(A385,'Aux - pivots1'!$A:$E,4,0))</f>
        <v/>
      </c>
      <c r="R385" s="152" t="str">
        <f>IF(VLOOKUP(A385,'Aux - pivots1'!$A:$E,5,0)=0, "",VLOOKUP(A385,'Aux - pivots1'!$A:$E,5,0))</f>
        <v/>
      </c>
      <c r="S385" s="198"/>
      <c r="T385" s="198"/>
      <c r="U385" s="198"/>
      <c r="V385" s="320"/>
      <c r="W385" s="320"/>
      <c r="X385" s="320"/>
      <c r="Y385" s="368" t="s">
        <v>2320</v>
      </c>
      <c r="Z385" s="152"/>
    </row>
    <row r="386" spans="1:26" ht="16.399999999999999" hidden="1" customHeight="1">
      <c r="A386" s="29" t="str">
        <f t="shared" si="5"/>
        <v>PROPERTY_ENERGY_CERTIFICATEREN_ENERGY_PRODUCED_VALUE</v>
      </c>
      <c r="B386" s="141" t="s">
        <v>26</v>
      </c>
      <c r="C386" s="137" t="s">
        <v>54</v>
      </c>
      <c r="D386" s="133" t="s">
        <v>40</v>
      </c>
      <c r="E386" s="134" t="s">
        <v>123</v>
      </c>
      <c r="F386" s="470" t="s">
        <v>160</v>
      </c>
      <c r="G386" s="135" t="str">
        <f>VLOOKUP(A386,Plano_V3!$A$26:$G$768,7,0)</f>
        <v>1. Concluído</v>
      </c>
      <c r="H386" s="135" t="s">
        <v>612</v>
      </c>
      <c r="I386" s="467"/>
      <c r="J386" s="142"/>
      <c r="K386" s="142"/>
      <c r="L386" s="153"/>
      <c r="M386" s="153"/>
      <c r="N386" s="142"/>
      <c r="O386" s="142"/>
      <c r="P386" s="152" t="str">
        <f>IF(VLOOKUP(A386,'Aux - pivots1'!$A:$E,3,0)=0, "",VLOOKUP(A386,'Aux - pivots1'!$A:$E,3,0))</f>
        <v/>
      </c>
      <c r="Q386" s="152" t="str">
        <f>IF(VLOOKUP(A386,'Aux - pivots1'!$A:$E,4,0)=0, "",VLOOKUP(A386,'Aux - pivots1'!$A:$E,4,0))</f>
        <v/>
      </c>
      <c r="R386" s="152" t="str">
        <f>IF(VLOOKUP(A386,'Aux - pivots1'!$A:$E,5,0)=0, "",VLOOKUP(A386,'Aux - pivots1'!$A:$E,5,0))</f>
        <v/>
      </c>
      <c r="S386" s="198"/>
      <c r="T386" s="198"/>
      <c r="U386" s="198"/>
      <c r="V386" s="320"/>
      <c r="W386" s="320"/>
      <c r="X386" s="320"/>
      <c r="Y386" s="368" t="s">
        <v>2320</v>
      </c>
      <c r="Z386" s="152"/>
    </row>
    <row r="387" spans="1:26" ht="16.399999999999999" hidden="1" customHeight="1">
      <c r="A387" s="29" t="str">
        <f t="shared" si="5"/>
        <v>PROPERTY_ENERGY_CERTIFICATEUSEFUL_ENERGY_DOM_HOTWATER_VALUE</v>
      </c>
      <c r="B387" s="141" t="s">
        <v>26</v>
      </c>
      <c r="C387" s="137" t="s">
        <v>54</v>
      </c>
      <c r="D387" s="133" t="s">
        <v>40</v>
      </c>
      <c r="E387" s="134" t="s">
        <v>123</v>
      </c>
      <c r="F387" s="470" t="s">
        <v>161</v>
      </c>
      <c r="G387" s="135" t="str">
        <f>VLOOKUP(A387,Plano_V3!$A$26:$G$768,7,0)</f>
        <v>1. Concluído</v>
      </c>
      <c r="H387" s="135" t="s">
        <v>612</v>
      </c>
      <c r="I387" s="467"/>
      <c r="J387" s="142"/>
      <c r="K387" s="142"/>
      <c r="L387" s="153"/>
      <c r="M387" s="153"/>
      <c r="N387" s="142"/>
      <c r="O387" s="142"/>
      <c r="P387" s="152" t="str">
        <f>IF(VLOOKUP(A387,'Aux - pivots1'!$A:$E,3,0)=0, "",VLOOKUP(A387,'Aux - pivots1'!$A:$E,3,0))</f>
        <v/>
      </c>
      <c r="Q387" s="152" t="str">
        <f>IF(VLOOKUP(A387,'Aux - pivots1'!$A:$E,4,0)=0, "",VLOOKUP(A387,'Aux - pivots1'!$A:$E,4,0))</f>
        <v/>
      </c>
      <c r="R387" s="152" t="str">
        <f>IF(VLOOKUP(A387,'Aux - pivots1'!$A:$E,5,0)=0, "",VLOOKUP(A387,'Aux - pivots1'!$A:$E,5,0))</f>
        <v/>
      </c>
      <c r="S387" s="198"/>
      <c r="T387" s="198"/>
      <c r="U387" s="198"/>
      <c r="V387" s="320"/>
      <c r="W387" s="320"/>
      <c r="X387" s="320"/>
      <c r="Y387" s="368" t="s">
        <v>2320</v>
      </c>
      <c r="Z387" s="152"/>
    </row>
    <row r="388" spans="1:26" ht="16.399999999999999" hidden="1" customHeight="1">
      <c r="A388" s="29" t="str">
        <f t="shared" si="5"/>
        <v>PROPERTY_ENERGY_CERTIFICATEUSEFUL_ENERGY_COOLING_VALUE</v>
      </c>
      <c r="B388" s="141" t="s">
        <v>26</v>
      </c>
      <c r="C388" s="137" t="s">
        <v>54</v>
      </c>
      <c r="D388" s="133" t="s">
        <v>40</v>
      </c>
      <c r="E388" s="134" t="s">
        <v>123</v>
      </c>
      <c r="F388" s="470" t="s">
        <v>162</v>
      </c>
      <c r="G388" s="135" t="str">
        <f>VLOOKUP(A388,Plano_V3!$A$26:$G$768,7,0)</f>
        <v>1. Concluído</v>
      </c>
      <c r="H388" s="135" t="s">
        <v>612</v>
      </c>
      <c r="I388" s="467"/>
      <c r="J388" s="142"/>
      <c r="K388" s="142"/>
      <c r="L388" s="153"/>
      <c r="M388" s="153"/>
      <c r="N388" s="142"/>
      <c r="O388" s="142"/>
      <c r="P388" s="152" t="str">
        <f>IF(VLOOKUP(A388,'Aux - pivots1'!$A:$E,3,0)=0, "",VLOOKUP(A388,'Aux - pivots1'!$A:$E,3,0))</f>
        <v/>
      </c>
      <c r="Q388" s="152" t="str">
        <f>IF(VLOOKUP(A388,'Aux - pivots1'!$A:$E,4,0)=0, "",VLOOKUP(A388,'Aux - pivots1'!$A:$E,4,0))</f>
        <v/>
      </c>
      <c r="R388" s="152" t="str">
        <f>IF(VLOOKUP(A388,'Aux - pivots1'!$A:$E,5,0)=0, "",VLOOKUP(A388,'Aux - pivots1'!$A:$E,5,0))</f>
        <v/>
      </c>
      <c r="S388" s="198"/>
      <c r="T388" s="198"/>
      <c r="U388" s="198"/>
      <c r="V388" s="320"/>
      <c r="W388" s="320"/>
      <c r="X388" s="320"/>
      <c r="Y388" s="368" t="s">
        <v>2320</v>
      </c>
      <c r="Z388" s="152"/>
    </row>
    <row r="389" spans="1:26" ht="16.399999999999999" hidden="1" customHeight="1">
      <c r="A389" s="29" t="str">
        <f t="shared" si="5"/>
        <v>PROPERTY_ENERGY_CERTIFICATETEMPERATURE_DAY_VALUE</v>
      </c>
      <c r="B389" s="141" t="s">
        <v>26</v>
      </c>
      <c r="C389" s="137" t="s">
        <v>54</v>
      </c>
      <c r="D389" s="133" t="s">
        <v>40</v>
      </c>
      <c r="E389" s="134" t="s">
        <v>123</v>
      </c>
      <c r="F389" s="470" t="s">
        <v>163</v>
      </c>
      <c r="G389" s="135" t="str">
        <f>VLOOKUP(A389,Plano_V3!$A$26:$G$768,7,0)</f>
        <v>1. Concluído</v>
      </c>
      <c r="H389" s="135" t="s">
        <v>612</v>
      </c>
      <c r="I389" s="467"/>
      <c r="J389" s="142"/>
      <c r="K389" s="142"/>
      <c r="L389" s="153"/>
      <c r="M389" s="153"/>
      <c r="N389" s="142"/>
      <c r="O389" s="142"/>
      <c r="P389" s="152" t="str">
        <f>IF(VLOOKUP(A389,'Aux - pivots1'!$A:$E,3,0)=0, "",VLOOKUP(A389,'Aux - pivots1'!$A:$E,3,0))</f>
        <v/>
      </c>
      <c r="Q389" s="152" t="str">
        <f>IF(VLOOKUP(A389,'Aux - pivots1'!$A:$E,4,0)=0, "",VLOOKUP(A389,'Aux - pivots1'!$A:$E,4,0))</f>
        <v/>
      </c>
      <c r="R389" s="152" t="str">
        <f>IF(VLOOKUP(A389,'Aux - pivots1'!$A:$E,5,0)=0, "",VLOOKUP(A389,'Aux - pivots1'!$A:$E,5,0))</f>
        <v/>
      </c>
      <c r="S389" s="198"/>
      <c r="T389" s="198"/>
      <c r="U389" s="198"/>
      <c r="V389" s="320"/>
      <c r="W389" s="320"/>
      <c r="X389" s="320"/>
      <c r="Y389" s="368" t="s">
        <v>2320</v>
      </c>
      <c r="Z389" s="152"/>
    </row>
    <row r="390" spans="1:26" ht="16.399999999999999" hidden="1" customHeight="1">
      <c r="A390" s="29" t="str">
        <f t="shared" si="5"/>
        <v>PROPERTY_ENERGY_CERTIFICATEPRIMARY_ENERGY_REQ_VALUE</v>
      </c>
      <c r="B390" s="141" t="s">
        <v>26</v>
      </c>
      <c r="C390" s="137" t="s">
        <v>54</v>
      </c>
      <c r="D390" s="133" t="s">
        <v>40</v>
      </c>
      <c r="E390" s="134" t="s">
        <v>123</v>
      </c>
      <c r="F390" s="470" t="s">
        <v>164</v>
      </c>
      <c r="G390" s="135" t="str">
        <f>VLOOKUP(A390,Plano_V3!$A$26:$G$768,7,0)</f>
        <v>1. Concluído</v>
      </c>
      <c r="H390" s="135" t="s">
        <v>612</v>
      </c>
      <c r="I390" s="467"/>
      <c r="J390" s="142"/>
      <c r="K390" s="142"/>
      <c r="L390" s="153"/>
      <c r="M390" s="153"/>
      <c r="N390" s="142"/>
      <c r="O390" s="142"/>
      <c r="P390" s="152" t="str">
        <f>IF(VLOOKUP(A390,'Aux - pivots1'!$A:$E,3,0)=0, "",VLOOKUP(A390,'Aux - pivots1'!$A:$E,3,0))</f>
        <v/>
      </c>
      <c r="Q390" s="152" t="str">
        <f>IF(VLOOKUP(A390,'Aux - pivots1'!$A:$E,4,0)=0, "",VLOOKUP(A390,'Aux - pivots1'!$A:$E,4,0))</f>
        <v/>
      </c>
      <c r="R390" s="152" t="str">
        <f>IF(VLOOKUP(A390,'Aux - pivots1'!$A:$E,5,0)=0, "",VLOOKUP(A390,'Aux - pivots1'!$A:$E,5,0))</f>
        <v/>
      </c>
      <c r="S390" s="198"/>
      <c r="T390" s="198"/>
      <c r="U390" s="198"/>
      <c r="V390" s="320"/>
      <c r="W390" s="320"/>
      <c r="X390" s="320"/>
      <c r="Y390" s="368" t="s">
        <v>2320</v>
      </c>
      <c r="Z390" s="152"/>
    </row>
    <row r="391" spans="1:26" ht="16.399999999999999" hidden="1" customHeight="1">
      <c r="A391" s="29" t="str">
        <f t="shared" si="5"/>
        <v>PROPERTY_ENERGY_CERTIFICATEUSEFUL_ENERGY_HEATING_REQ_VALUE</v>
      </c>
      <c r="B391" s="141" t="s">
        <v>26</v>
      </c>
      <c r="C391" s="137" t="s">
        <v>54</v>
      </c>
      <c r="D391" s="133" t="s">
        <v>40</v>
      </c>
      <c r="E391" s="134" t="s">
        <v>123</v>
      </c>
      <c r="F391" s="470" t="s">
        <v>165</v>
      </c>
      <c r="G391" s="135" t="str">
        <f>VLOOKUP(A391,Plano_V3!$A$26:$G$768,7,0)</f>
        <v>1. Concluído</v>
      </c>
      <c r="H391" s="135" t="s">
        <v>612</v>
      </c>
      <c r="I391" s="467"/>
      <c r="J391" s="142"/>
      <c r="K391" s="142"/>
      <c r="L391" s="153"/>
      <c r="M391" s="153"/>
      <c r="N391" s="142"/>
      <c r="O391" s="142"/>
      <c r="P391" s="152" t="str">
        <f>IF(VLOOKUP(A391,'Aux - pivots1'!$A:$E,3,0)=0, "",VLOOKUP(A391,'Aux - pivots1'!$A:$E,3,0))</f>
        <v/>
      </c>
      <c r="Q391" s="152" t="str">
        <f>IF(VLOOKUP(A391,'Aux - pivots1'!$A:$E,4,0)=0, "",VLOOKUP(A391,'Aux - pivots1'!$A:$E,4,0))</f>
        <v/>
      </c>
      <c r="R391" s="152" t="str">
        <f>IF(VLOOKUP(A391,'Aux - pivots1'!$A:$E,5,0)=0, "",VLOOKUP(A391,'Aux - pivots1'!$A:$E,5,0))</f>
        <v/>
      </c>
      <c r="S391" s="198"/>
      <c r="T391" s="198"/>
      <c r="U391" s="198"/>
      <c r="V391" s="320"/>
      <c r="W391" s="320"/>
      <c r="X391" s="320"/>
      <c r="Y391" s="368" t="s">
        <v>2320</v>
      </c>
      <c r="Z391" s="152"/>
    </row>
    <row r="392" spans="1:26" ht="16.399999999999999" hidden="1" customHeight="1">
      <c r="A392" s="29" t="str">
        <f t="shared" si="5"/>
        <v>PROPERTY_ENERGY_CERTIFICATEPNL_WINTER_WALLS_DOORS_VALUE</v>
      </c>
      <c r="B392" s="141" t="s">
        <v>26</v>
      </c>
      <c r="C392" s="137" t="s">
        <v>54</v>
      </c>
      <c r="D392" s="133" t="s">
        <v>40</v>
      </c>
      <c r="E392" s="134" t="s">
        <v>123</v>
      </c>
      <c r="F392" s="470" t="s">
        <v>166</v>
      </c>
      <c r="G392" s="135" t="str">
        <f>VLOOKUP(A392,Plano_V3!$A$26:$G$768,7,0)</f>
        <v>1. Concluído</v>
      </c>
      <c r="H392" s="135" t="s">
        <v>612</v>
      </c>
      <c r="I392" s="467"/>
      <c r="J392" s="142"/>
      <c r="K392" s="142"/>
      <c r="L392" s="153"/>
      <c r="M392" s="153"/>
      <c r="N392" s="142"/>
      <c r="O392" s="142"/>
      <c r="P392" s="152" t="str">
        <f>IF(VLOOKUP(A392,'Aux - pivots1'!$A:$E,3,0)=0, "",VLOOKUP(A392,'Aux - pivots1'!$A:$E,3,0))</f>
        <v/>
      </c>
      <c r="Q392" s="152" t="str">
        <f>IF(VLOOKUP(A392,'Aux - pivots1'!$A:$E,4,0)=0, "",VLOOKUP(A392,'Aux - pivots1'!$A:$E,4,0))</f>
        <v/>
      </c>
      <c r="R392" s="152" t="str">
        <f>IF(VLOOKUP(A392,'Aux - pivots1'!$A:$E,5,0)=0, "",VLOOKUP(A392,'Aux - pivots1'!$A:$E,5,0))</f>
        <v/>
      </c>
      <c r="S392" s="198"/>
      <c r="T392" s="198"/>
      <c r="U392" s="198"/>
      <c r="V392" s="320"/>
      <c r="W392" s="320"/>
      <c r="X392" s="320"/>
      <c r="Y392" s="368" t="s">
        <v>2320</v>
      </c>
      <c r="Z392" s="152"/>
    </row>
    <row r="393" spans="1:26" ht="16.399999999999999" hidden="1" customHeight="1">
      <c r="A393" s="29" t="str">
        <f t="shared" si="5"/>
        <v>PROPERTY_ENERGY_CERTIFICATEPNL_WINTER_FLOORS_VALUE</v>
      </c>
      <c r="B393" s="141" t="s">
        <v>26</v>
      </c>
      <c r="C393" s="137" t="s">
        <v>54</v>
      </c>
      <c r="D393" s="133" t="s">
        <v>40</v>
      </c>
      <c r="E393" s="134" t="s">
        <v>123</v>
      </c>
      <c r="F393" s="470" t="s">
        <v>167</v>
      </c>
      <c r="G393" s="135" t="str">
        <f>VLOOKUP(A393,Plano_V3!$A$26:$G$768,7,0)</f>
        <v>1. Concluído</v>
      </c>
      <c r="H393" s="135" t="s">
        <v>612</v>
      </c>
      <c r="I393" s="467"/>
      <c r="J393" s="142"/>
      <c r="K393" s="142"/>
      <c r="L393" s="153"/>
      <c r="M393" s="153"/>
      <c r="N393" s="142"/>
      <c r="O393" s="142"/>
      <c r="P393" s="152" t="str">
        <f>IF(VLOOKUP(A393,'Aux - pivots1'!$A:$E,3,0)=0, "",VLOOKUP(A393,'Aux - pivots1'!$A:$E,3,0))</f>
        <v/>
      </c>
      <c r="Q393" s="152" t="str">
        <f>IF(VLOOKUP(A393,'Aux - pivots1'!$A:$E,4,0)=0, "",VLOOKUP(A393,'Aux - pivots1'!$A:$E,4,0))</f>
        <v/>
      </c>
      <c r="R393" s="152" t="str">
        <f>IF(VLOOKUP(A393,'Aux - pivots1'!$A:$E,5,0)=0, "",VLOOKUP(A393,'Aux - pivots1'!$A:$E,5,0))</f>
        <v/>
      </c>
      <c r="S393" s="198"/>
      <c r="T393" s="198"/>
      <c r="U393" s="198"/>
      <c r="V393" s="320"/>
      <c r="W393" s="320"/>
      <c r="X393" s="320"/>
      <c r="Y393" s="368" t="s">
        <v>2320</v>
      </c>
      <c r="Z393" s="152"/>
    </row>
    <row r="394" spans="1:26" ht="16.399999999999999" hidden="1" customHeight="1">
      <c r="A394" s="29" t="str">
        <f t="shared" si="5"/>
        <v>PROPERTY_ENERGY_CERTIFICATEPNL_WINTER_ROOF_VALUE</v>
      </c>
      <c r="B394" s="141" t="s">
        <v>26</v>
      </c>
      <c r="C394" s="137" t="s">
        <v>54</v>
      </c>
      <c r="D394" s="133" t="s">
        <v>40</v>
      </c>
      <c r="E394" s="134" t="s">
        <v>123</v>
      </c>
      <c r="F394" s="470" t="s">
        <v>168</v>
      </c>
      <c r="G394" s="135" t="str">
        <f>VLOOKUP(A394,Plano_V3!$A$26:$G$768,7,0)</f>
        <v>1. Concluído</v>
      </c>
      <c r="H394" s="135" t="s">
        <v>612</v>
      </c>
      <c r="I394" s="467"/>
      <c r="J394" s="142"/>
      <c r="K394" s="142"/>
      <c r="L394" s="153"/>
      <c r="M394" s="153"/>
      <c r="N394" s="142"/>
      <c r="O394" s="142"/>
      <c r="P394" s="152" t="str">
        <f>IF(VLOOKUP(A394,'Aux - pivots1'!$A:$E,3,0)=0, "",VLOOKUP(A394,'Aux - pivots1'!$A:$E,3,0))</f>
        <v/>
      </c>
      <c r="Q394" s="152" t="str">
        <f>IF(VLOOKUP(A394,'Aux - pivots1'!$A:$E,4,0)=0, "",VLOOKUP(A394,'Aux - pivots1'!$A:$E,4,0))</f>
        <v/>
      </c>
      <c r="R394" s="152" t="str">
        <f>IF(VLOOKUP(A394,'Aux - pivots1'!$A:$E,5,0)=0, "",VLOOKUP(A394,'Aux - pivots1'!$A:$E,5,0))</f>
        <v/>
      </c>
      <c r="S394" s="198"/>
      <c r="T394" s="198"/>
      <c r="U394" s="198"/>
      <c r="V394" s="320"/>
      <c r="W394" s="320"/>
      <c r="X394" s="320"/>
      <c r="Y394" s="368" t="s">
        <v>2320</v>
      </c>
      <c r="Z394" s="152"/>
    </row>
    <row r="395" spans="1:26" ht="16.399999999999999" hidden="1" customHeight="1">
      <c r="A395" s="29" t="str">
        <f t="shared" ref="A395:A458" si="6">E395&amp;F395</f>
        <v>PROPERTY_ENERGY_CERTIFICATEPNL_WINTER_WINDOWS_VALUE</v>
      </c>
      <c r="B395" s="141" t="s">
        <v>26</v>
      </c>
      <c r="C395" s="137" t="s">
        <v>54</v>
      </c>
      <c r="D395" s="133" t="s">
        <v>40</v>
      </c>
      <c r="E395" s="134" t="s">
        <v>123</v>
      </c>
      <c r="F395" s="470" t="s">
        <v>169</v>
      </c>
      <c r="G395" s="135" t="str">
        <f>VLOOKUP(A395,Plano_V3!$A$26:$G$768,7,0)</f>
        <v>1. Concluído</v>
      </c>
      <c r="H395" s="135" t="s">
        <v>612</v>
      </c>
      <c r="I395" s="467"/>
      <c r="J395" s="142"/>
      <c r="K395" s="142"/>
      <c r="L395" s="153"/>
      <c r="M395" s="153"/>
      <c r="N395" s="142"/>
      <c r="O395" s="142"/>
      <c r="P395" s="152" t="str">
        <f>IF(VLOOKUP(A395,'Aux - pivots1'!$A:$E,3,0)=0, "",VLOOKUP(A395,'Aux - pivots1'!$A:$E,3,0))</f>
        <v/>
      </c>
      <c r="Q395" s="152" t="str">
        <f>IF(VLOOKUP(A395,'Aux - pivots1'!$A:$E,4,0)=0, "",VLOOKUP(A395,'Aux - pivots1'!$A:$E,4,0))</f>
        <v/>
      </c>
      <c r="R395" s="152" t="str">
        <f>IF(VLOOKUP(A395,'Aux - pivots1'!$A:$E,5,0)=0, "",VLOOKUP(A395,'Aux - pivots1'!$A:$E,5,0))</f>
        <v/>
      </c>
      <c r="S395" s="198"/>
      <c r="T395" s="198"/>
      <c r="U395" s="198"/>
      <c r="V395" s="320"/>
      <c r="W395" s="320"/>
      <c r="X395" s="320"/>
      <c r="Y395" s="368" t="s">
        <v>2320</v>
      </c>
      <c r="Z395" s="152"/>
    </row>
    <row r="396" spans="1:26" ht="16.399999999999999" hidden="1" customHeight="1">
      <c r="A396" s="29" t="str">
        <f t="shared" si="6"/>
        <v>PROPERTY_ENERGY_CERTIFICATEPNL_WINTER_REF_VALUE</v>
      </c>
      <c r="B396" s="141" t="s">
        <v>26</v>
      </c>
      <c r="C396" s="137" t="s">
        <v>54</v>
      </c>
      <c r="D396" s="133" t="s">
        <v>40</v>
      </c>
      <c r="E396" s="134" t="s">
        <v>123</v>
      </c>
      <c r="F396" s="470" t="s">
        <v>170</v>
      </c>
      <c r="G396" s="135" t="str">
        <f>VLOOKUP(A396,Plano_V3!$A$26:$G$768,7,0)</f>
        <v>1. Concluído</v>
      </c>
      <c r="H396" s="135" t="s">
        <v>612</v>
      </c>
      <c r="I396" s="467"/>
      <c r="J396" s="142"/>
      <c r="K396" s="142"/>
      <c r="L396" s="153"/>
      <c r="M396" s="153"/>
      <c r="N396" s="142"/>
      <c r="O396" s="142"/>
      <c r="P396" s="152" t="str">
        <f>IF(VLOOKUP(A396,'Aux - pivots1'!$A:$E,3,0)=0, "",VLOOKUP(A396,'Aux - pivots1'!$A:$E,3,0))</f>
        <v/>
      </c>
      <c r="Q396" s="152" t="str">
        <f>IF(VLOOKUP(A396,'Aux - pivots1'!$A:$E,4,0)=0, "",VLOOKUP(A396,'Aux - pivots1'!$A:$E,4,0))</f>
        <v/>
      </c>
      <c r="R396" s="152" t="str">
        <f>IF(VLOOKUP(A396,'Aux - pivots1'!$A:$E,5,0)=0, "",VLOOKUP(A396,'Aux - pivots1'!$A:$E,5,0))</f>
        <v/>
      </c>
      <c r="S396" s="198"/>
      <c r="T396" s="198"/>
      <c r="U396" s="198"/>
      <c r="V396" s="320"/>
      <c r="W396" s="320"/>
      <c r="X396" s="320"/>
      <c r="Y396" s="368" t="s">
        <v>2320</v>
      </c>
      <c r="Z396" s="152"/>
    </row>
    <row r="397" spans="1:26" ht="16.399999999999999" hidden="1" customHeight="1">
      <c r="A397" s="29" t="str">
        <f t="shared" si="6"/>
        <v>PROPERTY_ENERGY_CERTIFICATEPNL_WINTER_FANS_VALUE</v>
      </c>
      <c r="B397" s="141" t="s">
        <v>26</v>
      </c>
      <c r="C397" s="137" t="s">
        <v>54</v>
      </c>
      <c r="D397" s="133" t="s">
        <v>40</v>
      </c>
      <c r="E397" s="134" t="s">
        <v>123</v>
      </c>
      <c r="F397" s="470" t="s">
        <v>171</v>
      </c>
      <c r="G397" s="135" t="str">
        <f>VLOOKUP(A397,Plano_V3!$A$26:$G$768,7,0)</f>
        <v>1. Concluído</v>
      </c>
      <c r="H397" s="135" t="s">
        <v>612</v>
      </c>
      <c r="I397" s="467"/>
      <c r="J397" s="142"/>
      <c r="K397" s="142"/>
      <c r="L397" s="153"/>
      <c r="M397" s="153"/>
      <c r="N397" s="142"/>
      <c r="O397" s="142"/>
      <c r="P397" s="152" t="str">
        <f>IF(VLOOKUP(A397,'Aux - pivots1'!$A:$E,3,0)=0, "",VLOOKUP(A397,'Aux - pivots1'!$A:$E,3,0))</f>
        <v/>
      </c>
      <c r="Q397" s="152" t="str">
        <f>IF(VLOOKUP(A397,'Aux - pivots1'!$A:$E,4,0)=0, "",VLOOKUP(A397,'Aux - pivots1'!$A:$E,4,0))</f>
        <v/>
      </c>
      <c r="R397" s="152" t="str">
        <f>IF(VLOOKUP(A397,'Aux - pivots1'!$A:$E,5,0)=0, "",VLOOKUP(A397,'Aux - pivots1'!$A:$E,5,0))</f>
        <v/>
      </c>
      <c r="S397" s="198"/>
      <c r="T397" s="198"/>
      <c r="U397" s="198"/>
      <c r="V397" s="320"/>
      <c r="W397" s="320"/>
      <c r="X397" s="320"/>
      <c r="Y397" s="368" t="s">
        <v>2320</v>
      </c>
      <c r="Z397" s="152"/>
    </row>
    <row r="398" spans="1:26" ht="16.399999999999999" hidden="1" customHeight="1">
      <c r="A398" s="29" t="str">
        <f t="shared" si="6"/>
        <v>PROPERTY_ENERGY_CERTIFICATEPNL_SUMMER_ROOF_VALUE</v>
      </c>
      <c r="B398" s="141" t="s">
        <v>26</v>
      </c>
      <c r="C398" s="137" t="s">
        <v>54</v>
      </c>
      <c r="D398" s="133" t="s">
        <v>40</v>
      </c>
      <c r="E398" s="134" t="s">
        <v>123</v>
      </c>
      <c r="F398" s="470" t="s">
        <v>172</v>
      </c>
      <c r="G398" s="135" t="str">
        <f>VLOOKUP(A398,Plano_V3!$A$26:$G$768,7,0)</f>
        <v>1. Concluído</v>
      </c>
      <c r="H398" s="135" t="s">
        <v>612</v>
      </c>
      <c r="I398" s="467"/>
      <c r="J398" s="142"/>
      <c r="K398" s="142"/>
      <c r="L398" s="153"/>
      <c r="M398" s="153"/>
      <c r="N398" s="142"/>
      <c r="O398" s="142"/>
      <c r="P398" s="152" t="str">
        <f>IF(VLOOKUP(A398,'Aux - pivots1'!$A:$E,3,0)=0, "",VLOOKUP(A398,'Aux - pivots1'!$A:$E,3,0))</f>
        <v/>
      </c>
      <c r="Q398" s="152" t="str">
        <f>IF(VLOOKUP(A398,'Aux - pivots1'!$A:$E,4,0)=0, "",VLOOKUP(A398,'Aux - pivots1'!$A:$E,4,0))</f>
        <v/>
      </c>
      <c r="R398" s="152" t="str">
        <f>IF(VLOOKUP(A398,'Aux - pivots1'!$A:$E,5,0)=0, "",VLOOKUP(A398,'Aux - pivots1'!$A:$E,5,0))</f>
        <v/>
      </c>
      <c r="S398" s="198"/>
      <c r="T398" s="198"/>
      <c r="U398" s="198"/>
      <c r="V398" s="320"/>
      <c r="W398" s="320"/>
      <c r="X398" s="320"/>
      <c r="Y398" s="368" t="s">
        <v>2320</v>
      </c>
      <c r="Z398" s="152"/>
    </row>
    <row r="399" spans="1:26" ht="16.399999999999999" hidden="1" customHeight="1">
      <c r="A399" s="29" t="str">
        <f t="shared" si="6"/>
        <v>PROPERTY_ENERGY_CERTIFICATEPNL_SUMMER_WINDOWS_VALUE</v>
      </c>
      <c r="B399" s="141" t="s">
        <v>26</v>
      </c>
      <c r="C399" s="137" t="s">
        <v>54</v>
      </c>
      <c r="D399" s="133" t="s">
        <v>40</v>
      </c>
      <c r="E399" s="134" t="s">
        <v>123</v>
      </c>
      <c r="F399" s="470" t="s">
        <v>173</v>
      </c>
      <c r="G399" s="135" t="str">
        <f>VLOOKUP(A399,Plano_V3!$A$26:$G$768,7,0)</f>
        <v>1. Concluído</v>
      </c>
      <c r="H399" s="135" t="s">
        <v>612</v>
      </c>
      <c r="I399" s="467"/>
      <c r="J399" s="142"/>
      <c r="K399" s="142"/>
      <c r="L399" s="153"/>
      <c r="M399" s="153"/>
      <c r="N399" s="142"/>
      <c r="O399" s="142"/>
      <c r="P399" s="152" t="str">
        <f>IF(VLOOKUP(A399,'Aux - pivots1'!$A:$E,3,0)=0, "",VLOOKUP(A399,'Aux - pivots1'!$A:$E,3,0))</f>
        <v/>
      </c>
      <c r="Q399" s="152" t="str">
        <f>IF(VLOOKUP(A399,'Aux - pivots1'!$A:$E,4,0)=0, "",VLOOKUP(A399,'Aux - pivots1'!$A:$E,4,0))</f>
        <v/>
      </c>
      <c r="R399" s="152" t="str">
        <f>IF(VLOOKUP(A399,'Aux - pivots1'!$A:$E,5,0)=0, "",VLOOKUP(A399,'Aux - pivots1'!$A:$E,5,0))</f>
        <v/>
      </c>
      <c r="S399" s="198"/>
      <c r="T399" s="198"/>
      <c r="U399" s="198"/>
      <c r="V399" s="320"/>
      <c r="W399" s="320"/>
      <c r="X399" s="320"/>
      <c r="Y399" s="368" t="s">
        <v>2320</v>
      </c>
      <c r="Z399" s="152"/>
    </row>
    <row r="400" spans="1:26" ht="16.399999999999999" hidden="1" customHeight="1">
      <c r="A400" s="29" t="str">
        <f t="shared" si="6"/>
        <v>PROPERTY_ENERGY_CERTIFICATEPNL_SUMMER_WALLS_DOORS_VALUE</v>
      </c>
      <c r="B400" s="141" t="s">
        <v>26</v>
      </c>
      <c r="C400" s="137" t="s">
        <v>54</v>
      </c>
      <c r="D400" s="133" t="s">
        <v>40</v>
      </c>
      <c r="E400" s="134" t="s">
        <v>123</v>
      </c>
      <c r="F400" s="470" t="s">
        <v>174</v>
      </c>
      <c r="G400" s="135" t="str">
        <f>VLOOKUP(A400,Plano_V3!$A$26:$G$768,7,0)</f>
        <v>1. Concluído</v>
      </c>
      <c r="H400" s="135" t="s">
        <v>612</v>
      </c>
      <c r="I400" s="467"/>
      <c r="J400" s="142"/>
      <c r="K400" s="142"/>
      <c r="L400" s="153"/>
      <c r="M400" s="153"/>
      <c r="N400" s="142"/>
      <c r="O400" s="142"/>
      <c r="P400" s="152" t="str">
        <f>IF(VLOOKUP(A400,'Aux - pivots1'!$A:$E,3,0)=0, "",VLOOKUP(A400,'Aux - pivots1'!$A:$E,3,0))</f>
        <v/>
      </c>
      <c r="Q400" s="152" t="str">
        <f>IF(VLOOKUP(A400,'Aux - pivots1'!$A:$E,4,0)=0, "",VLOOKUP(A400,'Aux - pivots1'!$A:$E,4,0))</f>
        <v/>
      </c>
      <c r="R400" s="152" t="str">
        <f>IF(VLOOKUP(A400,'Aux - pivots1'!$A:$E,5,0)=0, "",VLOOKUP(A400,'Aux - pivots1'!$A:$E,5,0))</f>
        <v/>
      </c>
      <c r="S400" s="198"/>
      <c r="T400" s="198"/>
      <c r="U400" s="198"/>
      <c r="V400" s="320"/>
      <c r="W400" s="320"/>
      <c r="X400" s="320"/>
      <c r="Y400" s="368" t="s">
        <v>2320</v>
      </c>
      <c r="Z400" s="152"/>
    </row>
    <row r="401" spans="1:26" ht="16.399999999999999" hidden="1" customHeight="1">
      <c r="A401" s="29" t="str">
        <f t="shared" si="6"/>
        <v>PROPERTY_ENERGY_CERTIFICATEPNL_SUMMER_REF_VALUE</v>
      </c>
      <c r="B401" s="141" t="s">
        <v>26</v>
      </c>
      <c r="C401" s="137" t="s">
        <v>54</v>
      </c>
      <c r="D401" s="133" t="s">
        <v>40</v>
      </c>
      <c r="E401" s="134" t="s">
        <v>123</v>
      </c>
      <c r="F401" s="470" t="s">
        <v>175</v>
      </c>
      <c r="G401" s="135" t="str">
        <f>VLOOKUP(A401,Plano_V3!$A$26:$G$768,7,0)</f>
        <v>1. Concluído</v>
      </c>
      <c r="H401" s="135" t="s">
        <v>612</v>
      </c>
      <c r="I401" s="467"/>
      <c r="J401" s="142"/>
      <c r="K401" s="142"/>
      <c r="L401" s="153"/>
      <c r="M401" s="153"/>
      <c r="N401" s="142"/>
      <c r="O401" s="142"/>
      <c r="P401" s="152" t="str">
        <f>IF(VLOOKUP(A401,'Aux - pivots1'!$A:$E,3,0)=0, "",VLOOKUP(A401,'Aux - pivots1'!$A:$E,3,0))</f>
        <v/>
      </c>
      <c r="Q401" s="152" t="str">
        <f>IF(VLOOKUP(A401,'Aux - pivots1'!$A:$E,4,0)=0, "",VLOOKUP(A401,'Aux - pivots1'!$A:$E,4,0))</f>
        <v/>
      </c>
      <c r="R401" s="152" t="str">
        <f>IF(VLOOKUP(A401,'Aux - pivots1'!$A:$E,5,0)=0, "",VLOOKUP(A401,'Aux - pivots1'!$A:$E,5,0))</f>
        <v/>
      </c>
      <c r="S401" s="198"/>
      <c r="T401" s="198"/>
      <c r="U401" s="198"/>
      <c r="V401" s="320"/>
      <c r="W401" s="320"/>
      <c r="X401" s="320"/>
      <c r="Y401" s="368" t="s">
        <v>2320</v>
      </c>
      <c r="Z401" s="152"/>
    </row>
    <row r="402" spans="1:26" ht="16.399999999999999" hidden="1" customHeight="1">
      <c r="A402" s="29" t="str">
        <f t="shared" si="6"/>
        <v>PROPERTY_ENERGY_CERTIFICATEINVOICE_RED_ANNUAL_ESTMTD_VALUE</v>
      </c>
      <c r="B402" s="141" t="s">
        <v>26</v>
      </c>
      <c r="C402" s="137" t="s">
        <v>54</v>
      </c>
      <c r="D402" s="133" t="s">
        <v>40</v>
      </c>
      <c r="E402" s="134" t="s">
        <v>123</v>
      </c>
      <c r="F402" s="470" t="s">
        <v>176</v>
      </c>
      <c r="G402" s="135" t="str">
        <f>VLOOKUP(A402,Plano_V3!$A$26:$G$768,7,0)</f>
        <v>1. Concluído</v>
      </c>
      <c r="H402" s="135" t="s">
        <v>612</v>
      </c>
      <c r="I402" s="467"/>
      <c r="J402" s="142"/>
      <c r="K402" s="142"/>
      <c r="L402" s="153"/>
      <c r="M402" s="153"/>
      <c r="N402" s="142"/>
      <c r="O402" s="142"/>
      <c r="P402" s="152" t="str">
        <f>IF(VLOOKUP(A402,'Aux - pivots1'!$A:$E,3,0)=0, "",VLOOKUP(A402,'Aux - pivots1'!$A:$E,3,0))</f>
        <v/>
      </c>
      <c r="Q402" s="152" t="str">
        <f>IF(VLOOKUP(A402,'Aux - pivots1'!$A:$E,4,0)=0, "",VLOOKUP(A402,'Aux - pivots1'!$A:$E,4,0))</f>
        <v/>
      </c>
      <c r="R402" s="152" t="str">
        <f>IF(VLOOKUP(A402,'Aux - pivots1'!$A:$E,5,0)=0, "",VLOOKUP(A402,'Aux - pivots1'!$A:$E,5,0))</f>
        <v/>
      </c>
      <c r="S402" s="198"/>
      <c r="T402" s="198"/>
      <c r="U402" s="198"/>
      <c r="V402" s="320"/>
      <c r="W402" s="320"/>
      <c r="X402" s="320"/>
      <c r="Y402" s="368" t="s">
        <v>2320</v>
      </c>
      <c r="Z402" s="152"/>
    </row>
    <row r="403" spans="1:26" ht="16.399999999999999" hidden="1" customHeight="1">
      <c r="A403" s="29" t="str">
        <f t="shared" si="6"/>
        <v>PROPERTY_ENERGY_CERTIFICATETEMPERATURE_OUTDOOR_AVG_VALUE</v>
      </c>
      <c r="B403" s="141" t="s">
        <v>26</v>
      </c>
      <c r="C403" s="137" t="s">
        <v>54</v>
      </c>
      <c r="D403" s="133" t="s">
        <v>40</v>
      </c>
      <c r="E403" s="134" t="s">
        <v>123</v>
      </c>
      <c r="F403" s="470" t="s">
        <v>177</v>
      </c>
      <c r="G403" s="135" t="str">
        <f>VLOOKUP(A403,Plano_V3!$A$26:$G$768,7,0)</f>
        <v>1. Concluído</v>
      </c>
      <c r="H403" s="135" t="s">
        <v>612</v>
      </c>
      <c r="I403" s="467"/>
      <c r="J403" s="142"/>
      <c r="K403" s="142"/>
      <c r="L403" s="153"/>
      <c r="M403" s="153"/>
      <c r="N403" s="142"/>
      <c r="O403" s="142"/>
      <c r="P403" s="152" t="str">
        <f>IF(VLOOKUP(A403,'Aux - pivots1'!$A:$E,3,0)=0, "",VLOOKUP(A403,'Aux - pivots1'!$A:$E,3,0))</f>
        <v/>
      </c>
      <c r="Q403" s="152" t="str">
        <f>IF(VLOOKUP(A403,'Aux - pivots1'!$A:$E,4,0)=0, "",VLOOKUP(A403,'Aux - pivots1'!$A:$E,4,0))</f>
        <v/>
      </c>
      <c r="R403" s="152" t="str">
        <f>IF(VLOOKUP(A403,'Aux - pivots1'!$A:$E,5,0)=0, "",VLOOKUP(A403,'Aux - pivots1'!$A:$E,5,0))</f>
        <v/>
      </c>
      <c r="S403" s="198"/>
      <c r="T403" s="198"/>
      <c r="U403" s="198"/>
      <c r="V403" s="320"/>
      <c r="W403" s="320"/>
      <c r="X403" s="320"/>
      <c r="Y403" s="368" t="s">
        <v>2320</v>
      </c>
      <c r="Z403" s="152"/>
    </row>
    <row r="404" spans="1:26" ht="16.399999999999999" hidden="1" customHeight="1">
      <c r="A404" s="29" t="str">
        <f t="shared" si="6"/>
        <v>PROPERTY_ENERGY_CERTIFICATECLIMATE_ZONE_WINTER</v>
      </c>
      <c r="B404" s="141" t="s">
        <v>26</v>
      </c>
      <c r="C404" s="137" t="s">
        <v>54</v>
      </c>
      <c r="D404" s="133" t="s">
        <v>40</v>
      </c>
      <c r="E404" s="134" t="s">
        <v>123</v>
      </c>
      <c r="F404" s="470" t="s">
        <v>178</v>
      </c>
      <c r="G404" s="135" t="str">
        <f>VLOOKUP(A404,Plano_V3!$A$26:$G$768,7,0)</f>
        <v>1. Concluído</v>
      </c>
      <c r="H404" s="135" t="s">
        <v>612</v>
      </c>
      <c r="I404" s="467"/>
      <c r="J404" s="142"/>
      <c r="K404" s="142"/>
      <c r="L404" s="153"/>
      <c r="M404" s="153"/>
      <c r="N404" s="142"/>
      <c r="O404" s="142"/>
      <c r="P404" s="152" t="str">
        <f>IF(VLOOKUP(A404,'Aux - pivots1'!$A:$E,3,0)=0, "",VLOOKUP(A404,'Aux - pivots1'!$A:$E,3,0))</f>
        <v/>
      </c>
      <c r="Q404" s="152" t="str">
        <f>IF(VLOOKUP(A404,'Aux - pivots1'!$A:$E,4,0)=0, "",VLOOKUP(A404,'Aux - pivots1'!$A:$E,4,0))</f>
        <v/>
      </c>
      <c r="R404" s="152" t="str">
        <f>IF(VLOOKUP(A404,'Aux - pivots1'!$A:$E,5,0)=0, "",VLOOKUP(A404,'Aux - pivots1'!$A:$E,5,0))</f>
        <v/>
      </c>
      <c r="S404" s="198"/>
      <c r="T404" s="198"/>
      <c r="U404" s="198"/>
      <c r="V404" s="320"/>
      <c r="W404" s="320"/>
      <c r="X404" s="320"/>
      <c r="Y404" s="368" t="s">
        <v>2320</v>
      </c>
      <c r="Z404" s="152"/>
    </row>
    <row r="405" spans="1:26" ht="16.399999999999999" hidden="1" customHeight="1">
      <c r="A405" s="29" t="str">
        <f t="shared" si="6"/>
        <v>PROPERTY_ENERGY_CERTIFICATENET_FLOOR_AREA</v>
      </c>
      <c r="B405" s="141" t="s">
        <v>26</v>
      </c>
      <c r="C405" s="137" t="s">
        <v>54</v>
      </c>
      <c r="D405" s="133" t="s">
        <v>40</v>
      </c>
      <c r="E405" s="134" t="s">
        <v>123</v>
      </c>
      <c r="F405" s="470" t="s">
        <v>97</v>
      </c>
      <c r="G405" s="135" t="str">
        <f>VLOOKUP(A405,Plano_V3!$A$26:$G$768,7,0)</f>
        <v>1. Concluído</v>
      </c>
      <c r="H405" s="135" t="s">
        <v>612</v>
      </c>
      <c r="I405" s="467"/>
      <c r="J405" s="142"/>
      <c r="K405" s="142"/>
      <c r="L405" s="153"/>
      <c r="M405" s="153"/>
      <c r="N405" s="142"/>
      <c r="O405" s="142"/>
      <c r="P405" s="152" t="str">
        <f>IF(VLOOKUP(A405,'Aux - pivots1'!$A:$E,3,0)=0, "",VLOOKUP(A405,'Aux - pivots1'!$A:$E,3,0))</f>
        <v/>
      </c>
      <c r="Q405" s="152" t="str">
        <f>IF(VLOOKUP(A405,'Aux - pivots1'!$A:$E,4,0)=0, "",VLOOKUP(A405,'Aux - pivots1'!$A:$E,4,0))</f>
        <v/>
      </c>
      <c r="R405" s="152" t="str">
        <f>IF(VLOOKUP(A405,'Aux - pivots1'!$A:$E,5,0)=0, "",VLOOKUP(A405,'Aux - pivots1'!$A:$E,5,0))</f>
        <v/>
      </c>
      <c r="S405" s="198"/>
      <c r="T405" s="198"/>
      <c r="U405" s="198"/>
      <c r="V405" s="320"/>
      <c r="W405" s="320"/>
      <c r="X405" s="320"/>
      <c r="Y405" s="368" t="s">
        <v>2320</v>
      </c>
      <c r="Z405" s="152"/>
    </row>
    <row r="406" spans="1:26" ht="16.399999999999999" hidden="1" customHeight="1">
      <c r="A406" s="29" t="str">
        <f t="shared" si="6"/>
        <v>PROPERTY_ENERGY_CERTIFICATECADASTRAL_REGISTER_CODE</v>
      </c>
      <c r="B406" s="141" t="s">
        <v>26</v>
      </c>
      <c r="C406" s="137" t="s">
        <v>54</v>
      </c>
      <c r="D406" s="133" t="s">
        <v>40</v>
      </c>
      <c r="E406" s="134" t="s">
        <v>123</v>
      </c>
      <c r="F406" s="470" t="s">
        <v>98</v>
      </c>
      <c r="G406" s="135" t="str">
        <f>VLOOKUP(A406,Plano_V3!$A$26:$G$768,7,0)</f>
        <v>1. Concluído</v>
      </c>
      <c r="H406" s="135" t="s">
        <v>612</v>
      </c>
      <c r="I406" s="467"/>
      <c r="J406" s="142"/>
      <c r="K406" s="142"/>
      <c r="L406" s="153"/>
      <c r="M406" s="153"/>
      <c r="N406" s="142"/>
      <c r="O406" s="142"/>
      <c r="P406" s="152" t="str">
        <f>IF(VLOOKUP(A406,'Aux - pivots1'!$A:$E,3,0)=0, "",VLOOKUP(A406,'Aux - pivots1'!$A:$E,3,0))</f>
        <v/>
      </c>
      <c r="Q406" s="152" t="str">
        <f>IF(VLOOKUP(A406,'Aux - pivots1'!$A:$E,4,0)=0, "",VLOOKUP(A406,'Aux - pivots1'!$A:$E,4,0))</f>
        <v/>
      </c>
      <c r="R406" s="152" t="str">
        <f>IF(VLOOKUP(A406,'Aux - pivots1'!$A:$E,5,0)=0, "",VLOOKUP(A406,'Aux - pivots1'!$A:$E,5,0))</f>
        <v/>
      </c>
      <c r="S406" s="198"/>
      <c r="T406" s="198"/>
      <c r="U406" s="198"/>
      <c r="V406" s="320"/>
      <c r="W406" s="320"/>
      <c r="X406" s="320"/>
      <c r="Y406" s="368" t="s">
        <v>2320</v>
      </c>
      <c r="Z406" s="152"/>
    </row>
    <row r="407" spans="1:26" ht="16.399999999999999" hidden="1" customHeight="1">
      <c r="A407" s="29" t="str">
        <f t="shared" si="6"/>
        <v>PROPERTY_ENERGY_CERTIFICATEDISTRICT_MUNICIP_PARISH_CODE</v>
      </c>
      <c r="B407" s="141" t="s">
        <v>26</v>
      </c>
      <c r="C407" s="137" t="s">
        <v>54</v>
      </c>
      <c r="D407" s="133" t="s">
        <v>40</v>
      </c>
      <c r="E407" s="134" t="s">
        <v>123</v>
      </c>
      <c r="F407" s="470" t="s">
        <v>101</v>
      </c>
      <c r="G407" s="135" t="str">
        <f>VLOOKUP(A407,Plano_V3!$A$26:$G$768,7,0)</f>
        <v>1. Concluído</v>
      </c>
      <c r="H407" s="135" t="s">
        <v>612</v>
      </c>
      <c r="I407" s="467"/>
      <c r="J407" s="142"/>
      <c r="K407" s="142"/>
      <c r="L407" s="153"/>
      <c r="M407" s="153"/>
      <c r="N407" s="142"/>
      <c r="O407" s="142"/>
      <c r="P407" s="152" t="str">
        <f>IF(VLOOKUP(A407,'Aux - pivots1'!$A:$E,3,0)=0, "",VLOOKUP(A407,'Aux - pivots1'!$A:$E,3,0))</f>
        <v/>
      </c>
      <c r="Q407" s="152" t="str">
        <f>IF(VLOOKUP(A407,'Aux - pivots1'!$A:$E,4,0)=0, "",VLOOKUP(A407,'Aux - pivots1'!$A:$E,4,0))</f>
        <v/>
      </c>
      <c r="R407" s="152" t="str">
        <f>IF(VLOOKUP(A407,'Aux - pivots1'!$A:$E,5,0)=0, "",VLOOKUP(A407,'Aux - pivots1'!$A:$E,5,0))</f>
        <v/>
      </c>
      <c r="S407" s="198"/>
      <c r="T407" s="198"/>
      <c r="U407" s="198"/>
      <c r="V407" s="320"/>
      <c r="W407" s="320"/>
      <c r="X407" s="320"/>
      <c r="Y407" s="368" t="s">
        <v>2320</v>
      </c>
      <c r="Z407" s="152"/>
    </row>
    <row r="408" spans="1:26" ht="16.399999999999999" hidden="1" customHeight="1">
      <c r="A408" s="29" t="str">
        <f t="shared" si="6"/>
        <v>PROPERTY_ENERGY_CERTIFICATEPROPERTY_PURPOSE_CODE</v>
      </c>
      <c r="B408" s="141" t="s">
        <v>26</v>
      </c>
      <c r="C408" s="137" t="s">
        <v>54</v>
      </c>
      <c r="D408" s="133" t="s">
        <v>40</v>
      </c>
      <c r="E408" s="134" t="s">
        <v>123</v>
      </c>
      <c r="F408" s="470" t="s">
        <v>102</v>
      </c>
      <c r="G408" s="135" t="str">
        <f>VLOOKUP(A408,Plano_V3!$A$26:$G$768,7,0)</f>
        <v>1. Concluído</v>
      </c>
      <c r="H408" s="135" t="s">
        <v>612</v>
      </c>
      <c r="I408" s="467"/>
      <c r="J408" s="142"/>
      <c r="K408" s="142"/>
      <c r="L408" s="153"/>
      <c r="M408" s="153"/>
      <c r="N408" s="142"/>
      <c r="O408" s="142"/>
      <c r="P408" s="152" t="str">
        <f>IF(VLOOKUP(A408,'Aux - pivots1'!$A:$E,3,0)=0, "",VLOOKUP(A408,'Aux - pivots1'!$A:$E,3,0))</f>
        <v/>
      </c>
      <c r="Q408" s="152" t="str">
        <f>IF(VLOOKUP(A408,'Aux - pivots1'!$A:$E,4,0)=0, "",VLOOKUP(A408,'Aux - pivots1'!$A:$E,4,0))</f>
        <v/>
      </c>
      <c r="R408" s="152" t="str">
        <f>IF(VLOOKUP(A408,'Aux - pivots1'!$A:$E,5,0)=0, "",VLOOKUP(A408,'Aux - pivots1'!$A:$E,5,0))</f>
        <v/>
      </c>
      <c r="S408" s="198"/>
      <c r="T408" s="198"/>
      <c r="U408" s="198"/>
      <c r="V408" s="320"/>
      <c r="W408" s="320"/>
      <c r="X408" s="320"/>
      <c r="Y408" s="368" t="s">
        <v>2320</v>
      </c>
      <c r="Z408" s="152"/>
    </row>
    <row r="409" spans="1:26" ht="16.399999999999999" hidden="1" customHeight="1">
      <c r="A409" s="29" t="str">
        <f t="shared" si="6"/>
        <v>PROPERTY_ENERGY_CERTIFICATEADDRESS_CODE</v>
      </c>
      <c r="B409" s="141" t="s">
        <v>26</v>
      </c>
      <c r="C409" s="137" t="s">
        <v>54</v>
      </c>
      <c r="D409" s="133" t="s">
        <v>40</v>
      </c>
      <c r="E409" s="134" t="s">
        <v>123</v>
      </c>
      <c r="F409" s="470" t="s">
        <v>104</v>
      </c>
      <c r="G409" s="135" t="str">
        <f>VLOOKUP(A409,Plano_V3!$A$26:$G$768,7,0)</f>
        <v>1. Concluído</v>
      </c>
      <c r="H409" s="135" t="s">
        <v>612</v>
      </c>
      <c r="I409" s="467"/>
      <c r="J409" s="142"/>
      <c r="K409" s="142"/>
      <c r="L409" s="153"/>
      <c r="M409" s="153"/>
      <c r="N409" s="142"/>
      <c r="O409" s="142"/>
      <c r="P409" s="152" t="str">
        <f>IF(VLOOKUP(A409,'Aux - pivots1'!$A:$E,3,0)=0, "",VLOOKUP(A409,'Aux - pivots1'!$A:$E,3,0))</f>
        <v/>
      </c>
      <c r="Q409" s="152" t="str">
        <f>IF(VLOOKUP(A409,'Aux - pivots1'!$A:$E,4,0)=0, "",VLOOKUP(A409,'Aux - pivots1'!$A:$E,4,0))</f>
        <v/>
      </c>
      <c r="R409" s="152" t="str">
        <f>IF(VLOOKUP(A409,'Aux - pivots1'!$A:$E,5,0)=0, "",VLOOKUP(A409,'Aux - pivots1'!$A:$E,5,0))</f>
        <v/>
      </c>
      <c r="S409" s="198"/>
      <c r="T409" s="198"/>
      <c r="U409" s="198"/>
      <c r="V409" s="320"/>
      <c r="W409" s="320"/>
      <c r="X409" s="320"/>
      <c r="Y409" s="368" t="s">
        <v>2320</v>
      </c>
      <c r="Z409" s="152"/>
    </row>
    <row r="410" spans="1:26" ht="16.399999999999999" hidden="1" customHeight="1">
      <c r="A410" s="29" t="str">
        <f t="shared" si="6"/>
        <v>PROPERTY_ENERGY_CERTIFICATEFLOOR_NUMBER</v>
      </c>
      <c r="B410" s="141" t="s">
        <v>26</v>
      </c>
      <c r="C410" s="137" t="s">
        <v>54</v>
      </c>
      <c r="D410" s="133" t="s">
        <v>40</v>
      </c>
      <c r="E410" s="134" t="s">
        <v>123</v>
      </c>
      <c r="F410" s="470" t="s">
        <v>111</v>
      </c>
      <c r="G410" s="135" t="str">
        <f>VLOOKUP(A410,Plano_V3!$A$26:$G$768,7,0)</f>
        <v>1. Concluído</v>
      </c>
      <c r="H410" s="135" t="s">
        <v>612</v>
      </c>
      <c r="I410" s="467"/>
      <c r="J410" s="142"/>
      <c r="K410" s="142"/>
      <c r="L410" s="153"/>
      <c r="M410" s="153"/>
      <c r="N410" s="142"/>
      <c r="O410" s="142"/>
      <c r="P410" s="152" t="str">
        <f>IF(VLOOKUP(A410,'Aux - pivots1'!$A:$E,3,0)=0, "",VLOOKUP(A410,'Aux - pivots1'!$A:$E,3,0))</f>
        <v/>
      </c>
      <c r="Q410" s="152" t="str">
        <f>IF(VLOOKUP(A410,'Aux - pivots1'!$A:$E,4,0)=0, "",VLOOKUP(A410,'Aux - pivots1'!$A:$E,4,0))</f>
        <v/>
      </c>
      <c r="R410" s="152" t="str">
        <f>IF(VLOOKUP(A410,'Aux - pivots1'!$A:$E,5,0)=0, "",VLOOKUP(A410,'Aux - pivots1'!$A:$E,5,0))</f>
        <v/>
      </c>
      <c r="S410" s="198"/>
      <c r="T410" s="198"/>
      <c r="U410" s="198"/>
      <c r="V410" s="320"/>
      <c r="W410" s="320"/>
      <c r="X410" s="320"/>
      <c r="Y410" s="368" t="s">
        <v>2320</v>
      </c>
      <c r="Z410" s="152"/>
    </row>
    <row r="411" spans="1:26" ht="16.399999999999999" hidden="1" customHeight="1">
      <c r="A411" s="29" t="str">
        <f t="shared" si="6"/>
        <v>PROPERTY_ENERGY_CERTIFICATELOCALITY</v>
      </c>
      <c r="B411" s="141" t="s">
        <v>26</v>
      </c>
      <c r="C411" s="137" t="s">
        <v>54</v>
      </c>
      <c r="D411" s="133" t="s">
        <v>40</v>
      </c>
      <c r="E411" s="134" t="s">
        <v>123</v>
      </c>
      <c r="F411" s="470" t="s">
        <v>112</v>
      </c>
      <c r="G411" s="135" t="str">
        <f>VLOOKUP(A411,Plano_V3!$A$26:$G$768,7,0)</f>
        <v>1. Concluído</v>
      </c>
      <c r="H411" s="135" t="s">
        <v>612</v>
      </c>
      <c r="I411" s="467"/>
      <c r="J411" s="142"/>
      <c r="K411" s="142"/>
      <c r="L411" s="153"/>
      <c r="M411" s="153"/>
      <c r="N411" s="142"/>
      <c r="O411" s="142"/>
      <c r="P411" s="152" t="str">
        <f>IF(VLOOKUP(A411,'Aux - pivots1'!$A:$E,3,0)=0, "",VLOOKUP(A411,'Aux - pivots1'!$A:$E,3,0))</f>
        <v/>
      </c>
      <c r="Q411" s="152" t="str">
        <f>IF(VLOOKUP(A411,'Aux - pivots1'!$A:$E,4,0)=0, "",VLOOKUP(A411,'Aux - pivots1'!$A:$E,4,0))</f>
        <v/>
      </c>
      <c r="R411" s="152" t="str">
        <f>IF(VLOOKUP(A411,'Aux - pivots1'!$A:$E,5,0)=0, "",VLOOKUP(A411,'Aux - pivots1'!$A:$E,5,0))</f>
        <v/>
      </c>
      <c r="S411" s="198"/>
      <c r="T411" s="198"/>
      <c r="U411" s="198"/>
      <c r="V411" s="320"/>
      <c r="W411" s="320"/>
      <c r="X411" s="320"/>
      <c r="Y411" s="368" t="s">
        <v>2320</v>
      </c>
      <c r="Z411" s="152"/>
    </row>
    <row r="412" spans="1:26" ht="16.399999999999999" hidden="1" customHeight="1">
      <c r="A412" s="29" t="str">
        <f t="shared" si="6"/>
        <v>PROPERTY_ENERGY_CERTIFICATECLIMATE_ZONE_SUMMER</v>
      </c>
      <c r="B412" s="141" t="s">
        <v>26</v>
      </c>
      <c r="C412" s="137" t="s">
        <v>54</v>
      </c>
      <c r="D412" s="133" t="s">
        <v>40</v>
      </c>
      <c r="E412" s="134" t="s">
        <v>123</v>
      </c>
      <c r="F412" s="470" t="s">
        <v>179</v>
      </c>
      <c r="G412" s="135" t="str">
        <f>VLOOKUP(A412,Plano_V3!$A$26:$G$768,7,0)</f>
        <v>1. Concluído</v>
      </c>
      <c r="H412" s="135" t="s">
        <v>612</v>
      </c>
      <c r="I412" s="467"/>
      <c r="J412" s="142"/>
      <c r="K412" s="142"/>
      <c r="L412" s="153"/>
      <c r="M412" s="153"/>
      <c r="N412" s="142"/>
      <c r="O412" s="142"/>
      <c r="P412" s="152" t="str">
        <f>IF(VLOOKUP(A412,'Aux - pivots1'!$A:$E,3,0)=0, "",VLOOKUP(A412,'Aux - pivots1'!$A:$E,3,0))</f>
        <v/>
      </c>
      <c r="Q412" s="152" t="str">
        <f>IF(VLOOKUP(A412,'Aux - pivots1'!$A:$E,4,0)=0, "",VLOOKUP(A412,'Aux - pivots1'!$A:$E,4,0))</f>
        <v/>
      </c>
      <c r="R412" s="152" t="str">
        <f>IF(VLOOKUP(A412,'Aux - pivots1'!$A:$E,5,0)=0, "",VLOOKUP(A412,'Aux - pivots1'!$A:$E,5,0))</f>
        <v/>
      </c>
      <c r="S412" s="198"/>
      <c r="T412" s="198"/>
      <c r="U412" s="198"/>
      <c r="V412" s="320"/>
      <c r="W412" s="320"/>
      <c r="X412" s="320"/>
      <c r="Y412" s="368" t="s">
        <v>2320</v>
      </c>
      <c r="Z412" s="152"/>
    </row>
    <row r="413" spans="1:26" ht="16.399999999999999" hidden="1" customHeight="1">
      <c r="A413" s="29" t="str">
        <f t="shared" si="6"/>
        <v>PROPERTY_ENERGY_CERTIFICATEGPS_LATITUDE</v>
      </c>
      <c r="B413" s="141" t="s">
        <v>26</v>
      </c>
      <c r="C413" s="137" t="s">
        <v>54</v>
      </c>
      <c r="D413" s="133" t="s">
        <v>40</v>
      </c>
      <c r="E413" s="134" t="s">
        <v>123</v>
      </c>
      <c r="F413" s="470" t="s">
        <v>2426</v>
      </c>
      <c r="G413" s="135" t="str">
        <f>VLOOKUP(A413,Plano_V3!$A$26:$G$768,7,0)</f>
        <v>1. Concluído</v>
      </c>
      <c r="H413" s="135" t="s">
        <v>612</v>
      </c>
      <c r="I413" s="467"/>
      <c r="J413" s="142"/>
      <c r="K413" s="142"/>
      <c r="L413" s="153"/>
      <c r="M413" s="153"/>
      <c r="N413" s="142"/>
      <c r="O413" s="142"/>
      <c r="P413" s="152" t="str">
        <f>IF(VLOOKUP(A413,'Aux - pivots1'!$A:$E,3,0)=0, "",VLOOKUP(A413,'Aux - pivots1'!$A:$E,3,0))</f>
        <v/>
      </c>
      <c r="Q413" s="152" t="str">
        <f>IF(VLOOKUP(A413,'Aux - pivots1'!$A:$E,4,0)=0, "",VLOOKUP(A413,'Aux - pivots1'!$A:$E,4,0))</f>
        <v/>
      </c>
      <c r="R413" s="152" t="str">
        <f>IF(VLOOKUP(A413,'Aux - pivots1'!$A:$E,5,0)=0, "",VLOOKUP(A413,'Aux - pivots1'!$A:$E,5,0))</f>
        <v/>
      </c>
      <c r="S413" s="198"/>
      <c r="T413" s="198"/>
      <c r="U413" s="198"/>
      <c r="V413" s="320"/>
      <c r="W413" s="320"/>
      <c r="X413" s="320"/>
      <c r="Y413" s="368" t="s">
        <v>2320</v>
      </c>
      <c r="Z413" s="152"/>
    </row>
    <row r="414" spans="1:26" ht="16.399999999999999" hidden="1" customHeight="1">
      <c r="A414" s="29" t="str">
        <f t="shared" si="6"/>
        <v>PROPERTY_ENERGY_CERTIFICATEGPS_LONGITUDE</v>
      </c>
      <c r="B414" s="141" t="s">
        <v>26</v>
      </c>
      <c r="C414" s="137" t="s">
        <v>54</v>
      </c>
      <c r="D414" s="133" t="s">
        <v>40</v>
      </c>
      <c r="E414" s="134" t="s">
        <v>123</v>
      </c>
      <c r="F414" s="470" t="s">
        <v>2427</v>
      </c>
      <c r="G414" s="135" t="str">
        <f>VLOOKUP(A414,Plano_V3!$A$26:$G$768,7,0)</f>
        <v>1. Concluído</v>
      </c>
      <c r="H414" s="135" t="s">
        <v>612</v>
      </c>
      <c r="I414" s="467"/>
      <c r="J414" s="355"/>
      <c r="K414" s="355"/>
      <c r="L414" s="364"/>
      <c r="M414" s="364"/>
      <c r="N414" s="355"/>
      <c r="O414" s="355"/>
      <c r="P414" s="152" t="str">
        <f>IF(VLOOKUP(A414,'Aux - pivots1'!$A:$E,3,0)=0, "",VLOOKUP(A414,'Aux - pivots1'!$A:$E,3,0))</f>
        <v/>
      </c>
      <c r="Q414" s="152" t="str">
        <f>IF(VLOOKUP(A414,'Aux - pivots1'!$A:$E,4,0)=0, "",VLOOKUP(A414,'Aux - pivots1'!$A:$E,4,0))</f>
        <v/>
      </c>
      <c r="R414" s="152" t="str">
        <f>IF(VLOOKUP(A414,'Aux - pivots1'!$A:$E,5,0)=0, "",VLOOKUP(A414,'Aux - pivots1'!$A:$E,5,0))</f>
        <v/>
      </c>
      <c r="S414" s="198"/>
      <c r="T414" s="198"/>
      <c r="U414" s="198"/>
      <c r="V414" s="320"/>
      <c r="W414" s="320"/>
      <c r="X414" s="320"/>
      <c r="Y414" s="368" t="s">
        <v>2320</v>
      </c>
      <c r="Z414" s="319"/>
    </row>
    <row r="415" spans="1:26" ht="16.399999999999999" hidden="1" customHeight="1">
      <c r="A415" s="29" t="str">
        <f t="shared" si="6"/>
        <v>modesg_param_sfics_taxon_europeiaordem</v>
      </c>
      <c r="B415" s="141" t="s">
        <v>26</v>
      </c>
      <c r="C415" s="137" t="s">
        <v>181</v>
      </c>
      <c r="D415" s="133" t="s">
        <v>40</v>
      </c>
      <c r="E415" s="134" t="s">
        <v>2096</v>
      </c>
      <c r="F415" s="470" t="s">
        <v>211</v>
      </c>
      <c r="G415" s="135" t="str">
        <f>VLOOKUP(A415,Plano_V3!$A$26:$G$768,7,0)</f>
        <v>1. Concluído</v>
      </c>
      <c r="H415" s="135" t="s">
        <v>612</v>
      </c>
      <c r="I415" s="467"/>
      <c r="J415" s="153"/>
      <c r="K415" s="355" t="s">
        <v>2449</v>
      </c>
      <c r="L415" s="364" t="s">
        <v>2459</v>
      </c>
      <c r="M415" s="364">
        <v>45737</v>
      </c>
      <c r="N415" s="355"/>
      <c r="O415" s="481"/>
      <c r="P415" s="152"/>
      <c r="Q415" s="152"/>
      <c r="R415" s="152"/>
      <c r="S415" s="198"/>
      <c r="T415" s="198"/>
      <c r="U415" s="198"/>
      <c r="V415" s="320"/>
      <c r="W415" s="320"/>
      <c r="X415" s="320"/>
      <c r="Y415" s="368" t="s">
        <v>2320</v>
      </c>
      <c r="Z415" s="319"/>
    </row>
    <row r="416" spans="1:26" ht="16.399999999999999" hidden="1" customHeight="1">
      <c r="A416" s="29" t="str">
        <f t="shared" si="6"/>
        <v>modesg_param_sfics_taxon_europeianome_purpose_esg</v>
      </c>
      <c r="B416" s="141" t="s">
        <v>26</v>
      </c>
      <c r="C416" s="137" t="s">
        <v>181</v>
      </c>
      <c r="D416" s="133" t="s">
        <v>40</v>
      </c>
      <c r="E416" s="134" t="s">
        <v>2096</v>
      </c>
      <c r="F416" s="470" t="s">
        <v>205</v>
      </c>
      <c r="G416" s="135" t="str">
        <f>VLOOKUP(A416,Plano_V3!$A$26:$G$768,7,0)</f>
        <v>0. Cancelado</v>
      </c>
      <c r="H416" s="135" t="s">
        <v>611</v>
      </c>
      <c r="I416" s="467"/>
      <c r="J416" s="153"/>
      <c r="K416" s="355"/>
      <c r="L416" s="364"/>
      <c r="M416" s="364"/>
      <c r="N416" s="355"/>
      <c r="O416" s="153"/>
      <c r="P416" s="152"/>
      <c r="Q416" s="152"/>
      <c r="R416" s="152"/>
      <c r="S416" s="198"/>
      <c r="T416" s="198"/>
      <c r="U416" s="198"/>
      <c r="V416" s="320"/>
      <c r="W416" s="320"/>
      <c r="X416" s="320"/>
      <c r="Y416" s="368" t="s">
        <v>2320</v>
      </c>
      <c r="Z416" s="319"/>
    </row>
    <row r="417" spans="1:26" ht="16.399999999999999" hidden="1" customHeight="1">
      <c r="A417" s="29" t="str">
        <f t="shared" si="6"/>
        <v>modesg_param_sfics_taxon_europeiadominio</v>
      </c>
      <c r="B417" s="141" t="s">
        <v>26</v>
      </c>
      <c r="C417" s="137" t="s">
        <v>181</v>
      </c>
      <c r="D417" s="133" t="s">
        <v>40</v>
      </c>
      <c r="E417" s="134" t="s">
        <v>2096</v>
      </c>
      <c r="F417" s="470" t="s">
        <v>196</v>
      </c>
      <c r="G417" s="135" t="str">
        <f>VLOOKUP(A417,Plano_V3!$A$26:$G$768,7,0)</f>
        <v>0. Cancelado</v>
      </c>
      <c r="H417" s="135" t="s">
        <v>611</v>
      </c>
      <c r="I417" s="467"/>
      <c r="J417" s="153"/>
      <c r="K417" s="355"/>
      <c r="L417" s="364">
        <v>45733</v>
      </c>
      <c r="M417" s="364">
        <v>45737</v>
      </c>
      <c r="N417" s="355"/>
      <c r="O417" s="153"/>
      <c r="P417" s="152"/>
      <c r="Q417" s="152"/>
      <c r="R417" s="152"/>
      <c r="S417" s="198"/>
      <c r="T417" s="198"/>
      <c r="U417" s="198"/>
      <c r="V417" s="320"/>
      <c r="W417" s="320"/>
      <c r="X417" s="320"/>
      <c r="Y417" s="368" t="s">
        <v>2320</v>
      </c>
      <c r="Z417" s="319"/>
    </row>
    <row r="418" spans="1:26" ht="16.399999999999999" hidden="1" customHeight="1">
      <c r="A418" s="29" t="str">
        <f t="shared" si="6"/>
        <v>modesg_inp_emss_vclsn.a.</v>
      </c>
      <c r="B418" s="141" t="s">
        <v>26</v>
      </c>
      <c r="C418" s="137" t="s">
        <v>181</v>
      </c>
      <c r="D418" s="133" t="s">
        <v>36</v>
      </c>
      <c r="E418" s="134" t="s">
        <v>212</v>
      </c>
      <c r="F418" s="470" t="s">
        <v>38</v>
      </c>
      <c r="G418" s="135" t="str">
        <f>VLOOKUP(A418,Plano_V3!$A$26:$G$768,7,0)</f>
        <v>1. Concluído</v>
      </c>
      <c r="H418" s="135" t="s">
        <v>612</v>
      </c>
      <c r="I418" s="467"/>
      <c r="J418" s="142"/>
      <c r="K418" s="142"/>
      <c r="L418" s="153"/>
      <c r="M418" s="153"/>
      <c r="N418" s="142"/>
      <c r="O418" s="142"/>
      <c r="P418" s="152" t="str">
        <f>IF(VLOOKUP(A418,'Aux - pivots1'!$A:$E,3,0)=0, "",VLOOKUP(A418,'Aux - pivots1'!$A:$E,3,0))</f>
        <v/>
      </c>
      <c r="Q418" s="152" t="str">
        <f>IF(VLOOKUP(A418,'Aux - pivots1'!$A:$E,4,0)=0, "",VLOOKUP(A418,'Aux - pivots1'!$A:$E,4,0))</f>
        <v/>
      </c>
      <c r="R418" s="152" t="str">
        <f>IF(VLOOKUP(A418,'Aux - pivots1'!$A:$E,5,0)=0, "",VLOOKUP(A418,'Aux - pivots1'!$A:$E,5,0))</f>
        <v/>
      </c>
      <c r="S418" s="198"/>
      <c r="T418" s="198"/>
      <c r="U418" s="198"/>
      <c r="V418" s="320"/>
      <c r="W418" s="320"/>
      <c r="X418" s="320"/>
      <c r="Y418" s="368" t="s">
        <v>2320</v>
      </c>
      <c r="Z418" s="319"/>
    </row>
    <row r="419" spans="1:26" ht="16.399999999999999" hidden="1" customHeight="1">
      <c r="A419" s="29" t="str">
        <f t="shared" si="6"/>
        <v>modesg_inp_km_medios_emss_vclsn.a.</v>
      </c>
      <c r="B419" s="141" t="s">
        <v>26</v>
      </c>
      <c r="C419" s="137" t="s">
        <v>181</v>
      </c>
      <c r="D419" s="133" t="s">
        <v>36</v>
      </c>
      <c r="E419" s="134" t="s">
        <v>213</v>
      </c>
      <c r="F419" s="470" t="s">
        <v>38</v>
      </c>
      <c r="G419" s="135" t="str">
        <f>VLOOKUP(A419,Plano_V3!$A$26:$G$768,7,0)</f>
        <v>1. Concluído</v>
      </c>
      <c r="H419" s="135" t="s">
        <v>612</v>
      </c>
      <c r="I419" s="467"/>
      <c r="J419" s="142"/>
      <c r="K419" s="142"/>
      <c r="L419" s="153"/>
      <c r="M419" s="153"/>
      <c r="N419" s="142"/>
      <c r="O419" s="142"/>
      <c r="P419" s="152" t="str">
        <f>IF(VLOOKUP(A419,'Aux - pivots1'!$A:$E,3,0)=0, "",VLOOKUP(A419,'Aux - pivots1'!$A:$E,3,0))</f>
        <v/>
      </c>
      <c r="Q419" s="152" t="str">
        <f>IF(VLOOKUP(A419,'Aux - pivots1'!$A:$E,4,0)=0, "",VLOOKUP(A419,'Aux - pivots1'!$A:$E,4,0))</f>
        <v/>
      </c>
      <c r="R419" s="152" t="str">
        <f>IF(VLOOKUP(A419,'Aux - pivots1'!$A:$E,5,0)=0, "",VLOOKUP(A419,'Aux - pivots1'!$A:$E,5,0))</f>
        <v/>
      </c>
      <c r="S419" s="198"/>
      <c r="T419" s="198"/>
      <c r="U419" s="198"/>
      <c r="V419" s="320"/>
      <c r="W419" s="320"/>
      <c r="X419" s="320"/>
      <c r="Y419" s="368" t="s">
        <v>2320</v>
      </c>
      <c r="Z419" s="319"/>
    </row>
    <row r="420" spans="1:26" ht="16.399999999999999" hidden="1" customHeight="1">
      <c r="A420" s="29" t="str">
        <f t="shared" si="6"/>
        <v>modesg_inp_empr_excl_parisn.a.</v>
      </c>
      <c r="B420" s="141" t="s">
        <v>26</v>
      </c>
      <c r="C420" s="137" t="s">
        <v>181</v>
      </c>
      <c r="D420" s="133" t="s">
        <v>36</v>
      </c>
      <c r="E420" s="134" t="s">
        <v>214</v>
      </c>
      <c r="F420" s="470" t="s">
        <v>38</v>
      </c>
      <c r="G420" s="135" t="str">
        <f>VLOOKUP(A420,Plano_V3!$A$26:$G$768,7,0)</f>
        <v>1. Concluído</v>
      </c>
      <c r="H420" s="135" t="s">
        <v>612</v>
      </c>
      <c r="I420" s="467"/>
      <c r="J420" s="153"/>
      <c r="K420" s="153"/>
      <c r="L420" s="153"/>
      <c r="M420" s="153"/>
      <c r="N420" s="487"/>
      <c r="O420" s="153"/>
      <c r="P420" s="152" t="str">
        <f>IF(VLOOKUP(A420,'Aux - pivots1'!$A:$E,3,0)=0, "",VLOOKUP(A420,'Aux - pivots1'!$A:$E,3,0))</f>
        <v/>
      </c>
      <c r="Q420" s="152" t="str">
        <f>IF(VLOOKUP(A420,'Aux - pivots1'!$A:$E,4,0)=0, "",VLOOKUP(A420,'Aux - pivots1'!$A:$E,4,0))</f>
        <v/>
      </c>
      <c r="R420" s="152" t="str">
        <f>IF(VLOOKUP(A420,'Aux - pivots1'!$A:$E,5,0)=0, "",VLOOKUP(A420,'Aux - pivots1'!$A:$E,5,0))</f>
        <v/>
      </c>
      <c r="S420" s="198"/>
      <c r="T420" s="198"/>
      <c r="U420" s="198"/>
      <c r="V420" s="320"/>
      <c r="W420" s="320"/>
      <c r="X420" s="320"/>
      <c r="Y420" s="368" t="s">
        <v>2320</v>
      </c>
      <c r="Z420" s="319"/>
    </row>
    <row r="421" spans="1:26" ht="16.399999999999999" hidden="1" customHeight="1">
      <c r="A421" s="29" t="str">
        <f t="shared" si="6"/>
        <v>modesg_inp_nfrd_alinhamento_taxn.a.</v>
      </c>
      <c r="B421" s="141" t="s">
        <v>26</v>
      </c>
      <c r="C421" s="137" t="s">
        <v>181</v>
      </c>
      <c r="D421" s="133" t="s">
        <v>36</v>
      </c>
      <c r="E421" s="134" t="s">
        <v>215</v>
      </c>
      <c r="F421" s="470" t="s">
        <v>38</v>
      </c>
      <c r="G421" s="135" t="str">
        <f>VLOOKUP(A421,Plano_V3!$A$26:$G$768,7,0)</f>
        <v>1. Concluído</v>
      </c>
      <c r="H421" s="135" t="s">
        <v>612</v>
      </c>
      <c r="I421" s="467"/>
      <c r="J421" s="142"/>
      <c r="K421" s="142"/>
      <c r="L421" s="153"/>
      <c r="M421" s="153"/>
      <c r="N421" s="142"/>
      <c r="O421" s="142"/>
      <c r="P421" s="152" t="str">
        <f>IF(VLOOKUP(A421,'Aux - pivots1'!$A:$E,3,0)=0, "",VLOOKUP(A421,'Aux - pivots1'!$A:$E,3,0))</f>
        <v/>
      </c>
      <c r="Q421" s="152" t="str">
        <f>IF(VLOOKUP(A421,'Aux - pivots1'!$A:$E,4,0)=0, "",VLOOKUP(A421,'Aux - pivots1'!$A:$E,4,0))</f>
        <v/>
      </c>
      <c r="R421" s="152" t="str">
        <f>IF(VLOOKUP(A421,'Aux - pivots1'!$A:$E,5,0)=0, "",VLOOKUP(A421,'Aux - pivots1'!$A:$E,5,0))</f>
        <v/>
      </c>
      <c r="S421" s="198"/>
      <c r="T421" s="198"/>
      <c r="U421" s="198"/>
      <c r="V421" s="320"/>
      <c r="W421" s="320"/>
      <c r="X421" s="320"/>
      <c r="Y421" s="368" t="s">
        <v>2320</v>
      </c>
      <c r="Z421" s="319"/>
    </row>
    <row r="422" spans="1:26" ht="16.399999999999999" hidden="1" customHeight="1">
      <c r="A422" s="29" t="str">
        <f t="shared" si="6"/>
        <v>modesg_inp_risco_fisicon.a.</v>
      </c>
      <c r="B422" s="141" t="s">
        <v>26</v>
      </c>
      <c r="C422" s="137" t="s">
        <v>181</v>
      </c>
      <c r="D422" s="133" t="s">
        <v>36</v>
      </c>
      <c r="E422" s="134" t="s">
        <v>216</v>
      </c>
      <c r="F422" s="470" t="s">
        <v>38</v>
      </c>
      <c r="G422" s="135" t="str">
        <f>VLOOKUP(A422,Plano_V3!$A$26:$G$768,7,0)</f>
        <v>1. Concluído</v>
      </c>
      <c r="H422" s="135" t="s">
        <v>612</v>
      </c>
      <c r="I422" s="467"/>
      <c r="J422" s="153"/>
      <c r="K422" s="153"/>
      <c r="L422" s="153"/>
      <c r="M422" s="153"/>
      <c r="N422" s="487"/>
      <c r="O422" s="153"/>
      <c r="P422" s="152" t="str">
        <f>IF(VLOOKUP(A422,'Aux - pivots1'!$A:$E,3,0)=0, "",VLOOKUP(A422,'Aux - pivots1'!$A:$E,3,0))</f>
        <v/>
      </c>
      <c r="Q422" s="152" t="str">
        <f>IF(VLOOKUP(A422,'Aux - pivots1'!$A:$E,4,0)=0, "",VLOOKUP(A422,'Aux - pivots1'!$A:$E,4,0))</f>
        <v/>
      </c>
      <c r="R422" s="152" t="str">
        <f>IF(VLOOKUP(A422,'Aux - pivots1'!$A:$E,5,0)=0, "",VLOOKUP(A422,'Aux - pivots1'!$A:$E,5,0))</f>
        <v/>
      </c>
      <c r="S422" s="198"/>
      <c r="T422" s="198"/>
      <c r="U422" s="198"/>
      <c r="V422" s="320"/>
      <c r="W422" s="320"/>
      <c r="X422" s="320"/>
      <c r="Y422" s="368" t="s">
        <v>2320</v>
      </c>
      <c r="Z422" s="319"/>
    </row>
    <row r="423" spans="1:26" ht="16.399999999999999" hidden="1" customHeight="1">
      <c r="A423" s="29" t="str">
        <f t="shared" si="6"/>
        <v>modesg_inp_emss_scibn.a.</v>
      </c>
      <c r="B423" s="141" t="s">
        <v>26</v>
      </c>
      <c r="C423" s="137" t="s">
        <v>181</v>
      </c>
      <c r="D423" s="133" t="s">
        <v>36</v>
      </c>
      <c r="E423" s="134" t="s">
        <v>217</v>
      </c>
      <c r="F423" s="470" t="s">
        <v>38</v>
      </c>
      <c r="G423" s="135" t="str">
        <f>VLOOKUP(A423,Plano_V3!$A$26:$G$768,7,0)</f>
        <v>1. Concluído</v>
      </c>
      <c r="H423" s="135" t="s">
        <v>612</v>
      </c>
      <c r="I423" s="467"/>
      <c r="J423" s="153"/>
      <c r="K423" s="153"/>
      <c r="L423" s="153"/>
      <c r="M423" s="153"/>
      <c r="N423" s="487"/>
      <c r="O423" s="153"/>
      <c r="P423" s="152" t="str">
        <f>IF(VLOOKUP(A423,'Aux - pivots1'!$A:$E,3,0)=0, "",VLOOKUP(A423,'Aux - pivots1'!$A:$E,3,0))</f>
        <v/>
      </c>
      <c r="Q423" s="152" t="str">
        <f>IF(VLOOKUP(A423,'Aux - pivots1'!$A:$E,4,0)=0, "",VLOOKUP(A423,'Aux - pivots1'!$A:$E,4,0))</f>
        <v/>
      </c>
      <c r="R423" s="152" t="str">
        <f>IF(VLOOKUP(A423,'Aux - pivots1'!$A:$E,5,0)=0, "",VLOOKUP(A423,'Aux - pivots1'!$A:$E,5,0))</f>
        <v/>
      </c>
      <c r="S423" s="198"/>
      <c r="T423" s="198"/>
      <c r="U423" s="198"/>
      <c r="V423" s="320"/>
      <c r="W423" s="320"/>
      <c r="X423" s="320"/>
      <c r="Y423" s="368" t="s">
        <v>2320</v>
      </c>
      <c r="Z423" s="319"/>
    </row>
    <row r="424" spans="1:26" ht="16.399999999999999" hidden="1" customHeight="1">
      <c r="A424" s="29" t="str">
        <f t="shared" si="6"/>
        <v>modesg_inp_emss_nacen.a.</v>
      </c>
      <c r="B424" s="141" t="s">
        <v>26</v>
      </c>
      <c r="C424" s="137" t="s">
        <v>181</v>
      </c>
      <c r="D424" s="133" t="s">
        <v>36</v>
      </c>
      <c r="E424" s="134" t="s">
        <v>218</v>
      </c>
      <c r="F424" s="470" t="s">
        <v>38</v>
      </c>
      <c r="G424" s="135" t="str">
        <f>VLOOKUP(A424,Plano_V3!$A$26:$G$768,7,0)</f>
        <v>1. Concluído</v>
      </c>
      <c r="H424" s="135" t="s">
        <v>612</v>
      </c>
      <c r="I424" s="467"/>
      <c r="J424" s="142"/>
      <c r="K424" s="142"/>
      <c r="L424" s="153"/>
      <c r="M424" s="153"/>
      <c r="N424" s="142"/>
      <c r="O424" s="142" t="s">
        <v>2353</v>
      </c>
      <c r="P424" s="152" t="str">
        <f>IF(VLOOKUP(A424,'Aux - pivots1'!$A:$E,3,0)=0, "",VLOOKUP(A424,'Aux - pivots1'!$A:$E,3,0))</f>
        <v/>
      </c>
      <c r="Q424" s="152" t="str">
        <f>IF(VLOOKUP(A424,'Aux - pivots1'!$A:$E,4,0)=0, "",VLOOKUP(A424,'Aux - pivots1'!$A:$E,4,0))</f>
        <v/>
      </c>
      <c r="R424" s="152" t="str">
        <f>IF(VLOOKUP(A424,'Aux - pivots1'!$A:$E,5,0)=0, "",VLOOKUP(A424,'Aux - pivots1'!$A:$E,5,0))</f>
        <v/>
      </c>
      <c r="S424" s="198"/>
      <c r="T424" s="198"/>
      <c r="U424" s="198"/>
      <c r="V424" s="320"/>
      <c r="W424" s="320"/>
      <c r="X424" s="320"/>
      <c r="Y424" s="368" t="s">
        <v>2320</v>
      </c>
      <c r="Z424" s="319"/>
    </row>
    <row r="425" spans="1:26" ht="16.399999999999999" hidden="1" customHeight="1">
      <c r="A425" s="29" t="str">
        <f t="shared" si="6"/>
        <v>modesg_inp_emss_bens_imoveisn.a.</v>
      </c>
      <c r="B425" s="141" t="s">
        <v>26</v>
      </c>
      <c r="C425" s="137" t="s">
        <v>181</v>
      </c>
      <c r="D425" s="133" t="s">
        <v>36</v>
      </c>
      <c r="E425" s="134" t="s">
        <v>219</v>
      </c>
      <c r="F425" s="470" t="s">
        <v>38</v>
      </c>
      <c r="G425" s="135" t="str">
        <f>VLOOKUP(A425,Plano_V3!$A$26:$G$768,7,0)</f>
        <v>1. Concluído</v>
      </c>
      <c r="H425" s="135" t="s">
        <v>612</v>
      </c>
      <c r="I425" s="467"/>
      <c r="J425" s="142"/>
      <c r="K425" s="142"/>
      <c r="L425" s="153"/>
      <c r="M425" s="153"/>
      <c r="N425" s="142"/>
      <c r="O425" s="142"/>
      <c r="P425" s="152" t="str">
        <f>IF(VLOOKUP(A425,'Aux - pivots1'!$A:$E,3,0)=0, "",VLOOKUP(A425,'Aux - pivots1'!$A:$E,3,0))</f>
        <v/>
      </c>
      <c r="Q425" s="152" t="str">
        <f>IF(VLOOKUP(A425,'Aux - pivots1'!$A:$E,4,0)=0, "",VLOOKUP(A425,'Aux - pivots1'!$A:$E,4,0))</f>
        <v/>
      </c>
      <c r="R425" s="152" t="str">
        <f>IF(VLOOKUP(A425,'Aux - pivots1'!$A:$E,5,0)=0, "",VLOOKUP(A425,'Aux - pivots1'!$A:$E,5,0))</f>
        <v/>
      </c>
      <c r="S425" s="198"/>
      <c r="T425" s="198"/>
      <c r="U425" s="198"/>
      <c r="V425" s="320"/>
      <c r="W425" s="320"/>
      <c r="X425" s="320"/>
      <c r="Y425" s="368" t="s">
        <v>2320</v>
      </c>
      <c r="Z425" s="319"/>
    </row>
    <row r="426" spans="1:26" ht="16.399999999999999" hidden="1" customHeight="1">
      <c r="A426" s="29" t="str">
        <f t="shared" si="6"/>
        <v>modesg_inp_emss_vclsref_date</v>
      </c>
      <c r="B426" s="141" t="s">
        <v>26</v>
      </c>
      <c r="C426" s="137" t="s">
        <v>181</v>
      </c>
      <c r="D426" s="133" t="s">
        <v>40</v>
      </c>
      <c r="E426" s="134" t="s">
        <v>212</v>
      </c>
      <c r="F426" s="470" t="s">
        <v>208</v>
      </c>
      <c r="G426" s="135" t="str">
        <f>VLOOKUP(A426,Plano_V3!$A$26:$G$768,7,0)</f>
        <v>1. Concluído</v>
      </c>
      <c r="H426" s="135" t="s">
        <v>612</v>
      </c>
      <c r="I426" s="467"/>
      <c r="J426" s="142"/>
      <c r="K426" s="142"/>
      <c r="L426" s="153"/>
      <c r="M426" s="153"/>
      <c r="N426" s="142"/>
      <c r="O426" s="142"/>
      <c r="P426" s="152" t="str">
        <f>IF(VLOOKUP(A426,'Aux - pivots1'!$A:$E,3,0)=0, "",VLOOKUP(A426,'Aux - pivots1'!$A:$E,3,0))</f>
        <v/>
      </c>
      <c r="Q426" s="152" t="str">
        <f>IF(VLOOKUP(A426,'Aux - pivots1'!$A:$E,4,0)=0, "",VLOOKUP(A426,'Aux - pivots1'!$A:$E,4,0))</f>
        <v/>
      </c>
      <c r="R426" s="152" t="str">
        <f>IF(VLOOKUP(A426,'Aux - pivots1'!$A:$E,5,0)=0, "",VLOOKUP(A426,'Aux - pivots1'!$A:$E,5,0))</f>
        <v/>
      </c>
      <c r="S426" s="198"/>
      <c r="T426" s="198"/>
      <c r="U426" s="198"/>
      <c r="V426" s="320"/>
      <c r="W426" s="320"/>
      <c r="X426" s="320"/>
      <c r="Y426" s="368" t="s">
        <v>2320</v>
      </c>
      <c r="Z426" s="319"/>
    </row>
    <row r="427" spans="1:26" ht="16.399999999999999" hidden="1" customHeight="1">
      <c r="A427" s="29" t="str">
        <f t="shared" si="6"/>
        <v>modesg_inp_emss_vclsnome_regiao</v>
      </c>
      <c r="B427" s="141" t="s">
        <v>26</v>
      </c>
      <c r="C427" s="137" t="s">
        <v>181</v>
      </c>
      <c r="D427" s="133" t="s">
        <v>40</v>
      </c>
      <c r="E427" s="134" t="s">
        <v>212</v>
      </c>
      <c r="F427" s="470" t="s">
        <v>220</v>
      </c>
      <c r="G427" s="135" t="str">
        <f>VLOOKUP(A427,Plano_V3!$A$26:$G$768,7,0)</f>
        <v>1. Concluído</v>
      </c>
      <c r="H427" s="135" t="s">
        <v>612</v>
      </c>
      <c r="I427" s="467"/>
      <c r="J427" s="142"/>
      <c r="K427" s="142"/>
      <c r="L427" s="153"/>
      <c r="M427" s="153"/>
      <c r="N427" s="142"/>
      <c r="O427" s="142"/>
      <c r="P427" s="152" t="str">
        <f>IF(VLOOKUP(A427,'Aux - pivots1'!$A:$E,3,0)=0, "",VLOOKUP(A427,'Aux - pivots1'!$A:$E,3,0))</f>
        <v/>
      </c>
      <c r="Q427" s="152" t="str">
        <f>IF(VLOOKUP(A427,'Aux - pivots1'!$A:$E,4,0)=0, "",VLOOKUP(A427,'Aux - pivots1'!$A:$E,4,0))</f>
        <v/>
      </c>
      <c r="R427" s="152" t="str">
        <f>IF(VLOOKUP(A427,'Aux - pivots1'!$A:$E,5,0)=0, "",VLOOKUP(A427,'Aux - pivots1'!$A:$E,5,0))</f>
        <v/>
      </c>
      <c r="S427" s="198"/>
      <c r="T427" s="198"/>
      <c r="U427" s="198"/>
      <c r="V427" s="320"/>
      <c r="W427" s="320"/>
      <c r="X427" s="320"/>
      <c r="Y427" s="368" t="s">
        <v>2320</v>
      </c>
      <c r="Z427" s="319"/>
    </row>
    <row r="428" spans="1:26" ht="16.399999999999999" hidden="1" customHeight="1">
      <c r="A428" s="29" t="str">
        <f t="shared" si="6"/>
        <v>modesg_inp_emss_vclsnome_pais</v>
      </c>
      <c r="B428" s="141" t="s">
        <v>26</v>
      </c>
      <c r="C428" s="137" t="s">
        <v>181</v>
      </c>
      <c r="D428" s="133" t="s">
        <v>40</v>
      </c>
      <c r="E428" s="134" t="s">
        <v>212</v>
      </c>
      <c r="F428" s="470" t="s">
        <v>221</v>
      </c>
      <c r="G428" s="135" t="str">
        <f>VLOOKUP(A428,Plano_V3!$A$26:$G$768,7,0)</f>
        <v>1. Concluído</v>
      </c>
      <c r="H428" s="135" t="s">
        <v>612</v>
      </c>
      <c r="I428" s="467"/>
      <c r="J428" s="142"/>
      <c r="K428" s="142"/>
      <c r="L428" s="153"/>
      <c r="M428" s="153"/>
      <c r="N428" s="142"/>
      <c r="O428" s="142"/>
      <c r="P428" s="152" t="str">
        <f>IF(VLOOKUP(A428,'Aux - pivots1'!$A:$E,3,0)=0, "",VLOOKUP(A428,'Aux - pivots1'!$A:$E,3,0))</f>
        <v/>
      </c>
      <c r="Q428" s="152" t="str">
        <f>IF(VLOOKUP(A428,'Aux - pivots1'!$A:$E,4,0)=0, "",VLOOKUP(A428,'Aux - pivots1'!$A:$E,4,0))</f>
        <v/>
      </c>
      <c r="R428" s="152" t="str">
        <f>IF(VLOOKUP(A428,'Aux - pivots1'!$A:$E,5,0)=0, "",VLOOKUP(A428,'Aux - pivots1'!$A:$E,5,0))</f>
        <v/>
      </c>
      <c r="S428" s="198"/>
      <c r="T428" s="198"/>
      <c r="U428" s="198"/>
      <c r="V428" s="320"/>
      <c r="W428" s="320"/>
      <c r="X428" s="320"/>
      <c r="Y428" s="368" t="s">
        <v>2320</v>
      </c>
      <c r="Z428" s="319"/>
    </row>
    <row r="429" spans="1:26" ht="16.399999999999999" hidden="1" customHeight="1">
      <c r="A429" s="29" t="str">
        <f t="shared" si="6"/>
        <v>modesg_inp_emss_vclsnome_estado</v>
      </c>
      <c r="B429" s="141" t="s">
        <v>26</v>
      </c>
      <c r="C429" s="137" t="s">
        <v>181</v>
      </c>
      <c r="D429" s="133" t="s">
        <v>40</v>
      </c>
      <c r="E429" s="134" t="s">
        <v>212</v>
      </c>
      <c r="F429" s="470" t="s">
        <v>222</v>
      </c>
      <c r="G429" s="135" t="str">
        <f>VLOOKUP(A429,Plano_V3!$A$26:$G$768,7,0)</f>
        <v>1. Concluído</v>
      </c>
      <c r="H429" s="135" t="s">
        <v>612</v>
      </c>
      <c r="I429" s="467"/>
      <c r="J429" s="142"/>
      <c r="K429" s="142"/>
      <c r="L429" s="153"/>
      <c r="M429" s="153"/>
      <c r="N429" s="142"/>
      <c r="O429" s="142"/>
      <c r="P429" s="152" t="str">
        <f>IF(VLOOKUP(A429,'Aux - pivots1'!$A:$E,3,0)=0, "",VLOOKUP(A429,'Aux - pivots1'!$A:$E,3,0))</f>
        <v/>
      </c>
      <c r="Q429" s="152" t="str">
        <f>IF(VLOOKUP(A429,'Aux - pivots1'!$A:$E,4,0)=0, "",VLOOKUP(A429,'Aux - pivots1'!$A:$E,4,0))</f>
        <v/>
      </c>
      <c r="R429" s="152" t="str">
        <f>IF(VLOOKUP(A429,'Aux - pivots1'!$A:$E,5,0)=0, "",VLOOKUP(A429,'Aux - pivots1'!$A:$E,5,0))</f>
        <v/>
      </c>
      <c r="S429" s="198"/>
      <c r="T429" s="198"/>
      <c r="U429" s="198"/>
      <c r="V429" s="320"/>
      <c r="W429" s="320"/>
      <c r="X429" s="320"/>
      <c r="Y429" s="368" t="s">
        <v>2320</v>
      </c>
      <c r="Z429" s="319"/>
    </row>
    <row r="430" spans="1:26" ht="16.399999999999999" hidden="1" customHeight="1">
      <c r="A430" s="29" t="str">
        <f t="shared" si="6"/>
        <v>modesg_inp_emss_vclstipo_veiculo</v>
      </c>
      <c r="B430" s="141" t="s">
        <v>26</v>
      </c>
      <c r="C430" s="137" t="s">
        <v>181</v>
      </c>
      <c r="D430" s="133" t="s">
        <v>40</v>
      </c>
      <c r="E430" s="134" t="s">
        <v>212</v>
      </c>
      <c r="F430" s="470" t="s">
        <v>223</v>
      </c>
      <c r="G430" s="135" t="str">
        <f>VLOOKUP(A430,Plano_V3!$A$26:$G$768,7,0)</f>
        <v>1. Concluído</v>
      </c>
      <c r="H430" s="135" t="s">
        <v>612</v>
      </c>
      <c r="I430" s="467"/>
      <c r="J430" s="142"/>
      <c r="K430" s="142"/>
      <c r="L430" s="153"/>
      <c r="M430" s="153"/>
      <c r="N430" s="142"/>
      <c r="O430" s="142"/>
      <c r="P430" s="152" t="str">
        <f>IF(VLOOKUP(A430,'Aux - pivots1'!$A:$E,3,0)=0, "",VLOOKUP(A430,'Aux - pivots1'!$A:$E,3,0))</f>
        <v/>
      </c>
      <c r="Q430" s="152" t="str">
        <f>IF(VLOOKUP(A430,'Aux - pivots1'!$A:$E,4,0)=0, "",VLOOKUP(A430,'Aux - pivots1'!$A:$E,4,0))</f>
        <v/>
      </c>
      <c r="R430" s="152" t="str">
        <f>IF(VLOOKUP(A430,'Aux - pivots1'!$A:$E,5,0)=0, "",VLOOKUP(A430,'Aux - pivots1'!$A:$E,5,0))</f>
        <v/>
      </c>
      <c r="S430" s="198"/>
      <c r="T430" s="198"/>
      <c r="U430" s="198"/>
      <c r="V430" s="320"/>
      <c r="W430" s="320"/>
      <c r="X430" s="320"/>
      <c r="Y430" s="368" t="s">
        <v>2320</v>
      </c>
      <c r="Z430" s="319"/>
    </row>
    <row r="431" spans="1:26" ht="16.399999999999999" hidden="1" customHeight="1">
      <c r="A431" s="29" t="str">
        <f t="shared" si="6"/>
        <v>modesg_inp_emss_vclstipo_motor</v>
      </c>
      <c r="B431" s="141" t="s">
        <v>26</v>
      </c>
      <c r="C431" s="137" t="s">
        <v>181</v>
      </c>
      <c r="D431" s="133" t="s">
        <v>40</v>
      </c>
      <c r="E431" s="134" t="s">
        <v>212</v>
      </c>
      <c r="F431" s="470" t="s">
        <v>224</v>
      </c>
      <c r="G431" s="135" t="str">
        <f>VLOOKUP(A431,Plano_V3!$A$26:$G$768,7,0)</f>
        <v>1. Concluído</v>
      </c>
      <c r="H431" s="135" t="s">
        <v>612</v>
      </c>
      <c r="I431" s="467"/>
      <c r="J431" s="142"/>
      <c r="K431" s="142"/>
      <c r="L431" s="153"/>
      <c r="M431" s="153"/>
      <c r="N431" s="142"/>
      <c r="O431" s="142"/>
      <c r="P431" s="152" t="str">
        <f>IF(VLOOKUP(A431,'Aux - pivots1'!$A:$E,3,0)=0, "",VLOOKUP(A431,'Aux - pivots1'!$A:$E,3,0))</f>
        <v/>
      </c>
      <c r="Q431" s="152" t="str">
        <f>IF(VLOOKUP(A431,'Aux - pivots1'!$A:$E,4,0)=0, "",VLOOKUP(A431,'Aux - pivots1'!$A:$E,4,0))</f>
        <v/>
      </c>
      <c r="R431" s="152" t="str">
        <f>IF(VLOOKUP(A431,'Aux - pivots1'!$A:$E,5,0)=0, "",VLOOKUP(A431,'Aux - pivots1'!$A:$E,5,0))</f>
        <v/>
      </c>
      <c r="S431" s="198"/>
      <c r="T431" s="198"/>
      <c r="U431" s="198"/>
      <c r="V431" s="320"/>
      <c r="W431" s="320"/>
      <c r="X431" s="320"/>
      <c r="Y431" s="368" t="s">
        <v>2320</v>
      </c>
      <c r="Z431" s="319"/>
    </row>
    <row r="432" spans="1:26" ht="16.399999999999999" hidden="1" customHeight="1">
      <c r="A432" s="29" t="str">
        <f t="shared" si="6"/>
        <v>modesg_inp_emss_vclsmarca</v>
      </c>
      <c r="B432" s="141" t="s">
        <v>26</v>
      </c>
      <c r="C432" s="137" t="s">
        <v>181</v>
      </c>
      <c r="D432" s="133" t="s">
        <v>40</v>
      </c>
      <c r="E432" s="134" t="s">
        <v>212</v>
      </c>
      <c r="F432" s="470" t="s">
        <v>225</v>
      </c>
      <c r="G432" s="135" t="str">
        <f>VLOOKUP(A432,Plano_V3!$A$26:$G$768,7,0)</f>
        <v>1. Concluído</v>
      </c>
      <c r="H432" s="135" t="s">
        <v>612</v>
      </c>
      <c r="I432" s="467"/>
      <c r="J432" s="142"/>
      <c r="K432" s="142"/>
      <c r="L432" s="153"/>
      <c r="M432" s="153"/>
      <c r="N432" s="142"/>
      <c r="O432" s="142"/>
      <c r="P432" s="152" t="str">
        <f>IF(VLOOKUP(A432,'Aux - pivots1'!$A:$E,3,0)=0, "",VLOOKUP(A432,'Aux - pivots1'!$A:$E,3,0))</f>
        <v/>
      </c>
      <c r="Q432" s="152" t="str">
        <f>IF(VLOOKUP(A432,'Aux - pivots1'!$A:$E,4,0)=0, "",VLOOKUP(A432,'Aux - pivots1'!$A:$E,4,0))</f>
        <v/>
      </c>
      <c r="R432" s="152" t="str">
        <f>IF(VLOOKUP(A432,'Aux - pivots1'!$A:$E,5,0)=0, "",VLOOKUP(A432,'Aux - pivots1'!$A:$E,5,0))</f>
        <v/>
      </c>
      <c r="S432" s="198"/>
      <c r="T432" s="198"/>
      <c r="U432" s="198"/>
      <c r="V432" s="320"/>
      <c r="W432" s="320"/>
      <c r="X432" s="320"/>
      <c r="Y432" s="368" t="s">
        <v>2320</v>
      </c>
      <c r="Z432" s="319"/>
    </row>
    <row r="433" spans="1:26" ht="16.399999999999999" hidden="1" customHeight="1">
      <c r="A433" s="29" t="str">
        <f t="shared" si="6"/>
        <v>modesg_inp_emss_vclsmodelo</v>
      </c>
      <c r="B433" s="141" t="s">
        <v>26</v>
      </c>
      <c r="C433" s="137" t="s">
        <v>181</v>
      </c>
      <c r="D433" s="133" t="s">
        <v>40</v>
      </c>
      <c r="E433" s="134" t="s">
        <v>212</v>
      </c>
      <c r="F433" s="470" t="s">
        <v>226</v>
      </c>
      <c r="G433" s="135" t="str">
        <f>VLOOKUP(A433,Plano_V3!$A$26:$G$768,7,0)</f>
        <v>1. Concluído</v>
      </c>
      <c r="H433" s="135" t="s">
        <v>612</v>
      </c>
      <c r="I433" s="467"/>
      <c r="J433" s="480"/>
      <c r="K433" s="480"/>
      <c r="L433" s="481"/>
      <c r="M433" s="481"/>
      <c r="N433" s="480"/>
      <c r="O433" s="142"/>
      <c r="P433" s="152" t="str">
        <f>IF(VLOOKUP(A433,'Aux - pivots1'!$A:$E,3,0)=0, "",VLOOKUP(A433,'Aux - pivots1'!$A:$E,3,0))</f>
        <v/>
      </c>
      <c r="Q433" s="152" t="str">
        <f>IF(VLOOKUP(A433,'Aux - pivots1'!$A:$E,4,0)=0, "",VLOOKUP(A433,'Aux - pivots1'!$A:$E,4,0))</f>
        <v/>
      </c>
      <c r="R433" s="152" t="str">
        <f>IF(VLOOKUP(A433,'Aux - pivots1'!$A:$E,5,0)=0, "",VLOOKUP(A433,'Aux - pivots1'!$A:$E,5,0))</f>
        <v/>
      </c>
      <c r="S433" s="198"/>
      <c r="T433" s="198"/>
      <c r="U433" s="198"/>
      <c r="V433" s="320"/>
      <c r="W433" s="320"/>
      <c r="X433" s="320"/>
      <c r="Y433" s="368" t="s">
        <v>2320</v>
      </c>
      <c r="Z433" s="319"/>
    </row>
    <row r="434" spans="1:26" ht="16.399999999999999" hidden="1" customHeight="1">
      <c r="A434" s="29" t="str">
        <f t="shared" si="6"/>
        <v>modesg_inp_emss_vclssubgrupo</v>
      </c>
      <c r="B434" s="141" t="s">
        <v>26</v>
      </c>
      <c r="C434" s="137" t="s">
        <v>181</v>
      </c>
      <c r="D434" s="133" t="s">
        <v>40</v>
      </c>
      <c r="E434" s="134" t="s">
        <v>212</v>
      </c>
      <c r="F434" s="470" t="s">
        <v>227</v>
      </c>
      <c r="G434" s="135" t="str">
        <f>VLOOKUP(A434,Plano_V3!$A$26:$G$768,7,0)</f>
        <v>1. Concluído</v>
      </c>
      <c r="H434" s="135" t="s">
        <v>612</v>
      </c>
      <c r="I434" s="467"/>
      <c r="J434" s="480"/>
      <c r="K434" s="480"/>
      <c r="L434" s="481"/>
      <c r="M434" s="481"/>
      <c r="N434" s="480"/>
      <c r="O434" s="143"/>
      <c r="P434" s="152" t="str">
        <f>IF(VLOOKUP(A434,'Aux - pivots1'!$A:$E,3,0)=0, "",VLOOKUP(A434,'Aux - pivots1'!$A:$E,3,0))</f>
        <v/>
      </c>
      <c r="Q434" s="152" t="str">
        <f>IF(VLOOKUP(A434,'Aux - pivots1'!$A:$E,4,0)=0, "",VLOOKUP(A434,'Aux - pivots1'!$A:$E,4,0))</f>
        <v/>
      </c>
      <c r="R434" s="152" t="str">
        <f>IF(VLOOKUP(A434,'Aux - pivots1'!$A:$E,5,0)=0, "",VLOOKUP(A434,'Aux - pivots1'!$A:$E,5,0))</f>
        <v/>
      </c>
      <c r="S434" s="198"/>
      <c r="T434" s="198"/>
      <c r="U434" s="198"/>
      <c r="V434" s="320"/>
      <c r="W434" s="320"/>
      <c r="X434" s="320"/>
      <c r="Y434" s="368" t="s">
        <v>2320</v>
      </c>
      <c r="Z434" s="319"/>
    </row>
    <row r="435" spans="1:26" ht="16.399999999999999" hidden="1" customHeight="1">
      <c r="A435" s="29" t="str">
        <f t="shared" si="6"/>
        <v>modesg_inp_emss_vclsnome_unidade_funcional</v>
      </c>
      <c r="B435" s="141" t="s">
        <v>26</v>
      </c>
      <c r="C435" s="137" t="s">
        <v>181</v>
      </c>
      <c r="D435" s="133" t="s">
        <v>40</v>
      </c>
      <c r="E435" s="134" t="s">
        <v>212</v>
      </c>
      <c r="F435" s="470" t="s">
        <v>228</v>
      </c>
      <c r="G435" s="135" t="str">
        <f>VLOOKUP(A435,Plano_V3!$A$26:$G$768,7,0)</f>
        <v>1. Concluído</v>
      </c>
      <c r="H435" s="135" t="s">
        <v>612</v>
      </c>
      <c r="I435" s="467"/>
      <c r="J435" s="480"/>
      <c r="K435" s="480"/>
      <c r="L435" s="481"/>
      <c r="M435" s="481"/>
      <c r="N435" s="480"/>
      <c r="O435" s="142"/>
      <c r="P435" s="152" t="str">
        <f>IF(VLOOKUP(A435,'Aux - pivots1'!$A:$E,3,0)=0, "",VLOOKUP(A435,'Aux - pivots1'!$A:$E,3,0))</f>
        <v/>
      </c>
      <c r="Q435" s="152" t="str">
        <f>IF(VLOOKUP(A435,'Aux - pivots1'!$A:$E,4,0)=0, "",VLOOKUP(A435,'Aux - pivots1'!$A:$E,4,0))</f>
        <v/>
      </c>
      <c r="R435" s="152" t="str">
        <f>IF(VLOOKUP(A435,'Aux - pivots1'!$A:$E,5,0)=0, "",VLOOKUP(A435,'Aux - pivots1'!$A:$E,5,0))</f>
        <v/>
      </c>
      <c r="S435" s="198"/>
      <c r="T435" s="198"/>
      <c r="U435" s="198"/>
      <c r="V435" s="320"/>
      <c r="W435" s="320"/>
      <c r="X435" s="320"/>
      <c r="Y435" s="368" t="s">
        <v>2320</v>
      </c>
      <c r="Z435" s="319"/>
    </row>
    <row r="436" spans="1:26" ht="16.399999999999999" hidden="1" customHeight="1">
      <c r="A436" s="29" t="str">
        <f t="shared" si="6"/>
        <v>modesg_inp_emss_vclsunidade_funcional</v>
      </c>
      <c r="B436" s="141" t="s">
        <v>26</v>
      </c>
      <c r="C436" s="137" t="s">
        <v>181</v>
      </c>
      <c r="D436" s="133" t="s">
        <v>40</v>
      </c>
      <c r="E436" s="134" t="s">
        <v>212</v>
      </c>
      <c r="F436" s="470" t="s">
        <v>229</v>
      </c>
      <c r="G436" s="135" t="str">
        <f>VLOOKUP(A436,Plano_V3!$A$26:$G$768,7,0)</f>
        <v>1. Concluído</v>
      </c>
      <c r="H436" s="135" t="s">
        <v>612</v>
      </c>
      <c r="I436" s="467"/>
      <c r="J436" s="480"/>
      <c r="K436" s="480"/>
      <c r="L436" s="481"/>
      <c r="M436" s="481"/>
      <c r="N436" s="480"/>
      <c r="O436" s="142"/>
      <c r="P436" s="152" t="str">
        <f>IF(VLOOKUP(A436,'Aux - pivots1'!$A:$E,3,0)=0, "",VLOOKUP(A436,'Aux - pivots1'!$A:$E,3,0))</f>
        <v/>
      </c>
      <c r="Q436" s="152" t="str">
        <f>IF(VLOOKUP(A436,'Aux - pivots1'!$A:$E,4,0)=0, "",VLOOKUP(A436,'Aux - pivots1'!$A:$E,4,0))</f>
        <v/>
      </c>
      <c r="R436" s="152" t="str">
        <f>IF(VLOOKUP(A436,'Aux - pivots1'!$A:$E,5,0)=0, "",VLOOKUP(A436,'Aux - pivots1'!$A:$E,5,0))</f>
        <v/>
      </c>
      <c r="S436" s="198"/>
      <c r="T436" s="198"/>
      <c r="U436" s="198"/>
      <c r="V436" s="320"/>
      <c r="W436" s="320"/>
      <c r="X436" s="320"/>
      <c r="Y436" s="368" t="s">
        <v>2320</v>
      </c>
      <c r="Z436" s="319"/>
    </row>
    <row r="437" spans="1:26" ht="16.399999999999999" hidden="1" customHeight="1">
      <c r="A437" s="29" t="str">
        <f t="shared" si="6"/>
        <v>modesg_inp_emss_vclsnome_fator_emissao</v>
      </c>
      <c r="B437" s="141" t="s">
        <v>26</v>
      </c>
      <c r="C437" s="137" t="s">
        <v>181</v>
      </c>
      <c r="D437" s="133" t="s">
        <v>40</v>
      </c>
      <c r="E437" s="134" t="s">
        <v>212</v>
      </c>
      <c r="F437" s="470" t="s">
        <v>230</v>
      </c>
      <c r="G437" s="135" t="str">
        <f>VLOOKUP(A437,Plano_V3!$A$26:$G$768,7,0)</f>
        <v>1. Concluído</v>
      </c>
      <c r="H437" s="135" t="s">
        <v>612</v>
      </c>
      <c r="I437" s="467"/>
      <c r="J437" s="480"/>
      <c r="K437" s="480"/>
      <c r="L437" s="481"/>
      <c r="M437" s="481"/>
      <c r="N437" s="480"/>
      <c r="O437" s="142"/>
      <c r="P437" s="152" t="str">
        <f>IF(VLOOKUP(A437,'Aux - pivots1'!$A:$E,3,0)=0, "",VLOOKUP(A437,'Aux - pivots1'!$A:$E,3,0))</f>
        <v/>
      </c>
      <c r="Q437" s="152" t="str">
        <f>IF(VLOOKUP(A437,'Aux - pivots1'!$A:$E,4,0)=0, "",VLOOKUP(A437,'Aux - pivots1'!$A:$E,4,0))</f>
        <v/>
      </c>
      <c r="R437" s="152" t="str">
        <f>IF(VLOOKUP(A437,'Aux - pivots1'!$A:$E,5,0)=0, "",VLOOKUP(A437,'Aux - pivots1'!$A:$E,5,0))</f>
        <v/>
      </c>
      <c r="S437" s="198"/>
      <c r="T437" s="198"/>
      <c r="U437" s="198"/>
      <c r="V437" s="320"/>
      <c r="W437" s="320"/>
      <c r="X437" s="320"/>
      <c r="Y437" s="368" t="s">
        <v>2320</v>
      </c>
      <c r="Z437" s="319"/>
    </row>
    <row r="438" spans="1:26" ht="16.399999999999999" hidden="1" customHeight="1">
      <c r="A438" s="29" t="str">
        <f t="shared" si="6"/>
        <v>modesg_inp_emss_vclsunidade_fator_de_emissao</v>
      </c>
      <c r="B438" s="141" t="s">
        <v>26</v>
      </c>
      <c r="C438" s="137" t="s">
        <v>181</v>
      </c>
      <c r="D438" s="133" t="s">
        <v>40</v>
      </c>
      <c r="E438" s="134" t="s">
        <v>212</v>
      </c>
      <c r="F438" s="470" t="s">
        <v>231</v>
      </c>
      <c r="G438" s="135" t="str">
        <f>VLOOKUP(A438,Plano_V3!$A$26:$G$768,7,0)</f>
        <v>1. Concluído</v>
      </c>
      <c r="H438" s="135" t="s">
        <v>612</v>
      </c>
      <c r="I438" s="467"/>
      <c r="J438" s="480"/>
      <c r="K438" s="480"/>
      <c r="L438" s="481"/>
      <c r="M438" s="481"/>
      <c r="N438" s="480"/>
      <c r="O438" s="142"/>
      <c r="P438" s="152" t="str">
        <f>IF(VLOOKUP(A438,'Aux - pivots1'!$A:$E,3,0)=0, "",VLOOKUP(A438,'Aux - pivots1'!$A:$E,3,0))</f>
        <v/>
      </c>
      <c r="Q438" s="152" t="str">
        <f>IF(VLOOKUP(A438,'Aux - pivots1'!$A:$E,4,0)=0, "",VLOOKUP(A438,'Aux - pivots1'!$A:$E,4,0))</f>
        <v/>
      </c>
      <c r="R438" s="152" t="str">
        <f>IF(VLOOKUP(A438,'Aux - pivots1'!$A:$E,5,0)=0, "",VLOOKUP(A438,'Aux - pivots1'!$A:$E,5,0))</f>
        <v/>
      </c>
      <c r="S438" s="198"/>
      <c r="T438" s="198"/>
      <c r="U438" s="198"/>
      <c r="V438" s="320"/>
      <c r="W438" s="320"/>
      <c r="X438" s="320"/>
      <c r="Y438" s="368" t="s">
        <v>2320</v>
      </c>
      <c r="Z438" s="319"/>
    </row>
    <row r="439" spans="1:26" ht="16.399999999999999" hidden="1" customHeight="1">
      <c r="A439" s="29" t="str">
        <f t="shared" si="6"/>
        <v>modesg_inp_emss_vclsscore_qualidade</v>
      </c>
      <c r="B439" s="141" t="s">
        <v>26</v>
      </c>
      <c r="C439" s="137" t="s">
        <v>181</v>
      </c>
      <c r="D439" s="133" t="s">
        <v>40</v>
      </c>
      <c r="E439" s="134" t="s">
        <v>212</v>
      </c>
      <c r="F439" s="470" t="s">
        <v>232</v>
      </c>
      <c r="G439" s="135" t="str">
        <f>VLOOKUP(A439,Plano_V3!$A$26:$G$768,7,0)</f>
        <v>1. Concluído</v>
      </c>
      <c r="H439" s="135" t="s">
        <v>612</v>
      </c>
      <c r="I439" s="467"/>
      <c r="J439" s="142"/>
      <c r="K439" s="142"/>
      <c r="L439" s="153"/>
      <c r="M439" s="153"/>
      <c r="N439" s="142"/>
      <c r="O439" s="142"/>
      <c r="P439" s="152" t="str">
        <f>IF(VLOOKUP(A439,'Aux - pivots1'!$A:$E,3,0)=0, "",VLOOKUP(A439,'Aux - pivots1'!$A:$E,3,0))</f>
        <v/>
      </c>
      <c r="Q439" s="152" t="str">
        <f>IF(VLOOKUP(A439,'Aux - pivots1'!$A:$E,4,0)=0, "",VLOOKUP(A439,'Aux - pivots1'!$A:$E,4,0))</f>
        <v/>
      </c>
      <c r="R439" s="152" t="str">
        <f>IF(VLOOKUP(A439,'Aux - pivots1'!$A:$E,5,0)=0, "",VLOOKUP(A439,'Aux - pivots1'!$A:$E,5,0))</f>
        <v/>
      </c>
      <c r="S439" s="198"/>
      <c r="T439" s="198"/>
      <c r="U439" s="198"/>
      <c r="V439" s="320"/>
      <c r="W439" s="320"/>
      <c r="X439" s="320"/>
      <c r="Y439" s="368" t="s">
        <v>2320</v>
      </c>
      <c r="Z439" s="319"/>
    </row>
    <row r="440" spans="1:26" ht="16.399999999999999" hidden="1" customHeight="1">
      <c r="A440" s="29" t="str">
        <f t="shared" si="6"/>
        <v>modesg_inp_emss_vclsscp1_ftr_emss</v>
      </c>
      <c r="B440" s="141" t="s">
        <v>26</v>
      </c>
      <c r="C440" s="137" t="s">
        <v>181</v>
      </c>
      <c r="D440" s="133" t="s">
        <v>40</v>
      </c>
      <c r="E440" s="134" t="s">
        <v>212</v>
      </c>
      <c r="F440" s="470" t="s">
        <v>233</v>
      </c>
      <c r="G440" s="135" t="str">
        <f>VLOOKUP(A440,Plano_V3!$A$26:$G$768,7,0)</f>
        <v>1. Concluído</v>
      </c>
      <c r="H440" s="135" t="s">
        <v>612</v>
      </c>
      <c r="I440" s="467"/>
      <c r="J440" s="142"/>
      <c r="K440" s="142"/>
      <c r="L440" s="153"/>
      <c r="M440" s="153"/>
      <c r="N440" s="142"/>
      <c r="O440" s="142"/>
      <c r="P440" s="152" t="str">
        <f>IF(VLOOKUP(A440,'Aux - pivots1'!$A:$E,3,0)=0, "",VLOOKUP(A440,'Aux - pivots1'!$A:$E,3,0))</f>
        <v/>
      </c>
      <c r="Q440" s="152" t="str">
        <f>IF(VLOOKUP(A440,'Aux - pivots1'!$A:$E,4,0)=0, "",VLOOKUP(A440,'Aux - pivots1'!$A:$E,4,0))</f>
        <v/>
      </c>
      <c r="R440" s="152" t="str">
        <f>IF(VLOOKUP(A440,'Aux - pivots1'!$A:$E,5,0)=0, "",VLOOKUP(A440,'Aux - pivots1'!$A:$E,5,0))</f>
        <v/>
      </c>
      <c r="S440" s="198"/>
      <c r="T440" s="198"/>
      <c r="U440" s="198"/>
      <c r="V440" s="320"/>
      <c r="W440" s="320"/>
      <c r="X440" s="320"/>
      <c r="Y440" s="368" t="s">
        <v>2320</v>
      </c>
      <c r="Z440" s="319"/>
    </row>
    <row r="441" spans="1:26" ht="16.399999999999999" hidden="1" customHeight="1">
      <c r="A441" s="29" t="str">
        <f t="shared" si="6"/>
        <v>modesg_inp_emss_vclsscp2_ftr_emss</v>
      </c>
      <c r="B441" s="141" t="s">
        <v>26</v>
      </c>
      <c r="C441" s="137" t="s">
        <v>181</v>
      </c>
      <c r="D441" s="133" t="s">
        <v>40</v>
      </c>
      <c r="E441" s="134" t="s">
        <v>212</v>
      </c>
      <c r="F441" s="470" t="s">
        <v>234</v>
      </c>
      <c r="G441" s="135" t="str">
        <f>VLOOKUP(A441,Plano_V3!$A$26:$G$768,7,0)</f>
        <v>1. Concluído</v>
      </c>
      <c r="H441" s="135" t="s">
        <v>612</v>
      </c>
      <c r="I441" s="467"/>
      <c r="J441" s="142"/>
      <c r="K441" s="142"/>
      <c r="L441" s="153"/>
      <c r="M441" s="153"/>
      <c r="N441" s="142"/>
      <c r="O441" s="142"/>
      <c r="P441" s="152" t="str">
        <f>IF(VLOOKUP(A441,'Aux - pivots1'!$A:$E,3,0)=0, "",VLOOKUP(A441,'Aux - pivots1'!$A:$E,3,0))</f>
        <v/>
      </c>
      <c r="Q441" s="152" t="str">
        <f>IF(VLOOKUP(A441,'Aux - pivots1'!$A:$E,4,0)=0, "",VLOOKUP(A441,'Aux - pivots1'!$A:$E,4,0))</f>
        <v/>
      </c>
      <c r="R441" s="152" t="str">
        <f>IF(VLOOKUP(A441,'Aux - pivots1'!$A:$E,5,0)=0, "",VLOOKUP(A441,'Aux - pivots1'!$A:$E,5,0))</f>
        <v/>
      </c>
      <c r="S441" s="198"/>
      <c r="T441" s="198"/>
      <c r="U441" s="198"/>
      <c r="V441" s="320"/>
      <c r="W441" s="320"/>
      <c r="X441" s="320"/>
      <c r="Y441" s="368" t="s">
        <v>2320</v>
      </c>
      <c r="Z441" s="319"/>
    </row>
    <row r="442" spans="1:26" ht="16.399999999999999" hidden="1" customHeight="1">
      <c r="A442" s="29" t="str">
        <f t="shared" si="6"/>
        <v>modesg_inp_emss_vclsscp3_ftr_emss</v>
      </c>
      <c r="B442" s="141" t="s">
        <v>26</v>
      </c>
      <c r="C442" s="137" t="s">
        <v>181</v>
      </c>
      <c r="D442" s="133" t="s">
        <v>40</v>
      </c>
      <c r="E442" s="134" t="s">
        <v>212</v>
      </c>
      <c r="F442" s="470" t="s">
        <v>235</v>
      </c>
      <c r="G442" s="135" t="str">
        <f>VLOOKUP(A442,Plano_V3!$A$26:$G$768,7,0)</f>
        <v>1. Concluído</v>
      </c>
      <c r="H442" s="135" t="s">
        <v>612</v>
      </c>
      <c r="I442" s="467"/>
      <c r="J442" s="142"/>
      <c r="K442" s="142"/>
      <c r="L442" s="153"/>
      <c r="M442" s="153"/>
      <c r="N442" s="142"/>
      <c r="O442" s="142"/>
      <c r="P442" s="152" t="str">
        <f>IF(VLOOKUP(A442,'Aux - pivots1'!$A:$E,3,0)=0, "",VLOOKUP(A442,'Aux - pivots1'!$A:$E,3,0))</f>
        <v/>
      </c>
      <c r="Q442" s="152" t="str">
        <f>IF(VLOOKUP(A442,'Aux - pivots1'!$A:$E,4,0)=0, "",VLOOKUP(A442,'Aux - pivots1'!$A:$E,4,0))</f>
        <v/>
      </c>
      <c r="R442" s="152" t="str">
        <f>IF(VLOOKUP(A442,'Aux - pivots1'!$A:$E,5,0)=0, "",VLOOKUP(A442,'Aux - pivots1'!$A:$E,5,0))</f>
        <v/>
      </c>
      <c r="S442" s="198"/>
      <c r="T442" s="198"/>
      <c r="U442" s="198"/>
      <c r="V442" s="320"/>
      <c r="W442" s="320"/>
      <c r="X442" s="320"/>
      <c r="Y442" s="368" t="s">
        <v>2320</v>
      </c>
      <c r="Z442" s="319"/>
    </row>
    <row r="443" spans="1:26" ht="16.399999999999999" hidden="1" customHeight="1">
      <c r="A443" s="29" t="str">
        <f t="shared" si="6"/>
        <v>modesg_inp_km_medios_emss_vclsref_date</v>
      </c>
      <c r="B443" s="141" t="s">
        <v>26</v>
      </c>
      <c r="C443" s="137" t="s">
        <v>181</v>
      </c>
      <c r="D443" s="133" t="s">
        <v>40</v>
      </c>
      <c r="E443" s="134" t="s">
        <v>213</v>
      </c>
      <c r="F443" s="470" t="s">
        <v>208</v>
      </c>
      <c r="G443" s="135" t="str">
        <f>VLOOKUP(A443,Plano_V3!$A$26:$G$768,7,0)</f>
        <v>1. Concluído</v>
      </c>
      <c r="H443" s="135" t="s">
        <v>612</v>
      </c>
      <c r="I443" s="467"/>
      <c r="J443" s="142"/>
      <c r="K443" s="142"/>
      <c r="L443" s="153"/>
      <c r="M443" s="153"/>
      <c r="N443" s="142"/>
      <c r="O443" s="142"/>
      <c r="P443" s="152" t="str">
        <f>IF(VLOOKUP(A443,'Aux - pivots1'!$A:$E,3,0)=0, "",VLOOKUP(A443,'Aux - pivots1'!$A:$E,3,0))</f>
        <v/>
      </c>
      <c r="Q443" s="152" t="str">
        <f>IF(VLOOKUP(A443,'Aux - pivots1'!$A:$E,4,0)=0, "",VLOOKUP(A443,'Aux - pivots1'!$A:$E,4,0))</f>
        <v/>
      </c>
      <c r="R443" s="152" t="str">
        <f>IF(VLOOKUP(A443,'Aux - pivots1'!$A:$E,5,0)=0, "",VLOOKUP(A443,'Aux - pivots1'!$A:$E,5,0))</f>
        <v/>
      </c>
      <c r="S443" s="198"/>
      <c r="T443" s="198"/>
      <c r="U443" s="198"/>
      <c r="V443" s="320"/>
      <c r="W443" s="320"/>
      <c r="X443" s="320"/>
      <c r="Y443" s="368" t="s">
        <v>2320</v>
      </c>
      <c r="Z443" s="319"/>
    </row>
    <row r="444" spans="1:26" ht="16.399999999999999" hidden="1" customHeight="1">
      <c r="A444" s="29" t="str">
        <f t="shared" si="6"/>
        <v>modesg_inp_km_medios_emss_vclsnome_pais</v>
      </c>
      <c r="B444" s="141" t="s">
        <v>26</v>
      </c>
      <c r="C444" s="137" t="s">
        <v>181</v>
      </c>
      <c r="D444" s="133" t="s">
        <v>40</v>
      </c>
      <c r="E444" s="134" t="s">
        <v>213</v>
      </c>
      <c r="F444" s="470" t="s">
        <v>221</v>
      </c>
      <c r="G444" s="135" t="str">
        <f>VLOOKUP(A444,Plano_V3!$A$26:$G$768,7,0)</f>
        <v>1. Concluído</v>
      </c>
      <c r="H444" s="135" t="s">
        <v>612</v>
      </c>
      <c r="I444" s="467"/>
      <c r="J444" s="142"/>
      <c r="K444" s="142"/>
      <c r="L444" s="153"/>
      <c r="M444" s="153"/>
      <c r="N444" s="142"/>
      <c r="O444" s="142"/>
      <c r="P444" s="152" t="str">
        <f>IF(VLOOKUP(A444,'Aux - pivots1'!$A:$E,3,0)=0, "",VLOOKUP(A444,'Aux - pivots1'!$A:$E,3,0))</f>
        <v/>
      </c>
      <c r="Q444" s="152" t="str">
        <f>IF(VLOOKUP(A444,'Aux - pivots1'!$A:$E,4,0)=0, "",VLOOKUP(A444,'Aux - pivots1'!$A:$E,4,0))</f>
        <v/>
      </c>
      <c r="R444" s="152" t="str">
        <f>IF(VLOOKUP(A444,'Aux - pivots1'!$A:$E,5,0)=0, "",VLOOKUP(A444,'Aux - pivots1'!$A:$E,5,0))</f>
        <v/>
      </c>
      <c r="S444" s="198"/>
      <c r="T444" s="198"/>
      <c r="U444" s="198"/>
      <c r="V444" s="320"/>
      <c r="W444" s="320"/>
      <c r="X444" s="320"/>
      <c r="Y444" s="368" t="s">
        <v>2320</v>
      </c>
      <c r="Z444" s="319"/>
    </row>
    <row r="445" spans="1:26" ht="16.399999999999999" hidden="1" customHeight="1">
      <c r="A445" s="29" t="str">
        <f t="shared" si="6"/>
        <v>modesg_inp_km_medios_emss_vclstipo_vcl</v>
      </c>
      <c r="B445" s="141" t="s">
        <v>26</v>
      </c>
      <c r="C445" s="137" t="s">
        <v>181</v>
      </c>
      <c r="D445" s="133" t="s">
        <v>40</v>
      </c>
      <c r="E445" s="134" t="s">
        <v>213</v>
      </c>
      <c r="F445" s="470" t="s">
        <v>236</v>
      </c>
      <c r="G445" s="135" t="str">
        <f>VLOOKUP(A445,Plano_V3!$A$26:$G$768,7,0)</f>
        <v>1. Concluído</v>
      </c>
      <c r="H445" s="135" t="s">
        <v>612</v>
      </c>
      <c r="I445" s="467"/>
      <c r="J445" s="142"/>
      <c r="K445" s="142"/>
      <c r="L445" s="153"/>
      <c r="M445" s="153"/>
      <c r="N445" s="142"/>
      <c r="O445" s="142"/>
      <c r="P445" s="152" t="str">
        <f>IF(VLOOKUP(A445,'Aux - pivots1'!$A:$E,3,0)=0, "",VLOOKUP(A445,'Aux - pivots1'!$A:$E,3,0))</f>
        <v/>
      </c>
      <c r="Q445" s="152" t="str">
        <f>IF(VLOOKUP(A445,'Aux - pivots1'!$A:$E,4,0)=0, "",VLOOKUP(A445,'Aux - pivots1'!$A:$E,4,0))</f>
        <v/>
      </c>
      <c r="R445" s="152" t="str">
        <f>IF(VLOOKUP(A445,'Aux - pivots1'!$A:$E,5,0)=0, "",VLOOKUP(A445,'Aux - pivots1'!$A:$E,5,0))</f>
        <v/>
      </c>
      <c r="S445" s="198"/>
      <c r="T445" s="198"/>
      <c r="U445" s="198"/>
      <c r="V445" s="320"/>
      <c r="W445" s="320"/>
      <c r="X445" s="320"/>
      <c r="Y445" s="368" t="s">
        <v>2320</v>
      </c>
      <c r="Z445" s="319"/>
    </row>
    <row r="446" spans="1:26" ht="16.399999999999999" hidden="1" customHeight="1">
      <c r="A446" s="29" t="str">
        <f t="shared" si="6"/>
        <v>modesg_inp_km_medios_emss_vclstipo_motor</v>
      </c>
      <c r="B446" s="141" t="s">
        <v>26</v>
      </c>
      <c r="C446" s="137" t="s">
        <v>181</v>
      </c>
      <c r="D446" s="133" t="s">
        <v>40</v>
      </c>
      <c r="E446" s="134" t="s">
        <v>213</v>
      </c>
      <c r="F446" s="470" t="s">
        <v>224</v>
      </c>
      <c r="G446" s="135" t="str">
        <f>VLOOKUP(A446,Plano_V3!$A$26:$G$768,7,0)</f>
        <v>1. Concluído</v>
      </c>
      <c r="H446" s="135" t="s">
        <v>612</v>
      </c>
      <c r="I446" s="467"/>
      <c r="J446" s="480"/>
      <c r="K446" s="480"/>
      <c r="L446" s="481"/>
      <c r="M446" s="481"/>
      <c r="N446" s="480"/>
      <c r="O446" s="142"/>
      <c r="P446" s="152" t="str">
        <f>IF(VLOOKUP(A446,'Aux - pivots1'!$A:$E,3,0)=0, "",VLOOKUP(A446,'Aux - pivots1'!$A:$E,3,0))</f>
        <v/>
      </c>
      <c r="Q446" s="152" t="str">
        <f>IF(VLOOKUP(A446,'Aux - pivots1'!$A:$E,4,0)=0, "",VLOOKUP(A446,'Aux - pivots1'!$A:$E,4,0))</f>
        <v/>
      </c>
      <c r="R446" s="152" t="str">
        <f>IF(VLOOKUP(A446,'Aux - pivots1'!$A:$E,5,0)=0, "",VLOOKUP(A446,'Aux - pivots1'!$A:$E,5,0))</f>
        <v/>
      </c>
      <c r="S446" s="198"/>
      <c r="T446" s="198"/>
      <c r="U446" s="198"/>
      <c r="V446" s="320"/>
      <c r="W446" s="320"/>
      <c r="X446" s="320"/>
      <c r="Y446" s="368" t="s">
        <v>2320</v>
      </c>
      <c r="Z446" s="319"/>
    </row>
    <row r="447" spans="1:26" ht="16.399999999999999" hidden="1" customHeight="1">
      <c r="A447" s="29" t="str">
        <f t="shared" si="6"/>
        <v>modesg_inp_km_medios_emss_vclssubgrupo</v>
      </c>
      <c r="B447" s="141" t="s">
        <v>26</v>
      </c>
      <c r="C447" s="137" t="s">
        <v>181</v>
      </c>
      <c r="D447" s="133" t="s">
        <v>40</v>
      </c>
      <c r="E447" s="134" t="s">
        <v>213</v>
      </c>
      <c r="F447" s="470" t="s">
        <v>227</v>
      </c>
      <c r="G447" s="135" t="str">
        <f>VLOOKUP(A447,Plano_V3!$A$26:$G$768,7,0)</f>
        <v>1. Concluído</v>
      </c>
      <c r="H447" s="135" t="s">
        <v>612</v>
      </c>
      <c r="I447" s="467"/>
      <c r="J447" s="480"/>
      <c r="K447" s="480"/>
      <c r="L447" s="481"/>
      <c r="M447" s="481"/>
      <c r="N447" s="480"/>
      <c r="O447" s="143"/>
      <c r="P447" s="152" t="str">
        <f>IF(VLOOKUP(A447,'Aux - pivots1'!$A:$E,3,0)=0, "",VLOOKUP(A447,'Aux - pivots1'!$A:$E,3,0))</f>
        <v/>
      </c>
      <c r="Q447" s="152" t="str">
        <f>IF(VLOOKUP(A447,'Aux - pivots1'!$A:$E,4,0)=0, "",VLOOKUP(A447,'Aux - pivots1'!$A:$E,4,0))</f>
        <v/>
      </c>
      <c r="R447" s="152" t="str">
        <f>IF(VLOOKUP(A447,'Aux - pivots1'!$A:$E,5,0)=0, "",VLOOKUP(A447,'Aux - pivots1'!$A:$E,5,0))</f>
        <v/>
      </c>
      <c r="S447" s="198"/>
      <c r="T447" s="198"/>
      <c r="U447" s="198"/>
      <c r="V447" s="320"/>
      <c r="W447" s="320"/>
      <c r="X447" s="320"/>
      <c r="Y447" s="368" t="s">
        <v>2320</v>
      </c>
      <c r="Z447" s="319"/>
    </row>
    <row r="448" spans="1:26" ht="16.399999999999999" hidden="1" customHeight="1">
      <c r="A448" s="29" t="str">
        <f t="shared" si="6"/>
        <v>modesg_inp_km_medios_emss_vclsmedia_km</v>
      </c>
      <c r="B448" s="141" t="s">
        <v>26</v>
      </c>
      <c r="C448" s="137" t="s">
        <v>181</v>
      </c>
      <c r="D448" s="133" t="s">
        <v>40</v>
      </c>
      <c r="E448" s="134" t="s">
        <v>213</v>
      </c>
      <c r="F448" s="470" t="s">
        <v>237</v>
      </c>
      <c r="G448" s="135" t="str">
        <f>VLOOKUP(A448,Plano_V3!$A$26:$G$768,7,0)</f>
        <v>1. Concluído</v>
      </c>
      <c r="H448" s="135" t="s">
        <v>612</v>
      </c>
      <c r="I448" s="467"/>
      <c r="J448" s="480"/>
      <c r="K448" s="480"/>
      <c r="L448" s="481"/>
      <c r="M448" s="481"/>
      <c r="N448" s="480"/>
      <c r="O448" s="142"/>
      <c r="P448" s="152" t="str">
        <f>IF(VLOOKUP(A448,'Aux - pivots1'!$A:$E,3,0)=0, "",VLOOKUP(A448,'Aux - pivots1'!$A:$E,3,0))</f>
        <v/>
      </c>
      <c r="Q448" s="152" t="str">
        <f>IF(VLOOKUP(A448,'Aux - pivots1'!$A:$E,4,0)=0, "",VLOOKUP(A448,'Aux - pivots1'!$A:$E,4,0))</f>
        <v/>
      </c>
      <c r="R448" s="152" t="str">
        <f>IF(VLOOKUP(A448,'Aux - pivots1'!$A:$E,5,0)=0, "",VLOOKUP(A448,'Aux - pivots1'!$A:$E,5,0))</f>
        <v/>
      </c>
      <c r="S448" s="198"/>
      <c r="T448" s="198"/>
      <c r="U448" s="198"/>
      <c r="V448" s="320"/>
      <c r="W448" s="320"/>
      <c r="X448" s="320"/>
      <c r="Y448" s="368" t="s">
        <v>2320</v>
      </c>
      <c r="Z448" s="319"/>
    </row>
    <row r="449" spans="1:26" ht="16.399999999999999" hidden="1" customHeight="1">
      <c r="A449" s="29" t="str">
        <f t="shared" si="6"/>
        <v>modesg_inp_empr_excl_parisref_date</v>
      </c>
      <c r="B449" s="141" t="s">
        <v>26</v>
      </c>
      <c r="C449" s="137" t="s">
        <v>181</v>
      </c>
      <c r="D449" s="133" t="s">
        <v>40</v>
      </c>
      <c r="E449" s="134" t="s">
        <v>214</v>
      </c>
      <c r="F449" s="470" t="s">
        <v>208</v>
      </c>
      <c r="G449" s="135" t="str">
        <f>VLOOKUP(A449,Plano_V3!$A$26:$G$768,7,0)</f>
        <v>1. Concluído</v>
      </c>
      <c r="H449" s="135" t="s">
        <v>612</v>
      </c>
      <c r="I449" s="467"/>
      <c r="J449" s="153"/>
      <c r="K449" s="153"/>
      <c r="L449" s="153"/>
      <c r="M449" s="153"/>
      <c r="N449" s="487"/>
      <c r="O449" s="153"/>
      <c r="P449" s="152" t="str">
        <f>IF(VLOOKUP(A449,'Aux - pivots1'!$A:$E,3,0)=0, "",VLOOKUP(A449,'Aux - pivots1'!$A:$E,3,0))</f>
        <v/>
      </c>
      <c r="Q449" s="152" t="str">
        <f>IF(VLOOKUP(A449,'Aux - pivots1'!$A:$E,4,0)=0, "",VLOOKUP(A449,'Aux - pivots1'!$A:$E,4,0))</f>
        <v/>
      </c>
      <c r="R449" s="152" t="str">
        <f>IF(VLOOKUP(A449,'Aux - pivots1'!$A:$E,5,0)=0, "",VLOOKUP(A449,'Aux - pivots1'!$A:$E,5,0))</f>
        <v/>
      </c>
      <c r="S449" s="198"/>
      <c r="T449" s="198"/>
      <c r="U449" s="198"/>
      <c r="V449" s="320"/>
      <c r="W449" s="320"/>
      <c r="X449" s="320"/>
      <c r="Y449" s="368" t="s">
        <v>2320</v>
      </c>
      <c r="Z449" s="319"/>
    </row>
    <row r="450" spans="1:26" ht="16.399999999999999" hidden="1" customHeight="1">
      <c r="A450" s="29" t="str">
        <f t="shared" si="6"/>
        <v>modesg_inp_empr_excl_parisisin</v>
      </c>
      <c r="B450" s="141" t="s">
        <v>26</v>
      </c>
      <c r="C450" s="137" t="s">
        <v>181</v>
      </c>
      <c r="D450" s="133" t="s">
        <v>40</v>
      </c>
      <c r="E450" s="134" t="s">
        <v>214</v>
      </c>
      <c r="F450" s="470" t="s">
        <v>238</v>
      </c>
      <c r="G450" s="135" t="str">
        <f>VLOOKUP(A450,Plano_V3!$A$26:$G$768,7,0)</f>
        <v>1. Concluído</v>
      </c>
      <c r="H450" s="135" t="s">
        <v>612</v>
      </c>
      <c r="I450" s="467"/>
      <c r="J450" s="153"/>
      <c r="K450" s="153"/>
      <c r="L450" s="153"/>
      <c r="M450" s="153"/>
      <c r="N450" s="487"/>
      <c r="O450" s="153"/>
      <c r="P450" s="152" t="str">
        <f>IF(VLOOKUP(A450,'Aux - pivots1'!$A:$E,3,0)=0, "",VLOOKUP(A450,'Aux - pivots1'!$A:$E,3,0))</f>
        <v/>
      </c>
      <c r="Q450" s="152" t="str">
        <f>IF(VLOOKUP(A450,'Aux - pivots1'!$A:$E,4,0)=0, "",VLOOKUP(A450,'Aux - pivots1'!$A:$E,4,0))</f>
        <v/>
      </c>
      <c r="R450" s="152" t="str">
        <f>IF(VLOOKUP(A450,'Aux - pivots1'!$A:$E,5,0)=0, "",VLOOKUP(A450,'Aux - pivots1'!$A:$E,5,0))</f>
        <v/>
      </c>
      <c r="S450" s="198"/>
      <c r="T450" s="198"/>
      <c r="U450" s="198"/>
      <c r="V450" s="320"/>
      <c r="W450" s="320"/>
      <c r="X450" s="320"/>
      <c r="Y450" s="368" t="s">
        <v>2320</v>
      </c>
      <c r="Z450" s="319"/>
    </row>
    <row r="451" spans="1:26" ht="16.399999999999999" hidden="1" customHeight="1">
      <c r="A451" s="29" t="str">
        <f t="shared" si="6"/>
        <v>modesg_inp_empr_excl_parisclei</v>
      </c>
      <c r="B451" s="141" t="s">
        <v>26</v>
      </c>
      <c r="C451" s="137" t="s">
        <v>181</v>
      </c>
      <c r="D451" s="133" t="s">
        <v>40</v>
      </c>
      <c r="E451" s="134" t="s">
        <v>214</v>
      </c>
      <c r="F451" s="470" t="s">
        <v>239</v>
      </c>
      <c r="G451" s="135" t="str">
        <f>VLOOKUP(A451,Plano_V3!$A$26:$G$768,7,0)</f>
        <v>1. Concluído</v>
      </c>
      <c r="H451" s="135" t="s">
        <v>612</v>
      </c>
      <c r="I451" s="467"/>
      <c r="J451" s="153"/>
      <c r="K451" s="153"/>
      <c r="L451" s="153"/>
      <c r="M451" s="153"/>
      <c r="N451" s="487"/>
      <c r="O451" s="153"/>
      <c r="P451" s="152" t="str">
        <f>IF(VLOOKUP(A451,'Aux - pivots1'!$A:$E,3,0)=0, "",VLOOKUP(A451,'Aux - pivots1'!$A:$E,3,0))</f>
        <v/>
      </c>
      <c r="Q451" s="152" t="str">
        <f>IF(VLOOKUP(A451,'Aux - pivots1'!$A:$E,4,0)=0, "",VLOOKUP(A451,'Aux - pivots1'!$A:$E,4,0))</f>
        <v/>
      </c>
      <c r="R451" s="152" t="str">
        <f>IF(VLOOKUP(A451,'Aux - pivots1'!$A:$E,5,0)=0, "",VLOOKUP(A451,'Aux - pivots1'!$A:$E,5,0))</f>
        <v/>
      </c>
      <c r="S451" s="198"/>
      <c r="T451" s="198"/>
      <c r="U451" s="198"/>
      <c r="V451" s="320"/>
      <c r="W451" s="320"/>
      <c r="X451" s="320"/>
      <c r="Y451" s="368" t="s">
        <v>2320</v>
      </c>
      <c r="Z451" s="319"/>
    </row>
    <row r="452" spans="1:26" ht="16.399999999999999" hidden="1" customHeight="1">
      <c r="A452" s="29" t="str">
        <f t="shared" si="6"/>
        <v>modesg_inp_empr_excl_parisccli_kgl</v>
      </c>
      <c r="B452" s="141" t="s">
        <v>26</v>
      </c>
      <c r="C452" s="137" t="s">
        <v>181</v>
      </c>
      <c r="D452" s="133" t="s">
        <v>40</v>
      </c>
      <c r="E452" s="134" t="s">
        <v>214</v>
      </c>
      <c r="F452" s="470" t="s">
        <v>240</v>
      </c>
      <c r="G452" s="135" t="str">
        <f>VLOOKUP(A452,Plano_V3!$A$26:$G$768,7,0)</f>
        <v>1. Concluído</v>
      </c>
      <c r="H452" s="135" t="s">
        <v>612</v>
      </c>
      <c r="I452" s="467"/>
      <c r="J452" s="153"/>
      <c r="K452" s="153"/>
      <c r="L452" s="153"/>
      <c r="M452" s="153"/>
      <c r="N452" s="487"/>
      <c r="O452" s="153"/>
      <c r="P452" s="152" t="str">
        <f>IF(VLOOKUP(A452,'Aux - pivots1'!$A:$E,3,0)=0, "",VLOOKUP(A452,'Aux - pivots1'!$A:$E,3,0))</f>
        <v/>
      </c>
      <c r="Q452" s="152" t="str">
        <f>IF(VLOOKUP(A452,'Aux - pivots1'!$A:$E,4,0)=0, "",VLOOKUP(A452,'Aux - pivots1'!$A:$E,4,0))</f>
        <v/>
      </c>
      <c r="R452" s="152" t="str">
        <f>IF(VLOOKUP(A452,'Aux - pivots1'!$A:$E,5,0)=0, "",VLOOKUP(A452,'Aux - pivots1'!$A:$E,5,0))</f>
        <v/>
      </c>
      <c r="S452" s="198"/>
      <c r="T452" s="198"/>
      <c r="U452" s="198"/>
      <c r="V452" s="320"/>
      <c r="W452" s="320"/>
      <c r="X452" s="320"/>
      <c r="Y452" s="368" t="s">
        <v>2320</v>
      </c>
      <c r="Z452" s="319"/>
    </row>
    <row r="453" spans="1:26" ht="16.399999999999999" hidden="1" customHeight="1">
      <c r="A453" s="29" t="str">
        <f t="shared" si="6"/>
        <v>modesg_inp_empr_excl_parisnome_entidade</v>
      </c>
      <c r="B453" s="141" t="s">
        <v>26</v>
      </c>
      <c r="C453" s="137" t="s">
        <v>181</v>
      </c>
      <c r="D453" s="133" t="s">
        <v>40</v>
      </c>
      <c r="E453" s="134" t="s">
        <v>214</v>
      </c>
      <c r="F453" s="470" t="s">
        <v>241</v>
      </c>
      <c r="G453" s="135" t="str">
        <f>VLOOKUP(A453,Plano_V3!$A$26:$G$768,7,0)</f>
        <v>1. Concluído</v>
      </c>
      <c r="H453" s="135" t="s">
        <v>612</v>
      </c>
      <c r="I453" s="467"/>
      <c r="J453" s="153"/>
      <c r="K453" s="153"/>
      <c r="L453" s="153"/>
      <c r="M453" s="153"/>
      <c r="N453" s="487"/>
      <c r="O453" s="153"/>
      <c r="P453" s="152" t="str">
        <f>IF(VLOOKUP(A453,'Aux - pivots1'!$A:$E,3,0)=0, "",VLOOKUP(A453,'Aux - pivots1'!$A:$E,3,0))</f>
        <v/>
      </c>
      <c r="Q453" s="152" t="str">
        <f>IF(VLOOKUP(A453,'Aux - pivots1'!$A:$E,4,0)=0, "",VLOOKUP(A453,'Aux - pivots1'!$A:$E,4,0))</f>
        <v/>
      </c>
      <c r="R453" s="152" t="str">
        <f>IF(VLOOKUP(A453,'Aux - pivots1'!$A:$E,5,0)=0, "",VLOOKUP(A453,'Aux - pivots1'!$A:$E,5,0))</f>
        <v/>
      </c>
      <c r="S453" s="198"/>
      <c r="T453" s="198"/>
      <c r="U453" s="198"/>
      <c r="V453" s="320"/>
      <c r="W453" s="320"/>
      <c r="X453" s="320"/>
      <c r="Y453" s="368" t="s">
        <v>2320</v>
      </c>
      <c r="Z453" s="319"/>
    </row>
    <row r="454" spans="1:26" ht="16.399999999999999" hidden="1" customHeight="1">
      <c r="A454" s="29" t="str">
        <f t="shared" si="6"/>
        <v>modesg_inp_empr_excl_parisflg_scib</v>
      </c>
      <c r="B454" s="141" t="s">
        <v>26</v>
      </c>
      <c r="C454" s="137" t="s">
        <v>181</v>
      </c>
      <c r="D454" s="133" t="s">
        <v>40</v>
      </c>
      <c r="E454" s="134" t="s">
        <v>214</v>
      </c>
      <c r="F454" s="470" t="s">
        <v>242</v>
      </c>
      <c r="G454" s="135" t="str">
        <f>VLOOKUP(A454,Plano_V3!$A$26:$G$768,7,0)</f>
        <v>1. Concluído</v>
      </c>
      <c r="H454" s="135" t="s">
        <v>612</v>
      </c>
      <c r="I454" s="467"/>
      <c r="J454" s="153"/>
      <c r="K454" s="153"/>
      <c r="L454" s="153"/>
      <c r="M454" s="153"/>
      <c r="N454" s="487"/>
      <c r="O454" s="153"/>
      <c r="P454" s="152" t="str">
        <f>IF(VLOOKUP(A454,'Aux - pivots1'!$A:$E,3,0)=0, "",VLOOKUP(A454,'Aux - pivots1'!$A:$E,3,0))</f>
        <v/>
      </c>
      <c r="Q454" s="152" t="str">
        <f>IF(VLOOKUP(A454,'Aux - pivots1'!$A:$E,4,0)=0, "",VLOOKUP(A454,'Aux - pivots1'!$A:$E,4,0))</f>
        <v/>
      </c>
      <c r="R454" s="152" t="str">
        <f>IF(VLOOKUP(A454,'Aux - pivots1'!$A:$E,5,0)=0, "",VLOOKUP(A454,'Aux - pivots1'!$A:$E,5,0))</f>
        <v/>
      </c>
      <c r="S454" s="198"/>
      <c r="T454" s="198"/>
      <c r="U454" s="198"/>
      <c r="V454" s="320"/>
      <c r="W454" s="320"/>
      <c r="X454" s="320"/>
      <c r="Y454" s="368" t="s">
        <v>2320</v>
      </c>
      <c r="Z454" s="319"/>
    </row>
    <row r="455" spans="1:26" ht="16.399999999999999" hidden="1" customHeight="1">
      <c r="A455" s="29" t="str">
        <f t="shared" si="6"/>
        <v>modesg_inp_empr_excl_parisnome_pais</v>
      </c>
      <c r="B455" s="141" t="s">
        <v>26</v>
      </c>
      <c r="C455" s="137" t="s">
        <v>181</v>
      </c>
      <c r="D455" s="133" t="s">
        <v>40</v>
      </c>
      <c r="E455" s="134" t="s">
        <v>214</v>
      </c>
      <c r="F455" s="470" t="s">
        <v>221</v>
      </c>
      <c r="G455" s="135" t="str">
        <f>VLOOKUP(A455,Plano_V3!$A$26:$G$768,7,0)</f>
        <v>1. Concluído</v>
      </c>
      <c r="H455" s="135" t="s">
        <v>612</v>
      </c>
      <c r="I455" s="467"/>
      <c r="J455" s="153"/>
      <c r="K455" s="153"/>
      <c r="L455" s="153"/>
      <c r="M455" s="153"/>
      <c r="N455" s="487"/>
      <c r="O455" s="153"/>
      <c r="P455" s="152" t="str">
        <f>IF(VLOOKUP(A455,'Aux - pivots1'!$A:$E,3,0)=0, "",VLOOKUP(A455,'Aux - pivots1'!$A:$E,3,0))</f>
        <v/>
      </c>
      <c r="Q455" s="152" t="str">
        <f>IF(VLOOKUP(A455,'Aux - pivots1'!$A:$E,4,0)=0, "",VLOOKUP(A455,'Aux - pivots1'!$A:$E,4,0))</f>
        <v/>
      </c>
      <c r="R455" s="152" t="str">
        <f>IF(VLOOKUP(A455,'Aux - pivots1'!$A:$E,5,0)=0, "",VLOOKUP(A455,'Aux - pivots1'!$A:$E,5,0))</f>
        <v/>
      </c>
      <c r="S455" s="198"/>
      <c r="T455" s="198"/>
      <c r="U455" s="198"/>
      <c r="V455" s="320"/>
      <c r="W455" s="320"/>
      <c r="X455" s="320"/>
      <c r="Y455" s="368" t="s">
        <v>2320</v>
      </c>
      <c r="Z455" s="319"/>
    </row>
    <row r="456" spans="1:26" ht="16.399999999999999" hidden="1" customHeight="1">
      <c r="A456" s="29" t="str">
        <f t="shared" si="6"/>
        <v>modesg_inp_nfrd_alinhamento_taxref_date</v>
      </c>
      <c r="B456" s="141" t="s">
        <v>26</v>
      </c>
      <c r="C456" s="137" t="s">
        <v>181</v>
      </c>
      <c r="D456" s="133" t="s">
        <v>40</v>
      </c>
      <c r="E456" s="134" t="s">
        <v>215</v>
      </c>
      <c r="F456" s="470" t="s">
        <v>208</v>
      </c>
      <c r="G456" s="135" t="str">
        <f>VLOOKUP(A456,Plano_V3!$A$26:$G$768,7,0)</f>
        <v>1. Concluído</v>
      </c>
      <c r="H456" s="135" t="s">
        <v>612</v>
      </c>
      <c r="I456" s="467"/>
      <c r="J456" s="142"/>
      <c r="K456" s="142"/>
      <c r="L456" s="153"/>
      <c r="M456" s="153"/>
      <c r="N456" s="142"/>
      <c r="O456" s="142"/>
      <c r="P456" s="152" t="str">
        <f>IF(VLOOKUP(A456,'Aux - pivots1'!$A:$E,3,0)=0, "",VLOOKUP(A456,'Aux - pivots1'!$A:$E,3,0))</f>
        <v/>
      </c>
      <c r="Q456" s="152" t="str">
        <f>IF(VLOOKUP(A456,'Aux - pivots1'!$A:$E,4,0)=0, "",VLOOKUP(A456,'Aux - pivots1'!$A:$E,4,0))</f>
        <v/>
      </c>
      <c r="R456" s="152" t="str">
        <f>IF(VLOOKUP(A456,'Aux - pivots1'!$A:$E,5,0)=0, "",VLOOKUP(A456,'Aux - pivots1'!$A:$E,5,0))</f>
        <v/>
      </c>
      <c r="S456" s="198"/>
      <c r="T456" s="198"/>
      <c r="U456" s="198"/>
      <c r="V456" s="320"/>
      <c r="W456" s="320"/>
      <c r="X456" s="320"/>
      <c r="Y456" s="368" t="s">
        <v>2320</v>
      </c>
      <c r="Z456" s="319"/>
    </row>
    <row r="457" spans="1:26" ht="16.399999999999999" hidden="1" customHeight="1">
      <c r="A457" s="29" t="str">
        <f t="shared" si="6"/>
        <v>modesg_inp_nfrd_alinhamento_taxccli_kgl</v>
      </c>
      <c r="B457" s="141" t="s">
        <v>26</v>
      </c>
      <c r="C457" s="137" t="s">
        <v>181</v>
      </c>
      <c r="D457" s="133" t="s">
        <v>40</v>
      </c>
      <c r="E457" s="134" t="s">
        <v>215</v>
      </c>
      <c r="F457" s="470" t="s">
        <v>240</v>
      </c>
      <c r="G457" s="135" t="str">
        <f>VLOOKUP(A457,Plano_V3!$A$26:$G$768,7,0)</f>
        <v>1. Concluído</v>
      </c>
      <c r="H457" s="135" t="s">
        <v>612</v>
      </c>
      <c r="I457" s="467"/>
      <c r="J457" s="142"/>
      <c r="K457" s="142"/>
      <c r="L457" s="153"/>
      <c r="M457" s="153"/>
      <c r="N457" s="142"/>
      <c r="O457" s="142"/>
      <c r="P457" s="152" t="str">
        <f>IF(VLOOKUP(A457,'Aux - pivots1'!$A:$E,3,0)=0, "",VLOOKUP(A457,'Aux - pivots1'!$A:$E,3,0))</f>
        <v/>
      </c>
      <c r="Q457" s="152" t="str">
        <f>IF(VLOOKUP(A457,'Aux - pivots1'!$A:$E,4,0)=0, "",VLOOKUP(A457,'Aux - pivots1'!$A:$E,4,0))</f>
        <v/>
      </c>
      <c r="R457" s="152" t="str">
        <f>IF(VLOOKUP(A457,'Aux - pivots1'!$A:$E,5,0)=0, "",VLOOKUP(A457,'Aux - pivots1'!$A:$E,5,0))</f>
        <v/>
      </c>
      <c r="S457" s="198"/>
      <c r="T457" s="198"/>
      <c r="U457" s="198"/>
      <c r="V457" s="320"/>
      <c r="W457" s="320"/>
      <c r="X457" s="320"/>
      <c r="Y457" s="368" t="s">
        <v>2320</v>
      </c>
      <c r="Z457" s="319"/>
    </row>
    <row r="458" spans="1:26" ht="16.399999999999999" hidden="1" customHeight="1">
      <c r="A458" s="29" t="str">
        <f t="shared" si="6"/>
        <v>modesg_inp_nfrd_alinhamento_taxclei</v>
      </c>
      <c r="B458" s="141" t="s">
        <v>26</v>
      </c>
      <c r="C458" s="137" t="s">
        <v>181</v>
      </c>
      <c r="D458" s="133" t="s">
        <v>40</v>
      </c>
      <c r="E458" s="134" t="s">
        <v>215</v>
      </c>
      <c r="F458" s="470" t="s">
        <v>239</v>
      </c>
      <c r="G458" s="135" t="str">
        <f>VLOOKUP(A458,Plano_V3!$A$26:$G$768,7,0)</f>
        <v>1. Concluído</v>
      </c>
      <c r="H458" s="135" t="s">
        <v>612</v>
      </c>
      <c r="I458" s="467"/>
      <c r="J458" s="142"/>
      <c r="K458" s="142"/>
      <c r="L458" s="153"/>
      <c r="M458" s="153"/>
      <c r="N458" s="142"/>
      <c r="O458" s="142"/>
      <c r="P458" s="152" t="str">
        <f>IF(VLOOKUP(A458,'Aux - pivots1'!$A:$E,3,0)=0, "",VLOOKUP(A458,'Aux - pivots1'!$A:$E,3,0))</f>
        <v/>
      </c>
      <c r="Q458" s="152" t="str">
        <f>IF(VLOOKUP(A458,'Aux - pivots1'!$A:$E,4,0)=0, "",VLOOKUP(A458,'Aux - pivots1'!$A:$E,4,0))</f>
        <v/>
      </c>
      <c r="R458" s="152" t="str">
        <f>IF(VLOOKUP(A458,'Aux - pivots1'!$A:$E,5,0)=0, "",VLOOKUP(A458,'Aux - pivots1'!$A:$E,5,0))</f>
        <v/>
      </c>
      <c r="S458" s="198"/>
      <c r="T458" s="198"/>
      <c r="U458" s="198"/>
      <c r="V458" s="320"/>
      <c r="W458" s="320"/>
      <c r="X458" s="320"/>
      <c r="Y458" s="368" t="s">
        <v>2320</v>
      </c>
      <c r="Z458" s="319"/>
    </row>
    <row r="459" spans="1:26" ht="16.399999999999999" hidden="1" customHeight="1">
      <c r="A459" s="29" t="str">
        <f t="shared" ref="A459:A524" si="7">E459&amp;F459</f>
        <v>modesg_inp_nfrd_alinhamento_taxperm_id</v>
      </c>
      <c r="B459" s="141" t="s">
        <v>26</v>
      </c>
      <c r="C459" s="137" t="s">
        <v>181</v>
      </c>
      <c r="D459" s="133" t="s">
        <v>40</v>
      </c>
      <c r="E459" s="134" t="s">
        <v>215</v>
      </c>
      <c r="F459" s="470" t="s">
        <v>243</v>
      </c>
      <c r="G459" s="135" t="str">
        <f>VLOOKUP(A459,Plano_V3!$A$26:$G$768,7,0)</f>
        <v>1. Concluído</v>
      </c>
      <c r="H459" s="135" t="s">
        <v>612</v>
      </c>
      <c r="I459" s="467"/>
      <c r="J459" s="142"/>
      <c r="K459" s="142"/>
      <c r="L459" s="153"/>
      <c r="M459" s="153"/>
      <c r="N459" s="142"/>
      <c r="O459" s="142"/>
      <c r="P459" s="152" t="str">
        <f>IF(VLOOKUP(A459,'Aux - pivots1'!$A:$E,3,0)=0, "",VLOOKUP(A459,'Aux - pivots1'!$A:$E,3,0))</f>
        <v/>
      </c>
      <c r="Q459" s="152" t="str">
        <f>IF(VLOOKUP(A459,'Aux - pivots1'!$A:$E,4,0)=0, "",VLOOKUP(A459,'Aux - pivots1'!$A:$E,4,0))</f>
        <v/>
      </c>
      <c r="R459" s="152" t="str">
        <f>IF(VLOOKUP(A459,'Aux - pivots1'!$A:$E,5,0)=0, "",VLOOKUP(A459,'Aux - pivots1'!$A:$E,5,0))</f>
        <v/>
      </c>
      <c r="S459" s="198"/>
      <c r="T459" s="198"/>
      <c r="U459" s="198"/>
      <c r="V459" s="320"/>
      <c r="W459" s="320"/>
      <c r="X459" s="320"/>
      <c r="Y459" s="368" t="s">
        <v>2320</v>
      </c>
      <c r="Z459" s="319"/>
    </row>
    <row r="460" spans="1:26" ht="16.399999999999999" hidden="1" customHeight="1">
      <c r="A460" s="29" t="str">
        <f t="shared" si="7"/>
        <v>modesg_inp_nfrd_alinhamento_taxnome_entidade</v>
      </c>
      <c r="B460" s="141" t="s">
        <v>26</v>
      </c>
      <c r="C460" s="137" t="s">
        <v>181</v>
      </c>
      <c r="D460" s="133" t="s">
        <v>40</v>
      </c>
      <c r="E460" s="134" t="s">
        <v>215</v>
      </c>
      <c r="F460" s="470" t="s">
        <v>241</v>
      </c>
      <c r="G460" s="135" t="str">
        <f>VLOOKUP(A460,Plano_V3!$A$26:$G$768,7,0)</f>
        <v>1. Concluído</v>
      </c>
      <c r="H460" s="135" t="s">
        <v>612</v>
      </c>
      <c r="I460" s="467"/>
      <c r="J460" s="142"/>
      <c r="K460" s="142"/>
      <c r="L460" s="153"/>
      <c r="M460" s="153"/>
      <c r="N460" s="142"/>
      <c r="O460" s="142"/>
      <c r="P460" s="152" t="str">
        <f>IF(VLOOKUP(A460,'Aux - pivots1'!$A:$E,3,0)=0, "",VLOOKUP(A460,'Aux - pivots1'!$A:$E,3,0))</f>
        <v/>
      </c>
      <c r="Q460" s="152" t="str">
        <f>IF(VLOOKUP(A460,'Aux - pivots1'!$A:$E,4,0)=0, "",VLOOKUP(A460,'Aux - pivots1'!$A:$E,4,0))</f>
        <v/>
      </c>
      <c r="R460" s="152" t="str">
        <f>IF(VLOOKUP(A460,'Aux - pivots1'!$A:$E,5,0)=0, "",VLOOKUP(A460,'Aux - pivots1'!$A:$E,5,0))</f>
        <v/>
      </c>
      <c r="S460" s="198"/>
      <c r="T460" s="198"/>
      <c r="U460" s="198"/>
      <c r="V460" s="320"/>
      <c r="W460" s="320"/>
      <c r="X460" s="320"/>
      <c r="Y460" s="368" t="s">
        <v>2320</v>
      </c>
      <c r="Z460" s="319"/>
    </row>
    <row r="461" spans="1:26" ht="16.399999999999999" hidden="1" customHeight="1">
      <c r="A461" s="29" t="str">
        <f t="shared" si="7"/>
        <v>modesg_inp_nfrd_alinhamento_taxnome_pais</v>
      </c>
      <c r="B461" s="141" t="s">
        <v>26</v>
      </c>
      <c r="C461" s="137" t="s">
        <v>181</v>
      </c>
      <c r="D461" s="133" t="s">
        <v>40</v>
      </c>
      <c r="E461" s="134" t="s">
        <v>215</v>
      </c>
      <c r="F461" s="470" t="s">
        <v>221</v>
      </c>
      <c r="G461" s="135" t="str">
        <f>VLOOKUP(A461,Plano_V3!$A$26:$G$768,7,0)</f>
        <v>1. Concluído</v>
      </c>
      <c r="H461" s="135" t="s">
        <v>612</v>
      </c>
      <c r="I461" s="467"/>
      <c r="J461" s="143"/>
      <c r="K461" s="143"/>
      <c r="L461" s="489"/>
      <c r="M461" s="489"/>
      <c r="N461" s="143"/>
      <c r="O461" s="143"/>
      <c r="P461" s="152" t="str">
        <f>IF(VLOOKUP(A461,'Aux - pivots1'!$A:$E,3,0)=0, "",VLOOKUP(A461,'Aux - pivots1'!$A:$E,3,0))</f>
        <v/>
      </c>
      <c r="Q461" s="152" t="str">
        <f>IF(VLOOKUP(A461,'Aux - pivots1'!$A:$E,4,0)=0, "",VLOOKUP(A461,'Aux - pivots1'!$A:$E,4,0))</f>
        <v/>
      </c>
      <c r="R461" s="152" t="str">
        <f>IF(VLOOKUP(A461,'Aux - pivots1'!$A:$E,5,0)=0, "",VLOOKUP(A461,'Aux - pivots1'!$A:$E,5,0))</f>
        <v/>
      </c>
      <c r="S461" s="198"/>
      <c r="T461" s="198"/>
      <c r="U461" s="198"/>
      <c r="V461" s="320"/>
      <c r="W461" s="320"/>
      <c r="X461" s="320"/>
      <c r="Y461" s="368" t="s">
        <v>2320</v>
      </c>
      <c r="Z461" s="319"/>
    </row>
    <row r="462" spans="1:26" ht="16.399999999999999" hidden="1" customHeight="1">
      <c r="A462" s="29" t="str">
        <f t="shared" si="7"/>
        <v>modesg_inp_nfrd_alinhamento_taxflg_nfrd</v>
      </c>
      <c r="B462" s="141" t="s">
        <v>26</v>
      </c>
      <c r="C462" s="137" t="s">
        <v>181</v>
      </c>
      <c r="D462" s="133" t="s">
        <v>40</v>
      </c>
      <c r="E462" s="134" t="s">
        <v>215</v>
      </c>
      <c r="F462" s="470" t="s">
        <v>244</v>
      </c>
      <c r="G462" s="135" t="str">
        <f>VLOOKUP(A462,Plano_V3!$A$26:$G$768,7,0)</f>
        <v>1. Concluído</v>
      </c>
      <c r="H462" s="135" t="s">
        <v>612</v>
      </c>
      <c r="I462" s="467"/>
      <c r="J462" s="142"/>
      <c r="K462" s="142"/>
      <c r="L462" s="153"/>
      <c r="M462" s="153"/>
      <c r="N462" s="142"/>
      <c r="O462" s="142"/>
      <c r="P462" s="152" t="str">
        <f>IF(VLOOKUP(A462,'Aux - pivots1'!$A:$E,3,0)=0, "",VLOOKUP(A462,'Aux - pivots1'!$A:$E,3,0))</f>
        <v/>
      </c>
      <c r="Q462" s="152" t="str">
        <f>IF(VLOOKUP(A462,'Aux - pivots1'!$A:$E,4,0)=0, "",VLOOKUP(A462,'Aux - pivots1'!$A:$E,4,0))</f>
        <v/>
      </c>
      <c r="R462" s="152" t="str">
        <f>IF(VLOOKUP(A462,'Aux - pivots1'!$A:$E,5,0)=0, "",VLOOKUP(A462,'Aux - pivots1'!$A:$E,5,0))</f>
        <v/>
      </c>
      <c r="S462" s="198"/>
      <c r="T462" s="198"/>
      <c r="U462" s="198"/>
      <c r="V462" s="320"/>
      <c r="W462" s="320"/>
      <c r="X462" s="320"/>
      <c r="Y462" s="368" t="s">
        <v>2320</v>
      </c>
      <c r="Z462" s="319"/>
    </row>
    <row r="463" spans="1:26" ht="16.399999999999999" hidden="1" customHeight="1">
      <c r="A463" s="29" t="str">
        <f t="shared" si="7"/>
        <v>modesg_inp_nfrd_alinhamento_taxcca_trnvr_ttl_elgbl</v>
      </c>
      <c r="B463" s="141" t="s">
        <v>26</v>
      </c>
      <c r="C463" s="137" t="s">
        <v>181</v>
      </c>
      <c r="D463" s="133" t="s">
        <v>40</v>
      </c>
      <c r="E463" s="134" t="s">
        <v>215</v>
      </c>
      <c r="F463" s="470" t="s">
        <v>245</v>
      </c>
      <c r="G463" s="135" t="str">
        <f>VLOOKUP(A463,Plano_V3!$A$26:$G$768,7,0)</f>
        <v>1. Concluído</v>
      </c>
      <c r="H463" s="135" t="s">
        <v>612</v>
      </c>
      <c r="I463" s="467"/>
      <c r="J463" s="142"/>
      <c r="K463" s="142"/>
      <c r="L463" s="153"/>
      <c r="M463" s="153"/>
      <c r="N463" s="142"/>
      <c r="O463" s="142"/>
      <c r="P463" s="152" t="str">
        <f>IF(VLOOKUP(A463,'Aux - pivots1'!$A:$E,3,0)=0, "",VLOOKUP(A463,'Aux - pivots1'!$A:$E,3,0))</f>
        <v/>
      </c>
      <c r="Q463" s="152" t="str">
        <f>IF(VLOOKUP(A463,'Aux - pivots1'!$A:$E,4,0)=0, "",VLOOKUP(A463,'Aux - pivots1'!$A:$E,4,0))</f>
        <v/>
      </c>
      <c r="R463" s="152" t="str">
        <f>IF(VLOOKUP(A463,'Aux - pivots1'!$A:$E,5,0)=0, "",VLOOKUP(A463,'Aux - pivots1'!$A:$E,5,0))</f>
        <v/>
      </c>
      <c r="S463" s="198"/>
      <c r="T463" s="198"/>
      <c r="U463" s="198"/>
      <c r="V463" s="320"/>
      <c r="W463" s="320"/>
      <c r="X463" s="320"/>
      <c r="Y463" s="368" t="s">
        <v>2320</v>
      </c>
      <c r="Z463" s="319"/>
    </row>
    <row r="464" spans="1:26" ht="16.399999999999999" hidden="1" customHeight="1">
      <c r="A464" s="29" t="str">
        <f t="shared" si="7"/>
        <v>modesg_inp_nfrd_alinhamento_taxcca_trnvr_enblng_alignd</v>
      </c>
      <c r="B464" s="141" t="s">
        <v>26</v>
      </c>
      <c r="C464" s="137" t="s">
        <v>181</v>
      </c>
      <c r="D464" s="133" t="s">
        <v>40</v>
      </c>
      <c r="E464" s="134" t="s">
        <v>215</v>
      </c>
      <c r="F464" s="470" t="s">
        <v>246</v>
      </c>
      <c r="G464" s="135" t="str">
        <f>VLOOKUP(A464,Plano_V3!$A$26:$G$768,7,0)</f>
        <v>1. Concluído</v>
      </c>
      <c r="H464" s="135" t="s">
        <v>612</v>
      </c>
      <c r="I464" s="467"/>
      <c r="J464" s="142"/>
      <c r="K464" s="142"/>
      <c r="L464" s="153"/>
      <c r="M464" s="153"/>
      <c r="N464" s="142"/>
      <c r="O464" s="142"/>
      <c r="P464" s="152" t="str">
        <f>IF(VLOOKUP(A464,'Aux - pivots1'!$A:$E,3,0)=0, "",VLOOKUP(A464,'Aux - pivots1'!$A:$E,3,0))</f>
        <v/>
      </c>
      <c r="Q464" s="152" t="str">
        <f>IF(VLOOKUP(A464,'Aux - pivots1'!$A:$E,4,0)=0, "",VLOOKUP(A464,'Aux - pivots1'!$A:$E,4,0))</f>
        <v/>
      </c>
      <c r="R464" s="152" t="str">
        <f>IF(VLOOKUP(A464,'Aux - pivots1'!$A:$E,5,0)=0, "",VLOOKUP(A464,'Aux - pivots1'!$A:$E,5,0))</f>
        <v/>
      </c>
      <c r="S464" s="198"/>
      <c r="T464" s="198"/>
      <c r="U464" s="198"/>
      <c r="V464" s="320"/>
      <c r="W464" s="320"/>
      <c r="X464" s="320"/>
      <c r="Y464" s="368" t="s">
        <v>2320</v>
      </c>
      <c r="Z464" s="319"/>
    </row>
    <row r="465" spans="1:26" ht="16.399999999999999" hidden="1" customHeight="1">
      <c r="A465" s="29" t="str">
        <f t="shared" si="7"/>
        <v>modesg_inp_nfrd_alinhamento_taxcca_turnover_own_prfrmnce_algnd</v>
      </c>
      <c r="B465" s="141" t="s">
        <v>26</v>
      </c>
      <c r="C465" s="137" t="s">
        <v>181</v>
      </c>
      <c r="D465" s="133" t="s">
        <v>40</v>
      </c>
      <c r="E465" s="134" t="s">
        <v>215</v>
      </c>
      <c r="F465" s="470" t="s">
        <v>247</v>
      </c>
      <c r="G465" s="135" t="str">
        <f>VLOOKUP(A465,Plano_V3!$A$26:$G$768,7,0)</f>
        <v>1. Concluído</v>
      </c>
      <c r="H465" s="135" t="s">
        <v>612</v>
      </c>
      <c r="I465" s="467"/>
      <c r="J465" s="142"/>
      <c r="K465" s="142"/>
      <c r="L465" s="153"/>
      <c r="M465" s="153"/>
      <c r="N465" s="142"/>
      <c r="O465" s="142"/>
      <c r="P465" s="152" t="str">
        <f>IF(VLOOKUP(A465,'Aux - pivots1'!$A:$E,3,0)=0, "",VLOOKUP(A465,'Aux - pivots1'!$A:$E,3,0))</f>
        <v/>
      </c>
      <c r="Q465" s="152" t="str">
        <f>IF(VLOOKUP(A465,'Aux - pivots1'!$A:$E,4,0)=0, "",VLOOKUP(A465,'Aux - pivots1'!$A:$E,4,0))</f>
        <v/>
      </c>
      <c r="R465" s="152" t="str">
        <f>IF(VLOOKUP(A465,'Aux - pivots1'!$A:$E,5,0)=0, "",VLOOKUP(A465,'Aux - pivots1'!$A:$E,5,0))</f>
        <v/>
      </c>
      <c r="S465" s="198"/>
      <c r="T465" s="198"/>
      <c r="U465" s="198"/>
      <c r="V465" s="320"/>
      <c r="W465" s="320"/>
      <c r="X465" s="320"/>
      <c r="Y465" s="368" t="s">
        <v>2320</v>
      </c>
      <c r="Z465" s="319"/>
    </row>
    <row r="466" spans="1:26" ht="16.399999999999999" hidden="1" customHeight="1">
      <c r="A466" s="29" t="str">
        <f t="shared" si="7"/>
        <v>modesg_inp_nfrd_alinhamento_taxcca_capex_ttl_elgbl</v>
      </c>
      <c r="B466" s="141" t="s">
        <v>26</v>
      </c>
      <c r="C466" s="137" t="s">
        <v>181</v>
      </c>
      <c r="D466" s="133" t="s">
        <v>40</v>
      </c>
      <c r="E466" s="134" t="s">
        <v>215</v>
      </c>
      <c r="F466" s="470" t="s">
        <v>248</v>
      </c>
      <c r="G466" s="135" t="str">
        <f>VLOOKUP(A466,Plano_V3!$A$26:$G$768,7,0)</f>
        <v>1. Concluído</v>
      </c>
      <c r="H466" s="135" t="s">
        <v>612</v>
      </c>
      <c r="I466" s="467"/>
      <c r="J466" s="142"/>
      <c r="K466" s="142"/>
      <c r="L466" s="153"/>
      <c r="M466" s="153"/>
      <c r="N466" s="142"/>
      <c r="O466" s="142"/>
      <c r="P466" s="152" t="str">
        <f>IF(VLOOKUP(A466,'Aux - pivots1'!$A:$E,3,0)=0, "",VLOOKUP(A466,'Aux - pivots1'!$A:$E,3,0))</f>
        <v/>
      </c>
      <c r="Q466" s="152" t="str">
        <f>IF(VLOOKUP(A466,'Aux - pivots1'!$A:$E,4,0)=0, "",VLOOKUP(A466,'Aux - pivots1'!$A:$E,4,0))</f>
        <v/>
      </c>
      <c r="R466" s="152" t="str">
        <f>IF(VLOOKUP(A466,'Aux - pivots1'!$A:$E,5,0)=0, "",VLOOKUP(A466,'Aux - pivots1'!$A:$E,5,0))</f>
        <v/>
      </c>
      <c r="S466" s="198"/>
      <c r="T466" s="198"/>
      <c r="U466" s="198"/>
      <c r="V466" s="320"/>
      <c r="W466" s="320"/>
      <c r="X466" s="320"/>
      <c r="Y466" s="368" t="s">
        <v>2320</v>
      </c>
      <c r="Z466" s="319"/>
    </row>
    <row r="467" spans="1:26" ht="16.399999999999999" hidden="1" customHeight="1">
      <c r="A467" s="29" t="str">
        <f t="shared" si="7"/>
        <v>modesg_inp_nfrd_alinhamento_taxcca_capex_enblng_algnd</v>
      </c>
      <c r="B467" s="141" t="s">
        <v>26</v>
      </c>
      <c r="C467" s="137" t="s">
        <v>181</v>
      </c>
      <c r="D467" s="133" t="s">
        <v>40</v>
      </c>
      <c r="E467" s="134" t="s">
        <v>215</v>
      </c>
      <c r="F467" s="470" t="s">
        <v>249</v>
      </c>
      <c r="G467" s="135" t="str">
        <f>VLOOKUP(A467,Plano_V3!$A$26:$G$768,7,0)</f>
        <v>1. Concluído</v>
      </c>
      <c r="H467" s="135" t="s">
        <v>612</v>
      </c>
      <c r="I467" s="467"/>
      <c r="J467" s="142"/>
      <c r="K467" s="142"/>
      <c r="L467" s="153"/>
      <c r="M467" s="153"/>
      <c r="N467" s="142"/>
      <c r="O467" s="142"/>
      <c r="P467" s="152" t="str">
        <f>IF(VLOOKUP(A467,'Aux - pivots1'!$A:$E,3,0)=0, "",VLOOKUP(A467,'Aux - pivots1'!$A:$E,3,0))</f>
        <v/>
      </c>
      <c r="Q467" s="152" t="str">
        <f>IF(VLOOKUP(A467,'Aux - pivots1'!$A:$E,4,0)=0, "",VLOOKUP(A467,'Aux - pivots1'!$A:$E,4,0))</f>
        <v/>
      </c>
      <c r="R467" s="152" t="str">
        <f>IF(VLOOKUP(A467,'Aux - pivots1'!$A:$E,5,0)=0, "",VLOOKUP(A467,'Aux - pivots1'!$A:$E,5,0))</f>
        <v/>
      </c>
      <c r="S467" s="198"/>
      <c r="T467" s="198"/>
      <c r="U467" s="198"/>
      <c r="V467" s="320"/>
      <c r="W467" s="320"/>
      <c r="X467" s="320"/>
      <c r="Y467" s="368" t="s">
        <v>2320</v>
      </c>
      <c r="Z467" s="319"/>
    </row>
    <row r="468" spans="1:26" ht="16.399999999999999" hidden="1" customHeight="1">
      <c r="A468" s="29" t="str">
        <f t="shared" si="7"/>
        <v>modesg_inp_nfrd_alinhamento_taxcca_capex_own_prfrmnce_algnd</v>
      </c>
      <c r="B468" s="141" t="s">
        <v>26</v>
      </c>
      <c r="C468" s="137" t="s">
        <v>181</v>
      </c>
      <c r="D468" s="133" t="s">
        <v>40</v>
      </c>
      <c r="E468" s="134" t="s">
        <v>215</v>
      </c>
      <c r="F468" s="470" t="s">
        <v>250</v>
      </c>
      <c r="G468" s="135" t="str">
        <f>VLOOKUP(A468,Plano_V3!$A$26:$G$768,7,0)</f>
        <v>1. Concluído</v>
      </c>
      <c r="H468" s="135" t="s">
        <v>612</v>
      </c>
      <c r="I468" s="467"/>
      <c r="J468" s="142"/>
      <c r="K468" s="142"/>
      <c r="L468" s="153"/>
      <c r="M468" s="153"/>
      <c r="N468" s="142"/>
      <c r="O468" s="142"/>
      <c r="P468" s="152" t="str">
        <f>IF(VLOOKUP(A468,'Aux - pivots1'!$A:$E,3,0)=0, "",VLOOKUP(A468,'Aux - pivots1'!$A:$E,3,0))</f>
        <v/>
      </c>
      <c r="Q468" s="152" t="str">
        <f>IF(VLOOKUP(A468,'Aux - pivots1'!$A:$E,4,0)=0, "",VLOOKUP(A468,'Aux - pivots1'!$A:$E,4,0))</f>
        <v/>
      </c>
      <c r="R468" s="152" t="str">
        <f>IF(VLOOKUP(A468,'Aux - pivots1'!$A:$E,5,0)=0, "",VLOOKUP(A468,'Aux - pivots1'!$A:$E,5,0))</f>
        <v/>
      </c>
      <c r="S468" s="198"/>
      <c r="T468" s="198"/>
      <c r="U468" s="198"/>
      <c r="V468" s="320"/>
      <c r="W468" s="320"/>
      <c r="X468" s="320"/>
      <c r="Y468" s="368" t="s">
        <v>2320</v>
      </c>
      <c r="Z468" s="319"/>
    </row>
    <row r="469" spans="1:26" ht="16.399999999999999" hidden="1" customHeight="1">
      <c r="A469" s="29" t="str">
        <f t="shared" si="7"/>
        <v>modesg_inp_nfrd_alinhamento_taxccm_trnvr_ttl_elgbl</v>
      </c>
      <c r="B469" s="141" t="s">
        <v>26</v>
      </c>
      <c r="C469" s="137" t="s">
        <v>181</v>
      </c>
      <c r="D469" s="133" t="s">
        <v>40</v>
      </c>
      <c r="E469" s="134" t="s">
        <v>215</v>
      </c>
      <c r="F469" s="470" t="s">
        <v>251</v>
      </c>
      <c r="G469" s="135" t="str">
        <f>VLOOKUP(A469,Plano_V3!$A$26:$G$768,7,0)</f>
        <v>1. Concluído</v>
      </c>
      <c r="H469" s="135" t="s">
        <v>612</v>
      </c>
      <c r="I469" s="467"/>
      <c r="J469" s="142"/>
      <c r="K469" s="142"/>
      <c r="L469" s="153"/>
      <c r="M469" s="153"/>
      <c r="N469" s="142"/>
      <c r="O469" s="142"/>
      <c r="P469" s="152" t="str">
        <f>IF(VLOOKUP(A469,'Aux - pivots1'!$A:$E,3,0)=0, "",VLOOKUP(A469,'Aux - pivots1'!$A:$E,3,0))</f>
        <v/>
      </c>
      <c r="Q469" s="152" t="str">
        <f>IF(VLOOKUP(A469,'Aux - pivots1'!$A:$E,4,0)=0, "",VLOOKUP(A469,'Aux - pivots1'!$A:$E,4,0))</f>
        <v/>
      </c>
      <c r="R469" s="152" t="str">
        <f>IF(VLOOKUP(A469,'Aux - pivots1'!$A:$E,5,0)=0, "",VLOOKUP(A469,'Aux - pivots1'!$A:$E,5,0))</f>
        <v/>
      </c>
      <c r="S469" s="198"/>
      <c r="T469" s="198"/>
      <c r="U469" s="198"/>
      <c r="V469" s="320"/>
      <c r="W469" s="320"/>
      <c r="X469" s="320"/>
      <c r="Y469" s="368" t="s">
        <v>2320</v>
      </c>
      <c r="Z469" s="319"/>
    </row>
    <row r="470" spans="1:26" ht="16.399999999999999" hidden="1" customHeight="1">
      <c r="A470" s="29" t="str">
        <f t="shared" si="7"/>
        <v>modesg_inp_nfrd_alinhamento_taxccm_trnvr_enblng_algnd</v>
      </c>
      <c r="B470" s="141" t="s">
        <v>26</v>
      </c>
      <c r="C470" s="137" t="s">
        <v>181</v>
      </c>
      <c r="D470" s="133" t="s">
        <v>40</v>
      </c>
      <c r="E470" s="134" t="s">
        <v>215</v>
      </c>
      <c r="F470" s="470" t="s">
        <v>252</v>
      </c>
      <c r="G470" s="135" t="str">
        <f>VLOOKUP(A470,Plano_V3!$A$26:$G$768,7,0)</f>
        <v>1. Concluído</v>
      </c>
      <c r="H470" s="135" t="s">
        <v>612</v>
      </c>
      <c r="I470" s="467"/>
      <c r="J470" s="142"/>
      <c r="K470" s="142"/>
      <c r="L470" s="153"/>
      <c r="M470" s="153"/>
      <c r="N470" s="142"/>
      <c r="O470" s="142"/>
      <c r="P470" s="152" t="str">
        <f>IF(VLOOKUP(A470,'Aux - pivots1'!$A:$E,3,0)=0, "",VLOOKUP(A470,'Aux - pivots1'!$A:$E,3,0))</f>
        <v/>
      </c>
      <c r="Q470" s="152" t="str">
        <f>IF(VLOOKUP(A470,'Aux - pivots1'!$A:$E,4,0)=0, "",VLOOKUP(A470,'Aux - pivots1'!$A:$E,4,0))</f>
        <v/>
      </c>
      <c r="R470" s="152" t="str">
        <f>IF(VLOOKUP(A470,'Aux - pivots1'!$A:$E,5,0)=0, "",VLOOKUP(A470,'Aux - pivots1'!$A:$E,5,0))</f>
        <v/>
      </c>
      <c r="S470" s="198"/>
      <c r="T470" s="198"/>
      <c r="U470" s="198"/>
      <c r="V470" s="320"/>
      <c r="W470" s="320"/>
      <c r="X470" s="320"/>
      <c r="Y470" s="368" t="s">
        <v>2320</v>
      </c>
      <c r="Z470" s="319"/>
    </row>
    <row r="471" spans="1:26" ht="16.399999999999999" hidden="1" customHeight="1">
      <c r="A471" s="29" t="str">
        <f t="shared" si="7"/>
        <v>modesg_inp_nfrd_alinhamento_taxccm_trnvr_trnstn_alignd</v>
      </c>
      <c r="B471" s="141" t="s">
        <v>26</v>
      </c>
      <c r="C471" s="137" t="s">
        <v>181</v>
      </c>
      <c r="D471" s="133" t="s">
        <v>40</v>
      </c>
      <c r="E471" s="134" t="s">
        <v>215</v>
      </c>
      <c r="F471" s="470" t="s">
        <v>253</v>
      </c>
      <c r="G471" s="135" t="str">
        <f>VLOOKUP(A471,Plano_V3!$A$26:$G$768,7,0)</f>
        <v>1. Concluído</v>
      </c>
      <c r="H471" s="135" t="s">
        <v>612</v>
      </c>
      <c r="I471" s="467"/>
      <c r="J471" s="142"/>
      <c r="K471" s="142"/>
      <c r="L471" s="153"/>
      <c r="M471" s="153"/>
      <c r="N471" s="142"/>
      <c r="O471" s="135"/>
      <c r="P471" s="152" t="str">
        <f>IF(VLOOKUP(A471,'Aux - pivots1'!$A:$E,3,0)=0, "",VLOOKUP(A471,'Aux - pivots1'!$A:$E,3,0))</f>
        <v/>
      </c>
      <c r="Q471" s="152" t="str">
        <f>IF(VLOOKUP(A471,'Aux - pivots1'!$A:$E,4,0)=0, "",VLOOKUP(A471,'Aux - pivots1'!$A:$E,4,0))</f>
        <v/>
      </c>
      <c r="R471" s="152" t="str">
        <f>IF(VLOOKUP(A471,'Aux - pivots1'!$A:$E,5,0)=0, "",VLOOKUP(A471,'Aux - pivots1'!$A:$E,5,0))</f>
        <v/>
      </c>
      <c r="S471" s="198"/>
      <c r="T471" s="198"/>
      <c r="U471" s="198"/>
      <c r="V471" s="320"/>
      <c r="W471" s="320"/>
      <c r="X471" s="320"/>
      <c r="Y471" s="368" t="s">
        <v>2320</v>
      </c>
      <c r="Z471" s="319"/>
    </row>
    <row r="472" spans="1:26" ht="16.399999999999999" hidden="1" customHeight="1">
      <c r="A472" s="29" t="str">
        <f t="shared" si="7"/>
        <v>modesg_inp_nfrd_alinhamento_taxccm_trnvr_own_prfrmnce_algnd</v>
      </c>
      <c r="B472" s="141" t="s">
        <v>26</v>
      </c>
      <c r="C472" s="137" t="s">
        <v>181</v>
      </c>
      <c r="D472" s="133" t="s">
        <v>40</v>
      </c>
      <c r="E472" s="134" t="s">
        <v>215</v>
      </c>
      <c r="F472" s="470" t="s">
        <v>254</v>
      </c>
      <c r="G472" s="135" t="str">
        <f>VLOOKUP(A472,Plano_V3!$A$26:$G$768,7,0)</f>
        <v>1. Concluído</v>
      </c>
      <c r="H472" s="135" t="s">
        <v>612</v>
      </c>
      <c r="I472" s="467"/>
      <c r="J472" s="142"/>
      <c r="K472" s="142"/>
      <c r="L472" s="153"/>
      <c r="M472" s="153"/>
      <c r="N472" s="142"/>
      <c r="O472" s="142"/>
      <c r="P472" s="152" t="str">
        <f>IF(VLOOKUP(A472,'Aux - pivots1'!$A:$E,3,0)=0, "",VLOOKUP(A472,'Aux - pivots1'!$A:$E,3,0))</f>
        <v/>
      </c>
      <c r="Q472" s="152" t="str">
        <f>IF(VLOOKUP(A472,'Aux - pivots1'!$A:$E,4,0)=0, "",VLOOKUP(A472,'Aux - pivots1'!$A:$E,4,0))</f>
        <v/>
      </c>
      <c r="R472" s="152" t="str">
        <f>IF(VLOOKUP(A472,'Aux - pivots1'!$A:$E,5,0)=0, "",VLOOKUP(A472,'Aux - pivots1'!$A:$E,5,0))</f>
        <v/>
      </c>
      <c r="S472" s="198"/>
      <c r="T472" s="198"/>
      <c r="U472" s="198"/>
      <c r="V472" s="320"/>
      <c r="W472" s="320"/>
      <c r="X472" s="320"/>
      <c r="Y472" s="368" t="s">
        <v>2320</v>
      </c>
      <c r="Z472" s="319"/>
    </row>
    <row r="473" spans="1:26" ht="16.399999999999999" hidden="1" customHeight="1">
      <c r="A473" s="29" t="str">
        <f t="shared" si="7"/>
        <v>modesg_inp_nfrd_alinhamento_taxccm_capex_ttl_elgbl</v>
      </c>
      <c r="B473" s="141" t="s">
        <v>26</v>
      </c>
      <c r="C473" s="137" t="s">
        <v>181</v>
      </c>
      <c r="D473" s="133" t="s">
        <v>40</v>
      </c>
      <c r="E473" s="134" t="s">
        <v>215</v>
      </c>
      <c r="F473" s="470" t="s">
        <v>255</v>
      </c>
      <c r="G473" s="135" t="str">
        <f>VLOOKUP(A473,Plano_V3!$A$26:$G$768,7,0)</f>
        <v>1. Concluído</v>
      </c>
      <c r="H473" s="135" t="s">
        <v>612</v>
      </c>
      <c r="I473" s="467"/>
      <c r="J473" s="142"/>
      <c r="K473" s="142"/>
      <c r="L473" s="153"/>
      <c r="M473" s="153"/>
      <c r="N473" s="142"/>
      <c r="O473" s="142"/>
      <c r="P473" s="152" t="str">
        <f>IF(VLOOKUP(A473,'Aux - pivots1'!$A:$E,3,0)=0, "",VLOOKUP(A473,'Aux - pivots1'!$A:$E,3,0))</f>
        <v/>
      </c>
      <c r="Q473" s="152" t="str">
        <f>IF(VLOOKUP(A473,'Aux - pivots1'!$A:$E,4,0)=0, "",VLOOKUP(A473,'Aux - pivots1'!$A:$E,4,0))</f>
        <v/>
      </c>
      <c r="R473" s="152" t="str">
        <f>IF(VLOOKUP(A473,'Aux - pivots1'!$A:$E,5,0)=0, "",VLOOKUP(A473,'Aux - pivots1'!$A:$E,5,0))</f>
        <v/>
      </c>
      <c r="S473" s="198"/>
      <c r="T473" s="198"/>
      <c r="U473" s="198"/>
      <c r="V473" s="320"/>
      <c r="W473" s="320"/>
      <c r="X473" s="320"/>
      <c r="Y473" s="368" t="s">
        <v>2320</v>
      </c>
      <c r="Z473" s="319"/>
    </row>
    <row r="474" spans="1:26" ht="16.399999999999999" hidden="1" customHeight="1">
      <c r="A474" s="29" t="str">
        <f t="shared" si="7"/>
        <v>modesg_inp_nfrd_alinhamento_taxccm_capex_enblng_algnd</v>
      </c>
      <c r="B474" s="141" t="s">
        <v>26</v>
      </c>
      <c r="C474" s="137" t="s">
        <v>181</v>
      </c>
      <c r="D474" s="133" t="s">
        <v>40</v>
      </c>
      <c r="E474" s="134" t="s">
        <v>215</v>
      </c>
      <c r="F474" s="470" t="s">
        <v>256</v>
      </c>
      <c r="G474" s="135" t="str">
        <f>VLOOKUP(A474,Plano_V3!$A$26:$G$768,7,0)</f>
        <v>1. Concluído</v>
      </c>
      <c r="H474" s="135" t="s">
        <v>612</v>
      </c>
      <c r="I474" s="467"/>
      <c r="J474" s="142"/>
      <c r="K474" s="142"/>
      <c r="L474" s="153"/>
      <c r="M474" s="153"/>
      <c r="N474" s="142"/>
      <c r="O474" s="142"/>
      <c r="P474" s="152" t="str">
        <f>IF(VLOOKUP(A474,'Aux - pivots1'!$A:$E,3,0)=0, "",VLOOKUP(A474,'Aux - pivots1'!$A:$E,3,0))</f>
        <v/>
      </c>
      <c r="Q474" s="152" t="str">
        <f>IF(VLOOKUP(A474,'Aux - pivots1'!$A:$E,4,0)=0, "",VLOOKUP(A474,'Aux - pivots1'!$A:$E,4,0))</f>
        <v/>
      </c>
      <c r="R474" s="152" t="str">
        <f>IF(VLOOKUP(A474,'Aux - pivots1'!$A:$E,5,0)=0, "",VLOOKUP(A474,'Aux - pivots1'!$A:$E,5,0))</f>
        <v/>
      </c>
      <c r="S474" s="198"/>
      <c r="T474" s="198"/>
      <c r="U474" s="198"/>
      <c r="V474" s="320"/>
      <c r="W474" s="320"/>
      <c r="X474" s="320"/>
      <c r="Y474" s="368" t="s">
        <v>2320</v>
      </c>
      <c r="Z474" s="319"/>
    </row>
    <row r="475" spans="1:26" ht="16.399999999999999" hidden="1" customHeight="1">
      <c r="A475" s="29" t="str">
        <f t="shared" si="7"/>
        <v>modesg_inp_nfrd_alinhamento_taxccm_capex_trnstn_algnd</v>
      </c>
      <c r="B475" s="141" t="s">
        <v>26</v>
      </c>
      <c r="C475" s="137" t="s">
        <v>181</v>
      </c>
      <c r="D475" s="133" t="s">
        <v>40</v>
      </c>
      <c r="E475" s="134" t="s">
        <v>215</v>
      </c>
      <c r="F475" s="470" t="s">
        <v>257</v>
      </c>
      <c r="G475" s="135" t="str">
        <f>VLOOKUP(A475,Plano_V3!$A$26:$G$768,7,0)</f>
        <v>1. Concluído</v>
      </c>
      <c r="H475" s="135" t="s">
        <v>612</v>
      </c>
      <c r="I475" s="467"/>
      <c r="J475" s="142"/>
      <c r="K475" s="142"/>
      <c r="L475" s="153"/>
      <c r="M475" s="153"/>
      <c r="N475" s="142"/>
      <c r="O475" s="142"/>
      <c r="P475" s="152" t="str">
        <f>IF(VLOOKUP(A475,'Aux - pivots1'!$A:$E,3,0)=0, "",VLOOKUP(A475,'Aux - pivots1'!$A:$E,3,0))</f>
        <v/>
      </c>
      <c r="Q475" s="152" t="str">
        <f>IF(VLOOKUP(A475,'Aux - pivots1'!$A:$E,4,0)=0, "",VLOOKUP(A475,'Aux - pivots1'!$A:$E,4,0))</f>
        <v/>
      </c>
      <c r="R475" s="152" t="str">
        <f>IF(VLOOKUP(A475,'Aux - pivots1'!$A:$E,5,0)=0, "",VLOOKUP(A475,'Aux - pivots1'!$A:$E,5,0))</f>
        <v/>
      </c>
      <c r="S475" s="198"/>
      <c r="T475" s="198"/>
      <c r="U475" s="198"/>
      <c r="V475" s="320"/>
      <c r="W475" s="320"/>
      <c r="X475" s="320"/>
      <c r="Y475" s="368" t="s">
        <v>2320</v>
      </c>
      <c r="Z475" s="319"/>
    </row>
    <row r="476" spans="1:26" ht="16.399999999999999" hidden="1" customHeight="1">
      <c r="A476" s="29" t="str">
        <f t="shared" si="7"/>
        <v>modesg_inp_nfrd_alinhamento_taxccm_capex_own_prfrmnce_algnd</v>
      </c>
      <c r="B476" s="141" t="s">
        <v>26</v>
      </c>
      <c r="C476" s="137" t="s">
        <v>181</v>
      </c>
      <c r="D476" s="133" t="s">
        <v>40</v>
      </c>
      <c r="E476" s="134" t="s">
        <v>215</v>
      </c>
      <c r="F476" s="470" t="s">
        <v>258</v>
      </c>
      <c r="G476" s="135" t="str">
        <f>VLOOKUP(A476,Plano_V3!$A$26:$G$768,7,0)</f>
        <v>1. Concluído</v>
      </c>
      <c r="H476" s="135" t="s">
        <v>612</v>
      </c>
      <c r="I476" s="467"/>
      <c r="J476" s="142"/>
      <c r="K476" s="142"/>
      <c r="L476" s="153"/>
      <c r="M476" s="153"/>
      <c r="N476" s="142"/>
      <c r="O476" s="142"/>
      <c r="P476" s="152" t="str">
        <f>IF(VLOOKUP(A476,'Aux - pivots1'!$A:$E,3,0)=0, "",VLOOKUP(A476,'Aux - pivots1'!$A:$E,3,0))</f>
        <v/>
      </c>
      <c r="Q476" s="152" t="str">
        <f>IF(VLOOKUP(A476,'Aux - pivots1'!$A:$E,4,0)=0, "",VLOOKUP(A476,'Aux - pivots1'!$A:$E,4,0))</f>
        <v/>
      </c>
      <c r="R476" s="152" t="str">
        <f>IF(VLOOKUP(A476,'Aux - pivots1'!$A:$E,5,0)=0, "",VLOOKUP(A476,'Aux - pivots1'!$A:$E,5,0))</f>
        <v/>
      </c>
      <c r="S476" s="198"/>
      <c r="T476" s="198"/>
      <c r="U476" s="198"/>
      <c r="V476" s="320"/>
      <c r="W476" s="320"/>
      <c r="X476" s="320"/>
      <c r="Y476" s="368" t="s">
        <v>2320</v>
      </c>
      <c r="Z476" s="319"/>
    </row>
    <row r="477" spans="1:26" ht="16.399999999999999" hidden="1" customHeight="1">
      <c r="A477" s="29" t="str">
        <f t="shared" si="7"/>
        <v>modesg_inp_nfrd_alinhamento_taxppc_trnvr_ttl_elgbl</v>
      </c>
      <c r="B477" s="141" t="s">
        <v>26</v>
      </c>
      <c r="C477" s="137" t="s">
        <v>181</v>
      </c>
      <c r="D477" s="133" t="s">
        <v>40</v>
      </c>
      <c r="E477" s="134" t="s">
        <v>215</v>
      </c>
      <c r="F477" s="470" t="s">
        <v>259</v>
      </c>
      <c r="G477" s="135" t="str">
        <f>VLOOKUP(A477,Plano_V3!$A$26:$G$768,7,0)</f>
        <v>1. Concluído</v>
      </c>
      <c r="H477" s="135" t="s">
        <v>612</v>
      </c>
      <c r="I477" s="467"/>
      <c r="J477" s="143"/>
      <c r="K477" s="143"/>
      <c r="L477" s="489"/>
      <c r="M477" s="489"/>
      <c r="N477" s="143"/>
      <c r="O477" s="143"/>
      <c r="P477" s="152" t="str">
        <f>IF(VLOOKUP(A477,'Aux - pivots1'!$A:$E,3,0)=0, "",VLOOKUP(A477,'Aux - pivots1'!$A:$E,3,0))</f>
        <v/>
      </c>
      <c r="Q477" s="152" t="str">
        <f>IF(VLOOKUP(A477,'Aux - pivots1'!$A:$E,4,0)=0, "",VLOOKUP(A477,'Aux - pivots1'!$A:$E,4,0))</f>
        <v/>
      </c>
      <c r="R477" s="152" t="str">
        <f>IF(VLOOKUP(A477,'Aux - pivots1'!$A:$E,5,0)=0, "",VLOOKUP(A477,'Aux - pivots1'!$A:$E,5,0))</f>
        <v/>
      </c>
      <c r="S477" s="198"/>
      <c r="T477" s="198"/>
      <c r="U477" s="198"/>
      <c r="V477" s="320"/>
      <c r="W477" s="320"/>
      <c r="X477" s="320"/>
      <c r="Y477" s="368" t="s">
        <v>2320</v>
      </c>
      <c r="Z477" s="319"/>
    </row>
    <row r="478" spans="1:26" ht="16.399999999999999" hidden="1" customHeight="1">
      <c r="A478" s="29" t="str">
        <f t="shared" si="7"/>
        <v>modesg_inp_nfrd_alinhamento_taxppc_turnover_own_prfrmnce_algnd</v>
      </c>
      <c r="B478" s="141" t="s">
        <v>26</v>
      </c>
      <c r="C478" s="137" t="s">
        <v>181</v>
      </c>
      <c r="D478" s="133" t="s">
        <v>40</v>
      </c>
      <c r="E478" s="134" t="s">
        <v>215</v>
      </c>
      <c r="F478" s="470" t="s">
        <v>260</v>
      </c>
      <c r="G478" s="135" t="str">
        <f>VLOOKUP(A478,Plano_V3!$A$26:$G$768,7,0)</f>
        <v>1. Concluído</v>
      </c>
      <c r="H478" s="135" t="s">
        <v>612</v>
      </c>
      <c r="I478" s="467"/>
      <c r="J478" s="143"/>
      <c r="K478" s="143"/>
      <c r="L478" s="489"/>
      <c r="M478" s="489"/>
      <c r="N478" s="143"/>
      <c r="O478" s="143"/>
      <c r="P478" s="152" t="str">
        <f>IF(VLOOKUP(A478,'Aux - pivots1'!$A:$E,3,0)=0, "",VLOOKUP(A478,'Aux - pivots1'!$A:$E,3,0))</f>
        <v/>
      </c>
      <c r="Q478" s="152" t="str">
        <f>IF(VLOOKUP(A478,'Aux - pivots1'!$A:$E,4,0)=0, "",VLOOKUP(A478,'Aux - pivots1'!$A:$E,4,0))</f>
        <v/>
      </c>
      <c r="R478" s="152" t="str">
        <f>IF(VLOOKUP(A478,'Aux - pivots1'!$A:$E,5,0)=0, "",VLOOKUP(A478,'Aux - pivots1'!$A:$E,5,0))</f>
        <v/>
      </c>
      <c r="S478" s="198"/>
      <c r="T478" s="198"/>
      <c r="U478" s="198"/>
      <c r="V478" s="320"/>
      <c r="W478" s="320"/>
      <c r="X478" s="320"/>
      <c r="Y478" s="368" t="s">
        <v>2320</v>
      </c>
      <c r="Z478" s="319"/>
    </row>
    <row r="479" spans="1:26" ht="16.399999999999999" hidden="1" customHeight="1">
      <c r="A479" s="29" t="str">
        <f t="shared" si="7"/>
        <v>modesg_inp_nfrd_alinhamento_taxppc_capex_ttl_elgbl</v>
      </c>
      <c r="B479" s="141" t="s">
        <v>26</v>
      </c>
      <c r="C479" s="137" t="s">
        <v>181</v>
      </c>
      <c r="D479" s="133" t="s">
        <v>40</v>
      </c>
      <c r="E479" s="134" t="s">
        <v>215</v>
      </c>
      <c r="F479" s="470" t="s">
        <v>261</v>
      </c>
      <c r="G479" s="135" t="str">
        <f>VLOOKUP(A479,Plano_V3!$A$26:$G$768,7,0)</f>
        <v>1. Concluído</v>
      </c>
      <c r="H479" s="135" t="s">
        <v>612</v>
      </c>
      <c r="I479" s="467"/>
      <c r="J479" s="143"/>
      <c r="K479" s="143"/>
      <c r="L479" s="489"/>
      <c r="M479" s="489"/>
      <c r="N479" s="143"/>
      <c r="O479" s="143"/>
      <c r="P479" s="152" t="str">
        <f>IF(VLOOKUP(A479,'Aux - pivots1'!$A:$E,3,0)=0, "",VLOOKUP(A479,'Aux - pivots1'!$A:$E,3,0))</f>
        <v/>
      </c>
      <c r="Q479" s="152" t="str">
        <f>IF(VLOOKUP(A479,'Aux - pivots1'!$A:$E,4,0)=0, "",VLOOKUP(A479,'Aux - pivots1'!$A:$E,4,0))</f>
        <v/>
      </c>
      <c r="R479" s="152" t="str">
        <f>IF(VLOOKUP(A479,'Aux - pivots1'!$A:$E,5,0)=0, "",VLOOKUP(A479,'Aux - pivots1'!$A:$E,5,0))</f>
        <v/>
      </c>
      <c r="S479" s="198"/>
      <c r="T479" s="198"/>
      <c r="U479" s="198"/>
      <c r="V479" s="320"/>
      <c r="W479" s="320"/>
      <c r="X479" s="320"/>
      <c r="Y479" s="368" t="s">
        <v>2320</v>
      </c>
      <c r="Z479" s="319"/>
    </row>
    <row r="480" spans="1:26" ht="16.399999999999999" hidden="1" customHeight="1">
      <c r="A480" s="29" t="str">
        <f t="shared" si="7"/>
        <v>modesg_inp_nfrd_alinhamento_taxppc_capex_own_prfrmnce_algnd</v>
      </c>
      <c r="B480" s="141" t="s">
        <v>26</v>
      </c>
      <c r="C480" s="137" t="s">
        <v>181</v>
      </c>
      <c r="D480" s="133" t="s">
        <v>40</v>
      </c>
      <c r="E480" s="134" t="s">
        <v>215</v>
      </c>
      <c r="F480" s="470" t="s">
        <v>262</v>
      </c>
      <c r="G480" s="135" t="str">
        <f>VLOOKUP(A480,Plano_V3!$A$26:$G$768,7,0)</f>
        <v>1. Concluído</v>
      </c>
      <c r="H480" s="135" t="s">
        <v>612</v>
      </c>
      <c r="I480" s="467"/>
      <c r="J480" s="143"/>
      <c r="K480" s="143"/>
      <c r="L480" s="489"/>
      <c r="M480" s="489"/>
      <c r="N480" s="143"/>
      <c r="O480" s="143"/>
      <c r="P480" s="152" t="str">
        <f>IF(VLOOKUP(A480,'Aux - pivots1'!$A:$E,3,0)=0, "",VLOOKUP(A480,'Aux - pivots1'!$A:$E,3,0))</f>
        <v/>
      </c>
      <c r="Q480" s="152" t="str">
        <f>IF(VLOOKUP(A480,'Aux - pivots1'!$A:$E,4,0)=0, "",VLOOKUP(A480,'Aux - pivots1'!$A:$E,4,0))</f>
        <v/>
      </c>
      <c r="R480" s="152" t="str">
        <f>IF(VLOOKUP(A480,'Aux - pivots1'!$A:$E,5,0)=0, "",VLOOKUP(A480,'Aux - pivots1'!$A:$E,5,0))</f>
        <v/>
      </c>
      <c r="S480" s="198"/>
      <c r="T480" s="198"/>
      <c r="U480" s="198"/>
      <c r="V480" s="320"/>
      <c r="W480" s="320"/>
      <c r="X480" s="320"/>
      <c r="Y480" s="368" t="s">
        <v>2320</v>
      </c>
      <c r="Z480" s="319"/>
    </row>
    <row r="481" spans="1:26" ht="16.399999999999999" hidden="1" customHeight="1">
      <c r="A481" s="29" t="str">
        <f t="shared" si="7"/>
        <v>modesg_inp_nfrd_alinhamento_taxbio_trnvr_ttl_elgbl</v>
      </c>
      <c r="B481" s="141" t="s">
        <v>26</v>
      </c>
      <c r="C481" s="137" t="s">
        <v>181</v>
      </c>
      <c r="D481" s="133" t="s">
        <v>40</v>
      </c>
      <c r="E481" s="134" t="s">
        <v>215</v>
      </c>
      <c r="F481" s="470" t="s">
        <v>263</v>
      </c>
      <c r="G481" s="135" t="str">
        <f>VLOOKUP(A481,Plano_V3!$A$26:$G$768,7,0)</f>
        <v>1. Concluído</v>
      </c>
      <c r="H481" s="135" t="s">
        <v>612</v>
      </c>
      <c r="I481" s="467"/>
      <c r="J481" s="143"/>
      <c r="K481" s="143"/>
      <c r="L481" s="489"/>
      <c r="M481" s="489"/>
      <c r="N481" s="143"/>
      <c r="O481" s="143"/>
      <c r="P481" s="152" t="str">
        <f>IF(VLOOKUP(A481,'Aux - pivots1'!$A:$E,3,0)=0, "",VLOOKUP(A481,'Aux - pivots1'!$A:$E,3,0))</f>
        <v/>
      </c>
      <c r="Q481" s="152" t="str">
        <f>IF(VLOOKUP(A481,'Aux - pivots1'!$A:$E,4,0)=0, "",VLOOKUP(A481,'Aux - pivots1'!$A:$E,4,0))</f>
        <v/>
      </c>
      <c r="R481" s="152" t="str">
        <f>IF(VLOOKUP(A481,'Aux - pivots1'!$A:$E,5,0)=0, "",VLOOKUP(A481,'Aux - pivots1'!$A:$E,5,0))</f>
        <v/>
      </c>
      <c r="S481" s="198"/>
      <c r="T481" s="198"/>
      <c r="U481" s="198"/>
      <c r="V481" s="320"/>
      <c r="W481" s="320"/>
      <c r="X481" s="320"/>
      <c r="Y481" s="368" t="s">
        <v>2320</v>
      </c>
      <c r="Z481" s="319"/>
    </row>
    <row r="482" spans="1:26" ht="16.399999999999999" hidden="1" customHeight="1">
      <c r="A482" s="29" t="str">
        <f t="shared" si="7"/>
        <v>modesg_inp_nfrd_alinhamento_taxbio_turnover_own_prfrmnce_algnd</v>
      </c>
      <c r="B482" s="141" t="s">
        <v>26</v>
      </c>
      <c r="C482" s="137" t="s">
        <v>181</v>
      </c>
      <c r="D482" s="133" t="s">
        <v>40</v>
      </c>
      <c r="E482" s="134" t="s">
        <v>215</v>
      </c>
      <c r="F482" s="470" t="s">
        <v>264</v>
      </c>
      <c r="G482" s="135" t="str">
        <f>VLOOKUP(A482,Plano_V3!$A$26:$G$768,7,0)</f>
        <v>1. Concluído</v>
      </c>
      <c r="H482" s="135" t="s">
        <v>612</v>
      </c>
      <c r="I482" s="467"/>
      <c r="J482" s="143"/>
      <c r="K482" s="143"/>
      <c r="L482" s="489"/>
      <c r="M482" s="489"/>
      <c r="N482" s="143"/>
      <c r="O482" s="143"/>
      <c r="P482" s="152" t="str">
        <f>IF(VLOOKUP(A482,'Aux - pivots1'!$A:$E,3,0)=0, "",VLOOKUP(A482,'Aux - pivots1'!$A:$E,3,0))</f>
        <v/>
      </c>
      <c r="Q482" s="152" t="str">
        <f>IF(VLOOKUP(A482,'Aux - pivots1'!$A:$E,4,0)=0, "",VLOOKUP(A482,'Aux - pivots1'!$A:$E,4,0))</f>
        <v/>
      </c>
      <c r="R482" s="152" t="str">
        <f>IF(VLOOKUP(A482,'Aux - pivots1'!$A:$E,5,0)=0, "",VLOOKUP(A482,'Aux - pivots1'!$A:$E,5,0))</f>
        <v/>
      </c>
      <c r="S482" s="198"/>
      <c r="T482" s="198"/>
      <c r="U482" s="198"/>
      <c r="V482" s="320"/>
      <c r="W482" s="320"/>
      <c r="X482" s="320"/>
      <c r="Y482" s="368" t="s">
        <v>2320</v>
      </c>
      <c r="Z482" s="319"/>
    </row>
    <row r="483" spans="1:26" ht="16.399999999999999" hidden="1" customHeight="1">
      <c r="A483" s="29" t="str">
        <f t="shared" si="7"/>
        <v>modesg_inp_nfrd_alinhamento_taxbio_capex_ttl_elgbl</v>
      </c>
      <c r="B483" s="141" t="s">
        <v>26</v>
      </c>
      <c r="C483" s="137" t="s">
        <v>181</v>
      </c>
      <c r="D483" s="133" t="s">
        <v>40</v>
      </c>
      <c r="E483" s="134" t="s">
        <v>215</v>
      </c>
      <c r="F483" s="470" t="s">
        <v>265</v>
      </c>
      <c r="G483" s="135" t="str">
        <f>VLOOKUP(A483,Plano_V3!$A$26:$G$768,7,0)</f>
        <v>1. Concluído</v>
      </c>
      <c r="H483" s="135" t="s">
        <v>612</v>
      </c>
      <c r="I483" s="467"/>
      <c r="J483" s="143"/>
      <c r="K483" s="143"/>
      <c r="L483" s="489"/>
      <c r="M483" s="489"/>
      <c r="N483" s="143"/>
      <c r="O483" s="143"/>
      <c r="P483" s="152" t="str">
        <f>IF(VLOOKUP(A483,'Aux - pivots1'!$A:$E,3,0)=0, "",VLOOKUP(A483,'Aux - pivots1'!$A:$E,3,0))</f>
        <v/>
      </c>
      <c r="Q483" s="152" t="str">
        <f>IF(VLOOKUP(A483,'Aux - pivots1'!$A:$E,4,0)=0, "",VLOOKUP(A483,'Aux - pivots1'!$A:$E,4,0))</f>
        <v/>
      </c>
      <c r="R483" s="152" t="str">
        <f>IF(VLOOKUP(A483,'Aux - pivots1'!$A:$E,5,0)=0, "",VLOOKUP(A483,'Aux - pivots1'!$A:$E,5,0))</f>
        <v/>
      </c>
      <c r="S483" s="198"/>
      <c r="T483" s="198"/>
      <c r="U483" s="198"/>
      <c r="V483" s="320"/>
      <c r="W483" s="320"/>
      <c r="X483" s="320"/>
      <c r="Y483" s="368" t="s">
        <v>2320</v>
      </c>
      <c r="Z483" s="319"/>
    </row>
    <row r="484" spans="1:26" ht="16.399999999999999" hidden="1" customHeight="1">
      <c r="A484" s="29" t="str">
        <f t="shared" si="7"/>
        <v>modesg_inp_nfrd_alinhamento_taxbio_capex_own_prfrmnce_algnd</v>
      </c>
      <c r="B484" s="141" t="s">
        <v>26</v>
      </c>
      <c r="C484" s="137" t="s">
        <v>181</v>
      </c>
      <c r="D484" s="133" t="s">
        <v>40</v>
      </c>
      <c r="E484" s="134" t="s">
        <v>215</v>
      </c>
      <c r="F484" s="470" t="s">
        <v>266</v>
      </c>
      <c r="G484" s="135" t="str">
        <f>VLOOKUP(A484,Plano_V3!$A$26:$G$768,7,0)</f>
        <v>1. Concluído</v>
      </c>
      <c r="H484" s="135" t="s">
        <v>612</v>
      </c>
      <c r="I484" s="467"/>
      <c r="J484" s="143"/>
      <c r="K484" s="143"/>
      <c r="L484" s="489"/>
      <c r="M484" s="489"/>
      <c r="N484" s="143"/>
      <c r="O484" s="143"/>
      <c r="P484" s="152" t="str">
        <f>IF(VLOOKUP(A484,'Aux - pivots1'!$A:$E,3,0)=0, "",VLOOKUP(A484,'Aux - pivots1'!$A:$E,3,0))</f>
        <v/>
      </c>
      <c r="Q484" s="152" t="str">
        <f>IF(VLOOKUP(A484,'Aux - pivots1'!$A:$E,4,0)=0, "",VLOOKUP(A484,'Aux - pivots1'!$A:$E,4,0))</f>
        <v/>
      </c>
      <c r="R484" s="152" t="str">
        <f>IF(VLOOKUP(A484,'Aux - pivots1'!$A:$E,5,0)=0, "",VLOOKUP(A484,'Aux - pivots1'!$A:$E,5,0))</f>
        <v/>
      </c>
      <c r="S484" s="198"/>
      <c r="T484" s="198"/>
      <c r="U484" s="198"/>
      <c r="V484" s="320"/>
      <c r="W484" s="320"/>
      <c r="X484" s="320"/>
      <c r="Y484" s="368" t="s">
        <v>2320</v>
      </c>
      <c r="Z484" s="319"/>
    </row>
    <row r="485" spans="1:26" ht="16.399999999999999" hidden="1" customHeight="1">
      <c r="A485" s="29" t="str">
        <f t="shared" si="7"/>
        <v>modesg_inp_nfrd_alinhamento_taxwtr_trnvr_ttl_elgbl</v>
      </c>
      <c r="B485" s="141" t="s">
        <v>26</v>
      </c>
      <c r="C485" s="137" t="s">
        <v>181</v>
      </c>
      <c r="D485" s="133" t="s">
        <v>40</v>
      </c>
      <c r="E485" s="134" t="s">
        <v>215</v>
      </c>
      <c r="F485" s="470" t="s">
        <v>267</v>
      </c>
      <c r="G485" s="135" t="str">
        <f>VLOOKUP(A485,Plano_V3!$A$26:$G$768,7,0)</f>
        <v>1. Concluído</v>
      </c>
      <c r="H485" s="135" t="s">
        <v>612</v>
      </c>
      <c r="I485" s="467"/>
      <c r="J485" s="143"/>
      <c r="K485" s="143"/>
      <c r="L485" s="489"/>
      <c r="M485" s="489"/>
      <c r="N485" s="143"/>
      <c r="O485" s="143"/>
      <c r="P485" s="152" t="str">
        <f>IF(VLOOKUP(A485,'Aux - pivots1'!$A:$E,3,0)=0, "",VLOOKUP(A485,'Aux - pivots1'!$A:$E,3,0))</f>
        <v/>
      </c>
      <c r="Q485" s="152" t="str">
        <f>IF(VLOOKUP(A485,'Aux - pivots1'!$A:$E,4,0)=0, "",VLOOKUP(A485,'Aux - pivots1'!$A:$E,4,0))</f>
        <v/>
      </c>
      <c r="R485" s="152" t="str">
        <f>IF(VLOOKUP(A485,'Aux - pivots1'!$A:$E,5,0)=0, "",VLOOKUP(A485,'Aux - pivots1'!$A:$E,5,0))</f>
        <v/>
      </c>
      <c r="S485" s="198"/>
      <c r="T485" s="198"/>
      <c r="U485" s="198"/>
      <c r="V485" s="320"/>
      <c r="W485" s="320"/>
      <c r="X485" s="320"/>
      <c r="Y485" s="368" t="s">
        <v>2320</v>
      </c>
      <c r="Z485" s="319"/>
    </row>
    <row r="486" spans="1:26" ht="16.399999999999999" hidden="1" customHeight="1">
      <c r="A486" s="29" t="str">
        <f t="shared" si="7"/>
        <v>modesg_inp_nfrd_alinhamento_taxwtr_trnvr_enblng_alignd</v>
      </c>
      <c r="B486" s="141" t="s">
        <v>26</v>
      </c>
      <c r="C486" s="137" t="s">
        <v>181</v>
      </c>
      <c r="D486" s="133" t="s">
        <v>40</v>
      </c>
      <c r="E486" s="134" t="s">
        <v>215</v>
      </c>
      <c r="F486" s="470" t="s">
        <v>268</v>
      </c>
      <c r="G486" s="135" t="str">
        <f>VLOOKUP(A486,Plano_V3!$A$26:$G$768,7,0)</f>
        <v>1. Concluído</v>
      </c>
      <c r="H486" s="135" t="s">
        <v>612</v>
      </c>
      <c r="I486" s="467"/>
      <c r="J486" s="143"/>
      <c r="K486" s="143"/>
      <c r="L486" s="489"/>
      <c r="M486" s="489"/>
      <c r="N486" s="143"/>
      <c r="O486" s="143"/>
      <c r="P486" s="152" t="str">
        <f>IF(VLOOKUP(A486,'Aux - pivots1'!$A:$E,3,0)=0, "",VLOOKUP(A486,'Aux - pivots1'!$A:$E,3,0))</f>
        <v/>
      </c>
      <c r="Q486" s="152" t="str">
        <f>IF(VLOOKUP(A486,'Aux - pivots1'!$A:$E,4,0)=0, "",VLOOKUP(A486,'Aux - pivots1'!$A:$E,4,0))</f>
        <v/>
      </c>
      <c r="R486" s="152" t="str">
        <f>IF(VLOOKUP(A486,'Aux - pivots1'!$A:$E,5,0)=0, "",VLOOKUP(A486,'Aux - pivots1'!$A:$E,5,0))</f>
        <v/>
      </c>
      <c r="S486" s="198"/>
      <c r="T486" s="198"/>
      <c r="U486" s="198"/>
      <c r="V486" s="320"/>
      <c r="W486" s="320"/>
      <c r="X486" s="320"/>
      <c r="Y486" s="368" t="s">
        <v>2320</v>
      </c>
      <c r="Z486" s="319"/>
    </row>
    <row r="487" spans="1:26" ht="16.399999999999999" hidden="1" customHeight="1">
      <c r="A487" s="29" t="str">
        <f t="shared" si="7"/>
        <v>modesg_inp_nfrd_alinhamento_taxwtr_turnover_own_prfrmnce_algnd</v>
      </c>
      <c r="B487" s="141" t="s">
        <v>26</v>
      </c>
      <c r="C487" s="137" t="s">
        <v>181</v>
      </c>
      <c r="D487" s="133" t="s">
        <v>40</v>
      </c>
      <c r="E487" s="134" t="s">
        <v>215</v>
      </c>
      <c r="F487" s="470" t="s">
        <v>269</v>
      </c>
      <c r="G487" s="135" t="str">
        <f>VLOOKUP(A487,Plano_V3!$A$26:$G$768,7,0)</f>
        <v>1. Concluído</v>
      </c>
      <c r="H487" s="135" t="s">
        <v>612</v>
      </c>
      <c r="I487" s="467"/>
      <c r="J487" s="143"/>
      <c r="K487" s="143"/>
      <c r="L487" s="489"/>
      <c r="M487" s="489"/>
      <c r="N487" s="143"/>
      <c r="O487" s="143"/>
      <c r="P487" s="152" t="str">
        <f>IF(VLOOKUP(A487,'Aux - pivots1'!$A:$E,3,0)=0, "",VLOOKUP(A487,'Aux - pivots1'!$A:$E,3,0))</f>
        <v/>
      </c>
      <c r="Q487" s="152" t="str">
        <f>IF(VLOOKUP(A487,'Aux - pivots1'!$A:$E,4,0)=0, "",VLOOKUP(A487,'Aux - pivots1'!$A:$E,4,0))</f>
        <v/>
      </c>
      <c r="R487" s="152" t="str">
        <f>IF(VLOOKUP(A487,'Aux - pivots1'!$A:$E,5,0)=0, "",VLOOKUP(A487,'Aux - pivots1'!$A:$E,5,0))</f>
        <v/>
      </c>
      <c r="S487" s="198"/>
      <c r="T487" s="198"/>
      <c r="U487" s="198"/>
      <c r="V487" s="320"/>
      <c r="W487" s="320"/>
      <c r="X487" s="320"/>
      <c r="Y487" s="368" t="s">
        <v>2320</v>
      </c>
      <c r="Z487" s="319"/>
    </row>
    <row r="488" spans="1:26" ht="16.399999999999999" hidden="1" customHeight="1">
      <c r="A488" s="29" t="str">
        <f t="shared" si="7"/>
        <v>modesg_inp_nfrd_alinhamento_taxwtr_capex_ttl_elgbl</v>
      </c>
      <c r="B488" s="141" t="s">
        <v>26</v>
      </c>
      <c r="C488" s="137" t="s">
        <v>181</v>
      </c>
      <c r="D488" s="133" t="s">
        <v>40</v>
      </c>
      <c r="E488" s="134" t="s">
        <v>215</v>
      </c>
      <c r="F488" s="470" t="s">
        <v>270</v>
      </c>
      <c r="G488" s="135" t="str">
        <f>VLOOKUP(A488,Plano_V3!$A$26:$G$768,7,0)</f>
        <v>1. Concluído</v>
      </c>
      <c r="H488" s="135" t="s">
        <v>612</v>
      </c>
      <c r="I488" s="467"/>
      <c r="J488" s="143"/>
      <c r="K488" s="143"/>
      <c r="L488" s="489"/>
      <c r="M488" s="489"/>
      <c r="N488" s="143"/>
      <c r="O488" s="143"/>
      <c r="P488" s="152" t="str">
        <f>IF(VLOOKUP(A488,'Aux - pivots1'!$A:$E,3,0)=0, "",VLOOKUP(A488,'Aux - pivots1'!$A:$E,3,0))</f>
        <v/>
      </c>
      <c r="Q488" s="152" t="str">
        <f>IF(VLOOKUP(A488,'Aux - pivots1'!$A:$E,4,0)=0, "",VLOOKUP(A488,'Aux - pivots1'!$A:$E,4,0))</f>
        <v/>
      </c>
      <c r="R488" s="152" t="str">
        <f>IF(VLOOKUP(A488,'Aux - pivots1'!$A:$E,5,0)=0, "",VLOOKUP(A488,'Aux - pivots1'!$A:$E,5,0))</f>
        <v/>
      </c>
      <c r="S488" s="198"/>
      <c r="T488" s="198"/>
      <c r="U488" s="198"/>
      <c r="V488" s="320"/>
      <c r="W488" s="320"/>
      <c r="X488" s="320"/>
      <c r="Y488" s="368" t="s">
        <v>2320</v>
      </c>
      <c r="Z488" s="319"/>
    </row>
    <row r="489" spans="1:26" ht="16.399999999999999" hidden="1" customHeight="1">
      <c r="A489" s="29" t="str">
        <f t="shared" si="7"/>
        <v>modesg_inp_nfrd_alinhamento_taxwtr_capex_enblng_algnd</v>
      </c>
      <c r="B489" s="141" t="s">
        <v>26</v>
      </c>
      <c r="C489" s="137" t="s">
        <v>181</v>
      </c>
      <c r="D489" s="133" t="s">
        <v>40</v>
      </c>
      <c r="E489" s="134" t="s">
        <v>215</v>
      </c>
      <c r="F489" s="470" t="s">
        <v>271</v>
      </c>
      <c r="G489" s="135" t="str">
        <f>VLOOKUP(A489,Plano_V3!$A$26:$G$768,7,0)</f>
        <v>1. Concluído</v>
      </c>
      <c r="H489" s="135" t="s">
        <v>612</v>
      </c>
      <c r="I489" s="467"/>
      <c r="J489" s="143"/>
      <c r="K489" s="143"/>
      <c r="L489" s="489"/>
      <c r="M489" s="489"/>
      <c r="N489" s="143"/>
      <c r="O489" s="143"/>
      <c r="P489" s="152" t="str">
        <f>IF(VLOOKUP(A489,'Aux - pivots1'!$A:$E,3,0)=0, "",VLOOKUP(A489,'Aux - pivots1'!$A:$E,3,0))</f>
        <v/>
      </c>
      <c r="Q489" s="152" t="str">
        <f>IF(VLOOKUP(A489,'Aux - pivots1'!$A:$E,4,0)=0, "",VLOOKUP(A489,'Aux - pivots1'!$A:$E,4,0))</f>
        <v/>
      </c>
      <c r="R489" s="152" t="str">
        <f>IF(VLOOKUP(A489,'Aux - pivots1'!$A:$E,5,0)=0, "",VLOOKUP(A489,'Aux - pivots1'!$A:$E,5,0))</f>
        <v/>
      </c>
      <c r="S489" s="198"/>
      <c r="T489" s="198"/>
      <c r="U489" s="198"/>
      <c r="V489" s="320"/>
      <c r="W489" s="320"/>
      <c r="X489" s="320"/>
      <c r="Y489" s="368" t="s">
        <v>2320</v>
      </c>
      <c r="Z489" s="319"/>
    </row>
    <row r="490" spans="1:26" ht="16.399999999999999" hidden="1" customHeight="1">
      <c r="A490" s="29" t="str">
        <f t="shared" si="7"/>
        <v>modesg_inp_nfrd_alinhamento_taxwtr_capex_own_prfrmnce_algnd</v>
      </c>
      <c r="B490" s="141" t="s">
        <v>26</v>
      </c>
      <c r="C490" s="137" t="s">
        <v>181</v>
      </c>
      <c r="D490" s="133" t="s">
        <v>40</v>
      </c>
      <c r="E490" s="134" t="s">
        <v>215</v>
      </c>
      <c r="F490" s="470" t="s">
        <v>272</v>
      </c>
      <c r="G490" s="135" t="str">
        <f>VLOOKUP(A490,Plano_V3!$A$26:$G$768,7,0)</f>
        <v>1. Concluído</v>
      </c>
      <c r="H490" s="135" t="s">
        <v>612</v>
      </c>
      <c r="I490" s="467"/>
      <c r="J490" s="143"/>
      <c r="K490" s="143"/>
      <c r="L490" s="489"/>
      <c r="M490" s="489"/>
      <c r="N490" s="143"/>
      <c r="O490" s="143"/>
      <c r="P490" s="152" t="str">
        <f>IF(VLOOKUP(A490,'Aux - pivots1'!$A:$E,3,0)=0, "",VLOOKUP(A490,'Aux - pivots1'!$A:$E,3,0))</f>
        <v/>
      </c>
      <c r="Q490" s="152" t="str">
        <f>IF(VLOOKUP(A490,'Aux - pivots1'!$A:$E,4,0)=0, "",VLOOKUP(A490,'Aux - pivots1'!$A:$E,4,0))</f>
        <v/>
      </c>
      <c r="R490" s="152" t="str">
        <f>IF(VLOOKUP(A490,'Aux - pivots1'!$A:$E,5,0)=0, "",VLOOKUP(A490,'Aux - pivots1'!$A:$E,5,0))</f>
        <v/>
      </c>
      <c r="S490" s="198"/>
      <c r="T490" s="198"/>
      <c r="U490" s="198"/>
      <c r="V490" s="320"/>
      <c r="W490" s="320"/>
      <c r="X490" s="320"/>
      <c r="Y490" s="368" t="s">
        <v>2320</v>
      </c>
      <c r="Z490" s="319"/>
    </row>
    <row r="491" spans="1:26" ht="16.399999999999999" hidden="1" customHeight="1">
      <c r="A491" s="29" t="str">
        <f t="shared" si="7"/>
        <v>modesg_inp_nfrd_alinhamento_taxce_trnvr_ttl_elgbl</v>
      </c>
      <c r="B491" s="141" t="s">
        <v>26</v>
      </c>
      <c r="C491" s="137" t="s">
        <v>181</v>
      </c>
      <c r="D491" s="133" t="s">
        <v>40</v>
      </c>
      <c r="E491" s="134" t="s">
        <v>215</v>
      </c>
      <c r="F491" s="470" t="s">
        <v>273</v>
      </c>
      <c r="G491" s="135" t="str">
        <f>VLOOKUP(A491,Plano_V3!$A$26:$G$768,7,0)</f>
        <v>1. Concluído</v>
      </c>
      <c r="H491" s="135" t="s">
        <v>612</v>
      </c>
      <c r="I491" s="467"/>
      <c r="J491" s="143"/>
      <c r="K491" s="143"/>
      <c r="L491" s="489"/>
      <c r="M491" s="489"/>
      <c r="N491" s="143"/>
      <c r="O491" s="143"/>
      <c r="P491" s="152" t="str">
        <f>IF(VLOOKUP(A491,'Aux - pivots1'!$A:$E,3,0)=0, "",VLOOKUP(A491,'Aux - pivots1'!$A:$E,3,0))</f>
        <v/>
      </c>
      <c r="Q491" s="152" t="str">
        <f>IF(VLOOKUP(A491,'Aux - pivots1'!$A:$E,4,0)=0, "",VLOOKUP(A491,'Aux - pivots1'!$A:$E,4,0))</f>
        <v/>
      </c>
      <c r="R491" s="152" t="str">
        <f>IF(VLOOKUP(A491,'Aux - pivots1'!$A:$E,5,0)=0, "",VLOOKUP(A491,'Aux - pivots1'!$A:$E,5,0))</f>
        <v/>
      </c>
      <c r="S491" s="198"/>
      <c r="T491" s="198"/>
      <c r="U491" s="198"/>
      <c r="V491" s="320"/>
      <c r="W491" s="320"/>
      <c r="X491" s="320"/>
      <c r="Y491" s="368" t="s">
        <v>2320</v>
      </c>
      <c r="Z491" s="319"/>
    </row>
    <row r="492" spans="1:26" ht="16.399999999999999" hidden="1" customHeight="1">
      <c r="A492" s="29" t="str">
        <f t="shared" si="7"/>
        <v>modesg_inp_nfrd_alinhamento_taxce_trnvr_enblng_alignd</v>
      </c>
      <c r="B492" s="141" t="s">
        <v>26</v>
      </c>
      <c r="C492" s="137" t="s">
        <v>181</v>
      </c>
      <c r="D492" s="133" t="s">
        <v>40</v>
      </c>
      <c r="E492" s="134" t="s">
        <v>215</v>
      </c>
      <c r="F492" s="470" t="s">
        <v>274</v>
      </c>
      <c r="G492" s="135" t="str">
        <f>VLOOKUP(A492,Plano_V3!$A$26:$G$768,7,0)</f>
        <v>1. Concluído</v>
      </c>
      <c r="H492" s="135" t="s">
        <v>612</v>
      </c>
      <c r="I492" s="467"/>
      <c r="J492" s="143"/>
      <c r="K492" s="143"/>
      <c r="L492" s="489"/>
      <c r="M492" s="489"/>
      <c r="N492" s="143"/>
      <c r="O492" s="143"/>
      <c r="P492" s="152" t="str">
        <f>IF(VLOOKUP(A492,'Aux - pivots1'!$A:$E,3,0)=0, "",VLOOKUP(A492,'Aux - pivots1'!$A:$E,3,0))</f>
        <v/>
      </c>
      <c r="Q492" s="152" t="str">
        <f>IF(VLOOKUP(A492,'Aux - pivots1'!$A:$E,4,0)=0, "",VLOOKUP(A492,'Aux - pivots1'!$A:$E,4,0))</f>
        <v/>
      </c>
      <c r="R492" s="152" t="str">
        <f>IF(VLOOKUP(A492,'Aux - pivots1'!$A:$E,5,0)=0, "",VLOOKUP(A492,'Aux - pivots1'!$A:$E,5,0))</f>
        <v/>
      </c>
      <c r="S492" s="198"/>
      <c r="T492" s="198"/>
      <c r="U492" s="198"/>
      <c r="V492" s="320"/>
      <c r="W492" s="320"/>
      <c r="X492" s="320"/>
      <c r="Y492" s="368" t="s">
        <v>2320</v>
      </c>
      <c r="Z492" s="319"/>
    </row>
    <row r="493" spans="1:26" ht="16.399999999999999" hidden="1" customHeight="1">
      <c r="A493" s="29" t="str">
        <f t="shared" si="7"/>
        <v>modesg_inp_nfrd_alinhamento_taxce_turnover_own_prfrmnce_algnd</v>
      </c>
      <c r="B493" s="141" t="s">
        <v>26</v>
      </c>
      <c r="C493" s="137" t="s">
        <v>181</v>
      </c>
      <c r="D493" s="133" t="s">
        <v>40</v>
      </c>
      <c r="E493" s="134" t="s">
        <v>215</v>
      </c>
      <c r="F493" s="470" t="s">
        <v>275</v>
      </c>
      <c r="G493" s="135" t="str">
        <f>VLOOKUP(A493,Plano_V3!$A$26:$G$768,7,0)</f>
        <v>1. Concluído</v>
      </c>
      <c r="H493" s="135" t="s">
        <v>612</v>
      </c>
      <c r="I493" s="467"/>
      <c r="J493" s="143"/>
      <c r="K493" s="143"/>
      <c r="L493" s="489"/>
      <c r="M493" s="489"/>
      <c r="N493" s="143"/>
      <c r="O493" s="143"/>
      <c r="P493" s="152" t="str">
        <f>IF(VLOOKUP(A493,'Aux - pivots1'!$A:$E,3,0)=0, "",VLOOKUP(A493,'Aux - pivots1'!$A:$E,3,0))</f>
        <v/>
      </c>
      <c r="Q493" s="152" t="str">
        <f>IF(VLOOKUP(A493,'Aux - pivots1'!$A:$E,4,0)=0, "",VLOOKUP(A493,'Aux - pivots1'!$A:$E,4,0))</f>
        <v/>
      </c>
      <c r="R493" s="152" t="str">
        <f>IF(VLOOKUP(A493,'Aux - pivots1'!$A:$E,5,0)=0, "",VLOOKUP(A493,'Aux - pivots1'!$A:$E,5,0))</f>
        <v/>
      </c>
      <c r="S493" s="198"/>
      <c r="T493" s="198"/>
      <c r="U493" s="198"/>
      <c r="V493" s="320"/>
      <c r="W493" s="320"/>
      <c r="X493" s="320"/>
      <c r="Y493" s="368" t="s">
        <v>2320</v>
      </c>
      <c r="Z493" s="319"/>
    </row>
    <row r="494" spans="1:26" ht="16.399999999999999" hidden="1" customHeight="1">
      <c r="A494" s="29" t="str">
        <f t="shared" si="7"/>
        <v>modesg_inp_nfrd_alinhamento_taxce_capex_ttl_elgbl</v>
      </c>
      <c r="B494" s="141" t="s">
        <v>26</v>
      </c>
      <c r="C494" s="137" t="s">
        <v>181</v>
      </c>
      <c r="D494" s="133" t="s">
        <v>40</v>
      </c>
      <c r="E494" s="134" t="s">
        <v>215</v>
      </c>
      <c r="F494" s="470" t="s">
        <v>276</v>
      </c>
      <c r="G494" s="135" t="str">
        <f>VLOOKUP(A494,Plano_V3!$A$26:$G$768,7,0)</f>
        <v>1. Concluído</v>
      </c>
      <c r="H494" s="135" t="s">
        <v>612</v>
      </c>
      <c r="I494" s="467"/>
      <c r="J494" s="143"/>
      <c r="K494" s="143"/>
      <c r="L494" s="489"/>
      <c r="M494" s="489"/>
      <c r="N494" s="143"/>
      <c r="O494" s="143"/>
      <c r="P494" s="152" t="str">
        <f>IF(VLOOKUP(A494,'Aux - pivots1'!$A:$E,3,0)=0, "",VLOOKUP(A494,'Aux - pivots1'!$A:$E,3,0))</f>
        <v/>
      </c>
      <c r="Q494" s="152" t="str">
        <f>IF(VLOOKUP(A494,'Aux - pivots1'!$A:$E,4,0)=0, "",VLOOKUP(A494,'Aux - pivots1'!$A:$E,4,0))</f>
        <v/>
      </c>
      <c r="R494" s="152" t="str">
        <f>IF(VLOOKUP(A494,'Aux - pivots1'!$A:$E,5,0)=0, "",VLOOKUP(A494,'Aux - pivots1'!$A:$E,5,0))</f>
        <v/>
      </c>
      <c r="S494" s="198"/>
      <c r="T494" s="198"/>
      <c r="U494" s="198"/>
      <c r="V494" s="320"/>
      <c r="W494" s="320"/>
      <c r="X494" s="320"/>
      <c r="Y494" s="368" t="s">
        <v>2320</v>
      </c>
      <c r="Z494" s="319"/>
    </row>
    <row r="495" spans="1:26" ht="16.399999999999999" hidden="1" customHeight="1">
      <c r="A495" s="29" t="str">
        <f t="shared" si="7"/>
        <v>modesg_inp_nfrd_alinhamento_taxce_capex_enblng_algnd</v>
      </c>
      <c r="B495" s="141" t="s">
        <v>26</v>
      </c>
      <c r="C495" s="137" t="s">
        <v>181</v>
      </c>
      <c r="D495" s="133" t="s">
        <v>40</v>
      </c>
      <c r="E495" s="134" t="s">
        <v>215</v>
      </c>
      <c r="F495" s="470" t="s">
        <v>277</v>
      </c>
      <c r="G495" s="135" t="str">
        <f>VLOOKUP(A495,Plano_V3!$A$26:$G$768,7,0)</f>
        <v>1. Concluído</v>
      </c>
      <c r="H495" s="135" t="s">
        <v>612</v>
      </c>
      <c r="I495" s="467"/>
      <c r="J495" s="143"/>
      <c r="K495" s="143"/>
      <c r="L495" s="489"/>
      <c r="M495" s="489"/>
      <c r="N495" s="143"/>
      <c r="O495" s="143"/>
      <c r="P495" s="152" t="str">
        <f>IF(VLOOKUP(A495,'Aux - pivots1'!$A:$E,3,0)=0, "",VLOOKUP(A495,'Aux - pivots1'!$A:$E,3,0))</f>
        <v/>
      </c>
      <c r="Q495" s="152" t="str">
        <f>IF(VLOOKUP(A495,'Aux - pivots1'!$A:$E,4,0)=0, "",VLOOKUP(A495,'Aux - pivots1'!$A:$E,4,0))</f>
        <v/>
      </c>
      <c r="R495" s="152" t="str">
        <f>IF(VLOOKUP(A495,'Aux - pivots1'!$A:$E,5,0)=0, "",VLOOKUP(A495,'Aux - pivots1'!$A:$E,5,0))</f>
        <v/>
      </c>
      <c r="S495" s="198"/>
      <c r="T495" s="198"/>
      <c r="U495" s="198"/>
      <c r="V495" s="320"/>
      <c r="W495" s="320"/>
      <c r="X495" s="320"/>
      <c r="Y495" s="368" t="s">
        <v>2320</v>
      </c>
      <c r="Z495" s="319"/>
    </row>
    <row r="496" spans="1:26" ht="16.399999999999999" hidden="1" customHeight="1">
      <c r="A496" s="29" t="str">
        <f t="shared" si="7"/>
        <v>modesg_inp_nfrd_alinhamento_taxce_capex_own_prfrmnce_algnd</v>
      </c>
      <c r="B496" s="141" t="s">
        <v>26</v>
      </c>
      <c r="C496" s="137" t="s">
        <v>181</v>
      </c>
      <c r="D496" s="133" t="s">
        <v>40</v>
      </c>
      <c r="E496" s="134" t="s">
        <v>215</v>
      </c>
      <c r="F496" s="470" t="s">
        <v>278</v>
      </c>
      <c r="G496" s="135" t="str">
        <f>VLOOKUP(A496,Plano_V3!$A$26:$G$768,7,0)</f>
        <v>1. Concluído</v>
      </c>
      <c r="H496" s="135" t="s">
        <v>612</v>
      </c>
      <c r="I496" s="467"/>
      <c r="J496" s="143"/>
      <c r="K496" s="143"/>
      <c r="L496" s="489"/>
      <c r="M496" s="489"/>
      <c r="N496" s="143"/>
      <c r="O496" s="143"/>
      <c r="P496" s="152" t="str">
        <f>IF(VLOOKUP(A496,'Aux - pivots1'!$A:$E,3,0)=0, "",VLOOKUP(A496,'Aux - pivots1'!$A:$E,3,0))</f>
        <v/>
      </c>
      <c r="Q496" s="152" t="str">
        <f>IF(VLOOKUP(A496,'Aux - pivots1'!$A:$E,4,0)=0, "",VLOOKUP(A496,'Aux - pivots1'!$A:$E,4,0))</f>
        <v/>
      </c>
      <c r="R496" s="152" t="str">
        <f>IF(VLOOKUP(A496,'Aux - pivots1'!$A:$E,5,0)=0, "",VLOOKUP(A496,'Aux - pivots1'!$A:$E,5,0))</f>
        <v/>
      </c>
      <c r="S496" s="198"/>
      <c r="T496" s="198"/>
      <c r="U496" s="198"/>
      <c r="V496" s="320"/>
      <c r="W496" s="320"/>
      <c r="X496" s="320"/>
      <c r="Y496" s="368" t="s">
        <v>2320</v>
      </c>
      <c r="Z496" s="319"/>
    </row>
    <row r="497" spans="1:26" ht="16.399999999999999" hidden="1" customHeight="1">
      <c r="A497" s="29" t="str">
        <f t="shared" si="7"/>
        <v>modesg_inp_risco_fisicoref_date</v>
      </c>
      <c r="B497" s="141" t="s">
        <v>26</v>
      </c>
      <c r="C497" s="137" t="s">
        <v>181</v>
      </c>
      <c r="D497" s="133" t="s">
        <v>40</v>
      </c>
      <c r="E497" s="134" t="s">
        <v>216</v>
      </c>
      <c r="F497" s="470" t="s">
        <v>208</v>
      </c>
      <c r="G497" s="135" t="str">
        <f>VLOOKUP(A497,Plano_V3!$A$26:$G$768,7,0)</f>
        <v>1. Concluído</v>
      </c>
      <c r="H497" s="135" t="s">
        <v>612</v>
      </c>
      <c r="I497" s="467"/>
      <c r="J497" s="153"/>
      <c r="K497" s="153"/>
      <c r="L497" s="153"/>
      <c r="M497" s="153"/>
      <c r="N497" s="487"/>
      <c r="O497" s="153"/>
      <c r="P497" s="152" t="str">
        <f>IF(VLOOKUP(A497,'Aux - pivots1'!$A:$E,3,0)=0, "",VLOOKUP(A497,'Aux - pivots1'!$A:$E,3,0))</f>
        <v/>
      </c>
      <c r="Q497" s="152" t="str">
        <f>IF(VLOOKUP(A497,'Aux - pivots1'!$A:$E,4,0)=0, "",VLOOKUP(A497,'Aux - pivots1'!$A:$E,4,0))</f>
        <v/>
      </c>
      <c r="R497" s="152" t="str">
        <f>IF(VLOOKUP(A497,'Aux - pivots1'!$A:$E,5,0)=0, "",VLOOKUP(A497,'Aux - pivots1'!$A:$E,5,0))</f>
        <v/>
      </c>
      <c r="S497" s="198"/>
      <c r="T497" s="198"/>
      <c r="U497" s="198"/>
      <c r="V497" s="320"/>
      <c r="W497" s="320"/>
      <c r="X497" s="320"/>
      <c r="Y497" s="368" t="s">
        <v>2320</v>
      </c>
      <c r="Z497" s="319"/>
    </row>
    <row r="498" spans="1:26" ht="16.399999999999999" hidden="1" customHeight="1">
      <c r="A498" s="29" t="str">
        <f t="shared" si="7"/>
        <v>modesg_inp_risco_fisicocod_pais</v>
      </c>
      <c r="B498" s="141" t="s">
        <v>26</v>
      </c>
      <c r="C498" s="137" t="s">
        <v>181</v>
      </c>
      <c r="D498" s="133" t="s">
        <v>40</v>
      </c>
      <c r="E498" s="134" t="s">
        <v>216</v>
      </c>
      <c r="F498" s="470" t="s">
        <v>279</v>
      </c>
      <c r="G498" s="135" t="str">
        <f>VLOOKUP(A498,Plano_V3!$A$26:$G$768,7,0)</f>
        <v>1. Concluído</v>
      </c>
      <c r="H498" s="135" t="s">
        <v>612</v>
      </c>
      <c r="I498" s="467"/>
      <c r="J498" s="153"/>
      <c r="K498" s="153"/>
      <c r="L498" s="153"/>
      <c r="M498" s="153"/>
      <c r="N498" s="487"/>
      <c r="O498" s="153"/>
      <c r="P498" s="152" t="str">
        <f>IF(VLOOKUP(A498,'Aux - pivots1'!$A:$E,3,0)=0, "",VLOOKUP(A498,'Aux - pivots1'!$A:$E,3,0))</f>
        <v/>
      </c>
      <c r="Q498" s="152" t="str">
        <f>IF(VLOOKUP(A498,'Aux - pivots1'!$A:$E,4,0)=0, "",VLOOKUP(A498,'Aux - pivots1'!$A:$E,4,0))</f>
        <v/>
      </c>
      <c r="R498" s="152" t="str">
        <f>IF(VLOOKUP(A498,'Aux - pivots1'!$A:$E,5,0)=0, "",VLOOKUP(A498,'Aux - pivots1'!$A:$E,5,0))</f>
        <v/>
      </c>
      <c r="S498" s="198"/>
      <c r="T498" s="198"/>
      <c r="U498" s="198"/>
      <c r="V498" s="320"/>
      <c r="W498" s="320"/>
      <c r="X498" s="320"/>
      <c r="Y498" s="368" t="s">
        <v>2320</v>
      </c>
      <c r="Z498" s="319"/>
    </row>
    <row r="499" spans="1:26" ht="16.399999999999999" hidden="1" customHeight="1">
      <c r="A499" s="29" t="str">
        <f t="shared" si="7"/>
        <v>modesg_inp_risco_fisicocod_nutiii</v>
      </c>
      <c r="B499" s="141" t="s">
        <v>26</v>
      </c>
      <c r="C499" s="137" t="s">
        <v>181</v>
      </c>
      <c r="D499" s="133" t="s">
        <v>40</v>
      </c>
      <c r="E499" s="134" t="s">
        <v>216</v>
      </c>
      <c r="F499" s="470" t="s">
        <v>280</v>
      </c>
      <c r="G499" s="135" t="str">
        <f>VLOOKUP(A499,Plano_V3!$A$26:$G$768,7,0)</f>
        <v>1. Concluído</v>
      </c>
      <c r="H499" s="135" t="s">
        <v>612</v>
      </c>
      <c r="I499" s="467"/>
      <c r="J499" s="153"/>
      <c r="K499" s="153"/>
      <c r="L499" s="153"/>
      <c r="M499" s="153"/>
      <c r="N499" s="487"/>
      <c r="O499" s="153"/>
      <c r="P499" s="152" t="str">
        <f>IF(VLOOKUP(A499,'Aux - pivots1'!$A:$E,3,0)=0, "",VLOOKUP(A499,'Aux - pivots1'!$A:$E,3,0))</f>
        <v/>
      </c>
      <c r="Q499" s="152" t="str">
        <f>IF(VLOOKUP(A499,'Aux - pivots1'!$A:$E,4,0)=0, "",VLOOKUP(A499,'Aux - pivots1'!$A:$E,4,0))</f>
        <v/>
      </c>
      <c r="R499" s="152" t="str">
        <f>IF(VLOOKUP(A499,'Aux - pivots1'!$A:$E,5,0)=0, "",VLOOKUP(A499,'Aux - pivots1'!$A:$E,5,0))</f>
        <v/>
      </c>
      <c r="S499" s="198"/>
      <c r="T499" s="198"/>
      <c r="U499" s="198"/>
      <c r="V499" s="320"/>
      <c r="W499" s="320"/>
      <c r="X499" s="320"/>
      <c r="Y499" s="368" t="s">
        <v>2320</v>
      </c>
      <c r="Z499" s="319"/>
    </row>
    <row r="500" spans="1:26" ht="16.399999999999999" hidden="1" customHeight="1">
      <c r="A500" s="29" t="str">
        <f t="shared" si="7"/>
        <v>modesg_inp_risco_fisicocod_nace_esg</v>
      </c>
      <c r="B500" s="141" t="s">
        <v>26</v>
      </c>
      <c r="C500" s="137" t="s">
        <v>181</v>
      </c>
      <c r="D500" s="133" t="s">
        <v>40</v>
      </c>
      <c r="E500" s="134" t="s">
        <v>216</v>
      </c>
      <c r="F500" s="470" t="s">
        <v>281</v>
      </c>
      <c r="G500" s="135" t="str">
        <f>VLOOKUP(A500,Plano_V3!$A$26:$G$768,7,0)</f>
        <v>1. Concluído</v>
      </c>
      <c r="H500" s="135" t="s">
        <v>612</v>
      </c>
      <c r="I500" s="467"/>
      <c r="J500" s="153"/>
      <c r="K500" s="153"/>
      <c r="L500" s="153"/>
      <c r="M500" s="153"/>
      <c r="N500" s="487"/>
      <c r="O500" s="153"/>
      <c r="P500" s="152" t="str">
        <f>IF(VLOOKUP(A500,'Aux - pivots1'!$A:$E,3,0)=0, "",VLOOKUP(A500,'Aux - pivots1'!$A:$E,3,0))</f>
        <v/>
      </c>
      <c r="Q500" s="152" t="str">
        <f>IF(VLOOKUP(A500,'Aux - pivots1'!$A:$E,4,0)=0, "",VLOOKUP(A500,'Aux - pivots1'!$A:$E,4,0))</f>
        <v/>
      </c>
      <c r="R500" s="152" t="str">
        <f>IF(VLOOKUP(A500,'Aux - pivots1'!$A:$E,5,0)=0, "",VLOOKUP(A500,'Aux - pivots1'!$A:$E,5,0))</f>
        <v/>
      </c>
      <c r="S500" s="198"/>
      <c r="T500" s="198"/>
      <c r="U500" s="198"/>
      <c r="V500" s="320"/>
      <c r="W500" s="320"/>
      <c r="X500" s="320"/>
      <c r="Y500" s="368" t="s">
        <v>2320</v>
      </c>
      <c r="Z500" s="319"/>
    </row>
    <row r="501" spans="1:26" ht="16.399999999999999" hidden="1" customHeight="1">
      <c r="A501" s="29" t="str">
        <f t="shared" si="7"/>
        <v>modesg_inp_risco_fisicoflg_rsc_fsc_agd</v>
      </c>
      <c r="B501" s="141" t="s">
        <v>26</v>
      </c>
      <c r="C501" s="137" t="s">
        <v>181</v>
      </c>
      <c r="D501" s="133" t="s">
        <v>40</v>
      </c>
      <c r="E501" s="134" t="s">
        <v>216</v>
      </c>
      <c r="F501" s="470" t="s">
        <v>282</v>
      </c>
      <c r="G501" s="135" t="str">
        <f>VLOOKUP(A501,Plano_V3!$A$26:$G$768,7,0)</f>
        <v>1. Concluído</v>
      </c>
      <c r="H501" s="135" t="s">
        <v>612</v>
      </c>
      <c r="I501" s="467"/>
      <c r="J501" s="153"/>
      <c r="K501" s="153"/>
      <c r="L501" s="153"/>
      <c r="M501" s="153"/>
      <c r="N501" s="487"/>
      <c r="O501" s="153"/>
      <c r="P501" s="152" t="str">
        <f>IF(VLOOKUP(A501,'Aux - pivots1'!$A:$E,3,0)=0, "",VLOOKUP(A501,'Aux - pivots1'!$A:$E,3,0))</f>
        <v/>
      </c>
      <c r="Q501" s="152" t="str">
        <f>IF(VLOOKUP(A501,'Aux - pivots1'!$A:$E,4,0)=0, "",VLOOKUP(A501,'Aux - pivots1'!$A:$E,4,0))</f>
        <v/>
      </c>
      <c r="R501" s="152" t="str">
        <f>IF(VLOOKUP(A501,'Aux - pivots1'!$A:$E,5,0)=0, "",VLOOKUP(A501,'Aux - pivots1'!$A:$E,5,0))</f>
        <v/>
      </c>
      <c r="S501" s="198"/>
      <c r="T501" s="198"/>
      <c r="U501" s="198"/>
      <c r="V501" s="320"/>
      <c r="W501" s="320"/>
      <c r="X501" s="320"/>
      <c r="Y501" s="368" t="s">
        <v>2320</v>
      </c>
      <c r="Z501" s="319"/>
    </row>
    <row r="502" spans="1:26" ht="16.399999999999999" hidden="1" customHeight="1">
      <c r="A502" s="29" t="str">
        <f t="shared" si="7"/>
        <v>modesg_inp_risco_fisicoflg_rsc_fsc_crnc</v>
      </c>
      <c r="B502" s="141" t="s">
        <v>26</v>
      </c>
      <c r="C502" s="137" t="s">
        <v>181</v>
      </c>
      <c r="D502" s="133" t="s">
        <v>40</v>
      </c>
      <c r="E502" s="134" t="s">
        <v>216</v>
      </c>
      <c r="F502" s="470" t="s">
        <v>283</v>
      </c>
      <c r="G502" s="135" t="str">
        <f>VLOOKUP(A502,Plano_V3!$A$26:$G$768,7,0)</f>
        <v>1. Concluído</v>
      </c>
      <c r="H502" s="135" t="s">
        <v>612</v>
      </c>
      <c r="I502" s="467"/>
      <c r="J502" s="153"/>
      <c r="K502" s="153"/>
      <c r="L502" s="153"/>
      <c r="M502" s="153"/>
      <c r="N502" s="487"/>
      <c r="O502" s="153"/>
      <c r="P502" s="152" t="str">
        <f>IF(VLOOKUP(A502,'Aux - pivots1'!$A:$E,3,0)=0, "",VLOOKUP(A502,'Aux - pivots1'!$A:$E,3,0))</f>
        <v/>
      </c>
      <c r="Q502" s="152" t="str">
        <f>IF(VLOOKUP(A502,'Aux - pivots1'!$A:$E,4,0)=0, "",VLOOKUP(A502,'Aux - pivots1'!$A:$E,4,0))</f>
        <v/>
      </c>
      <c r="R502" s="152" t="str">
        <f>IF(VLOOKUP(A502,'Aux - pivots1'!$A:$E,5,0)=0, "",VLOOKUP(A502,'Aux - pivots1'!$A:$E,5,0))</f>
        <v/>
      </c>
      <c r="S502" s="198"/>
      <c r="T502" s="198"/>
      <c r="U502" s="198"/>
      <c r="V502" s="320"/>
      <c r="W502" s="320"/>
      <c r="X502" s="320"/>
      <c r="Y502" s="368" t="s">
        <v>2320</v>
      </c>
      <c r="Z502" s="319"/>
    </row>
    <row r="503" spans="1:26" ht="16.399999999999999" hidden="1" customHeight="1">
      <c r="A503" s="29" t="str">
        <f t="shared" si="7"/>
        <v>modesg_inp_emss_scibref_date</v>
      </c>
      <c r="B503" s="141" t="s">
        <v>26</v>
      </c>
      <c r="C503" s="137" t="s">
        <v>181</v>
      </c>
      <c r="D503" s="133" t="s">
        <v>40</v>
      </c>
      <c r="E503" s="134" t="s">
        <v>217</v>
      </c>
      <c r="F503" s="470" t="s">
        <v>208</v>
      </c>
      <c r="G503" s="135" t="str">
        <f>VLOOKUP(A503,Plano_V3!$A$26:$G$768,7,0)</f>
        <v>1. Concluído</v>
      </c>
      <c r="H503" s="135" t="s">
        <v>612</v>
      </c>
      <c r="I503" s="467"/>
      <c r="J503" s="153"/>
      <c r="K503" s="153"/>
      <c r="L503" s="153"/>
      <c r="M503" s="153"/>
      <c r="N503" s="487"/>
      <c r="O503" s="153"/>
      <c r="P503" s="152" t="str">
        <f>IF(VLOOKUP(A503,'Aux - pivots1'!$A:$E,3,0)=0, "",VLOOKUP(A503,'Aux - pivots1'!$A:$E,3,0))</f>
        <v/>
      </c>
      <c r="Q503" s="152" t="str">
        <f>IF(VLOOKUP(A503,'Aux - pivots1'!$A:$E,4,0)=0, "",VLOOKUP(A503,'Aux - pivots1'!$A:$E,4,0))</f>
        <v/>
      </c>
      <c r="R503" s="152" t="str">
        <f>IF(VLOOKUP(A503,'Aux - pivots1'!$A:$E,5,0)=0, "",VLOOKUP(A503,'Aux - pivots1'!$A:$E,5,0))</f>
        <v/>
      </c>
      <c r="S503" s="198"/>
      <c r="T503" s="198"/>
      <c r="U503" s="198"/>
      <c r="V503" s="320"/>
      <c r="W503" s="320"/>
      <c r="X503" s="320"/>
      <c r="Y503" s="368" t="s">
        <v>2320</v>
      </c>
      <c r="Z503" s="319"/>
    </row>
    <row r="504" spans="1:26" ht="16.399999999999999" hidden="1" customHeight="1">
      <c r="A504" s="29" t="str">
        <f t="shared" si="7"/>
        <v>modesg_inp_emss_scibccli_kgl</v>
      </c>
      <c r="B504" s="141" t="s">
        <v>26</v>
      </c>
      <c r="C504" s="137" t="s">
        <v>181</v>
      </c>
      <c r="D504" s="133" t="s">
        <v>40</v>
      </c>
      <c r="E504" s="134" t="s">
        <v>217</v>
      </c>
      <c r="F504" s="470" t="s">
        <v>240</v>
      </c>
      <c r="G504" s="135" t="str">
        <f>VLOOKUP(A504,Plano_V3!$A$26:$G$768,7,0)</f>
        <v>1. Concluído</v>
      </c>
      <c r="H504" s="135" t="s">
        <v>612</v>
      </c>
      <c r="I504" s="467"/>
      <c r="J504" s="153"/>
      <c r="K504" s="153"/>
      <c r="L504" s="153"/>
      <c r="M504" s="153"/>
      <c r="N504" s="487"/>
      <c r="O504" s="153"/>
      <c r="P504" s="152" t="str">
        <f>IF(VLOOKUP(A504,'Aux - pivots1'!$A:$E,3,0)=0, "",VLOOKUP(A504,'Aux - pivots1'!$A:$E,3,0))</f>
        <v/>
      </c>
      <c r="Q504" s="152" t="str">
        <f>IF(VLOOKUP(A504,'Aux - pivots1'!$A:$E,4,0)=0, "",VLOOKUP(A504,'Aux - pivots1'!$A:$E,4,0))</f>
        <v/>
      </c>
      <c r="R504" s="152" t="str">
        <f>IF(VLOOKUP(A504,'Aux - pivots1'!$A:$E,5,0)=0, "",VLOOKUP(A504,'Aux - pivots1'!$A:$E,5,0))</f>
        <v/>
      </c>
      <c r="S504" s="198"/>
      <c r="T504" s="198"/>
      <c r="U504" s="198"/>
      <c r="V504" s="320"/>
      <c r="W504" s="320"/>
      <c r="X504" s="320"/>
      <c r="Y504" s="368" t="s">
        <v>2320</v>
      </c>
      <c r="Z504" s="319"/>
    </row>
    <row r="505" spans="1:26" ht="16.399999999999999" hidden="1" customHeight="1">
      <c r="A505" s="29" t="str">
        <f t="shared" si="7"/>
        <v>modesg_inp_emss_scibnome_grupo</v>
      </c>
      <c r="B505" s="141" t="s">
        <v>26</v>
      </c>
      <c r="C505" s="137" t="s">
        <v>181</v>
      </c>
      <c r="D505" s="133" t="s">
        <v>40</v>
      </c>
      <c r="E505" s="134" t="s">
        <v>217</v>
      </c>
      <c r="F505" s="470" t="s">
        <v>284</v>
      </c>
      <c r="G505" s="135" t="str">
        <f>VLOOKUP(A505,Plano_V3!$A$26:$G$768,7,0)</f>
        <v>1. Concluído</v>
      </c>
      <c r="H505" s="135" t="s">
        <v>612</v>
      </c>
      <c r="I505" s="467"/>
      <c r="J505" s="153"/>
      <c r="K505" s="153"/>
      <c r="L505" s="153"/>
      <c r="M505" s="153"/>
      <c r="N505" s="487"/>
      <c r="O505" s="153"/>
      <c r="P505" s="152" t="str">
        <f>IF(VLOOKUP(A505,'Aux - pivots1'!$A:$E,3,0)=0, "",VLOOKUP(A505,'Aux - pivots1'!$A:$E,3,0))</f>
        <v/>
      </c>
      <c r="Q505" s="152" t="str">
        <f>IF(VLOOKUP(A505,'Aux - pivots1'!$A:$E,4,0)=0, "",VLOOKUP(A505,'Aux - pivots1'!$A:$E,4,0))</f>
        <v/>
      </c>
      <c r="R505" s="152" t="str">
        <f>IF(VLOOKUP(A505,'Aux - pivots1'!$A:$E,5,0)=0, "",VLOOKUP(A505,'Aux - pivots1'!$A:$E,5,0))</f>
        <v/>
      </c>
      <c r="S505" s="198"/>
      <c r="T505" s="198"/>
      <c r="U505" s="198"/>
      <c r="V505" s="320"/>
      <c r="W505" s="320"/>
      <c r="X505" s="320"/>
      <c r="Y505" s="368" t="s">
        <v>2320</v>
      </c>
      <c r="Z505" s="319"/>
    </row>
    <row r="506" spans="1:26" ht="16.399999999999999" hidden="1" customHeight="1">
      <c r="A506" s="29" t="str">
        <f t="shared" si="7"/>
        <v>modesg_inp_emss_scibisin</v>
      </c>
      <c r="B506" s="141" t="s">
        <v>26</v>
      </c>
      <c r="C506" s="137" t="s">
        <v>181</v>
      </c>
      <c r="D506" s="133" t="s">
        <v>40</v>
      </c>
      <c r="E506" s="134" t="s">
        <v>217</v>
      </c>
      <c r="F506" s="470" t="s">
        <v>238</v>
      </c>
      <c r="G506" s="135" t="str">
        <f>VLOOKUP(A506,Plano_V3!$A$26:$G$768,7,0)</f>
        <v>1. Concluído</v>
      </c>
      <c r="H506" s="135" t="s">
        <v>612</v>
      </c>
      <c r="I506" s="467"/>
      <c r="J506" s="153"/>
      <c r="K506" s="153"/>
      <c r="L506" s="153"/>
      <c r="M506" s="153"/>
      <c r="N506" s="487"/>
      <c r="O506" s="153"/>
      <c r="P506" s="152" t="str">
        <f>IF(VLOOKUP(A506,'Aux - pivots1'!$A:$E,3,0)=0, "",VLOOKUP(A506,'Aux - pivots1'!$A:$E,3,0))</f>
        <v/>
      </c>
      <c r="Q506" s="152" t="str">
        <f>IF(VLOOKUP(A506,'Aux - pivots1'!$A:$E,4,0)=0, "",VLOOKUP(A506,'Aux - pivots1'!$A:$E,4,0))</f>
        <v/>
      </c>
      <c r="R506" s="152" t="str">
        <f>IF(VLOOKUP(A506,'Aux - pivots1'!$A:$E,5,0)=0, "",VLOOKUP(A506,'Aux - pivots1'!$A:$E,5,0))</f>
        <v/>
      </c>
      <c r="S506" s="198"/>
      <c r="T506" s="198"/>
      <c r="U506" s="198"/>
      <c r="V506" s="320"/>
      <c r="W506" s="320"/>
      <c r="X506" s="320"/>
      <c r="Y506" s="368" t="s">
        <v>2320</v>
      </c>
      <c r="Z506" s="319"/>
    </row>
    <row r="507" spans="1:26" ht="16.399999999999999" hidden="1" customHeight="1">
      <c r="A507" s="29" t="str">
        <f t="shared" si="7"/>
        <v>modesg_inp_emss_scibclei</v>
      </c>
      <c r="B507" s="141" t="s">
        <v>26</v>
      </c>
      <c r="C507" s="137" t="s">
        <v>181</v>
      </c>
      <c r="D507" s="133" t="s">
        <v>40</v>
      </c>
      <c r="E507" s="134" t="s">
        <v>217</v>
      </c>
      <c r="F507" s="470" t="s">
        <v>239</v>
      </c>
      <c r="G507" s="135" t="str">
        <f>VLOOKUP(A507,Plano_V3!$A$26:$G$768,7,0)</f>
        <v>1. Concluído</v>
      </c>
      <c r="H507" s="135" t="s">
        <v>612</v>
      </c>
      <c r="I507" s="467"/>
      <c r="J507" s="153"/>
      <c r="K507" s="153"/>
      <c r="L507" s="153"/>
      <c r="M507" s="153"/>
      <c r="N507" s="487"/>
      <c r="O507" s="153"/>
      <c r="P507" s="152" t="str">
        <f>IF(VLOOKUP(A507,'Aux - pivots1'!$A:$E,3,0)=0, "",VLOOKUP(A507,'Aux - pivots1'!$A:$E,3,0))</f>
        <v/>
      </c>
      <c r="Q507" s="152" t="str">
        <f>IF(VLOOKUP(A507,'Aux - pivots1'!$A:$E,4,0)=0, "",VLOOKUP(A507,'Aux - pivots1'!$A:$E,4,0))</f>
        <v/>
      </c>
      <c r="R507" s="152" t="str">
        <f>IF(VLOOKUP(A507,'Aux - pivots1'!$A:$E,5,0)=0, "",VLOOKUP(A507,'Aux - pivots1'!$A:$E,5,0))</f>
        <v/>
      </c>
      <c r="S507" s="198"/>
      <c r="T507" s="198"/>
      <c r="U507" s="198"/>
      <c r="V507" s="320"/>
      <c r="W507" s="320"/>
      <c r="X507" s="320"/>
      <c r="Y507" s="368" t="s">
        <v>2320</v>
      </c>
      <c r="Z507" s="319"/>
    </row>
    <row r="508" spans="1:26" ht="16.399999999999999" hidden="1" customHeight="1">
      <c r="A508" s="29" t="str">
        <f t="shared" si="7"/>
        <v>modesg_inp_emss_scibscp1_emss</v>
      </c>
      <c r="B508" s="141" t="s">
        <v>26</v>
      </c>
      <c r="C508" s="137" t="s">
        <v>181</v>
      </c>
      <c r="D508" s="133" t="s">
        <v>40</v>
      </c>
      <c r="E508" s="134" t="s">
        <v>217</v>
      </c>
      <c r="F508" s="470" t="s">
        <v>285</v>
      </c>
      <c r="G508" s="135" t="str">
        <f>VLOOKUP(A508,Plano_V3!$A$26:$G$768,7,0)</f>
        <v>1. Concluído</v>
      </c>
      <c r="H508" s="135" t="s">
        <v>612</v>
      </c>
      <c r="I508" s="467"/>
      <c r="J508" s="142"/>
      <c r="K508" s="142"/>
      <c r="L508" s="153"/>
      <c r="M508" s="153"/>
      <c r="N508" s="142"/>
      <c r="O508" s="142"/>
      <c r="P508" s="152" t="str">
        <f>IF(VLOOKUP(A508,'Aux - pivots1'!$A:$E,3,0)=0, "",VLOOKUP(A508,'Aux - pivots1'!$A:$E,3,0))</f>
        <v/>
      </c>
      <c r="Q508" s="152" t="str">
        <f>IF(VLOOKUP(A508,'Aux - pivots1'!$A:$E,4,0)=0, "",VLOOKUP(A508,'Aux - pivots1'!$A:$E,4,0))</f>
        <v/>
      </c>
      <c r="R508" s="152" t="str">
        <f>IF(VLOOKUP(A508,'Aux - pivots1'!$A:$E,5,0)=0, "",VLOOKUP(A508,'Aux - pivots1'!$A:$E,5,0))</f>
        <v/>
      </c>
      <c r="S508" s="198"/>
      <c r="T508" s="198"/>
      <c r="U508" s="198"/>
      <c r="V508" s="320"/>
      <c r="W508" s="320"/>
      <c r="X508" s="320"/>
      <c r="Y508" s="368" t="s">
        <v>2320</v>
      </c>
      <c r="Z508" s="319"/>
    </row>
    <row r="509" spans="1:26" ht="16.399999999999999" hidden="1" customHeight="1">
      <c r="A509" s="29" t="str">
        <f t="shared" si="7"/>
        <v>modesg_inp_emss_scibscp2_emss</v>
      </c>
      <c r="B509" s="141" t="s">
        <v>26</v>
      </c>
      <c r="C509" s="137" t="s">
        <v>181</v>
      </c>
      <c r="D509" s="133" t="s">
        <v>40</v>
      </c>
      <c r="E509" s="134" t="s">
        <v>217</v>
      </c>
      <c r="F509" s="470" t="s">
        <v>286</v>
      </c>
      <c r="G509" s="135" t="str">
        <f>VLOOKUP(A509,Plano_V3!$A$26:$G$768,7,0)</f>
        <v>1. Concluído</v>
      </c>
      <c r="H509" s="135" t="s">
        <v>612</v>
      </c>
      <c r="I509" s="467"/>
      <c r="J509" s="142"/>
      <c r="K509" s="142"/>
      <c r="L509" s="153"/>
      <c r="M509" s="153"/>
      <c r="N509" s="142"/>
      <c r="O509" s="142"/>
      <c r="P509" s="152" t="str">
        <f>IF(VLOOKUP(A509,'Aux - pivots1'!$A:$E,3,0)=0, "",VLOOKUP(A509,'Aux - pivots1'!$A:$E,3,0))</f>
        <v/>
      </c>
      <c r="Q509" s="152" t="str">
        <f>IF(VLOOKUP(A509,'Aux - pivots1'!$A:$E,4,0)=0, "",VLOOKUP(A509,'Aux - pivots1'!$A:$E,4,0))</f>
        <v/>
      </c>
      <c r="R509" s="152" t="str">
        <f>IF(VLOOKUP(A509,'Aux - pivots1'!$A:$E,5,0)=0, "",VLOOKUP(A509,'Aux - pivots1'!$A:$E,5,0))</f>
        <v/>
      </c>
      <c r="S509" s="198"/>
      <c r="T509" s="198"/>
      <c r="U509" s="198"/>
      <c r="V509" s="320"/>
      <c r="W509" s="320"/>
      <c r="X509" s="320"/>
      <c r="Y509" s="368" t="s">
        <v>2320</v>
      </c>
      <c r="Z509" s="319"/>
    </row>
    <row r="510" spans="1:26" ht="16.399999999999999" hidden="1" customHeight="1">
      <c r="A510" s="29" t="str">
        <f t="shared" si="7"/>
        <v>modesg_inp_emss_scibscp3_emss</v>
      </c>
      <c r="B510" s="141" t="s">
        <v>26</v>
      </c>
      <c r="C510" s="137" t="s">
        <v>181</v>
      </c>
      <c r="D510" s="133" t="s">
        <v>40</v>
      </c>
      <c r="E510" s="134" t="s">
        <v>217</v>
      </c>
      <c r="F510" s="470" t="s">
        <v>287</v>
      </c>
      <c r="G510" s="135" t="str">
        <f>VLOOKUP(A510,Plano_V3!$A$26:$G$768,7,0)</f>
        <v>1. Concluído</v>
      </c>
      <c r="H510" s="135" t="s">
        <v>612</v>
      </c>
      <c r="I510" s="467"/>
      <c r="J510" s="153"/>
      <c r="K510" s="153"/>
      <c r="L510" s="153"/>
      <c r="M510" s="153"/>
      <c r="N510" s="487"/>
      <c r="O510" s="153"/>
      <c r="P510" s="152" t="str">
        <f>IF(VLOOKUP(A510,'Aux - pivots1'!$A:$E,3,0)=0, "",VLOOKUP(A510,'Aux - pivots1'!$A:$E,3,0))</f>
        <v/>
      </c>
      <c r="Q510" s="152" t="str">
        <f>IF(VLOOKUP(A510,'Aux - pivots1'!$A:$E,4,0)=0, "",VLOOKUP(A510,'Aux - pivots1'!$A:$E,4,0))</f>
        <v/>
      </c>
      <c r="R510" s="152" t="str">
        <f>IF(VLOOKUP(A510,'Aux - pivots1'!$A:$E,5,0)=0, "",VLOOKUP(A510,'Aux - pivots1'!$A:$E,5,0))</f>
        <v/>
      </c>
      <c r="S510" s="198"/>
      <c r="T510" s="198"/>
      <c r="U510" s="198"/>
      <c r="V510" s="320"/>
      <c r="W510" s="320"/>
      <c r="X510" s="320"/>
      <c r="Y510" s="368" t="s">
        <v>2320</v>
      </c>
      <c r="Z510" s="319"/>
    </row>
    <row r="511" spans="1:26" ht="16.399999999999999" hidden="1" customHeight="1">
      <c r="A511" s="29" t="str">
        <f t="shared" si="7"/>
        <v>modesg_inp_emss_scibscore_scp1</v>
      </c>
      <c r="B511" s="141" t="s">
        <v>26</v>
      </c>
      <c r="C511" s="137" t="s">
        <v>181</v>
      </c>
      <c r="D511" s="133" t="s">
        <v>40</v>
      </c>
      <c r="E511" s="134" t="s">
        <v>217</v>
      </c>
      <c r="F511" s="470" t="s">
        <v>288</v>
      </c>
      <c r="G511" s="135" t="str">
        <f>VLOOKUP(A511,Plano_V3!$A$26:$G$768,7,0)</f>
        <v>1. Concluído</v>
      </c>
      <c r="H511" s="135" t="s">
        <v>612</v>
      </c>
      <c r="I511" s="467"/>
      <c r="J511" s="153"/>
      <c r="K511" s="153"/>
      <c r="L511" s="153"/>
      <c r="M511" s="153"/>
      <c r="N511" s="487"/>
      <c r="O511" s="153"/>
      <c r="P511" s="152" t="str">
        <f>IF(VLOOKUP(A511,'Aux - pivots1'!$A:$E,3,0)=0, "",VLOOKUP(A511,'Aux - pivots1'!$A:$E,3,0))</f>
        <v/>
      </c>
      <c r="Q511" s="152" t="str">
        <f>IF(VLOOKUP(A511,'Aux - pivots1'!$A:$E,4,0)=0, "",VLOOKUP(A511,'Aux - pivots1'!$A:$E,4,0))</f>
        <v/>
      </c>
      <c r="R511" s="152" t="str">
        <f>IF(VLOOKUP(A511,'Aux - pivots1'!$A:$E,5,0)=0, "",VLOOKUP(A511,'Aux - pivots1'!$A:$E,5,0))</f>
        <v/>
      </c>
      <c r="S511" s="198"/>
      <c r="T511" s="198"/>
      <c r="U511" s="198"/>
      <c r="V511" s="320"/>
      <c r="W511" s="320"/>
      <c r="X511" s="320"/>
      <c r="Y511" s="368" t="s">
        <v>2320</v>
      </c>
      <c r="Z511" s="319"/>
    </row>
    <row r="512" spans="1:26" ht="16.399999999999999" hidden="1" customHeight="1">
      <c r="A512" s="29" t="str">
        <f t="shared" si="7"/>
        <v>modesg_inp_emss_scibscore_scp2</v>
      </c>
      <c r="B512" s="141" t="s">
        <v>26</v>
      </c>
      <c r="C512" s="137" t="s">
        <v>181</v>
      </c>
      <c r="D512" s="133" t="s">
        <v>40</v>
      </c>
      <c r="E512" s="134" t="s">
        <v>217</v>
      </c>
      <c r="F512" s="470" t="s">
        <v>289</v>
      </c>
      <c r="G512" s="135" t="str">
        <f>VLOOKUP(A512,Plano_V3!$A$26:$G$768,7,0)</f>
        <v>1. Concluído</v>
      </c>
      <c r="H512" s="135" t="s">
        <v>612</v>
      </c>
      <c r="I512" s="467"/>
      <c r="J512" s="153"/>
      <c r="K512" s="153"/>
      <c r="L512" s="153"/>
      <c r="M512" s="153"/>
      <c r="N512" s="487"/>
      <c r="O512" s="153"/>
      <c r="P512" s="152" t="str">
        <f>IF(VLOOKUP(A512,'Aux - pivots1'!$A:$E,3,0)=0, "",VLOOKUP(A512,'Aux - pivots1'!$A:$E,3,0))</f>
        <v/>
      </c>
      <c r="Q512" s="152" t="str">
        <f>IF(VLOOKUP(A512,'Aux - pivots1'!$A:$E,4,0)=0, "",VLOOKUP(A512,'Aux - pivots1'!$A:$E,4,0))</f>
        <v/>
      </c>
      <c r="R512" s="152" t="str">
        <f>IF(VLOOKUP(A512,'Aux - pivots1'!$A:$E,5,0)=0, "",VLOOKUP(A512,'Aux - pivots1'!$A:$E,5,0))</f>
        <v/>
      </c>
      <c r="S512" s="198"/>
      <c r="T512" s="198"/>
      <c r="U512" s="198"/>
      <c r="V512" s="320"/>
      <c r="W512" s="320"/>
      <c r="X512" s="320"/>
      <c r="Y512" s="368" t="s">
        <v>2320</v>
      </c>
      <c r="Z512" s="319"/>
    </row>
    <row r="513" spans="1:26" ht="16.399999999999999" hidden="1" customHeight="1">
      <c r="A513" s="29" t="str">
        <f t="shared" si="7"/>
        <v>modesg_inp_emss_scibscore_scp3</v>
      </c>
      <c r="B513" s="141" t="s">
        <v>26</v>
      </c>
      <c r="C513" s="137" t="s">
        <v>181</v>
      </c>
      <c r="D513" s="133" t="s">
        <v>40</v>
      </c>
      <c r="E513" s="134" t="s">
        <v>217</v>
      </c>
      <c r="F513" s="470" t="s">
        <v>290</v>
      </c>
      <c r="G513" s="135" t="str">
        <f>VLOOKUP(A513,Plano_V3!$A$26:$G$768,7,0)</f>
        <v>1. Concluído</v>
      </c>
      <c r="H513" s="135" t="s">
        <v>612</v>
      </c>
      <c r="I513" s="467"/>
      <c r="J513" s="153"/>
      <c r="K513" s="153"/>
      <c r="L513" s="153"/>
      <c r="M513" s="153"/>
      <c r="N513" s="487"/>
      <c r="O513" s="153"/>
      <c r="P513" s="152" t="str">
        <f>IF(VLOOKUP(A513,'Aux - pivots1'!$A:$E,3,0)=0, "",VLOOKUP(A513,'Aux - pivots1'!$A:$E,3,0))</f>
        <v/>
      </c>
      <c r="Q513" s="152" t="str">
        <f>IF(VLOOKUP(A513,'Aux - pivots1'!$A:$E,4,0)=0, "",VLOOKUP(A513,'Aux - pivots1'!$A:$E,4,0))</f>
        <v/>
      </c>
      <c r="R513" s="152" t="str">
        <f>IF(VLOOKUP(A513,'Aux - pivots1'!$A:$E,5,0)=0, "",VLOOKUP(A513,'Aux - pivots1'!$A:$E,5,0))</f>
        <v/>
      </c>
      <c r="S513" s="198"/>
      <c r="T513" s="198"/>
      <c r="U513" s="198"/>
      <c r="V513" s="320"/>
      <c r="W513" s="320"/>
      <c r="X513" s="320"/>
      <c r="Y513" s="368" t="s">
        <v>2320</v>
      </c>
      <c r="Z513" s="319"/>
    </row>
    <row r="514" spans="1:26" ht="16.399999999999999" hidden="1" customHeight="1">
      <c r="A514" s="29" t="str">
        <f t="shared" si="7"/>
        <v>modesg_inp_emss_sciborigem_scp1</v>
      </c>
      <c r="B514" s="141" t="s">
        <v>26</v>
      </c>
      <c r="C514" s="137" t="s">
        <v>181</v>
      </c>
      <c r="D514" s="133" t="s">
        <v>40</v>
      </c>
      <c r="E514" s="134" t="s">
        <v>217</v>
      </c>
      <c r="F514" s="470" t="s">
        <v>291</v>
      </c>
      <c r="G514" s="135" t="str">
        <f>VLOOKUP(A514,Plano_V3!$A$26:$G$768,7,0)</f>
        <v>1. Concluído</v>
      </c>
      <c r="H514" s="135" t="s">
        <v>612</v>
      </c>
      <c r="I514" s="467"/>
      <c r="J514" s="153"/>
      <c r="K514" s="153"/>
      <c r="L514" s="153"/>
      <c r="M514" s="153"/>
      <c r="N514" s="487"/>
      <c r="O514" s="153"/>
      <c r="P514" s="152" t="str">
        <f>IF(VLOOKUP(A514,'Aux - pivots1'!$A:$E,3,0)=0, "",VLOOKUP(A514,'Aux - pivots1'!$A:$E,3,0))</f>
        <v/>
      </c>
      <c r="Q514" s="152" t="str">
        <f>IF(VLOOKUP(A514,'Aux - pivots1'!$A:$E,4,0)=0, "",VLOOKUP(A514,'Aux - pivots1'!$A:$E,4,0))</f>
        <v/>
      </c>
      <c r="R514" s="152" t="str">
        <f>IF(VLOOKUP(A514,'Aux - pivots1'!$A:$E,5,0)=0, "",VLOOKUP(A514,'Aux - pivots1'!$A:$E,5,0))</f>
        <v/>
      </c>
      <c r="S514" s="198"/>
      <c r="T514" s="198"/>
      <c r="U514" s="198"/>
      <c r="V514" s="320"/>
      <c r="W514" s="320"/>
      <c r="X514" s="320"/>
      <c r="Y514" s="368" t="s">
        <v>2320</v>
      </c>
      <c r="Z514" s="319"/>
    </row>
    <row r="515" spans="1:26" ht="16.399999999999999" hidden="1" customHeight="1">
      <c r="A515" s="29" t="str">
        <f t="shared" si="7"/>
        <v>modesg_inp_emss_sciborigem_scp2</v>
      </c>
      <c r="B515" s="141" t="s">
        <v>26</v>
      </c>
      <c r="C515" s="137" t="s">
        <v>181</v>
      </c>
      <c r="D515" s="133" t="s">
        <v>40</v>
      </c>
      <c r="E515" s="134" t="s">
        <v>217</v>
      </c>
      <c r="F515" s="470" t="s">
        <v>292</v>
      </c>
      <c r="G515" s="135" t="str">
        <f>VLOOKUP(A515,Plano_V3!$A$26:$G$768,7,0)</f>
        <v>1. Concluído</v>
      </c>
      <c r="H515" s="135" t="s">
        <v>612</v>
      </c>
      <c r="I515" s="467"/>
      <c r="J515" s="153"/>
      <c r="K515" s="153"/>
      <c r="L515" s="153"/>
      <c r="M515" s="153"/>
      <c r="N515" s="487"/>
      <c r="O515" s="153"/>
      <c r="P515" s="152" t="str">
        <f>IF(VLOOKUP(A515,'Aux - pivots1'!$A:$E,3,0)=0, "",VLOOKUP(A515,'Aux - pivots1'!$A:$E,3,0))</f>
        <v/>
      </c>
      <c r="Q515" s="152" t="str">
        <f>IF(VLOOKUP(A515,'Aux - pivots1'!$A:$E,4,0)=0, "",VLOOKUP(A515,'Aux - pivots1'!$A:$E,4,0))</f>
        <v/>
      </c>
      <c r="R515" s="152" t="str">
        <f>IF(VLOOKUP(A515,'Aux - pivots1'!$A:$E,5,0)=0, "",VLOOKUP(A515,'Aux - pivots1'!$A:$E,5,0))</f>
        <v/>
      </c>
      <c r="S515" s="198"/>
      <c r="T515" s="198"/>
      <c r="U515" s="198"/>
      <c r="V515" s="320"/>
      <c r="W515" s="320"/>
      <c r="X515" s="320"/>
      <c r="Y515" s="368" t="s">
        <v>2320</v>
      </c>
      <c r="Z515" s="319"/>
    </row>
    <row r="516" spans="1:26" ht="16.399999999999999" hidden="1" customHeight="1">
      <c r="A516" s="29" t="str">
        <f t="shared" si="7"/>
        <v>modesg_inp_emss_sciborigem_scp3</v>
      </c>
      <c r="B516" s="141" t="s">
        <v>26</v>
      </c>
      <c r="C516" s="137" t="s">
        <v>181</v>
      </c>
      <c r="D516" s="133" t="s">
        <v>40</v>
      </c>
      <c r="E516" s="134" t="s">
        <v>217</v>
      </c>
      <c r="F516" s="470" t="s">
        <v>293</v>
      </c>
      <c r="G516" s="135" t="str">
        <f>VLOOKUP(A516,Plano_V3!$A$26:$G$768,7,0)</f>
        <v>1. Concluído</v>
      </c>
      <c r="H516" s="135" t="s">
        <v>612</v>
      </c>
      <c r="I516" s="467"/>
      <c r="J516" s="153"/>
      <c r="K516" s="153"/>
      <c r="L516" s="153"/>
      <c r="M516" s="153"/>
      <c r="N516" s="487"/>
      <c r="O516" s="153"/>
      <c r="P516" s="152" t="str">
        <f>IF(VLOOKUP(A516,'Aux - pivots1'!$A:$E,3,0)=0, "",VLOOKUP(A516,'Aux - pivots1'!$A:$E,3,0))</f>
        <v/>
      </c>
      <c r="Q516" s="152" t="str">
        <f>IF(VLOOKUP(A516,'Aux - pivots1'!$A:$E,4,0)=0, "",VLOOKUP(A516,'Aux - pivots1'!$A:$E,4,0))</f>
        <v/>
      </c>
      <c r="R516" s="152" t="str">
        <f>IF(VLOOKUP(A516,'Aux - pivots1'!$A:$E,5,0)=0, "",VLOOKUP(A516,'Aux - pivots1'!$A:$E,5,0))</f>
        <v/>
      </c>
      <c r="S516" s="198"/>
      <c r="T516" s="198"/>
      <c r="U516" s="198"/>
      <c r="V516" s="320"/>
      <c r="W516" s="320"/>
      <c r="X516" s="320"/>
      <c r="Y516" s="368" t="s">
        <v>2320</v>
      </c>
      <c r="Z516" s="319"/>
    </row>
    <row r="517" spans="1:26" ht="16.399999999999999" hidden="1" customHeight="1">
      <c r="A517" s="29" t="str">
        <f t="shared" si="7"/>
        <v>modesg_inp_emss_scibano_info</v>
      </c>
      <c r="B517" s="141" t="s">
        <v>26</v>
      </c>
      <c r="C517" s="137" t="s">
        <v>181</v>
      </c>
      <c r="D517" s="133" t="s">
        <v>40</v>
      </c>
      <c r="E517" s="134" t="s">
        <v>217</v>
      </c>
      <c r="F517" s="470" t="s">
        <v>294</v>
      </c>
      <c r="G517" s="135" t="str">
        <f>VLOOKUP(A517,Plano_V3!$A$26:$G$768,7,0)</f>
        <v>1. Concluído</v>
      </c>
      <c r="H517" s="135" t="s">
        <v>612</v>
      </c>
      <c r="I517" s="467"/>
      <c r="J517" s="153"/>
      <c r="K517" s="153"/>
      <c r="L517" s="153"/>
      <c r="M517" s="153"/>
      <c r="N517" s="487"/>
      <c r="O517" s="153"/>
      <c r="P517" s="152" t="str">
        <f>IF(VLOOKUP(A517,'Aux - pivots1'!$A:$E,3,0)=0, "",VLOOKUP(A517,'Aux - pivots1'!$A:$E,3,0))</f>
        <v/>
      </c>
      <c r="Q517" s="152" t="str">
        <f>IF(VLOOKUP(A517,'Aux - pivots1'!$A:$E,4,0)=0, "",VLOOKUP(A517,'Aux - pivots1'!$A:$E,4,0))</f>
        <v/>
      </c>
      <c r="R517" s="152" t="str">
        <f>IF(VLOOKUP(A517,'Aux - pivots1'!$A:$E,5,0)=0, "",VLOOKUP(A517,'Aux - pivots1'!$A:$E,5,0))</f>
        <v/>
      </c>
      <c r="S517" s="198"/>
      <c r="T517" s="198"/>
      <c r="U517" s="198"/>
      <c r="V517" s="320"/>
      <c r="W517" s="320"/>
      <c r="X517" s="320"/>
      <c r="Y517" s="368" t="s">
        <v>2320</v>
      </c>
      <c r="Z517" s="319"/>
    </row>
    <row r="518" spans="1:26" ht="16.399999999999999" hidden="1" customHeight="1">
      <c r="A518" s="29" t="str">
        <f t="shared" si="7"/>
        <v>modesg_inp_emss_scibdivida_total</v>
      </c>
      <c r="B518" s="141" t="s">
        <v>26</v>
      </c>
      <c r="C518" s="137" t="s">
        <v>181</v>
      </c>
      <c r="D518" s="133" t="s">
        <v>40</v>
      </c>
      <c r="E518" s="134" t="s">
        <v>217</v>
      </c>
      <c r="F518" s="470" t="s">
        <v>295</v>
      </c>
      <c r="G518" s="135" t="str">
        <f>VLOOKUP(A518,Plano_V3!$A$26:$G$768,7,0)</f>
        <v>1. Concluído</v>
      </c>
      <c r="H518" s="135" t="s">
        <v>612</v>
      </c>
      <c r="I518" s="467"/>
      <c r="J518" s="153"/>
      <c r="K518" s="153"/>
      <c r="L518" s="153"/>
      <c r="M518" s="153"/>
      <c r="N518" s="487"/>
      <c r="O518" s="153"/>
      <c r="P518" s="152" t="str">
        <f>IF(VLOOKUP(A518,'Aux - pivots1'!$A:$E,3,0)=0, "",VLOOKUP(A518,'Aux - pivots1'!$A:$E,3,0))</f>
        <v/>
      </c>
      <c r="Q518" s="152" t="str">
        <f>IF(VLOOKUP(A518,'Aux - pivots1'!$A:$E,4,0)=0, "",VLOOKUP(A518,'Aux - pivots1'!$A:$E,4,0))</f>
        <v/>
      </c>
      <c r="R518" s="152" t="str">
        <f>IF(VLOOKUP(A518,'Aux - pivots1'!$A:$E,5,0)=0, "",VLOOKUP(A518,'Aux - pivots1'!$A:$E,5,0))</f>
        <v/>
      </c>
      <c r="S518" s="198"/>
      <c r="T518" s="198"/>
      <c r="U518" s="198"/>
      <c r="V518" s="320"/>
      <c r="W518" s="320"/>
      <c r="X518" s="320"/>
      <c r="Y518" s="368" t="s">
        <v>2320</v>
      </c>
      <c r="Z518" s="319"/>
    </row>
    <row r="519" spans="1:26" ht="16.399999999999999" hidden="1" customHeight="1">
      <c r="A519" s="29" t="str">
        <f t="shared" si="7"/>
        <v>modesg_inp_emss_scibcapital_proprio</v>
      </c>
      <c r="B519" s="141" t="s">
        <v>26</v>
      </c>
      <c r="C519" s="137" t="s">
        <v>181</v>
      </c>
      <c r="D519" s="133" t="s">
        <v>40</v>
      </c>
      <c r="E519" s="134" t="s">
        <v>217</v>
      </c>
      <c r="F519" s="470" t="s">
        <v>296</v>
      </c>
      <c r="G519" s="135" t="str">
        <f>VLOOKUP(A519,Plano_V3!$A$26:$G$768,7,0)</f>
        <v>1. Concluído</v>
      </c>
      <c r="H519" s="135" t="s">
        <v>612</v>
      </c>
      <c r="I519" s="467"/>
      <c r="J519" s="153"/>
      <c r="K519" s="153"/>
      <c r="L519" s="153"/>
      <c r="M519" s="153"/>
      <c r="N519" s="487"/>
      <c r="O519" s="153"/>
      <c r="P519" s="152" t="str">
        <f>IF(VLOOKUP(A519,'Aux - pivots1'!$A:$E,3,0)=0, "",VLOOKUP(A519,'Aux - pivots1'!$A:$E,3,0))</f>
        <v/>
      </c>
      <c r="Q519" s="152" t="str">
        <f>IF(VLOOKUP(A519,'Aux - pivots1'!$A:$E,4,0)=0, "",VLOOKUP(A519,'Aux - pivots1'!$A:$E,4,0))</f>
        <v/>
      </c>
      <c r="R519" s="152" t="str">
        <f>IF(VLOOKUP(A519,'Aux - pivots1'!$A:$E,5,0)=0, "",VLOOKUP(A519,'Aux - pivots1'!$A:$E,5,0))</f>
        <v/>
      </c>
      <c r="S519" s="198"/>
      <c r="T519" s="198"/>
      <c r="U519" s="198"/>
      <c r="V519" s="320"/>
      <c r="W519" s="320"/>
      <c r="X519" s="320"/>
      <c r="Y519" s="368" t="s">
        <v>2320</v>
      </c>
      <c r="Z519" s="319"/>
    </row>
    <row r="520" spans="1:26" ht="16.399999999999999" hidden="1" customHeight="1">
      <c r="A520" s="29" t="str">
        <f t="shared" si="7"/>
        <v>modesg_inp_emss_naceref_date</v>
      </c>
      <c r="B520" s="141" t="s">
        <v>26</v>
      </c>
      <c r="C520" s="137" t="s">
        <v>181</v>
      </c>
      <c r="D520" s="133" t="s">
        <v>40</v>
      </c>
      <c r="E520" s="134" t="s">
        <v>218</v>
      </c>
      <c r="F520" s="470" t="s">
        <v>208</v>
      </c>
      <c r="G520" s="135" t="str">
        <f>VLOOKUP(A520,Plano_V3!$A$26:$G$768,7,0)</f>
        <v>1. Concluído</v>
      </c>
      <c r="H520" s="135" t="s">
        <v>612</v>
      </c>
      <c r="I520" s="467"/>
      <c r="J520" s="142"/>
      <c r="K520" s="142"/>
      <c r="L520" s="153"/>
      <c r="M520" s="153"/>
      <c r="N520" s="142"/>
      <c r="O520" s="142" t="s">
        <v>2353</v>
      </c>
      <c r="P520" s="152" t="str">
        <f>IF(VLOOKUP(A520,'Aux - pivots1'!$A:$E,3,0)=0, "",VLOOKUP(A520,'Aux - pivots1'!$A:$E,3,0))</f>
        <v/>
      </c>
      <c r="Q520" s="152" t="str">
        <f>IF(VLOOKUP(A520,'Aux - pivots1'!$A:$E,4,0)=0, "",VLOOKUP(A520,'Aux - pivots1'!$A:$E,4,0))</f>
        <v/>
      </c>
      <c r="R520" s="152" t="str">
        <f>IF(VLOOKUP(A520,'Aux - pivots1'!$A:$E,5,0)=0, "",VLOOKUP(A520,'Aux - pivots1'!$A:$E,5,0))</f>
        <v/>
      </c>
      <c r="S520" s="198"/>
      <c r="T520" s="198"/>
      <c r="U520" s="198"/>
      <c r="V520" s="320"/>
      <c r="W520" s="320"/>
      <c r="X520" s="320"/>
      <c r="Y520" s="368" t="s">
        <v>2320</v>
      </c>
      <c r="Z520" s="319"/>
    </row>
    <row r="521" spans="1:26" ht="16.399999999999999" hidden="1" customHeight="1">
      <c r="A521" s="29" t="str">
        <f t="shared" si="7"/>
        <v>modesg_inp_emss_naceano</v>
      </c>
      <c r="B521" s="141" t="s">
        <v>26</v>
      </c>
      <c r="C521" s="137" t="s">
        <v>181</v>
      </c>
      <c r="D521" s="133" t="s">
        <v>40</v>
      </c>
      <c r="E521" s="134" t="s">
        <v>218</v>
      </c>
      <c r="F521" s="470" t="s">
        <v>297</v>
      </c>
      <c r="G521" s="135" t="str">
        <f>VLOOKUP(A521,Plano_V3!$A$26:$G$768,7,0)</f>
        <v>1. Concluído</v>
      </c>
      <c r="H521" s="135" t="s">
        <v>612</v>
      </c>
      <c r="I521" s="467"/>
      <c r="J521" s="480"/>
      <c r="K521" s="480"/>
      <c r="L521" s="481"/>
      <c r="M521" s="481"/>
      <c r="N521" s="480"/>
      <c r="O521" s="142" t="s">
        <v>2353</v>
      </c>
      <c r="P521" s="152" t="str">
        <f>IF(VLOOKUP(A521,'Aux - pivots1'!$A:$E,3,0)=0, "",VLOOKUP(A521,'Aux - pivots1'!$A:$E,3,0))</f>
        <v/>
      </c>
      <c r="Q521" s="152" t="str">
        <f>IF(VLOOKUP(A521,'Aux - pivots1'!$A:$E,4,0)=0, "",VLOOKUP(A521,'Aux - pivots1'!$A:$E,4,0))</f>
        <v/>
      </c>
      <c r="R521" s="152" t="str">
        <f>IF(VLOOKUP(A521,'Aux - pivots1'!$A:$E,5,0)=0, "",VLOOKUP(A521,'Aux - pivots1'!$A:$E,5,0))</f>
        <v/>
      </c>
      <c r="S521" s="198"/>
      <c r="T521" s="198"/>
      <c r="U521" s="198"/>
      <c r="V521" s="320"/>
      <c r="W521" s="320"/>
      <c r="X521" s="320"/>
      <c r="Y521" s="368" t="s">
        <v>2320</v>
      </c>
      <c r="Z521" s="319"/>
    </row>
    <row r="522" spans="1:26" ht="16.399999999999999" hidden="1" customHeight="1">
      <c r="A522" s="29" t="str">
        <f t="shared" si="7"/>
        <v>modesg_inp_emss_nacenome_pais</v>
      </c>
      <c r="B522" s="141" t="s">
        <v>26</v>
      </c>
      <c r="C522" s="137" t="s">
        <v>181</v>
      </c>
      <c r="D522" s="133" t="s">
        <v>40</v>
      </c>
      <c r="E522" s="134" t="s">
        <v>218</v>
      </c>
      <c r="F522" s="470" t="s">
        <v>221</v>
      </c>
      <c r="G522" s="135" t="str">
        <f>VLOOKUP(A522,Plano_V3!$A$26:$G$768,7,0)</f>
        <v>1. Concluído</v>
      </c>
      <c r="H522" s="135" t="s">
        <v>612</v>
      </c>
      <c r="I522" s="467"/>
      <c r="J522" s="480"/>
      <c r="K522" s="480"/>
      <c r="L522" s="481"/>
      <c r="M522" s="481"/>
      <c r="N522" s="480"/>
      <c r="O522" s="142" t="s">
        <v>2353</v>
      </c>
      <c r="P522" s="152" t="str">
        <f>IF(VLOOKUP(A522,'Aux - pivots1'!$A:$E,3,0)=0, "",VLOOKUP(A522,'Aux - pivots1'!$A:$E,3,0))</f>
        <v/>
      </c>
      <c r="Q522" s="152" t="str">
        <f>IF(VLOOKUP(A522,'Aux - pivots1'!$A:$E,4,0)=0, "",VLOOKUP(A522,'Aux - pivots1'!$A:$E,4,0))</f>
        <v/>
      </c>
      <c r="R522" s="152" t="str">
        <f>IF(VLOOKUP(A522,'Aux - pivots1'!$A:$E,5,0)=0, "",VLOOKUP(A522,'Aux - pivots1'!$A:$E,5,0))</f>
        <v/>
      </c>
      <c r="S522" s="198"/>
      <c r="T522" s="198"/>
      <c r="U522" s="198"/>
      <c r="V522" s="320"/>
      <c r="W522" s="320"/>
      <c r="X522" s="320"/>
      <c r="Y522" s="368" t="s">
        <v>2320</v>
      </c>
      <c r="Z522" s="319"/>
    </row>
    <row r="523" spans="1:26" ht="16.399999999999999" hidden="1" customHeight="1">
      <c r="A523" s="29" t="str">
        <f t="shared" si="7"/>
        <v>modesg_inp_emss_nacecod_nace_esg</v>
      </c>
      <c r="B523" s="141" t="s">
        <v>26</v>
      </c>
      <c r="C523" s="137" t="s">
        <v>181</v>
      </c>
      <c r="D523" s="133" t="s">
        <v>40</v>
      </c>
      <c r="E523" s="134" t="s">
        <v>218</v>
      </c>
      <c r="F523" s="470" t="s">
        <v>281</v>
      </c>
      <c r="G523" s="135" t="str">
        <f>VLOOKUP(A523,Plano_V3!$A$26:$G$768,7,0)</f>
        <v>1. Concluído</v>
      </c>
      <c r="H523" s="135" t="s">
        <v>612</v>
      </c>
      <c r="I523" s="467"/>
      <c r="J523" s="480"/>
      <c r="K523" s="480"/>
      <c r="L523" s="481"/>
      <c r="M523" s="481"/>
      <c r="N523" s="480"/>
      <c r="O523" s="142" t="s">
        <v>2353</v>
      </c>
      <c r="P523" s="152" t="str">
        <f>IF(VLOOKUP(A523,'Aux - pivots1'!$A:$E,3,0)=0, "",VLOOKUP(A523,'Aux - pivots1'!$A:$E,3,0))</f>
        <v/>
      </c>
      <c r="Q523" s="152" t="str">
        <f>IF(VLOOKUP(A523,'Aux - pivots1'!$A:$E,4,0)=0, "",VLOOKUP(A523,'Aux - pivots1'!$A:$E,4,0))</f>
        <v/>
      </c>
      <c r="R523" s="152" t="str">
        <f>IF(VLOOKUP(A523,'Aux - pivots1'!$A:$E,5,0)=0, "",VLOOKUP(A523,'Aux - pivots1'!$A:$E,5,0))</f>
        <v/>
      </c>
      <c r="S523" s="198"/>
      <c r="T523" s="198"/>
      <c r="U523" s="198"/>
      <c r="V523" s="320"/>
      <c r="W523" s="320"/>
      <c r="X523" s="320"/>
      <c r="Y523" s="368" t="s">
        <v>2320</v>
      </c>
      <c r="Z523" s="319"/>
    </row>
    <row r="524" spans="1:26" ht="16.399999999999999" hidden="1" customHeight="1">
      <c r="A524" s="29" t="str">
        <f t="shared" si="7"/>
        <v>modesg_inp_emss_nacecod_class_indust</v>
      </c>
      <c r="B524" s="141" t="s">
        <v>26</v>
      </c>
      <c r="C524" s="137" t="s">
        <v>181</v>
      </c>
      <c r="D524" s="133" t="s">
        <v>40</v>
      </c>
      <c r="E524" s="134" t="s">
        <v>218</v>
      </c>
      <c r="F524" s="470" t="s">
        <v>298</v>
      </c>
      <c r="G524" s="135" t="str">
        <f>VLOOKUP(A524,Plano_V3!$A$26:$G$768,7,0)</f>
        <v>1. Concluído</v>
      </c>
      <c r="H524" s="135" t="s">
        <v>612</v>
      </c>
      <c r="I524" s="467"/>
      <c r="J524" s="480"/>
      <c r="K524" s="480"/>
      <c r="L524" s="481"/>
      <c r="M524" s="481"/>
      <c r="N524" s="480"/>
      <c r="O524" s="142" t="s">
        <v>2353</v>
      </c>
      <c r="P524" s="152" t="str">
        <f>IF(VLOOKUP(A524,'Aux - pivots1'!$A:$E,3,0)=0, "",VLOOKUP(A524,'Aux - pivots1'!$A:$E,3,0))</f>
        <v/>
      </c>
      <c r="Q524" s="152" t="str">
        <f>IF(VLOOKUP(A524,'Aux - pivots1'!$A:$E,4,0)=0, "",VLOOKUP(A524,'Aux - pivots1'!$A:$E,4,0))</f>
        <v/>
      </c>
      <c r="R524" s="152" t="str">
        <f>IF(VLOOKUP(A524,'Aux - pivots1'!$A:$E,5,0)=0, "",VLOOKUP(A524,'Aux - pivots1'!$A:$E,5,0))</f>
        <v/>
      </c>
      <c r="S524" s="198"/>
      <c r="T524" s="198"/>
      <c r="U524" s="198"/>
      <c r="V524" s="320"/>
      <c r="W524" s="320"/>
      <c r="X524" s="320"/>
      <c r="Y524" s="368" t="s">
        <v>2320</v>
      </c>
      <c r="Z524" s="319"/>
    </row>
    <row r="525" spans="1:26" ht="16.399999999999999" hidden="1" customHeight="1">
      <c r="A525" s="29" t="str">
        <f t="shared" ref="A525:A588" si="8">E525&amp;F525</f>
        <v>modesg_inp_emss_nacenivel_classificacao_1</v>
      </c>
      <c r="B525" s="141" t="s">
        <v>26</v>
      </c>
      <c r="C525" s="137" t="s">
        <v>181</v>
      </c>
      <c r="D525" s="133" t="s">
        <v>40</v>
      </c>
      <c r="E525" s="134" t="s">
        <v>218</v>
      </c>
      <c r="F525" s="470" t="s">
        <v>299</v>
      </c>
      <c r="G525" s="135" t="str">
        <f>VLOOKUP(A525,Plano_V3!$A$26:$G$768,7,0)</f>
        <v>1. Concluído</v>
      </c>
      <c r="H525" s="135" t="s">
        <v>612</v>
      </c>
      <c r="I525" s="467"/>
      <c r="J525" s="480"/>
      <c r="K525" s="480"/>
      <c r="L525" s="481"/>
      <c r="M525" s="481"/>
      <c r="N525" s="480"/>
      <c r="O525" s="142" t="s">
        <v>2353</v>
      </c>
      <c r="P525" s="152" t="str">
        <f>IF(VLOOKUP(A525,'Aux - pivots1'!$A:$E,3,0)=0, "",VLOOKUP(A525,'Aux - pivots1'!$A:$E,3,0))</f>
        <v/>
      </c>
      <c r="Q525" s="152" t="str">
        <f>IF(VLOOKUP(A525,'Aux - pivots1'!$A:$E,4,0)=0, "",VLOOKUP(A525,'Aux - pivots1'!$A:$E,4,0))</f>
        <v/>
      </c>
      <c r="R525" s="152" t="str">
        <f>IF(VLOOKUP(A525,'Aux - pivots1'!$A:$E,5,0)=0, "",VLOOKUP(A525,'Aux - pivots1'!$A:$E,5,0))</f>
        <v/>
      </c>
      <c r="S525" s="198"/>
      <c r="T525" s="198"/>
      <c r="U525" s="198"/>
      <c r="V525" s="320"/>
      <c r="W525" s="320"/>
      <c r="X525" s="320"/>
      <c r="Y525" s="368" t="s">
        <v>2320</v>
      </c>
      <c r="Z525" s="319"/>
    </row>
    <row r="526" spans="1:26" ht="16.399999999999999" hidden="1" customHeight="1">
      <c r="A526" s="29" t="str">
        <f t="shared" si="8"/>
        <v>modesg_inp_emss_naceclasse_ativo</v>
      </c>
      <c r="B526" s="141" t="s">
        <v>26</v>
      </c>
      <c r="C526" s="137" t="s">
        <v>181</v>
      </c>
      <c r="D526" s="133" t="s">
        <v>40</v>
      </c>
      <c r="E526" s="134" t="s">
        <v>218</v>
      </c>
      <c r="F526" s="470" t="s">
        <v>300</v>
      </c>
      <c r="G526" s="135" t="str">
        <f>VLOOKUP(A526,Plano_V3!$A$26:$G$768,7,0)</f>
        <v>1. Concluído</v>
      </c>
      <c r="H526" s="135" t="s">
        <v>612</v>
      </c>
      <c r="I526" s="467"/>
      <c r="J526" s="480"/>
      <c r="K526" s="480"/>
      <c r="L526" s="481"/>
      <c r="M526" s="481"/>
      <c r="N526" s="480"/>
      <c r="O526" s="142" t="s">
        <v>2353</v>
      </c>
      <c r="P526" s="152" t="str">
        <f>IF(VLOOKUP(A526,'Aux - pivots1'!$A:$E,3,0)=0, "",VLOOKUP(A526,'Aux - pivots1'!$A:$E,3,0))</f>
        <v/>
      </c>
      <c r="Q526" s="152" t="str">
        <f>IF(VLOOKUP(A526,'Aux - pivots1'!$A:$E,4,0)=0, "",VLOOKUP(A526,'Aux - pivots1'!$A:$E,4,0))</f>
        <v/>
      </c>
      <c r="R526" s="152" t="str">
        <f>IF(VLOOKUP(A526,'Aux - pivots1'!$A:$E,5,0)=0, "",VLOOKUP(A526,'Aux - pivots1'!$A:$E,5,0))</f>
        <v/>
      </c>
      <c r="S526" s="198"/>
      <c r="T526" s="198"/>
      <c r="U526" s="198"/>
      <c r="V526" s="320"/>
      <c r="W526" s="320"/>
      <c r="X526" s="320"/>
      <c r="Y526" s="368" t="s">
        <v>2320</v>
      </c>
      <c r="Z526" s="319"/>
    </row>
    <row r="527" spans="1:26" ht="16.399999999999999" hidden="1" customHeight="1">
      <c r="A527" s="29" t="str">
        <f t="shared" si="8"/>
        <v>modesg_inp_emss_naceopcao_metodologia</v>
      </c>
      <c r="B527" s="141" t="s">
        <v>26</v>
      </c>
      <c r="C527" s="137" t="s">
        <v>181</v>
      </c>
      <c r="D527" s="133" t="s">
        <v>40</v>
      </c>
      <c r="E527" s="134" t="s">
        <v>218</v>
      </c>
      <c r="F527" s="470" t="s">
        <v>301</v>
      </c>
      <c r="G527" s="135" t="str">
        <f>VLOOKUP(A527,Plano_V3!$A$26:$G$768,7,0)</f>
        <v>1. Concluído</v>
      </c>
      <c r="H527" s="135" t="s">
        <v>612</v>
      </c>
      <c r="I527" s="467"/>
      <c r="J527" s="480"/>
      <c r="K527" s="480"/>
      <c r="L527" s="481"/>
      <c r="M527" s="481"/>
      <c r="N527" s="480"/>
      <c r="O527" s="142" t="s">
        <v>2353</v>
      </c>
      <c r="P527" s="152" t="str">
        <f>IF(VLOOKUP(A527,'Aux - pivots1'!$A:$E,3,0)=0, "",VLOOKUP(A527,'Aux - pivots1'!$A:$E,3,0))</f>
        <v/>
      </c>
      <c r="Q527" s="152" t="str">
        <f>IF(VLOOKUP(A527,'Aux - pivots1'!$A:$E,4,0)=0, "",VLOOKUP(A527,'Aux - pivots1'!$A:$E,4,0))</f>
        <v/>
      </c>
      <c r="R527" s="152" t="str">
        <f>IF(VLOOKUP(A527,'Aux - pivots1'!$A:$E,5,0)=0, "",VLOOKUP(A527,'Aux - pivots1'!$A:$E,5,0))</f>
        <v/>
      </c>
      <c r="S527" s="198"/>
      <c r="T527" s="198"/>
      <c r="U527" s="198"/>
      <c r="V527" s="320"/>
      <c r="W527" s="320"/>
      <c r="X527" s="320"/>
      <c r="Y527" s="368" t="s">
        <v>2320</v>
      </c>
      <c r="Z527" s="319"/>
    </row>
    <row r="528" spans="1:26" ht="16.399999999999999" hidden="1" customHeight="1">
      <c r="A528" s="29" t="str">
        <f t="shared" si="8"/>
        <v>modesg_inp_emss_naceunidade_funcional</v>
      </c>
      <c r="B528" s="141" t="s">
        <v>26</v>
      </c>
      <c r="C528" s="137" t="s">
        <v>181</v>
      </c>
      <c r="D528" s="133" t="s">
        <v>40</v>
      </c>
      <c r="E528" s="134" t="s">
        <v>218</v>
      </c>
      <c r="F528" s="470" t="s">
        <v>229</v>
      </c>
      <c r="G528" s="135" t="str">
        <f>VLOOKUP(A528,Plano_V3!$A$26:$G$768,7,0)</f>
        <v>1. Concluído</v>
      </c>
      <c r="H528" s="135" t="s">
        <v>612</v>
      </c>
      <c r="I528" s="467"/>
      <c r="J528" s="480"/>
      <c r="K528" s="480"/>
      <c r="L528" s="481"/>
      <c r="M528" s="481"/>
      <c r="N528" s="480"/>
      <c r="O528" s="142" t="s">
        <v>2353</v>
      </c>
      <c r="P528" s="152" t="str">
        <f>IF(VLOOKUP(A528,'Aux - pivots1'!$A:$E,3,0)=0, "",VLOOKUP(A528,'Aux - pivots1'!$A:$E,3,0))</f>
        <v/>
      </c>
      <c r="Q528" s="152" t="str">
        <f>IF(VLOOKUP(A528,'Aux - pivots1'!$A:$E,4,0)=0, "",VLOOKUP(A528,'Aux - pivots1'!$A:$E,4,0))</f>
        <v/>
      </c>
      <c r="R528" s="152" t="str">
        <f>IF(VLOOKUP(A528,'Aux - pivots1'!$A:$E,5,0)=0, "",VLOOKUP(A528,'Aux - pivots1'!$A:$E,5,0))</f>
        <v/>
      </c>
      <c r="S528" s="198"/>
      <c r="T528" s="198"/>
      <c r="U528" s="198"/>
      <c r="V528" s="320"/>
      <c r="W528" s="320"/>
      <c r="X528" s="320"/>
      <c r="Y528" s="368" t="s">
        <v>2320</v>
      </c>
      <c r="Z528" s="319"/>
    </row>
    <row r="529" spans="1:26" ht="16.399999999999999" hidden="1" customHeight="1">
      <c r="A529" s="29" t="str">
        <f t="shared" si="8"/>
        <v>modesg_inp_emss_naceunidades_fator_de_emissao</v>
      </c>
      <c r="B529" s="141" t="s">
        <v>26</v>
      </c>
      <c r="C529" s="137" t="s">
        <v>181</v>
      </c>
      <c r="D529" s="133" t="s">
        <v>40</v>
      </c>
      <c r="E529" s="134" t="s">
        <v>218</v>
      </c>
      <c r="F529" s="470" t="s">
        <v>302</v>
      </c>
      <c r="G529" s="135" t="str">
        <f>VLOOKUP(A529,Plano_V3!$A$26:$G$768,7,0)</f>
        <v>1. Concluído</v>
      </c>
      <c r="H529" s="135" t="s">
        <v>612</v>
      </c>
      <c r="I529" s="467"/>
      <c r="J529" s="480"/>
      <c r="K529" s="480"/>
      <c r="L529" s="481"/>
      <c r="M529" s="481"/>
      <c r="N529" s="480"/>
      <c r="O529" s="142" t="s">
        <v>2353</v>
      </c>
      <c r="P529" s="152" t="str">
        <f>IF(VLOOKUP(A529,'Aux - pivots1'!$A:$E,3,0)=0, "",VLOOKUP(A529,'Aux - pivots1'!$A:$E,3,0))</f>
        <v/>
      </c>
      <c r="Q529" s="152" t="str">
        <f>IF(VLOOKUP(A529,'Aux - pivots1'!$A:$E,4,0)=0, "",VLOOKUP(A529,'Aux - pivots1'!$A:$E,4,0))</f>
        <v/>
      </c>
      <c r="R529" s="152" t="str">
        <f>IF(VLOOKUP(A529,'Aux - pivots1'!$A:$E,5,0)=0, "",VLOOKUP(A529,'Aux - pivots1'!$A:$E,5,0))</f>
        <v/>
      </c>
      <c r="S529" s="198"/>
      <c r="T529" s="198"/>
      <c r="U529" s="198"/>
      <c r="V529" s="320"/>
      <c r="W529" s="320"/>
      <c r="X529" s="320"/>
      <c r="Y529" s="368" t="s">
        <v>2320</v>
      </c>
      <c r="Z529" s="319"/>
    </row>
    <row r="530" spans="1:26" ht="16.399999999999999" hidden="1" customHeight="1">
      <c r="A530" s="29" t="str">
        <f t="shared" si="8"/>
        <v>modesg_inp_emss_nacescore_qualidade</v>
      </c>
      <c r="B530" s="141" t="s">
        <v>26</v>
      </c>
      <c r="C530" s="137" t="s">
        <v>181</v>
      </c>
      <c r="D530" s="133" t="s">
        <v>40</v>
      </c>
      <c r="E530" s="134" t="s">
        <v>218</v>
      </c>
      <c r="F530" s="470" t="s">
        <v>232</v>
      </c>
      <c r="G530" s="135" t="str">
        <f>VLOOKUP(A530,Plano_V3!$A$26:$G$768,7,0)</f>
        <v>1. Concluído</v>
      </c>
      <c r="H530" s="135" t="s">
        <v>612</v>
      </c>
      <c r="I530" s="467"/>
      <c r="J530" s="480"/>
      <c r="K530" s="480"/>
      <c r="L530" s="481"/>
      <c r="M530" s="481"/>
      <c r="N530" s="480"/>
      <c r="O530" s="142" t="s">
        <v>2353</v>
      </c>
      <c r="P530" s="152" t="str">
        <f>IF(VLOOKUP(A530,'Aux - pivots1'!$A:$E,3,0)=0, "",VLOOKUP(A530,'Aux - pivots1'!$A:$E,3,0))</f>
        <v/>
      </c>
      <c r="Q530" s="152" t="str">
        <f>IF(VLOOKUP(A530,'Aux - pivots1'!$A:$E,4,0)=0, "",VLOOKUP(A530,'Aux - pivots1'!$A:$E,4,0))</f>
        <v/>
      </c>
      <c r="R530" s="152" t="str">
        <f>IF(VLOOKUP(A530,'Aux - pivots1'!$A:$E,5,0)=0, "",VLOOKUP(A530,'Aux - pivots1'!$A:$E,5,0))</f>
        <v/>
      </c>
      <c r="S530" s="198"/>
      <c r="T530" s="198"/>
      <c r="U530" s="198"/>
      <c r="V530" s="320"/>
      <c r="W530" s="320"/>
      <c r="X530" s="320"/>
      <c r="Y530" s="368" t="s">
        <v>2320</v>
      </c>
      <c r="Z530" s="319"/>
    </row>
    <row r="531" spans="1:26" ht="16.399999999999999" hidden="1" customHeight="1">
      <c r="A531" s="29" t="str">
        <f t="shared" si="8"/>
        <v>modesg_inp_emss_nacescp1_ftr_emss</v>
      </c>
      <c r="B531" s="141" t="s">
        <v>26</v>
      </c>
      <c r="C531" s="137" t="s">
        <v>181</v>
      </c>
      <c r="D531" s="133" t="s">
        <v>40</v>
      </c>
      <c r="E531" s="134" t="s">
        <v>218</v>
      </c>
      <c r="F531" s="470" t="s">
        <v>233</v>
      </c>
      <c r="G531" s="135" t="str">
        <f>VLOOKUP(A531,Plano_V3!$A$26:$G$768,7,0)</f>
        <v>1. Concluído</v>
      </c>
      <c r="H531" s="135" t="s">
        <v>612</v>
      </c>
      <c r="I531" s="467"/>
      <c r="J531" s="480"/>
      <c r="K531" s="480"/>
      <c r="L531" s="481"/>
      <c r="M531" s="481"/>
      <c r="N531" s="480"/>
      <c r="O531" s="142" t="s">
        <v>2353</v>
      </c>
      <c r="P531" s="152" t="str">
        <f>IF(VLOOKUP(A531,'Aux - pivots1'!$A:$E,3,0)=0, "",VLOOKUP(A531,'Aux - pivots1'!$A:$E,3,0))</f>
        <v/>
      </c>
      <c r="Q531" s="152" t="str">
        <f>IF(VLOOKUP(A531,'Aux - pivots1'!$A:$E,4,0)=0, "",VLOOKUP(A531,'Aux - pivots1'!$A:$E,4,0))</f>
        <v/>
      </c>
      <c r="R531" s="152" t="str">
        <f>IF(VLOOKUP(A531,'Aux - pivots1'!$A:$E,5,0)=0, "",VLOOKUP(A531,'Aux - pivots1'!$A:$E,5,0))</f>
        <v/>
      </c>
      <c r="S531" s="198"/>
      <c r="T531" s="198"/>
      <c r="U531" s="198"/>
      <c r="V531" s="320"/>
      <c r="W531" s="320"/>
      <c r="X531" s="320"/>
      <c r="Y531" s="368" t="s">
        <v>2320</v>
      </c>
      <c r="Z531" s="319"/>
    </row>
    <row r="532" spans="1:26" ht="16.399999999999999" hidden="1" customHeight="1">
      <c r="A532" s="29" t="str">
        <f t="shared" si="8"/>
        <v>modesg_inp_emss_nacescp2_ftr_emss</v>
      </c>
      <c r="B532" s="141" t="s">
        <v>26</v>
      </c>
      <c r="C532" s="137" t="s">
        <v>181</v>
      </c>
      <c r="D532" s="133" t="s">
        <v>40</v>
      </c>
      <c r="E532" s="134" t="s">
        <v>218</v>
      </c>
      <c r="F532" s="470" t="s">
        <v>234</v>
      </c>
      <c r="G532" s="135" t="str">
        <f>VLOOKUP(A532,Plano_V3!$A$26:$G$768,7,0)</f>
        <v>1. Concluído</v>
      </c>
      <c r="H532" s="135" t="s">
        <v>612</v>
      </c>
      <c r="I532" s="467"/>
      <c r="J532" s="480"/>
      <c r="K532" s="480"/>
      <c r="L532" s="481"/>
      <c r="M532" s="481"/>
      <c r="N532" s="480"/>
      <c r="O532" s="142" t="s">
        <v>2353</v>
      </c>
      <c r="P532" s="152" t="str">
        <f>IF(VLOOKUP(A532,'Aux - pivots1'!$A:$E,3,0)=0, "",VLOOKUP(A532,'Aux - pivots1'!$A:$E,3,0))</f>
        <v/>
      </c>
      <c r="Q532" s="152" t="str">
        <f>IF(VLOOKUP(A532,'Aux - pivots1'!$A:$E,4,0)=0, "",VLOOKUP(A532,'Aux - pivots1'!$A:$E,4,0))</f>
        <v/>
      </c>
      <c r="R532" s="152" t="str">
        <f>IF(VLOOKUP(A532,'Aux - pivots1'!$A:$E,5,0)=0, "",VLOOKUP(A532,'Aux - pivots1'!$A:$E,5,0))</f>
        <v/>
      </c>
      <c r="S532" s="198"/>
      <c r="T532" s="198"/>
      <c r="U532" s="198"/>
      <c r="V532" s="320"/>
      <c r="W532" s="320"/>
      <c r="X532" s="320"/>
      <c r="Y532" s="368" t="s">
        <v>2320</v>
      </c>
      <c r="Z532" s="319"/>
    </row>
    <row r="533" spans="1:26" ht="16.399999999999999" hidden="1" customHeight="1">
      <c r="A533" s="29" t="str">
        <f t="shared" si="8"/>
        <v>modesg_inp_emss_nacescp3_ftr_emss</v>
      </c>
      <c r="B533" s="141" t="s">
        <v>26</v>
      </c>
      <c r="C533" s="137" t="s">
        <v>181</v>
      </c>
      <c r="D533" s="133" t="s">
        <v>40</v>
      </c>
      <c r="E533" s="134" t="s">
        <v>218</v>
      </c>
      <c r="F533" s="470" t="s">
        <v>235</v>
      </c>
      <c r="G533" s="135" t="str">
        <f>VLOOKUP(A533,Plano_V3!$A$26:$G$768,7,0)</f>
        <v>1. Concluído</v>
      </c>
      <c r="H533" s="135" t="s">
        <v>612</v>
      </c>
      <c r="I533" s="467"/>
      <c r="J533" s="142"/>
      <c r="K533" s="142"/>
      <c r="L533" s="153"/>
      <c r="M533" s="153"/>
      <c r="N533" s="142"/>
      <c r="O533" s="142" t="s">
        <v>2353</v>
      </c>
      <c r="P533" s="152" t="str">
        <f>IF(VLOOKUP(A533,'Aux - pivots1'!$A:$E,3,0)=0, "",VLOOKUP(A533,'Aux - pivots1'!$A:$E,3,0))</f>
        <v/>
      </c>
      <c r="Q533" s="152" t="str">
        <f>IF(VLOOKUP(A533,'Aux - pivots1'!$A:$E,4,0)=0, "",VLOOKUP(A533,'Aux - pivots1'!$A:$E,4,0))</f>
        <v/>
      </c>
      <c r="R533" s="152" t="str">
        <f>IF(VLOOKUP(A533,'Aux - pivots1'!$A:$E,5,0)=0, "",VLOOKUP(A533,'Aux - pivots1'!$A:$E,5,0))</f>
        <v/>
      </c>
      <c r="S533" s="198"/>
      <c r="T533" s="198"/>
      <c r="U533" s="198"/>
      <c r="V533" s="320"/>
      <c r="W533" s="320"/>
      <c r="X533" s="320"/>
      <c r="Y533" s="368" t="s">
        <v>2320</v>
      </c>
      <c r="Z533" s="319"/>
    </row>
    <row r="534" spans="1:26" ht="16.399999999999999" hidden="1" customHeight="1">
      <c r="A534" s="29" t="str">
        <f t="shared" si="8"/>
        <v>modesg_inp_emss_bens_imoveisref_date</v>
      </c>
      <c r="B534" s="141" t="s">
        <v>26</v>
      </c>
      <c r="C534" s="137" t="s">
        <v>181</v>
      </c>
      <c r="D534" s="133" t="s">
        <v>40</v>
      </c>
      <c r="E534" s="134" t="s">
        <v>219</v>
      </c>
      <c r="F534" s="470" t="s">
        <v>208</v>
      </c>
      <c r="G534" s="135" t="str">
        <f>VLOOKUP(A534,Plano_V3!$A$26:$G$768,7,0)</f>
        <v>1. Concluído</v>
      </c>
      <c r="H534" s="135" t="s">
        <v>612</v>
      </c>
      <c r="I534" s="467"/>
      <c r="J534" s="142"/>
      <c r="K534" s="142"/>
      <c r="L534" s="153"/>
      <c r="M534" s="153"/>
      <c r="N534" s="142"/>
      <c r="O534" s="142"/>
      <c r="P534" s="152" t="str">
        <f>IF(VLOOKUP(A534,'Aux - pivots1'!$A:$E,3,0)=0, "",VLOOKUP(A534,'Aux - pivots1'!$A:$E,3,0))</f>
        <v/>
      </c>
      <c r="Q534" s="152" t="str">
        <f>IF(VLOOKUP(A534,'Aux - pivots1'!$A:$E,4,0)=0, "",VLOOKUP(A534,'Aux - pivots1'!$A:$E,4,0))</f>
        <v/>
      </c>
      <c r="R534" s="152" t="str">
        <f>IF(VLOOKUP(A534,'Aux - pivots1'!$A:$E,5,0)=0, "",VLOOKUP(A534,'Aux - pivots1'!$A:$E,5,0))</f>
        <v/>
      </c>
      <c r="S534" s="198"/>
      <c r="T534" s="198"/>
      <c r="U534" s="198"/>
      <c r="V534" s="320"/>
      <c r="W534" s="320"/>
      <c r="X534" s="320"/>
      <c r="Y534" s="368" t="s">
        <v>2320</v>
      </c>
      <c r="Z534" s="319"/>
    </row>
    <row r="535" spans="1:26" ht="16.399999999999999" hidden="1" customHeight="1">
      <c r="A535" s="29" t="str">
        <f t="shared" si="8"/>
        <v>modesg_inp_emss_bens_imoveisnome_pais</v>
      </c>
      <c r="B535" s="141" t="s">
        <v>26</v>
      </c>
      <c r="C535" s="137" t="s">
        <v>181</v>
      </c>
      <c r="D535" s="133" t="s">
        <v>40</v>
      </c>
      <c r="E535" s="134" t="s">
        <v>219</v>
      </c>
      <c r="F535" s="470" t="s">
        <v>221</v>
      </c>
      <c r="G535" s="135" t="str">
        <f>VLOOKUP(A535,Plano_V3!$A$26:$G$768,7,0)</f>
        <v>1. Concluído</v>
      </c>
      <c r="H535" s="135" t="s">
        <v>612</v>
      </c>
      <c r="I535" s="467"/>
      <c r="J535" s="142"/>
      <c r="K535" s="142"/>
      <c r="L535" s="153"/>
      <c r="M535" s="153"/>
      <c r="N535" s="142"/>
      <c r="O535" s="142"/>
      <c r="P535" s="152" t="str">
        <f>IF(VLOOKUP(A535,'Aux - pivots1'!$A:$E,3,0)=0, "",VLOOKUP(A535,'Aux - pivots1'!$A:$E,3,0))</f>
        <v/>
      </c>
      <c r="Q535" s="152" t="str">
        <f>IF(VLOOKUP(A535,'Aux - pivots1'!$A:$E,4,0)=0, "",VLOOKUP(A535,'Aux - pivots1'!$A:$E,4,0))</f>
        <v/>
      </c>
      <c r="R535" s="152" t="str">
        <f>IF(VLOOKUP(A535,'Aux - pivots1'!$A:$E,5,0)=0, "",VLOOKUP(A535,'Aux - pivots1'!$A:$E,5,0))</f>
        <v/>
      </c>
      <c r="S535" s="198"/>
      <c r="T535" s="198"/>
      <c r="U535" s="198"/>
      <c r="V535" s="320"/>
      <c r="W535" s="320"/>
      <c r="X535" s="320"/>
      <c r="Y535" s="368" t="s">
        <v>2320</v>
      </c>
      <c r="Z535" s="319"/>
    </row>
    <row r="536" spans="1:26" ht="16.399999999999999" hidden="1" customHeight="1">
      <c r="A536" s="29" t="str">
        <f t="shared" si="8"/>
        <v>modesg_inp_emss_bens_imoveisnome_estado</v>
      </c>
      <c r="B536" s="141" t="s">
        <v>26</v>
      </c>
      <c r="C536" s="137" t="s">
        <v>181</v>
      </c>
      <c r="D536" s="133" t="s">
        <v>40</v>
      </c>
      <c r="E536" s="134" t="s">
        <v>219</v>
      </c>
      <c r="F536" s="470" t="s">
        <v>222</v>
      </c>
      <c r="G536" s="135" t="str">
        <f>VLOOKUP(A536,Plano_V3!$A$26:$G$768,7,0)</f>
        <v>1. Concluído</v>
      </c>
      <c r="H536" s="135" t="s">
        <v>612</v>
      </c>
      <c r="I536" s="467"/>
      <c r="J536" s="142"/>
      <c r="K536" s="142"/>
      <c r="L536" s="153"/>
      <c r="M536" s="153"/>
      <c r="N536" s="142"/>
      <c r="O536" s="142"/>
      <c r="P536" s="152" t="str">
        <f>IF(VLOOKUP(A536,'Aux - pivots1'!$A:$E,3,0)=0, "",VLOOKUP(A536,'Aux - pivots1'!$A:$E,3,0))</f>
        <v/>
      </c>
      <c r="Q536" s="152" t="str">
        <f>IF(VLOOKUP(A536,'Aux - pivots1'!$A:$E,4,0)=0, "",VLOOKUP(A536,'Aux - pivots1'!$A:$E,4,0))</f>
        <v/>
      </c>
      <c r="R536" s="152" t="str">
        <f>IF(VLOOKUP(A536,'Aux - pivots1'!$A:$E,5,0)=0, "",VLOOKUP(A536,'Aux - pivots1'!$A:$E,5,0))</f>
        <v/>
      </c>
      <c r="S536" s="198"/>
      <c r="T536" s="198"/>
      <c r="U536" s="198"/>
      <c r="V536" s="320"/>
      <c r="W536" s="320"/>
      <c r="X536" s="320"/>
      <c r="Y536" s="368" t="s">
        <v>2320</v>
      </c>
      <c r="Z536" s="319"/>
    </row>
    <row r="537" spans="1:26" ht="16.399999999999999" hidden="1" customHeight="1">
      <c r="A537" s="29" t="str">
        <f t="shared" si="8"/>
        <v>modesg_inp_emss_bens_imoveisclasse_ativo</v>
      </c>
      <c r="B537" s="141" t="s">
        <v>26</v>
      </c>
      <c r="C537" s="137" t="s">
        <v>181</v>
      </c>
      <c r="D537" s="133" t="s">
        <v>40</v>
      </c>
      <c r="E537" s="134" t="s">
        <v>219</v>
      </c>
      <c r="F537" s="470" t="s">
        <v>300</v>
      </c>
      <c r="G537" s="135" t="str">
        <f>VLOOKUP(A537,Plano_V3!$A$26:$G$768,7,0)</f>
        <v>1. Concluído</v>
      </c>
      <c r="H537" s="135" t="s">
        <v>612</v>
      </c>
      <c r="I537" s="467"/>
      <c r="J537" s="480"/>
      <c r="K537" s="480"/>
      <c r="L537" s="481"/>
      <c r="M537" s="481"/>
      <c r="N537" s="480"/>
      <c r="O537" s="143"/>
      <c r="P537" s="152" t="str">
        <f>IF(VLOOKUP(A537,'Aux - pivots1'!$A:$E,3,0)=0, "",VLOOKUP(A537,'Aux - pivots1'!$A:$E,3,0))</f>
        <v/>
      </c>
      <c r="Q537" s="152" t="str">
        <f>IF(VLOOKUP(A537,'Aux - pivots1'!$A:$E,4,0)=0, "",VLOOKUP(A537,'Aux - pivots1'!$A:$E,4,0))</f>
        <v/>
      </c>
      <c r="R537" s="152" t="str">
        <f>IF(VLOOKUP(A537,'Aux - pivots1'!$A:$E,5,0)=0, "",VLOOKUP(A537,'Aux - pivots1'!$A:$E,5,0))</f>
        <v/>
      </c>
      <c r="S537" s="198"/>
      <c r="T537" s="198"/>
      <c r="U537" s="198"/>
      <c r="V537" s="320"/>
      <c r="W537" s="320"/>
      <c r="X537" s="320"/>
      <c r="Y537" s="368" t="s">
        <v>2320</v>
      </c>
      <c r="Z537" s="319"/>
    </row>
    <row r="538" spans="1:26" ht="16.399999999999999" hidden="1" customHeight="1">
      <c r="A538" s="29" t="str">
        <f t="shared" si="8"/>
        <v>modesg_inp_emss_bens_imoveistipo_fator_emissao</v>
      </c>
      <c r="B538" s="141" t="s">
        <v>26</v>
      </c>
      <c r="C538" s="137" t="s">
        <v>181</v>
      </c>
      <c r="D538" s="133" t="s">
        <v>40</v>
      </c>
      <c r="E538" s="134" t="s">
        <v>219</v>
      </c>
      <c r="F538" s="470" t="s">
        <v>303</v>
      </c>
      <c r="G538" s="135" t="str">
        <f>VLOOKUP(A538,Plano_V3!$A$26:$G$768,7,0)</f>
        <v>1. Concluído</v>
      </c>
      <c r="H538" s="135" t="s">
        <v>612</v>
      </c>
      <c r="I538" s="467"/>
      <c r="J538" s="480"/>
      <c r="K538" s="480"/>
      <c r="L538" s="481"/>
      <c r="M538" s="481"/>
      <c r="N538" s="480"/>
      <c r="O538" s="143"/>
      <c r="P538" s="152" t="str">
        <f>IF(VLOOKUP(A538,'Aux - pivots1'!$A:$E,3,0)=0, "",VLOOKUP(A538,'Aux - pivots1'!$A:$E,3,0))</f>
        <v/>
      </c>
      <c r="Q538" s="152" t="str">
        <f>IF(VLOOKUP(A538,'Aux - pivots1'!$A:$E,4,0)=0, "",VLOOKUP(A538,'Aux - pivots1'!$A:$E,4,0))</f>
        <v/>
      </c>
      <c r="R538" s="152" t="str">
        <f>IF(VLOOKUP(A538,'Aux - pivots1'!$A:$E,5,0)=0, "",VLOOKUP(A538,'Aux - pivots1'!$A:$E,5,0))</f>
        <v/>
      </c>
      <c r="S538" s="198"/>
      <c r="T538" s="198"/>
      <c r="U538" s="198"/>
      <c r="V538" s="320"/>
      <c r="W538" s="320"/>
      <c r="X538" s="320"/>
      <c r="Y538" s="368" t="s">
        <v>2320</v>
      </c>
      <c r="Z538" s="319"/>
    </row>
    <row r="539" spans="1:26" ht="16.399999999999999" hidden="1" customHeight="1">
      <c r="A539" s="29" t="str">
        <f t="shared" si="8"/>
        <v>modesg_inp_emss_bens_imoveisregiao</v>
      </c>
      <c r="B539" s="141" t="s">
        <v>26</v>
      </c>
      <c r="C539" s="137" t="s">
        <v>181</v>
      </c>
      <c r="D539" s="133" t="s">
        <v>40</v>
      </c>
      <c r="E539" s="134" t="s">
        <v>219</v>
      </c>
      <c r="F539" s="470" t="s">
        <v>304</v>
      </c>
      <c r="G539" s="135" t="str">
        <f>VLOOKUP(A539,Plano_V3!$A$26:$G$768,7,0)</f>
        <v>1. Concluído</v>
      </c>
      <c r="H539" s="135" t="s">
        <v>612</v>
      </c>
      <c r="I539" s="467"/>
      <c r="J539" s="480"/>
      <c r="K539" s="480"/>
      <c r="L539" s="481"/>
      <c r="M539" s="481"/>
      <c r="N539" s="480"/>
      <c r="O539" s="143"/>
      <c r="P539" s="152" t="str">
        <f>IF(VLOOKUP(A539,'Aux - pivots1'!$A:$E,3,0)=0, "",VLOOKUP(A539,'Aux - pivots1'!$A:$E,3,0))</f>
        <v/>
      </c>
      <c r="Q539" s="152" t="str">
        <f>IF(VLOOKUP(A539,'Aux - pivots1'!$A:$E,4,0)=0, "",VLOOKUP(A539,'Aux - pivots1'!$A:$E,4,0))</f>
        <v/>
      </c>
      <c r="R539" s="152" t="str">
        <f>IF(VLOOKUP(A539,'Aux - pivots1'!$A:$E,5,0)=0, "",VLOOKUP(A539,'Aux - pivots1'!$A:$E,5,0))</f>
        <v/>
      </c>
      <c r="S539" s="198"/>
      <c r="T539" s="198"/>
      <c r="U539" s="198"/>
      <c r="V539" s="320"/>
      <c r="W539" s="320"/>
      <c r="X539" s="320"/>
      <c r="Y539" s="368" t="s">
        <v>2320</v>
      </c>
      <c r="Z539" s="319"/>
    </row>
    <row r="540" spans="1:26" ht="16.399999999999999" hidden="1" customHeight="1">
      <c r="A540" s="29" t="str">
        <f t="shared" si="8"/>
        <v>modesg_inp_emss_bens_imoveistipo_bem</v>
      </c>
      <c r="B540" s="141" t="s">
        <v>26</v>
      </c>
      <c r="C540" s="137" t="s">
        <v>181</v>
      </c>
      <c r="D540" s="133" t="s">
        <v>40</v>
      </c>
      <c r="E540" s="134" t="s">
        <v>219</v>
      </c>
      <c r="F540" s="470" t="s">
        <v>305</v>
      </c>
      <c r="G540" s="135" t="str">
        <f>VLOOKUP(A540,Plano_V3!$A$26:$G$768,7,0)</f>
        <v>1. Concluído</v>
      </c>
      <c r="H540" s="135" t="s">
        <v>612</v>
      </c>
      <c r="I540" s="467"/>
      <c r="J540" s="480"/>
      <c r="K540" s="480"/>
      <c r="L540" s="481"/>
      <c r="M540" s="481"/>
      <c r="N540" s="480"/>
      <c r="O540" s="142"/>
      <c r="P540" s="152" t="str">
        <f>IF(VLOOKUP(A540,'Aux - pivots1'!$A:$E,3,0)=0, "",VLOOKUP(A540,'Aux - pivots1'!$A:$E,3,0))</f>
        <v/>
      </c>
      <c r="Q540" s="152" t="str">
        <f>IF(VLOOKUP(A540,'Aux - pivots1'!$A:$E,4,0)=0, "",VLOOKUP(A540,'Aux - pivots1'!$A:$E,4,0))</f>
        <v/>
      </c>
      <c r="R540" s="152" t="str">
        <f>IF(VLOOKUP(A540,'Aux - pivots1'!$A:$E,5,0)=0, "",VLOOKUP(A540,'Aux - pivots1'!$A:$E,5,0))</f>
        <v/>
      </c>
      <c r="S540" s="198"/>
      <c r="T540" s="198"/>
      <c r="U540" s="198"/>
      <c r="V540" s="320"/>
      <c r="W540" s="320"/>
      <c r="X540" s="320"/>
      <c r="Y540" s="368" t="s">
        <v>2320</v>
      </c>
      <c r="Z540" s="319"/>
    </row>
    <row r="541" spans="1:26" ht="16.399999999999999" hidden="1" customHeight="1">
      <c r="A541" s="29" t="str">
        <f t="shared" si="8"/>
        <v>modesg_inp_emss_bens_imoveistipo_finalidade_bem</v>
      </c>
      <c r="B541" s="141" t="s">
        <v>26</v>
      </c>
      <c r="C541" s="137" t="s">
        <v>181</v>
      </c>
      <c r="D541" s="133" t="s">
        <v>40</v>
      </c>
      <c r="E541" s="134" t="s">
        <v>219</v>
      </c>
      <c r="F541" s="470" t="s">
        <v>306</v>
      </c>
      <c r="G541" s="135" t="str">
        <f>VLOOKUP(A541,Plano_V3!$A$26:$G$768,7,0)</f>
        <v>1. Concluído</v>
      </c>
      <c r="H541" s="135" t="s">
        <v>612</v>
      </c>
      <c r="I541" s="467"/>
      <c r="J541" s="480"/>
      <c r="K541" s="480"/>
      <c r="L541" s="481"/>
      <c r="M541" s="481"/>
      <c r="N541" s="480"/>
      <c r="O541" s="142"/>
      <c r="P541" s="152" t="str">
        <f>IF(VLOOKUP(A541,'Aux - pivots1'!$A:$E,3,0)=0, "",VLOOKUP(A541,'Aux - pivots1'!$A:$E,3,0))</f>
        <v/>
      </c>
      <c r="Q541" s="152" t="str">
        <f>IF(VLOOKUP(A541,'Aux - pivots1'!$A:$E,4,0)=0, "",VLOOKUP(A541,'Aux - pivots1'!$A:$E,4,0))</f>
        <v/>
      </c>
      <c r="R541" s="152" t="str">
        <f>IF(VLOOKUP(A541,'Aux - pivots1'!$A:$E,5,0)=0, "",VLOOKUP(A541,'Aux - pivots1'!$A:$E,5,0))</f>
        <v/>
      </c>
      <c r="S541" s="198"/>
      <c r="T541" s="198"/>
      <c r="U541" s="198"/>
      <c r="V541" s="320"/>
      <c r="W541" s="320"/>
      <c r="X541" s="320"/>
      <c r="Y541" s="368" t="s">
        <v>2320</v>
      </c>
      <c r="Z541" s="319"/>
    </row>
    <row r="542" spans="1:26" ht="16.399999999999999" hidden="1" customHeight="1">
      <c r="A542" s="29" t="str">
        <f t="shared" si="8"/>
        <v>modesg_inp_emss_bens_imoveisepc</v>
      </c>
      <c r="B542" s="141" t="s">
        <v>26</v>
      </c>
      <c r="C542" s="137" t="s">
        <v>181</v>
      </c>
      <c r="D542" s="133" t="s">
        <v>40</v>
      </c>
      <c r="E542" s="134" t="s">
        <v>219</v>
      </c>
      <c r="F542" s="470" t="s">
        <v>198</v>
      </c>
      <c r="G542" s="135" t="str">
        <f>VLOOKUP(A542,Plano_V3!$A$26:$G$768,7,0)</f>
        <v>1. Concluído</v>
      </c>
      <c r="H542" s="135" t="s">
        <v>612</v>
      </c>
      <c r="I542" s="467"/>
      <c r="J542" s="480"/>
      <c r="K542" s="480"/>
      <c r="L542" s="481"/>
      <c r="M542" s="481"/>
      <c r="N542" s="480"/>
      <c r="O542" s="142"/>
      <c r="P542" s="152" t="str">
        <f>IF(VLOOKUP(A542,'Aux - pivots1'!$A:$E,3,0)=0, "",VLOOKUP(A542,'Aux - pivots1'!$A:$E,3,0))</f>
        <v/>
      </c>
      <c r="Q542" s="152" t="str">
        <f>IF(VLOOKUP(A542,'Aux - pivots1'!$A:$E,4,0)=0, "",VLOOKUP(A542,'Aux - pivots1'!$A:$E,4,0))</f>
        <v/>
      </c>
      <c r="R542" s="152" t="str">
        <f>IF(VLOOKUP(A542,'Aux - pivots1'!$A:$E,5,0)=0, "",VLOOKUP(A542,'Aux - pivots1'!$A:$E,5,0))</f>
        <v/>
      </c>
      <c r="S542" s="198"/>
      <c r="T542" s="198"/>
      <c r="U542" s="198"/>
      <c r="V542" s="320"/>
      <c r="W542" s="320"/>
      <c r="X542" s="320"/>
      <c r="Y542" s="368" t="s">
        <v>2320</v>
      </c>
      <c r="Z542" s="319"/>
    </row>
    <row r="543" spans="1:26" ht="16.399999999999999" hidden="1" customHeight="1">
      <c r="A543" s="29" t="str">
        <f t="shared" si="8"/>
        <v>modesg_inp_emss_bens_imoveisflg_ftr_emss_area</v>
      </c>
      <c r="B543" s="141" t="s">
        <v>26</v>
      </c>
      <c r="C543" s="137" t="s">
        <v>181</v>
      </c>
      <c r="D543" s="133" t="s">
        <v>40</v>
      </c>
      <c r="E543" s="134" t="s">
        <v>219</v>
      </c>
      <c r="F543" s="470" t="s">
        <v>307</v>
      </c>
      <c r="G543" s="135" t="str">
        <f>VLOOKUP(A543,Plano_V3!$A$26:$G$768,7,0)</f>
        <v>0. Cancelado</v>
      </c>
      <c r="H543" s="135" t="s">
        <v>611</v>
      </c>
      <c r="I543" s="467"/>
      <c r="J543" s="480"/>
      <c r="K543" s="480"/>
      <c r="L543" s="481"/>
      <c r="M543" s="481"/>
      <c r="N543" s="480"/>
      <c r="O543" s="144"/>
      <c r="P543" s="152" t="str">
        <f>IF(VLOOKUP(A543,'Aux - pivots1'!$A:$E,3,0)=0, "",VLOOKUP(A543,'Aux - pivots1'!$A:$E,3,0))</f>
        <v/>
      </c>
      <c r="Q543" s="152" t="str">
        <f>IF(VLOOKUP(A543,'Aux - pivots1'!$A:$E,4,0)=0, "",VLOOKUP(A543,'Aux - pivots1'!$A:$E,4,0))</f>
        <v/>
      </c>
      <c r="R543" s="152" t="str">
        <f>IF(VLOOKUP(A543,'Aux - pivots1'!$A:$E,5,0)=0, "",VLOOKUP(A543,'Aux - pivots1'!$A:$E,5,0))</f>
        <v/>
      </c>
      <c r="S543" s="198"/>
      <c r="T543" s="198"/>
      <c r="U543" s="198"/>
      <c r="V543" s="320"/>
      <c r="W543" s="320"/>
      <c r="X543" s="320"/>
      <c r="Y543" s="368" t="s">
        <v>2320</v>
      </c>
      <c r="Z543" s="319"/>
    </row>
    <row r="544" spans="1:26" ht="16.399999999999999" hidden="1" customHeight="1">
      <c r="A544" s="29" t="str">
        <f t="shared" si="8"/>
        <v>modesg_inp_emss_bens_imoveisnome_unidade_funcional</v>
      </c>
      <c r="B544" s="141" t="s">
        <v>26</v>
      </c>
      <c r="C544" s="137" t="s">
        <v>181</v>
      </c>
      <c r="D544" s="133" t="s">
        <v>40</v>
      </c>
      <c r="E544" s="134" t="s">
        <v>219</v>
      </c>
      <c r="F544" s="470" t="s">
        <v>228</v>
      </c>
      <c r="G544" s="135" t="str">
        <f>VLOOKUP(A544,Plano_V3!$A$26:$G$768,7,0)</f>
        <v>1. Concluído</v>
      </c>
      <c r="H544" s="135" t="s">
        <v>612</v>
      </c>
      <c r="I544" s="467"/>
      <c r="J544" s="480"/>
      <c r="K544" s="480"/>
      <c r="L544" s="481"/>
      <c r="M544" s="481"/>
      <c r="N544" s="480"/>
      <c r="O544" s="142"/>
      <c r="P544" s="152" t="str">
        <f>IF(VLOOKUP(A544,'Aux - pivots1'!$A:$E,3,0)=0, "",VLOOKUP(A544,'Aux - pivots1'!$A:$E,3,0))</f>
        <v/>
      </c>
      <c r="Q544" s="152" t="str">
        <f>IF(VLOOKUP(A544,'Aux - pivots1'!$A:$E,4,0)=0, "",VLOOKUP(A544,'Aux - pivots1'!$A:$E,4,0))</f>
        <v/>
      </c>
      <c r="R544" s="152" t="str">
        <f>IF(VLOOKUP(A544,'Aux - pivots1'!$A:$E,5,0)=0, "",VLOOKUP(A544,'Aux - pivots1'!$A:$E,5,0))</f>
        <v/>
      </c>
      <c r="S544" s="198"/>
      <c r="T544" s="198"/>
      <c r="U544" s="198"/>
      <c r="V544" s="320"/>
      <c r="W544" s="320"/>
      <c r="X544" s="320"/>
      <c r="Y544" s="368" t="s">
        <v>2320</v>
      </c>
      <c r="Z544" s="319"/>
    </row>
    <row r="545" spans="1:26" ht="16.399999999999999" hidden="1" customHeight="1">
      <c r="A545" s="29" t="str">
        <f t="shared" si="8"/>
        <v>modesg_inp_emss_bens_imoveisunidade_funcional</v>
      </c>
      <c r="B545" s="141" t="s">
        <v>26</v>
      </c>
      <c r="C545" s="137" t="s">
        <v>181</v>
      </c>
      <c r="D545" s="133" t="s">
        <v>40</v>
      </c>
      <c r="E545" s="134" t="s">
        <v>219</v>
      </c>
      <c r="F545" s="470" t="s">
        <v>229</v>
      </c>
      <c r="G545" s="135" t="str">
        <f>VLOOKUP(A545,Plano_V3!$A$26:$G$768,7,0)</f>
        <v>1. Concluído</v>
      </c>
      <c r="H545" s="135" t="s">
        <v>612</v>
      </c>
      <c r="I545" s="467"/>
      <c r="J545" s="480"/>
      <c r="K545" s="480"/>
      <c r="L545" s="481"/>
      <c r="M545" s="481"/>
      <c r="N545" s="480"/>
      <c r="O545" s="142"/>
      <c r="P545" s="152" t="str">
        <f>IF(VLOOKUP(A545,'Aux - pivots1'!$A:$E,3,0)=0, "",VLOOKUP(A545,'Aux - pivots1'!$A:$E,3,0))</f>
        <v/>
      </c>
      <c r="Q545" s="152" t="str">
        <f>IF(VLOOKUP(A545,'Aux - pivots1'!$A:$E,4,0)=0, "",VLOOKUP(A545,'Aux - pivots1'!$A:$E,4,0))</f>
        <v/>
      </c>
      <c r="R545" s="152" t="str">
        <f>IF(VLOOKUP(A545,'Aux - pivots1'!$A:$E,5,0)=0, "",VLOOKUP(A545,'Aux - pivots1'!$A:$E,5,0))</f>
        <v/>
      </c>
      <c r="S545" s="198"/>
      <c r="T545" s="198"/>
      <c r="U545" s="198"/>
      <c r="V545" s="320"/>
      <c r="W545" s="320"/>
      <c r="X545" s="320"/>
      <c r="Y545" s="368" t="s">
        <v>2320</v>
      </c>
      <c r="Z545" s="319"/>
    </row>
    <row r="546" spans="1:26" ht="16.399999999999999" hidden="1" customHeight="1">
      <c r="A546" s="29" t="str">
        <f t="shared" si="8"/>
        <v>modesg_inp_emss_bens_imoveisnome_fator_emissao</v>
      </c>
      <c r="B546" s="141" t="s">
        <v>26</v>
      </c>
      <c r="C546" s="137" t="s">
        <v>181</v>
      </c>
      <c r="D546" s="133" t="s">
        <v>40</v>
      </c>
      <c r="E546" s="134" t="s">
        <v>219</v>
      </c>
      <c r="F546" s="470" t="s">
        <v>230</v>
      </c>
      <c r="G546" s="135" t="str">
        <f>VLOOKUP(A546,Plano_V3!$A$26:$G$768,7,0)</f>
        <v>1. Concluído</v>
      </c>
      <c r="H546" s="135" t="s">
        <v>612</v>
      </c>
      <c r="I546" s="467"/>
      <c r="J546" s="480"/>
      <c r="K546" s="480"/>
      <c r="L546" s="481"/>
      <c r="M546" s="481"/>
      <c r="N546" s="480"/>
      <c r="O546" s="142"/>
      <c r="P546" s="152" t="str">
        <f>IF(VLOOKUP(A546,'Aux - pivots1'!$A:$E,3,0)=0, "",VLOOKUP(A546,'Aux - pivots1'!$A:$E,3,0))</f>
        <v/>
      </c>
      <c r="Q546" s="152" t="str">
        <f>IF(VLOOKUP(A546,'Aux - pivots1'!$A:$E,4,0)=0, "",VLOOKUP(A546,'Aux - pivots1'!$A:$E,4,0))</f>
        <v/>
      </c>
      <c r="R546" s="152" t="str">
        <f>IF(VLOOKUP(A546,'Aux - pivots1'!$A:$E,5,0)=0, "",VLOOKUP(A546,'Aux - pivots1'!$A:$E,5,0))</f>
        <v/>
      </c>
      <c r="S546" s="198"/>
      <c r="T546" s="198"/>
      <c r="U546" s="198"/>
      <c r="V546" s="320"/>
      <c r="W546" s="320"/>
      <c r="X546" s="320"/>
      <c r="Y546" s="368" t="s">
        <v>2320</v>
      </c>
      <c r="Z546" s="319"/>
    </row>
    <row r="547" spans="1:26" ht="16.399999999999999" hidden="1" customHeight="1">
      <c r="A547" s="29" t="str">
        <f t="shared" si="8"/>
        <v>modesg_inp_emss_bens_imoveisunidade_fator_de_emissao</v>
      </c>
      <c r="B547" s="141" t="s">
        <v>26</v>
      </c>
      <c r="C547" s="137" t="s">
        <v>181</v>
      </c>
      <c r="D547" s="133" t="s">
        <v>40</v>
      </c>
      <c r="E547" s="134" t="s">
        <v>219</v>
      </c>
      <c r="F547" s="470" t="s">
        <v>231</v>
      </c>
      <c r="G547" s="135" t="str">
        <f>VLOOKUP(A547,Plano_V3!$A$26:$G$768,7,0)</f>
        <v>1. Concluído</v>
      </c>
      <c r="H547" s="135" t="s">
        <v>612</v>
      </c>
      <c r="I547" s="467"/>
      <c r="J547" s="480"/>
      <c r="K547" s="480"/>
      <c r="L547" s="481"/>
      <c r="M547" s="481"/>
      <c r="N547" s="480"/>
      <c r="O547" s="142"/>
      <c r="P547" s="152" t="str">
        <f>IF(VLOOKUP(A547,'Aux - pivots1'!$A:$E,3,0)=0, "",VLOOKUP(A547,'Aux - pivots1'!$A:$E,3,0))</f>
        <v/>
      </c>
      <c r="Q547" s="152" t="str">
        <f>IF(VLOOKUP(A547,'Aux - pivots1'!$A:$E,4,0)=0, "",VLOOKUP(A547,'Aux - pivots1'!$A:$E,4,0))</f>
        <v/>
      </c>
      <c r="R547" s="152" t="str">
        <f>IF(VLOOKUP(A547,'Aux - pivots1'!$A:$E,5,0)=0, "",VLOOKUP(A547,'Aux - pivots1'!$A:$E,5,0))</f>
        <v/>
      </c>
      <c r="S547" s="198"/>
      <c r="T547" s="198"/>
      <c r="U547" s="198"/>
      <c r="V547" s="320"/>
      <c r="W547" s="320"/>
      <c r="X547" s="320"/>
      <c r="Y547" s="368" t="s">
        <v>2320</v>
      </c>
      <c r="Z547" s="319"/>
    </row>
    <row r="548" spans="1:26" ht="16.399999999999999" hidden="1" customHeight="1">
      <c r="A548" s="29" t="str">
        <f t="shared" si="8"/>
        <v>modesg_inp_emss_bens_imoveisscore_qualidade</v>
      </c>
      <c r="B548" s="141" t="s">
        <v>26</v>
      </c>
      <c r="C548" s="137" t="s">
        <v>181</v>
      </c>
      <c r="D548" s="133" t="s">
        <v>40</v>
      </c>
      <c r="E548" s="134" t="s">
        <v>219</v>
      </c>
      <c r="F548" s="470" t="s">
        <v>232</v>
      </c>
      <c r="G548" s="135" t="str">
        <f>VLOOKUP(A548,Plano_V3!$A$26:$G$768,7,0)</f>
        <v>1. Concluído</v>
      </c>
      <c r="H548" s="135" t="s">
        <v>612</v>
      </c>
      <c r="I548" s="467"/>
      <c r="J548" s="480"/>
      <c r="K548" s="480"/>
      <c r="L548" s="481"/>
      <c r="M548" s="481"/>
      <c r="N548" s="480"/>
      <c r="O548" s="142"/>
      <c r="P548" s="152" t="str">
        <f>IF(VLOOKUP(A548,'Aux - pivots1'!$A:$E,3,0)=0, "",VLOOKUP(A548,'Aux - pivots1'!$A:$E,3,0))</f>
        <v/>
      </c>
      <c r="Q548" s="152" t="str">
        <f>IF(VLOOKUP(A548,'Aux - pivots1'!$A:$E,4,0)=0, "",VLOOKUP(A548,'Aux - pivots1'!$A:$E,4,0))</f>
        <v/>
      </c>
      <c r="R548" s="152" t="str">
        <f>IF(VLOOKUP(A548,'Aux - pivots1'!$A:$E,5,0)=0, "",VLOOKUP(A548,'Aux - pivots1'!$A:$E,5,0))</f>
        <v/>
      </c>
      <c r="S548" s="198"/>
      <c r="T548" s="198"/>
      <c r="U548" s="198"/>
      <c r="V548" s="320"/>
      <c r="W548" s="320"/>
      <c r="X548" s="320"/>
      <c r="Y548" s="368" t="s">
        <v>2320</v>
      </c>
      <c r="Z548" s="319"/>
    </row>
    <row r="549" spans="1:26" ht="16.399999999999999" hidden="1" customHeight="1">
      <c r="A549" s="29" t="str">
        <f t="shared" si="8"/>
        <v>modesg_inp_emss_bens_imoveisano_fator_emissao</v>
      </c>
      <c r="B549" s="141" t="s">
        <v>26</v>
      </c>
      <c r="C549" s="137" t="s">
        <v>181</v>
      </c>
      <c r="D549" s="133" t="s">
        <v>40</v>
      </c>
      <c r="E549" s="134" t="s">
        <v>219</v>
      </c>
      <c r="F549" s="470" t="s">
        <v>308</v>
      </c>
      <c r="G549" s="135" t="str">
        <f>VLOOKUP(A549,Plano_V3!$A$26:$G$768,7,0)</f>
        <v>1. Concluído</v>
      </c>
      <c r="H549" s="135" t="s">
        <v>612</v>
      </c>
      <c r="I549" s="467"/>
      <c r="J549" s="480"/>
      <c r="K549" s="480"/>
      <c r="L549" s="481"/>
      <c r="M549" s="481"/>
      <c r="N549" s="480"/>
      <c r="O549" s="143"/>
      <c r="P549" s="152" t="str">
        <f>IF(VLOOKUP(A549,'Aux - pivots1'!$A:$E,3,0)=0, "",VLOOKUP(A549,'Aux - pivots1'!$A:$E,3,0))</f>
        <v/>
      </c>
      <c r="Q549" s="152" t="str">
        <f>IF(VLOOKUP(A549,'Aux - pivots1'!$A:$E,4,0)=0, "",VLOOKUP(A549,'Aux - pivots1'!$A:$E,4,0))</f>
        <v/>
      </c>
      <c r="R549" s="152" t="str">
        <f>IF(VLOOKUP(A549,'Aux - pivots1'!$A:$E,5,0)=0, "",VLOOKUP(A549,'Aux - pivots1'!$A:$E,5,0))</f>
        <v/>
      </c>
      <c r="S549" s="198"/>
      <c r="T549" s="198"/>
      <c r="U549" s="198"/>
      <c r="V549" s="320"/>
      <c r="W549" s="320"/>
      <c r="X549" s="320"/>
      <c r="Y549" s="368" t="s">
        <v>2320</v>
      </c>
      <c r="Z549" s="319"/>
    </row>
    <row r="550" spans="1:26" ht="16.399999999999999" hidden="1" customHeight="1">
      <c r="A550" s="29" t="str">
        <f t="shared" si="8"/>
        <v>modesg_inp_emss_bens_imoveisscp1_ftr_emss</v>
      </c>
      <c r="B550" s="141" t="s">
        <v>26</v>
      </c>
      <c r="C550" s="137" t="s">
        <v>181</v>
      </c>
      <c r="D550" s="133" t="s">
        <v>40</v>
      </c>
      <c r="E550" s="134" t="s">
        <v>219</v>
      </c>
      <c r="F550" s="470" t="s">
        <v>233</v>
      </c>
      <c r="G550" s="135" t="str">
        <f>VLOOKUP(A550,Plano_V3!$A$26:$G$768,7,0)</f>
        <v>1. Concluído</v>
      </c>
      <c r="H550" s="135" t="s">
        <v>612</v>
      </c>
      <c r="I550" s="467"/>
      <c r="J550" s="480"/>
      <c r="K550" s="480"/>
      <c r="L550" s="481"/>
      <c r="M550" s="481"/>
      <c r="N550" s="480"/>
      <c r="O550" s="142"/>
      <c r="P550" s="152" t="str">
        <f>IF(VLOOKUP(A550,'Aux - pivots1'!$A:$E,3,0)=0, "",VLOOKUP(A550,'Aux - pivots1'!$A:$E,3,0))</f>
        <v/>
      </c>
      <c r="Q550" s="152" t="str">
        <f>IF(VLOOKUP(A550,'Aux - pivots1'!$A:$E,4,0)=0, "",VLOOKUP(A550,'Aux - pivots1'!$A:$E,4,0))</f>
        <v/>
      </c>
      <c r="R550" s="152" t="str">
        <f>IF(VLOOKUP(A550,'Aux - pivots1'!$A:$E,5,0)=0, "",VLOOKUP(A550,'Aux - pivots1'!$A:$E,5,0))</f>
        <v/>
      </c>
      <c r="S550" s="198"/>
      <c r="T550" s="198"/>
      <c r="U550" s="198"/>
      <c r="V550" s="320"/>
      <c r="W550" s="320"/>
      <c r="X550" s="320"/>
      <c r="Y550" s="368" t="s">
        <v>2320</v>
      </c>
      <c r="Z550" s="319"/>
    </row>
    <row r="551" spans="1:26" ht="16.399999999999999" hidden="1" customHeight="1">
      <c r="A551" s="29" t="str">
        <f t="shared" si="8"/>
        <v>modesg_inp_emss_bens_imoveisscp2_ftr_emss</v>
      </c>
      <c r="B551" s="141" t="s">
        <v>26</v>
      </c>
      <c r="C551" s="137" t="s">
        <v>181</v>
      </c>
      <c r="D551" s="133" t="s">
        <v>40</v>
      </c>
      <c r="E551" s="134" t="s">
        <v>219</v>
      </c>
      <c r="F551" s="470" t="s">
        <v>234</v>
      </c>
      <c r="G551" s="135" t="str">
        <f>VLOOKUP(A551,Plano_V3!$A$26:$G$768,7,0)</f>
        <v>1. Concluído</v>
      </c>
      <c r="H551" s="135" t="s">
        <v>612</v>
      </c>
      <c r="I551" s="467"/>
      <c r="J551" s="480"/>
      <c r="K551" s="480"/>
      <c r="L551" s="481"/>
      <c r="M551" s="481"/>
      <c r="N551" s="480"/>
      <c r="O551" s="142"/>
      <c r="P551" s="152" t="str">
        <f>IF(VLOOKUP(A551,'Aux - pivots1'!$A:$E,3,0)=0, "",VLOOKUP(A551,'Aux - pivots1'!$A:$E,3,0))</f>
        <v/>
      </c>
      <c r="Q551" s="152" t="str">
        <f>IF(VLOOKUP(A551,'Aux - pivots1'!$A:$E,4,0)=0, "",VLOOKUP(A551,'Aux - pivots1'!$A:$E,4,0))</f>
        <v/>
      </c>
      <c r="R551" s="152" t="str">
        <f>IF(VLOOKUP(A551,'Aux - pivots1'!$A:$E,5,0)=0, "",VLOOKUP(A551,'Aux - pivots1'!$A:$E,5,0))</f>
        <v/>
      </c>
      <c r="S551" s="198"/>
      <c r="T551" s="198"/>
      <c r="U551" s="198"/>
      <c r="V551" s="320"/>
      <c r="W551" s="320"/>
      <c r="X551" s="320"/>
      <c r="Y551" s="368" t="s">
        <v>2320</v>
      </c>
      <c r="Z551" s="319"/>
    </row>
    <row r="552" spans="1:26" ht="16.399999999999999" hidden="1" customHeight="1">
      <c r="A552" s="29" t="str">
        <f t="shared" si="8"/>
        <v>modesg_inp_project_financecodigo_unidade</v>
      </c>
      <c r="B552" s="141" t="s">
        <v>26</v>
      </c>
      <c r="C552" s="137" t="s">
        <v>181</v>
      </c>
      <c r="D552" s="133" t="s">
        <v>40</v>
      </c>
      <c r="E552" s="134" t="s">
        <v>2060</v>
      </c>
      <c r="F552" s="470" t="s">
        <v>2061</v>
      </c>
      <c r="G552" s="135" t="str">
        <f>VLOOKUP(A552,Plano_V3!$A$26:$G$768,7,0)</f>
        <v>1. Concluído</v>
      </c>
      <c r="H552" s="135" t="s">
        <v>612</v>
      </c>
      <c r="I552" s="467"/>
      <c r="J552" s="142"/>
      <c r="K552" s="142"/>
      <c r="L552" s="153"/>
      <c r="M552" s="153"/>
      <c r="N552" s="142"/>
      <c r="O552" s="142"/>
      <c r="P552" s="152" t="str">
        <f>IF(VLOOKUP(A552,'Aux - pivots1'!$A:$E,3,0)=0, "",VLOOKUP(A552,'Aux - pivots1'!$A:$E,3,0))</f>
        <v/>
      </c>
      <c r="Q552" s="152" t="str">
        <f>IF(VLOOKUP(A552,'Aux - pivots1'!$A:$E,4,0)=0, "",VLOOKUP(A552,'Aux - pivots1'!$A:$E,4,0))</f>
        <v/>
      </c>
      <c r="R552" s="152" t="str">
        <f>IF(VLOOKUP(A552,'Aux - pivots1'!$A:$E,5,0)=0, "",VLOOKUP(A552,'Aux - pivots1'!$A:$E,5,0))</f>
        <v/>
      </c>
      <c r="S552" s="198"/>
      <c r="T552" s="198"/>
      <c r="U552" s="198"/>
      <c r="V552" s="368"/>
      <c r="W552" s="368"/>
      <c r="X552" s="368"/>
      <c r="Y552" s="368" t="s">
        <v>2322</v>
      </c>
      <c r="Z552" s="152" t="s">
        <v>1856</v>
      </c>
    </row>
    <row r="553" spans="1:26" ht="16.399999999999999" hidden="1" customHeight="1">
      <c r="A553" s="29" t="str">
        <f t="shared" si="8"/>
        <v>modesg_inp_project_financenome_unidade</v>
      </c>
      <c r="B553" s="141" t="s">
        <v>26</v>
      </c>
      <c r="C553" s="137" t="s">
        <v>181</v>
      </c>
      <c r="D553" s="133" t="s">
        <v>40</v>
      </c>
      <c r="E553" s="134" t="s">
        <v>2060</v>
      </c>
      <c r="F553" s="470" t="s">
        <v>2062</v>
      </c>
      <c r="G553" s="135" t="str">
        <f>VLOOKUP(A553,Plano_V3!$A$26:$G$768,7,0)</f>
        <v>1. Concluído</v>
      </c>
      <c r="H553" s="135" t="s">
        <v>612</v>
      </c>
      <c r="I553" s="467"/>
      <c r="J553" s="142"/>
      <c r="K553" s="142"/>
      <c r="L553" s="153"/>
      <c r="M553" s="153"/>
      <c r="N553" s="142"/>
      <c r="O553" s="142"/>
      <c r="P553" s="152" t="str">
        <f>IF(VLOOKUP(A552,'Aux - pivots1'!$A:$E,3,0)=0, "",VLOOKUP(A552,'Aux - pivots1'!$A:$E,3,0))</f>
        <v/>
      </c>
      <c r="Q553" s="152" t="str">
        <f>IF(VLOOKUP(A552,'Aux - pivots1'!$A:$E,4,0)=0, "",VLOOKUP(A552,'Aux - pivots1'!$A:$E,4,0))</f>
        <v/>
      </c>
      <c r="R553" s="152" t="str">
        <f>IF(VLOOKUP(A552,'Aux - pivots1'!$A:$E,5,0)=0, "",VLOOKUP(A552,'Aux - pivots1'!$A:$E,5,0))</f>
        <v/>
      </c>
      <c r="S553" s="198"/>
      <c r="T553" s="198"/>
      <c r="U553" s="198"/>
      <c r="V553" s="368"/>
      <c r="W553" s="368"/>
      <c r="X553" s="368"/>
      <c r="Y553" s="368" t="s">
        <v>2322</v>
      </c>
      <c r="Z553" s="152" t="s">
        <v>1856</v>
      </c>
    </row>
    <row r="554" spans="1:26" ht="16.399999999999999" hidden="1" customHeight="1">
      <c r="A554" s="29" t="str">
        <f t="shared" si="8"/>
        <v>modesg_inp_project_financekgl</v>
      </c>
      <c r="B554" s="141" t="s">
        <v>26</v>
      </c>
      <c r="C554" s="137" t="s">
        <v>181</v>
      </c>
      <c r="D554" s="133" t="s">
        <v>40</v>
      </c>
      <c r="E554" s="134" t="s">
        <v>2060</v>
      </c>
      <c r="F554" s="470" t="s">
        <v>2063</v>
      </c>
      <c r="G554" s="135" t="str">
        <f>VLOOKUP(A554,Plano_V3!$A$26:$G$768,7,0)</f>
        <v>1. Concluído</v>
      </c>
      <c r="H554" s="135" t="s">
        <v>612</v>
      </c>
      <c r="I554" s="467"/>
      <c r="J554" s="142"/>
      <c r="K554" s="142"/>
      <c r="L554" s="153"/>
      <c r="M554" s="153"/>
      <c r="N554" s="142"/>
      <c r="O554" s="142"/>
      <c r="P554" s="152" t="str">
        <f>IF(VLOOKUP(A552,'Aux - pivots1'!$A:$E,3,0)=0, "",VLOOKUP(A552,'Aux - pivots1'!$A:$E,3,0))</f>
        <v/>
      </c>
      <c r="Q554" s="152" t="str">
        <f>IF(VLOOKUP(A552,'Aux - pivots1'!$A:$E,4,0)=0, "",VLOOKUP(A552,'Aux - pivots1'!$A:$E,4,0))</f>
        <v/>
      </c>
      <c r="R554" s="152" t="str">
        <f>IF(VLOOKUP(A552,'Aux - pivots1'!$A:$E,5,0)=0, "",VLOOKUP(A552,'Aux - pivots1'!$A:$E,5,0))</f>
        <v/>
      </c>
      <c r="S554" s="198"/>
      <c r="T554" s="198"/>
      <c r="U554" s="198"/>
      <c r="V554" s="368"/>
      <c r="W554" s="368"/>
      <c r="X554" s="368"/>
      <c r="Y554" s="368" t="s">
        <v>2322</v>
      </c>
      <c r="Z554" s="152" t="s">
        <v>1856</v>
      </c>
    </row>
    <row r="555" spans="1:26" ht="16.399999999999999" hidden="1" customHeight="1">
      <c r="A555" s="29" t="str">
        <f t="shared" si="8"/>
        <v>modesg_inp_project_financenome_legal_kgl</v>
      </c>
      <c r="B555" s="141" t="s">
        <v>26</v>
      </c>
      <c r="C555" s="137" t="s">
        <v>181</v>
      </c>
      <c r="D555" s="133" t="s">
        <v>40</v>
      </c>
      <c r="E555" s="134" t="s">
        <v>2060</v>
      </c>
      <c r="F555" s="470" t="s">
        <v>2064</v>
      </c>
      <c r="G555" s="135" t="str">
        <f>VLOOKUP(A555,Plano_V3!$A$26:$G$768,7,0)</f>
        <v>1. Concluído</v>
      </c>
      <c r="H555" s="135" t="s">
        <v>612</v>
      </c>
      <c r="I555" s="467"/>
      <c r="J555" s="142"/>
      <c r="K555" s="142"/>
      <c r="L555" s="153"/>
      <c r="M555" s="153"/>
      <c r="N555" s="142"/>
      <c r="O555" s="142"/>
      <c r="P555" s="152" t="str">
        <f>IF(VLOOKUP(A552,'Aux - pivots1'!$A:$E,3,0)=0, "",VLOOKUP(A552,'Aux - pivots1'!$A:$E,3,0))</f>
        <v/>
      </c>
      <c r="Q555" s="152" t="str">
        <f>IF(VLOOKUP(A552,'Aux - pivots1'!$A:$E,4,0)=0, "",VLOOKUP(A552,'Aux - pivots1'!$A:$E,4,0))</f>
        <v/>
      </c>
      <c r="R555" s="152" t="str">
        <f>IF(VLOOKUP(A552,'Aux - pivots1'!$A:$E,5,0)=0, "",VLOOKUP(A552,'Aux - pivots1'!$A:$E,5,0))</f>
        <v/>
      </c>
      <c r="S555" s="198"/>
      <c r="T555" s="198"/>
      <c r="U555" s="198"/>
      <c r="V555" s="368"/>
      <c r="W555" s="368"/>
      <c r="X555" s="368"/>
      <c r="Y555" s="368" t="s">
        <v>2322</v>
      </c>
      <c r="Z555" s="152" t="s">
        <v>1856</v>
      </c>
    </row>
    <row r="556" spans="1:26" ht="16.399999999999999" hidden="1" customHeight="1">
      <c r="A556" s="29" t="str">
        <f t="shared" si="8"/>
        <v>modesg_inp_project_financekgl_top_entidade_principal</v>
      </c>
      <c r="B556" s="141" t="s">
        <v>26</v>
      </c>
      <c r="C556" s="137" t="s">
        <v>181</v>
      </c>
      <c r="D556" s="133" t="s">
        <v>40</v>
      </c>
      <c r="E556" s="134" t="s">
        <v>2060</v>
      </c>
      <c r="F556" s="470" t="s">
        <v>2065</v>
      </c>
      <c r="G556" s="135" t="str">
        <f>VLOOKUP(A556,Plano_V3!$A$26:$G$768,7,0)</f>
        <v>1. Concluído</v>
      </c>
      <c r="H556" s="135" t="s">
        <v>612</v>
      </c>
      <c r="I556" s="467"/>
      <c r="J556" s="142"/>
      <c r="K556" s="142"/>
      <c r="L556" s="153"/>
      <c r="M556" s="153"/>
      <c r="N556" s="142"/>
      <c r="O556" s="142"/>
      <c r="P556" s="152" t="str">
        <f>IF(VLOOKUP(A552,'Aux - pivots1'!$A:$E,3,0)=0, "",VLOOKUP(A552,'Aux - pivots1'!$A:$E,3,0))</f>
        <v/>
      </c>
      <c r="Q556" s="152" t="str">
        <f>IF(VLOOKUP(A552,'Aux - pivots1'!$A:$E,4,0)=0, "",VLOOKUP(A552,'Aux - pivots1'!$A:$E,4,0))</f>
        <v/>
      </c>
      <c r="R556" s="152" t="str">
        <f>IF(VLOOKUP(A552,'Aux - pivots1'!$A:$E,5,0)=0, "",VLOOKUP(A552,'Aux - pivots1'!$A:$E,5,0))</f>
        <v/>
      </c>
      <c r="S556" s="198"/>
      <c r="T556" s="198"/>
      <c r="U556" s="198"/>
      <c r="V556" s="368"/>
      <c r="W556" s="368"/>
      <c r="X556" s="368"/>
      <c r="Y556" s="368" t="s">
        <v>2322</v>
      </c>
      <c r="Z556" s="152" t="s">
        <v>1856</v>
      </c>
    </row>
    <row r="557" spans="1:26" ht="16.399999999999999" hidden="1" customHeight="1">
      <c r="A557" s="29" t="str">
        <f t="shared" si="8"/>
        <v>modesg_inp_project_financekgl_entidade_principal</v>
      </c>
      <c r="B557" s="141" t="s">
        <v>26</v>
      </c>
      <c r="C557" s="137" t="s">
        <v>181</v>
      </c>
      <c r="D557" s="133" t="s">
        <v>40</v>
      </c>
      <c r="E557" s="134" t="s">
        <v>2060</v>
      </c>
      <c r="F557" s="470" t="s">
        <v>2066</v>
      </c>
      <c r="G557" s="135" t="str">
        <f>VLOOKUP(A557,Plano_V3!$A$26:$G$768,7,0)</f>
        <v>1. Concluído</v>
      </c>
      <c r="H557" s="135" t="s">
        <v>612</v>
      </c>
      <c r="I557" s="467"/>
      <c r="J557" s="142"/>
      <c r="K557" s="142"/>
      <c r="L557" s="153"/>
      <c r="M557" s="153"/>
      <c r="N557" s="142"/>
      <c r="O557" s="142"/>
      <c r="P557" s="152" t="str">
        <f>IF(VLOOKUP(A552,'Aux - pivots1'!$A:$E,3,0)=0, "",VLOOKUP(A552,'Aux - pivots1'!$A:$E,3,0))</f>
        <v/>
      </c>
      <c r="Q557" s="152" t="str">
        <f>IF(VLOOKUP(A552,'Aux - pivots1'!$A:$E,4,0)=0, "",VLOOKUP(A552,'Aux - pivots1'!$A:$E,4,0))</f>
        <v/>
      </c>
      <c r="R557" s="152" t="str">
        <f>IF(VLOOKUP(A552,'Aux - pivots1'!$A:$E,5,0)=0, "",VLOOKUP(A552,'Aux - pivots1'!$A:$E,5,0))</f>
        <v/>
      </c>
      <c r="S557" s="198"/>
      <c r="T557" s="198"/>
      <c r="U557" s="198"/>
      <c r="V557" s="368"/>
      <c r="W557" s="368"/>
      <c r="X557" s="368"/>
      <c r="Y557" s="368" t="s">
        <v>2322</v>
      </c>
      <c r="Z557" s="152" t="s">
        <v>1856</v>
      </c>
    </row>
    <row r="558" spans="1:26" ht="16.399999999999999" hidden="1" customHeight="1">
      <c r="A558" s="29" t="str">
        <f t="shared" si="8"/>
        <v>modesg_inp_project_financenome_top_entidade_principal</v>
      </c>
      <c r="B558" s="141" t="s">
        <v>26</v>
      </c>
      <c r="C558" s="137" t="s">
        <v>181</v>
      </c>
      <c r="D558" s="133" t="s">
        <v>40</v>
      </c>
      <c r="E558" s="134" t="s">
        <v>2060</v>
      </c>
      <c r="F558" s="470" t="s">
        <v>2067</v>
      </c>
      <c r="G558" s="135" t="str">
        <f>VLOOKUP(A558,Plano_V3!$A$26:$G$768,7,0)</f>
        <v>1. Concluído</v>
      </c>
      <c r="H558" s="135" t="s">
        <v>612</v>
      </c>
      <c r="I558" s="467"/>
      <c r="J558" s="142"/>
      <c r="K558" s="142"/>
      <c r="L558" s="153"/>
      <c r="M558" s="153"/>
      <c r="N558" s="142"/>
      <c r="O558" s="142"/>
      <c r="P558" s="152" t="str">
        <f>IF(VLOOKUP(A552,'Aux - pivots1'!$A:$E,3,0)=0, "",VLOOKUP(A552,'Aux - pivots1'!$A:$E,3,0))</f>
        <v/>
      </c>
      <c r="Q558" s="152" t="str">
        <f>IF(VLOOKUP(A552,'Aux - pivots1'!$A:$E,4,0)=0, "",VLOOKUP(A552,'Aux - pivots1'!$A:$E,4,0))</f>
        <v/>
      </c>
      <c r="R558" s="152" t="str">
        <f>IF(VLOOKUP(A552,'Aux - pivots1'!$A:$E,5,0)=0, "",VLOOKUP(A552,'Aux - pivots1'!$A:$E,5,0))</f>
        <v/>
      </c>
      <c r="S558" s="198"/>
      <c r="T558" s="198"/>
      <c r="U558" s="198"/>
      <c r="V558" s="368"/>
      <c r="W558" s="368"/>
      <c r="X558" s="368"/>
      <c r="Y558" s="368" t="s">
        <v>2322</v>
      </c>
      <c r="Z558" s="152" t="s">
        <v>1856</v>
      </c>
    </row>
    <row r="559" spans="1:26" ht="16.399999999999999" hidden="1" customHeight="1">
      <c r="A559" s="29" t="str">
        <f t="shared" si="8"/>
        <v>modesg_inp_project_financecodigo_unidade_operativa</v>
      </c>
      <c r="B559" s="141" t="s">
        <v>26</v>
      </c>
      <c r="C559" s="137" t="s">
        <v>181</v>
      </c>
      <c r="D559" s="133" t="s">
        <v>40</v>
      </c>
      <c r="E559" s="134" t="s">
        <v>2060</v>
      </c>
      <c r="F559" s="470" t="s">
        <v>2068</v>
      </c>
      <c r="G559" s="135" t="str">
        <f>VLOOKUP(A559,Plano_V3!$A$26:$G$768,7,0)</f>
        <v>1. Concluído</v>
      </c>
      <c r="H559" s="135" t="s">
        <v>612</v>
      </c>
      <c r="I559" s="467"/>
      <c r="J559" s="142"/>
      <c r="K559" s="142"/>
      <c r="L559" s="153"/>
      <c r="M559" s="153"/>
      <c r="N559" s="142"/>
      <c r="O559" s="142"/>
      <c r="P559" s="152" t="str">
        <f>IF(VLOOKUP(A552,'Aux - pivots1'!$A:$E,3,0)=0, "",VLOOKUP(A552,'Aux - pivots1'!$A:$E,3,0))</f>
        <v/>
      </c>
      <c r="Q559" s="152" t="str">
        <f>IF(VLOOKUP(A552,'Aux - pivots1'!$A:$E,4,0)=0, "",VLOOKUP(A552,'Aux - pivots1'!$A:$E,4,0))</f>
        <v/>
      </c>
      <c r="R559" s="152" t="str">
        <f>IF(VLOOKUP(A552,'Aux - pivots1'!$A:$E,5,0)=0, "",VLOOKUP(A552,'Aux - pivots1'!$A:$E,5,0))</f>
        <v/>
      </c>
      <c r="S559" s="198"/>
      <c r="T559" s="198"/>
      <c r="U559" s="198"/>
      <c r="V559" s="368"/>
      <c r="W559" s="368"/>
      <c r="X559" s="368"/>
      <c r="Y559" s="368" t="s">
        <v>2322</v>
      </c>
      <c r="Z559" s="152" t="s">
        <v>1856</v>
      </c>
    </row>
    <row r="560" spans="1:26" ht="16.399999999999999" hidden="1" customHeight="1">
      <c r="A560" s="29" t="str">
        <f t="shared" si="8"/>
        <v>modesg_inp_project_financenome_entidade_operativa</v>
      </c>
      <c r="B560" s="141" t="s">
        <v>26</v>
      </c>
      <c r="C560" s="137" t="s">
        <v>181</v>
      </c>
      <c r="D560" s="133" t="s">
        <v>40</v>
      </c>
      <c r="E560" s="134" t="s">
        <v>2060</v>
      </c>
      <c r="F560" s="470" t="s">
        <v>2069</v>
      </c>
      <c r="G560" s="135" t="str">
        <f>VLOOKUP(A560,Plano_V3!$A$26:$G$768,7,0)</f>
        <v>1. Concluído</v>
      </c>
      <c r="H560" s="135" t="s">
        <v>612</v>
      </c>
      <c r="I560" s="467"/>
      <c r="J560" s="142"/>
      <c r="K560" s="142"/>
      <c r="L560" s="153"/>
      <c r="M560" s="153"/>
      <c r="N560" s="142"/>
      <c r="O560" s="142"/>
      <c r="P560" s="152" t="str">
        <f>IF(VLOOKUP(A552,'Aux - pivots1'!$A:$E,3,0)=0, "",VLOOKUP(A552,'Aux - pivots1'!$A:$E,3,0))</f>
        <v/>
      </c>
      <c r="Q560" s="152" t="str">
        <f>IF(VLOOKUP(A552,'Aux - pivots1'!$A:$E,4,0)=0, "",VLOOKUP(A552,'Aux - pivots1'!$A:$E,4,0))</f>
        <v/>
      </c>
      <c r="R560" s="152" t="str">
        <f>IF(VLOOKUP(A552,'Aux - pivots1'!$A:$E,5,0)=0, "",VLOOKUP(A552,'Aux - pivots1'!$A:$E,5,0))</f>
        <v/>
      </c>
      <c r="S560" s="198"/>
      <c r="T560" s="198"/>
      <c r="U560" s="198"/>
      <c r="V560" s="368"/>
      <c r="W560" s="368"/>
      <c r="X560" s="368"/>
      <c r="Y560" s="368" t="s">
        <v>2322</v>
      </c>
      <c r="Z560" s="152" t="s">
        <v>1856</v>
      </c>
    </row>
    <row r="561" spans="1:26" ht="16.399999999999999" hidden="1" customHeight="1">
      <c r="A561" s="29" t="str">
        <f t="shared" si="8"/>
        <v>modesg_out_bens_imoveisn.a.</v>
      </c>
      <c r="B561" s="141" t="s">
        <v>26</v>
      </c>
      <c r="C561" s="137" t="s">
        <v>310</v>
      </c>
      <c r="D561" s="133" t="s">
        <v>36</v>
      </c>
      <c r="E561" s="134" t="s">
        <v>311</v>
      </c>
      <c r="F561" s="470" t="s">
        <v>38</v>
      </c>
      <c r="G561" s="135" t="str">
        <f>VLOOKUP(A561,Plano_V3!$A$26:$G$768,7,0)</f>
        <v>1. Concluído</v>
      </c>
      <c r="H561" s="135" t="s">
        <v>612</v>
      </c>
      <c r="I561" s="467"/>
      <c r="J561" s="142"/>
      <c r="K561" s="142"/>
      <c r="L561" s="153"/>
      <c r="M561" s="153"/>
      <c r="N561" s="142"/>
      <c r="O561" s="142"/>
      <c r="P561" s="152" t="str">
        <f>IF(VLOOKUP(A552,'Aux - pivots1'!$A:$E,3,0)=0, "",VLOOKUP(A552,'Aux - pivots1'!$A:$E,3,0))</f>
        <v/>
      </c>
      <c r="Q561" s="152" t="str">
        <f>IF(VLOOKUP(A552,'Aux - pivots1'!$A:$E,4,0)=0, "",VLOOKUP(A552,'Aux - pivots1'!$A:$E,4,0))</f>
        <v/>
      </c>
      <c r="R561" s="152" t="str">
        <f>IF(VLOOKUP(A552,'Aux - pivots1'!$A:$E,5,0)=0, "",VLOOKUP(A552,'Aux - pivots1'!$A:$E,5,0))</f>
        <v/>
      </c>
      <c r="S561" s="198"/>
      <c r="T561" s="198"/>
      <c r="U561" s="198"/>
      <c r="V561" s="320"/>
      <c r="W561" s="320"/>
      <c r="X561" s="320"/>
      <c r="Y561" s="368" t="s">
        <v>2320</v>
      </c>
      <c r="Z561" s="319"/>
    </row>
    <row r="562" spans="1:26" ht="16.399999999999999" hidden="1" customHeight="1">
      <c r="A562" s="29" t="str">
        <f t="shared" si="8"/>
        <v>modesg_out_bens_imoveiscempbem</v>
      </c>
      <c r="B562" s="141" t="s">
        <v>26</v>
      </c>
      <c r="C562" s="137" t="s">
        <v>310</v>
      </c>
      <c r="D562" s="133" t="s">
        <v>40</v>
      </c>
      <c r="E562" s="134" t="s">
        <v>311</v>
      </c>
      <c r="F562" s="470" t="s">
        <v>313</v>
      </c>
      <c r="G562" s="135" t="str">
        <f>VLOOKUP(A562,Plano_V3!$A$26:$G$768,7,0)</f>
        <v>1. Concluído</v>
      </c>
      <c r="H562" s="135" t="s">
        <v>612</v>
      </c>
      <c r="I562" s="467"/>
      <c r="J562" s="153"/>
      <c r="K562" s="153"/>
      <c r="L562" s="153"/>
      <c r="M562" s="153"/>
      <c r="N562" s="487"/>
      <c r="O562" s="153"/>
      <c r="P562" s="152" t="str">
        <f>IF(VLOOKUP(A553,'Aux - pivots1'!$A:$E,3,0)=0, "",VLOOKUP(A553,'Aux - pivots1'!$A:$E,3,0))</f>
        <v/>
      </c>
      <c r="Q562" s="152" t="str">
        <f>IF(VLOOKUP(A553,'Aux - pivots1'!$A:$E,4,0)=0, "",VLOOKUP(A553,'Aux - pivots1'!$A:$E,4,0))</f>
        <v/>
      </c>
      <c r="R562" s="152" t="str">
        <f>IF(VLOOKUP(A553,'Aux - pivots1'!$A:$E,5,0)=0, "",VLOOKUP(A553,'Aux - pivots1'!$A:$E,5,0))</f>
        <v/>
      </c>
      <c r="S562" s="198"/>
      <c r="T562" s="198"/>
      <c r="U562" s="198"/>
      <c r="V562" s="320"/>
      <c r="W562" s="320"/>
      <c r="X562" s="320"/>
      <c r="Y562" s="368" t="s">
        <v>2320</v>
      </c>
      <c r="Z562" s="319"/>
    </row>
    <row r="563" spans="1:26" ht="16.399999999999999" hidden="1" customHeight="1">
      <c r="A563" s="29" t="str">
        <f t="shared" si="8"/>
        <v>modesg_out_bens_imoveisckbalbem</v>
      </c>
      <c r="B563" s="141" t="s">
        <v>26</v>
      </c>
      <c r="C563" s="137" t="s">
        <v>310</v>
      </c>
      <c r="D563" s="133" t="s">
        <v>40</v>
      </c>
      <c r="E563" s="134" t="s">
        <v>311</v>
      </c>
      <c r="F563" s="470" t="s">
        <v>314</v>
      </c>
      <c r="G563" s="135" t="str">
        <f>VLOOKUP(A563,Plano_V3!$A$26:$G$768,7,0)</f>
        <v>1. Concluído</v>
      </c>
      <c r="H563" s="135" t="s">
        <v>612</v>
      </c>
      <c r="I563" s="467"/>
      <c r="J563" s="153"/>
      <c r="K563" s="153"/>
      <c r="L563" s="153"/>
      <c r="M563" s="153"/>
      <c r="N563" s="487"/>
      <c r="O563" s="153"/>
      <c r="P563" s="152" t="str">
        <f>IF(VLOOKUP(A554,'Aux - pivots1'!$A:$E,3,0)=0, "",VLOOKUP(A554,'Aux - pivots1'!$A:$E,3,0))</f>
        <v/>
      </c>
      <c r="Q563" s="152" t="str">
        <f>IF(VLOOKUP(A554,'Aux - pivots1'!$A:$E,4,0)=0, "",VLOOKUP(A554,'Aux - pivots1'!$A:$E,4,0))</f>
        <v/>
      </c>
      <c r="R563" s="152" t="str">
        <f>IF(VLOOKUP(A554,'Aux - pivots1'!$A:$E,5,0)=0, "",VLOOKUP(A554,'Aux - pivots1'!$A:$E,5,0))</f>
        <v/>
      </c>
      <c r="S563" s="198"/>
      <c r="T563" s="198"/>
      <c r="U563" s="198"/>
      <c r="V563" s="320"/>
      <c r="W563" s="320"/>
      <c r="X563" s="320"/>
      <c r="Y563" s="368" t="s">
        <v>2320</v>
      </c>
      <c r="Z563" s="319"/>
    </row>
    <row r="564" spans="1:26" ht="16.399999999999999" hidden="1" customHeight="1">
      <c r="A564" s="29" t="str">
        <f t="shared" si="8"/>
        <v>modesg_out_bens_imoveisckctabem</v>
      </c>
      <c r="B564" s="141" t="s">
        <v>26</v>
      </c>
      <c r="C564" s="137" t="s">
        <v>310</v>
      </c>
      <c r="D564" s="133" t="s">
        <v>40</v>
      </c>
      <c r="E564" s="134" t="s">
        <v>311</v>
      </c>
      <c r="F564" s="470" t="s">
        <v>315</v>
      </c>
      <c r="G564" s="135" t="str">
        <f>VLOOKUP(A564,Plano_V3!$A$26:$G$768,7,0)</f>
        <v>1. Concluído</v>
      </c>
      <c r="H564" s="135" t="s">
        <v>612</v>
      </c>
      <c r="I564" s="467"/>
      <c r="J564" s="153"/>
      <c r="K564" s="153"/>
      <c r="L564" s="153"/>
      <c r="M564" s="153"/>
      <c r="N564" s="487"/>
      <c r="O564" s="153"/>
      <c r="P564" s="152" t="str">
        <f>IF(VLOOKUP(A555,'Aux - pivots1'!$A:$E,3,0)=0, "",VLOOKUP(A555,'Aux - pivots1'!$A:$E,3,0))</f>
        <v/>
      </c>
      <c r="Q564" s="152" t="str">
        <f>IF(VLOOKUP(A555,'Aux - pivots1'!$A:$E,4,0)=0, "",VLOOKUP(A555,'Aux - pivots1'!$A:$E,4,0))</f>
        <v/>
      </c>
      <c r="R564" s="152" t="str">
        <f>IF(VLOOKUP(A555,'Aux - pivots1'!$A:$E,5,0)=0, "",VLOOKUP(A555,'Aux - pivots1'!$A:$E,5,0))</f>
        <v/>
      </c>
      <c r="S564" s="198"/>
      <c r="T564" s="198"/>
      <c r="U564" s="198"/>
      <c r="V564" s="320"/>
      <c r="W564" s="320"/>
      <c r="X564" s="320"/>
      <c r="Y564" s="368" t="s">
        <v>2320</v>
      </c>
      <c r="Z564" s="319"/>
    </row>
    <row r="565" spans="1:26" ht="16.399999999999999" hidden="1" customHeight="1">
      <c r="A565" s="29" t="str">
        <f t="shared" si="8"/>
        <v>modesg_out_bens_imoveisckrefbem</v>
      </c>
      <c r="B565" s="141" t="s">
        <v>26</v>
      </c>
      <c r="C565" s="137" t="s">
        <v>310</v>
      </c>
      <c r="D565" s="133" t="s">
        <v>40</v>
      </c>
      <c r="E565" s="134" t="s">
        <v>311</v>
      </c>
      <c r="F565" s="470" t="s">
        <v>316</v>
      </c>
      <c r="G565" s="135" t="str">
        <f>VLOOKUP(A565,Plano_V3!$A$26:$G$768,7,0)</f>
        <v>1. Concluído</v>
      </c>
      <c r="H565" s="135" t="s">
        <v>612</v>
      </c>
      <c r="I565" s="467"/>
      <c r="J565" s="153"/>
      <c r="K565" s="153"/>
      <c r="L565" s="153"/>
      <c r="M565" s="153"/>
      <c r="N565" s="487"/>
      <c r="O565" s="153"/>
      <c r="P565" s="152" t="str">
        <f>IF(VLOOKUP(A556,'Aux - pivots1'!$A:$E,3,0)=0, "",VLOOKUP(A556,'Aux - pivots1'!$A:$E,3,0))</f>
        <v/>
      </c>
      <c r="Q565" s="152" t="str">
        <f>IF(VLOOKUP(A556,'Aux - pivots1'!$A:$E,4,0)=0, "",VLOOKUP(A556,'Aux - pivots1'!$A:$E,4,0))</f>
        <v/>
      </c>
      <c r="R565" s="152" t="str">
        <f>IF(VLOOKUP(A556,'Aux - pivots1'!$A:$E,5,0)=0, "",VLOOKUP(A556,'Aux - pivots1'!$A:$E,5,0))</f>
        <v/>
      </c>
      <c r="S565" s="198"/>
      <c r="T565" s="198"/>
      <c r="U565" s="198"/>
      <c r="V565" s="320"/>
      <c r="W565" s="320"/>
      <c r="X565" s="320"/>
      <c r="Y565" s="368" t="s">
        <v>2320</v>
      </c>
      <c r="Z565" s="319"/>
    </row>
    <row r="566" spans="1:26" ht="16.5" hidden="1" customHeight="1">
      <c r="A566" s="29" t="str">
        <f t="shared" si="8"/>
        <v>modesg_out_bens_imoveisorigem_scp1_emss</v>
      </c>
      <c r="B566" s="141" t="s">
        <v>26</v>
      </c>
      <c r="C566" s="137" t="s">
        <v>310</v>
      </c>
      <c r="D566" s="133" t="s">
        <v>40</v>
      </c>
      <c r="E566" s="134" t="s">
        <v>311</v>
      </c>
      <c r="F566" s="470" t="s">
        <v>319</v>
      </c>
      <c r="G566" s="135" t="str">
        <f>VLOOKUP(A566,Plano_V3!$A$26:$G$768,7,0)</f>
        <v>1. Concluído</v>
      </c>
      <c r="H566" s="135" t="s">
        <v>612</v>
      </c>
      <c r="I566" s="467"/>
      <c r="J566" s="142"/>
      <c r="K566" s="142"/>
      <c r="L566" s="153"/>
      <c r="M566" s="153"/>
      <c r="N566" s="142"/>
      <c r="O566" s="142" t="s">
        <v>2353</v>
      </c>
      <c r="P566" s="152" t="str">
        <f>IF(VLOOKUP(A557,'Aux - pivots1'!$A:$E,3,0)=0, "",VLOOKUP(A557,'Aux - pivots1'!$A:$E,3,0))</f>
        <v/>
      </c>
      <c r="Q566" s="152" t="str">
        <f>IF(VLOOKUP(A557,'Aux - pivots1'!$A:$E,4,0)=0, "",VLOOKUP(A557,'Aux - pivots1'!$A:$E,4,0))</f>
        <v/>
      </c>
      <c r="R566" s="152" t="str">
        <f>IF(VLOOKUP(A557,'Aux - pivots1'!$A:$E,5,0)=0, "",VLOOKUP(A557,'Aux - pivots1'!$A:$E,5,0))</f>
        <v/>
      </c>
      <c r="S566" s="198"/>
      <c r="T566" s="198"/>
      <c r="U566" s="198"/>
      <c r="V566" s="320"/>
      <c r="W566" s="320"/>
      <c r="X566" s="320"/>
      <c r="Y566" s="368" t="s">
        <v>2320</v>
      </c>
      <c r="Z566" s="319"/>
    </row>
    <row r="567" spans="1:26" ht="16.5" hidden="1" customHeight="1">
      <c r="A567" s="29" t="str">
        <f t="shared" si="8"/>
        <v>modesg_out_bens_imoveisorigem_scp2_emss</v>
      </c>
      <c r="B567" s="141" t="s">
        <v>26</v>
      </c>
      <c r="C567" s="137" t="s">
        <v>310</v>
      </c>
      <c r="D567" s="133" t="s">
        <v>40</v>
      </c>
      <c r="E567" s="134" t="s">
        <v>311</v>
      </c>
      <c r="F567" s="470" t="s">
        <v>320</v>
      </c>
      <c r="G567" s="135" t="str">
        <f>VLOOKUP(A567,Plano_V3!$A$26:$G$768,7,0)</f>
        <v>1. Concluído</v>
      </c>
      <c r="H567" s="135" t="s">
        <v>612</v>
      </c>
      <c r="I567" s="467"/>
      <c r="J567" s="142"/>
      <c r="K567" s="142"/>
      <c r="L567" s="153"/>
      <c r="M567" s="153"/>
      <c r="N567" s="142"/>
      <c r="O567" s="142" t="s">
        <v>2353</v>
      </c>
      <c r="P567" s="152" t="str">
        <f>IF(VLOOKUP(A558,'Aux - pivots1'!$A:$E,3,0)=0, "",VLOOKUP(A558,'Aux - pivots1'!$A:$E,3,0))</f>
        <v/>
      </c>
      <c r="Q567" s="152" t="str">
        <f>IF(VLOOKUP(A558,'Aux - pivots1'!$A:$E,4,0)=0, "",VLOOKUP(A558,'Aux - pivots1'!$A:$E,4,0))</f>
        <v/>
      </c>
      <c r="R567" s="152" t="str">
        <f>IF(VLOOKUP(A558,'Aux - pivots1'!$A:$E,5,0)=0, "",VLOOKUP(A558,'Aux - pivots1'!$A:$E,5,0))</f>
        <v/>
      </c>
      <c r="S567" s="198"/>
      <c r="T567" s="198"/>
      <c r="U567" s="198"/>
      <c r="V567" s="320"/>
      <c r="W567" s="320"/>
      <c r="X567" s="320"/>
      <c r="Y567" s="368" t="s">
        <v>2320</v>
      </c>
      <c r="Z567" s="319"/>
    </row>
    <row r="568" spans="1:26" ht="16.5" hidden="1" customHeight="1">
      <c r="A568" s="29" t="str">
        <f t="shared" si="8"/>
        <v>modesg_out_bens_imoveisorigem_scp3_emss</v>
      </c>
      <c r="B568" s="141" t="s">
        <v>26</v>
      </c>
      <c r="C568" s="137" t="s">
        <v>310</v>
      </c>
      <c r="D568" s="133" t="s">
        <v>40</v>
      </c>
      <c r="E568" s="134" t="s">
        <v>311</v>
      </c>
      <c r="F568" s="470" t="s">
        <v>321</v>
      </c>
      <c r="G568" s="135" t="str">
        <f>VLOOKUP(A568,Plano_V3!$A$26:$G$768,7,0)</f>
        <v>1. Concluído</v>
      </c>
      <c r="H568" s="135" t="s">
        <v>612</v>
      </c>
      <c r="I568" s="467"/>
      <c r="J568" s="142"/>
      <c r="K568" s="142"/>
      <c r="L568" s="153"/>
      <c r="M568" s="153"/>
      <c r="N568" s="142"/>
      <c r="O568" s="142" t="s">
        <v>2353</v>
      </c>
      <c r="P568" s="152" t="str">
        <f>IF(VLOOKUP(A559,'Aux - pivots1'!$A:$E,3,0)=0, "",VLOOKUP(A559,'Aux - pivots1'!$A:$E,3,0))</f>
        <v/>
      </c>
      <c r="Q568" s="152" t="str">
        <f>IF(VLOOKUP(A559,'Aux - pivots1'!$A:$E,4,0)=0, "",VLOOKUP(A559,'Aux - pivots1'!$A:$E,4,0))</f>
        <v/>
      </c>
      <c r="R568" s="152" t="str">
        <f>IF(VLOOKUP(A559,'Aux - pivots1'!$A:$E,5,0)=0, "",VLOOKUP(A559,'Aux - pivots1'!$A:$E,5,0))</f>
        <v/>
      </c>
      <c r="S568" s="198"/>
      <c r="T568" s="198"/>
      <c r="U568" s="198"/>
      <c r="V568" s="320"/>
      <c r="W568" s="320"/>
      <c r="X568" s="320"/>
      <c r="Y568" s="368" t="s">
        <v>2320</v>
      </c>
      <c r="Z568" s="319"/>
    </row>
    <row r="569" spans="1:26" ht="16.399999999999999" hidden="1" customHeight="1">
      <c r="A569" s="29" t="str">
        <f t="shared" si="8"/>
        <v>modesg_out_bens_imoveisref_date</v>
      </c>
      <c r="B569" s="141" t="s">
        <v>26</v>
      </c>
      <c r="C569" s="137" t="s">
        <v>310</v>
      </c>
      <c r="D569" s="133" t="s">
        <v>40</v>
      </c>
      <c r="E569" s="134" t="s">
        <v>311</v>
      </c>
      <c r="F569" s="470" t="s">
        <v>208</v>
      </c>
      <c r="G569" s="135" t="str">
        <f>VLOOKUP(A569,Plano_V3!$A$26:$G$768,7,0)</f>
        <v>1. Concluído</v>
      </c>
      <c r="H569" s="135" t="s">
        <v>612</v>
      </c>
      <c r="I569" s="467"/>
      <c r="J569" s="153"/>
      <c r="K569" s="153"/>
      <c r="L569" s="153"/>
      <c r="M569" s="153"/>
      <c r="N569" s="487"/>
      <c r="O569" s="153"/>
      <c r="P569" s="152" t="str">
        <f>IF(VLOOKUP(A560,'Aux - pivots1'!$A:$E,3,0)=0, "",VLOOKUP(A560,'Aux - pivots1'!$A:$E,3,0))</f>
        <v/>
      </c>
      <c r="Q569" s="152" t="str">
        <f>IF(VLOOKUP(A560,'Aux - pivots1'!$A:$E,4,0)=0, "",VLOOKUP(A560,'Aux - pivots1'!$A:$E,4,0))</f>
        <v/>
      </c>
      <c r="R569" s="152" t="str">
        <f>IF(VLOOKUP(A560,'Aux - pivots1'!$A:$E,5,0)=0, "",VLOOKUP(A560,'Aux - pivots1'!$A:$E,5,0))</f>
        <v/>
      </c>
      <c r="S569" s="198"/>
      <c r="T569" s="198"/>
      <c r="U569" s="198"/>
      <c r="V569" s="320"/>
      <c r="W569" s="320"/>
      <c r="X569" s="320"/>
      <c r="Y569" s="368" t="s">
        <v>2320</v>
      </c>
      <c r="Z569" s="319"/>
    </row>
    <row r="570" spans="1:26" ht="16.399999999999999" hidden="1" customHeight="1">
      <c r="A570" s="29" t="str">
        <f t="shared" si="8"/>
        <v>modesg_out_bens_imoveisscp1_emss</v>
      </c>
      <c r="B570" s="141" t="s">
        <v>26</v>
      </c>
      <c r="C570" s="137" t="s">
        <v>310</v>
      </c>
      <c r="D570" s="133" t="s">
        <v>40</v>
      </c>
      <c r="E570" s="134" t="s">
        <v>311</v>
      </c>
      <c r="F570" s="470" t="s">
        <v>285</v>
      </c>
      <c r="G570" s="135" t="str">
        <f>VLOOKUP(A570,Plano_V3!$A$26:$G$768,7,0)</f>
        <v>1. Concluído</v>
      </c>
      <c r="H570" s="135" t="s">
        <v>612</v>
      </c>
      <c r="I570" s="467"/>
      <c r="J570" s="142"/>
      <c r="K570" s="142"/>
      <c r="L570" s="153"/>
      <c r="M570" s="153"/>
      <c r="N570" s="142"/>
      <c r="O570" s="142" t="s">
        <v>2353</v>
      </c>
      <c r="P570" s="152" t="str">
        <f>IF(VLOOKUP(A561,'Aux - pivots1'!$A:$E,3,0)=0, "",VLOOKUP(A561,'Aux - pivots1'!$A:$E,3,0))</f>
        <v/>
      </c>
      <c r="Q570" s="152" t="str">
        <f>IF(VLOOKUP(A561,'Aux - pivots1'!$A:$E,4,0)=0, "",VLOOKUP(A561,'Aux - pivots1'!$A:$E,4,0))</f>
        <v/>
      </c>
      <c r="R570" s="152" t="str">
        <f>IF(VLOOKUP(A561,'Aux - pivots1'!$A:$E,5,0)=0, "",VLOOKUP(A561,'Aux - pivots1'!$A:$E,5,0))</f>
        <v/>
      </c>
      <c r="S570" s="198"/>
      <c r="T570" s="198"/>
      <c r="U570" s="198"/>
      <c r="V570" s="320"/>
      <c r="W570" s="320"/>
      <c r="X570" s="320"/>
      <c r="Y570" s="368" t="s">
        <v>2320</v>
      </c>
      <c r="Z570" s="319"/>
    </row>
    <row r="571" spans="1:26" ht="16.399999999999999" hidden="1" customHeight="1">
      <c r="A571" s="29" t="str">
        <f t="shared" si="8"/>
        <v>modesg_out_bens_imoveisscp2_emss</v>
      </c>
      <c r="B571" s="141" t="s">
        <v>26</v>
      </c>
      <c r="C571" s="137" t="s">
        <v>310</v>
      </c>
      <c r="D571" s="133" t="s">
        <v>40</v>
      </c>
      <c r="E571" s="134" t="s">
        <v>311</v>
      </c>
      <c r="F571" s="470" t="s">
        <v>286</v>
      </c>
      <c r="G571" s="135" t="str">
        <f>VLOOKUP(A571,Plano_V3!$A$26:$G$768,7,0)</f>
        <v>1. Concluído</v>
      </c>
      <c r="H571" s="135" t="s">
        <v>612</v>
      </c>
      <c r="I571" s="467"/>
      <c r="J571" s="142"/>
      <c r="K571" s="142"/>
      <c r="L571" s="153"/>
      <c r="M571" s="153"/>
      <c r="N571" s="142"/>
      <c r="O571" s="142" t="s">
        <v>2353</v>
      </c>
      <c r="P571" s="152" t="str">
        <f>IF(VLOOKUP(A562,'Aux - pivots1'!$A:$E,3,0)=0, "",VLOOKUP(A562,'Aux - pivots1'!$A:$E,3,0))</f>
        <v/>
      </c>
      <c r="Q571" s="152" t="str">
        <f>IF(VLOOKUP(A562,'Aux - pivots1'!$A:$E,4,0)=0, "",VLOOKUP(A562,'Aux - pivots1'!$A:$E,4,0))</f>
        <v/>
      </c>
      <c r="R571" s="152" t="str">
        <f>IF(VLOOKUP(A562,'Aux - pivots1'!$A:$E,5,0)=0, "",VLOOKUP(A562,'Aux - pivots1'!$A:$E,5,0))</f>
        <v/>
      </c>
      <c r="S571" s="198"/>
      <c r="T571" s="198"/>
      <c r="U571" s="198"/>
      <c r="V571" s="320"/>
      <c r="W571" s="320"/>
      <c r="X571" s="320"/>
      <c r="Y571" s="368" t="s">
        <v>2320</v>
      </c>
      <c r="Z571" s="319"/>
    </row>
    <row r="572" spans="1:26" ht="16.399999999999999" hidden="1" customHeight="1">
      <c r="A572" s="29" t="str">
        <f t="shared" si="8"/>
        <v>modesg_out_bens_imoveisscp3_emss</v>
      </c>
      <c r="B572" s="141" t="s">
        <v>26</v>
      </c>
      <c r="C572" s="137" t="s">
        <v>310</v>
      </c>
      <c r="D572" s="133" t="s">
        <v>40</v>
      </c>
      <c r="E572" s="134" t="s">
        <v>311</v>
      </c>
      <c r="F572" s="470" t="s">
        <v>287</v>
      </c>
      <c r="G572" s="135" t="str">
        <f>VLOOKUP(A572,Plano_V3!$A$26:$G$768,7,0)</f>
        <v>1. Concluído</v>
      </c>
      <c r="H572" s="135" t="s">
        <v>612</v>
      </c>
      <c r="I572" s="467"/>
      <c r="J572" s="153"/>
      <c r="K572" s="153"/>
      <c r="L572" s="153"/>
      <c r="M572" s="153"/>
      <c r="N572" s="487"/>
      <c r="O572" s="142" t="s">
        <v>2353</v>
      </c>
      <c r="P572" s="152" t="str">
        <f>IF(VLOOKUP(A563,'Aux - pivots1'!$A:$E,3,0)=0, "",VLOOKUP(A563,'Aux - pivots1'!$A:$E,3,0))</f>
        <v/>
      </c>
      <c r="Q572" s="152" t="str">
        <f>IF(VLOOKUP(A563,'Aux - pivots1'!$A:$E,4,0)=0, "",VLOOKUP(A563,'Aux - pivots1'!$A:$E,4,0))</f>
        <v/>
      </c>
      <c r="R572" s="152" t="str">
        <f>IF(VLOOKUP(A563,'Aux - pivots1'!$A:$E,5,0)=0, "",VLOOKUP(A563,'Aux - pivots1'!$A:$E,5,0))</f>
        <v/>
      </c>
      <c r="S572" s="198"/>
      <c r="T572" s="198"/>
      <c r="U572" s="198"/>
      <c r="V572" s="320"/>
      <c r="W572" s="320"/>
      <c r="X572" s="320"/>
      <c r="Y572" s="368" t="s">
        <v>2320</v>
      </c>
      <c r="Z572" s="319"/>
    </row>
    <row r="573" spans="1:26" ht="16.399999999999999" hidden="1" customHeight="1">
      <c r="A573" s="29" t="str">
        <f t="shared" si="8"/>
        <v>modesg_out_bens_imoveisunidade_funcional_scp1_emss</v>
      </c>
      <c r="B573" s="141" t="s">
        <v>26</v>
      </c>
      <c r="C573" s="137" t="s">
        <v>310</v>
      </c>
      <c r="D573" s="133" t="s">
        <v>40</v>
      </c>
      <c r="E573" s="134" t="s">
        <v>311</v>
      </c>
      <c r="F573" s="470" t="s">
        <v>322</v>
      </c>
      <c r="G573" s="135" t="str">
        <f>VLOOKUP(A573,Plano_V3!$A$26:$G$768,7,0)</f>
        <v>1. Concluído</v>
      </c>
      <c r="H573" s="135" t="s">
        <v>612</v>
      </c>
      <c r="I573" s="467"/>
      <c r="J573" s="142"/>
      <c r="K573" s="142"/>
      <c r="L573" s="153"/>
      <c r="M573" s="153"/>
      <c r="N573" s="142"/>
      <c r="O573" s="142" t="s">
        <v>2353</v>
      </c>
      <c r="P573" s="152" t="str">
        <f>IF(VLOOKUP(A564,'Aux - pivots1'!$A:$E,3,0)=0, "",VLOOKUP(A564,'Aux - pivots1'!$A:$E,3,0))</f>
        <v/>
      </c>
      <c r="Q573" s="152" t="str">
        <f>IF(VLOOKUP(A564,'Aux - pivots1'!$A:$E,4,0)=0, "",VLOOKUP(A564,'Aux - pivots1'!$A:$E,4,0))</f>
        <v/>
      </c>
      <c r="R573" s="152" t="str">
        <f>IF(VLOOKUP(A564,'Aux - pivots1'!$A:$E,5,0)=0, "",VLOOKUP(A564,'Aux - pivots1'!$A:$E,5,0))</f>
        <v/>
      </c>
      <c r="S573" s="198"/>
      <c r="T573" s="198"/>
      <c r="U573" s="198"/>
      <c r="V573" s="320"/>
      <c r="W573" s="320"/>
      <c r="X573" s="320"/>
      <c r="Y573" s="368" t="s">
        <v>2320</v>
      </c>
      <c r="Z573" s="319"/>
    </row>
    <row r="574" spans="1:26" ht="16.5" hidden="1" customHeight="1">
      <c r="A574" s="29" t="str">
        <f t="shared" si="8"/>
        <v>modesg_out_bens_imoveisunidade_funcional_scp2_emss</v>
      </c>
      <c r="B574" s="141" t="s">
        <v>26</v>
      </c>
      <c r="C574" s="137" t="s">
        <v>310</v>
      </c>
      <c r="D574" s="133" t="s">
        <v>40</v>
      </c>
      <c r="E574" s="134" t="s">
        <v>311</v>
      </c>
      <c r="F574" s="470" t="s">
        <v>323</v>
      </c>
      <c r="G574" s="135" t="str">
        <f>VLOOKUP(A574,Plano_V3!$A$26:$G$768,7,0)</f>
        <v>1. Concluído</v>
      </c>
      <c r="H574" s="135" t="s">
        <v>612</v>
      </c>
      <c r="I574" s="467"/>
      <c r="J574" s="142"/>
      <c r="K574" s="142"/>
      <c r="L574" s="153"/>
      <c r="M574" s="153"/>
      <c r="N574" s="142"/>
      <c r="O574" s="142" t="s">
        <v>2353</v>
      </c>
      <c r="P574" s="152" t="str">
        <f>IF(VLOOKUP(A565,'Aux - pivots1'!$A:$E,3,0)=0, "",VLOOKUP(A565,'Aux - pivots1'!$A:$E,3,0))</f>
        <v/>
      </c>
      <c r="Q574" s="152" t="str">
        <f>IF(VLOOKUP(A565,'Aux - pivots1'!$A:$E,4,0)=0, "",VLOOKUP(A565,'Aux - pivots1'!$A:$E,4,0))</f>
        <v/>
      </c>
      <c r="R574" s="152" t="str">
        <f>IF(VLOOKUP(A565,'Aux - pivots1'!$A:$E,5,0)=0, "",VLOOKUP(A565,'Aux - pivots1'!$A:$E,5,0))</f>
        <v/>
      </c>
      <c r="S574" s="198"/>
      <c r="T574" s="198"/>
      <c r="U574" s="198"/>
      <c r="V574" s="320"/>
      <c r="W574" s="320"/>
      <c r="X574" s="320"/>
      <c r="Y574" s="368" t="s">
        <v>2320</v>
      </c>
      <c r="Z574" s="319"/>
    </row>
    <row r="575" spans="1:26" ht="16.5" hidden="1" customHeight="1">
      <c r="A575" s="29" t="str">
        <f t="shared" si="8"/>
        <v>modesg_out_bens_imoveisunidade_funcional_scp3_emss</v>
      </c>
      <c r="B575" s="141" t="s">
        <v>26</v>
      </c>
      <c r="C575" s="137" t="s">
        <v>310</v>
      </c>
      <c r="D575" s="133" t="s">
        <v>40</v>
      </c>
      <c r="E575" s="134" t="s">
        <v>311</v>
      </c>
      <c r="F575" s="470" t="s">
        <v>324</v>
      </c>
      <c r="G575" s="135" t="str">
        <f>VLOOKUP(A575,Plano_V3!$A$26:$G$768,7,0)</f>
        <v>1. Concluído</v>
      </c>
      <c r="H575" s="135" t="s">
        <v>612</v>
      </c>
      <c r="I575" s="467"/>
      <c r="J575" s="142"/>
      <c r="K575" s="142"/>
      <c r="L575" s="153"/>
      <c r="M575" s="153"/>
      <c r="N575" s="142"/>
      <c r="O575" s="142" t="s">
        <v>2353</v>
      </c>
      <c r="P575" s="152" t="str">
        <f>IF(VLOOKUP(A566,'Aux - pivots1'!$A:$E,3,0)=0, "",VLOOKUP(A566,'Aux - pivots1'!$A:$E,3,0))</f>
        <v/>
      </c>
      <c r="Q575" s="152" t="str">
        <f>IF(VLOOKUP(A566,'Aux - pivots1'!$A:$E,4,0)=0, "",VLOOKUP(A566,'Aux - pivots1'!$A:$E,4,0))</f>
        <v/>
      </c>
      <c r="R575" s="152" t="str">
        <f>IF(VLOOKUP(A566,'Aux - pivots1'!$A:$E,5,0)=0, "",VLOOKUP(A566,'Aux - pivots1'!$A:$E,5,0))</f>
        <v/>
      </c>
      <c r="S575" s="198"/>
      <c r="T575" s="198"/>
      <c r="U575" s="198"/>
      <c r="V575" s="320"/>
      <c r="W575" s="320"/>
      <c r="X575" s="320"/>
      <c r="Y575" s="368" t="s">
        <v>2320</v>
      </c>
      <c r="Z575" s="319"/>
    </row>
    <row r="576" spans="1:26" ht="16.5" hidden="1" customHeight="1">
      <c r="A576" s="29" t="str">
        <f t="shared" si="8"/>
        <v>modesg_out_empr_info_nfinn.a.</v>
      </c>
      <c r="B576" s="141" t="s">
        <v>26</v>
      </c>
      <c r="C576" s="137" t="s">
        <v>310</v>
      </c>
      <c r="D576" s="133" t="s">
        <v>36</v>
      </c>
      <c r="E576" s="134" t="s">
        <v>325</v>
      </c>
      <c r="F576" s="470" t="s">
        <v>38</v>
      </c>
      <c r="G576" s="135" t="str">
        <f>VLOOKUP(A576,Plano_V3!$A$26:$G$768,7,0)</f>
        <v>1. Concluído</v>
      </c>
      <c r="H576" s="135" t="s">
        <v>612</v>
      </c>
      <c r="I576" s="467"/>
      <c r="J576" s="153"/>
      <c r="K576" s="153"/>
      <c r="L576" s="153"/>
      <c r="M576" s="153"/>
      <c r="N576" s="487"/>
      <c r="O576" s="153"/>
      <c r="P576" s="152" t="str">
        <f>IF(VLOOKUP(A567,'Aux - pivots1'!$A:$E,3,0)=0, "",VLOOKUP(A567,'Aux - pivots1'!$A:$E,3,0))</f>
        <v/>
      </c>
      <c r="Q576" s="152" t="str">
        <f>IF(VLOOKUP(A567,'Aux - pivots1'!$A:$E,4,0)=0, "",VLOOKUP(A567,'Aux - pivots1'!$A:$E,4,0))</f>
        <v/>
      </c>
      <c r="R576" s="152" t="str">
        <f>IF(VLOOKUP(A567,'Aux - pivots1'!$A:$E,5,0)=0, "",VLOOKUP(A567,'Aux - pivots1'!$A:$E,5,0))</f>
        <v/>
      </c>
      <c r="S576" s="198"/>
      <c r="T576" s="198"/>
      <c r="U576" s="198"/>
      <c r="V576" s="320"/>
      <c r="W576" s="320"/>
      <c r="X576" s="320"/>
      <c r="Y576" s="368" t="s">
        <v>2320</v>
      </c>
      <c r="Z576" s="319"/>
    </row>
    <row r="577" spans="1:26" ht="16.5" hidden="1" customHeight="1">
      <c r="A577" s="29" t="str">
        <f t="shared" si="8"/>
        <v>modesg_out_empr_info_nfincca_capex_enblng_algnd</v>
      </c>
      <c r="B577" s="141" t="s">
        <v>26</v>
      </c>
      <c r="C577" s="137" t="s">
        <v>310</v>
      </c>
      <c r="D577" s="133" t="s">
        <v>40</v>
      </c>
      <c r="E577" s="134" t="s">
        <v>325</v>
      </c>
      <c r="F577" s="470" t="s">
        <v>249</v>
      </c>
      <c r="G577" s="135" t="str">
        <f>VLOOKUP(A577,Plano_V3!$A$26:$G$768,7,0)</f>
        <v>1. Concluído</v>
      </c>
      <c r="H577" s="135" t="s">
        <v>612</v>
      </c>
      <c r="I577" s="467"/>
      <c r="J577" s="153"/>
      <c r="K577" s="153"/>
      <c r="L577" s="153"/>
      <c r="M577" s="153"/>
      <c r="N577" s="487"/>
      <c r="O577" s="153"/>
      <c r="P577" s="152" t="str">
        <f>IF(VLOOKUP(A568,'Aux - pivots1'!$A:$E,3,0)=0, "",VLOOKUP(A568,'Aux - pivots1'!$A:$E,3,0))</f>
        <v/>
      </c>
      <c r="Q577" s="152" t="str">
        <f>IF(VLOOKUP(A568,'Aux - pivots1'!$A:$E,4,0)=0, "",VLOOKUP(A568,'Aux - pivots1'!$A:$E,4,0))</f>
        <v/>
      </c>
      <c r="R577" s="152" t="str">
        <f>IF(VLOOKUP(A568,'Aux - pivots1'!$A:$E,5,0)=0, "",VLOOKUP(A568,'Aux - pivots1'!$A:$E,5,0))</f>
        <v/>
      </c>
      <c r="S577" s="198"/>
      <c r="T577" s="198"/>
      <c r="U577" s="198"/>
      <c r="V577" s="320"/>
      <c r="W577" s="320"/>
      <c r="X577" s="320"/>
      <c r="Y577" s="368" t="s">
        <v>2320</v>
      </c>
      <c r="Z577" s="319"/>
    </row>
    <row r="578" spans="1:26" ht="16.5" hidden="1" customHeight="1">
      <c r="A578" s="29" t="str">
        <f t="shared" si="8"/>
        <v>modesg_out_empr_info_nfincca_capex_own_prfrmnce_algnd</v>
      </c>
      <c r="B578" s="141" t="s">
        <v>26</v>
      </c>
      <c r="C578" s="137" t="s">
        <v>310</v>
      </c>
      <c r="D578" s="133" t="s">
        <v>40</v>
      </c>
      <c r="E578" s="134" t="s">
        <v>325</v>
      </c>
      <c r="F578" s="470" t="s">
        <v>250</v>
      </c>
      <c r="G578" s="135" t="str">
        <f>VLOOKUP(A578,Plano_V3!$A$26:$G$768,7,0)</f>
        <v>1. Concluído</v>
      </c>
      <c r="H578" s="135" t="s">
        <v>612</v>
      </c>
      <c r="I578" s="467"/>
      <c r="J578" s="153"/>
      <c r="K578" s="153"/>
      <c r="L578" s="153"/>
      <c r="M578" s="153"/>
      <c r="N578" s="487"/>
      <c r="O578" s="153"/>
      <c r="P578" s="152" t="str">
        <f>IF(VLOOKUP(A569,'Aux - pivots1'!$A:$E,3,0)=0, "",VLOOKUP(A569,'Aux - pivots1'!$A:$E,3,0))</f>
        <v/>
      </c>
      <c r="Q578" s="152" t="str">
        <f>IF(VLOOKUP(A569,'Aux - pivots1'!$A:$E,4,0)=0, "",VLOOKUP(A569,'Aux - pivots1'!$A:$E,4,0))</f>
        <v/>
      </c>
      <c r="R578" s="152" t="str">
        <f>IF(VLOOKUP(A569,'Aux - pivots1'!$A:$E,5,0)=0, "",VLOOKUP(A569,'Aux - pivots1'!$A:$E,5,0))</f>
        <v/>
      </c>
      <c r="S578" s="198"/>
      <c r="T578" s="198"/>
      <c r="U578" s="198"/>
      <c r="V578" s="320"/>
      <c r="W578" s="320"/>
      <c r="X578" s="320"/>
      <c r="Y578" s="368" t="s">
        <v>2320</v>
      </c>
      <c r="Z578" s="319"/>
    </row>
    <row r="579" spans="1:26" ht="16.5" hidden="1" customHeight="1">
      <c r="A579" s="29" t="str">
        <f t="shared" si="8"/>
        <v>modesg_out_empr_info_nfincca_capex_ttl_elgbl</v>
      </c>
      <c r="B579" s="141" t="s">
        <v>26</v>
      </c>
      <c r="C579" s="137" t="s">
        <v>310</v>
      </c>
      <c r="D579" s="133" t="s">
        <v>40</v>
      </c>
      <c r="E579" s="134" t="s">
        <v>325</v>
      </c>
      <c r="F579" s="470" t="s">
        <v>248</v>
      </c>
      <c r="G579" s="135" t="str">
        <f>VLOOKUP(A579,Plano_V3!$A$26:$G$768,7,0)</f>
        <v>1. Concluído</v>
      </c>
      <c r="H579" s="135" t="s">
        <v>612</v>
      </c>
      <c r="I579" s="467"/>
      <c r="J579" s="153"/>
      <c r="K579" s="153"/>
      <c r="L579" s="153"/>
      <c r="M579" s="153"/>
      <c r="N579" s="487"/>
      <c r="O579" s="153"/>
      <c r="P579" s="152" t="str">
        <f>IF(VLOOKUP(A570,'Aux - pivots1'!$A:$E,3,0)=0, "",VLOOKUP(A570,'Aux - pivots1'!$A:$E,3,0))</f>
        <v/>
      </c>
      <c r="Q579" s="152" t="str">
        <f>IF(VLOOKUP(A570,'Aux - pivots1'!$A:$E,4,0)=0, "",VLOOKUP(A570,'Aux - pivots1'!$A:$E,4,0))</f>
        <v/>
      </c>
      <c r="R579" s="152" t="str">
        <f>IF(VLOOKUP(A570,'Aux - pivots1'!$A:$E,5,0)=0, "",VLOOKUP(A570,'Aux - pivots1'!$A:$E,5,0))</f>
        <v/>
      </c>
      <c r="S579" s="198"/>
      <c r="T579" s="198"/>
      <c r="U579" s="198"/>
      <c r="V579" s="320"/>
      <c r="W579" s="320"/>
      <c r="X579" s="320"/>
      <c r="Y579" s="368" t="s">
        <v>2320</v>
      </c>
      <c r="Z579" s="319"/>
    </row>
    <row r="580" spans="1:26" ht="16.5" hidden="1" customHeight="1">
      <c r="A580" s="29" t="str">
        <f t="shared" si="8"/>
        <v>modesg_out_empr_info_nfincca_trnvr_enblng_alignd</v>
      </c>
      <c r="B580" s="141" t="s">
        <v>26</v>
      </c>
      <c r="C580" s="137" t="s">
        <v>310</v>
      </c>
      <c r="D580" s="133" t="s">
        <v>40</v>
      </c>
      <c r="E580" s="134" t="s">
        <v>325</v>
      </c>
      <c r="F580" s="470" t="s">
        <v>246</v>
      </c>
      <c r="G580" s="135" t="str">
        <f>VLOOKUP(A580,Plano_V3!$A$26:$G$768,7,0)</f>
        <v>1. Concluído</v>
      </c>
      <c r="H580" s="135" t="s">
        <v>612</v>
      </c>
      <c r="I580" s="467"/>
      <c r="J580" s="153"/>
      <c r="K580" s="153"/>
      <c r="L580" s="153"/>
      <c r="M580" s="153"/>
      <c r="N580" s="487"/>
      <c r="O580" s="153"/>
      <c r="P580" s="152" t="str">
        <f>IF(VLOOKUP(A571,'Aux - pivots1'!$A:$E,3,0)=0, "",VLOOKUP(A571,'Aux - pivots1'!$A:$E,3,0))</f>
        <v/>
      </c>
      <c r="Q580" s="152" t="str">
        <f>IF(VLOOKUP(A571,'Aux - pivots1'!$A:$E,4,0)=0, "",VLOOKUP(A571,'Aux - pivots1'!$A:$E,4,0))</f>
        <v/>
      </c>
      <c r="R580" s="152" t="str">
        <f>IF(VLOOKUP(A571,'Aux - pivots1'!$A:$E,5,0)=0, "",VLOOKUP(A571,'Aux - pivots1'!$A:$E,5,0))</f>
        <v/>
      </c>
      <c r="S580" s="198"/>
      <c r="T580" s="198"/>
      <c r="U580" s="198"/>
      <c r="V580" s="320"/>
      <c r="W580" s="320"/>
      <c r="X580" s="320"/>
      <c r="Y580" s="368" t="s">
        <v>2320</v>
      </c>
      <c r="Z580" s="319"/>
    </row>
    <row r="581" spans="1:26" ht="16.5" hidden="1" customHeight="1">
      <c r="A581" s="29" t="str">
        <f t="shared" si="8"/>
        <v>modesg_out_empr_info_nfincca_trnvr_ttl_elgbl</v>
      </c>
      <c r="B581" s="141" t="s">
        <v>26</v>
      </c>
      <c r="C581" s="137" t="s">
        <v>310</v>
      </c>
      <c r="D581" s="133" t="s">
        <v>40</v>
      </c>
      <c r="E581" s="134" t="s">
        <v>325</v>
      </c>
      <c r="F581" s="470" t="s">
        <v>245</v>
      </c>
      <c r="G581" s="135" t="str">
        <f>VLOOKUP(A581,Plano_V3!$A$26:$G$768,7,0)</f>
        <v>1. Concluído</v>
      </c>
      <c r="H581" s="135" t="s">
        <v>612</v>
      </c>
      <c r="I581" s="467"/>
      <c r="J581" s="153"/>
      <c r="K581" s="153"/>
      <c r="L581" s="153"/>
      <c r="M581" s="153"/>
      <c r="N581" s="487"/>
      <c r="O581" s="153"/>
      <c r="P581" s="152" t="str">
        <f>IF(VLOOKUP(A572,'Aux - pivots1'!$A:$E,3,0)=0, "",VLOOKUP(A572,'Aux - pivots1'!$A:$E,3,0))</f>
        <v/>
      </c>
      <c r="Q581" s="152" t="str">
        <f>IF(VLOOKUP(A572,'Aux - pivots1'!$A:$E,4,0)=0, "",VLOOKUP(A572,'Aux - pivots1'!$A:$E,4,0))</f>
        <v/>
      </c>
      <c r="R581" s="152" t="str">
        <f>IF(VLOOKUP(A572,'Aux - pivots1'!$A:$E,5,0)=0, "",VLOOKUP(A572,'Aux - pivots1'!$A:$E,5,0))</f>
        <v/>
      </c>
      <c r="S581" s="198"/>
      <c r="T581" s="198"/>
      <c r="U581" s="198"/>
      <c r="V581" s="320"/>
      <c r="W581" s="320"/>
      <c r="X581" s="320"/>
      <c r="Y581" s="368" t="s">
        <v>2320</v>
      </c>
      <c r="Z581" s="319"/>
    </row>
    <row r="582" spans="1:26" ht="16.5" hidden="1" customHeight="1">
      <c r="A582" s="29" t="str">
        <f t="shared" si="8"/>
        <v>modesg_out_empr_info_nfincca_turnover_own_prfrmnce_algnd</v>
      </c>
      <c r="B582" s="141" t="s">
        <v>26</v>
      </c>
      <c r="C582" s="137" t="s">
        <v>310</v>
      </c>
      <c r="D582" s="133" t="s">
        <v>40</v>
      </c>
      <c r="E582" s="134" t="s">
        <v>325</v>
      </c>
      <c r="F582" s="470" t="s">
        <v>247</v>
      </c>
      <c r="G582" s="135" t="str">
        <f>VLOOKUP(A582,Plano_V3!$A$26:$G$768,7,0)</f>
        <v>1. Concluído</v>
      </c>
      <c r="H582" s="135" t="s">
        <v>612</v>
      </c>
      <c r="I582" s="467"/>
      <c r="J582" s="153"/>
      <c r="K582" s="153"/>
      <c r="L582" s="153"/>
      <c r="M582" s="153"/>
      <c r="N582" s="487"/>
      <c r="O582" s="153"/>
      <c r="P582" s="152" t="str">
        <f>IF(VLOOKUP(A573,'Aux - pivots1'!$A:$E,3,0)=0, "",VLOOKUP(A573,'Aux - pivots1'!$A:$E,3,0))</f>
        <v/>
      </c>
      <c r="Q582" s="152" t="str">
        <f>IF(VLOOKUP(A573,'Aux - pivots1'!$A:$E,4,0)=0, "",VLOOKUP(A573,'Aux - pivots1'!$A:$E,4,0))</f>
        <v/>
      </c>
      <c r="R582" s="152" t="str">
        <f>IF(VLOOKUP(A573,'Aux - pivots1'!$A:$E,5,0)=0, "",VLOOKUP(A573,'Aux - pivots1'!$A:$E,5,0))</f>
        <v/>
      </c>
      <c r="S582" s="198"/>
      <c r="T582" s="198"/>
      <c r="U582" s="198"/>
      <c r="V582" s="320"/>
      <c r="W582" s="320"/>
      <c r="X582" s="320"/>
      <c r="Y582" s="368" t="s">
        <v>2320</v>
      </c>
      <c r="Z582" s="319"/>
    </row>
    <row r="583" spans="1:26" ht="16.5" hidden="1" customHeight="1">
      <c r="A583" s="29" t="str">
        <f t="shared" si="8"/>
        <v>modesg_out_empr_info_nfinccm_capex_enblng_algnd</v>
      </c>
      <c r="B583" s="141" t="s">
        <v>26</v>
      </c>
      <c r="C583" s="137" t="s">
        <v>310</v>
      </c>
      <c r="D583" s="133" t="s">
        <v>40</v>
      </c>
      <c r="E583" s="134" t="s">
        <v>325</v>
      </c>
      <c r="F583" s="470" t="s">
        <v>256</v>
      </c>
      <c r="G583" s="135" t="str">
        <f>VLOOKUP(A583,Plano_V3!$A$26:$G$768,7,0)</f>
        <v>1. Concluído</v>
      </c>
      <c r="H583" s="135" t="s">
        <v>612</v>
      </c>
      <c r="I583" s="467"/>
      <c r="J583" s="153"/>
      <c r="K583" s="153"/>
      <c r="L583" s="153"/>
      <c r="M583" s="153"/>
      <c r="N583" s="487"/>
      <c r="O583" s="153"/>
      <c r="P583" s="152" t="str">
        <f>IF(VLOOKUP(A574,'Aux - pivots1'!$A:$E,3,0)=0, "",VLOOKUP(A574,'Aux - pivots1'!$A:$E,3,0))</f>
        <v/>
      </c>
      <c r="Q583" s="152" t="str">
        <f>IF(VLOOKUP(A574,'Aux - pivots1'!$A:$E,4,0)=0, "",VLOOKUP(A574,'Aux - pivots1'!$A:$E,4,0))</f>
        <v/>
      </c>
      <c r="R583" s="152" t="str">
        <f>IF(VLOOKUP(A574,'Aux - pivots1'!$A:$E,5,0)=0, "",VLOOKUP(A574,'Aux - pivots1'!$A:$E,5,0))</f>
        <v/>
      </c>
      <c r="S583" s="198"/>
      <c r="T583" s="198"/>
      <c r="U583" s="198"/>
      <c r="V583" s="320"/>
      <c r="W583" s="320"/>
      <c r="X583" s="320"/>
      <c r="Y583" s="368" t="s">
        <v>2320</v>
      </c>
      <c r="Z583" s="319"/>
    </row>
    <row r="584" spans="1:26" ht="16.5" hidden="1" customHeight="1">
      <c r="A584" s="29" t="str">
        <f t="shared" si="8"/>
        <v>modesg_out_empr_info_nfinccm_capex_own_prfrmnce_algnd</v>
      </c>
      <c r="B584" s="141" t="s">
        <v>26</v>
      </c>
      <c r="C584" s="137" t="s">
        <v>310</v>
      </c>
      <c r="D584" s="133" t="s">
        <v>40</v>
      </c>
      <c r="E584" s="134" t="s">
        <v>325</v>
      </c>
      <c r="F584" s="470" t="s">
        <v>258</v>
      </c>
      <c r="G584" s="135" t="str">
        <f>VLOOKUP(A584,Plano_V3!$A$26:$G$768,7,0)</f>
        <v>1. Concluído</v>
      </c>
      <c r="H584" s="135" t="s">
        <v>612</v>
      </c>
      <c r="I584" s="467"/>
      <c r="J584" s="153"/>
      <c r="K584" s="153"/>
      <c r="L584" s="153"/>
      <c r="M584" s="153"/>
      <c r="N584" s="487"/>
      <c r="O584" s="153"/>
      <c r="P584" s="152" t="str">
        <f>IF(VLOOKUP(A575,'Aux - pivots1'!$A:$E,3,0)=0, "",VLOOKUP(A575,'Aux - pivots1'!$A:$E,3,0))</f>
        <v/>
      </c>
      <c r="Q584" s="152" t="str">
        <f>IF(VLOOKUP(A575,'Aux - pivots1'!$A:$E,4,0)=0, "",VLOOKUP(A575,'Aux - pivots1'!$A:$E,4,0))</f>
        <v/>
      </c>
      <c r="R584" s="152" t="str">
        <f>IF(VLOOKUP(A575,'Aux - pivots1'!$A:$E,5,0)=0, "",VLOOKUP(A575,'Aux - pivots1'!$A:$E,5,0))</f>
        <v/>
      </c>
      <c r="S584" s="198"/>
      <c r="T584" s="198"/>
      <c r="U584" s="198"/>
      <c r="V584" s="320"/>
      <c r="W584" s="320"/>
      <c r="X584" s="320"/>
      <c r="Y584" s="368" t="s">
        <v>2320</v>
      </c>
      <c r="Z584" s="319"/>
    </row>
    <row r="585" spans="1:26" ht="16.399999999999999" hidden="1" customHeight="1">
      <c r="A585" s="29" t="str">
        <f t="shared" si="8"/>
        <v>modesg_out_empr_info_nfinccm_capex_trnstn_algnd</v>
      </c>
      <c r="B585" s="141" t="s">
        <v>26</v>
      </c>
      <c r="C585" s="137" t="s">
        <v>310</v>
      </c>
      <c r="D585" s="133" t="s">
        <v>40</v>
      </c>
      <c r="E585" s="134" t="s">
        <v>325</v>
      </c>
      <c r="F585" s="470" t="s">
        <v>257</v>
      </c>
      <c r="G585" s="135" t="str">
        <f>VLOOKUP(A585,Plano_V3!$A$26:$G$768,7,0)</f>
        <v>1. Concluído</v>
      </c>
      <c r="H585" s="135" t="s">
        <v>612</v>
      </c>
      <c r="I585" s="467"/>
      <c r="J585" s="153"/>
      <c r="K585" s="153"/>
      <c r="L585" s="153"/>
      <c r="M585" s="153"/>
      <c r="N585" s="487"/>
      <c r="O585" s="153"/>
      <c r="P585" s="152" t="str">
        <f>IF(VLOOKUP(A576,'Aux - pivots1'!$A:$E,3,0)=0, "",VLOOKUP(A576,'Aux - pivots1'!$A:$E,3,0))</f>
        <v/>
      </c>
      <c r="Q585" s="152" t="str">
        <f>IF(VLOOKUP(A576,'Aux - pivots1'!$A:$E,4,0)=0, "",VLOOKUP(A576,'Aux - pivots1'!$A:$E,4,0))</f>
        <v/>
      </c>
      <c r="R585" s="152" t="str">
        <f>IF(VLOOKUP(A576,'Aux - pivots1'!$A:$E,5,0)=0, "",VLOOKUP(A576,'Aux - pivots1'!$A:$E,5,0))</f>
        <v/>
      </c>
      <c r="S585" s="198"/>
      <c r="T585" s="198"/>
      <c r="U585" s="198"/>
      <c r="V585" s="320"/>
      <c r="W585" s="320"/>
      <c r="X585" s="320"/>
      <c r="Y585" s="368" t="s">
        <v>2320</v>
      </c>
      <c r="Z585" s="319"/>
    </row>
    <row r="586" spans="1:26" ht="16.399999999999999" hidden="1" customHeight="1">
      <c r="A586" s="29" t="str">
        <f t="shared" si="8"/>
        <v>modesg_out_empr_info_nfinccm_capex_ttl_elgbl</v>
      </c>
      <c r="B586" s="141" t="s">
        <v>26</v>
      </c>
      <c r="C586" s="137" t="s">
        <v>310</v>
      </c>
      <c r="D586" s="133" t="s">
        <v>40</v>
      </c>
      <c r="E586" s="134" t="s">
        <v>325</v>
      </c>
      <c r="F586" s="470" t="s">
        <v>255</v>
      </c>
      <c r="G586" s="135" t="str">
        <f>VLOOKUP(A586,Plano_V3!$A$26:$G$768,7,0)</f>
        <v>1. Concluído</v>
      </c>
      <c r="H586" s="135" t="s">
        <v>612</v>
      </c>
      <c r="I586" s="467"/>
      <c r="J586" s="153"/>
      <c r="K586" s="153"/>
      <c r="L586" s="153"/>
      <c r="M586" s="153"/>
      <c r="N586" s="487"/>
      <c r="O586" s="153"/>
      <c r="P586" s="152" t="str">
        <f>IF(VLOOKUP(A577,'Aux - pivots1'!$A:$E,3,0)=0, "",VLOOKUP(A577,'Aux - pivots1'!$A:$E,3,0))</f>
        <v/>
      </c>
      <c r="Q586" s="152" t="str">
        <f>IF(VLOOKUP(A577,'Aux - pivots1'!$A:$E,4,0)=0, "",VLOOKUP(A577,'Aux - pivots1'!$A:$E,4,0))</f>
        <v/>
      </c>
      <c r="R586" s="152" t="str">
        <f>IF(VLOOKUP(A577,'Aux - pivots1'!$A:$E,5,0)=0, "",VLOOKUP(A577,'Aux - pivots1'!$A:$E,5,0))</f>
        <v/>
      </c>
      <c r="S586" s="198"/>
      <c r="T586" s="198"/>
      <c r="U586" s="198"/>
      <c r="V586" s="320"/>
      <c r="W586" s="320"/>
      <c r="X586" s="320"/>
      <c r="Y586" s="368" t="s">
        <v>2320</v>
      </c>
      <c r="Z586" s="319"/>
    </row>
    <row r="587" spans="1:26" ht="16.399999999999999" hidden="1" customHeight="1">
      <c r="A587" s="29" t="str">
        <f t="shared" si="8"/>
        <v>modesg_out_empr_info_nfinccm_trnvr_enblng_algnd</v>
      </c>
      <c r="B587" s="141" t="s">
        <v>26</v>
      </c>
      <c r="C587" s="137" t="s">
        <v>310</v>
      </c>
      <c r="D587" s="133" t="s">
        <v>40</v>
      </c>
      <c r="E587" s="134" t="s">
        <v>325</v>
      </c>
      <c r="F587" s="470" t="s">
        <v>252</v>
      </c>
      <c r="G587" s="135" t="str">
        <f>VLOOKUP(A587,Plano_V3!$A$26:$G$768,7,0)</f>
        <v>1. Concluído</v>
      </c>
      <c r="H587" s="135" t="s">
        <v>612</v>
      </c>
      <c r="I587" s="467"/>
      <c r="J587" s="153"/>
      <c r="K587" s="153"/>
      <c r="L587" s="153"/>
      <c r="M587" s="153"/>
      <c r="N587" s="487"/>
      <c r="O587" s="153"/>
      <c r="P587" s="152" t="str">
        <f>IF(VLOOKUP(A578,'Aux - pivots1'!$A:$E,3,0)=0, "",VLOOKUP(A578,'Aux - pivots1'!$A:$E,3,0))</f>
        <v/>
      </c>
      <c r="Q587" s="152" t="str">
        <f>IF(VLOOKUP(A578,'Aux - pivots1'!$A:$E,4,0)=0, "",VLOOKUP(A578,'Aux - pivots1'!$A:$E,4,0))</f>
        <v/>
      </c>
      <c r="R587" s="152" t="str">
        <f>IF(VLOOKUP(A578,'Aux - pivots1'!$A:$E,5,0)=0, "",VLOOKUP(A578,'Aux - pivots1'!$A:$E,5,0))</f>
        <v/>
      </c>
      <c r="S587" s="198"/>
      <c r="T587" s="198"/>
      <c r="U587" s="198"/>
      <c r="V587" s="320"/>
      <c r="W587" s="320"/>
      <c r="X587" s="320"/>
      <c r="Y587" s="368" t="s">
        <v>2320</v>
      </c>
      <c r="Z587" s="319"/>
    </row>
    <row r="588" spans="1:26" ht="16.399999999999999" hidden="1" customHeight="1">
      <c r="A588" s="29" t="str">
        <f t="shared" si="8"/>
        <v>modesg_out_empr_info_nfinccm_trnvr_own_prfrmnce_algnd</v>
      </c>
      <c r="B588" s="141" t="s">
        <v>26</v>
      </c>
      <c r="C588" s="137" t="s">
        <v>310</v>
      </c>
      <c r="D588" s="133" t="s">
        <v>40</v>
      </c>
      <c r="E588" s="134" t="s">
        <v>325</v>
      </c>
      <c r="F588" s="470" t="s">
        <v>254</v>
      </c>
      <c r="G588" s="135" t="str">
        <f>VLOOKUP(A588,Plano_V3!$A$26:$G$768,7,0)</f>
        <v>1. Concluído</v>
      </c>
      <c r="H588" s="135" t="s">
        <v>612</v>
      </c>
      <c r="I588" s="467"/>
      <c r="J588" s="153"/>
      <c r="K588" s="153"/>
      <c r="L588" s="153"/>
      <c r="M588" s="153"/>
      <c r="N588" s="487"/>
      <c r="O588" s="153"/>
      <c r="P588" s="152" t="str">
        <f>IF(VLOOKUP(A579,'Aux - pivots1'!$A:$E,3,0)=0, "",VLOOKUP(A579,'Aux - pivots1'!$A:$E,3,0))</f>
        <v/>
      </c>
      <c r="Q588" s="152" t="str">
        <f>IF(VLOOKUP(A579,'Aux - pivots1'!$A:$E,4,0)=0, "",VLOOKUP(A579,'Aux - pivots1'!$A:$E,4,0))</f>
        <v/>
      </c>
      <c r="R588" s="152" t="str">
        <f>IF(VLOOKUP(A579,'Aux - pivots1'!$A:$E,5,0)=0, "",VLOOKUP(A579,'Aux - pivots1'!$A:$E,5,0))</f>
        <v/>
      </c>
      <c r="S588" s="198"/>
      <c r="T588" s="198"/>
      <c r="U588" s="198"/>
      <c r="V588" s="320"/>
      <c r="W588" s="320"/>
      <c r="X588" s="320"/>
      <c r="Y588" s="368" t="s">
        <v>2320</v>
      </c>
      <c r="Z588" s="319"/>
    </row>
    <row r="589" spans="1:26" ht="16.399999999999999" hidden="1" customHeight="1">
      <c r="A589" s="29" t="str">
        <f t="shared" ref="A589:A652" si="9">E589&amp;F589</f>
        <v>modesg_out_empr_info_nfinccm_trnvr_trnstn_alignd</v>
      </c>
      <c r="B589" s="141" t="s">
        <v>26</v>
      </c>
      <c r="C589" s="137" t="s">
        <v>310</v>
      </c>
      <c r="D589" s="133" t="s">
        <v>40</v>
      </c>
      <c r="E589" s="134" t="s">
        <v>325</v>
      </c>
      <c r="F589" s="470" t="s">
        <v>253</v>
      </c>
      <c r="G589" s="135" t="str">
        <f>VLOOKUP(A589,Plano_V3!$A$26:$G$768,7,0)</f>
        <v>1. Concluído</v>
      </c>
      <c r="H589" s="135" t="s">
        <v>612</v>
      </c>
      <c r="I589" s="467"/>
      <c r="J589" s="153"/>
      <c r="K589" s="153"/>
      <c r="L589" s="153"/>
      <c r="M589" s="153"/>
      <c r="N589" s="487"/>
      <c r="O589" s="153"/>
      <c r="P589" s="152" t="str">
        <f>IF(VLOOKUP(A580,'Aux - pivots1'!$A:$E,3,0)=0, "",VLOOKUP(A580,'Aux - pivots1'!$A:$E,3,0))</f>
        <v/>
      </c>
      <c r="Q589" s="152" t="str">
        <f>IF(VLOOKUP(A580,'Aux - pivots1'!$A:$E,4,0)=0, "",VLOOKUP(A580,'Aux - pivots1'!$A:$E,4,0))</f>
        <v/>
      </c>
      <c r="R589" s="152" t="str">
        <f>IF(VLOOKUP(A580,'Aux - pivots1'!$A:$E,5,0)=0, "",VLOOKUP(A580,'Aux - pivots1'!$A:$E,5,0))</f>
        <v/>
      </c>
      <c r="S589" s="198"/>
      <c r="T589" s="198"/>
      <c r="U589" s="198"/>
      <c r="V589" s="320"/>
      <c r="W589" s="320"/>
      <c r="X589" s="320"/>
      <c r="Y589" s="368" t="s">
        <v>2320</v>
      </c>
      <c r="Z589" s="319"/>
    </row>
    <row r="590" spans="1:26" ht="16.399999999999999" hidden="1" customHeight="1">
      <c r="A590" s="29" t="str">
        <f t="shared" si="9"/>
        <v>modesg_out_empr_info_nfinccm_trnvr_ttl_elgbl</v>
      </c>
      <c r="B590" s="141" t="s">
        <v>26</v>
      </c>
      <c r="C590" s="137" t="s">
        <v>310</v>
      </c>
      <c r="D590" s="133" t="s">
        <v>40</v>
      </c>
      <c r="E590" s="134" t="s">
        <v>325</v>
      </c>
      <c r="F590" s="470" t="s">
        <v>251</v>
      </c>
      <c r="G590" s="135" t="str">
        <f>VLOOKUP(A590,Plano_V3!$A$26:$G$768,7,0)</f>
        <v>1. Concluído</v>
      </c>
      <c r="H590" s="135" t="s">
        <v>612</v>
      </c>
      <c r="I590" s="467"/>
      <c r="J590" s="153"/>
      <c r="K590" s="153"/>
      <c r="L590" s="153"/>
      <c r="M590" s="153"/>
      <c r="N590" s="487"/>
      <c r="O590" s="153"/>
      <c r="P590" s="152" t="str">
        <f>IF(VLOOKUP(A581,'Aux - pivots1'!$A:$E,3,0)=0, "",VLOOKUP(A581,'Aux - pivots1'!$A:$E,3,0))</f>
        <v/>
      </c>
      <c r="Q590" s="152" t="str">
        <f>IF(VLOOKUP(A581,'Aux - pivots1'!$A:$E,4,0)=0, "",VLOOKUP(A581,'Aux - pivots1'!$A:$E,4,0))</f>
        <v/>
      </c>
      <c r="R590" s="152" t="str">
        <f>IF(VLOOKUP(A581,'Aux - pivots1'!$A:$E,5,0)=0, "",VLOOKUP(A581,'Aux - pivots1'!$A:$E,5,0))</f>
        <v/>
      </c>
      <c r="S590" s="198"/>
      <c r="T590" s="198"/>
      <c r="U590" s="198"/>
      <c r="V590" s="320"/>
      <c r="W590" s="320"/>
      <c r="X590" s="320"/>
      <c r="Y590" s="368" t="s">
        <v>2320</v>
      </c>
      <c r="Z590" s="319"/>
    </row>
    <row r="591" spans="1:26" ht="16.399999999999999" hidden="1" customHeight="1">
      <c r="A591" s="29" t="str">
        <f t="shared" si="9"/>
        <v>modesg_out_empr_info_nfinflg_emprs_excl_paris</v>
      </c>
      <c r="B591" s="141" t="s">
        <v>26</v>
      </c>
      <c r="C591" s="137" t="s">
        <v>310</v>
      </c>
      <c r="D591" s="133" t="s">
        <v>40</v>
      </c>
      <c r="E591" s="134" t="s">
        <v>325</v>
      </c>
      <c r="F591" s="470" t="s">
        <v>327</v>
      </c>
      <c r="G591" s="135" t="str">
        <f>VLOOKUP(A591,Plano_V3!$A$26:$G$768,7,0)</f>
        <v>1. Concluído</v>
      </c>
      <c r="H591" s="135" t="s">
        <v>612</v>
      </c>
      <c r="I591" s="467"/>
      <c r="J591" s="153"/>
      <c r="K591" s="153"/>
      <c r="L591" s="153"/>
      <c r="M591" s="153"/>
      <c r="N591" s="487"/>
      <c r="O591" s="153"/>
      <c r="P591" s="152" t="str">
        <f>IF(VLOOKUP(A562,'Aux - pivots1'!$A:$E,3,0)=0, "",VLOOKUP(A562,'Aux - pivots1'!$A:$E,3,0))</f>
        <v/>
      </c>
      <c r="Q591" s="152" t="str">
        <f>IF(VLOOKUP(A562,'Aux - pivots1'!$A:$E,4,0)=0, "",VLOOKUP(A562,'Aux - pivots1'!$A:$E,4,0))</f>
        <v/>
      </c>
      <c r="R591" s="152" t="str">
        <f>IF(VLOOKUP(A562,'Aux - pivots1'!$A:$E,5,0)=0, "",VLOOKUP(A562,'Aux - pivots1'!$A:$E,5,0))</f>
        <v/>
      </c>
      <c r="S591" s="198"/>
      <c r="T591" s="198"/>
      <c r="U591" s="198"/>
      <c r="V591" s="320"/>
      <c r="W591" s="320"/>
      <c r="X591" s="320"/>
      <c r="Y591" s="368" t="s">
        <v>2320</v>
      </c>
      <c r="Z591" s="319"/>
    </row>
    <row r="592" spans="1:26" ht="16.399999999999999" hidden="1" customHeight="1">
      <c r="A592" s="29" t="str">
        <f t="shared" si="9"/>
        <v>modesg_out_empr_info_nfinflg_nfrd</v>
      </c>
      <c r="B592" s="141" t="s">
        <v>26</v>
      </c>
      <c r="C592" s="137" t="s">
        <v>310</v>
      </c>
      <c r="D592" s="133" t="s">
        <v>40</v>
      </c>
      <c r="E592" s="134" t="s">
        <v>325</v>
      </c>
      <c r="F592" s="470" t="s">
        <v>244</v>
      </c>
      <c r="G592" s="135" t="str">
        <f>VLOOKUP(A592,Plano_V3!$A$26:$G$768,7,0)</f>
        <v>1. Concluído</v>
      </c>
      <c r="H592" s="135" t="s">
        <v>612</v>
      </c>
      <c r="I592" s="467"/>
      <c r="J592" s="153"/>
      <c r="K592" s="153"/>
      <c r="L592" s="153"/>
      <c r="M592" s="153"/>
      <c r="N592" s="487"/>
      <c r="O592" s="153"/>
      <c r="P592" s="152" t="str">
        <f>IF(VLOOKUP(A563,'Aux - pivots1'!$A:$E,3,0)=0, "",VLOOKUP(A563,'Aux - pivots1'!$A:$E,3,0))</f>
        <v/>
      </c>
      <c r="Q592" s="152" t="str">
        <f>IF(VLOOKUP(A563,'Aux - pivots1'!$A:$E,4,0)=0, "",VLOOKUP(A563,'Aux - pivots1'!$A:$E,4,0))</f>
        <v/>
      </c>
      <c r="R592" s="152" t="str">
        <f>IF(VLOOKUP(A563,'Aux - pivots1'!$A:$E,5,0)=0, "",VLOOKUP(A563,'Aux - pivots1'!$A:$E,5,0))</f>
        <v/>
      </c>
      <c r="S592" s="198"/>
      <c r="T592" s="198"/>
      <c r="U592" s="198"/>
      <c r="V592" s="320"/>
      <c r="W592" s="320"/>
      <c r="X592" s="320"/>
      <c r="Y592" s="368" t="s">
        <v>2320</v>
      </c>
      <c r="Z592" s="319"/>
    </row>
    <row r="593" spans="1:26" ht="16.399999999999999" hidden="1" customHeight="1">
      <c r="A593" s="29" t="str">
        <f t="shared" si="9"/>
        <v>modesg_out_empr_info_nfinorigem_alinhamentos</v>
      </c>
      <c r="B593" s="141" t="s">
        <v>26</v>
      </c>
      <c r="C593" s="137" t="s">
        <v>310</v>
      </c>
      <c r="D593" s="133" t="s">
        <v>40</v>
      </c>
      <c r="E593" s="134" t="s">
        <v>325</v>
      </c>
      <c r="F593" s="470" t="s">
        <v>328</v>
      </c>
      <c r="G593" s="135" t="str">
        <f>VLOOKUP(A593,Plano_V3!$A$26:$G$768,7,0)</f>
        <v>1. Concluído</v>
      </c>
      <c r="H593" s="135" t="s">
        <v>612</v>
      </c>
      <c r="I593" s="467"/>
      <c r="J593" s="153"/>
      <c r="K593" s="153"/>
      <c r="L593" s="153"/>
      <c r="M593" s="153"/>
      <c r="N593" s="487"/>
      <c r="O593" s="153"/>
      <c r="P593" s="152" t="str">
        <f>IF(VLOOKUP(A564,'Aux - pivots1'!$A:$E,3,0)=0, "",VLOOKUP(A564,'Aux - pivots1'!$A:$E,3,0))</f>
        <v/>
      </c>
      <c r="Q593" s="152" t="str">
        <f>IF(VLOOKUP(A564,'Aux - pivots1'!$A:$E,4,0)=0, "",VLOOKUP(A564,'Aux - pivots1'!$A:$E,4,0))</f>
        <v/>
      </c>
      <c r="R593" s="152" t="str">
        <f>IF(VLOOKUP(A564,'Aux - pivots1'!$A:$E,5,0)=0, "",VLOOKUP(A564,'Aux - pivots1'!$A:$E,5,0))</f>
        <v/>
      </c>
      <c r="S593" s="198"/>
      <c r="T593" s="198"/>
      <c r="U593" s="198"/>
      <c r="V593" s="320"/>
      <c r="W593" s="320"/>
      <c r="X593" s="320"/>
      <c r="Y593" s="368" t="s">
        <v>2320</v>
      </c>
      <c r="Z593" s="319"/>
    </row>
    <row r="594" spans="1:26" ht="16.399999999999999" hidden="1" customHeight="1">
      <c r="A594" s="29" t="str">
        <f t="shared" si="9"/>
        <v>modesg_out_empr_info_nfinorigem_flg_emprs_excl_paris</v>
      </c>
      <c r="B594" s="141" t="s">
        <v>26</v>
      </c>
      <c r="C594" s="137" t="s">
        <v>310</v>
      </c>
      <c r="D594" s="133" t="s">
        <v>40</v>
      </c>
      <c r="E594" s="134" t="s">
        <v>325</v>
      </c>
      <c r="F594" s="470" t="s">
        <v>329</v>
      </c>
      <c r="G594" s="135" t="str">
        <f>VLOOKUP(A594,Plano_V3!$A$26:$G$768,7,0)</f>
        <v>1. Concluído</v>
      </c>
      <c r="H594" s="135" t="s">
        <v>612</v>
      </c>
      <c r="I594" s="467"/>
      <c r="J594" s="153"/>
      <c r="K594" s="153"/>
      <c r="L594" s="153"/>
      <c r="M594" s="153"/>
      <c r="N594" s="487"/>
      <c r="O594" s="153"/>
      <c r="P594" s="152" t="str">
        <f>IF(VLOOKUP(A565,'Aux - pivots1'!$A:$E,3,0)=0, "",VLOOKUP(A565,'Aux - pivots1'!$A:$E,3,0))</f>
        <v/>
      </c>
      <c r="Q594" s="152" t="str">
        <f>IF(VLOOKUP(A565,'Aux - pivots1'!$A:$E,4,0)=0, "",VLOOKUP(A565,'Aux - pivots1'!$A:$E,4,0))</f>
        <v/>
      </c>
      <c r="R594" s="152" t="str">
        <f>IF(VLOOKUP(A565,'Aux - pivots1'!$A:$E,5,0)=0, "",VLOOKUP(A565,'Aux - pivots1'!$A:$E,5,0))</f>
        <v/>
      </c>
      <c r="S594" s="198"/>
      <c r="T594" s="198"/>
      <c r="U594" s="198"/>
      <c r="V594" s="320"/>
      <c r="W594" s="320"/>
      <c r="X594" s="320"/>
      <c r="Y594" s="368" t="s">
        <v>2320</v>
      </c>
      <c r="Z594" s="319"/>
    </row>
    <row r="595" spans="1:26" ht="16.399999999999999" hidden="1" customHeight="1">
      <c r="A595" s="29" t="str">
        <f t="shared" si="9"/>
        <v>modesg_out_empr_info_nfinorigem_flg_nfrd</v>
      </c>
      <c r="B595" s="141" t="s">
        <v>26</v>
      </c>
      <c r="C595" s="137" t="s">
        <v>310</v>
      </c>
      <c r="D595" s="133" t="s">
        <v>40</v>
      </c>
      <c r="E595" s="134" t="s">
        <v>325</v>
      </c>
      <c r="F595" s="470" t="s">
        <v>330</v>
      </c>
      <c r="G595" s="135" t="str">
        <f>VLOOKUP(A595,Plano_V3!$A$26:$G$768,7,0)</f>
        <v>1. Concluído</v>
      </c>
      <c r="H595" s="135" t="s">
        <v>612</v>
      </c>
      <c r="I595" s="467"/>
      <c r="J595" s="153"/>
      <c r="K595" s="153"/>
      <c r="L595" s="153"/>
      <c r="M595" s="153"/>
      <c r="N595" s="487"/>
      <c r="O595" s="153"/>
      <c r="P595" s="152" t="str">
        <f>IF(VLOOKUP(A566,'Aux - pivots1'!$A:$E,3,0)=0, "",VLOOKUP(A566,'Aux - pivots1'!$A:$E,3,0))</f>
        <v/>
      </c>
      <c r="Q595" s="152" t="str">
        <f>IF(VLOOKUP(A566,'Aux - pivots1'!$A:$E,4,0)=0, "",VLOOKUP(A566,'Aux - pivots1'!$A:$E,4,0))</f>
        <v/>
      </c>
      <c r="R595" s="152" t="str">
        <f>IF(VLOOKUP(A566,'Aux - pivots1'!$A:$E,5,0)=0, "",VLOOKUP(A566,'Aux - pivots1'!$A:$E,5,0))</f>
        <v/>
      </c>
      <c r="S595" s="198"/>
      <c r="T595" s="198"/>
      <c r="U595" s="198"/>
      <c r="V595" s="320"/>
      <c r="W595" s="320"/>
      <c r="X595" s="320"/>
      <c r="Y595" s="368" t="s">
        <v>2320</v>
      </c>
      <c r="Z595" s="319"/>
    </row>
    <row r="596" spans="1:26" ht="16.399999999999999" hidden="1" customHeight="1">
      <c r="A596" s="29" t="str">
        <f t="shared" si="9"/>
        <v>modesg_out_empr_info_nfinref_date</v>
      </c>
      <c r="B596" s="141" t="s">
        <v>26</v>
      </c>
      <c r="C596" s="137" t="s">
        <v>310</v>
      </c>
      <c r="D596" s="133" t="s">
        <v>40</v>
      </c>
      <c r="E596" s="134" t="s">
        <v>325</v>
      </c>
      <c r="F596" s="470" t="s">
        <v>208</v>
      </c>
      <c r="G596" s="135" t="str">
        <f>VLOOKUP(A596,Plano_V3!$A$26:$G$768,7,0)</f>
        <v>1. Concluído</v>
      </c>
      <c r="H596" s="135" t="s">
        <v>612</v>
      </c>
      <c r="I596" s="467"/>
      <c r="J596" s="153"/>
      <c r="K596" s="153"/>
      <c r="L596" s="153"/>
      <c r="M596" s="153"/>
      <c r="N596" s="487"/>
      <c r="O596" s="153"/>
      <c r="P596" s="152" t="str">
        <f>IF(VLOOKUP(A587,'Aux - pivots1'!$A:$E,3,0)=0, "",VLOOKUP(A587,'Aux - pivots1'!$A:$E,3,0))</f>
        <v/>
      </c>
      <c r="Q596" s="152" t="str">
        <f>IF(VLOOKUP(A587,'Aux - pivots1'!$A:$E,4,0)=0, "",VLOOKUP(A587,'Aux - pivots1'!$A:$E,4,0))</f>
        <v/>
      </c>
      <c r="R596" s="152" t="str">
        <f>IF(VLOOKUP(A587,'Aux - pivots1'!$A:$E,5,0)=0, "",VLOOKUP(A587,'Aux - pivots1'!$A:$E,5,0))</f>
        <v/>
      </c>
      <c r="S596" s="198"/>
      <c r="T596" s="198"/>
      <c r="U596" s="198"/>
      <c r="V596" s="320"/>
      <c r="W596" s="320"/>
      <c r="X596" s="320"/>
      <c r="Y596" s="368" t="s">
        <v>2320</v>
      </c>
      <c r="Z596" s="319"/>
    </row>
    <row r="597" spans="1:26" ht="16.399999999999999" hidden="1" customHeight="1">
      <c r="A597" s="29" t="str">
        <f t="shared" si="9"/>
        <v>modesg_out_empr_info_nfinzcliente</v>
      </c>
      <c r="B597" s="141" t="s">
        <v>26</v>
      </c>
      <c r="C597" s="137" t="s">
        <v>310</v>
      </c>
      <c r="D597" s="133" t="s">
        <v>40</v>
      </c>
      <c r="E597" s="134" t="s">
        <v>325</v>
      </c>
      <c r="F597" s="470" t="s">
        <v>209</v>
      </c>
      <c r="G597" s="135" t="str">
        <f>VLOOKUP(A597,Plano_V3!$A$26:$G$768,7,0)</f>
        <v>1. Concluído</v>
      </c>
      <c r="H597" s="135" t="s">
        <v>612</v>
      </c>
      <c r="I597" s="467"/>
      <c r="J597" s="153"/>
      <c r="K597" s="153"/>
      <c r="L597" s="153"/>
      <c r="M597" s="153"/>
      <c r="N597" s="487"/>
      <c r="O597" s="153"/>
      <c r="P597" s="152" t="str">
        <f>IF(VLOOKUP(A586,'Aux - pivots1'!$A:$E,3,0)=0, "",VLOOKUP(A586,'Aux - pivots1'!$A:$E,3,0))</f>
        <v/>
      </c>
      <c r="Q597" s="152" t="str">
        <f>IF(VLOOKUP(A586,'Aux - pivots1'!$A:$E,4,0)=0, "",VLOOKUP(A586,'Aux - pivots1'!$A:$E,4,0))</f>
        <v/>
      </c>
      <c r="R597" s="152" t="str">
        <f>IF(VLOOKUP(A586,'Aux - pivots1'!$A:$E,5,0)=0, "",VLOOKUP(A586,'Aux - pivots1'!$A:$E,5,0))</f>
        <v/>
      </c>
      <c r="S597" s="198"/>
      <c r="T597" s="198"/>
      <c r="U597" s="198"/>
      <c r="V597" s="320"/>
      <c r="W597" s="320"/>
      <c r="X597" s="320"/>
      <c r="Y597" s="368" t="s">
        <v>2320</v>
      </c>
      <c r="Z597" s="319"/>
    </row>
    <row r="598" spans="1:26" ht="16.399999999999999" hidden="1" customHeight="1">
      <c r="A598" s="29" t="str">
        <f t="shared" si="9"/>
        <v>modesg_out_emss_vclsn.a.</v>
      </c>
      <c r="B598" s="141" t="s">
        <v>26</v>
      </c>
      <c r="C598" s="137" t="s">
        <v>310</v>
      </c>
      <c r="D598" s="133" t="s">
        <v>36</v>
      </c>
      <c r="E598" s="134" t="s">
        <v>331</v>
      </c>
      <c r="F598" s="470" t="s">
        <v>38</v>
      </c>
      <c r="G598" s="135" t="str">
        <f>VLOOKUP(A598,Plano_V3!$A$26:$G$768,7,0)</f>
        <v>1. Concluído</v>
      </c>
      <c r="H598" s="135" t="s">
        <v>612</v>
      </c>
      <c r="I598" s="467"/>
      <c r="J598" s="142"/>
      <c r="K598" s="142"/>
      <c r="L598" s="153"/>
      <c r="M598" s="153"/>
      <c r="N598" s="142"/>
      <c r="O598" s="142"/>
      <c r="P598" s="152" t="str">
        <f>IF(VLOOKUP(A587,'Aux - pivots1'!$A:$E,3,0)=0, "",VLOOKUP(A587,'Aux - pivots1'!$A:$E,3,0))</f>
        <v/>
      </c>
      <c r="Q598" s="152" t="str">
        <f>IF(VLOOKUP(A587,'Aux - pivots1'!$A:$E,4,0)=0, "",VLOOKUP(A587,'Aux - pivots1'!$A:$E,4,0))</f>
        <v/>
      </c>
      <c r="R598" s="152" t="str">
        <f>IF(VLOOKUP(A587,'Aux - pivots1'!$A:$E,5,0)=0, "",VLOOKUP(A587,'Aux - pivots1'!$A:$E,5,0))</f>
        <v/>
      </c>
      <c r="S598" s="198"/>
      <c r="T598" s="198"/>
      <c r="U598" s="198"/>
      <c r="V598" s="320"/>
      <c r="W598" s="320"/>
      <c r="X598" s="320"/>
      <c r="Y598" s="368" t="s">
        <v>2320</v>
      </c>
      <c r="Z598" s="319"/>
    </row>
    <row r="599" spans="1:26" ht="16.399999999999999" hidden="1" customHeight="1">
      <c r="A599" s="29" t="str">
        <f t="shared" si="9"/>
        <v>modesg_out_emss_vclscempbem</v>
      </c>
      <c r="B599" s="141" t="s">
        <v>26</v>
      </c>
      <c r="C599" s="137" t="s">
        <v>310</v>
      </c>
      <c r="D599" s="133" t="s">
        <v>40</v>
      </c>
      <c r="E599" s="134" t="s">
        <v>331</v>
      </c>
      <c r="F599" s="470" t="s">
        <v>313</v>
      </c>
      <c r="G599" s="135" t="str">
        <f>VLOOKUP(A599,Plano_V3!$A$26:$G$768,7,0)</f>
        <v>1. Concluído</v>
      </c>
      <c r="H599" s="135" t="s">
        <v>612</v>
      </c>
      <c r="I599" s="467"/>
      <c r="J599" s="153"/>
      <c r="K599" s="153"/>
      <c r="L599" s="153"/>
      <c r="M599" s="153"/>
      <c r="N599" s="487"/>
      <c r="O599" s="153"/>
      <c r="P599" s="152" t="str">
        <f>IF(VLOOKUP(A588,'Aux - pivots1'!$A:$E,3,0)=0, "",VLOOKUP(A588,'Aux - pivots1'!$A:$E,3,0))</f>
        <v/>
      </c>
      <c r="Q599" s="152" t="str">
        <f>IF(VLOOKUP(A588,'Aux - pivots1'!$A:$E,4,0)=0, "",VLOOKUP(A588,'Aux - pivots1'!$A:$E,4,0))</f>
        <v/>
      </c>
      <c r="R599" s="152" t="str">
        <f>IF(VLOOKUP(A588,'Aux - pivots1'!$A:$E,5,0)=0, "",VLOOKUP(A588,'Aux - pivots1'!$A:$E,5,0))</f>
        <v/>
      </c>
      <c r="S599" s="198"/>
      <c r="T599" s="198"/>
      <c r="U599" s="198"/>
      <c r="V599" s="320"/>
      <c r="W599" s="320"/>
      <c r="X599" s="320"/>
      <c r="Y599" s="368" t="s">
        <v>2320</v>
      </c>
      <c r="Z599" s="319"/>
    </row>
    <row r="600" spans="1:26" ht="16.399999999999999" hidden="1" customHeight="1">
      <c r="A600" s="29" t="str">
        <f t="shared" si="9"/>
        <v>modesg_out_emss_vclsckbalbem</v>
      </c>
      <c r="B600" s="141" t="s">
        <v>26</v>
      </c>
      <c r="C600" s="137" t="s">
        <v>310</v>
      </c>
      <c r="D600" s="133" t="s">
        <v>40</v>
      </c>
      <c r="E600" s="134" t="s">
        <v>331</v>
      </c>
      <c r="F600" s="470" t="s">
        <v>314</v>
      </c>
      <c r="G600" s="135" t="str">
        <f>VLOOKUP(A600,Plano_V3!$A$26:$G$768,7,0)</f>
        <v>1. Concluído</v>
      </c>
      <c r="H600" s="135" t="s">
        <v>612</v>
      </c>
      <c r="I600" s="467"/>
      <c r="J600" s="153"/>
      <c r="K600" s="153"/>
      <c r="L600" s="153"/>
      <c r="M600" s="153"/>
      <c r="N600" s="487"/>
      <c r="O600" s="153"/>
      <c r="P600" s="152" t="str">
        <f>IF(VLOOKUP(A589,'Aux - pivots1'!$A:$E,3,0)=0, "",VLOOKUP(A589,'Aux - pivots1'!$A:$E,3,0))</f>
        <v/>
      </c>
      <c r="Q600" s="152" t="str">
        <f>IF(VLOOKUP(A589,'Aux - pivots1'!$A:$E,4,0)=0, "",VLOOKUP(A589,'Aux - pivots1'!$A:$E,4,0))</f>
        <v/>
      </c>
      <c r="R600" s="152" t="str">
        <f>IF(VLOOKUP(A589,'Aux - pivots1'!$A:$E,5,0)=0, "",VLOOKUP(A589,'Aux - pivots1'!$A:$E,5,0))</f>
        <v/>
      </c>
      <c r="S600" s="198"/>
      <c r="T600" s="198"/>
      <c r="U600" s="198"/>
      <c r="V600" s="320"/>
      <c r="W600" s="320"/>
      <c r="X600" s="320"/>
      <c r="Y600" s="368" t="s">
        <v>2320</v>
      </c>
      <c r="Z600" s="319"/>
    </row>
    <row r="601" spans="1:26" ht="16.399999999999999" hidden="1" customHeight="1">
      <c r="A601" s="29" t="str">
        <f t="shared" si="9"/>
        <v>modesg_out_emss_vclsckctabem</v>
      </c>
      <c r="B601" s="141" t="s">
        <v>26</v>
      </c>
      <c r="C601" s="137" t="s">
        <v>310</v>
      </c>
      <c r="D601" s="133" t="s">
        <v>40</v>
      </c>
      <c r="E601" s="134" t="s">
        <v>331</v>
      </c>
      <c r="F601" s="470" t="s">
        <v>315</v>
      </c>
      <c r="G601" s="135" t="str">
        <f>VLOOKUP(A601,Plano_V3!$A$26:$G$768,7,0)</f>
        <v>1. Concluído</v>
      </c>
      <c r="H601" s="135" t="s">
        <v>612</v>
      </c>
      <c r="I601" s="467"/>
      <c r="J601" s="153"/>
      <c r="K601" s="153"/>
      <c r="L601" s="153"/>
      <c r="M601" s="153"/>
      <c r="N601" s="487"/>
      <c r="O601" s="153"/>
      <c r="P601" s="152" t="str">
        <f>IF(VLOOKUP(A590,'Aux - pivots1'!$A:$E,3,0)=0, "",VLOOKUP(A590,'Aux - pivots1'!$A:$E,3,0))</f>
        <v/>
      </c>
      <c r="Q601" s="152" t="str">
        <f>IF(VLOOKUP(A590,'Aux - pivots1'!$A:$E,4,0)=0, "",VLOOKUP(A590,'Aux - pivots1'!$A:$E,4,0))</f>
        <v/>
      </c>
      <c r="R601" s="152" t="str">
        <f>IF(VLOOKUP(A590,'Aux - pivots1'!$A:$E,5,0)=0, "",VLOOKUP(A590,'Aux - pivots1'!$A:$E,5,0))</f>
        <v/>
      </c>
      <c r="S601" s="198"/>
      <c r="T601" s="198"/>
      <c r="U601" s="198"/>
      <c r="V601" s="320"/>
      <c r="W601" s="320"/>
      <c r="X601" s="320"/>
      <c r="Y601" s="368" t="s">
        <v>2320</v>
      </c>
      <c r="Z601" s="319"/>
    </row>
    <row r="602" spans="1:26" ht="16.399999999999999" hidden="1" customHeight="1">
      <c r="A602" s="29" t="str">
        <f t="shared" si="9"/>
        <v>modesg_out_emss_vclsckrefbem</v>
      </c>
      <c r="B602" s="141" t="s">
        <v>26</v>
      </c>
      <c r="C602" s="137" t="s">
        <v>310</v>
      </c>
      <c r="D602" s="133" t="s">
        <v>40</v>
      </c>
      <c r="E602" s="134" t="s">
        <v>331</v>
      </c>
      <c r="F602" s="470" t="s">
        <v>316</v>
      </c>
      <c r="G602" s="135" t="str">
        <f>VLOOKUP(A602,Plano_V3!$A$26:$G$768,7,0)</f>
        <v>1. Concluído</v>
      </c>
      <c r="H602" s="135" t="s">
        <v>612</v>
      </c>
      <c r="I602" s="467"/>
      <c r="J602" s="153"/>
      <c r="K602" s="153"/>
      <c r="L602" s="153"/>
      <c r="M602" s="153"/>
      <c r="N602" s="487"/>
      <c r="O602" s="153"/>
      <c r="P602" s="152" t="str">
        <f>IF(VLOOKUP(A591,'Aux - pivots1'!$A:$E,3,0)=0, "",VLOOKUP(A591,'Aux - pivots1'!$A:$E,3,0))</f>
        <v/>
      </c>
      <c r="Q602" s="152" t="str">
        <f>IF(VLOOKUP(A591,'Aux - pivots1'!$A:$E,4,0)=0, "",VLOOKUP(A591,'Aux - pivots1'!$A:$E,4,0))</f>
        <v/>
      </c>
      <c r="R602" s="152" t="str">
        <f>IF(VLOOKUP(A591,'Aux - pivots1'!$A:$E,5,0)=0, "",VLOOKUP(A591,'Aux - pivots1'!$A:$E,5,0))</f>
        <v/>
      </c>
      <c r="S602" s="198"/>
      <c r="T602" s="198"/>
      <c r="U602" s="198"/>
      <c r="V602" s="320"/>
      <c r="W602" s="320"/>
      <c r="X602" s="320"/>
      <c r="Y602" s="368" t="s">
        <v>2320</v>
      </c>
      <c r="Z602" s="319"/>
    </row>
    <row r="603" spans="1:26" ht="16.399999999999999" hidden="1" customHeight="1">
      <c r="A603" s="29" t="str">
        <f t="shared" si="9"/>
        <v>modesg_out_emss_vclscnsm_co2</v>
      </c>
      <c r="B603" s="141" t="s">
        <v>26</v>
      </c>
      <c r="C603" s="137" t="s">
        <v>310</v>
      </c>
      <c r="D603" s="133" t="s">
        <v>40</v>
      </c>
      <c r="E603" s="134" t="s">
        <v>331</v>
      </c>
      <c r="F603" s="470" t="s">
        <v>188</v>
      </c>
      <c r="G603" s="135" t="str">
        <f>VLOOKUP(A603,Plano_V3!$A$26:$G$768,7,0)</f>
        <v>1. Concluído</v>
      </c>
      <c r="H603" s="135" t="s">
        <v>612</v>
      </c>
      <c r="I603" s="467"/>
      <c r="J603" s="142"/>
      <c r="K603" s="142"/>
      <c r="L603" s="153"/>
      <c r="M603" s="153"/>
      <c r="N603" s="142"/>
      <c r="O603" s="142"/>
      <c r="P603" s="152" t="str">
        <f>IF(VLOOKUP(A592,'Aux - pivots1'!$A:$E,3,0)=0, "",VLOOKUP(A592,'Aux - pivots1'!$A:$E,3,0))</f>
        <v/>
      </c>
      <c r="Q603" s="152" t="str">
        <f>IF(VLOOKUP(A592,'Aux - pivots1'!$A:$E,4,0)=0, "",VLOOKUP(A592,'Aux - pivots1'!$A:$E,4,0))</f>
        <v/>
      </c>
      <c r="R603" s="152" t="str">
        <f>IF(VLOOKUP(A592,'Aux - pivots1'!$A:$E,5,0)=0, "",VLOOKUP(A592,'Aux - pivots1'!$A:$E,5,0))</f>
        <v/>
      </c>
      <c r="S603" s="198"/>
      <c r="T603" s="198"/>
      <c r="U603" s="198"/>
      <c r="V603" s="320"/>
      <c r="W603" s="320"/>
      <c r="X603" s="320"/>
      <c r="Y603" s="368" t="s">
        <v>2320</v>
      </c>
      <c r="Z603" s="319"/>
    </row>
    <row r="604" spans="1:26" ht="16.399999999999999" hidden="1" customHeight="1">
      <c r="A604" s="29" t="str">
        <f t="shared" si="9"/>
        <v>modesg_out_emss_vclsorigem_scp1_emss</v>
      </c>
      <c r="B604" s="141" t="s">
        <v>26</v>
      </c>
      <c r="C604" s="137" t="s">
        <v>310</v>
      </c>
      <c r="D604" s="133" t="s">
        <v>40</v>
      </c>
      <c r="E604" s="134" t="s">
        <v>331</v>
      </c>
      <c r="F604" s="470" t="s">
        <v>319</v>
      </c>
      <c r="G604" s="135" t="str">
        <f>VLOOKUP(A604,Plano_V3!$A$26:$G$768,7,0)</f>
        <v>1. Concluído</v>
      </c>
      <c r="H604" s="135" t="s">
        <v>612</v>
      </c>
      <c r="I604" s="467"/>
      <c r="J604" s="142"/>
      <c r="K604" s="142"/>
      <c r="L604" s="153"/>
      <c r="M604" s="153"/>
      <c r="N604" s="142"/>
      <c r="O604" s="142" t="s">
        <v>2353</v>
      </c>
      <c r="P604" s="152" t="str">
        <f>IF(VLOOKUP(A593,'Aux - pivots1'!$A:$E,3,0)=0, "",VLOOKUP(A593,'Aux - pivots1'!$A:$E,3,0))</f>
        <v/>
      </c>
      <c r="Q604" s="152" t="str">
        <f>IF(VLOOKUP(A593,'Aux - pivots1'!$A:$E,4,0)=0, "",VLOOKUP(A593,'Aux - pivots1'!$A:$E,4,0))</f>
        <v/>
      </c>
      <c r="R604" s="152" t="str">
        <f>IF(VLOOKUP(A593,'Aux - pivots1'!$A:$E,5,0)=0, "",VLOOKUP(A593,'Aux - pivots1'!$A:$E,5,0))</f>
        <v/>
      </c>
      <c r="S604" s="198"/>
      <c r="T604" s="198"/>
      <c r="U604" s="198"/>
      <c r="V604" s="320"/>
      <c r="W604" s="320"/>
      <c r="X604" s="320"/>
      <c r="Y604" s="368" t="s">
        <v>2320</v>
      </c>
      <c r="Z604" s="319"/>
    </row>
    <row r="605" spans="1:26" ht="16.399999999999999" hidden="1" customHeight="1">
      <c r="A605" s="29" t="str">
        <f t="shared" si="9"/>
        <v>modesg_out_emss_vclsorigem_scp2_emss</v>
      </c>
      <c r="B605" s="141" t="s">
        <v>26</v>
      </c>
      <c r="C605" s="137" t="s">
        <v>310</v>
      </c>
      <c r="D605" s="133" t="s">
        <v>40</v>
      </c>
      <c r="E605" s="134" t="s">
        <v>331</v>
      </c>
      <c r="F605" s="470" t="s">
        <v>320</v>
      </c>
      <c r="G605" s="135" t="str">
        <f>VLOOKUP(A605,Plano_V3!$A$26:$G$768,7,0)</f>
        <v>1. Concluído</v>
      </c>
      <c r="H605" s="135" t="s">
        <v>612</v>
      </c>
      <c r="I605" s="467"/>
      <c r="J605" s="142"/>
      <c r="K605" s="142"/>
      <c r="L605" s="153"/>
      <c r="M605" s="153"/>
      <c r="N605" s="142"/>
      <c r="O605" s="142" t="s">
        <v>2353</v>
      </c>
      <c r="P605" s="152" t="str">
        <f>IF(VLOOKUP(A596,'Aux - pivots1'!$A:$E,3,0)=0, "",VLOOKUP(A596,'Aux - pivots1'!$A:$E,3,0))</f>
        <v/>
      </c>
      <c r="Q605" s="152" t="str">
        <f>IF(VLOOKUP(A596,'Aux - pivots1'!$A:$E,4,0)=0, "",VLOOKUP(A596,'Aux - pivots1'!$A:$E,4,0))</f>
        <v/>
      </c>
      <c r="R605" s="152" t="str">
        <f>IF(VLOOKUP(A596,'Aux - pivots1'!$A:$E,5,0)=0, "",VLOOKUP(A596,'Aux - pivots1'!$A:$E,5,0))</f>
        <v/>
      </c>
      <c r="S605" s="198"/>
      <c r="T605" s="198"/>
      <c r="U605" s="198"/>
      <c r="V605" s="320"/>
      <c r="W605" s="320"/>
      <c r="X605" s="320"/>
      <c r="Y605" s="368" t="s">
        <v>2320</v>
      </c>
      <c r="Z605" s="319"/>
    </row>
    <row r="606" spans="1:26" ht="16.399999999999999" hidden="1" customHeight="1">
      <c r="A606" s="29" t="str">
        <f t="shared" si="9"/>
        <v>modesg_out_emss_vclsorigem_scp3_emss</v>
      </c>
      <c r="B606" s="141" t="s">
        <v>26</v>
      </c>
      <c r="C606" s="137" t="s">
        <v>310</v>
      </c>
      <c r="D606" s="133" t="s">
        <v>40</v>
      </c>
      <c r="E606" s="134" t="s">
        <v>331</v>
      </c>
      <c r="F606" s="470" t="s">
        <v>321</v>
      </c>
      <c r="G606" s="135" t="str">
        <f>VLOOKUP(A606,Plano_V3!$A$26:$G$768,7,0)</f>
        <v>1. Concluído</v>
      </c>
      <c r="H606" s="135" t="s">
        <v>612</v>
      </c>
      <c r="I606" s="467"/>
      <c r="J606" s="142"/>
      <c r="K606" s="142"/>
      <c r="L606" s="153"/>
      <c r="M606" s="153"/>
      <c r="N606" s="142"/>
      <c r="O606" s="142" t="s">
        <v>2353</v>
      </c>
      <c r="P606" s="152" t="str">
        <f>IF(VLOOKUP(A597,'Aux - pivots1'!$A:$E,3,0)=0, "",VLOOKUP(A597,'Aux - pivots1'!$A:$E,3,0))</f>
        <v/>
      </c>
      <c r="Q606" s="152" t="str">
        <f>IF(VLOOKUP(A597,'Aux - pivots1'!$A:$E,4,0)=0, "",VLOOKUP(A597,'Aux - pivots1'!$A:$E,4,0))</f>
        <v/>
      </c>
      <c r="R606" s="152" t="str">
        <f>IF(VLOOKUP(A597,'Aux - pivots1'!$A:$E,5,0)=0, "",VLOOKUP(A597,'Aux - pivots1'!$A:$E,5,0))</f>
        <v/>
      </c>
      <c r="S606" s="198"/>
      <c r="T606" s="198"/>
      <c r="U606" s="198"/>
      <c r="V606" s="320"/>
      <c r="W606" s="320"/>
      <c r="X606" s="320"/>
      <c r="Y606" s="368" t="s">
        <v>2320</v>
      </c>
      <c r="Z606" s="319"/>
    </row>
    <row r="607" spans="1:26" ht="16.399999999999999" hidden="1" customHeight="1">
      <c r="A607" s="29" t="str">
        <f t="shared" si="9"/>
        <v>modesg_out_emss_vclsref_date</v>
      </c>
      <c r="B607" s="141" t="s">
        <v>26</v>
      </c>
      <c r="C607" s="137" t="s">
        <v>310</v>
      </c>
      <c r="D607" s="133" t="s">
        <v>40</v>
      </c>
      <c r="E607" s="134" t="s">
        <v>331</v>
      </c>
      <c r="F607" s="470" t="s">
        <v>208</v>
      </c>
      <c r="G607" s="135" t="str">
        <f>VLOOKUP(A607,Plano_V3!$A$26:$G$768,7,0)</f>
        <v>1. Concluído</v>
      </c>
      <c r="H607" s="135" t="s">
        <v>612</v>
      </c>
      <c r="I607" s="467"/>
      <c r="J607" s="153"/>
      <c r="K607" s="153"/>
      <c r="L607" s="153"/>
      <c r="M607" s="153"/>
      <c r="N607" s="487"/>
      <c r="O607" s="153"/>
      <c r="P607" s="152" t="str">
        <f>IF(VLOOKUP(A598,'Aux - pivots1'!$A:$E,3,0)=0, "",VLOOKUP(A598,'Aux - pivots1'!$A:$E,3,0))</f>
        <v/>
      </c>
      <c r="Q607" s="152" t="str">
        <f>IF(VLOOKUP(A598,'Aux - pivots1'!$A:$E,4,0)=0, "",VLOOKUP(A598,'Aux - pivots1'!$A:$E,4,0))</f>
        <v/>
      </c>
      <c r="R607" s="152" t="str">
        <f>IF(VLOOKUP(A598,'Aux - pivots1'!$A:$E,5,0)=0, "",VLOOKUP(A598,'Aux - pivots1'!$A:$E,5,0))</f>
        <v/>
      </c>
      <c r="S607" s="198"/>
      <c r="T607" s="198"/>
      <c r="U607" s="198"/>
      <c r="V607" s="320"/>
      <c r="W607" s="320"/>
      <c r="X607" s="320"/>
      <c r="Y607" s="368" t="s">
        <v>2320</v>
      </c>
      <c r="Z607" s="319"/>
    </row>
    <row r="608" spans="1:26" ht="16.399999999999999" hidden="1" customHeight="1">
      <c r="A608" s="29" t="str">
        <f t="shared" si="9"/>
        <v>modesg_out_emss_vclsscp1_emss</v>
      </c>
      <c r="B608" s="141" t="s">
        <v>26</v>
      </c>
      <c r="C608" s="137" t="s">
        <v>310</v>
      </c>
      <c r="D608" s="133" t="s">
        <v>40</v>
      </c>
      <c r="E608" s="134" t="s">
        <v>331</v>
      </c>
      <c r="F608" s="470" t="s">
        <v>285</v>
      </c>
      <c r="G608" s="135" t="str">
        <f>VLOOKUP(A608,Plano_V3!$A$26:$G$768,7,0)</f>
        <v>1. Concluído</v>
      </c>
      <c r="H608" s="135" t="s">
        <v>612</v>
      </c>
      <c r="I608" s="467"/>
      <c r="J608" s="142"/>
      <c r="K608" s="142"/>
      <c r="L608" s="153"/>
      <c r="M608" s="153"/>
      <c r="N608" s="142"/>
      <c r="O608" s="142" t="s">
        <v>2353</v>
      </c>
      <c r="P608" s="152" t="str">
        <f>IF(VLOOKUP(A599,'Aux - pivots1'!$A:$E,3,0)=0, "",VLOOKUP(A599,'Aux - pivots1'!$A:$E,3,0))</f>
        <v/>
      </c>
      <c r="Q608" s="152" t="str">
        <f>IF(VLOOKUP(A599,'Aux - pivots1'!$A:$E,4,0)=0, "",VLOOKUP(A599,'Aux - pivots1'!$A:$E,4,0))</f>
        <v/>
      </c>
      <c r="R608" s="152" t="str">
        <f>IF(VLOOKUP(A599,'Aux - pivots1'!$A:$E,5,0)=0, "",VLOOKUP(A599,'Aux - pivots1'!$A:$E,5,0))</f>
        <v/>
      </c>
      <c r="S608" s="198"/>
      <c r="T608" s="198"/>
      <c r="U608" s="198"/>
      <c r="V608" s="320"/>
      <c r="W608" s="320"/>
      <c r="X608" s="320"/>
      <c r="Y608" s="368" t="s">
        <v>2320</v>
      </c>
      <c r="Z608" s="319"/>
    </row>
    <row r="609" spans="1:26" ht="16.399999999999999" hidden="1" customHeight="1">
      <c r="A609" s="29" t="str">
        <f t="shared" si="9"/>
        <v>modesg_out_emss_vclsscp2_emss</v>
      </c>
      <c r="B609" s="141" t="s">
        <v>26</v>
      </c>
      <c r="C609" s="137" t="s">
        <v>310</v>
      </c>
      <c r="D609" s="133" t="s">
        <v>40</v>
      </c>
      <c r="E609" s="134" t="s">
        <v>331</v>
      </c>
      <c r="F609" s="470" t="s">
        <v>286</v>
      </c>
      <c r="G609" s="135" t="str">
        <f>VLOOKUP(A609,Plano_V3!$A$26:$G$768,7,0)</f>
        <v>1. Concluído</v>
      </c>
      <c r="H609" s="135" t="s">
        <v>612</v>
      </c>
      <c r="I609" s="467"/>
      <c r="J609" s="142"/>
      <c r="K609" s="142"/>
      <c r="L609" s="153"/>
      <c r="M609" s="153"/>
      <c r="N609" s="142"/>
      <c r="O609" s="142" t="s">
        <v>2353</v>
      </c>
      <c r="P609" s="152" t="str">
        <f>IF(VLOOKUP(A600,'Aux - pivots1'!$A:$E,3,0)=0, "",VLOOKUP(A600,'Aux - pivots1'!$A:$E,3,0))</f>
        <v/>
      </c>
      <c r="Q609" s="152" t="str">
        <f>IF(VLOOKUP(A600,'Aux - pivots1'!$A:$E,4,0)=0, "",VLOOKUP(A600,'Aux - pivots1'!$A:$E,4,0))</f>
        <v/>
      </c>
      <c r="R609" s="152" t="str">
        <f>IF(VLOOKUP(A600,'Aux - pivots1'!$A:$E,5,0)=0, "",VLOOKUP(A600,'Aux - pivots1'!$A:$E,5,0))</f>
        <v/>
      </c>
      <c r="S609" s="198"/>
      <c r="T609" s="198"/>
      <c r="U609" s="198"/>
      <c r="V609" s="320"/>
      <c r="W609" s="320"/>
      <c r="X609" s="320"/>
      <c r="Y609" s="368" t="s">
        <v>2320</v>
      </c>
      <c r="Z609" s="319"/>
    </row>
    <row r="610" spans="1:26" ht="16.399999999999999" hidden="1" customHeight="1">
      <c r="A610" s="29" t="str">
        <f t="shared" si="9"/>
        <v>modesg_out_emss_vclsscp3_emss</v>
      </c>
      <c r="B610" s="141" t="s">
        <v>26</v>
      </c>
      <c r="C610" s="137" t="s">
        <v>310</v>
      </c>
      <c r="D610" s="133" t="s">
        <v>40</v>
      </c>
      <c r="E610" s="134" t="s">
        <v>331</v>
      </c>
      <c r="F610" s="470" t="s">
        <v>287</v>
      </c>
      <c r="G610" s="135" t="str">
        <f>VLOOKUP(A610,Plano_V3!$A$26:$G$768,7,0)</f>
        <v>1. Concluído</v>
      </c>
      <c r="H610" s="135" t="s">
        <v>612</v>
      </c>
      <c r="I610" s="467"/>
      <c r="J610" s="142"/>
      <c r="K610" s="142"/>
      <c r="L610" s="153"/>
      <c r="M610" s="153"/>
      <c r="N610" s="142"/>
      <c r="O610" s="142" t="s">
        <v>2353</v>
      </c>
      <c r="P610" s="152" t="str">
        <f>IF(VLOOKUP(A601,'Aux - pivots1'!$A:$E,3,0)=0, "",VLOOKUP(A601,'Aux - pivots1'!$A:$E,3,0))</f>
        <v/>
      </c>
      <c r="Q610" s="152" t="str">
        <f>IF(VLOOKUP(A601,'Aux - pivots1'!$A:$E,4,0)=0, "",VLOOKUP(A601,'Aux - pivots1'!$A:$E,4,0))</f>
        <v/>
      </c>
      <c r="R610" s="152" t="str">
        <f>IF(VLOOKUP(A601,'Aux - pivots1'!$A:$E,5,0)=0, "",VLOOKUP(A601,'Aux - pivots1'!$A:$E,5,0))</f>
        <v/>
      </c>
      <c r="S610" s="198"/>
      <c r="T610" s="198"/>
      <c r="U610" s="198"/>
      <c r="V610" s="320"/>
      <c r="W610" s="320"/>
      <c r="X610" s="320"/>
      <c r="Y610" s="368" t="s">
        <v>2320</v>
      </c>
      <c r="Z610" s="319"/>
    </row>
    <row r="611" spans="1:26" ht="16.399999999999999" hidden="1" customHeight="1">
      <c r="A611" s="29" t="str">
        <f t="shared" si="9"/>
        <v>modesg_out_emss_vclsunidade_funcional_scp1_emss</v>
      </c>
      <c r="B611" s="141" t="s">
        <v>26</v>
      </c>
      <c r="C611" s="137" t="s">
        <v>310</v>
      </c>
      <c r="D611" s="133" t="s">
        <v>40</v>
      </c>
      <c r="E611" s="134" t="s">
        <v>331</v>
      </c>
      <c r="F611" s="470" t="s">
        <v>322</v>
      </c>
      <c r="G611" s="135" t="str">
        <f>VLOOKUP(A611,Plano_V3!$A$26:$G$768,7,0)</f>
        <v>1. Concluído</v>
      </c>
      <c r="H611" s="135" t="s">
        <v>612</v>
      </c>
      <c r="I611" s="467"/>
      <c r="J611" s="153"/>
      <c r="K611" s="153"/>
      <c r="L611" s="153"/>
      <c r="M611" s="153"/>
      <c r="N611" s="487"/>
      <c r="O611" s="142" t="s">
        <v>2353</v>
      </c>
      <c r="P611" s="152" t="str">
        <f>IF(VLOOKUP(A602,'Aux - pivots1'!$A:$E,3,0)=0, "",VLOOKUP(A602,'Aux - pivots1'!$A:$E,3,0))</f>
        <v/>
      </c>
      <c r="Q611" s="152" t="str">
        <f>IF(VLOOKUP(A602,'Aux - pivots1'!$A:$E,4,0)=0, "",VLOOKUP(A602,'Aux - pivots1'!$A:$E,4,0))</f>
        <v/>
      </c>
      <c r="R611" s="152" t="str">
        <f>IF(VLOOKUP(A602,'Aux - pivots1'!$A:$E,5,0)=0, "",VLOOKUP(A602,'Aux - pivots1'!$A:$E,5,0))</f>
        <v/>
      </c>
      <c r="S611" s="198"/>
      <c r="T611" s="198"/>
      <c r="U611" s="198"/>
      <c r="V611" s="320"/>
      <c r="W611" s="320"/>
      <c r="X611" s="320"/>
      <c r="Y611" s="368" t="s">
        <v>2320</v>
      </c>
      <c r="Z611" s="319"/>
    </row>
    <row r="612" spans="1:26" ht="16.399999999999999" hidden="1" customHeight="1">
      <c r="A612" s="29" t="str">
        <f t="shared" si="9"/>
        <v>modesg_out_emss_vclsunidade_funcional_scp2_emss</v>
      </c>
      <c r="B612" s="141" t="s">
        <v>26</v>
      </c>
      <c r="C612" s="137" t="s">
        <v>310</v>
      </c>
      <c r="D612" s="133" t="s">
        <v>40</v>
      </c>
      <c r="E612" s="134" t="s">
        <v>331</v>
      </c>
      <c r="F612" s="470" t="s">
        <v>323</v>
      </c>
      <c r="G612" s="135" t="str">
        <f>VLOOKUP(A612,Plano_V3!$A$26:$G$768,7,0)</f>
        <v>1. Concluído</v>
      </c>
      <c r="H612" s="135" t="s">
        <v>612</v>
      </c>
      <c r="I612" s="467"/>
      <c r="J612" s="153"/>
      <c r="K612" s="153"/>
      <c r="L612" s="153"/>
      <c r="M612" s="153"/>
      <c r="N612" s="487"/>
      <c r="O612" s="142" t="s">
        <v>2353</v>
      </c>
      <c r="P612" s="152" t="str">
        <f>IF(VLOOKUP(A603,'Aux - pivots1'!$A:$E,3,0)=0, "",VLOOKUP(A603,'Aux - pivots1'!$A:$E,3,0))</f>
        <v/>
      </c>
      <c r="Q612" s="152" t="str">
        <f>IF(VLOOKUP(A603,'Aux - pivots1'!$A:$E,4,0)=0, "",VLOOKUP(A603,'Aux - pivots1'!$A:$E,4,0))</f>
        <v/>
      </c>
      <c r="R612" s="152" t="str">
        <f>IF(VLOOKUP(A603,'Aux - pivots1'!$A:$E,5,0)=0, "",VLOOKUP(A603,'Aux - pivots1'!$A:$E,5,0))</f>
        <v/>
      </c>
      <c r="S612" s="198"/>
      <c r="T612" s="198"/>
      <c r="U612" s="198"/>
      <c r="V612" s="320"/>
      <c r="W612" s="320"/>
      <c r="X612" s="320"/>
      <c r="Y612" s="368" t="s">
        <v>2320</v>
      </c>
      <c r="Z612" s="319"/>
    </row>
    <row r="613" spans="1:26" ht="16.399999999999999" hidden="1" customHeight="1">
      <c r="A613" s="29" t="str">
        <f t="shared" si="9"/>
        <v>modesg_out_emss_vclsunidade_funcional_scp3_emss</v>
      </c>
      <c r="B613" s="141" t="s">
        <v>26</v>
      </c>
      <c r="C613" s="137" t="s">
        <v>310</v>
      </c>
      <c r="D613" s="133" t="s">
        <v>40</v>
      </c>
      <c r="E613" s="134" t="s">
        <v>331</v>
      </c>
      <c r="F613" s="470" t="s">
        <v>324</v>
      </c>
      <c r="G613" s="135" t="str">
        <f>VLOOKUP(A613,Plano_V3!$A$26:$G$768,7,0)</f>
        <v>1. Concluído</v>
      </c>
      <c r="H613" s="135" t="s">
        <v>612</v>
      </c>
      <c r="I613" s="467"/>
      <c r="J613" s="153"/>
      <c r="K613" s="153"/>
      <c r="L613" s="153"/>
      <c r="M613" s="153"/>
      <c r="N613" s="487"/>
      <c r="O613" s="142" t="s">
        <v>2353</v>
      </c>
      <c r="P613" s="152" t="str">
        <f>IF(VLOOKUP(A604,'Aux - pivots1'!$A:$E,3,0)=0, "",VLOOKUP(A604,'Aux - pivots1'!$A:$E,3,0))</f>
        <v/>
      </c>
      <c r="Q613" s="152" t="str">
        <f>IF(VLOOKUP(A604,'Aux - pivots1'!$A:$E,4,0)=0, "",VLOOKUP(A604,'Aux - pivots1'!$A:$E,4,0))</f>
        <v/>
      </c>
      <c r="R613" s="152" t="str">
        <f>IF(VLOOKUP(A604,'Aux - pivots1'!$A:$E,5,0)=0, "",VLOOKUP(A604,'Aux - pivots1'!$A:$E,5,0))</f>
        <v/>
      </c>
      <c r="S613" s="198"/>
      <c r="T613" s="198"/>
      <c r="U613" s="198"/>
      <c r="V613" s="320"/>
      <c r="W613" s="320"/>
      <c r="X613" s="320"/>
      <c r="Y613" s="368" t="s">
        <v>2320</v>
      </c>
      <c r="Z613" s="319"/>
    </row>
    <row r="614" spans="1:26" ht="16.399999999999999" hidden="1" customHeight="1">
      <c r="A614" s="29" t="str">
        <f t="shared" si="9"/>
        <v>modesg_out_sfics_taxon_europeiaordem</v>
      </c>
      <c r="B614" s="141" t="s">
        <v>26</v>
      </c>
      <c r="C614" s="137" t="s">
        <v>310</v>
      </c>
      <c r="D614" s="133" t="s">
        <v>40</v>
      </c>
      <c r="E614" s="134" t="s">
        <v>2079</v>
      </c>
      <c r="F614" s="470" t="s">
        <v>211</v>
      </c>
      <c r="G614" s="135" t="str">
        <f>VLOOKUP(A614,Plano_V3!$A$26:$G$768,7,0)</f>
        <v>0. Cancelado</v>
      </c>
      <c r="H614" s="135" t="s">
        <v>611</v>
      </c>
      <c r="I614" s="467"/>
      <c r="J614" s="480"/>
      <c r="K614" s="355"/>
      <c r="L614" s="488">
        <v>45747</v>
      </c>
      <c r="M614" s="500"/>
      <c r="N614" s="480"/>
      <c r="O614" s="480"/>
      <c r="P614" s="152" t="str">
        <f>IF(VLOOKUP(A604,'Aux - pivots1'!$A:$E,3,0)=0, "",VLOOKUP(A604,'Aux - pivots1'!$A:$E,3,0))</f>
        <v/>
      </c>
      <c r="Q614" s="152" t="str">
        <f>IF(VLOOKUP(A604,'Aux - pivots1'!$A:$E,4,0)=0, "",VLOOKUP(A604,'Aux - pivots1'!$A:$E,4,0))</f>
        <v/>
      </c>
      <c r="R614" s="152" t="str">
        <f>IF(VLOOKUP(A604,'Aux - pivots1'!$A:$E,5,0)=0, "",VLOOKUP(A604,'Aux - pivots1'!$A:$E,5,0))</f>
        <v/>
      </c>
      <c r="S614" s="198"/>
      <c r="T614" s="198"/>
      <c r="U614" s="198"/>
      <c r="V614" s="320"/>
      <c r="W614" s="320"/>
      <c r="X614" s="320"/>
      <c r="Y614" s="368" t="s">
        <v>2320</v>
      </c>
      <c r="Z614" s="319"/>
    </row>
    <row r="615" spans="1:26" ht="16.399999999999999" hidden="1" customHeight="1">
      <c r="A615" s="29" t="str">
        <f t="shared" si="9"/>
        <v>lt003_entitytxnmy_elgbl_capex_ccm</v>
      </c>
      <c r="B615" s="141" t="s">
        <v>26</v>
      </c>
      <c r="C615" s="137" t="s">
        <v>26</v>
      </c>
      <c r="D615" s="133" t="s">
        <v>40</v>
      </c>
      <c r="E615" s="136" t="s">
        <v>335</v>
      </c>
      <c r="F615" s="474" t="s">
        <v>338</v>
      </c>
      <c r="G615" s="135" t="str">
        <f>VLOOKUP(A615,Plano_V3!$A$26:$G$768,7,0)</f>
        <v>1. Concluído</v>
      </c>
      <c r="H615" s="135" t="s">
        <v>612</v>
      </c>
      <c r="I615" s="467"/>
      <c r="J615" s="142"/>
      <c r="K615" s="142"/>
      <c r="L615" s="153"/>
      <c r="M615" s="153"/>
      <c r="N615" s="142"/>
      <c r="O615" s="142"/>
      <c r="P615" s="152" t="str">
        <f>IF(VLOOKUP(A604,'Aux - pivots1'!$A:$E,3,0)=0, "",VLOOKUP(A604,'Aux - pivots1'!$A:$E,3,0))</f>
        <v/>
      </c>
      <c r="Q615" s="152" t="str">
        <f>IF(VLOOKUP(A604,'Aux - pivots1'!$A:$E,4,0)=0, "",VLOOKUP(A604,'Aux - pivots1'!$A:$E,4,0))</f>
        <v/>
      </c>
      <c r="R615" s="152" t="str">
        <f>IF(VLOOKUP(A604,'Aux - pivots1'!$A:$E,5,0)=0, "",VLOOKUP(A604,'Aux - pivots1'!$A:$E,5,0))</f>
        <v/>
      </c>
      <c r="S615" s="198"/>
      <c r="T615" s="198"/>
      <c r="U615" s="198"/>
      <c r="V615" s="320"/>
      <c r="W615" s="320"/>
      <c r="X615" s="320"/>
      <c r="Y615" s="368" t="s">
        <v>2320</v>
      </c>
      <c r="Z615" s="319"/>
    </row>
    <row r="616" spans="1:26" ht="16.399999999999999" hidden="1" customHeight="1">
      <c r="A616" s="29" t="str">
        <f t="shared" si="9"/>
        <v>lt003_entitytxnmy_elgbl_trnvr_ccm</v>
      </c>
      <c r="B616" s="141" t="s">
        <v>26</v>
      </c>
      <c r="C616" s="137" t="s">
        <v>26</v>
      </c>
      <c r="D616" s="133" t="s">
        <v>40</v>
      </c>
      <c r="E616" s="136" t="s">
        <v>335</v>
      </c>
      <c r="F616" s="474" t="s">
        <v>339</v>
      </c>
      <c r="G616" s="135" t="str">
        <f>VLOOKUP(A616,Plano_V3!$A$26:$G$768,7,0)</f>
        <v>1. Concluído</v>
      </c>
      <c r="H616" s="135" t="s">
        <v>612</v>
      </c>
      <c r="I616" s="467"/>
      <c r="J616" s="142"/>
      <c r="K616" s="142"/>
      <c r="L616" s="153"/>
      <c r="M616" s="153"/>
      <c r="N616" s="142"/>
      <c r="O616" s="142"/>
      <c r="P616" s="152" t="str">
        <f>IF(VLOOKUP(A605,'Aux - pivots1'!$A:$E,3,0)=0, "",VLOOKUP(A605,'Aux - pivots1'!$A:$E,3,0))</f>
        <v/>
      </c>
      <c r="Q616" s="152" t="str">
        <f>IF(VLOOKUP(A605,'Aux - pivots1'!$A:$E,4,0)=0, "",VLOOKUP(A605,'Aux - pivots1'!$A:$E,4,0))</f>
        <v/>
      </c>
      <c r="R616" s="152" t="str">
        <f>IF(VLOOKUP(A605,'Aux - pivots1'!$A:$E,5,0)=0, "",VLOOKUP(A605,'Aux - pivots1'!$A:$E,5,0))</f>
        <v/>
      </c>
      <c r="S616" s="198"/>
      <c r="T616" s="198"/>
      <c r="U616" s="198"/>
      <c r="V616" s="320"/>
      <c r="W616" s="320"/>
      <c r="X616" s="320"/>
      <c r="Y616" s="368" t="s">
        <v>2320</v>
      </c>
      <c r="Z616" s="319"/>
    </row>
    <row r="617" spans="1:26" ht="16.399999999999999" hidden="1" customHeight="1">
      <c r="A617" s="29" t="str">
        <f t="shared" si="9"/>
        <v>lt003_entitytxnmy_elgbl_capex_cca</v>
      </c>
      <c r="B617" s="141" t="s">
        <v>26</v>
      </c>
      <c r="C617" s="137" t="s">
        <v>26</v>
      </c>
      <c r="D617" s="133" t="s">
        <v>40</v>
      </c>
      <c r="E617" s="136" t="s">
        <v>335</v>
      </c>
      <c r="F617" s="474" t="s">
        <v>340</v>
      </c>
      <c r="G617" s="135" t="str">
        <f>VLOOKUP(A617,Plano_V3!$A$26:$G$768,7,0)</f>
        <v>1. Concluído</v>
      </c>
      <c r="H617" s="135" t="s">
        <v>612</v>
      </c>
      <c r="I617" s="467"/>
      <c r="J617" s="142"/>
      <c r="K617" s="142"/>
      <c r="L617" s="153"/>
      <c r="M617" s="153"/>
      <c r="N617" s="142"/>
      <c r="O617" s="142"/>
      <c r="P617" s="152" t="str">
        <f>IF(VLOOKUP(A606,'Aux - pivots1'!$A:$E,3,0)=0, "",VLOOKUP(A606,'Aux - pivots1'!$A:$E,3,0))</f>
        <v/>
      </c>
      <c r="Q617" s="152" t="str">
        <f>IF(VLOOKUP(A606,'Aux - pivots1'!$A:$E,4,0)=0, "",VLOOKUP(A606,'Aux - pivots1'!$A:$E,4,0))</f>
        <v/>
      </c>
      <c r="R617" s="152" t="str">
        <f>IF(VLOOKUP(A606,'Aux - pivots1'!$A:$E,5,0)=0, "",VLOOKUP(A606,'Aux - pivots1'!$A:$E,5,0))</f>
        <v/>
      </c>
      <c r="S617" s="198"/>
      <c r="T617" s="198"/>
      <c r="U617" s="198"/>
      <c r="V617" s="320"/>
      <c r="W617" s="320"/>
      <c r="X617" s="320"/>
      <c r="Y617" s="368" t="s">
        <v>2320</v>
      </c>
      <c r="Z617" s="319"/>
    </row>
    <row r="618" spans="1:26" ht="16.399999999999999" hidden="1" customHeight="1">
      <c r="A618" s="29" t="str">
        <f t="shared" si="9"/>
        <v>lt003_entitytxnmy_elgbl_trnvr_cca</v>
      </c>
      <c r="B618" s="141" t="s">
        <v>26</v>
      </c>
      <c r="C618" s="137" t="s">
        <v>26</v>
      </c>
      <c r="D618" s="133" t="s">
        <v>40</v>
      </c>
      <c r="E618" s="136" t="s">
        <v>335</v>
      </c>
      <c r="F618" s="474" t="s">
        <v>341</v>
      </c>
      <c r="G618" s="135" t="str">
        <f>VLOOKUP(A618,Plano_V3!$A$26:$G$768,7,0)</f>
        <v>1. Concluído</v>
      </c>
      <c r="H618" s="135" t="s">
        <v>612</v>
      </c>
      <c r="I618" s="467"/>
      <c r="J618" s="142"/>
      <c r="K618" s="142"/>
      <c r="L618" s="153"/>
      <c r="M618" s="153"/>
      <c r="N618" s="142"/>
      <c r="O618" s="142"/>
      <c r="P618" s="152" t="str">
        <f>IF(VLOOKUP(A608,'Aux - pivots1'!$A:$E,3,0)=0, "",VLOOKUP(A608,'Aux - pivots1'!$A:$E,3,0))</f>
        <v/>
      </c>
      <c r="Q618" s="152" t="str">
        <f>IF(VLOOKUP(A608,'Aux - pivots1'!$A:$E,4,0)=0, "",VLOOKUP(A608,'Aux - pivots1'!$A:$E,4,0))</f>
        <v/>
      </c>
      <c r="R618" s="152" t="str">
        <f>IF(VLOOKUP(A608,'Aux - pivots1'!$A:$E,5,0)=0, "",VLOOKUP(A608,'Aux - pivots1'!$A:$E,5,0))</f>
        <v/>
      </c>
      <c r="S618" s="198"/>
      <c r="T618" s="198"/>
      <c r="U618" s="198"/>
      <c r="V618" s="320"/>
      <c r="W618" s="320"/>
      <c r="X618" s="320"/>
      <c r="Y618" s="368" t="s">
        <v>2320</v>
      </c>
      <c r="Z618" s="319"/>
    </row>
    <row r="619" spans="1:26" ht="16.399999999999999" hidden="1" customHeight="1">
      <c r="A619" s="29" t="str">
        <f t="shared" si="9"/>
        <v>lt003_entityenblng_capex_ccm</v>
      </c>
      <c r="B619" s="141" t="s">
        <v>26</v>
      </c>
      <c r="C619" s="137" t="s">
        <v>26</v>
      </c>
      <c r="D619" s="133" t="s">
        <v>40</v>
      </c>
      <c r="E619" s="136" t="s">
        <v>335</v>
      </c>
      <c r="F619" s="474" t="s">
        <v>342</v>
      </c>
      <c r="G619" s="135" t="str">
        <f>VLOOKUP(A619,Plano_V3!$A$26:$G$768,7,0)</f>
        <v>1. Concluído</v>
      </c>
      <c r="H619" s="135" t="s">
        <v>612</v>
      </c>
      <c r="I619" s="467"/>
      <c r="J619" s="142"/>
      <c r="K619" s="142"/>
      <c r="L619" s="153"/>
      <c r="M619" s="153"/>
      <c r="N619" s="142"/>
      <c r="O619" s="142"/>
      <c r="P619" s="152" t="str">
        <f>IF(VLOOKUP(A609,'Aux - pivots1'!$A:$E,3,0)=0, "",VLOOKUP(A609,'Aux - pivots1'!$A:$E,3,0))</f>
        <v/>
      </c>
      <c r="Q619" s="152" t="str">
        <f>IF(VLOOKUP(A609,'Aux - pivots1'!$A:$E,4,0)=0, "",VLOOKUP(A609,'Aux - pivots1'!$A:$E,4,0))</f>
        <v/>
      </c>
      <c r="R619" s="152" t="str">
        <f>IF(VLOOKUP(A609,'Aux - pivots1'!$A:$E,5,0)=0, "",VLOOKUP(A609,'Aux - pivots1'!$A:$E,5,0))</f>
        <v/>
      </c>
      <c r="S619" s="198"/>
      <c r="T619" s="198"/>
      <c r="U619" s="198"/>
      <c r="V619" s="320"/>
      <c r="W619" s="320"/>
      <c r="X619" s="320"/>
      <c r="Y619" s="368" t="s">
        <v>2320</v>
      </c>
      <c r="Z619" s="319"/>
    </row>
    <row r="620" spans="1:26" ht="16.399999999999999" hidden="1" customHeight="1">
      <c r="A620" s="29" t="str">
        <f t="shared" si="9"/>
        <v>lt003_entityenblng_capex_cca</v>
      </c>
      <c r="B620" s="141" t="s">
        <v>26</v>
      </c>
      <c r="C620" s="137" t="s">
        <v>26</v>
      </c>
      <c r="D620" s="133" t="s">
        <v>40</v>
      </c>
      <c r="E620" s="136" t="s">
        <v>335</v>
      </c>
      <c r="F620" s="474" t="s">
        <v>343</v>
      </c>
      <c r="G620" s="135" t="str">
        <f>VLOOKUP(A620,Plano_V3!$A$26:$G$768,7,0)</f>
        <v>1. Concluído</v>
      </c>
      <c r="H620" s="135" t="s">
        <v>612</v>
      </c>
      <c r="I620" s="467"/>
      <c r="J620" s="142"/>
      <c r="K620" s="142"/>
      <c r="L620" s="153"/>
      <c r="M620" s="153"/>
      <c r="N620" s="142"/>
      <c r="O620" s="142"/>
      <c r="P620" s="152" t="str">
        <f>IF(VLOOKUP(A611,'Aux - pivots1'!$A:$E,3,0)=0, "",VLOOKUP(A611,'Aux - pivots1'!$A:$E,3,0))</f>
        <v/>
      </c>
      <c r="Q620" s="152" t="str">
        <f>IF(VLOOKUP(A611,'Aux - pivots1'!$A:$E,4,0)=0, "",VLOOKUP(A611,'Aux - pivots1'!$A:$E,4,0))</f>
        <v/>
      </c>
      <c r="R620" s="152" t="str">
        <f>IF(VLOOKUP(A611,'Aux - pivots1'!$A:$E,5,0)=0, "",VLOOKUP(A611,'Aux - pivots1'!$A:$E,5,0))</f>
        <v/>
      </c>
      <c r="S620" s="198"/>
      <c r="T620" s="198"/>
      <c r="U620" s="198"/>
      <c r="V620" s="320"/>
      <c r="W620" s="320"/>
      <c r="X620" s="320"/>
      <c r="Y620" s="368" t="s">
        <v>2320</v>
      </c>
      <c r="Z620" s="319"/>
    </row>
    <row r="621" spans="1:26" ht="16.399999999999999" hidden="1" customHeight="1">
      <c r="A621" s="29" t="str">
        <f t="shared" si="9"/>
        <v>lt003_entitytrnstnl_capex</v>
      </c>
      <c r="B621" s="141" t="s">
        <v>26</v>
      </c>
      <c r="C621" s="137" t="s">
        <v>26</v>
      </c>
      <c r="D621" s="133" t="s">
        <v>40</v>
      </c>
      <c r="E621" s="136" t="s">
        <v>335</v>
      </c>
      <c r="F621" s="474" t="s">
        <v>344</v>
      </c>
      <c r="G621" s="135" t="str">
        <f>VLOOKUP(A621,Plano_V3!$A$26:$G$768,7,0)</f>
        <v>1. Concluído</v>
      </c>
      <c r="H621" s="135" t="s">
        <v>612</v>
      </c>
      <c r="I621" s="467"/>
      <c r="J621" s="142"/>
      <c r="K621" s="142"/>
      <c r="L621" s="153"/>
      <c r="M621" s="153"/>
      <c r="N621" s="142"/>
      <c r="O621" s="142"/>
      <c r="P621" s="152" t="str">
        <f>IF(VLOOKUP(A612,'Aux - pivots1'!$A:$E,3,0)=0, "",VLOOKUP(A612,'Aux - pivots1'!$A:$E,3,0))</f>
        <v/>
      </c>
      <c r="Q621" s="152" t="str">
        <f>IF(VLOOKUP(A612,'Aux - pivots1'!$A:$E,4,0)=0, "",VLOOKUP(A612,'Aux - pivots1'!$A:$E,4,0))</f>
        <v/>
      </c>
      <c r="R621" s="152" t="str">
        <f>IF(VLOOKUP(A612,'Aux - pivots1'!$A:$E,5,0)=0, "",VLOOKUP(A612,'Aux - pivots1'!$A:$E,5,0))</f>
        <v/>
      </c>
      <c r="S621" s="198"/>
      <c r="T621" s="198"/>
      <c r="U621" s="198"/>
      <c r="V621" s="320"/>
      <c r="W621" s="320"/>
      <c r="X621" s="320"/>
      <c r="Y621" s="368" t="s">
        <v>2320</v>
      </c>
      <c r="Z621" s="319"/>
    </row>
    <row r="622" spans="1:26" ht="16.399999999999999" hidden="1" customHeight="1">
      <c r="A622" s="29" t="str">
        <f t="shared" si="9"/>
        <v>lt003_entitypure_capex_ccm</v>
      </c>
      <c r="B622" s="141" t="s">
        <v>26</v>
      </c>
      <c r="C622" s="137" t="s">
        <v>26</v>
      </c>
      <c r="D622" s="133" t="s">
        <v>40</v>
      </c>
      <c r="E622" s="136" t="s">
        <v>335</v>
      </c>
      <c r="F622" s="474" t="s">
        <v>345</v>
      </c>
      <c r="G622" s="135" t="str">
        <f>VLOOKUP(A622,Plano_V3!$A$26:$G$768,7,0)</f>
        <v>1. Concluído</v>
      </c>
      <c r="H622" s="135" t="s">
        <v>612</v>
      </c>
      <c r="I622" s="467"/>
      <c r="J622" s="142"/>
      <c r="K622" s="142"/>
      <c r="L622" s="153"/>
      <c r="M622" s="153"/>
      <c r="N622" s="142"/>
      <c r="O622" s="142"/>
      <c r="P622" s="152" t="str">
        <f>IF(VLOOKUP(A613,'Aux - pivots1'!$A:$E,3,0)=0, "",VLOOKUP(A613,'Aux - pivots1'!$A:$E,3,0))</f>
        <v/>
      </c>
      <c r="Q622" s="152" t="str">
        <f>IF(VLOOKUP(A613,'Aux - pivots1'!$A:$E,4,0)=0, "",VLOOKUP(A613,'Aux - pivots1'!$A:$E,4,0))</f>
        <v/>
      </c>
      <c r="R622" s="152" t="str">
        <f>IF(VLOOKUP(A613,'Aux - pivots1'!$A:$E,5,0)=0, "",VLOOKUP(A613,'Aux - pivots1'!$A:$E,5,0))</f>
        <v/>
      </c>
      <c r="S622" s="198"/>
      <c r="T622" s="198"/>
      <c r="U622" s="198"/>
      <c r="V622" s="320"/>
      <c r="W622" s="320"/>
      <c r="X622" s="320"/>
      <c r="Y622" s="368" t="s">
        <v>2320</v>
      </c>
      <c r="Z622" s="319"/>
    </row>
    <row r="623" spans="1:26" ht="16.399999999999999" hidden="1" customHeight="1">
      <c r="A623" s="29" t="str">
        <f t="shared" si="9"/>
        <v>lt003_entitypure_capex_cca</v>
      </c>
      <c r="B623" s="141" t="s">
        <v>26</v>
      </c>
      <c r="C623" s="137" t="s">
        <v>26</v>
      </c>
      <c r="D623" s="133" t="s">
        <v>40</v>
      </c>
      <c r="E623" s="136" t="s">
        <v>335</v>
      </c>
      <c r="F623" s="474" t="s">
        <v>346</v>
      </c>
      <c r="G623" s="135" t="str">
        <f>VLOOKUP(A623,Plano_V3!$A$26:$G$768,7,0)</f>
        <v>1. Concluído</v>
      </c>
      <c r="H623" s="135" t="s">
        <v>612</v>
      </c>
      <c r="I623" s="467"/>
      <c r="J623" s="142"/>
      <c r="K623" s="142"/>
      <c r="L623" s="153"/>
      <c r="M623" s="153"/>
      <c r="N623" s="142"/>
      <c r="O623" s="142"/>
      <c r="P623" s="152" t="str">
        <f>IF(VLOOKUP(A614,'Aux - pivots1'!$A:$E,3,0)=0, "",VLOOKUP(A614,'Aux - pivots1'!$A:$E,3,0))</f>
        <v/>
      </c>
      <c r="Q623" s="152" t="str">
        <f>IF(VLOOKUP(A614,'Aux - pivots1'!$A:$E,4,0)=0, "",VLOOKUP(A614,'Aux - pivots1'!$A:$E,4,0))</f>
        <v/>
      </c>
      <c r="R623" s="152" t="str">
        <f>IF(VLOOKUP(A614,'Aux - pivots1'!$A:$E,5,0)=0, "",VLOOKUP(A614,'Aux - pivots1'!$A:$E,5,0))</f>
        <v/>
      </c>
      <c r="S623" s="198"/>
      <c r="T623" s="198"/>
      <c r="U623" s="198"/>
      <c r="V623" s="320"/>
      <c r="W623" s="320"/>
      <c r="X623" s="320"/>
      <c r="Y623" s="368" t="s">
        <v>2320</v>
      </c>
      <c r="Z623" s="319"/>
    </row>
    <row r="624" spans="1:26" ht="16.399999999999999" hidden="1" customHeight="1">
      <c r="A624" s="29" t="str">
        <f t="shared" si="9"/>
        <v>lt003_entityenblng_trnvr_ccm</v>
      </c>
      <c r="B624" s="141" t="s">
        <v>26</v>
      </c>
      <c r="C624" s="137" t="s">
        <v>26</v>
      </c>
      <c r="D624" s="133" t="s">
        <v>40</v>
      </c>
      <c r="E624" s="136" t="s">
        <v>335</v>
      </c>
      <c r="F624" s="474" t="s">
        <v>347</v>
      </c>
      <c r="G624" s="135" t="str">
        <f>VLOOKUP(A624,Plano_V3!$A$26:$G$768,7,0)</f>
        <v>1. Concluído</v>
      </c>
      <c r="H624" s="135" t="s">
        <v>612</v>
      </c>
      <c r="I624" s="467"/>
      <c r="J624" s="142"/>
      <c r="K624" s="142"/>
      <c r="L624" s="153"/>
      <c r="M624" s="153"/>
      <c r="N624" s="142"/>
      <c r="O624" s="142"/>
      <c r="P624" s="152" t="str">
        <f>IF(VLOOKUP(A615,'Aux - pivots1'!$A:$E,3,0)=0, "",VLOOKUP(A615,'Aux - pivots1'!$A:$E,3,0))</f>
        <v/>
      </c>
      <c r="Q624" s="152" t="str">
        <f>IF(VLOOKUP(A615,'Aux - pivots1'!$A:$E,4,0)=0, "",VLOOKUP(A615,'Aux - pivots1'!$A:$E,4,0))</f>
        <v/>
      </c>
      <c r="R624" s="152" t="str">
        <f>IF(VLOOKUP(A615,'Aux - pivots1'!$A:$E,5,0)=0, "",VLOOKUP(A615,'Aux - pivots1'!$A:$E,5,0))</f>
        <v/>
      </c>
      <c r="S624" s="198"/>
      <c r="T624" s="198"/>
      <c r="U624" s="198"/>
      <c r="V624" s="320"/>
      <c r="W624" s="320"/>
      <c r="X624" s="320"/>
      <c r="Y624" s="368" t="s">
        <v>2320</v>
      </c>
      <c r="Z624" s="319"/>
    </row>
    <row r="625" spans="1:26" ht="16.399999999999999" hidden="1" customHeight="1">
      <c r="A625" s="29" t="str">
        <f t="shared" si="9"/>
        <v>lt003_entityenblng_trnvr_cca</v>
      </c>
      <c r="B625" s="141" t="s">
        <v>26</v>
      </c>
      <c r="C625" s="137" t="s">
        <v>26</v>
      </c>
      <c r="D625" s="133" t="s">
        <v>40</v>
      </c>
      <c r="E625" s="136" t="s">
        <v>335</v>
      </c>
      <c r="F625" s="474" t="s">
        <v>348</v>
      </c>
      <c r="G625" s="135" t="str">
        <f>VLOOKUP(A625,Plano_V3!$A$26:$G$768,7,0)</f>
        <v>1. Concluído</v>
      </c>
      <c r="H625" s="135" t="s">
        <v>612</v>
      </c>
      <c r="I625" s="467"/>
      <c r="J625" s="142"/>
      <c r="K625" s="142"/>
      <c r="L625" s="153"/>
      <c r="M625" s="153"/>
      <c r="N625" s="142"/>
      <c r="O625" s="142"/>
      <c r="P625" s="152" t="str">
        <f>IF(VLOOKUP(A616,'Aux - pivots1'!$A:$E,3,0)=0, "",VLOOKUP(A616,'Aux - pivots1'!$A:$E,3,0))</f>
        <v/>
      </c>
      <c r="Q625" s="152" t="str">
        <f>IF(VLOOKUP(A616,'Aux - pivots1'!$A:$E,4,0)=0, "",VLOOKUP(A616,'Aux - pivots1'!$A:$E,4,0))</f>
        <v/>
      </c>
      <c r="R625" s="152" t="str">
        <f>IF(VLOOKUP(A616,'Aux - pivots1'!$A:$E,5,0)=0, "",VLOOKUP(A616,'Aux - pivots1'!$A:$E,5,0))</f>
        <v/>
      </c>
      <c r="S625" s="198"/>
      <c r="T625" s="198"/>
      <c r="U625" s="198"/>
      <c r="V625" s="320"/>
      <c r="W625" s="320"/>
      <c r="X625" s="320"/>
      <c r="Y625" s="368" t="s">
        <v>2320</v>
      </c>
      <c r="Z625" s="319"/>
    </row>
    <row r="626" spans="1:26" ht="16.399999999999999" hidden="1" customHeight="1">
      <c r="A626" s="29" t="str">
        <f t="shared" si="9"/>
        <v>lt003_entitytrnstnl_trnvr</v>
      </c>
      <c r="B626" s="141" t="s">
        <v>26</v>
      </c>
      <c r="C626" s="137" t="s">
        <v>26</v>
      </c>
      <c r="D626" s="133" t="s">
        <v>40</v>
      </c>
      <c r="E626" s="136" t="s">
        <v>335</v>
      </c>
      <c r="F626" s="474" t="s">
        <v>349</v>
      </c>
      <c r="G626" s="135" t="str">
        <f>VLOOKUP(A626,Plano_V3!$A$26:$G$768,7,0)</f>
        <v>1. Concluído</v>
      </c>
      <c r="H626" s="135" t="s">
        <v>612</v>
      </c>
      <c r="I626" s="467"/>
      <c r="J626" s="142"/>
      <c r="K626" s="142"/>
      <c r="L626" s="153"/>
      <c r="M626" s="153"/>
      <c r="N626" s="142"/>
      <c r="O626" s="142"/>
      <c r="P626" s="152" t="str">
        <f>IF(VLOOKUP(A617,'Aux - pivots1'!$A:$E,3,0)=0, "",VLOOKUP(A617,'Aux - pivots1'!$A:$E,3,0))</f>
        <v/>
      </c>
      <c r="Q626" s="152" t="str">
        <f>IF(VLOOKUP(A617,'Aux - pivots1'!$A:$E,4,0)=0, "",VLOOKUP(A617,'Aux - pivots1'!$A:$E,4,0))</f>
        <v/>
      </c>
      <c r="R626" s="152" t="str">
        <f>IF(VLOOKUP(A617,'Aux - pivots1'!$A:$E,5,0)=0, "",VLOOKUP(A617,'Aux - pivots1'!$A:$E,5,0))</f>
        <v/>
      </c>
      <c r="S626" s="198"/>
      <c r="T626" s="198"/>
      <c r="U626" s="198"/>
      <c r="V626" s="320"/>
      <c r="W626" s="320"/>
      <c r="X626" s="320"/>
      <c r="Y626" s="368" t="s">
        <v>2320</v>
      </c>
      <c r="Z626" s="319"/>
    </row>
    <row r="627" spans="1:26" ht="16.399999999999999" hidden="1" customHeight="1">
      <c r="A627" s="29" t="str">
        <f t="shared" si="9"/>
        <v>lt003_entitypure_trnvr_ccm</v>
      </c>
      <c r="B627" s="141" t="s">
        <v>26</v>
      </c>
      <c r="C627" s="137" t="s">
        <v>26</v>
      </c>
      <c r="D627" s="133" t="s">
        <v>40</v>
      </c>
      <c r="E627" s="136" t="s">
        <v>335</v>
      </c>
      <c r="F627" s="474" t="s">
        <v>350</v>
      </c>
      <c r="G627" s="135" t="str">
        <f>VLOOKUP(A627,Plano_V3!$A$26:$G$768,7,0)</f>
        <v>1. Concluído</v>
      </c>
      <c r="H627" s="135" t="s">
        <v>612</v>
      </c>
      <c r="I627" s="467"/>
      <c r="J627" s="142"/>
      <c r="K627" s="142"/>
      <c r="L627" s="153"/>
      <c r="M627" s="153"/>
      <c r="N627" s="142"/>
      <c r="O627" s="142"/>
      <c r="P627" s="152" t="str">
        <f>IF(VLOOKUP(A618,'Aux - pivots1'!$A:$E,3,0)=0, "",VLOOKUP(A618,'Aux - pivots1'!$A:$E,3,0))</f>
        <v/>
      </c>
      <c r="Q627" s="152" t="str">
        <f>IF(VLOOKUP(A618,'Aux - pivots1'!$A:$E,4,0)=0, "",VLOOKUP(A618,'Aux - pivots1'!$A:$E,4,0))</f>
        <v/>
      </c>
      <c r="R627" s="152" t="str">
        <f>IF(VLOOKUP(A618,'Aux - pivots1'!$A:$E,5,0)=0, "",VLOOKUP(A618,'Aux - pivots1'!$A:$E,5,0))</f>
        <v/>
      </c>
      <c r="S627" s="198"/>
      <c r="T627" s="198"/>
      <c r="U627" s="198"/>
      <c r="V627" s="320"/>
      <c r="W627" s="320"/>
      <c r="X627" s="320"/>
      <c r="Y627" s="368" t="s">
        <v>2320</v>
      </c>
      <c r="Z627" s="319"/>
    </row>
    <row r="628" spans="1:26" ht="16.399999999999999" hidden="1" customHeight="1">
      <c r="A628" s="29" t="str">
        <f t="shared" si="9"/>
        <v>lt003_entitypure_trnvr_cca</v>
      </c>
      <c r="B628" s="141" t="s">
        <v>26</v>
      </c>
      <c r="C628" s="137" t="s">
        <v>26</v>
      </c>
      <c r="D628" s="133" t="s">
        <v>40</v>
      </c>
      <c r="E628" s="136" t="s">
        <v>335</v>
      </c>
      <c r="F628" s="474" t="s">
        <v>351</v>
      </c>
      <c r="G628" s="135" t="str">
        <f>VLOOKUP(A628,Plano_V3!$A$26:$G$768,7,0)</f>
        <v>1. Concluído</v>
      </c>
      <c r="H628" s="135" t="s">
        <v>612</v>
      </c>
      <c r="I628" s="467"/>
      <c r="J628" s="142"/>
      <c r="K628" s="142"/>
      <c r="L628" s="153"/>
      <c r="M628" s="153"/>
      <c r="N628" s="142"/>
      <c r="O628" s="142"/>
      <c r="P628" s="152" t="str">
        <f>IF(VLOOKUP(A619,'Aux - pivots1'!$A:$E,3,0)=0, "",VLOOKUP(A619,'Aux - pivots1'!$A:$E,3,0))</f>
        <v/>
      </c>
      <c r="Q628" s="152" t="str">
        <f>IF(VLOOKUP(A619,'Aux - pivots1'!$A:$E,4,0)=0, "",VLOOKUP(A619,'Aux - pivots1'!$A:$E,4,0))</f>
        <v/>
      </c>
      <c r="R628" s="152" t="str">
        <f>IF(VLOOKUP(A619,'Aux - pivots1'!$A:$E,5,0)=0, "",VLOOKUP(A619,'Aux - pivots1'!$A:$E,5,0))</f>
        <v/>
      </c>
      <c r="S628" s="198"/>
      <c r="T628" s="198"/>
      <c r="U628" s="198"/>
      <c r="V628" s="320"/>
      <c r="W628" s="320"/>
      <c r="X628" s="320"/>
      <c r="Y628" s="368" t="s">
        <v>2320</v>
      </c>
      <c r="Z628" s="319"/>
    </row>
    <row r="629" spans="1:26" ht="16.399999999999999" hidden="1" customHeight="1">
      <c r="A629" s="29" t="str">
        <f t="shared" si="9"/>
        <v>lt003_entityflg_nfrd_applcblty</v>
      </c>
      <c r="B629" s="141" t="s">
        <v>26</v>
      </c>
      <c r="C629" s="137" t="s">
        <v>26</v>
      </c>
      <c r="D629" s="133" t="s">
        <v>40</v>
      </c>
      <c r="E629" s="136" t="s">
        <v>335</v>
      </c>
      <c r="F629" s="474" t="s">
        <v>352</v>
      </c>
      <c r="G629" s="135" t="str">
        <f>VLOOKUP(A629,Plano_V3!$A$26:$G$768,7,0)</f>
        <v>1. Concluído</v>
      </c>
      <c r="H629" s="135" t="s">
        <v>612</v>
      </c>
      <c r="I629" s="467"/>
      <c r="J629" s="142"/>
      <c r="K629" s="142"/>
      <c r="L629" s="153"/>
      <c r="M629" s="153"/>
      <c r="N629" s="142"/>
      <c r="O629" s="142"/>
      <c r="P629" s="152" t="str">
        <f>IF(VLOOKUP(A620,'Aux - pivots1'!$A:$E,3,0)=0, "",VLOOKUP(A620,'Aux - pivots1'!$A:$E,3,0))</f>
        <v/>
      </c>
      <c r="Q629" s="152" t="str">
        <f>IF(VLOOKUP(A620,'Aux - pivots1'!$A:$E,4,0)=0, "",VLOOKUP(A620,'Aux - pivots1'!$A:$E,4,0))</f>
        <v/>
      </c>
      <c r="R629" s="152" t="str">
        <f>IF(VLOOKUP(A620,'Aux - pivots1'!$A:$E,5,0)=0, "",VLOOKUP(A620,'Aux - pivots1'!$A:$E,5,0))</f>
        <v/>
      </c>
      <c r="S629" s="198"/>
      <c r="T629" s="198"/>
      <c r="U629" s="198"/>
      <c r="V629" s="320"/>
      <c r="W629" s="320"/>
      <c r="X629" s="320"/>
      <c r="Y629" s="368" t="s">
        <v>2320</v>
      </c>
      <c r="Z629" s="319"/>
    </row>
    <row r="630" spans="1:26" ht="16.399999999999999" hidden="1" customHeight="1">
      <c r="A630" s="29" t="str">
        <f t="shared" si="9"/>
        <v>lt003_entitycntrprty_emssns_scp1</v>
      </c>
      <c r="B630" s="141" t="s">
        <v>26</v>
      </c>
      <c r="C630" s="137" t="s">
        <v>26</v>
      </c>
      <c r="D630" s="133" t="s">
        <v>40</v>
      </c>
      <c r="E630" s="136" t="s">
        <v>335</v>
      </c>
      <c r="F630" s="474" t="s">
        <v>353</v>
      </c>
      <c r="G630" s="135" t="str">
        <f>VLOOKUP(A630,Plano_V3!$A$26:$G$768,7,0)</f>
        <v>1. Concluído</v>
      </c>
      <c r="H630" s="135" t="s">
        <v>612</v>
      </c>
      <c r="I630" s="467"/>
      <c r="J630" s="142"/>
      <c r="K630" s="142"/>
      <c r="L630" s="153"/>
      <c r="M630" s="153"/>
      <c r="N630" s="142"/>
      <c r="O630" s="142"/>
      <c r="P630" s="152" t="str">
        <f>IF(VLOOKUP(A621,'Aux - pivots1'!$A:$E,3,0)=0, "",VLOOKUP(A621,'Aux - pivots1'!$A:$E,3,0))</f>
        <v/>
      </c>
      <c r="Q630" s="152" t="str">
        <f>IF(VLOOKUP(A621,'Aux - pivots1'!$A:$E,4,0)=0, "",VLOOKUP(A621,'Aux - pivots1'!$A:$E,4,0))</f>
        <v/>
      </c>
      <c r="R630" s="152" t="str">
        <f>IF(VLOOKUP(A621,'Aux - pivots1'!$A:$E,5,0)=0, "",VLOOKUP(A621,'Aux - pivots1'!$A:$E,5,0))</f>
        <v/>
      </c>
      <c r="S630" s="198"/>
      <c r="T630" s="198"/>
      <c r="U630" s="198"/>
      <c r="V630" s="320"/>
      <c r="W630" s="320"/>
      <c r="X630" s="320"/>
      <c r="Y630" s="368" t="s">
        <v>2320</v>
      </c>
      <c r="Z630" s="319"/>
    </row>
    <row r="631" spans="1:26" ht="16.399999999999999" hidden="1" customHeight="1">
      <c r="A631" s="29" t="str">
        <f t="shared" si="9"/>
        <v>lt003_entitycntrprty_emssns_scp2</v>
      </c>
      <c r="B631" s="141" t="s">
        <v>26</v>
      </c>
      <c r="C631" s="137" t="s">
        <v>26</v>
      </c>
      <c r="D631" s="133" t="s">
        <v>40</v>
      </c>
      <c r="E631" s="136" t="s">
        <v>335</v>
      </c>
      <c r="F631" s="474" t="s">
        <v>354</v>
      </c>
      <c r="G631" s="135" t="str">
        <f>VLOOKUP(A631,Plano_V3!$A$26:$G$768,7,0)</f>
        <v>1. Concluído</v>
      </c>
      <c r="H631" s="135" t="s">
        <v>612</v>
      </c>
      <c r="I631" s="467"/>
      <c r="J631" s="142"/>
      <c r="K631" s="142"/>
      <c r="L631" s="153"/>
      <c r="M631" s="153"/>
      <c r="N631" s="142"/>
      <c r="O631" s="142"/>
      <c r="P631" s="152" t="str">
        <f>IF(VLOOKUP(A622,'Aux - pivots1'!$A:$E,3,0)=0, "",VLOOKUP(A622,'Aux - pivots1'!$A:$E,3,0))</f>
        <v/>
      </c>
      <c r="Q631" s="152" t="str">
        <f>IF(VLOOKUP(A622,'Aux - pivots1'!$A:$E,4,0)=0, "",VLOOKUP(A622,'Aux - pivots1'!$A:$E,4,0))</f>
        <v/>
      </c>
      <c r="R631" s="152" t="str">
        <f>IF(VLOOKUP(A622,'Aux - pivots1'!$A:$E,5,0)=0, "",VLOOKUP(A622,'Aux - pivots1'!$A:$E,5,0))</f>
        <v/>
      </c>
      <c r="S631" s="198"/>
      <c r="T631" s="198"/>
      <c r="U631" s="198"/>
      <c r="V631" s="320"/>
      <c r="W631" s="320"/>
      <c r="X631" s="320"/>
      <c r="Y631" s="368" t="s">
        <v>2320</v>
      </c>
      <c r="Z631" s="319"/>
    </row>
    <row r="632" spans="1:26" ht="16.399999999999999" hidden="1" customHeight="1">
      <c r="A632" s="29" t="str">
        <f t="shared" si="9"/>
        <v>lt003_entitycntrprty_emssns_scp3</v>
      </c>
      <c r="B632" s="141" t="s">
        <v>26</v>
      </c>
      <c r="C632" s="137" t="s">
        <v>26</v>
      </c>
      <c r="D632" s="133" t="s">
        <v>40</v>
      </c>
      <c r="E632" s="136" t="s">
        <v>335</v>
      </c>
      <c r="F632" s="474" t="s">
        <v>355</v>
      </c>
      <c r="G632" s="135" t="str">
        <f>VLOOKUP(A632,Plano_V3!$A$26:$G$768,7,0)</f>
        <v>1. Concluído</v>
      </c>
      <c r="H632" s="135" t="s">
        <v>612</v>
      </c>
      <c r="I632" s="467"/>
      <c r="J632" s="142"/>
      <c r="K632" s="142"/>
      <c r="L632" s="153"/>
      <c r="M632" s="153"/>
      <c r="N632" s="142"/>
      <c r="O632" s="142"/>
      <c r="P632" s="152" t="str">
        <f>IF(VLOOKUP(A623,'Aux - pivots1'!$A:$E,3,0)=0, "",VLOOKUP(A623,'Aux - pivots1'!$A:$E,3,0))</f>
        <v/>
      </c>
      <c r="Q632" s="152" t="str">
        <f>IF(VLOOKUP(A623,'Aux - pivots1'!$A:$E,4,0)=0, "",VLOOKUP(A623,'Aux - pivots1'!$A:$E,4,0))</f>
        <v/>
      </c>
      <c r="R632" s="152" t="str">
        <f>IF(VLOOKUP(A623,'Aux - pivots1'!$A:$E,5,0)=0, "",VLOOKUP(A623,'Aux - pivots1'!$A:$E,5,0))</f>
        <v/>
      </c>
      <c r="S632" s="198"/>
      <c r="T632" s="198"/>
      <c r="U632" s="198"/>
      <c r="V632" s="320"/>
      <c r="W632" s="320"/>
      <c r="X632" s="320"/>
      <c r="Y632" s="368" t="s">
        <v>2320</v>
      </c>
      <c r="Z632" s="319"/>
    </row>
    <row r="633" spans="1:26" ht="16.399999999999999" hidden="1" customHeight="1">
      <c r="A633" s="29" t="str">
        <f t="shared" si="9"/>
        <v>lt003_entityflg_excldd_eu_prs_algnd_bnchmrk</v>
      </c>
      <c r="B633" s="141" t="s">
        <v>26</v>
      </c>
      <c r="C633" s="137" t="s">
        <v>26</v>
      </c>
      <c r="D633" s="133" t="s">
        <v>40</v>
      </c>
      <c r="E633" s="136" t="s">
        <v>335</v>
      </c>
      <c r="F633" s="474" t="s">
        <v>356</v>
      </c>
      <c r="G633" s="135" t="str">
        <f>VLOOKUP(A633,Plano_V3!$A$26:$G$768,7,0)</f>
        <v>1. Concluído</v>
      </c>
      <c r="H633" s="135" t="s">
        <v>612</v>
      </c>
      <c r="I633" s="467"/>
      <c r="J633" s="142"/>
      <c r="K633" s="142"/>
      <c r="L633" s="153"/>
      <c r="M633" s="153"/>
      <c r="N633" s="142"/>
      <c r="O633" s="142"/>
      <c r="P633" s="152" t="str">
        <f>IF(VLOOKUP(A624,'Aux - pivots1'!$A:$E,3,0)=0, "",VLOOKUP(A624,'Aux - pivots1'!$A:$E,3,0))</f>
        <v/>
      </c>
      <c r="Q633" s="152" t="str">
        <f>IF(VLOOKUP(A624,'Aux - pivots1'!$A:$E,4,0)=0, "",VLOOKUP(A624,'Aux - pivots1'!$A:$E,4,0))</f>
        <v/>
      </c>
      <c r="R633" s="152" t="str">
        <f>IF(VLOOKUP(A624,'Aux - pivots1'!$A:$E,5,0)=0, "",VLOOKUP(A624,'Aux - pivots1'!$A:$E,5,0))</f>
        <v/>
      </c>
      <c r="S633" s="198"/>
      <c r="T633" s="198"/>
      <c r="U633" s="198"/>
      <c r="V633" s="320"/>
      <c r="W633" s="320"/>
      <c r="X633" s="320"/>
      <c r="Y633" s="368" t="s">
        <v>2320</v>
      </c>
      <c r="Z633" s="319"/>
    </row>
    <row r="634" spans="1:26" ht="16.399999999999999" hidden="1" customHeight="1">
      <c r="A634" s="29" t="str">
        <f t="shared" si="9"/>
        <v>lt003_entitypst_cd</v>
      </c>
      <c r="B634" s="141" t="s">
        <v>26</v>
      </c>
      <c r="C634" s="137" t="s">
        <v>26</v>
      </c>
      <c r="D634" s="133" t="s">
        <v>40</v>
      </c>
      <c r="E634" s="136" t="s">
        <v>335</v>
      </c>
      <c r="F634" s="474" t="s">
        <v>359</v>
      </c>
      <c r="G634" s="479" t="str">
        <f>VLOOKUP(A634,Plano_V3!$A$26:$G$768,7,0)</f>
        <v>1. Concluído</v>
      </c>
      <c r="H634" s="135" t="s">
        <v>612</v>
      </c>
      <c r="I634" s="467"/>
      <c r="J634" s="142"/>
      <c r="K634" s="142"/>
      <c r="L634" s="153"/>
      <c r="M634" s="153"/>
      <c r="N634" s="142"/>
      <c r="O634" s="142"/>
      <c r="P634" s="152" t="str">
        <f>IF(VLOOKUP(A625,'Aux - pivots1'!$A:$E,3,0)=0, "",VLOOKUP(A625,'Aux - pivots1'!$A:$E,3,0))</f>
        <v/>
      </c>
      <c r="Q634" s="152" t="str">
        <f>IF(VLOOKUP(A625,'Aux - pivots1'!$A:$E,4,0)=0, "",VLOOKUP(A625,'Aux - pivots1'!$A:$E,4,0))</f>
        <v/>
      </c>
      <c r="R634" s="152" t="str">
        <f>IF(VLOOKUP(A625,'Aux - pivots1'!$A:$E,5,0)=0, "",VLOOKUP(A625,'Aux - pivots1'!$A:$E,5,0))</f>
        <v/>
      </c>
      <c r="S634" s="198"/>
      <c r="T634" s="198"/>
      <c r="U634" s="198"/>
      <c r="V634" s="320"/>
      <c r="W634" s="320"/>
      <c r="X634" s="320"/>
      <c r="Y634" s="368" t="s">
        <v>2320</v>
      </c>
      <c r="Z634" s="319"/>
    </row>
    <row r="635" spans="1:26" ht="16.399999999999999" hidden="1" customHeight="1">
      <c r="A635" s="29" t="str">
        <f t="shared" si="9"/>
        <v>lt003_entityttl_lblty</v>
      </c>
      <c r="B635" s="141" t="s">
        <v>26</v>
      </c>
      <c r="C635" s="137" t="s">
        <v>26</v>
      </c>
      <c r="D635" s="133" t="s">
        <v>40</v>
      </c>
      <c r="E635" s="136" t="s">
        <v>335</v>
      </c>
      <c r="F635" s="474" t="s">
        <v>361</v>
      </c>
      <c r="G635" s="135" t="str">
        <f>VLOOKUP(A635,Plano_V3!$A$26:$G$768,7,0)</f>
        <v>1. Concluído</v>
      </c>
      <c r="H635" s="135" t="s">
        <v>612</v>
      </c>
      <c r="I635" s="467"/>
      <c r="J635" s="142"/>
      <c r="K635" s="142"/>
      <c r="L635" s="153"/>
      <c r="M635" s="153"/>
      <c r="N635" s="142"/>
      <c r="O635" s="142"/>
      <c r="P635" s="152" t="str">
        <f>IF(VLOOKUP(A626,'Aux - pivots1'!$A:$E,3,0)=0, "",VLOOKUP(A626,'Aux - pivots1'!$A:$E,3,0))</f>
        <v/>
      </c>
      <c r="Q635" s="152" t="str">
        <f>IF(VLOOKUP(A626,'Aux - pivots1'!$A:$E,4,0)=0, "",VLOOKUP(A626,'Aux - pivots1'!$A:$E,4,0))</f>
        <v/>
      </c>
      <c r="R635" s="152" t="str">
        <f>IF(VLOOKUP(A626,'Aux - pivots1'!$A:$E,5,0)=0, "",VLOOKUP(A626,'Aux - pivots1'!$A:$E,5,0))</f>
        <v/>
      </c>
      <c r="S635" s="198">
        <v>45593</v>
      </c>
      <c r="T635" s="198"/>
      <c r="U635" s="198"/>
      <c r="V635" s="320"/>
      <c r="W635" s="320"/>
      <c r="X635" s="320"/>
      <c r="Y635" s="368" t="s">
        <v>2320</v>
      </c>
      <c r="Z635" s="319"/>
    </row>
    <row r="636" spans="1:26" ht="16.399999999999999" hidden="1" customHeight="1">
      <c r="A636" s="29" t="str">
        <f t="shared" si="9"/>
        <v>lt003_entityisin</v>
      </c>
      <c r="B636" s="141" t="s">
        <v>26</v>
      </c>
      <c r="C636" s="137" t="s">
        <v>26</v>
      </c>
      <c r="D636" s="133" t="s">
        <v>40</v>
      </c>
      <c r="E636" s="136" t="s">
        <v>335</v>
      </c>
      <c r="F636" s="474" t="s">
        <v>238</v>
      </c>
      <c r="G636" s="135" t="str">
        <f>VLOOKUP(A636,Plano_V3!$A$26:$G$768,7,0)</f>
        <v>1. Concluído</v>
      </c>
      <c r="H636" s="135" t="s">
        <v>612</v>
      </c>
      <c r="I636" s="467"/>
      <c r="J636" s="142"/>
      <c r="K636" s="142"/>
      <c r="L636" s="153"/>
      <c r="M636" s="153"/>
      <c r="N636" s="142"/>
      <c r="O636" s="142"/>
      <c r="P636" s="152" t="str">
        <f>IF(VLOOKUP(A627,'Aux - pivots1'!$A:$E,3,0)=0, "",VLOOKUP(A627,'Aux - pivots1'!$A:$E,3,0))</f>
        <v/>
      </c>
      <c r="Q636" s="152" t="str">
        <f>IF(VLOOKUP(A627,'Aux - pivots1'!$A:$E,4,0)=0, "",VLOOKUP(A627,'Aux - pivots1'!$A:$E,4,0))</f>
        <v/>
      </c>
      <c r="R636" s="152" t="str">
        <f>IF(VLOOKUP(A627,'Aux - pivots1'!$A:$E,5,0)=0, "",VLOOKUP(A627,'Aux - pivots1'!$A:$E,5,0))</f>
        <v/>
      </c>
      <c r="S636" s="198">
        <v>45588</v>
      </c>
      <c r="T636" s="198"/>
      <c r="U636" s="198"/>
      <c r="V636" s="320"/>
      <c r="W636" s="320"/>
      <c r="X636" s="320"/>
      <c r="Y636" s="368" t="s">
        <v>2320</v>
      </c>
      <c r="Z636" s="319"/>
    </row>
    <row r="637" spans="1:26" ht="16.399999999999999" hidden="1" customHeight="1">
      <c r="A637" s="29" t="str">
        <f t="shared" si="9"/>
        <v>lt003_entitygrp_annl_trnvr_le</v>
      </c>
      <c r="B637" s="141" t="s">
        <v>26</v>
      </c>
      <c r="C637" s="137" t="s">
        <v>26</v>
      </c>
      <c r="D637" s="133" t="s">
        <v>40</v>
      </c>
      <c r="E637" s="136" t="s">
        <v>335</v>
      </c>
      <c r="F637" s="474" t="s">
        <v>362</v>
      </c>
      <c r="G637" s="135" t="str">
        <f>VLOOKUP(A637,Plano_V3!$A$26:$G$768,7,0)</f>
        <v>1. Concluído</v>
      </c>
      <c r="H637" s="135" t="s">
        <v>612</v>
      </c>
      <c r="I637" s="467"/>
      <c r="J637" s="142"/>
      <c r="K637" s="142"/>
      <c r="L637" s="153"/>
      <c r="M637" s="153"/>
      <c r="N637" s="142"/>
      <c r="O637" s="142"/>
      <c r="P637" s="152" t="str">
        <f>IF(VLOOKUP(A628,'Aux - pivots1'!$A:$E,3,0)=0, "",VLOOKUP(A628,'Aux - pivots1'!$A:$E,3,0))</f>
        <v/>
      </c>
      <c r="Q637" s="152" t="str">
        <f>IF(VLOOKUP(A628,'Aux - pivots1'!$A:$E,4,0)=0, "",VLOOKUP(A628,'Aux - pivots1'!$A:$E,4,0))</f>
        <v/>
      </c>
      <c r="R637" s="152" t="str">
        <f>IF(VLOOKUP(A628,'Aux - pivots1'!$A:$E,5,0)=0, "",VLOOKUP(A628,'Aux - pivots1'!$A:$E,5,0))</f>
        <v/>
      </c>
      <c r="S637" s="198">
        <v>45593</v>
      </c>
      <c r="T637" s="198"/>
      <c r="U637" s="198"/>
      <c r="V637" s="320"/>
      <c r="W637" s="320"/>
      <c r="X637" s="320"/>
      <c r="Y637" s="368" t="s">
        <v>2320</v>
      </c>
      <c r="Z637" s="319"/>
    </row>
    <row r="638" spans="1:26" ht="16.399999999999999" hidden="1" customHeight="1">
      <c r="A638" s="29" t="str">
        <f t="shared" si="9"/>
        <v>lt003_entitygrp_ttl_lblty</v>
      </c>
      <c r="B638" s="141" t="s">
        <v>26</v>
      </c>
      <c r="C638" s="137" t="s">
        <v>26</v>
      </c>
      <c r="D638" s="133" t="s">
        <v>40</v>
      </c>
      <c r="E638" s="136" t="s">
        <v>335</v>
      </c>
      <c r="F638" s="474" t="s">
        <v>363</v>
      </c>
      <c r="G638" s="135" t="str">
        <f>VLOOKUP(A638,Plano_V3!$A$26:$G$768,7,0)</f>
        <v>1. Concluído</v>
      </c>
      <c r="H638" s="135" t="s">
        <v>612</v>
      </c>
      <c r="I638" s="467"/>
      <c r="J638" s="142"/>
      <c r="K638" s="142"/>
      <c r="L638" s="153"/>
      <c r="M638" s="153"/>
      <c r="N638" s="142"/>
      <c r="O638" s="142"/>
      <c r="P638" s="152" t="str">
        <f>IF(VLOOKUP(A629,'Aux - pivots1'!$A:$E,3,0)=0, "",VLOOKUP(A629,'Aux - pivots1'!$A:$E,3,0))</f>
        <v/>
      </c>
      <c r="Q638" s="152" t="str">
        <f>IF(VLOOKUP(A629,'Aux - pivots1'!$A:$E,4,0)=0, "",VLOOKUP(A629,'Aux - pivots1'!$A:$E,4,0))</f>
        <v/>
      </c>
      <c r="R638" s="152" t="str">
        <f>IF(VLOOKUP(A629,'Aux - pivots1'!$A:$E,5,0)=0, "",VLOOKUP(A629,'Aux - pivots1'!$A:$E,5,0))</f>
        <v/>
      </c>
      <c r="S638" s="198">
        <v>45593</v>
      </c>
      <c r="T638" s="198"/>
      <c r="U638" s="198"/>
      <c r="V638" s="320"/>
      <c r="W638" s="320"/>
      <c r="X638" s="320"/>
      <c r="Y638" s="368" t="s">
        <v>2320</v>
      </c>
      <c r="Z638" s="319"/>
    </row>
    <row r="639" spans="1:26" ht="16.399999999999999" hidden="1" customHeight="1">
      <c r="A639" s="29" t="str">
        <f t="shared" si="9"/>
        <v>lt003_entityflg_grp_nfrd_applcblty</v>
      </c>
      <c r="B639" s="141" t="s">
        <v>26</v>
      </c>
      <c r="C639" s="137" t="s">
        <v>26</v>
      </c>
      <c r="D639" s="133" t="s">
        <v>40</v>
      </c>
      <c r="E639" s="136" t="s">
        <v>335</v>
      </c>
      <c r="F639" s="474" t="s">
        <v>364</v>
      </c>
      <c r="G639" s="135" t="str">
        <f>VLOOKUP(A639,Plano_V3!$A$26:$G$768,7,0)</f>
        <v>1. Concluído</v>
      </c>
      <c r="H639" s="135" t="s">
        <v>612</v>
      </c>
      <c r="I639" s="467"/>
      <c r="J639" s="142"/>
      <c r="K639" s="142"/>
      <c r="L639" s="153"/>
      <c r="M639" s="153"/>
      <c r="N639" s="142"/>
      <c r="O639" s="142"/>
      <c r="P639" s="152" t="str">
        <f>IF(VLOOKUP(A630,'Aux - pivots1'!$A:$E,3,0)=0, "",VLOOKUP(A630,'Aux - pivots1'!$A:$E,3,0))</f>
        <v/>
      </c>
      <c r="Q639" s="152" t="str">
        <f>IF(VLOOKUP(A630,'Aux - pivots1'!$A:$E,4,0)=0, "",VLOOKUP(A630,'Aux - pivots1'!$A:$E,4,0))</f>
        <v/>
      </c>
      <c r="R639" s="152" t="str">
        <f>IF(VLOOKUP(A630,'Aux - pivots1'!$A:$E,5,0)=0, "",VLOOKUP(A630,'Aux - pivots1'!$A:$E,5,0))</f>
        <v/>
      </c>
      <c r="S639" s="198">
        <v>45588</v>
      </c>
      <c r="T639" s="198"/>
      <c r="U639" s="198"/>
      <c r="V639" s="320"/>
      <c r="W639" s="320"/>
      <c r="X639" s="320"/>
      <c r="Y639" s="368" t="s">
        <v>2320</v>
      </c>
      <c r="Z639" s="319"/>
    </row>
    <row r="640" spans="1:26" ht="16.399999999999999" hidden="1" customHeight="1">
      <c r="A640" s="29" t="str">
        <f t="shared" si="9"/>
        <v>lt003_entitygrp_emssns_scp1</v>
      </c>
      <c r="B640" s="141" t="s">
        <v>26</v>
      </c>
      <c r="C640" s="137" t="s">
        <v>26</v>
      </c>
      <c r="D640" s="133" t="s">
        <v>40</v>
      </c>
      <c r="E640" s="136" t="s">
        <v>335</v>
      </c>
      <c r="F640" s="474" t="s">
        <v>365</v>
      </c>
      <c r="G640" s="135" t="str">
        <f>VLOOKUP(A640,Plano_V3!$A$26:$G$768,7,0)</f>
        <v>1. Concluído</v>
      </c>
      <c r="H640" s="135" t="s">
        <v>612</v>
      </c>
      <c r="I640" s="467"/>
      <c r="J640" s="142"/>
      <c r="K640" s="142"/>
      <c r="L640" s="153"/>
      <c r="M640" s="153"/>
      <c r="N640" s="142"/>
      <c r="O640" s="142"/>
      <c r="P640" s="152" t="str">
        <f>IF(VLOOKUP(A631,'Aux - pivots1'!$A:$E,3,0)=0, "",VLOOKUP(A631,'Aux - pivots1'!$A:$E,3,0))</f>
        <v/>
      </c>
      <c r="Q640" s="152" t="str">
        <f>IF(VLOOKUP(A631,'Aux - pivots1'!$A:$E,4,0)=0, "",VLOOKUP(A631,'Aux - pivots1'!$A:$E,4,0))</f>
        <v/>
      </c>
      <c r="R640" s="152" t="str">
        <f>IF(VLOOKUP(A631,'Aux - pivots1'!$A:$E,5,0)=0, "",VLOOKUP(A631,'Aux - pivots1'!$A:$E,5,0))</f>
        <v/>
      </c>
      <c r="S640" s="198">
        <v>45588</v>
      </c>
      <c r="T640" s="198"/>
      <c r="U640" s="198"/>
      <c r="V640" s="320"/>
      <c r="W640" s="320"/>
      <c r="X640" s="320"/>
      <c r="Y640" s="368" t="s">
        <v>2320</v>
      </c>
      <c r="Z640" s="319"/>
    </row>
    <row r="641" spans="1:26" ht="16.399999999999999" hidden="1" customHeight="1">
      <c r="A641" s="29" t="str">
        <f t="shared" si="9"/>
        <v>lt003_entitygrp_emssns_scp2</v>
      </c>
      <c r="B641" s="141" t="s">
        <v>26</v>
      </c>
      <c r="C641" s="137" t="s">
        <v>26</v>
      </c>
      <c r="D641" s="133" t="s">
        <v>40</v>
      </c>
      <c r="E641" s="136" t="s">
        <v>335</v>
      </c>
      <c r="F641" s="474" t="s">
        <v>366</v>
      </c>
      <c r="G641" s="135" t="str">
        <f>VLOOKUP(A641,Plano_V3!$A$26:$G$768,7,0)</f>
        <v>1. Concluído</v>
      </c>
      <c r="H641" s="135" t="s">
        <v>612</v>
      </c>
      <c r="I641" s="467"/>
      <c r="J641" s="142"/>
      <c r="K641" s="142"/>
      <c r="L641" s="153"/>
      <c r="M641" s="153"/>
      <c r="N641" s="142"/>
      <c r="O641" s="142"/>
      <c r="P641" s="152" t="str">
        <f>IF(VLOOKUP(A632,'Aux - pivots1'!$A:$E,3,0)=0, "",VLOOKUP(A632,'Aux - pivots1'!$A:$E,3,0))</f>
        <v/>
      </c>
      <c r="Q641" s="152" t="str">
        <f>IF(VLOOKUP(A632,'Aux - pivots1'!$A:$E,4,0)=0, "",VLOOKUP(A632,'Aux - pivots1'!$A:$E,4,0))</f>
        <v/>
      </c>
      <c r="R641" s="152" t="str">
        <f>IF(VLOOKUP(A632,'Aux - pivots1'!$A:$E,5,0)=0, "",VLOOKUP(A632,'Aux - pivots1'!$A:$E,5,0))</f>
        <v/>
      </c>
      <c r="S641" s="198">
        <v>45588</v>
      </c>
      <c r="T641" s="198"/>
      <c r="U641" s="198"/>
      <c r="V641" s="320"/>
      <c r="W641" s="320"/>
      <c r="X641" s="320"/>
      <c r="Y641" s="368" t="s">
        <v>2320</v>
      </c>
      <c r="Z641" s="319"/>
    </row>
    <row r="642" spans="1:26" ht="16.399999999999999" hidden="1" customHeight="1">
      <c r="A642" s="29" t="str">
        <f t="shared" si="9"/>
        <v>lt003_entitygrp_emssns_scp3</v>
      </c>
      <c r="B642" s="141" t="s">
        <v>26</v>
      </c>
      <c r="C642" s="137" t="s">
        <v>26</v>
      </c>
      <c r="D642" s="133" t="s">
        <v>40</v>
      </c>
      <c r="E642" s="136" t="s">
        <v>335</v>
      </c>
      <c r="F642" s="474" t="s">
        <v>367</v>
      </c>
      <c r="G642" s="135" t="str">
        <f>VLOOKUP(A642,Plano_V3!$A$26:$G$768,7,0)</f>
        <v>1. Concluído</v>
      </c>
      <c r="H642" s="135" t="s">
        <v>612</v>
      </c>
      <c r="I642" s="467"/>
      <c r="J642" s="142"/>
      <c r="K642" s="142"/>
      <c r="L642" s="153"/>
      <c r="M642" s="153"/>
      <c r="N642" s="142"/>
      <c r="O642" s="142"/>
      <c r="P642" s="152" t="str">
        <f>IF(VLOOKUP(A633,'Aux - pivots1'!$A:$E,3,0)=0, "",VLOOKUP(A633,'Aux - pivots1'!$A:$E,3,0))</f>
        <v/>
      </c>
      <c r="Q642" s="152" t="str">
        <f>IF(VLOOKUP(A633,'Aux - pivots1'!$A:$E,4,0)=0, "",VLOOKUP(A633,'Aux - pivots1'!$A:$E,4,0))</f>
        <v/>
      </c>
      <c r="R642" s="152" t="str">
        <f>IF(VLOOKUP(A633,'Aux - pivots1'!$A:$E,5,0)=0, "",VLOOKUP(A633,'Aux - pivots1'!$A:$E,5,0))</f>
        <v/>
      </c>
      <c r="S642" s="198">
        <v>45588</v>
      </c>
      <c r="T642" s="198"/>
      <c r="U642" s="198"/>
      <c r="V642" s="320"/>
      <c r="W642" s="320"/>
      <c r="X642" s="320"/>
      <c r="Y642" s="368" t="s">
        <v>2320</v>
      </c>
      <c r="Z642" s="319"/>
    </row>
    <row r="643" spans="1:26" ht="16.399999999999999" hidden="1" customHeight="1">
      <c r="A643" s="29" t="str">
        <f t="shared" si="9"/>
        <v>lt004_protectiontyp_epc_lbl</v>
      </c>
      <c r="B643" s="141" t="s">
        <v>26</v>
      </c>
      <c r="C643" s="137" t="s">
        <v>26</v>
      </c>
      <c r="D643" s="133" t="s">
        <v>40</v>
      </c>
      <c r="E643" s="136" t="s">
        <v>368</v>
      </c>
      <c r="F643" s="474" t="s">
        <v>371</v>
      </c>
      <c r="G643" s="135" t="str">
        <f>VLOOKUP(A643,Plano_V3!$A$26:$G$768,7,0)</f>
        <v>1. Concluído</v>
      </c>
      <c r="H643" s="135" t="s">
        <v>612</v>
      </c>
      <c r="I643" s="467"/>
      <c r="J643" s="142"/>
      <c r="K643" s="142"/>
      <c r="L643" s="153"/>
      <c r="M643" s="153"/>
      <c r="N643" s="142"/>
      <c r="O643" s="142" t="s">
        <v>2353</v>
      </c>
      <c r="P643" s="152" t="str">
        <f>IF(VLOOKUP(A634,'Aux - pivots1'!$A:$E,3,0)=0, "",VLOOKUP(A634,'Aux - pivots1'!$A:$E,3,0))</f>
        <v/>
      </c>
      <c r="Q643" s="152" t="str">
        <f>IF(VLOOKUP(A634,'Aux - pivots1'!$A:$E,4,0)=0, "",VLOOKUP(A634,'Aux - pivots1'!$A:$E,4,0))</f>
        <v/>
      </c>
      <c r="R643" s="152" t="str">
        <f>IF(VLOOKUP(A634,'Aux - pivots1'!$A:$E,5,0)=0, "",VLOOKUP(A634,'Aux - pivots1'!$A:$E,5,0))</f>
        <v/>
      </c>
      <c r="S643" s="198"/>
      <c r="T643" s="198"/>
      <c r="U643" s="198"/>
      <c r="V643" s="320"/>
      <c r="W643" s="320"/>
      <c r="X643" s="320"/>
      <c r="Y643" s="368" t="s">
        <v>2320</v>
      </c>
      <c r="Z643" s="319"/>
    </row>
    <row r="644" spans="1:26" ht="16.399999999999999" hidden="1" customHeight="1">
      <c r="A644" s="29" t="str">
        <f t="shared" si="9"/>
        <v>lt004_protectionepc_lbl</v>
      </c>
      <c r="B644" s="141" t="s">
        <v>26</v>
      </c>
      <c r="C644" s="137" t="s">
        <v>26</v>
      </c>
      <c r="D644" s="133" t="s">
        <v>40</v>
      </c>
      <c r="E644" s="136" t="s">
        <v>368</v>
      </c>
      <c r="F644" s="474" t="s">
        <v>372</v>
      </c>
      <c r="G644" s="135" t="str">
        <f>VLOOKUP(A644,Plano_V3!$A$26:$G$768,7,0)</f>
        <v>1. Concluído</v>
      </c>
      <c r="H644" s="135" t="s">
        <v>612</v>
      </c>
      <c r="I644" s="467"/>
      <c r="J644" s="142"/>
      <c r="K644" s="142"/>
      <c r="L644" s="153"/>
      <c r="M644" s="153"/>
      <c r="N644" s="142"/>
      <c r="O644" s="142" t="s">
        <v>2353</v>
      </c>
      <c r="P644" s="152" t="str">
        <f>IF(VLOOKUP(A635,'Aux - pivots1'!$A:$E,3,0)=0, "",VLOOKUP(A635,'Aux - pivots1'!$A:$E,3,0))</f>
        <v/>
      </c>
      <c r="Q644" s="152" t="str">
        <f>IF(VLOOKUP(A635,'Aux - pivots1'!$A:$E,4,0)=0, "",VLOOKUP(A635,'Aux - pivots1'!$A:$E,4,0))</f>
        <v/>
      </c>
      <c r="R644" s="152" t="str">
        <f>IF(VLOOKUP(A635,'Aux - pivots1'!$A:$E,5,0)=0, "",VLOOKUP(A635,'Aux - pivots1'!$A:$E,5,0))</f>
        <v/>
      </c>
      <c r="S644" s="198"/>
      <c r="T644" s="198"/>
      <c r="U644" s="198"/>
      <c r="V644" s="320"/>
      <c r="W644" s="320"/>
      <c r="X644" s="320"/>
      <c r="Y644" s="368" t="s">
        <v>2320</v>
      </c>
      <c r="Z644" s="319"/>
    </row>
    <row r="645" spans="1:26" ht="16.399999999999999" hidden="1" customHeight="1">
      <c r="A645" s="29" t="str">
        <f t="shared" si="9"/>
        <v>lt004_protectionemssns_scp1_prtctn</v>
      </c>
      <c r="B645" s="141" t="s">
        <v>26</v>
      </c>
      <c r="C645" s="137" t="s">
        <v>26</v>
      </c>
      <c r="D645" s="133" t="s">
        <v>40</v>
      </c>
      <c r="E645" s="136" t="s">
        <v>368</v>
      </c>
      <c r="F645" s="474" t="s">
        <v>373</v>
      </c>
      <c r="G645" s="303" t="str">
        <f>VLOOKUP(A645,Plano_V3!$A$26:$G$768,7,0)</f>
        <v>1. Concluído</v>
      </c>
      <c r="H645" s="135" t="s">
        <v>612</v>
      </c>
      <c r="I645" s="467"/>
      <c r="J645" s="142"/>
      <c r="K645" s="142"/>
      <c r="L645" s="153"/>
      <c r="M645" s="153"/>
      <c r="N645" s="142"/>
      <c r="O645" s="142" t="s">
        <v>2353</v>
      </c>
      <c r="P645" s="152" t="str">
        <f>IF(VLOOKUP(A636,'Aux - pivots1'!$A:$E,3,0)=0, "",VLOOKUP(A636,'Aux - pivots1'!$A:$E,3,0))</f>
        <v/>
      </c>
      <c r="Q645" s="152" t="str">
        <f>IF(VLOOKUP(A636,'Aux - pivots1'!$A:$E,4,0)=0, "",VLOOKUP(A636,'Aux - pivots1'!$A:$E,4,0))</f>
        <v/>
      </c>
      <c r="R645" s="152" t="str">
        <f>IF(VLOOKUP(A636,'Aux - pivots1'!$A:$E,5,0)=0, "",VLOOKUP(A636,'Aux - pivots1'!$A:$E,5,0))</f>
        <v/>
      </c>
      <c r="S645" s="198"/>
      <c r="T645" s="198"/>
      <c r="U645" s="198"/>
      <c r="V645" s="320"/>
      <c r="W645" s="320"/>
      <c r="X645" s="320"/>
      <c r="Y645" s="368" t="s">
        <v>2320</v>
      </c>
      <c r="Z645" s="319"/>
    </row>
    <row r="646" spans="1:26" ht="16.399999999999999" hidden="1" customHeight="1">
      <c r="A646" s="29" t="str">
        <f t="shared" si="9"/>
        <v>lt004_protectionemssns_scp2_prtctn</v>
      </c>
      <c r="B646" s="141" t="s">
        <v>26</v>
      </c>
      <c r="C646" s="137" t="s">
        <v>26</v>
      </c>
      <c r="D646" s="133" t="s">
        <v>40</v>
      </c>
      <c r="E646" s="136" t="s">
        <v>368</v>
      </c>
      <c r="F646" s="474" t="s">
        <v>374</v>
      </c>
      <c r="G646" s="303" t="str">
        <f>VLOOKUP(A646,Plano_V3!$A$26:$G$768,7,0)</f>
        <v>1. Concluído</v>
      </c>
      <c r="H646" s="135" t="s">
        <v>612</v>
      </c>
      <c r="I646" s="467"/>
      <c r="J646" s="142"/>
      <c r="K646" s="142"/>
      <c r="L646" s="153"/>
      <c r="M646" s="153"/>
      <c r="N646" s="142"/>
      <c r="O646" s="142" t="s">
        <v>2353</v>
      </c>
      <c r="P646" s="152" t="str">
        <f>IF(VLOOKUP(A637,'Aux - pivots1'!$A:$E,3,0)=0, "",VLOOKUP(A637,'Aux - pivots1'!$A:$E,3,0))</f>
        <v/>
      </c>
      <c r="Q646" s="152" t="str">
        <f>IF(VLOOKUP(A637,'Aux - pivots1'!$A:$E,4,0)=0, "",VLOOKUP(A637,'Aux - pivots1'!$A:$E,4,0))</f>
        <v/>
      </c>
      <c r="R646" s="152" t="str">
        <f>IF(VLOOKUP(A637,'Aux - pivots1'!$A:$E,5,0)=0, "",VLOOKUP(A637,'Aux - pivots1'!$A:$E,5,0))</f>
        <v/>
      </c>
      <c r="S646" s="198"/>
      <c r="T646" s="198"/>
      <c r="U646" s="198"/>
      <c r="V646" s="320"/>
      <c r="W646" s="320"/>
      <c r="X646" s="320"/>
      <c r="Y646" s="368" t="s">
        <v>2320</v>
      </c>
      <c r="Z646" s="319"/>
    </row>
    <row r="647" spans="1:26" ht="16.399999999999999" hidden="1" customHeight="1">
      <c r="A647" s="29" t="str">
        <f t="shared" si="9"/>
        <v>lt004_protectionemssns_scp3_prtctn</v>
      </c>
      <c r="B647" s="141" t="s">
        <v>26</v>
      </c>
      <c r="C647" s="137" t="s">
        <v>26</v>
      </c>
      <c r="D647" s="133" t="s">
        <v>40</v>
      </c>
      <c r="E647" s="136" t="s">
        <v>368</v>
      </c>
      <c r="F647" s="474" t="s">
        <v>375</v>
      </c>
      <c r="G647" s="303" t="str">
        <f>VLOOKUP(A647,Plano_V3!$A$26:$G$768,7,0)</f>
        <v>1. Concluído</v>
      </c>
      <c r="H647" s="135" t="s">
        <v>612</v>
      </c>
      <c r="I647" s="467"/>
      <c r="J647" s="142"/>
      <c r="K647" s="142"/>
      <c r="L647" s="153"/>
      <c r="M647" s="153"/>
      <c r="N647" s="142"/>
      <c r="O647" s="142" t="s">
        <v>2353</v>
      </c>
      <c r="P647" s="152" t="str">
        <f>IF(VLOOKUP(A638,'Aux - pivots1'!$A:$E,3,0)=0, "",VLOOKUP(A638,'Aux - pivots1'!$A:$E,3,0))</f>
        <v/>
      </c>
      <c r="Q647" s="152" t="str">
        <f>IF(VLOOKUP(A638,'Aux - pivots1'!$A:$E,4,0)=0, "",VLOOKUP(A638,'Aux - pivots1'!$A:$E,4,0))</f>
        <v/>
      </c>
      <c r="R647" s="152" t="str">
        <f>IF(VLOOKUP(A638,'Aux - pivots1'!$A:$E,5,0)=0, "",VLOOKUP(A638,'Aux - pivots1'!$A:$E,5,0))</f>
        <v/>
      </c>
      <c r="S647" s="198"/>
      <c r="T647" s="198"/>
      <c r="U647" s="198"/>
      <c r="V647" s="320"/>
      <c r="W647" s="320"/>
      <c r="X647" s="320"/>
      <c r="Y647" s="368" t="s">
        <v>2320</v>
      </c>
      <c r="Z647" s="319"/>
    </row>
    <row r="648" spans="1:26" ht="16.399999999999999" hidden="1" customHeight="1">
      <c r="A648" s="29" t="str">
        <f t="shared" si="9"/>
        <v>lt004_protectionmthd_usd_prtctn_scp_1</v>
      </c>
      <c r="B648" s="141" t="s">
        <v>26</v>
      </c>
      <c r="C648" s="137" t="s">
        <v>26</v>
      </c>
      <c r="D648" s="133" t="s">
        <v>40</v>
      </c>
      <c r="E648" s="136" t="s">
        <v>368</v>
      </c>
      <c r="F648" s="474" t="s">
        <v>376</v>
      </c>
      <c r="G648" s="303" t="str">
        <f>VLOOKUP(A648,Plano_V3!$A$26:$G$768,7,0)</f>
        <v>1. Concluído</v>
      </c>
      <c r="H648" s="135" t="s">
        <v>612</v>
      </c>
      <c r="I648" s="467"/>
      <c r="J648" s="142"/>
      <c r="K648" s="142"/>
      <c r="L648" s="153"/>
      <c r="M648" s="153"/>
      <c r="N648" s="142"/>
      <c r="O648" s="142" t="s">
        <v>2353</v>
      </c>
      <c r="P648" s="152" t="str">
        <f>IF(VLOOKUP(A639,'Aux - pivots1'!$A:$E,3,0)=0, "",VLOOKUP(A639,'Aux - pivots1'!$A:$E,3,0))</f>
        <v/>
      </c>
      <c r="Q648" s="152" t="str">
        <f>IF(VLOOKUP(A639,'Aux - pivots1'!$A:$E,4,0)=0, "",VLOOKUP(A639,'Aux - pivots1'!$A:$E,4,0))</f>
        <v/>
      </c>
      <c r="R648" s="152" t="str">
        <f>IF(VLOOKUP(A639,'Aux - pivots1'!$A:$E,5,0)=0, "",VLOOKUP(A639,'Aux - pivots1'!$A:$E,5,0))</f>
        <v/>
      </c>
      <c r="S648" s="198"/>
      <c r="T648" s="198"/>
      <c r="U648" s="198"/>
      <c r="V648" s="320"/>
      <c r="W648" s="320"/>
      <c r="X648" s="320"/>
      <c r="Y648" s="368" t="s">
        <v>2320</v>
      </c>
      <c r="Z648" s="319"/>
    </row>
    <row r="649" spans="1:26" ht="16.399999999999999" hidden="1" customHeight="1">
      <c r="A649" s="29" t="str">
        <f t="shared" si="9"/>
        <v>lt004_protectionmthd_usd_prtctn_scp_2</v>
      </c>
      <c r="B649" s="141" t="s">
        <v>26</v>
      </c>
      <c r="C649" s="137" t="s">
        <v>26</v>
      </c>
      <c r="D649" s="133" t="s">
        <v>40</v>
      </c>
      <c r="E649" s="136" t="s">
        <v>368</v>
      </c>
      <c r="F649" s="474" t="s">
        <v>377</v>
      </c>
      <c r="G649" s="303" t="str">
        <f>VLOOKUP(A649,Plano_V3!$A$26:$G$768,7,0)</f>
        <v>1. Concluído</v>
      </c>
      <c r="H649" s="135" t="s">
        <v>612</v>
      </c>
      <c r="I649" s="467"/>
      <c r="J649" s="142"/>
      <c r="K649" s="142"/>
      <c r="L649" s="153"/>
      <c r="M649" s="153"/>
      <c r="N649" s="142"/>
      <c r="O649" s="142" t="s">
        <v>2353</v>
      </c>
      <c r="P649" s="152" t="str">
        <f>IF(VLOOKUP(A640,'Aux - pivots1'!$A:$E,3,0)=0, "",VLOOKUP(A640,'Aux - pivots1'!$A:$E,3,0))</f>
        <v/>
      </c>
      <c r="Q649" s="152" t="str">
        <f>IF(VLOOKUP(A640,'Aux - pivots1'!$A:$E,4,0)=0, "",VLOOKUP(A640,'Aux - pivots1'!$A:$E,4,0))</f>
        <v/>
      </c>
      <c r="R649" s="152" t="str">
        <f>IF(VLOOKUP(A640,'Aux - pivots1'!$A:$E,5,0)=0, "",VLOOKUP(A640,'Aux - pivots1'!$A:$E,5,0))</f>
        <v/>
      </c>
      <c r="S649" s="198"/>
      <c r="T649" s="198"/>
      <c r="U649" s="198"/>
      <c r="V649" s="320"/>
      <c r="W649" s="320"/>
      <c r="X649" s="320"/>
      <c r="Y649" s="368" t="s">
        <v>2320</v>
      </c>
      <c r="Z649" s="319"/>
    </row>
    <row r="650" spans="1:26" ht="16.399999999999999" hidden="1" customHeight="1">
      <c r="A650" s="29" t="str">
        <f t="shared" si="9"/>
        <v>lt004_protectionmthd_usd_prtctn_scp_3</v>
      </c>
      <c r="B650" s="141" t="s">
        <v>26</v>
      </c>
      <c r="C650" s="137" t="s">
        <v>26</v>
      </c>
      <c r="D650" s="133" t="s">
        <v>40</v>
      </c>
      <c r="E650" s="136" t="s">
        <v>368</v>
      </c>
      <c r="F650" s="474" t="s">
        <v>378</v>
      </c>
      <c r="G650" s="303" t="str">
        <f>VLOOKUP(A650,Plano_V3!$A$26:$G$768,7,0)</f>
        <v>1. Concluído</v>
      </c>
      <c r="H650" s="135" t="s">
        <v>612</v>
      </c>
      <c r="I650" s="467"/>
      <c r="J650" s="142"/>
      <c r="K650" s="142"/>
      <c r="L650" s="153"/>
      <c r="M650" s="153"/>
      <c r="N650" s="142"/>
      <c r="O650" s="142" t="s">
        <v>2353</v>
      </c>
      <c r="P650" s="152" t="str">
        <f>IF(VLOOKUP(A641,'Aux - pivots1'!$A:$E,3,0)=0, "",VLOOKUP(A641,'Aux - pivots1'!$A:$E,3,0))</f>
        <v/>
      </c>
      <c r="Q650" s="152" t="str">
        <f>IF(VLOOKUP(A641,'Aux - pivots1'!$A:$E,4,0)=0, "",VLOOKUP(A641,'Aux - pivots1'!$A:$E,4,0))</f>
        <v/>
      </c>
      <c r="R650" s="152" t="str">
        <f>IF(VLOOKUP(A641,'Aux - pivots1'!$A:$E,5,0)=0, "",VLOOKUP(A641,'Aux - pivots1'!$A:$E,5,0))</f>
        <v/>
      </c>
      <c r="S650" s="198"/>
      <c r="T650" s="198"/>
      <c r="U650" s="198"/>
      <c r="V650" s="320"/>
      <c r="W650" s="320"/>
      <c r="X650" s="320"/>
      <c r="Y650" s="368" t="s">
        <v>2320</v>
      </c>
      <c r="Z650" s="319"/>
    </row>
    <row r="651" spans="1:26" ht="16.399999999999999" hidden="1" customHeight="1">
      <c r="A651" s="29" t="str">
        <f t="shared" si="9"/>
        <v>lt002_instrumentrsk_mtgtd_cct</v>
      </c>
      <c r="B651" s="141" t="s">
        <v>26</v>
      </c>
      <c r="C651" s="137" t="s">
        <v>26</v>
      </c>
      <c r="D651" s="133" t="s">
        <v>40</v>
      </c>
      <c r="E651" s="136" t="s">
        <v>379</v>
      </c>
      <c r="F651" s="474" t="s">
        <v>380</v>
      </c>
      <c r="G651" s="479" t="str">
        <f>VLOOKUP(A651,Plano_V3!$A$26:$G$768,7,0)</f>
        <v>1. Concluído</v>
      </c>
      <c r="H651" s="135" t="s">
        <v>612</v>
      </c>
      <c r="I651" s="467"/>
      <c r="J651" s="142"/>
      <c r="K651" s="142"/>
      <c r="L651" s="153"/>
      <c r="M651" s="153"/>
      <c r="N651" s="142"/>
      <c r="O651" s="142"/>
      <c r="P651" s="152" t="str">
        <f>IF(VLOOKUP(A642,'Aux - pivots1'!$A:$E,3,0)=0, "",VLOOKUP(A642,'Aux - pivots1'!$A:$E,3,0))</f>
        <v/>
      </c>
      <c r="Q651" s="152" t="str">
        <f>IF(VLOOKUP(A642,'Aux - pivots1'!$A:$E,4,0)=0, "",VLOOKUP(A642,'Aux - pivots1'!$A:$E,4,0))</f>
        <v/>
      </c>
      <c r="R651" s="152" t="str">
        <f>IF(VLOOKUP(A642,'Aux - pivots1'!$A:$E,5,0)=0, "",VLOOKUP(A642,'Aux - pivots1'!$A:$E,5,0))</f>
        <v/>
      </c>
      <c r="S651" s="198">
        <v>45595</v>
      </c>
      <c r="T651" s="198"/>
      <c r="U651" s="198"/>
      <c r="V651" s="320"/>
      <c r="W651" s="320"/>
      <c r="X651" s="320"/>
      <c r="Y651" s="368" t="s">
        <v>2320</v>
      </c>
      <c r="Z651" s="319"/>
    </row>
    <row r="652" spans="1:26" ht="16.399999999999999" hidden="1" customHeight="1">
      <c r="A652" s="29" t="str">
        <f t="shared" si="9"/>
        <v>lt007_instr_activityenvrnmntl_objctv</v>
      </c>
      <c r="B652" s="141" t="s">
        <v>26</v>
      </c>
      <c r="C652" s="137" t="s">
        <v>26</v>
      </c>
      <c r="D652" s="133" t="s">
        <v>40</v>
      </c>
      <c r="E652" s="136" t="s">
        <v>1859</v>
      </c>
      <c r="F652" s="474" t="s">
        <v>382</v>
      </c>
      <c r="G652" s="479" t="str">
        <f>VLOOKUP(A652,Plano_V3!$A$26:$G$768,7,0)</f>
        <v>1. Concluído</v>
      </c>
      <c r="H652" s="135" t="s">
        <v>612</v>
      </c>
      <c r="I652" s="467"/>
      <c r="J652" s="142"/>
      <c r="K652" s="142"/>
      <c r="L652" s="153"/>
      <c r="M652" s="153"/>
      <c r="N652" s="142"/>
      <c r="O652" s="142"/>
      <c r="P652" s="152" t="str">
        <f>IF(VLOOKUP(A643,'Aux - pivots1'!$A:$E,3,0)=0, "",VLOOKUP(A643,'Aux - pivots1'!$A:$E,3,0))</f>
        <v/>
      </c>
      <c r="Q652" s="152" t="str">
        <f>IF(VLOOKUP(A643,'Aux - pivots1'!$A:$E,4,0)=0, "",VLOOKUP(A643,'Aux - pivots1'!$A:$E,4,0))</f>
        <v/>
      </c>
      <c r="R652" s="152" t="str">
        <f>IF(VLOOKUP(A643,'Aux - pivots1'!$A:$E,5,0)=0, "",VLOOKUP(A643,'Aux - pivots1'!$A:$E,5,0))</f>
        <v/>
      </c>
      <c r="S652" s="198">
        <v>45593</v>
      </c>
      <c r="T652" s="198"/>
      <c r="U652" s="198"/>
      <c r="V652" s="320"/>
      <c r="W652" s="320"/>
      <c r="X652" s="320"/>
      <c r="Y652" s="368" t="s">
        <v>2320</v>
      </c>
      <c r="Z652" s="319" t="s">
        <v>2312</v>
      </c>
    </row>
    <row r="653" spans="1:26" ht="16.399999999999999" hidden="1" customHeight="1">
      <c r="A653" s="29" t="str">
        <f t="shared" ref="A653:A715" si="10">E653&amp;F653</f>
        <v>lt007_instr_activitytyp_actvty</v>
      </c>
      <c r="B653" s="141" t="s">
        <v>26</v>
      </c>
      <c r="C653" s="137" t="s">
        <v>26</v>
      </c>
      <c r="D653" s="133" t="s">
        <v>40</v>
      </c>
      <c r="E653" s="136" t="s">
        <v>1859</v>
      </c>
      <c r="F653" s="474" t="s">
        <v>383</v>
      </c>
      <c r="G653" s="479" t="str">
        <f>VLOOKUP(A653,Plano_V3!$A$26:$G$768,7,0)</f>
        <v>1. Concluído</v>
      </c>
      <c r="H653" s="135" t="s">
        <v>612</v>
      </c>
      <c r="I653" s="467"/>
      <c r="J653" s="142"/>
      <c r="K653" s="142"/>
      <c r="L653" s="153"/>
      <c r="M653" s="153"/>
      <c r="N653" s="142"/>
      <c r="O653" s="142"/>
      <c r="P653" s="152" t="str">
        <f>IF(VLOOKUP(A644,'Aux - pivots1'!$A:$E,3,0)=0, "",VLOOKUP(A644,'Aux - pivots1'!$A:$E,3,0))</f>
        <v/>
      </c>
      <c r="Q653" s="152" t="str">
        <f>IF(VLOOKUP(A644,'Aux - pivots1'!$A:$E,4,0)=0, "",VLOOKUP(A644,'Aux - pivots1'!$A:$E,4,0))</f>
        <v/>
      </c>
      <c r="R653" s="152" t="str">
        <f>IF(VLOOKUP(A644,'Aux - pivots1'!$A:$E,5,0)=0, "",VLOOKUP(A644,'Aux - pivots1'!$A:$E,5,0))</f>
        <v/>
      </c>
      <c r="S653" s="198">
        <v>45593</v>
      </c>
      <c r="T653" s="198"/>
      <c r="U653" s="198"/>
      <c r="V653" s="320"/>
      <c r="W653" s="320"/>
      <c r="X653" s="320"/>
      <c r="Y653" s="368" t="s">
        <v>2320</v>
      </c>
      <c r="Z653" s="319" t="s">
        <v>2312</v>
      </c>
    </row>
    <row r="654" spans="1:26" ht="16.399999999999999" hidden="1" customHeight="1">
      <c r="A654" s="29" t="str">
        <f t="shared" si="10"/>
        <v>lt002_instrumentlns_clltrlzd_clssfctn</v>
      </c>
      <c r="B654" s="141" t="s">
        <v>26</v>
      </c>
      <c r="C654" s="137" t="s">
        <v>26</v>
      </c>
      <c r="D654" s="133" t="s">
        <v>40</v>
      </c>
      <c r="E654" s="136" t="s">
        <v>379</v>
      </c>
      <c r="F654" s="474" t="s">
        <v>384</v>
      </c>
      <c r="G654" s="479" t="str">
        <f>VLOOKUP(A654,Plano_V3!$A$26:$G$768,7,0)</f>
        <v>1. Concluído</v>
      </c>
      <c r="H654" s="135" t="s">
        <v>612</v>
      </c>
      <c r="I654" s="467"/>
      <c r="J654" s="142"/>
      <c r="K654" s="142"/>
      <c r="L654" s="153"/>
      <c r="M654" s="153"/>
      <c r="N654" s="142"/>
      <c r="O654" s="142"/>
      <c r="P654" s="152" t="str">
        <f>IF(VLOOKUP(A645,'Aux - pivots1'!$A:$E,3,0)=0, "",VLOOKUP(A645,'Aux - pivots1'!$A:$E,3,0))</f>
        <v/>
      </c>
      <c r="Q654" s="152" t="str">
        <f>IF(VLOOKUP(A645,'Aux - pivots1'!$A:$E,4,0)=0, "",VLOOKUP(A645,'Aux - pivots1'!$A:$E,4,0))</f>
        <v/>
      </c>
      <c r="R654" s="152" t="str">
        <f>IF(VLOOKUP(A645,'Aux - pivots1'!$A:$E,5,0)=0, "",VLOOKUP(A645,'Aux - pivots1'!$A:$E,5,0))</f>
        <v/>
      </c>
      <c r="S654" s="198"/>
      <c r="T654" s="198"/>
      <c r="U654" s="198"/>
      <c r="V654" s="320"/>
      <c r="W654" s="320"/>
      <c r="X654" s="320"/>
      <c r="Y654" s="368" t="s">
        <v>2320</v>
      </c>
      <c r="Z654" s="319"/>
    </row>
    <row r="655" spans="1:26" ht="16.399999999999999" hidden="1" customHeight="1">
      <c r="A655" s="29" t="str">
        <f t="shared" si="10"/>
        <v>lt827_mthd_usd_instrmntambito</v>
      </c>
      <c r="B655" s="141" t="s">
        <v>26</v>
      </c>
      <c r="C655" s="137" t="s">
        <v>26</v>
      </c>
      <c r="D655" s="133" t="s">
        <v>40</v>
      </c>
      <c r="E655" s="136" t="s">
        <v>1860</v>
      </c>
      <c r="F655" s="474" t="s">
        <v>390</v>
      </c>
      <c r="G655" s="479" t="str">
        <f>VLOOKUP(A655,Plano_V3!$A$26:$G$768,7,0)</f>
        <v>1. Concluído</v>
      </c>
      <c r="H655" s="135" t="s">
        <v>612</v>
      </c>
      <c r="I655" s="467"/>
      <c r="J655" s="142"/>
      <c r="K655" s="142"/>
      <c r="L655" s="153"/>
      <c r="M655" s="153"/>
      <c r="N655" s="142"/>
      <c r="O655" s="142"/>
      <c r="P655" s="152" t="str">
        <f>IF(VLOOKUP(A647,'Aux - pivots1'!$A:$E,3,0)=0, "",VLOOKUP(A647,'Aux - pivots1'!$A:$E,3,0))</f>
        <v/>
      </c>
      <c r="Q655" s="152" t="str">
        <f>IF(VLOOKUP(A647,'Aux - pivots1'!$A:$E,4,0)=0, "",VLOOKUP(A647,'Aux - pivots1'!$A:$E,4,0))</f>
        <v/>
      </c>
      <c r="R655" s="152" t="str">
        <f>IF(VLOOKUP(A647,'Aux - pivots1'!$A:$E,5,0)=0, "",VLOOKUP(A647,'Aux - pivots1'!$A:$E,5,0))</f>
        <v/>
      </c>
      <c r="S655" s="198">
        <v>45593</v>
      </c>
      <c r="T655" s="198"/>
      <c r="U655" s="198"/>
      <c r="V655" s="320"/>
      <c r="W655" s="320"/>
      <c r="X655" s="320"/>
      <c r="Y655" s="368" t="s">
        <v>2320</v>
      </c>
      <c r="Z655" s="319"/>
    </row>
    <row r="656" spans="1:26" ht="16.5" hidden="1" customHeight="1">
      <c r="A656" s="29" t="str">
        <f t="shared" si="10"/>
        <v>lt827_mthd_usd_instrmntref_date</v>
      </c>
      <c r="B656" s="141" t="s">
        <v>26</v>
      </c>
      <c r="C656" s="137" t="s">
        <v>26</v>
      </c>
      <c r="D656" s="133" t="s">
        <v>40</v>
      </c>
      <c r="E656" s="136" t="s">
        <v>1860</v>
      </c>
      <c r="F656" s="474" t="s">
        <v>208</v>
      </c>
      <c r="G656" s="479" t="str">
        <f>VLOOKUP(A656,Plano_V3!$A$26:$G$768,7,0)</f>
        <v>1. Concluído</v>
      </c>
      <c r="H656" s="135" t="s">
        <v>612</v>
      </c>
      <c r="I656" s="467"/>
      <c r="J656" s="142"/>
      <c r="K656" s="142"/>
      <c r="L656" s="153"/>
      <c r="M656" s="153"/>
      <c r="N656" s="142"/>
      <c r="O656" s="142"/>
      <c r="P656" s="152" t="str">
        <f>IF(VLOOKUP(A648,'Aux - pivots1'!$A:$E,3,0)=0, "",VLOOKUP(A648,'Aux - pivots1'!$A:$E,3,0))</f>
        <v/>
      </c>
      <c r="Q656" s="152" t="str">
        <f>IF(VLOOKUP(A648,'Aux - pivots1'!$A:$E,4,0)=0, "",VLOOKUP(A648,'Aux - pivots1'!$A:$E,4,0))</f>
        <v/>
      </c>
      <c r="R656" s="152" t="str">
        <f>IF(VLOOKUP(A648,'Aux - pivots1'!$A:$E,5,0)=0, "",VLOOKUP(A648,'Aux - pivots1'!$A:$E,5,0))</f>
        <v/>
      </c>
      <c r="S656" s="198">
        <v>45593</v>
      </c>
      <c r="T656" s="198"/>
      <c r="U656" s="198"/>
      <c r="V656" s="320"/>
      <c r="W656" s="320"/>
      <c r="X656" s="320"/>
      <c r="Y656" s="368" t="s">
        <v>2320</v>
      </c>
      <c r="Z656" s="319"/>
    </row>
    <row r="657" spans="1:26" ht="16.5" hidden="1" customHeight="1">
      <c r="A657" s="29" t="str">
        <f t="shared" si="10"/>
        <v>lt827_mthd_usd_instrmntordem</v>
      </c>
      <c r="B657" s="141" t="s">
        <v>26</v>
      </c>
      <c r="C657" s="137" t="s">
        <v>26</v>
      </c>
      <c r="D657" s="133" t="s">
        <v>40</v>
      </c>
      <c r="E657" s="136" t="s">
        <v>1860</v>
      </c>
      <c r="F657" s="474" t="s">
        <v>211</v>
      </c>
      <c r="G657" s="135" t="str">
        <f>VLOOKUP(A657,Plano_V3!$A$26:$G$768,7,0)</f>
        <v>1. Concluído</v>
      </c>
      <c r="H657" s="135" t="s">
        <v>612</v>
      </c>
      <c r="I657" s="467"/>
      <c r="J657" s="142"/>
      <c r="K657" s="142"/>
      <c r="L657" s="153"/>
      <c r="M657" s="153"/>
      <c r="N657" s="142"/>
      <c r="O657" s="142"/>
      <c r="P657" s="152" t="str">
        <f>IF(VLOOKUP(A649,'Aux - pivots1'!$A:$E,3,0)=0, "",VLOOKUP(A649,'Aux - pivots1'!$A:$E,3,0))</f>
        <v/>
      </c>
      <c r="Q657" s="152" t="str">
        <f>IF(VLOOKUP(A649,'Aux - pivots1'!$A:$E,4,0)=0, "",VLOOKUP(A649,'Aux - pivots1'!$A:$E,4,0))</f>
        <v/>
      </c>
      <c r="R657" s="152" t="str">
        <f>IF(VLOOKUP(A649,'Aux - pivots1'!$A:$E,5,0)=0, "",VLOOKUP(A649,'Aux - pivots1'!$A:$E,5,0))</f>
        <v/>
      </c>
      <c r="S657" s="198">
        <v>45593</v>
      </c>
      <c r="T657" s="198"/>
      <c r="U657" s="198"/>
      <c r="V657" s="320"/>
      <c r="W657" s="320"/>
      <c r="X657" s="320"/>
      <c r="Y657" s="368" t="s">
        <v>2320</v>
      </c>
      <c r="Z657" s="319"/>
    </row>
    <row r="658" spans="1:26" ht="16.399999999999999" hidden="1" customHeight="1">
      <c r="A658" s="29" t="str">
        <f t="shared" si="10"/>
        <v>lt827_mthd_usd_instrmnttabela</v>
      </c>
      <c r="B658" s="141" t="s">
        <v>26</v>
      </c>
      <c r="C658" s="137" t="s">
        <v>26</v>
      </c>
      <c r="D658" s="133" t="s">
        <v>40</v>
      </c>
      <c r="E658" s="136" t="s">
        <v>1860</v>
      </c>
      <c r="F658" s="474" t="s">
        <v>391</v>
      </c>
      <c r="G658" s="135" t="str">
        <f>VLOOKUP(A658,Plano_V3!$A$26:$G$768,7,0)</f>
        <v>1. Concluído</v>
      </c>
      <c r="H658" s="135" t="s">
        <v>612</v>
      </c>
      <c r="I658" s="467"/>
      <c r="J658" s="142"/>
      <c r="K658" s="142"/>
      <c r="L658" s="153"/>
      <c r="M658" s="153"/>
      <c r="N658" s="142"/>
      <c r="O658" s="142"/>
      <c r="P658" s="152" t="str">
        <f>IF(VLOOKUP(A650,'Aux - pivots1'!$A:$E,3,0)=0, "",VLOOKUP(A650,'Aux - pivots1'!$A:$E,3,0))</f>
        <v/>
      </c>
      <c r="Q658" s="152" t="str">
        <f>IF(VLOOKUP(A650,'Aux - pivots1'!$A:$E,4,0)=0, "",VLOOKUP(A650,'Aux - pivots1'!$A:$E,4,0))</f>
        <v/>
      </c>
      <c r="R658" s="152" t="str">
        <f>IF(VLOOKUP(A650,'Aux - pivots1'!$A:$E,5,0)=0, "",VLOOKUP(A650,'Aux - pivots1'!$A:$E,5,0))</f>
        <v/>
      </c>
      <c r="S658" s="198">
        <v>45593</v>
      </c>
      <c r="T658" s="198"/>
      <c r="U658" s="198"/>
      <c r="V658" s="320"/>
      <c r="W658" s="320"/>
      <c r="X658" s="320"/>
      <c r="Y658" s="368" t="s">
        <v>2320</v>
      </c>
      <c r="Z658" s="319"/>
    </row>
    <row r="659" spans="1:26" ht="16.399999999999999" hidden="1" customHeight="1">
      <c r="A659" s="29" t="str">
        <f t="shared" si="10"/>
        <v>lt827_mthd_usd_instrmntorigem_scp1_emss</v>
      </c>
      <c r="B659" s="141" t="s">
        <v>26</v>
      </c>
      <c r="C659" s="137" t="s">
        <v>26</v>
      </c>
      <c r="D659" s="133" t="s">
        <v>40</v>
      </c>
      <c r="E659" s="136" t="s">
        <v>1860</v>
      </c>
      <c r="F659" s="474" t="s">
        <v>319</v>
      </c>
      <c r="G659" s="135" t="str">
        <f>VLOOKUP(A659,Plano_V3!$A$26:$G$768,7,0)</f>
        <v>1. Concluído</v>
      </c>
      <c r="H659" s="135" t="s">
        <v>612</v>
      </c>
      <c r="I659" s="467"/>
      <c r="J659" s="142"/>
      <c r="K659" s="142"/>
      <c r="L659" s="153"/>
      <c r="M659" s="153"/>
      <c r="N659" s="142"/>
      <c r="O659" s="142"/>
      <c r="P659" s="152" t="str">
        <f>IF(VLOOKUP(A651,'Aux - pivots1'!$A:$E,3,0)=0, "",VLOOKUP(A651,'Aux - pivots1'!$A:$E,3,0))</f>
        <v/>
      </c>
      <c r="Q659" s="152" t="str">
        <f>IF(VLOOKUP(A651,'Aux - pivots1'!$A:$E,4,0)=0, "",VLOOKUP(A651,'Aux - pivots1'!$A:$E,4,0))</f>
        <v/>
      </c>
      <c r="R659" s="152" t="str">
        <f>IF(VLOOKUP(A651,'Aux - pivots1'!$A:$E,5,0)=0, "",VLOOKUP(A651,'Aux - pivots1'!$A:$E,5,0))</f>
        <v/>
      </c>
      <c r="S659" s="198">
        <v>45593</v>
      </c>
      <c r="T659" s="198"/>
      <c r="U659" s="198"/>
      <c r="V659" s="320"/>
      <c r="W659" s="320"/>
      <c r="X659" s="320"/>
      <c r="Y659" s="368" t="s">
        <v>2320</v>
      </c>
      <c r="Z659" s="319"/>
    </row>
    <row r="660" spans="1:26" ht="16.399999999999999" hidden="1" customHeight="1">
      <c r="A660" s="29" t="str">
        <f t="shared" si="10"/>
        <v>lt827_mthd_usd_instrmntorigem_scp2_emss</v>
      </c>
      <c r="B660" s="141" t="s">
        <v>26</v>
      </c>
      <c r="C660" s="137" t="s">
        <v>26</v>
      </c>
      <c r="D660" s="133" t="s">
        <v>40</v>
      </c>
      <c r="E660" s="136" t="s">
        <v>1860</v>
      </c>
      <c r="F660" s="474" t="s">
        <v>320</v>
      </c>
      <c r="G660" s="135" t="str">
        <f>VLOOKUP(A660,Plano_V3!$A$26:$G$768,7,0)</f>
        <v>1. Concluído</v>
      </c>
      <c r="H660" s="135" t="s">
        <v>612</v>
      </c>
      <c r="I660" s="467"/>
      <c r="J660" s="142"/>
      <c r="K660" s="142"/>
      <c r="L660" s="153"/>
      <c r="M660" s="153"/>
      <c r="N660" s="142"/>
      <c r="O660" s="142"/>
      <c r="P660" s="152" t="str">
        <f>IF(VLOOKUP(A652,'Aux - pivots1'!$A:$E,3,0)=0, "",VLOOKUP(A652,'Aux - pivots1'!$A:$E,3,0))</f>
        <v/>
      </c>
      <c r="Q660" s="152" t="str">
        <f>IF(VLOOKUP(A652,'Aux - pivots1'!$A:$E,4,0)=0, "",VLOOKUP(A652,'Aux - pivots1'!$A:$E,4,0))</f>
        <v/>
      </c>
      <c r="R660" s="152" t="str">
        <f>IF(VLOOKUP(A652,'Aux - pivots1'!$A:$E,5,0)=0, "",VLOOKUP(A652,'Aux - pivots1'!$A:$E,5,0))</f>
        <v/>
      </c>
      <c r="S660" s="198">
        <v>45593</v>
      </c>
      <c r="T660" s="198"/>
      <c r="U660" s="198"/>
      <c r="V660" s="320"/>
      <c r="W660" s="320"/>
      <c r="X660" s="320"/>
      <c r="Y660" s="368" t="s">
        <v>2320</v>
      </c>
      <c r="Z660" s="319"/>
    </row>
    <row r="661" spans="1:26" ht="16.399999999999999" hidden="1" customHeight="1">
      <c r="A661" s="29" t="str">
        <f t="shared" si="10"/>
        <v>lt827_mthd_usd_instrmntorigem_scp3_emss</v>
      </c>
      <c r="B661" s="141" t="s">
        <v>26</v>
      </c>
      <c r="C661" s="137" t="s">
        <v>26</v>
      </c>
      <c r="D661" s="133" t="s">
        <v>40</v>
      </c>
      <c r="E661" s="136" t="s">
        <v>1860</v>
      </c>
      <c r="F661" s="474" t="s">
        <v>321</v>
      </c>
      <c r="G661" s="135" t="str">
        <f>VLOOKUP(A661,Plano_V3!$A$26:$G$768,7,0)</f>
        <v>1. Concluído</v>
      </c>
      <c r="H661" s="135" t="s">
        <v>612</v>
      </c>
      <c r="I661" s="467"/>
      <c r="J661" s="142"/>
      <c r="K661" s="142"/>
      <c r="L661" s="153"/>
      <c r="M661" s="153"/>
      <c r="N661" s="142"/>
      <c r="O661" s="142"/>
      <c r="P661" s="152" t="str">
        <f>IF(VLOOKUP(A653,'Aux - pivots1'!$A:$E,3,0)=0, "",VLOOKUP(A653,'Aux - pivots1'!$A:$E,3,0))</f>
        <v/>
      </c>
      <c r="Q661" s="152" t="str">
        <f>IF(VLOOKUP(A653,'Aux - pivots1'!$A:$E,4,0)=0, "",VLOOKUP(A653,'Aux - pivots1'!$A:$E,4,0))</f>
        <v/>
      </c>
      <c r="R661" s="152" t="str">
        <f>IF(VLOOKUP(A653,'Aux - pivots1'!$A:$E,5,0)=0, "",VLOOKUP(A653,'Aux - pivots1'!$A:$E,5,0))</f>
        <v/>
      </c>
      <c r="S661" s="198">
        <v>45593</v>
      </c>
      <c r="T661" s="198"/>
      <c r="U661" s="198"/>
      <c r="V661" s="320"/>
      <c r="W661" s="320"/>
      <c r="X661" s="320"/>
      <c r="Y661" s="368" t="s">
        <v>2320</v>
      </c>
      <c r="Z661" s="319"/>
    </row>
    <row r="662" spans="1:26" ht="16.399999999999999" hidden="1" customHeight="1">
      <c r="A662" s="29" t="str">
        <f t="shared" si="10"/>
        <v>lt827_mthd_usd_instrmntmthd_usd_instrmnt_scp_1</v>
      </c>
      <c r="B662" s="141" t="s">
        <v>26</v>
      </c>
      <c r="C662" s="137" t="s">
        <v>26</v>
      </c>
      <c r="D662" s="133" t="s">
        <v>40</v>
      </c>
      <c r="E662" s="136" t="s">
        <v>1860</v>
      </c>
      <c r="F662" s="474" t="s">
        <v>385</v>
      </c>
      <c r="G662" s="135" t="str">
        <f>VLOOKUP(A662,Plano_V3!$A$26:$G$768,7,0)</f>
        <v>1. Concluído</v>
      </c>
      <c r="H662" s="135" t="s">
        <v>612</v>
      </c>
      <c r="I662" s="467"/>
      <c r="J662" s="142"/>
      <c r="K662" s="142"/>
      <c r="L662" s="153"/>
      <c r="M662" s="153"/>
      <c r="N662" s="142"/>
      <c r="O662" s="142"/>
      <c r="P662" s="152" t="str">
        <f>IF(VLOOKUP(A654,'Aux - pivots1'!$A:$E,3,0)=0, "",VLOOKUP(A654,'Aux - pivots1'!$A:$E,3,0))</f>
        <v/>
      </c>
      <c r="Q662" s="152" t="str">
        <f>IF(VLOOKUP(A654,'Aux - pivots1'!$A:$E,4,0)=0, "",VLOOKUP(A654,'Aux - pivots1'!$A:$E,4,0))</f>
        <v/>
      </c>
      <c r="R662" s="152" t="str">
        <f>IF(VLOOKUP(A654,'Aux - pivots1'!$A:$E,5,0)=0, "",VLOOKUP(A654,'Aux - pivots1'!$A:$E,5,0))</f>
        <v/>
      </c>
      <c r="S662" s="198">
        <v>45593</v>
      </c>
      <c r="T662" s="198"/>
      <c r="U662" s="198"/>
      <c r="V662" s="320"/>
      <c r="W662" s="320"/>
      <c r="X662" s="320"/>
      <c r="Y662" s="368" t="s">
        <v>2320</v>
      </c>
      <c r="Z662" s="319"/>
    </row>
    <row r="663" spans="1:26" ht="16.399999999999999" hidden="1" customHeight="1">
      <c r="A663" s="29" t="str">
        <f t="shared" si="10"/>
        <v>lt827_mthd_usd_instrmntmthd_usd_instrmnt_scp_2</v>
      </c>
      <c r="B663" s="141" t="s">
        <v>26</v>
      </c>
      <c r="C663" s="137" t="s">
        <v>26</v>
      </c>
      <c r="D663" s="133" t="s">
        <v>40</v>
      </c>
      <c r="E663" s="136" t="s">
        <v>1860</v>
      </c>
      <c r="F663" s="474" t="s">
        <v>386</v>
      </c>
      <c r="G663" s="135" t="str">
        <f>VLOOKUP(A663,Plano_V3!$A$26:$G$768,7,0)</f>
        <v>1. Concluído</v>
      </c>
      <c r="H663" s="135" t="s">
        <v>612</v>
      </c>
      <c r="I663" s="467"/>
      <c r="J663" s="142"/>
      <c r="K663" s="142"/>
      <c r="L663" s="153"/>
      <c r="M663" s="153"/>
      <c r="N663" s="142"/>
      <c r="O663" s="142"/>
      <c r="P663" s="152" t="e">
        <f>IF(VLOOKUP(#REF!,'Aux - pivots1'!$A:$E,3,0)=0, "",VLOOKUP(#REF!,'Aux - pivots1'!$A:$E,3,0))</f>
        <v>#REF!</v>
      </c>
      <c r="Q663" s="152" t="e">
        <f>IF(VLOOKUP(#REF!,'Aux - pivots1'!$A:$E,4,0)=0, "",VLOOKUP(#REF!,'Aux - pivots1'!$A:$E,4,0))</f>
        <v>#REF!</v>
      </c>
      <c r="R663" s="152" t="e">
        <f>IF(VLOOKUP(#REF!,'Aux - pivots1'!$A:$E,5,0)=0, "",VLOOKUP(#REF!,'Aux - pivots1'!$A:$E,5,0))</f>
        <v>#REF!</v>
      </c>
      <c r="S663" s="198">
        <v>45593</v>
      </c>
      <c r="T663" s="198"/>
      <c r="U663" s="198"/>
      <c r="V663" s="320"/>
      <c r="W663" s="320"/>
      <c r="X663" s="320"/>
      <c r="Y663" s="368" t="s">
        <v>2320</v>
      </c>
      <c r="Z663" s="319"/>
    </row>
    <row r="664" spans="1:26" ht="16.399999999999999" hidden="1" customHeight="1">
      <c r="A664" s="29" t="str">
        <f t="shared" si="10"/>
        <v>lt827_mthd_usd_instrmntmthd_usd_instrmnt_scp_3</v>
      </c>
      <c r="B664" s="141" t="s">
        <v>26</v>
      </c>
      <c r="C664" s="137" t="s">
        <v>26</v>
      </c>
      <c r="D664" s="133" t="s">
        <v>40</v>
      </c>
      <c r="E664" s="136" t="s">
        <v>1860</v>
      </c>
      <c r="F664" s="474" t="s">
        <v>387</v>
      </c>
      <c r="G664" s="135" t="str">
        <f>VLOOKUP(A664,Plano_V3!$A$26:$G$768,7,0)</f>
        <v>1. Concluído</v>
      </c>
      <c r="H664" s="135" t="s">
        <v>612</v>
      </c>
      <c r="I664" s="467"/>
      <c r="J664" s="142"/>
      <c r="K664" s="142"/>
      <c r="L664" s="153"/>
      <c r="M664" s="153"/>
      <c r="N664" s="142"/>
      <c r="O664" s="142"/>
      <c r="P664" s="152" t="str">
        <f>IF(VLOOKUP(A655,'Aux - pivots1'!$A:$E,3,0)=0, "",VLOOKUP(A655,'Aux - pivots1'!$A:$E,3,0))</f>
        <v/>
      </c>
      <c r="Q664" s="152" t="str">
        <f>IF(VLOOKUP(A655,'Aux - pivots1'!$A:$E,4,0)=0, "",VLOOKUP(A655,'Aux - pivots1'!$A:$E,4,0))</f>
        <v/>
      </c>
      <c r="R664" s="152" t="str">
        <f>IF(VLOOKUP(A655,'Aux - pivots1'!$A:$E,5,0)=0, "",VLOOKUP(A655,'Aux - pivots1'!$A:$E,5,0))</f>
        <v/>
      </c>
      <c r="S664" s="198">
        <v>45593</v>
      </c>
      <c r="T664" s="198"/>
      <c r="U664" s="198"/>
      <c r="V664" s="320"/>
      <c r="W664" s="320"/>
      <c r="X664" s="320"/>
      <c r="Y664" s="368" t="s">
        <v>2320</v>
      </c>
      <c r="Z664" s="319"/>
    </row>
    <row r="665" spans="1:26" ht="16.399999999999999" hidden="1" customHeight="1">
      <c r="A665" s="29" t="str">
        <f t="shared" si="10"/>
        <v>lt827_mthd_usd_instrmntpurpose_code</v>
      </c>
      <c r="B665" s="141" t="s">
        <v>26</v>
      </c>
      <c r="C665" s="137" t="s">
        <v>26</v>
      </c>
      <c r="D665" s="133" t="s">
        <v>40</v>
      </c>
      <c r="E665" s="136" t="s">
        <v>1860</v>
      </c>
      <c r="F665" s="474" t="s">
        <v>1846</v>
      </c>
      <c r="G665" s="135" t="str">
        <f>VLOOKUP(A665,Plano_V3!$A$26:$G$768,7,0)</f>
        <v>1. Concluído</v>
      </c>
      <c r="H665" s="135" t="s">
        <v>612</v>
      </c>
      <c r="I665" s="467"/>
      <c r="J665" s="142"/>
      <c r="K665" s="142"/>
      <c r="L665" s="153"/>
      <c r="M665" s="153"/>
      <c r="N665" s="142"/>
      <c r="O665" s="142"/>
      <c r="P665" s="152" t="str">
        <f>IF(VLOOKUP(A656,'Aux - pivots1'!$A:$E,3,0)=0, "",VLOOKUP(A656,'Aux - pivots1'!$A:$E,3,0))</f>
        <v/>
      </c>
      <c r="Q665" s="152" t="str">
        <f>IF(VLOOKUP(A656,'Aux - pivots1'!$A:$E,4,0)=0, "",VLOOKUP(A656,'Aux - pivots1'!$A:$E,4,0))</f>
        <v/>
      </c>
      <c r="R665" s="152" t="str">
        <f>IF(VLOOKUP(A656,'Aux - pivots1'!$A:$E,5,0)=0, "",VLOOKUP(A656,'Aux - pivots1'!$A:$E,5,0))</f>
        <v/>
      </c>
      <c r="S665" s="198"/>
      <c r="T665" s="198"/>
      <c r="U665" s="198"/>
      <c r="V665" s="320"/>
      <c r="W665" s="320"/>
      <c r="X665" s="320"/>
      <c r="Y665" s="368" t="s">
        <v>2320</v>
      </c>
      <c r="Z665" s="319"/>
    </row>
    <row r="666" spans="1:26" ht="16.399999999999999" hidden="1" customHeight="1">
      <c r="A666" s="29" t="str">
        <f t="shared" si="10"/>
        <v>lt827_mthd_usd_instrmntflg_fin</v>
      </c>
      <c r="B666" s="141" t="s">
        <v>26</v>
      </c>
      <c r="C666" s="137" t="s">
        <v>26</v>
      </c>
      <c r="D666" s="133" t="s">
        <v>40</v>
      </c>
      <c r="E666" s="136" t="s">
        <v>1860</v>
      </c>
      <c r="F666" s="474" t="s">
        <v>480</v>
      </c>
      <c r="G666" s="135" t="str">
        <f>VLOOKUP(A666,Plano_V3!$A$26:$G$768,7,0)</f>
        <v>1. Concluído</v>
      </c>
      <c r="H666" s="135" t="s">
        <v>612</v>
      </c>
      <c r="I666" s="467"/>
      <c r="J666" s="142"/>
      <c r="K666" s="142"/>
      <c r="L666" s="153"/>
      <c r="M666" s="153"/>
      <c r="N666" s="142"/>
      <c r="O666" s="142"/>
      <c r="P666" s="152" t="str">
        <f>IF(VLOOKUP(A657,'Aux - pivots1'!$A:$E,3,0)=0, "",VLOOKUP(A657,'Aux - pivots1'!$A:$E,3,0))</f>
        <v/>
      </c>
      <c r="Q666" s="152" t="str">
        <f>IF(VLOOKUP(A657,'Aux - pivots1'!$A:$E,4,0)=0, "",VLOOKUP(A657,'Aux - pivots1'!$A:$E,4,0))</f>
        <v/>
      </c>
      <c r="R666" s="152" t="str">
        <f>IF(VLOOKUP(A657,'Aux - pivots1'!$A:$E,5,0)=0, "",VLOOKUP(A657,'Aux - pivots1'!$A:$E,5,0))</f>
        <v/>
      </c>
      <c r="S666" s="198"/>
      <c r="T666" s="198"/>
      <c r="U666" s="198"/>
      <c r="V666" s="320"/>
      <c r="W666" s="320"/>
      <c r="X666" s="320"/>
      <c r="Y666" s="368" t="s">
        <v>2320</v>
      </c>
      <c r="Z666" s="319"/>
    </row>
    <row r="667" spans="1:26" ht="16.399999999999999" hidden="1" customHeight="1">
      <c r="A667" s="29" t="str">
        <f t="shared" si="10"/>
        <v>lt827_mthd_usd_instrmntflg_exec</v>
      </c>
      <c r="B667" s="141" t="s">
        <v>26</v>
      </c>
      <c r="C667" s="137" t="s">
        <v>26</v>
      </c>
      <c r="D667" s="133" t="s">
        <v>40</v>
      </c>
      <c r="E667" s="136" t="s">
        <v>1860</v>
      </c>
      <c r="F667" s="474" t="s">
        <v>1276</v>
      </c>
      <c r="G667" s="135" t="str">
        <f>VLOOKUP(A667,Plano_V3!$A$26:$G$768,7,0)</f>
        <v>1. Concluído</v>
      </c>
      <c r="H667" s="135" t="s">
        <v>612</v>
      </c>
      <c r="I667" s="467"/>
      <c r="J667" s="142"/>
      <c r="K667" s="142"/>
      <c r="L667" s="153"/>
      <c r="M667" s="153"/>
      <c r="N667" s="142"/>
      <c r="O667" s="142"/>
      <c r="P667" s="152" t="str">
        <f>IF(VLOOKUP(A658,'Aux - pivots1'!$A:$E,3,0)=0, "",VLOOKUP(A658,'Aux - pivots1'!$A:$E,3,0))</f>
        <v/>
      </c>
      <c r="Q667" s="152" t="str">
        <f>IF(VLOOKUP(A658,'Aux - pivots1'!$A:$E,4,0)=0, "",VLOOKUP(A658,'Aux - pivots1'!$A:$E,4,0))</f>
        <v/>
      </c>
      <c r="R667" s="152" t="str">
        <f>IF(VLOOKUP(A658,'Aux - pivots1'!$A:$E,5,0)=0, "",VLOOKUP(A658,'Aux - pivots1'!$A:$E,5,0))</f>
        <v/>
      </c>
      <c r="S667" s="198"/>
      <c r="T667" s="198"/>
      <c r="U667" s="198"/>
      <c r="V667" s="320"/>
      <c r="W667" s="320"/>
      <c r="X667" s="320"/>
      <c r="Y667" s="368" t="s">
        <v>2320</v>
      </c>
      <c r="Z667" s="319"/>
    </row>
    <row r="668" spans="1:26" ht="16.399999999999999" hidden="1" customHeight="1">
      <c r="A668" s="29" t="str">
        <f t="shared" si="10"/>
        <v>lt827_mthd_usd_instrmntflg_col</v>
      </c>
      <c r="B668" s="141" t="s">
        <v>26</v>
      </c>
      <c r="C668" s="137" t="s">
        <v>26</v>
      </c>
      <c r="D668" s="133" t="s">
        <v>40</v>
      </c>
      <c r="E668" s="136" t="s">
        <v>1860</v>
      </c>
      <c r="F668" s="474" t="s">
        <v>479</v>
      </c>
      <c r="G668" s="135" t="str">
        <f>VLOOKUP(A668,Plano_V3!$A$26:$G$768,7,0)</f>
        <v>1. Concluído</v>
      </c>
      <c r="H668" s="135" t="s">
        <v>612</v>
      </c>
      <c r="I668" s="467"/>
      <c r="J668" s="142"/>
      <c r="K668" s="142"/>
      <c r="L668" s="153"/>
      <c r="M668" s="153"/>
      <c r="N668" s="142"/>
      <c r="O668" s="142"/>
      <c r="P668" s="152" t="str">
        <f>IF(VLOOKUP(A659,'Aux - pivots1'!$A:$E,3,0)=0, "",VLOOKUP(A659,'Aux - pivots1'!$A:$E,3,0))</f>
        <v/>
      </c>
      <c r="Q668" s="152" t="str">
        <f>IF(VLOOKUP(A659,'Aux - pivots1'!$A:$E,4,0)=0, "",VLOOKUP(A659,'Aux - pivots1'!$A:$E,4,0))</f>
        <v/>
      </c>
      <c r="R668" s="152" t="str">
        <f>IF(VLOOKUP(A659,'Aux - pivots1'!$A:$E,5,0)=0, "",VLOOKUP(A659,'Aux - pivots1'!$A:$E,5,0))</f>
        <v/>
      </c>
      <c r="S668" s="198"/>
      <c r="T668" s="198"/>
      <c r="U668" s="198"/>
      <c r="V668" s="320"/>
      <c r="W668" s="320"/>
      <c r="X668" s="320"/>
      <c r="Y668" s="368" t="s">
        <v>2320</v>
      </c>
      <c r="Z668" s="319"/>
    </row>
    <row r="669" spans="1:26" ht="16.399999999999999" hidden="1" customHeight="1">
      <c r="A669" s="29" t="str">
        <f t="shared" si="10"/>
        <v>lt827_mthd_usd_instrmntflg_pro</v>
      </c>
      <c r="B669" s="141" t="s">
        <v>26</v>
      </c>
      <c r="C669" s="137" t="s">
        <v>26</v>
      </c>
      <c r="D669" s="133" t="s">
        <v>40</v>
      </c>
      <c r="E669" s="136" t="s">
        <v>1860</v>
      </c>
      <c r="F669" s="474" t="s">
        <v>481</v>
      </c>
      <c r="G669" s="135" t="str">
        <f>VLOOKUP(A669,Plano_V3!$A$26:$G$768,7,0)</f>
        <v>1. Concluído</v>
      </c>
      <c r="H669" s="135" t="s">
        <v>612</v>
      </c>
      <c r="I669" s="467"/>
      <c r="J669" s="142"/>
      <c r="K669" s="142"/>
      <c r="L669" s="153"/>
      <c r="M669" s="153"/>
      <c r="N669" s="142"/>
      <c r="O669" s="142"/>
      <c r="P669" s="152" t="str">
        <f>IF(VLOOKUP(A660,'Aux - pivots1'!$A:$E,3,0)=0, "",VLOOKUP(A660,'Aux - pivots1'!$A:$E,3,0))</f>
        <v/>
      </c>
      <c r="Q669" s="152" t="str">
        <f>IF(VLOOKUP(A660,'Aux - pivots1'!$A:$E,4,0)=0, "",VLOOKUP(A660,'Aux - pivots1'!$A:$E,4,0))</f>
        <v/>
      </c>
      <c r="R669" s="152" t="str">
        <f>IF(VLOOKUP(A660,'Aux - pivots1'!$A:$E,5,0)=0, "",VLOOKUP(A660,'Aux - pivots1'!$A:$E,5,0))</f>
        <v/>
      </c>
      <c r="S669" s="198"/>
      <c r="T669" s="198"/>
      <c r="U669" s="198"/>
      <c r="V669" s="320"/>
      <c r="W669" s="320"/>
      <c r="X669" s="320"/>
      <c r="Y669" s="368" t="s">
        <v>2320</v>
      </c>
      <c r="Z669" s="319"/>
    </row>
    <row r="670" spans="1:26" ht="16.399999999999999" hidden="1" customHeight="1">
      <c r="A670" s="29" t="str">
        <f t="shared" si="10"/>
        <v>lt826_esg_sbsctrambito</v>
      </c>
      <c r="B670" s="141" t="s">
        <v>26</v>
      </c>
      <c r="C670" s="137" t="s">
        <v>26</v>
      </c>
      <c r="D670" s="133" t="s">
        <v>40</v>
      </c>
      <c r="E670" s="136" t="s">
        <v>392</v>
      </c>
      <c r="F670" s="474" t="s">
        <v>390</v>
      </c>
      <c r="G670" s="135" t="str">
        <f>VLOOKUP(A670,Plano_V3!$A$26:$G$768,7,0)</f>
        <v>1. Concluído</v>
      </c>
      <c r="H670" s="135" t="s">
        <v>612</v>
      </c>
      <c r="I670" s="467"/>
      <c r="J670" s="142"/>
      <c r="K670" s="142"/>
      <c r="L670" s="153"/>
      <c r="M670" s="153"/>
      <c r="N670" s="142"/>
      <c r="O670" s="142"/>
      <c r="P670" s="152" t="str">
        <f>IF(VLOOKUP(A661,'Aux - pivots1'!$A:$E,3,0)=0, "",VLOOKUP(A661,'Aux - pivots1'!$A:$E,3,0))</f>
        <v/>
      </c>
      <c r="Q670" s="152" t="str">
        <f>IF(VLOOKUP(A661,'Aux - pivots1'!$A:$E,4,0)=0, "",VLOOKUP(A661,'Aux - pivots1'!$A:$E,4,0))</f>
        <v/>
      </c>
      <c r="R670" s="152" t="str">
        <f>IF(VLOOKUP(A661,'Aux - pivots1'!$A:$E,5,0)=0, "",VLOOKUP(A661,'Aux - pivots1'!$A:$E,5,0))</f>
        <v/>
      </c>
      <c r="S670" s="198"/>
      <c r="T670" s="198"/>
      <c r="U670" s="198"/>
      <c r="V670" s="320"/>
      <c r="W670" s="320"/>
      <c r="X670" s="320"/>
      <c r="Y670" s="368" t="s">
        <v>2320</v>
      </c>
      <c r="Z670" s="319"/>
    </row>
    <row r="671" spans="1:26" ht="16.399999999999999" hidden="1" customHeight="1">
      <c r="A671" s="29" t="str">
        <f t="shared" si="10"/>
        <v>lt826_esg_sbsctrref_date</v>
      </c>
      <c r="B671" s="141" t="s">
        <v>26</v>
      </c>
      <c r="C671" s="137" t="s">
        <v>26</v>
      </c>
      <c r="D671" s="133" t="s">
        <v>40</v>
      </c>
      <c r="E671" s="136" t="s">
        <v>392</v>
      </c>
      <c r="F671" s="474" t="s">
        <v>208</v>
      </c>
      <c r="G671" s="135" t="str">
        <f>VLOOKUP(A671,Plano_V3!$A$26:$G$768,7,0)</f>
        <v>1. Concluído</v>
      </c>
      <c r="H671" s="135" t="s">
        <v>612</v>
      </c>
      <c r="I671" s="467"/>
      <c r="J671" s="142"/>
      <c r="K671" s="142"/>
      <c r="L671" s="153"/>
      <c r="M671" s="153"/>
      <c r="N671" s="142"/>
      <c r="O671" s="142"/>
      <c r="P671" s="152" t="str">
        <f>IF(VLOOKUP(A662,'Aux - pivots1'!$A:$E,3,0)=0, "",VLOOKUP(A662,'Aux - pivots1'!$A:$E,3,0))</f>
        <v/>
      </c>
      <c r="Q671" s="152" t="str">
        <f>IF(VLOOKUP(A662,'Aux - pivots1'!$A:$E,4,0)=0, "",VLOOKUP(A662,'Aux - pivots1'!$A:$E,4,0))</f>
        <v/>
      </c>
      <c r="R671" s="152" t="str">
        <f>IF(VLOOKUP(A662,'Aux - pivots1'!$A:$E,5,0)=0, "",VLOOKUP(A662,'Aux - pivots1'!$A:$E,5,0))</f>
        <v/>
      </c>
      <c r="S671" s="198"/>
      <c r="T671" s="198"/>
      <c r="U671" s="198"/>
      <c r="V671" s="320"/>
      <c r="W671" s="320"/>
      <c r="X671" s="320"/>
      <c r="Y671" s="368" t="s">
        <v>2320</v>
      </c>
      <c r="Z671" s="319"/>
    </row>
    <row r="672" spans="1:26" ht="16.399999999999999" hidden="1" customHeight="1">
      <c r="A672" s="29" t="str">
        <f t="shared" si="10"/>
        <v>lt826_esg_sbsctrordem</v>
      </c>
      <c r="B672" s="141" t="s">
        <v>26</v>
      </c>
      <c r="C672" s="137" t="s">
        <v>26</v>
      </c>
      <c r="D672" s="133" t="s">
        <v>40</v>
      </c>
      <c r="E672" s="136" t="s">
        <v>392</v>
      </c>
      <c r="F672" s="474" t="s">
        <v>211</v>
      </c>
      <c r="G672" s="135" t="str">
        <f>VLOOKUP(A672,Plano_V3!$A$26:$G$768,7,0)</f>
        <v>1. Concluído</v>
      </c>
      <c r="H672" s="135" t="s">
        <v>612</v>
      </c>
      <c r="I672" s="467"/>
      <c r="J672" s="142"/>
      <c r="K672" s="142"/>
      <c r="L672" s="153"/>
      <c r="M672" s="153"/>
      <c r="N672" s="142"/>
      <c r="O672" s="142"/>
      <c r="P672" s="152" t="str">
        <f>IF(VLOOKUP(A663,'Aux - pivots1'!$A:$E,3,0)=0, "",VLOOKUP(A663,'Aux - pivots1'!$A:$E,3,0))</f>
        <v/>
      </c>
      <c r="Q672" s="152" t="str">
        <f>IF(VLOOKUP(A663,'Aux - pivots1'!$A:$E,4,0)=0, "",VLOOKUP(A663,'Aux - pivots1'!$A:$E,4,0))</f>
        <v/>
      </c>
      <c r="R672" s="152" t="str">
        <f>IF(VLOOKUP(A663,'Aux - pivots1'!$A:$E,5,0)=0, "",VLOOKUP(A663,'Aux - pivots1'!$A:$E,5,0))</f>
        <v/>
      </c>
      <c r="S672" s="198"/>
      <c r="T672" s="198"/>
      <c r="U672" s="198"/>
      <c r="V672" s="320"/>
      <c r="W672" s="320"/>
      <c r="X672" s="320"/>
      <c r="Y672" s="368" t="s">
        <v>2320</v>
      </c>
      <c r="Z672" s="319"/>
    </row>
    <row r="673" spans="1:26" ht="16.399999999999999" hidden="1" customHeight="1">
      <c r="A673" s="29" t="str">
        <f t="shared" si="10"/>
        <v>lt826_esg_sbsctrnace_code</v>
      </c>
      <c r="B673" s="141" t="s">
        <v>26</v>
      </c>
      <c r="C673" s="137" t="s">
        <v>26</v>
      </c>
      <c r="D673" s="133" t="s">
        <v>40</v>
      </c>
      <c r="E673" s="136" t="s">
        <v>392</v>
      </c>
      <c r="F673" s="474" t="s">
        <v>393</v>
      </c>
      <c r="G673" s="135" t="str">
        <f>VLOOKUP(A673,Plano_V3!$A$26:$G$768,7,0)</f>
        <v>1. Concluído</v>
      </c>
      <c r="H673" s="135" t="s">
        <v>612</v>
      </c>
      <c r="I673" s="467"/>
      <c r="J673" s="142"/>
      <c r="K673" s="142"/>
      <c r="L673" s="153"/>
      <c r="M673" s="153"/>
      <c r="N673" s="142"/>
      <c r="O673" s="142"/>
      <c r="P673" s="152" t="str">
        <f>IF(VLOOKUP(A664,'Aux - pivots1'!$A:$E,3,0)=0, "",VLOOKUP(A664,'Aux - pivots1'!$A:$E,3,0))</f>
        <v/>
      </c>
      <c r="Q673" s="152" t="str">
        <f>IF(VLOOKUP(A664,'Aux - pivots1'!$A:$E,4,0)=0, "",VLOOKUP(A664,'Aux - pivots1'!$A:$E,4,0))</f>
        <v/>
      </c>
      <c r="R673" s="152" t="str">
        <f>IF(VLOOKUP(A664,'Aux - pivots1'!$A:$E,5,0)=0, "",VLOOKUP(A664,'Aux - pivots1'!$A:$E,5,0))</f>
        <v/>
      </c>
      <c r="S673" s="198"/>
      <c r="T673" s="198"/>
      <c r="U673" s="198"/>
      <c r="V673" s="320"/>
      <c r="W673" s="320"/>
      <c r="X673" s="320"/>
      <c r="Y673" s="368" t="s">
        <v>2320</v>
      </c>
      <c r="Z673" s="319"/>
    </row>
    <row r="674" spans="1:26" ht="16.399999999999999" hidden="1" customHeight="1">
      <c r="A674" s="29" t="str">
        <f t="shared" si="10"/>
        <v>lt826_esg_sbsctrcontraparte</v>
      </c>
      <c r="B674" s="141" t="s">
        <v>26</v>
      </c>
      <c r="C674" s="137" t="s">
        <v>26</v>
      </c>
      <c r="D674" s="133" t="s">
        <v>40</v>
      </c>
      <c r="E674" s="136" t="s">
        <v>392</v>
      </c>
      <c r="F674" s="474" t="s">
        <v>394</v>
      </c>
      <c r="G674" s="135" t="str">
        <f>VLOOKUP(A674,Plano_V3!$A$26:$G$768,7,0)</f>
        <v>1. Concluído</v>
      </c>
      <c r="H674" s="135" t="s">
        <v>612</v>
      </c>
      <c r="I674" s="467"/>
      <c r="J674" s="142"/>
      <c r="K674" s="142"/>
      <c r="L674" s="153"/>
      <c r="M674" s="153"/>
      <c r="N674" s="142"/>
      <c r="O674" s="142"/>
      <c r="P674" s="152" t="str">
        <f>IF(VLOOKUP(A665,'Aux - pivots1'!$A:$E,3,0)=0, "",VLOOKUP(A665,'Aux - pivots1'!$A:$E,3,0))</f>
        <v/>
      </c>
      <c r="Q674" s="152" t="str">
        <f>IF(VLOOKUP(A665,'Aux - pivots1'!$A:$E,4,0)=0, "",VLOOKUP(A665,'Aux - pivots1'!$A:$E,4,0))</f>
        <v/>
      </c>
      <c r="R674" s="152" t="str">
        <f>IF(VLOOKUP(A665,'Aux - pivots1'!$A:$E,5,0)=0, "",VLOOKUP(A665,'Aux - pivots1'!$A:$E,5,0))</f>
        <v/>
      </c>
      <c r="S674" s="198"/>
      <c r="T674" s="198"/>
      <c r="U674" s="198"/>
      <c r="V674" s="320"/>
      <c r="W674" s="320"/>
      <c r="X674" s="320"/>
      <c r="Y674" s="368" t="s">
        <v>2320</v>
      </c>
      <c r="Z674" s="319"/>
    </row>
    <row r="675" spans="1:26" ht="16.399999999999999" hidden="1" customHeight="1">
      <c r="A675" s="29" t="str">
        <f t="shared" si="10"/>
        <v>lt826_esg_sbsctrcnatureza_juri</v>
      </c>
      <c r="B675" s="141" t="s">
        <v>26</v>
      </c>
      <c r="C675" s="137" t="s">
        <v>26</v>
      </c>
      <c r="D675" s="133" t="s">
        <v>40</v>
      </c>
      <c r="E675" s="136" t="s">
        <v>392</v>
      </c>
      <c r="F675" s="474" t="s">
        <v>395</v>
      </c>
      <c r="G675" s="135" t="str">
        <f>VLOOKUP(A675,Plano_V3!$A$26:$G$768,7,0)</f>
        <v>1. Concluído</v>
      </c>
      <c r="H675" s="135" t="s">
        <v>612</v>
      </c>
      <c r="I675" s="467"/>
      <c r="J675" s="142"/>
      <c r="K675" s="142"/>
      <c r="L675" s="153"/>
      <c r="M675" s="153"/>
      <c r="N675" s="142"/>
      <c r="O675" s="142"/>
      <c r="P675" s="152" t="str">
        <f>IF(VLOOKUP(A666,'Aux - pivots1'!$A:$E,3,0)=0, "",VLOOKUP(A666,'Aux - pivots1'!$A:$E,3,0))</f>
        <v/>
      </c>
      <c r="Q675" s="152" t="str">
        <f>IF(VLOOKUP(A666,'Aux - pivots1'!$A:$E,4,0)=0, "",VLOOKUP(A666,'Aux - pivots1'!$A:$E,4,0))</f>
        <v/>
      </c>
      <c r="R675" s="152" t="str">
        <f>IF(VLOOKUP(A666,'Aux - pivots1'!$A:$E,5,0)=0, "",VLOOKUP(A666,'Aux - pivots1'!$A:$E,5,0))</f>
        <v/>
      </c>
      <c r="S675" s="198"/>
      <c r="T675" s="198"/>
      <c r="U675" s="198"/>
      <c r="V675" s="320"/>
      <c r="W675" s="320"/>
      <c r="X675" s="320"/>
      <c r="Y675" s="368" t="s">
        <v>2320</v>
      </c>
      <c r="Z675" s="319"/>
    </row>
    <row r="676" spans="1:26" ht="16.399999999999999" hidden="1" customHeight="1">
      <c r="A676" s="29" t="str">
        <f t="shared" si="10"/>
        <v>lt826_esg_sbsctridcomb</v>
      </c>
      <c r="B676" s="141" t="s">
        <v>26</v>
      </c>
      <c r="C676" s="137" t="s">
        <v>26</v>
      </c>
      <c r="D676" s="133" t="s">
        <v>40</v>
      </c>
      <c r="E676" s="136" t="s">
        <v>392</v>
      </c>
      <c r="F676" s="474" t="s">
        <v>396</v>
      </c>
      <c r="G676" s="135" t="str">
        <f>VLOOKUP(A676,Plano_V3!$A$26:$G$768,7,0)</f>
        <v>1. Concluído</v>
      </c>
      <c r="H676" s="135" t="s">
        <v>612</v>
      </c>
      <c r="I676" s="467"/>
      <c r="J676" s="142"/>
      <c r="K676" s="142"/>
      <c r="L676" s="153"/>
      <c r="M676" s="153"/>
      <c r="N676" s="142"/>
      <c r="O676" s="142"/>
      <c r="P676" s="152" t="str">
        <f>IF(VLOOKUP(A667,'Aux - pivots1'!$A:$E,3,0)=0, "",VLOOKUP(A667,'Aux - pivots1'!$A:$E,3,0))</f>
        <v/>
      </c>
      <c r="Q676" s="152" t="str">
        <f>IF(VLOOKUP(A667,'Aux - pivots1'!$A:$E,4,0)=0, "",VLOOKUP(A667,'Aux - pivots1'!$A:$E,4,0))</f>
        <v/>
      </c>
      <c r="R676" s="152" t="str">
        <f>IF(VLOOKUP(A667,'Aux - pivots1'!$A:$E,5,0)=0, "",VLOOKUP(A667,'Aux - pivots1'!$A:$E,5,0))</f>
        <v/>
      </c>
      <c r="S676" s="198"/>
      <c r="T676" s="198"/>
      <c r="U676" s="198"/>
      <c r="V676" s="320"/>
      <c r="W676" s="320"/>
      <c r="X676" s="320"/>
      <c r="Y676" s="368" t="s">
        <v>2320</v>
      </c>
      <c r="Z676" s="319"/>
    </row>
    <row r="677" spans="1:26" ht="16.399999999999999" hidden="1" customHeight="1">
      <c r="A677" s="29" t="str">
        <f t="shared" si="10"/>
        <v>lt826_esg_sbsctresg_sbsctr</v>
      </c>
      <c r="B677" s="141" t="s">
        <v>26</v>
      </c>
      <c r="C677" s="137" t="s">
        <v>26</v>
      </c>
      <c r="D677" s="133" t="s">
        <v>40</v>
      </c>
      <c r="E677" s="136" t="s">
        <v>392</v>
      </c>
      <c r="F677" s="474" t="s">
        <v>360</v>
      </c>
      <c r="G677" s="135" t="str">
        <f>VLOOKUP(A677,Plano_V3!$A$26:$G$768,7,0)</f>
        <v>1. Concluído</v>
      </c>
      <c r="H677" s="135" t="s">
        <v>612</v>
      </c>
      <c r="I677" s="467"/>
      <c r="J677" s="142"/>
      <c r="K677" s="142"/>
      <c r="L677" s="153"/>
      <c r="M677" s="153"/>
      <c r="N677" s="142"/>
      <c r="O677" s="142"/>
      <c r="P677" s="152" t="str">
        <f>IF(VLOOKUP(A668,'Aux - pivots1'!$A:$E,3,0)=0, "",VLOOKUP(A668,'Aux - pivots1'!$A:$E,3,0))</f>
        <v/>
      </c>
      <c r="Q677" s="152" t="str">
        <f>IF(VLOOKUP(A668,'Aux - pivots1'!$A:$E,4,0)=0, "",VLOOKUP(A668,'Aux - pivots1'!$A:$E,4,0))</f>
        <v/>
      </c>
      <c r="R677" s="152" t="str">
        <f>IF(VLOOKUP(A668,'Aux - pivots1'!$A:$E,5,0)=0, "",VLOOKUP(A668,'Aux - pivots1'!$A:$E,5,0))</f>
        <v/>
      </c>
      <c r="S677" s="198"/>
      <c r="T677" s="198"/>
      <c r="U677" s="198"/>
      <c r="V677" s="320"/>
      <c r="W677" s="320"/>
      <c r="X677" s="320"/>
      <c r="Y677" s="368" t="s">
        <v>2320</v>
      </c>
      <c r="Z677" s="319"/>
    </row>
    <row r="678" spans="1:26" ht="16.399999999999999" hidden="1" customHeight="1">
      <c r="A678" s="29" t="str">
        <f t="shared" si="10"/>
        <v>lt826_esg_sbsctrdescrição</v>
      </c>
      <c r="B678" s="141" t="s">
        <v>26</v>
      </c>
      <c r="C678" s="137" t="s">
        <v>26</v>
      </c>
      <c r="D678" s="133" t="s">
        <v>40</v>
      </c>
      <c r="E678" s="136" t="s">
        <v>392</v>
      </c>
      <c r="F678" s="474" t="s">
        <v>397</v>
      </c>
      <c r="G678" s="135" t="str">
        <f>VLOOKUP(A678,Plano_V3!$A$26:$G$768,7,0)</f>
        <v>1. Concluído</v>
      </c>
      <c r="H678" s="135" t="s">
        <v>612</v>
      </c>
      <c r="I678" s="467"/>
      <c r="J678" s="142"/>
      <c r="K678" s="142"/>
      <c r="L678" s="153"/>
      <c r="M678" s="153"/>
      <c r="N678" s="142"/>
      <c r="O678" s="142"/>
      <c r="P678" s="152" t="str">
        <f>IF(VLOOKUP(A669,'Aux - pivots1'!$A:$E,3,0)=0, "",VLOOKUP(A669,'Aux - pivots1'!$A:$E,3,0))</f>
        <v/>
      </c>
      <c r="Q678" s="152" t="str">
        <f>IF(VLOOKUP(A669,'Aux - pivots1'!$A:$E,4,0)=0, "",VLOOKUP(A669,'Aux - pivots1'!$A:$E,4,0))</f>
        <v/>
      </c>
      <c r="R678" s="152" t="str">
        <f>IF(VLOOKUP(A669,'Aux - pivots1'!$A:$E,5,0)=0, "",VLOOKUP(A669,'Aux - pivots1'!$A:$E,5,0))</f>
        <v/>
      </c>
      <c r="S678" s="198"/>
      <c r="T678" s="198"/>
      <c r="U678" s="198"/>
      <c r="V678" s="320"/>
      <c r="W678" s="320"/>
      <c r="X678" s="320"/>
      <c r="Y678" s="368" t="s">
        <v>2320</v>
      </c>
      <c r="Z678" s="319"/>
    </row>
    <row r="679" spans="1:26" ht="16.399999999999999" hidden="1" customHeight="1">
      <c r="A679" s="29" t="str">
        <f t="shared" si="10"/>
        <v>lt002_instrumentdt_rfrnc</v>
      </c>
      <c r="B679" s="141" t="s">
        <v>26</v>
      </c>
      <c r="C679" s="137" t="s">
        <v>26</v>
      </c>
      <c r="D679" s="133" t="s">
        <v>40</v>
      </c>
      <c r="E679" s="136" t="s">
        <v>379</v>
      </c>
      <c r="F679" s="474" t="s">
        <v>398</v>
      </c>
      <c r="G679" s="135" t="str">
        <f>VLOOKUP(A679,Plano_V3!$A$26:$G$768,7,0)</f>
        <v>1. Concluído</v>
      </c>
      <c r="H679" s="135" t="s">
        <v>612</v>
      </c>
      <c r="I679" s="467"/>
      <c r="J679" s="142"/>
      <c r="K679" s="142"/>
      <c r="L679" s="153"/>
      <c r="M679" s="153"/>
      <c r="N679" s="142"/>
      <c r="O679" s="142"/>
      <c r="P679" s="152" t="str">
        <f>IF(VLOOKUP(A670,'Aux - pivots1'!$A:$E,3,0)=0, "",VLOOKUP(A670,'Aux - pivots1'!$A:$E,3,0))</f>
        <v/>
      </c>
      <c r="Q679" s="152" t="str">
        <f>IF(VLOOKUP(A670,'Aux - pivots1'!$A:$E,4,0)=0, "",VLOOKUP(A670,'Aux - pivots1'!$A:$E,4,0))</f>
        <v/>
      </c>
      <c r="R679" s="152" t="str">
        <f>IF(VLOOKUP(A670,'Aux - pivots1'!$A:$E,5,0)=0, "",VLOOKUP(A670,'Aux - pivots1'!$A:$E,5,0))</f>
        <v/>
      </c>
      <c r="S679" s="198"/>
      <c r="T679" s="198"/>
      <c r="U679" s="198"/>
      <c r="V679" s="320"/>
      <c r="W679" s="320"/>
      <c r="X679" s="320"/>
      <c r="Y679" s="368" t="s">
        <v>2320</v>
      </c>
      <c r="Z679" s="319"/>
    </row>
    <row r="680" spans="1:26" ht="16.399999999999999" hidden="1" customHeight="1">
      <c r="A680" s="29" t="str">
        <f t="shared" si="10"/>
        <v>lt002_instrumentinstrmnt_id</v>
      </c>
      <c r="B680" s="141" t="s">
        <v>26</v>
      </c>
      <c r="C680" s="137" t="s">
        <v>26</v>
      </c>
      <c r="D680" s="133" t="s">
        <v>40</v>
      </c>
      <c r="E680" s="136" t="s">
        <v>379</v>
      </c>
      <c r="F680" s="474" t="s">
        <v>400</v>
      </c>
      <c r="G680" s="135" t="str">
        <f>VLOOKUP(A680,Plano_V3!$A$26:$G$768,7,0)</f>
        <v>1. Concluído</v>
      </c>
      <c r="H680" s="135" t="s">
        <v>612</v>
      </c>
      <c r="I680" s="467"/>
      <c r="J680" s="142"/>
      <c r="K680" s="142"/>
      <c r="L680" s="153"/>
      <c r="M680" s="153"/>
      <c r="N680" s="142"/>
      <c r="O680" s="142"/>
      <c r="P680" s="152" t="str">
        <f>IF(VLOOKUP(A671,'Aux - pivots1'!$A:$E,3,0)=0, "",VLOOKUP(A671,'Aux - pivots1'!$A:$E,3,0))</f>
        <v/>
      </c>
      <c r="Q680" s="152" t="str">
        <f>IF(VLOOKUP(A671,'Aux - pivots1'!$A:$E,4,0)=0, "",VLOOKUP(A671,'Aux - pivots1'!$A:$E,4,0))</f>
        <v/>
      </c>
      <c r="R680" s="152" t="str">
        <f>IF(VLOOKUP(A671,'Aux - pivots1'!$A:$E,5,0)=0, "",VLOOKUP(A671,'Aux - pivots1'!$A:$E,5,0))</f>
        <v/>
      </c>
      <c r="S680" s="198"/>
      <c r="T680" s="198"/>
      <c r="U680" s="198"/>
      <c r="V680" s="320"/>
      <c r="W680" s="320"/>
      <c r="X680" s="320"/>
      <c r="Y680" s="368" t="s">
        <v>2320</v>
      </c>
      <c r="Z680" s="319"/>
    </row>
    <row r="681" spans="1:26" ht="16.399999999999999" hidden="1" customHeight="1">
      <c r="A681" s="29" t="str">
        <f t="shared" si="10"/>
        <v>lt002_instrumentdt_incptn</v>
      </c>
      <c r="B681" s="141" t="s">
        <v>26</v>
      </c>
      <c r="C681" s="137" t="s">
        <v>26</v>
      </c>
      <c r="D681" s="133" t="s">
        <v>40</v>
      </c>
      <c r="E681" s="136" t="s">
        <v>379</v>
      </c>
      <c r="F681" s="474" t="s">
        <v>401</v>
      </c>
      <c r="G681" s="135" t="str">
        <f>VLOOKUP(A681,Plano_V3!$A$26:$G$768,7,0)</f>
        <v>1. Concluído</v>
      </c>
      <c r="H681" s="135" t="s">
        <v>612</v>
      </c>
      <c r="I681" s="467"/>
      <c r="J681" s="142"/>
      <c r="K681" s="142"/>
      <c r="L681" s="153"/>
      <c r="M681" s="153"/>
      <c r="N681" s="142"/>
      <c r="O681" s="142"/>
      <c r="P681" s="152" t="str">
        <f>IF(VLOOKUP(A672,'Aux - pivots1'!$A:$E,3,0)=0, "",VLOOKUP(A672,'Aux - pivots1'!$A:$E,3,0))</f>
        <v/>
      </c>
      <c r="Q681" s="152" t="str">
        <f>IF(VLOOKUP(A672,'Aux - pivots1'!$A:$E,4,0)=0, "",VLOOKUP(A672,'Aux - pivots1'!$A:$E,4,0))</f>
        <v/>
      </c>
      <c r="R681" s="152" t="str">
        <f>IF(VLOOKUP(A672,'Aux - pivots1'!$A:$E,5,0)=0, "",VLOOKUP(A672,'Aux - pivots1'!$A:$E,5,0))</f>
        <v/>
      </c>
      <c r="S681" s="198"/>
      <c r="T681" s="198"/>
      <c r="U681" s="198"/>
      <c r="V681" s="320"/>
      <c r="W681" s="320"/>
      <c r="X681" s="320"/>
      <c r="Y681" s="368" t="s">
        <v>2320</v>
      </c>
      <c r="Z681" s="319"/>
    </row>
    <row r="682" spans="1:26" ht="16.399999999999999" hidden="1" customHeight="1">
      <c r="A682" s="29" t="str">
        <f t="shared" si="10"/>
        <v>lt002_instrumentdflt_stts_instrmnt</v>
      </c>
      <c r="B682" s="141" t="s">
        <v>26</v>
      </c>
      <c r="C682" s="137" t="s">
        <v>26</v>
      </c>
      <c r="D682" s="133" t="s">
        <v>40</v>
      </c>
      <c r="E682" s="136" t="s">
        <v>379</v>
      </c>
      <c r="F682" s="474" t="s">
        <v>402</v>
      </c>
      <c r="G682" s="135" t="str">
        <f>VLOOKUP(A682,Plano_V3!$A$26:$G$768,7,0)</f>
        <v>1. Concluído</v>
      </c>
      <c r="H682" s="135" t="s">
        <v>612</v>
      </c>
      <c r="I682" s="467"/>
      <c r="J682" s="142"/>
      <c r="K682" s="142"/>
      <c r="L682" s="153"/>
      <c r="M682" s="153"/>
      <c r="N682" s="142"/>
      <c r="O682" s="142"/>
      <c r="P682" s="152" t="str">
        <f>IF(VLOOKUP(A673,'Aux - pivots1'!$A:$E,3,0)=0, "",VLOOKUP(A673,'Aux - pivots1'!$A:$E,3,0))</f>
        <v/>
      </c>
      <c r="Q682" s="152" t="str">
        <f>IF(VLOOKUP(A673,'Aux - pivots1'!$A:$E,4,0)=0, "",VLOOKUP(A673,'Aux - pivots1'!$A:$E,4,0))</f>
        <v/>
      </c>
      <c r="R682" s="152" t="str">
        <f>IF(VLOOKUP(A673,'Aux - pivots1'!$A:$E,5,0)=0, "",VLOOKUP(A673,'Aux - pivots1'!$A:$E,5,0))</f>
        <v/>
      </c>
      <c r="S682" s="198"/>
      <c r="T682" s="198"/>
      <c r="U682" s="198"/>
      <c r="V682" s="320"/>
      <c r="W682" s="320"/>
      <c r="X682" s="320"/>
      <c r="Y682" s="368" t="s">
        <v>2320</v>
      </c>
      <c r="Z682" s="319"/>
    </row>
    <row r="683" spans="1:26" ht="16.399999999999999" hidden="1" customHeight="1">
      <c r="A683" s="29" t="str">
        <f t="shared" si="10"/>
        <v>lt002_instrumentimprmnt_stts</v>
      </c>
      <c r="B683" s="141" t="s">
        <v>26</v>
      </c>
      <c r="C683" s="137" t="s">
        <v>26</v>
      </c>
      <c r="D683" s="133" t="s">
        <v>40</v>
      </c>
      <c r="E683" s="136" t="s">
        <v>379</v>
      </c>
      <c r="F683" s="474" t="s">
        <v>403</v>
      </c>
      <c r="G683" s="135" t="str">
        <f>VLOOKUP(A683,Plano_V3!$A$26:$G$768,7,0)</f>
        <v>1. Concluído</v>
      </c>
      <c r="H683" s="135" t="s">
        <v>612</v>
      </c>
      <c r="I683" s="467"/>
      <c r="J683" s="142"/>
      <c r="K683" s="142"/>
      <c r="L683" s="153"/>
      <c r="M683" s="153"/>
      <c r="N683" s="142"/>
      <c r="O683" s="142"/>
      <c r="P683" s="152" t="str">
        <f>IF(VLOOKUP(A674,'Aux - pivots1'!$A:$E,3,0)=0, "",VLOOKUP(A674,'Aux - pivots1'!$A:$E,3,0))</f>
        <v/>
      </c>
      <c r="Q683" s="152" t="str">
        <f>IF(VLOOKUP(A674,'Aux - pivots1'!$A:$E,4,0)=0, "",VLOOKUP(A674,'Aux - pivots1'!$A:$E,4,0))</f>
        <v/>
      </c>
      <c r="R683" s="152" t="str">
        <f>IF(VLOOKUP(A674,'Aux - pivots1'!$A:$E,5,0)=0, "",VLOOKUP(A674,'Aux - pivots1'!$A:$E,5,0))</f>
        <v/>
      </c>
      <c r="S683" s="198"/>
      <c r="T683" s="198"/>
      <c r="U683" s="198"/>
      <c r="V683" s="320"/>
      <c r="W683" s="320"/>
      <c r="X683" s="320"/>
      <c r="Y683" s="368" t="s">
        <v>2320</v>
      </c>
      <c r="Z683" s="319"/>
    </row>
    <row r="684" spans="1:26" ht="16.399999999999999" hidden="1" customHeight="1">
      <c r="A684" s="29" t="str">
        <f t="shared" si="10"/>
        <v>lt002_instrumentprfrmng_stts</v>
      </c>
      <c r="B684" s="141" t="s">
        <v>26</v>
      </c>
      <c r="C684" s="137" t="s">
        <v>26</v>
      </c>
      <c r="D684" s="133" t="s">
        <v>40</v>
      </c>
      <c r="E684" s="136" t="s">
        <v>379</v>
      </c>
      <c r="F684" s="474" t="s">
        <v>404</v>
      </c>
      <c r="G684" s="135" t="str">
        <f>VLOOKUP(A684,Plano_V3!$A$26:$G$768,7,0)</f>
        <v>1. Concluído</v>
      </c>
      <c r="H684" s="135" t="s">
        <v>612</v>
      </c>
      <c r="I684" s="467"/>
      <c r="J684" s="142"/>
      <c r="K684" s="142"/>
      <c r="L684" s="153"/>
      <c r="M684" s="153"/>
      <c r="N684" s="142"/>
      <c r="O684" s="142"/>
      <c r="P684" s="152" t="str">
        <f>IF(VLOOKUP(A675,'Aux - pivots1'!$A:$E,3,0)=0, "",VLOOKUP(A675,'Aux - pivots1'!$A:$E,3,0))</f>
        <v/>
      </c>
      <c r="Q684" s="152" t="str">
        <f>IF(VLOOKUP(A675,'Aux - pivots1'!$A:$E,4,0)=0, "",VLOOKUP(A675,'Aux - pivots1'!$A:$E,4,0))</f>
        <v/>
      </c>
      <c r="R684" s="152" t="str">
        <f>IF(VLOOKUP(A675,'Aux - pivots1'!$A:$E,5,0)=0, "",VLOOKUP(A675,'Aux - pivots1'!$A:$E,5,0))</f>
        <v/>
      </c>
      <c r="S684" s="198"/>
      <c r="T684" s="198"/>
      <c r="U684" s="198"/>
      <c r="V684" s="320"/>
      <c r="W684" s="320"/>
      <c r="X684" s="320"/>
      <c r="Y684" s="368" t="s">
        <v>2320</v>
      </c>
      <c r="Z684" s="319"/>
    </row>
    <row r="685" spans="1:26" ht="16.399999999999999" hidden="1" customHeight="1">
      <c r="A685" s="29" t="str">
        <f t="shared" si="10"/>
        <v>lt002_instrumentprjct_fnnc_ln</v>
      </c>
      <c r="B685" s="141" t="s">
        <v>26</v>
      </c>
      <c r="C685" s="137" t="s">
        <v>26</v>
      </c>
      <c r="D685" s="133" t="s">
        <v>40</v>
      </c>
      <c r="E685" s="136" t="s">
        <v>379</v>
      </c>
      <c r="F685" s="474" t="s">
        <v>405</v>
      </c>
      <c r="G685" s="135" t="str">
        <f>VLOOKUP(A685,Plano_V3!$A$26:$G$768,7,0)</f>
        <v>1. Concluído</v>
      </c>
      <c r="H685" s="135" t="s">
        <v>612</v>
      </c>
      <c r="I685" s="467"/>
      <c r="J685" s="142"/>
      <c r="K685" s="142"/>
      <c r="L685" s="153"/>
      <c r="M685" s="153"/>
      <c r="N685" s="142"/>
      <c r="O685" s="142"/>
      <c r="P685" s="152" t="str">
        <f>IF(VLOOKUP(A676,'Aux - pivots1'!$A:$E,3,0)=0, "",VLOOKUP(A676,'Aux - pivots1'!$A:$E,3,0))</f>
        <v/>
      </c>
      <c r="Q685" s="152" t="str">
        <f>IF(VLOOKUP(A676,'Aux - pivots1'!$A:$E,4,0)=0, "",VLOOKUP(A676,'Aux - pivots1'!$A:$E,4,0))</f>
        <v/>
      </c>
      <c r="R685" s="152" t="str">
        <f>IF(VLOOKUP(A676,'Aux - pivots1'!$A:$E,5,0)=0, "",VLOOKUP(A676,'Aux - pivots1'!$A:$E,5,0))</f>
        <v/>
      </c>
      <c r="S685" s="198"/>
      <c r="T685" s="198"/>
      <c r="U685" s="198"/>
      <c r="V685" s="320"/>
      <c r="W685" s="320"/>
      <c r="X685" s="320"/>
      <c r="Y685" s="368" t="s">
        <v>2320</v>
      </c>
      <c r="Z685" s="319"/>
    </row>
    <row r="686" spans="1:26" ht="16.399999999999999" hidden="1" customHeight="1">
      <c r="A686" s="29" t="str">
        <f t="shared" si="10"/>
        <v>lt002_instrumenttyp_instrmnt</v>
      </c>
      <c r="B686" s="141" t="s">
        <v>26</v>
      </c>
      <c r="C686" s="137" t="s">
        <v>26</v>
      </c>
      <c r="D686" s="133" t="s">
        <v>40</v>
      </c>
      <c r="E686" s="136" t="s">
        <v>379</v>
      </c>
      <c r="F686" s="474" t="s">
        <v>406</v>
      </c>
      <c r="G686" s="135" t="str">
        <f>VLOOKUP(A686,Plano_V3!$A$26:$G$768,7,0)</f>
        <v>1. Concluído</v>
      </c>
      <c r="H686" s="135" t="s">
        <v>612</v>
      </c>
      <c r="I686" s="467"/>
      <c r="J686" s="142"/>
      <c r="K686" s="142"/>
      <c r="L686" s="153"/>
      <c r="M686" s="153"/>
      <c r="N686" s="142"/>
      <c r="O686" s="142"/>
      <c r="P686" s="152" t="str">
        <f>IF(VLOOKUP(A677,'Aux - pivots1'!$A:$E,3,0)=0, "",VLOOKUP(A677,'Aux - pivots1'!$A:$E,3,0))</f>
        <v/>
      </c>
      <c r="Q686" s="152" t="str">
        <f>IF(VLOOKUP(A677,'Aux - pivots1'!$A:$E,4,0)=0, "",VLOOKUP(A677,'Aux - pivots1'!$A:$E,4,0))</f>
        <v/>
      </c>
      <c r="R686" s="152" t="str">
        <f>IF(VLOOKUP(A677,'Aux - pivots1'!$A:$E,5,0)=0, "",VLOOKUP(A677,'Aux - pivots1'!$A:$E,5,0))</f>
        <v/>
      </c>
      <c r="S686" s="198"/>
      <c r="T686" s="198"/>
      <c r="U686" s="198"/>
      <c r="V686" s="320"/>
      <c r="W686" s="320"/>
      <c r="X686" s="320"/>
      <c r="Y686" s="368" t="s">
        <v>2320</v>
      </c>
      <c r="Z686" s="319"/>
    </row>
    <row r="687" spans="1:26" ht="16.399999999999999" hidden="1" customHeight="1">
      <c r="A687" s="29" t="str">
        <f t="shared" si="10"/>
        <v>lt002_instrumentgrss_crryng_amnt_instrmnt</v>
      </c>
      <c r="B687" s="141" t="s">
        <v>26</v>
      </c>
      <c r="C687" s="137" t="s">
        <v>26</v>
      </c>
      <c r="D687" s="133" t="s">
        <v>40</v>
      </c>
      <c r="E687" s="136" t="s">
        <v>379</v>
      </c>
      <c r="F687" s="474" t="s">
        <v>407</v>
      </c>
      <c r="G687" s="135" t="str">
        <f>VLOOKUP(A687,Plano_V3!$A$26:$G$768,7,0)</f>
        <v>1. Concluído</v>
      </c>
      <c r="H687" s="135" t="s">
        <v>612</v>
      </c>
      <c r="I687" s="467"/>
      <c r="J687" s="142"/>
      <c r="K687" s="142"/>
      <c r="L687" s="153"/>
      <c r="M687" s="153"/>
      <c r="N687" s="142"/>
      <c r="O687" s="142"/>
      <c r="P687" s="152" t="str">
        <f>IF(VLOOKUP(A678,'Aux - pivots1'!$A:$E,3,0)=0, "",VLOOKUP(A678,'Aux - pivots1'!$A:$E,3,0))</f>
        <v/>
      </c>
      <c r="Q687" s="152" t="str">
        <f>IF(VLOOKUP(A678,'Aux - pivots1'!$A:$E,4,0)=0, "",VLOOKUP(A678,'Aux - pivots1'!$A:$E,4,0))</f>
        <v/>
      </c>
      <c r="R687" s="152" t="str">
        <f>IF(VLOOKUP(A678,'Aux - pivots1'!$A:$E,5,0)=0, "",VLOOKUP(A678,'Aux - pivots1'!$A:$E,5,0))</f>
        <v/>
      </c>
      <c r="S687" s="198"/>
      <c r="T687" s="198"/>
      <c r="U687" s="198"/>
      <c r="V687" s="320"/>
      <c r="W687" s="320"/>
      <c r="X687" s="320"/>
      <c r="Y687" s="368" t="s">
        <v>2320</v>
      </c>
      <c r="Z687" s="319"/>
    </row>
    <row r="688" spans="1:26" ht="16.399999999999999" hidden="1" customHeight="1">
      <c r="A688" s="29" t="str">
        <f t="shared" si="10"/>
        <v>lt002_instrumentaccmltd_chngs_fv_cr_instrmnt</v>
      </c>
      <c r="B688" s="141" t="s">
        <v>26</v>
      </c>
      <c r="C688" s="137" t="s">
        <v>26</v>
      </c>
      <c r="D688" s="133" t="s">
        <v>40</v>
      </c>
      <c r="E688" s="136" t="s">
        <v>379</v>
      </c>
      <c r="F688" s="474" t="s">
        <v>408</v>
      </c>
      <c r="G688" s="135" t="str">
        <f>VLOOKUP(A688,Plano_V3!$A$26:$G$768,7,0)</f>
        <v>1. Concluído</v>
      </c>
      <c r="H688" s="135" t="s">
        <v>612</v>
      </c>
      <c r="I688" s="467"/>
      <c r="J688" s="142"/>
      <c r="K688" s="142"/>
      <c r="L688" s="153"/>
      <c r="M688" s="153"/>
      <c r="N688" s="142"/>
      <c r="O688" s="142"/>
      <c r="P688" s="152" t="str">
        <f>IF(VLOOKUP(A679,'Aux - pivots1'!$A:$E,3,0)=0, "",VLOOKUP(A679,'Aux - pivots1'!$A:$E,3,0))</f>
        <v/>
      </c>
      <c r="Q688" s="152" t="str">
        <f>IF(VLOOKUP(A679,'Aux - pivots1'!$A:$E,4,0)=0, "",VLOOKUP(A679,'Aux - pivots1'!$A:$E,4,0))</f>
        <v/>
      </c>
      <c r="R688" s="152" t="str">
        <f>IF(VLOOKUP(A679,'Aux - pivots1'!$A:$E,5,0)=0, "",VLOOKUP(A679,'Aux - pivots1'!$A:$E,5,0))</f>
        <v/>
      </c>
      <c r="S688" s="198"/>
      <c r="T688" s="198"/>
      <c r="U688" s="198"/>
      <c r="V688" s="320"/>
      <c r="W688" s="320"/>
      <c r="X688" s="320"/>
      <c r="Y688" s="368" t="s">
        <v>2320</v>
      </c>
      <c r="Z688" s="319"/>
    </row>
    <row r="689" spans="1:26" ht="16.399999999999999" hidden="1" customHeight="1">
      <c r="A689" s="29" t="str">
        <f t="shared" si="10"/>
        <v>lt002_instrumentaccntng_clssfctn</v>
      </c>
      <c r="B689" s="141" t="s">
        <v>26</v>
      </c>
      <c r="C689" s="137" t="s">
        <v>26</v>
      </c>
      <c r="D689" s="133" t="s">
        <v>40</v>
      </c>
      <c r="E689" s="136" t="s">
        <v>379</v>
      </c>
      <c r="F689" s="474" t="s">
        <v>409</v>
      </c>
      <c r="G689" s="135" t="str">
        <f>VLOOKUP(A689,Plano_V3!$A$26:$G$768,7,0)</f>
        <v>1. Concluído</v>
      </c>
      <c r="H689" s="135" t="s">
        <v>612</v>
      </c>
      <c r="I689" s="467"/>
      <c r="J689" s="142"/>
      <c r="K689" s="142"/>
      <c r="L689" s="153"/>
      <c r="M689" s="153"/>
      <c r="N689" s="142"/>
      <c r="O689" s="142"/>
      <c r="P689" s="152" t="str">
        <f>IF(VLOOKUP(A680,'Aux - pivots1'!$A:$E,3,0)=0, "",VLOOKUP(A680,'Aux - pivots1'!$A:$E,3,0))</f>
        <v/>
      </c>
      <c r="Q689" s="152" t="str">
        <f>IF(VLOOKUP(A680,'Aux - pivots1'!$A:$E,4,0)=0, "",VLOOKUP(A680,'Aux - pivots1'!$A:$E,4,0))</f>
        <v/>
      </c>
      <c r="R689" s="152" t="str">
        <f>IF(VLOOKUP(A680,'Aux - pivots1'!$A:$E,5,0)=0, "",VLOOKUP(A680,'Aux - pivots1'!$A:$E,5,0))</f>
        <v/>
      </c>
      <c r="S689" s="198"/>
      <c r="T689" s="198"/>
      <c r="U689" s="198"/>
      <c r="V689" s="320"/>
      <c r="W689" s="320"/>
      <c r="X689" s="320"/>
      <c r="Y689" s="368" t="s">
        <v>2320</v>
      </c>
      <c r="Z689" s="319"/>
    </row>
    <row r="690" spans="1:26" ht="16.399999999999999" hidden="1" customHeight="1">
      <c r="A690" s="29" t="str">
        <f t="shared" si="10"/>
        <v>lt002_instrumentdt_lgl_fnl_mtrty</v>
      </c>
      <c r="B690" s="141" t="s">
        <v>26</v>
      </c>
      <c r="C690" s="137" t="s">
        <v>26</v>
      </c>
      <c r="D690" s="133" t="s">
        <v>40</v>
      </c>
      <c r="E690" s="136" t="s">
        <v>379</v>
      </c>
      <c r="F690" s="474" t="s">
        <v>410</v>
      </c>
      <c r="G690" s="135" t="str">
        <f>VLOOKUP(A690,Plano_V3!$A$26:$G$768,7,0)</f>
        <v>1. Concluído</v>
      </c>
      <c r="H690" s="135" t="s">
        <v>612</v>
      </c>
      <c r="I690" s="467"/>
      <c r="J690" s="142"/>
      <c r="K690" s="142"/>
      <c r="L690" s="153"/>
      <c r="M690" s="153"/>
      <c r="N690" s="142"/>
      <c r="O690" s="142"/>
      <c r="P690" s="152" t="str">
        <f>IF(VLOOKUP(A681,'Aux - pivots1'!$A:$E,3,0)=0, "",VLOOKUP(A681,'Aux - pivots1'!$A:$E,3,0))</f>
        <v/>
      </c>
      <c r="Q690" s="152" t="str">
        <f>IF(VLOOKUP(A681,'Aux - pivots1'!$A:$E,4,0)=0, "",VLOOKUP(A681,'Aux - pivots1'!$A:$E,4,0))</f>
        <v/>
      </c>
      <c r="R690" s="152" t="str">
        <f>IF(VLOOKUP(A681,'Aux - pivots1'!$A:$E,5,0)=0, "",VLOOKUP(A681,'Aux - pivots1'!$A:$E,5,0))</f>
        <v/>
      </c>
      <c r="S690" s="198"/>
      <c r="T690" s="198"/>
      <c r="U690" s="198"/>
      <c r="V690" s="320"/>
      <c r="W690" s="320"/>
      <c r="X690" s="320"/>
      <c r="Y690" s="368" t="s">
        <v>2320</v>
      </c>
      <c r="Z690" s="319"/>
    </row>
    <row r="691" spans="1:26" ht="16.399999999999999" hidden="1" customHeight="1">
      <c r="A691" s="29" t="str">
        <f t="shared" si="10"/>
        <v>lt002_instrumentaccmltd_imprmnt_instrmnt</v>
      </c>
      <c r="B691" s="141" t="s">
        <v>26</v>
      </c>
      <c r="C691" s="137" t="s">
        <v>26</v>
      </c>
      <c r="D691" s="133" t="s">
        <v>40</v>
      </c>
      <c r="E691" s="136" t="s">
        <v>379</v>
      </c>
      <c r="F691" s="474" t="s">
        <v>411</v>
      </c>
      <c r="G691" s="135" t="str">
        <f>VLOOKUP(A691,Plano_V3!$A$26:$G$768,7,0)</f>
        <v>1. Concluído</v>
      </c>
      <c r="H691" s="135" t="s">
        <v>612</v>
      </c>
      <c r="I691" s="467"/>
      <c r="J691" s="142"/>
      <c r="K691" s="142"/>
      <c r="L691" s="153"/>
      <c r="M691" s="153"/>
      <c r="N691" s="142"/>
      <c r="O691" s="142"/>
      <c r="P691" s="152" t="str">
        <f>IF(VLOOKUP(A682,'Aux - pivots1'!$A:$E,3,0)=0, "",VLOOKUP(A682,'Aux - pivots1'!$A:$E,3,0))</f>
        <v/>
      </c>
      <c r="Q691" s="152" t="str">
        <f>IF(VLOOKUP(A682,'Aux - pivots1'!$A:$E,4,0)=0, "",VLOOKUP(A682,'Aux - pivots1'!$A:$E,4,0))</f>
        <v/>
      </c>
      <c r="R691" s="152" t="str">
        <f>IF(VLOOKUP(A682,'Aux - pivots1'!$A:$E,5,0)=0, "",VLOOKUP(A682,'Aux - pivots1'!$A:$E,5,0))</f>
        <v/>
      </c>
      <c r="S691" s="198"/>
      <c r="T691" s="198"/>
      <c r="U691" s="198"/>
      <c r="V691" s="320"/>
      <c r="W691" s="320"/>
      <c r="X691" s="320"/>
      <c r="Y691" s="368" t="s">
        <v>2320</v>
      </c>
      <c r="Z691" s="319"/>
    </row>
    <row r="692" spans="1:26" ht="16.399999999999999" hidden="1" customHeight="1">
      <c r="A692" s="29" t="str">
        <f t="shared" si="10"/>
        <v>lt002_instrumentissr_cntry</v>
      </c>
      <c r="B692" s="141" t="s">
        <v>26</v>
      </c>
      <c r="C692" s="137" t="s">
        <v>26</v>
      </c>
      <c r="D692" s="133" t="s">
        <v>40</v>
      </c>
      <c r="E692" s="136" t="s">
        <v>379</v>
      </c>
      <c r="F692" s="474" t="s">
        <v>412</v>
      </c>
      <c r="G692" s="135" t="str">
        <f>VLOOKUP(A692,Plano_V3!$A$26:$G$768,7,0)</f>
        <v>1. Concluído</v>
      </c>
      <c r="H692" s="135" t="s">
        <v>612</v>
      </c>
      <c r="I692" s="467"/>
      <c r="J692" s="142"/>
      <c r="K692" s="142"/>
      <c r="L692" s="153"/>
      <c r="M692" s="153"/>
      <c r="N692" s="142"/>
      <c r="O692" s="142"/>
      <c r="P692" s="152" t="str">
        <f>IF(VLOOKUP(A683,'Aux - pivots1'!$A:$E,3,0)=0, "",VLOOKUP(A683,'Aux - pivots1'!$A:$E,3,0))</f>
        <v/>
      </c>
      <c r="Q692" s="152" t="str">
        <f>IF(VLOOKUP(A683,'Aux - pivots1'!$A:$E,4,0)=0, "",VLOOKUP(A683,'Aux - pivots1'!$A:$E,4,0))</f>
        <v/>
      </c>
      <c r="R692" s="152" t="str">
        <f>IF(VLOOKUP(A683,'Aux - pivots1'!$A:$E,5,0)=0, "",VLOOKUP(A683,'Aux - pivots1'!$A:$E,5,0))</f>
        <v/>
      </c>
      <c r="S692" s="198"/>
      <c r="T692" s="198"/>
      <c r="U692" s="198"/>
      <c r="V692" s="320"/>
      <c r="W692" s="320"/>
      <c r="X692" s="320"/>
      <c r="Y692" s="368" t="s">
        <v>2320</v>
      </c>
      <c r="Z692" s="319"/>
    </row>
    <row r="693" spans="1:26" ht="16.399999999999999" hidden="1" customHeight="1">
      <c r="A693" s="29" t="str">
        <f t="shared" si="10"/>
        <v>lt002_instrumentissr_nace_sctr</v>
      </c>
      <c r="B693" s="141" t="s">
        <v>26</v>
      </c>
      <c r="C693" s="137" t="s">
        <v>26</v>
      </c>
      <c r="D693" s="133" t="s">
        <v>40</v>
      </c>
      <c r="E693" s="136" t="s">
        <v>379</v>
      </c>
      <c r="F693" s="474" t="s">
        <v>413</v>
      </c>
      <c r="G693" s="135" t="str">
        <f>VLOOKUP(A693,Plano_V3!$A$26:$G$768,7,0)</f>
        <v>1. Concluído</v>
      </c>
      <c r="H693" s="135" t="s">
        <v>612</v>
      </c>
      <c r="I693" s="467"/>
      <c r="J693" s="142"/>
      <c r="K693" s="142"/>
      <c r="L693" s="153"/>
      <c r="M693" s="153"/>
      <c r="N693" s="142"/>
      <c r="O693" s="142"/>
      <c r="P693" s="152" t="str">
        <f>IF(VLOOKUP(A684,'Aux - pivots1'!$A:$E,3,0)=0, "",VLOOKUP(A684,'Aux - pivots1'!$A:$E,3,0))</f>
        <v/>
      </c>
      <c r="Q693" s="152" t="str">
        <f>IF(VLOOKUP(A684,'Aux - pivots1'!$A:$E,4,0)=0, "",VLOOKUP(A684,'Aux - pivots1'!$A:$E,4,0))</f>
        <v/>
      </c>
      <c r="R693" s="152" t="str">
        <f>IF(VLOOKUP(A684,'Aux - pivots1'!$A:$E,5,0)=0, "",VLOOKUP(A684,'Aux - pivots1'!$A:$E,5,0))</f>
        <v/>
      </c>
      <c r="S693" s="198"/>
      <c r="T693" s="198"/>
      <c r="U693" s="198"/>
      <c r="V693" s="320"/>
      <c r="W693" s="320"/>
      <c r="X693" s="320"/>
      <c r="Y693" s="368" t="s">
        <v>2320</v>
      </c>
      <c r="Z693" s="319"/>
    </row>
    <row r="694" spans="1:26" ht="16.399999999999999" hidden="1" customHeight="1">
      <c r="A694" s="29" t="str">
        <f t="shared" si="10"/>
        <v>lt002_instrumentprmry_asst_clssf</v>
      </c>
      <c r="B694" s="141" t="s">
        <v>26</v>
      </c>
      <c r="C694" s="137" t="s">
        <v>26</v>
      </c>
      <c r="D694" s="133" t="s">
        <v>40</v>
      </c>
      <c r="E694" s="136" t="s">
        <v>379</v>
      </c>
      <c r="F694" s="474" t="s">
        <v>414</v>
      </c>
      <c r="G694" s="135" t="str">
        <f>VLOOKUP(A694,Plano_V3!$A$26:$G$768,7,0)</f>
        <v>1. Concluído</v>
      </c>
      <c r="H694" s="135" t="s">
        <v>612</v>
      </c>
      <c r="I694" s="467"/>
      <c r="J694" s="142"/>
      <c r="K694" s="142"/>
      <c r="L694" s="153"/>
      <c r="M694" s="153"/>
      <c r="N694" s="142"/>
      <c r="O694" s="142"/>
      <c r="P694" s="152" t="str">
        <f>IF(VLOOKUP(A685,'Aux - pivots1'!$A:$E,3,0)=0, "",VLOOKUP(A685,'Aux - pivots1'!$A:$E,3,0))</f>
        <v/>
      </c>
      <c r="Q694" s="152" t="str">
        <f>IF(VLOOKUP(A685,'Aux - pivots1'!$A:$E,4,0)=0, "",VLOOKUP(A685,'Aux - pivots1'!$A:$E,4,0))</f>
        <v/>
      </c>
      <c r="R694" s="152" t="str">
        <f>IF(VLOOKUP(A685,'Aux - pivots1'!$A:$E,5,0)=0, "",VLOOKUP(A685,'Aux - pivots1'!$A:$E,5,0))</f>
        <v/>
      </c>
      <c r="S694" s="198"/>
      <c r="T694" s="198"/>
      <c r="U694" s="198"/>
      <c r="V694" s="320"/>
      <c r="W694" s="320"/>
      <c r="X694" s="320"/>
      <c r="Y694" s="368" t="s">
        <v>2320</v>
      </c>
      <c r="Z694" s="319"/>
    </row>
    <row r="695" spans="1:26" ht="16.399999999999999" hidden="1" customHeight="1">
      <c r="A695" s="29" t="str">
        <f t="shared" si="10"/>
        <v>lt002_instrumentsubportfolio_id</v>
      </c>
      <c r="B695" s="141" t="s">
        <v>26</v>
      </c>
      <c r="C695" s="137" t="s">
        <v>26</v>
      </c>
      <c r="D695" s="133" t="s">
        <v>40</v>
      </c>
      <c r="E695" s="136" t="s">
        <v>379</v>
      </c>
      <c r="F695" s="474" t="s">
        <v>415</v>
      </c>
      <c r="G695" s="135" t="str">
        <f>VLOOKUP(A695,Plano_V3!$A$26:$G$768,7,0)</f>
        <v>1. Concluído</v>
      </c>
      <c r="H695" s="135" t="s">
        <v>612</v>
      </c>
      <c r="I695" s="467"/>
      <c r="J695" s="142"/>
      <c r="K695" s="142"/>
      <c r="L695" s="153"/>
      <c r="M695" s="153"/>
      <c r="N695" s="142"/>
      <c r="O695" s="142"/>
      <c r="P695" s="152" t="str">
        <f>IF(VLOOKUP(A686,'Aux - pivots1'!$A:$E,3,0)=0, "",VLOOKUP(A686,'Aux - pivots1'!$A:$E,3,0))</f>
        <v/>
      </c>
      <c r="Q695" s="152" t="str">
        <f>IF(VLOOKUP(A686,'Aux - pivots1'!$A:$E,4,0)=0, "",VLOOKUP(A686,'Aux - pivots1'!$A:$E,4,0))</f>
        <v/>
      </c>
      <c r="R695" s="152" t="str">
        <f>IF(VLOOKUP(A686,'Aux - pivots1'!$A:$E,5,0)=0, "",VLOOKUP(A686,'Aux - pivots1'!$A:$E,5,0))</f>
        <v/>
      </c>
      <c r="S695" s="198"/>
      <c r="T695" s="198"/>
      <c r="U695" s="198"/>
      <c r="V695" s="320"/>
      <c r="W695" s="320"/>
      <c r="X695" s="320"/>
      <c r="Y695" s="368" t="s">
        <v>2320</v>
      </c>
      <c r="Z695" s="319"/>
    </row>
    <row r="696" spans="1:26" ht="16.399999999999999" hidden="1" customHeight="1">
      <c r="A696" s="29" t="str">
        <f t="shared" si="10"/>
        <v>lt002_instrumentcod_soc</v>
      </c>
      <c r="B696" s="141" t="s">
        <v>26</v>
      </c>
      <c r="C696" s="137" t="s">
        <v>26</v>
      </c>
      <c r="D696" s="133" t="s">
        <v>40</v>
      </c>
      <c r="E696" s="136" t="s">
        <v>379</v>
      </c>
      <c r="F696" s="474" t="s">
        <v>416</v>
      </c>
      <c r="G696" s="135" t="str">
        <f>VLOOKUP(A696,Plano_V3!$A$26:$G$768,7,0)</f>
        <v>1. Concluído</v>
      </c>
      <c r="H696" s="135" t="s">
        <v>612</v>
      </c>
      <c r="I696" s="467"/>
      <c r="J696" s="142"/>
      <c r="K696" s="142"/>
      <c r="L696" s="153"/>
      <c r="M696" s="153"/>
      <c r="N696" s="142"/>
      <c r="O696" s="142"/>
      <c r="P696" s="152" t="str">
        <f>IF(VLOOKUP(A687,'Aux - pivots1'!$A:$E,3,0)=0, "",VLOOKUP(A687,'Aux - pivots1'!$A:$E,3,0))</f>
        <v/>
      </c>
      <c r="Q696" s="152" t="str">
        <f>IF(VLOOKUP(A687,'Aux - pivots1'!$A:$E,4,0)=0, "",VLOOKUP(A687,'Aux - pivots1'!$A:$E,4,0))</f>
        <v/>
      </c>
      <c r="R696" s="152" t="str">
        <f>IF(VLOOKUP(A687,'Aux - pivots1'!$A:$E,5,0)=0, "",VLOOKUP(A687,'Aux - pivots1'!$A:$E,5,0))</f>
        <v/>
      </c>
      <c r="S696" s="198"/>
      <c r="T696" s="198"/>
      <c r="U696" s="198"/>
      <c r="V696" s="320"/>
      <c r="W696" s="320"/>
      <c r="X696" s="320"/>
      <c r="Y696" s="368" t="s">
        <v>2320</v>
      </c>
      <c r="Z696" s="319"/>
    </row>
    <row r="697" spans="1:26" ht="16.399999999999999" hidden="1" customHeight="1">
      <c r="A697" s="29" t="str">
        <f t="shared" si="10"/>
        <v>lt002_instrumentlcl_instmrnt_id</v>
      </c>
      <c r="B697" s="141" t="s">
        <v>26</v>
      </c>
      <c r="C697" s="137" t="s">
        <v>26</v>
      </c>
      <c r="D697" s="133" t="s">
        <v>40</v>
      </c>
      <c r="E697" s="136" t="s">
        <v>379</v>
      </c>
      <c r="F697" s="474" t="s">
        <v>417</v>
      </c>
      <c r="G697" s="135" t="str">
        <f>VLOOKUP(A697,Plano_V3!$A$26:$G$768,7,0)</f>
        <v>1. Concluído</v>
      </c>
      <c r="H697" s="135" t="s">
        <v>612</v>
      </c>
      <c r="I697" s="467"/>
      <c r="J697" s="142"/>
      <c r="K697" s="142"/>
      <c r="L697" s="153"/>
      <c r="M697" s="153"/>
      <c r="N697" s="142"/>
      <c r="O697" s="142"/>
      <c r="P697" s="152" t="str">
        <f>IF(VLOOKUP(A688,'Aux - pivots1'!$A:$E,3,0)=0, "",VLOOKUP(A688,'Aux - pivots1'!$A:$E,3,0))</f>
        <v/>
      </c>
      <c r="Q697" s="152" t="str">
        <f>IF(VLOOKUP(A688,'Aux - pivots1'!$A:$E,4,0)=0, "",VLOOKUP(A688,'Aux - pivots1'!$A:$E,4,0))</f>
        <v/>
      </c>
      <c r="R697" s="152" t="str">
        <f>IF(VLOOKUP(A688,'Aux - pivots1'!$A:$E,5,0)=0, "",VLOOKUP(A688,'Aux - pivots1'!$A:$E,5,0))</f>
        <v/>
      </c>
      <c r="S697" s="198"/>
      <c r="T697" s="198"/>
      <c r="U697" s="198"/>
      <c r="V697" s="320"/>
      <c r="W697" s="320"/>
      <c r="X697" s="320"/>
      <c r="Y697" s="368" t="s">
        <v>2320</v>
      </c>
      <c r="Z697" s="319"/>
    </row>
    <row r="698" spans="1:26" ht="16.399999999999999" hidden="1" customHeight="1">
      <c r="A698" s="29" t="str">
        <f t="shared" si="10"/>
        <v>lt002_instrumentidcmb</v>
      </c>
      <c r="B698" s="141" t="s">
        <v>26</v>
      </c>
      <c r="C698" s="137" t="s">
        <v>26</v>
      </c>
      <c r="D698" s="133" t="s">
        <v>40</v>
      </c>
      <c r="E698" s="136" t="s">
        <v>379</v>
      </c>
      <c r="F698" s="474" t="s">
        <v>423</v>
      </c>
      <c r="G698" s="135" t="str">
        <f>VLOOKUP(A698,Plano_V3!$A$26:$G$768,7,0)</f>
        <v>1. Concluído</v>
      </c>
      <c r="H698" s="135" t="s">
        <v>612</v>
      </c>
      <c r="I698" s="467"/>
      <c r="J698" s="142"/>
      <c r="K698" s="142"/>
      <c r="L698" s="153"/>
      <c r="M698" s="153"/>
      <c r="N698" s="142"/>
      <c r="O698" s="142"/>
      <c r="P698" s="152" t="str">
        <f>IF(VLOOKUP(A681,'Aux - pivots1'!$A:$E,3,0)=0, "",VLOOKUP(A681,'Aux - pivots1'!$A:$E,3,0))</f>
        <v/>
      </c>
      <c r="Q698" s="152" t="str">
        <f>IF(VLOOKUP(A681,'Aux - pivots1'!$A:$E,4,0)=0, "",VLOOKUP(A681,'Aux - pivots1'!$A:$E,4,0))</f>
        <v/>
      </c>
      <c r="R698" s="152" t="str">
        <f>IF(VLOOKUP(A681,'Aux - pivots1'!$A:$E,5,0)=0, "",VLOOKUP(A681,'Aux - pivots1'!$A:$E,5,0))</f>
        <v/>
      </c>
      <c r="S698" s="198"/>
      <c r="T698" s="198"/>
      <c r="U698" s="198"/>
      <c r="V698" s="320"/>
      <c r="W698" s="320"/>
      <c r="X698" s="320"/>
      <c r="Y698" s="368" t="s">
        <v>2320</v>
      </c>
      <c r="Z698" s="319"/>
    </row>
    <row r="699" spans="1:26" ht="16.399999999999999" hidden="1" customHeight="1">
      <c r="A699" s="29" t="str">
        <f t="shared" si="10"/>
        <v>lt003_entitycntry</v>
      </c>
      <c r="B699" s="141" t="s">
        <v>26</v>
      </c>
      <c r="C699" s="137" t="s">
        <v>26</v>
      </c>
      <c r="D699" s="133" t="s">
        <v>40</v>
      </c>
      <c r="E699" s="136" t="s">
        <v>335</v>
      </c>
      <c r="F699" s="474" t="s">
        <v>424</v>
      </c>
      <c r="G699" s="135" t="str">
        <f>VLOOKUP(A699,Plano_V3!$A$26:$G$768,7,0)</f>
        <v>1. Concluído</v>
      </c>
      <c r="H699" s="135" t="s">
        <v>612</v>
      </c>
      <c r="I699" s="467"/>
      <c r="J699" s="142"/>
      <c r="K699" s="142"/>
      <c r="L699" s="153"/>
      <c r="M699" s="153"/>
      <c r="N699" s="142"/>
      <c r="O699" s="142"/>
      <c r="P699" s="152" t="str">
        <f>IF(VLOOKUP(A667,'Aux - pivots1'!$A:$E,3,0)=0, "",VLOOKUP(A667,'Aux - pivots1'!$A:$E,3,0))</f>
        <v/>
      </c>
      <c r="Q699" s="152" t="str">
        <f>IF(VLOOKUP(A667,'Aux - pivots1'!$A:$E,4,0)=0, "",VLOOKUP(A667,'Aux - pivots1'!$A:$E,4,0))</f>
        <v/>
      </c>
      <c r="R699" s="152" t="str">
        <f>IF(VLOOKUP(A667,'Aux - pivots1'!$A:$E,5,0)=0, "",VLOOKUP(A667,'Aux - pivots1'!$A:$E,5,0))</f>
        <v/>
      </c>
      <c r="S699" s="198"/>
      <c r="T699" s="198"/>
      <c r="U699" s="198"/>
      <c r="V699" s="320"/>
      <c r="W699" s="320"/>
      <c r="X699" s="320"/>
      <c r="Y699" s="368" t="s">
        <v>2320</v>
      </c>
      <c r="Z699" s="319"/>
    </row>
    <row r="700" spans="1:26" ht="16.399999999999999" hidden="1" customHeight="1">
      <c r="A700" s="29" t="str">
        <f t="shared" si="10"/>
        <v>lt003_entitydt_rfrnc</v>
      </c>
      <c r="B700" s="141" t="s">
        <v>26</v>
      </c>
      <c r="C700" s="137" t="s">
        <v>26</v>
      </c>
      <c r="D700" s="133" t="s">
        <v>40</v>
      </c>
      <c r="E700" s="136" t="s">
        <v>335</v>
      </c>
      <c r="F700" s="474" t="s">
        <v>398</v>
      </c>
      <c r="G700" s="135" t="str">
        <f>VLOOKUP(A700,Plano_V3!$A$26:$G$768,7,0)</f>
        <v>1. Concluído</v>
      </c>
      <c r="H700" s="135" t="s">
        <v>612</v>
      </c>
      <c r="I700" s="467"/>
      <c r="J700" s="142"/>
      <c r="K700" s="142"/>
      <c r="L700" s="153"/>
      <c r="M700" s="153"/>
      <c r="N700" s="142"/>
      <c r="O700" s="142"/>
      <c r="P700" s="152" t="str">
        <f>IF(VLOOKUP(A668,'Aux - pivots1'!$A:$E,3,0)=0, "",VLOOKUP(A668,'Aux - pivots1'!$A:$E,3,0))</f>
        <v/>
      </c>
      <c r="Q700" s="152" t="str">
        <f>IF(VLOOKUP(A668,'Aux - pivots1'!$A:$E,4,0)=0, "",VLOOKUP(A668,'Aux - pivots1'!$A:$E,4,0))</f>
        <v/>
      </c>
      <c r="R700" s="152" t="str">
        <f>IF(VLOOKUP(A668,'Aux - pivots1'!$A:$E,5,0)=0, "",VLOOKUP(A668,'Aux - pivots1'!$A:$E,5,0))</f>
        <v/>
      </c>
      <c r="S700" s="198"/>
      <c r="T700" s="198"/>
      <c r="U700" s="198"/>
      <c r="V700" s="320"/>
      <c r="W700" s="320"/>
      <c r="X700" s="320"/>
      <c r="Y700" s="368" t="s">
        <v>2320</v>
      </c>
      <c r="Z700" s="319"/>
    </row>
    <row r="701" spans="1:26" ht="16.399999999999999" hidden="1" customHeight="1">
      <c r="A701" s="29" t="str">
        <f t="shared" si="10"/>
        <v>lt003_entityentty_id</v>
      </c>
      <c r="B701" s="141" t="s">
        <v>26</v>
      </c>
      <c r="C701" s="137" t="s">
        <v>26</v>
      </c>
      <c r="D701" s="133" t="s">
        <v>40</v>
      </c>
      <c r="E701" s="136" t="s">
        <v>335</v>
      </c>
      <c r="F701" s="474" t="s">
        <v>425</v>
      </c>
      <c r="G701" s="135" t="str">
        <f>VLOOKUP(A701,Plano_V3!$A$26:$G$768,7,0)</f>
        <v>1. Concluído</v>
      </c>
      <c r="H701" s="135" t="s">
        <v>612</v>
      </c>
      <c r="I701" s="467"/>
      <c r="J701" s="142"/>
      <c r="K701" s="142"/>
      <c r="L701" s="153"/>
      <c r="M701" s="153"/>
      <c r="N701" s="142"/>
      <c r="O701" s="142"/>
      <c r="P701" s="152" t="str">
        <f>IF(VLOOKUP(A669,'Aux - pivots1'!$A:$E,3,0)=0, "",VLOOKUP(A669,'Aux - pivots1'!$A:$E,3,0))</f>
        <v/>
      </c>
      <c r="Q701" s="152" t="str">
        <f>IF(VLOOKUP(A669,'Aux - pivots1'!$A:$E,4,0)=0, "",VLOOKUP(A669,'Aux - pivots1'!$A:$E,4,0))</f>
        <v/>
      </c>
      <c r="R701" s="152" t="str">
        <f>IF(VLOOKUP(A669,'Aux - pivots1'!$A:$E,5,0)=0, "",VLOOKUP(A669,'Aux - pivots1'!$A:$E,5,0))</f>
        <v/>
      </c>
      <c r="S701" s="198"/>
      <c r="T701" s="198"/>
      <c r="U701" s="198"/>
      <c r="V701" s="320"/>
      <c r="W701" s="320"/>
      <c r="X701" s="320"/>
      <c r="Y701" s="368" t="s">
        <v>2320</v>
      </c>
      <c r="Z701" s="319"/>
    </row>
    <row r="702" spans="1:26" ht="16.399999999999999" hidden="1" customHeight="1">
      <c r="A702" s="29" t="str">
        <f t="shared" si="10"/>
        <v>lt003_entitylei</v>
      </c>
      <c r="B702" s="141" t="s">
        <v>26</v>
      </c>
      <c r="C702" s="137" t="s">
        <v>26</v>
      </c>
      <c r="D702" s="133" t="s">
        <v>40</v>
      </c>
      <c r="E702" s="136" t="s">
        <v>335</v>
      </c>
      <c r="F702" s="474" t="s">
        <v>426</v>
      </c>
      <c r="G702" s="135" t="str">
        <f>VLOOKUP(A702,Plano_V3!$A$26:$G$768,7,0)</f>
        <v>1. Concluído</v>
      </c>
      <c r="H702" s="135" t="s">
        <v>612</v>
      </c>
      <c r="I702" s="467"/>
      <c r="J702" s="142"/>
      <c r="K702" s="142"/>
      <c r="L702" s="153"/>
      <c r="M702" s="153"/>
      <c r="N702" s="142"/>
      <c r="O702" s="142"/>
      <c r="P702" s="152" t="str">
        <f>IF(VLOOKUP(A670,'Aux - pivots1'!$A:$E,3,0)=0, "",VLOOKUP(A670,'Aux - pivots1'!$A:$E,3,0))</f>
        <v/>
      </c>
      <c r="Q702" s="152" t="str">
        <f>IF(VLOOKUP(A670,'Aux - pivots1'!$A:$E,4,0)=0, "",VLOOKUP(A670,'Aux - pivots1'!$A:$E,4,0))</f>
        <v/>
      </c>
      <c r="R702" s="152" t="str">
        <f>IF(VLOOKUP(A670,'Aux - pivots1'!$A:$E,5,0)=0, "",VLOOKUP(A670,'Aux - pivots1'!$A:$E,5,0))</f>
        <v/>
      </c>
      <c r="S702" s="198"/>
      <c r="T702" s="198"/>
      <c r="U702" s="198"/>
      <c r="V702" s="320"/>
      <c r="W702" s="320"/>
      <c r="X702" s="320"/>
      <c r="Y702" s="368" t="s">
        <v>2320</v>
      </c>
      <c r="Z702" s="319"/>
    </row>
    <row r="703" spans="1:26" ht="16.399999999999999" hidden="1" customHeight="1">
      <c r="A703" s="29" t="str">
        <f t="shared" si="10"/>
        <v>lt003_entityecnmc_actvty</v>
      </c>
      <c r="B703" s="141" t="s">
        <v>26</v>
      </c>
      <c r="C703" s="137" t="s">
        <v>26</v>
      </c>
      <c r="D703" s="133" t="s">
        <v>40</v>
      </c>
      <c r="E703" s="136" t="s">
        <v>335</v>
      </c>
      <c r="F703" s="474" t="s">
        <v>427</v>
      </c>
      <c r="G703" s="135" t="str">
        <f>VLOOKUP(A703,Plano_V3!$A$26:$G$768,7,0)</f>
        <v>1. Concluído</v>
      </c>
      <c r="H703" s="135" t="s">
        <v>612</v>
      </c>
      <c r="I703" s="467"/>
      <c r="J703" s="142"/>
      <c r="K703" s="142"/>
      <c r="L703" s="153"/>
      <c r="M703" s="153"/>
      <c r="N703" s="142"/>
      <c r="O703" s="142"/>
      <c r="P703" s="152" t="str">
        <f>IF(VLOOKUP(A678,'Aux - pivots1'!$A:$E,3,0)=0, "",VLOOKUP(A678,'Aux - pivots1'!$A:$E,3,0))</f>
        <v/>
      </c>
      <c r="Q703" s="152" t="str">
        <f>IF(VLOOKUP(A678,'Aux - pivots1'!$A:$E,4,0)=0, "",VLOOKUP(A678,'Aux - pivots1'!$A:$E,4,0))</f>
        <v/>
      </c>
      <c r="R703" s="152" t="str">
        <f>IF(VLOOKUP(A678,'Aux - pivots1'!$A:$E,5,0)=0, "",VLOOKUP(A678,'Aux - pivots1'!$A:$E,5,0))</f>
        <v/>
      </c>
      <c r="S703" s="198"/>
      <c r="T703" s="198"/>
      <c r="U703" s="198"/>
      <c r="V703" s="320"/>
      <c r="W703" s="320"/>
      <c r="X703" s="320"/>
      <c r="Y703" s="368" t="s">
        <v>2320</v>
      </c>
      <c r="Z703" s="319"/>
    </row>
    <row r="704" spans="1:26" ht="16.399999999999999" hidden="1" customHeight="1">
      <c r="A704" s="29" t="str">
        <f t="shared" si="10"/>
        <v>lt003_entitygrp_eqty</v>
      </c>
      <c r="B704" s="141" t="s">
        <v>26</v>
      </c>
      <c r="C704" s="137" t="s">
        <v>26</v>
      </c>
      <c r="D704" s="133" t="s">
        <v>40</v>
      </c>
      <c r="E704" s="136" t="s">
        <v>335</v>
      </c>
      <c r="F704" s="474" t="s">
        <v>428</v>
      </c>
      <c r="G704" s="135" t="str">
        <f>VLOOKUP(A704,Plano_V3!$A$26:$G$768,7,0)</f>
        <v>1. Concluído</v>
      </c>
      <c r="H704" s="135" t="s">
        <v>612</v>
      </c>
      <c r="I704" s="467"/>
      <c r="J704" s="142"/>
      <c r="K704" s="142"/>
      <c r="L704" s="153"/>
      <c r="M704" s="153"/>
      <c r="N704" s="142"/>
      <c r="O704" s="142"/>
      <c r="P704" s="152" t="str">
        <f>IF(VLOOKUP(A679,'Aux - pivots1'!$A:$E,3,0)=0, "",VLOOKUP(A679,'Aux - pivots1'!$A:$E,3,0))</f>
        <v/>
      </c>
      <c r="Q704" s="152" t="str">
        <f>IF(VLOOKUP(A679,'Aux - pivots1'!$A:$E,4,0)=0, "",VLOOKUP(A679,'Aux - pivots1'!$A:$E,4,0))</f>
        <v/>
      </c>
      <c r="R704" s="152" t="str">
        <f>IF(VLOOKUP(A679,'Aux - pivots1'!$A:$E,5,0)=0, "",VLOOKUP(A679,'Aux - pivots1'!$A:$E,5,0))</f>
        <v/>
      </c>
      <c r="S704" s="198"/>
      <c r="T704" s="198"/>
      <c r="U704" s="198"/>
      <c r="V704" s="320"/>
      <c r="W704" s="320"/>
      <c r="X704" s="320"/>
      <c r="Y704" s="368" t="s">
        <v>2320</v>
      </c>
      <c r="Z704" s="319"/>
    </row>
    <row r="705" spans="1:26" ht="16.399999999999999" hidden="1" customHeight="1">
      <c r="A705" s="29" t="str">
        <f t="shared" si="10"/>
        <v>lt003_entityannl_trnvr_le</v>
      </c>
      <c r="B705" s="141" t="s">
        <v>26</v>
      </c>
      <c r="C705" s="137" t="s">
        <v>26</v>
      </c>
      <c r="D705" s="133" t="s">
        <v>40</v>
      </c>
      <c r="E705" s="136" t="s">
        <v>335</v>
      </c>
      <c r="F705" s="474" t="s">
        <v>429</v>
      </c>
      <c r="G705" s="135" t="str">
        <f>VLOOKUP(A705,Plano_V3!$A$26:$G$768,7,0)</f>
        <v>1. Concluído</v>
      </c>
      <c r="H705" s="135" t="s">
        <v>612</v>
      </c>
      <c r="I705" s="467"/>
      <c r="J705" s="142"/>
      <c r="K705" s="142"/>
      <c r="L705" s="153"/>
      <c r="M705" s="153"/>
      <c r="N705" s="142"/>
      <c r="O705" s="142"/>
      <c r="P705" s="152" t="str">
        <f>IF(VLOOKUP(A680,'Aux - pivots1'!$A:$E,3,0)=0, "",VLOOKUP(A680,'Aux - pivots1'!$A:$E,3,0))</f>
        <v/>
      </c>
      <c r="Q705" s="152" t="str">
        <f>IF(VLOOKUP(A680,'Aux - pivots1'!$A:$E,4,0)=0, "",VLOOKUP(A680,'Aux - pivots1'!$A:$E,4,0))</f>
        <v/>
      </c>
      <c r="R705" s="152" t="str">
        <f>IF(VLOOKUP(A680,'Aux - pivots1'!$A:$E,5,0)=0, "",VLOOKUP(A680,'Aux - pivots1'!$A:$E,5,0))</f>
        <v/>
      </c>
      <c r="S705" s="198"/>
      <c r="T705" s="198"/>
      <c r="U705" s="198"/>
      <c r="V705" s="320"/>
      <c r="W705" s="320"/>
      <c r="X705" s="320"/>
      <c r="Y705" s="368" t="s">
        <v>2320</v>
      </c>
      <c r="Z705" s="319"/>
    </row>
    <row r="706" spans="1:26" ht="16.399999999999999" hidden="1" customHeight="1">
      <c r="A706" s="29" t="str">
        <f t="shared" si="10"/>
        <v>lt003_entityeqty</v>
      </c>
      <c r="B706" s="141" t="s">
        <v>26</v>
      </c>
      <c r="C706" s="137" t="s">
        <v>26</v>
      </c>
      <c r="D706" s="133" t="s">
        <v>40</v>
      </c>
      <c r="E706" s="136" t="s">
        <v>335</v>
      </c>
      <c r="F706" s="474" t="s">
        <v>430</v>
      </c>
      <c r="G706" s="135" t="str">
        <f>VLOOKUP(A706,Plano_V3!$A$26:$G$768,7,0)</f>
        <v>1. Concluído</v>
      </c>
      <c r="H706" s="135" t="s">
        <v>612</v>
      </c>
      <c r="I706" s="467"/>
      <c r="J706" s="142"/>
      <c r="K706" s="142"/>
      <c r="L706" s="153"/>
      <c r="M706" s="153"/>
      <c r="N706" s="142"/>
      <c r="O706" s="142"/>
      <c r="P706" s="152" t="str">
        <f>IF(VLOOKUP(A681,'Aux - pivots1'!$A:$E,3,0)=0, "",VLOOKUP(A681,'Aux - pivots1'!$A:$E,3,0))</f>
        <v/>
      </c>
      <c r="Q706" s="152" t="str">
        <f>IF(VLOOKUP(A681,'Aux - pivots1'!$A:$E,4,0)=0, "",VLOOKUP(A681,'Aux - pivots1'!$A:$E,4,0))</f>
        <v/>
      </c>
      <c r="R706" s="152" t="str">
        <f>IF(VLOOKUP(A681,'Aux - pivots1'!$A:$E,5,0)=0, "",VLOOKUP(A681,'Aux - pivots1'!$A:$E,5,0))</f>
        <v/>
      </c>
      <c r="S706" s="198"/>
      <c r="T706" s="198"/>
      <c r="U706" s="198"/>
      <c r="V706" s="320"/>
      <c r="W706" s="320"/>
      <c r="X706" s="320"/>
      <c r="Y706" s="368" t="s">
        <v>2320</v>
      </c>
      <c r="Z706" s="319"/>
    </row>
    <row r="707" spans="1:26" ht="16.399999999999999" hidden="1" customHeight="1">
      <c r="A707" s="29" t="str">
        <f t="shared" si="10"/>
        <v>lt003_entitygrp_ttl_dbt</v>
      </c>
      <c r="B707" s="141" t="s">
        <v>26</v>
      </c>
      <c r="C707" s="137" t="s">
        <v>26</v>
      </c>
      <c r="D707" s="133" t="s">
        <v>40</v>
      </c>
      <c r="E707" s="136" t="s">
        <v>335</v>
      </c>
      <c r="F707" s="474" t="s">
        <v>431</v>
      </c>
      <c r="G707" s="135" t="str">
        <f>VLOOKUP(A707,Plano_V3!$A$26:$G$768,7,0)</f>
        <v>1. Concluído</v>
      </c>
      <c r="H707" s="135" t="s">
        <v>612</v>
      </c>
      <c r="I707" s="467"/>
      <c r="J707" s="142"/>
      <c r="K707" s="142"/>
      <c r="L707" s="153"/>
      <c r="M707" s="153"/>
      <c r="N707" s="142"/>
      <c r="O707" s="142"/>
      <c r="P707" s="152" t="str">
        <f>IF(VLOOKUP(A698,'Aux - pivots1'!$A:$E,3,0)=0, "",VLOOKUP(A698,'Aux - pivots1'!$A:$E,3,0))</f>
        <v/>
      </c>
      <c r="Q707" s="152" t="str">
        <f>IF(VLOOKUP(A698,'Aux - pivots1'!$A:$E,4,0)=0, "",VLOOKUP(A698,'Aux - pivots1'!$A:$E,4,0))</f>
        <v/>
      </c>
      <c r="R707" s="152" t="str">
        <f>IF(VLOOKUP(A698,'Aux - pivots1'!$A:$E,5,0)=0, "",VLOOKUP(A698,'Aux - pivots1'!$A:$E,5,0))</f>
        <v/>
      </c>
      <c r="S707" s="198"/>
      <c r="T707" s="198"/>
      <c r="U707" s="198"/>
      <c r="V707" s="320"/>
      <c r="W707" s="320"/>
      <c r="X707" s="320"/>
      <c r="Y707" s="368" t="s">
        <v>2320</v>
      </c>
      <c r="Z707" s="319"/>
    </row>
    <row r="708" spans="1:26" ht="16.399999999999999" hidden="1" customHeight="1">
      <c r="A708" s="29" t="str">
        <f t="shared" si="10"/>
        <v>lt003_entityttl_dbt</v>
      </c>
      <c r="B708" s="141" t="s">
        <v>26</v>
      </c>
      <c r="C708" s="137" t="s">
        <v>26</v>
      </c>
      <c r="D708" s="133" t="s">
        <v>40</v>
      </c>
      <c r="E708" s="136" t="s">
        <v>335</v>
      </c>
      <c r="F708" s="474" t="s">
        <v>432</v>
      </c>
      <c r="G708" s="135" t="str">
        <f>VLOOKUP(A708,Plano_V3!$A$26:$G$768,7,0)</f>
        <v>1. Concluído</v>
      </c>
      <c r="H708" s="135" t="s">
        <v>612</v>
      </c>
      <c r="I708" s="467"/>
      <c r="J708" s="142"/>
      <c r="K708" s="142"/>
      <c r="L708" s="153"/>
      <c r="M708" s="153"/>
      <c r="N708" s="142"/>
      <c r="O708" s="142"/>
      <c r="P708" s="152" t="str">
        <f>IF(VLOOKUP(A682,'Aux - pivots1'!$A:$E,3,0)=0, "",VLOOKUP(A682,'Aux - pivots1'!$A:$E,3,0))</f>
        <v/>
      </c>
      <c r="Q708" s="152" t="str">
        <f>IF(VLOOKUP(A682,'Aux - pivots1'!$A:$E,4,0)=0, "",VLOOKUP(A682,'Aux - pivots1'!$A:$E,4,0))</f>
        <v/>
      </c>
      <c r="R708" s="152" t="str">
        <f>IF(VLOOKUP(A682,'Aux - pivots1'!$A:$E,5,0)=0, "",VLOOKUP(A682,'Aux - pivots1'!$A:$E,5,0))</f>
        <v/>
      </c>
      <c r="S708" s="198"/>
      <c r="T708" s="198"/>
      <c r="U708" s="198"/>
      <c r="V708" s="320"/>
      <c r="W708" s="320"/>
      <c r="X708" s="320"/>
      <c r="Y708" s="368" t="s">
        <v>2320</v>
      </c>
      <c r="Z708" s="319"/>
    </row>
    <row r="709" spans="1:26" ht="16.399999999999999" hidden="1" customHeight="1">
      <c r="A709" s="29" t="str">
        <f t="shared" si="10"/>
        <v>lt003_entitycod_soc</v>
      </c>
      <c r="B709" s="141" t="s">
        <v>26</v>
      </c>
      <c r="C709" s="137" t="s">
        <v>26</v>
      </c>
      <c r="D709" s="133" t="s">
        <v>40</v>
      </c>
      <c r="E709" s="136" t="s">
        <v>335</v>
      </c>
      <c r="F709" s="474" t="s">
        <v>416</v>
      </c>
      <c r="G709" s="135" t="str">
        <f>VLOOKUP(A709,Plano_V3!$A$26:$G$768,7,0)</f>
        <v>1. Concluído</v>
      </c>
      <c r="H709" s="135" t="s">
        <v>612</v>
      </c>
      <c r="I709" s="467"/>
      <c r="J709" s="142"/>
      <c r="K709" s="142"/>
      <c r="L709" s="153"/>
      <c r="M709" s="153"/>
      <c r="N709" s="142"/>
      <c r="O709" s="142"/>
      <c r="P709" s="152" t="str">
        <f>IF(VLOOKUP(A683,'Aux - pivots1'!$A:$E,3,0)=0, "",VLOOKUP(A683,'Aux - pivots1'!$A:$E,3,0))</f>
        <v/>
      </c>
      <c r="Q709" s="152" t="str">
        <f>IF(VLOOKUP(A683,'Aux - pivots1'!$A:$E,4,0)=0, "",VLOOKUP(A683,'Aux - pivots1'!$A:$E,4,0))</f>
        <v/>
      </c>
      <c r="R709" s="152" t="str">
        <f>IF(VLOOKUP(A683,'Aux - pivots1'!$A:$E,5,0)=0, "",VLOOKUP(A683,'Aux - pivots1'!$A:$E,5,0))</f>
        <v/>
      </c>
      <c r="S709" s="198"/>
      <c r="T709" s="198"/>
      <c r="U709" s="198"/>
      <c r="V709" s="320"/>
      <c r="W709" s="320"/>
      <c r="X709" s="320"/>
      <c r="Y709" s="368" t="s">
        <v>2320</v>
      </c>
      <c r="Z709" s="319"/>
    </row>
    <row r="710" spans="1:26" ht="16.399999999999999" hidden="1" customHeight="1">
      <c r="A710" s="29" t="str">
        <f t="shared" si="10"/>
        <v>lt004_protectiondt_rfrnc</v>
      </c>
      <c r="B710" s="141" t="s">
        <v>26</v>
      </c>
      <c r="C710" s="137" t="s">
        <v>26</v>
      </c>
      <c r="D710" s="133" t="s">
        <v>40</v>
      </c>
      <c r="E710" s="136" t="s">
        <v>368</v>
      </c>
      <c r="F710" s="474" t="s">
        <v>398</v>
      </c>
      <c r="G710" s="135" t="str">
        <f>VLOOKUP(A710,Plano_V3!$A$26:$G$768,7,0)</f>
        <v>1. Concluído</v>
      </c>
      <c r="H710" s="135" t="s">
        <v>612</v>
      </c>
      <c r="I710" s="467"/>
      <c r="J710" s="142"/>
      <c r="K710" s="142"/>
      <c r="L710" s="153"/>
      <c r="M710" s="153"/>
      <c r="N710" s="142"/>
      <c r="O710" s="142"/>
      <c r="P710" s="152" t="str">
        <f>IF(VLOOKUP(A677,'Aux - pivots1'!$A:$E,3,0)=0, "",VLOOKUP(A677,'Aux - pivots1'!$A:$E,3,0))</f>
        <v/>
      </c>
      <c r="Q710" s="152" t="str">
        <f>IF(VLOOKUP(A677,'Aux - pivots1'!$A:$E,4,0)=0, "",VLOOKUP(A677,'Aux - pivots1'!$A:$E,4,0))</f>
        <v/>
      </c>
      <c r="R710" s="152" t="str">
        <f>IF(VLOOKUP(A677,'Aux - pivots1'!$A:$E,5,0)=0, "",VLOOKUP(A677,'Aux - pivots1'!$A:$E,5,0))</f>
        <v/>
      </c>
      <c r="S710" s="198"/>
      <c r="T710" s="198"/>
      <c r="U710" s="198"/>
      <c r="V710" s="320"/>
      <c r="W710" s="320"/>
      <c r="X710" s="320"/>
      <c r="Y710" s="368" t="s">
        <v>2320</v>
      </c>
      <c r="Z710" s="319"/>
    </row>
    <row r="711" spans="1:26" ht="16.399999999999999" hidden="1" customHeight="1">
      <c r="A711" s="29" t="str">
        <f t="shared" si="10"/>
        <v>lt004_protectionprtctn_id</v>
      </c>
      <c r="B711" s="141" t="s">
        <v>26</v>
      </c>
      <c r="C711" s="137" t="s">
        <v>26</v>
      </c>
      <c r="D711" s="133" t="s">
        <v>40</v>
      </c>
      <c r="E711" s="136" t="s">
        <v>368</v>
      </c>
      <c r="F711" s="474" t="s">
        <v>433</v>
      </c>
      <c r="G711" s="135" t="str">
        <f>VLOOKUP(A711,Plano_V3!$A$26:$G$768,7,0)</f>
        <v>1. Concluído</v>
      </c>
      <c r="H711" s="135" t="s">
        <v>612</v>
      </c>
      <c r="I711" s="467"/>
      <c r="J711" s="142"/>
      <c r="K711" s="142"/>
      <c r="L711" s="153"/>
      <c r="M711" s="153"/>
      <c r="N711" s="142"/>
      <c r="O711" s="142"/>
      <c r="P711" s="152" t="str">
        <f>IF(VLOOKUP(A678,'Aux - pivots1'!$A:$E,3,0)=0, "",VLOOKUP(A678,'Aux - pivots1'!$A:$E,3,0))</f>
        <v/>
      </c>
      <c r="Q711" s="152" t="str">
        <f>IF(VLOOKUP(A678,'Aux - pivots1'!$A:$E,4,0)=0, "",VLOOKUP(A678,'Aux - pivots1'!$A:$E,4,0))</f>
        <v/>
      </c>
      <c r="R711" s="152" t="str">
        <f>IF(VLOOKUP(A678,'Aux - pivots1'!$A:$E,5,0)=0, "",VLOOKUP(A678,'Aux - pivots1'!$A:$E,5,0))</f>
        <v/>
      </c>
      <c r="S711" s="198">
        <v>45588</v>
      </c>
      <c r="T711" s="198"/>
      <c r="U711" s="198"/>
      <c r="V711" s="320"/>
      <c r="W711" s="320"/>
      <c r="X711" s="320"/>
      <c r="Y711" s="368" t="s">
        <v>2320</v>
      </c>
      <c r="Z711" s="319"/>
    </row>
    <row r="712" spans="1:26" ht="16.399999999999999" hidden="1" customHeight="1">
      <c r="A712" s="29" t="str">
        <f t="shared" si="10"/>
        <v>lt004_protectionrl_estt_clltrl_lctn</v>
      </c>
      <c r="B712" s="141" t="s">
        <v>26</v>
      </c>
      <c r="C712" s="137" t="s">
        <v>26</v>
      </c>
      <c r="D712" s="133" t="s">
        <v>40</v>
      </c>
      <c r="E712" s="136" t="s">
        <v>368</v>
      </c>
      <c r="F712" s="474" t="s">
        <v>434</v>
      </c>
      <c r="G712" s="135" t="str">
        <f>VLOOKUP(A712,Plano_V3!$A$26:$G$768,7,0)</f>
        <v>1. Concluído</v>
      </c>
      <c r="H712" s="135" t="s">
        <v>612</v>
      </c>
      <c r="I712" s="467"/>
      <c r="J712" s="142"/>
      <c r="K712" s="142"/>
      <c r="L712" s="153"/>
      <c r="M712" s="153"/>
      <c r="N712" s="142"/>
      <c r="O712" s="142" t="s">
        <v>2353</v>
      </c>
      <c r="P712" s="152" t="str">
        <f>IF(VLOOKUP(A679,'Aux - pivots1'!$A:$E,3,0)=0, "",VLOOKUP(A679,'Aux - pivots1'!$A:$E,3,0))</f>
        <v/>
      </c>
      <c r="Q712" s="152" t="str">
        <f>IF(VLOOKUP(A679,'Aux - pivots1'!$A:$E,4,0)=0, "",VLOOKUP(A679,'Aux - pivots1'!$A:$E,4,0))</f>
        <v/>
      </c>
      <c r="R712" s="152" t="str">
        <f>IF(VLOOKUP(A679,'Aux - pivots1'!$A:$E,5,0)=0, "",VLOOKUP(A679,'Aux - pivots1'!$A:$E,5,0))</f>
        <v/>
      </c>
      <c r="S712" s="198">
        <v>45588</v>
      </c>
      <c r="T712" s="198"/>
      <c r="U712" s="198"/>
      <c r="V712" s="320"/>
      <c r="W712" s="320"/>
      <c r="X712" s="320"/>
      <c r="Y712" s="368" t="s">
        <v>2320</v>
      </c>
      <c r="Z712" s="319"/>
    </row>
    <row r="713" spans="1:26" ht="16.399999999999999" hidden="1" customHeight="1">
      <c r="A713" s="29" t="str">
        <f t="shared" si="10"/>
        <v>lt004_protectionrl_estt_pst_cd</v>
      </c>
      <c r="B713" s="141" t="s">
        <v>26</v>
      </c>
      <c r="C713" s="137" t="s">
        <v>26</v>
      </c>
      <c r="D713" s="133" t="s">
        <v>40</v>
      </c>
      <c r="E713" s="136" t="s">
        <v>368</v>
      </c>
      <c r="F713" s="474" t="s">
        <v>435</v>
      </c>
      <c r="G713" s="135" t="str">
        <f>VLOOKUP(A713,Plano_V3!$A$26:$G$768,7,0)</f>
        <v>1. Concluído</v>
      </c>
      <c r="H713" s="135" t="s">
        <v>612</v>
      </c>
      <c r="I713" s="467"/>
      <c r="J713" s="142"/>
      <c r="K713" s="142"/>
      <c r="L713" s="153"/>
      <c r="M713" s="153"/>
      <c r="N713" s="142"/>
      <c r="O713" s="142"/>
      <c r="P713" s="152" t="str">
        <f>IF(VLOOKUP(A680,'Aux - pivots1'!$A:$E,3,0)=0, "",VLOOKUP(A680,'Aux - pivots1'!$A:$E,3,0))</f>
        <v/>
      </c>
      <c r="Q713" s="152" t="str">
        <f>IF(VLOOKUP(A680,'Aux - pivots1'!$A:$E,4,0)=0, "",VLOOKUP(A680,'Aux - pivots1'!$A:$E,4,0))</f>
        <v/>
      </c>
      <c r="R713" s="152" t="str">
        <f>IF(VLOOKUP(A680,'Aux - pivots1'!$A:$E,5,0)=0, "",VLOOKUP(A680,'Aux - pivots1'!$A:$E,5,0))</f>
        <v/>
      </c>
      <c r="S713" s="198">
        <v>45588</v>
      </c>
      <c r="T713" s="198"/>
      <c r="U713" s="198"/>
      <c r="V713" s="320"/>
      <c r="W713" s="320"/>
      <c r="X713" s="320"/>
      <c r="Y713" s="368" t="s">
        <v>2320</v>
      </c>
      <c r="Z713" s="319"/>
    </row>
    <row r="714" spans="1:26" ht="16.399999999999999" hidden="1" customHeight="1">
      <c r="A714" s="29" t="str">
        <f t="shared" si="10"/>
        <v>lt004_protectiontyp_prtctn</v>
      </c>
      <c r="B714" s="141" t="s">
        <v>26</v>
      </c>
      <c r="C714" s="137" t="s">
        <v>26</v>
      </c>
      <c r="D714" s="133" t="s">
        <v>40</v>
      </c>
      <c r="E714" s="136" t="s">
        <v>368</v>
      </c>
      <c r="F714" s="474" t="s">
        <v>436</v>
      </c>
      <c r="G714" s="135" t="str">
        <f>VLOOKUP(A714,Plano_V3!$A$26:$G$768,7,0)</f>
        <v>1. Concluído</v>
      </c>
      <c r="H714" s="135" t="s">
        <v>612</v>
      </c>
      <c r="I714" s="467"/>
      <c r="J714" s="142"/>
      <c r="K714" s="142"/>
      <c r="L714" s="153"/>
      <c r="M714" s="153"/>
      <c r="N714" s="142"/>
      <c r="O714" s="142"/>
      <c r="P714" s="152" t="str">
        <f>IF(VLOOKUP(A681,'Aux - pivots1'!$A:$E,3,0)=0, "",VLOOKUP(A681,'Aux - pivots1'!$A:$E,3,0))</f>
        <v/>
      </c>
      <c r="Q714" s="152" t="str">
        <f>IF(VLOOKUP(A681,'Aux - pivots1'!$A:$E,4,0)=0, "",VLOOKUP(A681,'Aux - pivots1'!$A:$E,4,0))</f>
        <v/>
      </c>
      <c r="R714" s="152" t="str">
        <f>IF(VLOOKUP(A681,'Aux - pivots1'!$A:$E,5,0)=0, "",VLOOKUP(A681,'Aux - pivots1'!$A:$E,5,0))</f>
        <v/>
      </c>
      <c r="S714" s="198">
        <v>45595</v>
      </c>
      <c r="T714" s="198"/>
      <c r="U714" s="198"/>
      <c r="V714" s="320"/>
      <c r="W714" s="320"/>
      <c r="X714" s="320"/>
      <c r="Y714" s="368" t="s">
        <v>2320</v>
      </c>
      <c r="Z714" s="319"/>
    </row>
    <row r="715" spans="1:26" ht="16.399999999999999" hidden="1" customHeight="1">
      <c r="A715" s="29" t="str">
        <f t="shared" si="10"/>
        <v>lt004_protectionorgnl_prtctn_vl</v>
      </c>
      <c r="B715" s="141" t="s">
        <v>26</v>
      </c>
      <c r="C715" s="137" t="s">
        <v>26</v>
      </c>
      <c r="D715" s="133" t="s">
        <v>40</v>
      </c>
      <c r="E715" s="136" t="s">
        <v>368</v>
      </c>
      <c r="F715" s="474" t="s">
        <v>437</v>
      </c>
      <c r="G715" s="135" t="str">
        <f>VLOOKUP(A715,Plano_V3!$A$26:$G$768,7,0)</f>
        <v>1. Concluído</v>
      </c>
      <c r="H715" s="135" t="s">
        <v>612</v>
      </c>
      <c r="I715" s="467"/>
      <c r="J715" s="142"/>
      <c r="K715" s="142"/>
      <c r="L715" s="153"/>
      <c r="M715" s="153"/>
      <c r="N715" s="142"/>
      <c r="O715" s="142"/>
      <c r="P715" s="152" t="str">
        <f>IF(VLOOKUP(A682,'Aux - pivots1'!$A:$E,3,0)=0, "",VLOOKUP(A682,'Aux - pivots1'!$A:$E,3,0))</f>
        <v/>
      </c>
      <c r="Q715" s="152" t="str">
        <f>IF(VLOOKUP(A682,'Aux - pivots1'!$A:$E,4,0)=0, "",VLOOKUP(A682,'Aux - pivots1'!$A:$E,4,0))</f>
        <v/>
      </c>
      <c r="R715" s="152" t="str">
        <f>IF(VLOOKUP(A682,'Aux - pivots1'!$A:$E,5,0)=0, "",VLOOKUP(A682,'Aux - pivots1'!$A:$E,5,0))</f>
        <v/>
      </c>
      <c r="S715" s="198">
        <v>45595</v>
      </c>
      <c r="T715" s="198"/>
      <c r="U715" s="198"/>
      <c r="V715" s="320"/>
      <c r="W715" s="320"/>
      <c r="X715" s="320"/>
      <c r="Y715" s="368" t="s">
        <v>2320</v>
      </c>
      <c r="Z715" s="319"/>
    </row>
    <row r="716" spans="1:26" ht="16.399999999999999" hidden="1" customHeight="1">
      <c r="A716" s="29" t="str">
        <f t="shared" ref="A716:A740" si="11">E716&amp;F716</f>
        <v>lt004_protectionprtctn_vl</v>
      </c>
      <c r="B716" s="141" t="s">
        <v>26</v>
      </c>
      <c r="C716" s="137" t="s">
        <v>26</v>
      </c>
      <c r="D716" s="133" t="s">
        <v>40</v>
      </c>
      <c r="E716" s="136" t="s">
        <v>368</v>
      </c>
      <c r="F716" s="474" t="s">
        <v>438</v>
      </c>
      <c r="G716" s="135" t="str">
        <f>VLOOKUP(A716,Plano_V3!$A$26:$G$768,7,0)</f>
        <v>1. Concluído</v>
      </c>
      <c r="H716" s="135" t="s">
        <v>612</v>
      </c>
      <c r="I716" s="467"/>
      <c r="J716" s="142"/>
      <c r="K716" s="142"/>
      <c r="L716" s="153"/>
      <c r="M716" s="153"/>
      <c r="N716" s="142"/>
      <c r="O716" s="142"/>
      <c r="P716" s="152" t="str">
        <f>IF(VLOOKUP(A683,'Aux - pivots1'!$A:$E,3,0)=0, "",VLOOKUP(A683,'Aux - pivots1'!$A:$E,3,0))</f>
        <v/>
      </c>
      <c r="Q716" s="152" t="str">
        <f>IF(VLOOKUP(A683,'Aux - pivots1'!$A:$E,4,0)=0, "",VLOOKUP(A683,'Aux - pivots1'!$A:$E,4,0))</f>
        <v/>
      </c>
      <c r="R716" s="152" t="str">
        <f>IF(VLOOKUP(A683,'Aux - pivots1'!$A:$E,5,0)=0, "",VLOOKUP(A683,'Aux - pivots1'!$A:$E,5,0))</f>
        <v/>
      </c>
      <c r="S716" s="198">
        <v>45588</v>
      </c>
      <c r="T716" s="198"/>
      <c r="U716" s="198"/>
      <c r="V716" s="320"/>
      <c r="W716" s="320"/>
      <c r="X716" s="320"/>
      <c r="Y716" s="368" t="s">
        <v>2320</v>
      </c>
      <c r="Z716" s="319"/>
    </row>
    <row r="717" spans="1:26" ht="16.399999999999999" hidden="1" customHeight="1">
      <c r="A717" s="29" t="str">
        <f t="shared" si="11"/>
        <v>lt004_protectioncod_soc</v>
      </c>
      <c r="B717" s="141" t="s">
        <v>26</v>
      </c>
      <c r="C717" s="137" t="s">
        <v>26</v>
      </c>
      <c r="D717" s="133" t="s">
        <v>40</v>
      </c>
      <c r="E717" s="136" t="s">
        <v>368</v>
      </c>
      <c r="F717" s="474" t="s">
        <v>416</v>
      </c>
      <c r="G717" s="135" t="str">
        <f>VLOOKUP(A717,Plano_V3!$A$26:$G$768,7,0)</f>
        <v>1. Concluído</v>
      </c>
      <c r="H717" s="135" t="s">
        <v>612</v>
      </c>
      <c r="I717" s="467"/>
      <c r="J717" s="142"/>
      <c r="K717" s="142"/>
      <c r="L717" s="153"/>
      <c r="M717" s="153"/>
      <c r="N717" s="142"/>
      <c r="O717" s="142"/>
      <c r="P717" s="152" t="str">
        <f>IF(VLOOKUP(A708,'Aux - pivots1'!$A:$E,3,0)=0, "",VLOOKUP(A708,'Aux - pivots1'!$A:$E,3,0))</f>
        <v/>
      </c>
      <c r="Q717" s="152" t="str">
        <f>IF(VLOOKUP(A708,'Aux - pivots1'!$A:$E,4,0)=0, "",VLOOKUP(A708,'Aux - pivots1'!$A:$E,4,0))</f>
        <v/>
      </c>
      <c r="R717" s="152" t="str">
        <f>IF(VLOOKUP(A708,'Aux - pivots1'!$A:$E,5,0)=0, "",VLOOKUP(A708,'Aux - pivots1'!$A:$E,5,0))</f>
        <v/>
      </c>
      <c r="S717" s="198"/>
      <c r="T717" s="198"/>
      <c r="U717" s="198"/>
      <c r="V717" s="320"/>
      <c r="W717" s="320"/>
      <c r="X717" s="320"/>
      <c r="Y717" s="368" t="s">
        <v>2320</v>
      </c>
      <c r="Z717" s="319"/>
    </row>
    <row r="718" spans="1:26" ht="16.399999999999999" hidden="1" customHeight="1">
      <c r="A718" s="29" t="str">
        <f t="shared" si="11"/>
        <v>lt005_instr_entdt_rfrnc</v>
      </c>
      <c r="B718" s="141" t="s">
        <v>26</v>
      </c>
      <c r="C718" s="137" t="s">
        <v>26</v>
      </c>
      <c r="D718" s="133" t="s">
        <v>40</v>
      </c>
      <c r="E718" s="136" t="s">
        <v>439</v>
      </c>
      <c r="F718" s="474" t="s">
        <v>398</v>
      </c>
      <c r="G718" s="135" t="str">
        <f>VLOOKUP(A718,Plano_V3!$A$26:$G$768,7,0)</f>
        <v>1. Concluído</v>
      </c>
      <c r="H718" s="135" t="s">
        <v>612</v>
      </c>
      <c r="I718" s="467"/>
      <c r="J718" s="142"/>
      <c r="K718" s="142"/>
      <c r="L718" s="153"/>
      <c r="M718" s="153"/>
      <c r="N718" s="142"/>
      <c r="O718" s="142"/>
      <c r="P718" s="152" t="str">
        <f>IF(VLOOKUP(A709,'Aux - pivots1'!$A:$E,3,0)=0, "",VLOOKUP(A709,'Aux - pivots1'!$A:$E,3,0))</f>
        <v/>
      </c>
      <c r="Q718" s="152" t="str">
        <f>IF(VLOOKUP(A709,'Aux - pivots1'!$A:$E,4,0)=0, "",VLOOKUP(A709,'Aux - pivots1'!$A:$E,4,0))</f>
        <v/>
      </c>
      <c r="R718" s="152" t="str">
        <f>IF(VLOOKUP(A709,'Aux - pivots1'!$A:$E,5,0)=0, "",VLOOKUP(A709,'Aux - pivots1'!$A:$E,5,0))</f>
        <v/>
      </c>
      <c r="S718" s="198"/>
      <c r="T718" s="198"/>
      <c r="U718" s="198"/>
      <c r="V718" s="320"/>
      <c r="W718" s="320"/>
      <c r="X718" s="320"/>
      <c r="Y718" s="368" t="s">
        <v>2320</v>
      </c>
      <c r="Z718" s="319"/>
    </row>
    <row r="719" spans="1:26" ht="16.399999999999999" hidden="1" customHeight="1">
      <c r="A719" s="29" t="str">
        <f t="shared" si="11"/>
        <v>lt005_instr_ententty_id</v>
      </c>
      <c r="B719" s="141" t="s">
        <v>26</v>
      </c>
      <c r="C719" s="137" t="s">
        <v>26</v>
      </c>
      <c r="D719" s="133" t="s">
        <v>40</v>
      </c>
      <c r="E719" s="136" t="s">
        <v>439</v>
      </c>
      <c r="F719" s="474" t="s">
        <v>425</v>
      </c>
      <c r="G719" s="135" t="str">
        <f>VLOOKUP(A719,Plano_V3!$A$26:$G$768,7,0)</f>
        <v>1. Concluído</v>
      </c>
      <c r="H719" s="135" t="s">
        <v>612</v>
      </c>
      <c r="I719" s="467"/>
      <c r="J719" s="142"/>
      <c r="K719" s="142"/>
      <c r="L719" s="153"/>
      <c r="M719" s="153"/>
      <c r="N719" s="142"/>
      <c r="O719" s="142"/>
      <c r="P719" s="152" t="str">
        <f>IF(VLOOKUP(A710,'Aux - pivots1'!$A:$E,3,0)=0, "",VLOOKUP(A710,'Aux - pivots1'!$A:$E,3,0))</f>
        <v/>
      </c>
      <c r="Q719" s="152" t="str">
        <f>IF(VLOOKUP(A710,'Aux - pivots1'!$A:$E,4,0)=0, "",VLOOKUP(A710,'Aux - pivots1'!$A:$E,4,0))</f>
        <v/>
      </c>
      <c r="R719" s="152" t="str">
        <f>IF(VLOOKUP(A710,'Aux - pivots1'!$A:$E,5,0)=0, "",VLOOKUP(A710,'Aux - pivots1'!$A:$E,5,0))</f>
        <v/>
      </c>
      <c r="S719" s="198"/>
      <c r="T719" s="198"/>
      <c r="U719" s="198"/>
      <c r="V719" s="320"/>
      <c r="W719" s="320"/>
      <c r="X719" s="320"/>
      <c r="Y719" s="368" t="s">
        <v>2320</v>
      </c>
      <c r="Z719" s="319"/>
    </row>
    <row r="720" spans="1:26" ht="16.399999999999999" hidden="1" customHeight="1">
      <c r="A720" s="29" t="str">
        <f t="shared" si="11"/>
        <v>lt005_instr_entinstrmnt_id</v>
      </c>
      <c r="B720" s="141" t="s">
        <v>26</v>
      </c>
      <c r="C720" s="137" t="s">
        <v>26</v>
      </c>
      <c r="D720" s="133" t="s">
        <v>40</v>
      </c>
      <c r="E720" s="136" t="s">
        <v>439</v>
      </c>
      <c r="F720" s="474" t="s">
        <v>400</v>
      </c>
      <c r="G720" s="135" t="str">
        <f>VLOOKUP(A720,Plano_V3!$A$26:$G$768,7,0)</f>
        <v>1. Concluído</v>
      </c>
      <c r="H720" s="135" t="s">
        <v>612</v>
      </c>
      <c r="I720" s="467"/>
      <c r="J720" s="142"/>
      <c r="K720" s="142"/>
      <c r="L720" s="153"/>
      <c r="M720" s="153"/>
      <c r="N720" s="142"/>
      <c r="O720" s="142"/>
      <c r="P720" s="152" t="str">
        <f>IF(VLOOKUP(A711,'Aux - pivots1'!$A:$E,3,0)=0, "",VLOOKUP(A711,'Aux - pivots1'!$A:$E,3,0))</f>
        <v/>
      </c>
      <c r="Q720" s="152" t="str">
        <f>IF(VLOOKUP(A711,'Aux - pivots1'!$A:$E,4,0)=0, "",VLOOKUP(A711,'Aux - pivots1'!$A:$E,4,0))</f>
        <v/>
      </c>
      <c r="R720" s="152" t="str">
        <f>IF(VLOOKUP(A711,'Aux - pivots1'!$A:$E,5,0)=0, "",VLOOKUP(A711,'Aux - pivots1'!$A:$E,5,0))</f>
        <v/>
      </c>
      <c r="S720" s="198"/>
      <c r="T720" s="198"/>
      <c r="U720" s="198"/>
      <c r="V720" s="320"/>
      <c r="W720" s="320"/>
      <c r="X720" s="320"/>
      <c r="Y720" s="368" t="s">
        <v>2320</v>
      </c>
      <c r="Z720" s="319"/>
    </row>
    <row r="721" spans="1:26" ht="16.399999999999999" hidden="1" customHeight="1">
      <c r="A721" s="29" t="str">
        <f t="shared" si="11"/>
        <v>lt005_instr_entcod_soc</v>
      </c>
      <c r="B721" s="141" t="s">
        <v>26</v>
      </c>
      <c r="C721" s="137" t="s">
        <v>26</v>
      </c>
      <c r="D721" s="133" t="s">
        <v>40</v>
      </c>
      <c r="E721" s="136" t="s">
        <v>439</v>
      </c>
      <c r="F721" s="474" t="s">
        <v>416</v>
      </c>
      <c r="G721" s="135" t="str">
        <f>VLOOKUP(A721,Plano_V3!$A$26:$G$768,7,0)</f>
        <v>1. Concluído</v>
      </c>
      <c r="H721" s="135" t="s">
        <v>612</v>
      </c>
      <c r="I721" s="467"/>
      <c r="J721" s="142"/>
      <c r="K721" s="142"/>
      <c r="L721" s="153"/>
      <c r="M721" s="153"/>
      <c r="N721" s="142"/>
      <c r="O721" s="142"/>
      <c r="P721" s="152" t="str">
        <f>IF(VLOOKUP(A712,'Aux - pivots1'!$A:$E,3,0)=0, "",VLOOKUP(A712,'Aux - pivots1'!$A:$E,3,0))</f>
        <v/>
      </c>
      <c r="Q721" s="152" t="str">
        <f>IF(VLOOKUP(A712,'Aux - pivots1'!$A:$E,4,0)=0, "",VLOOKUP(A712,'Aux - pivots1'!$A:$E,4,0))</f>
        <v/>
      </c>
      <c r="R721" s="152" t="str">
        <f>IF(VLOOKUP(A712,'Aux - pivots1'!$A:$E,5,0)=0, "",VLOOKUP(A712,'Aux - pivots1'!$A:$E,5,0))</f>
        <v/>
      </c>
      <c r="S721" s="198"/>
      <c r="T721" s="198"/>
      <c r="U721" s="198"/>
      <c r="V721" s="320"/>
      <c r="W721" s="320"/>
      <c r="X721" s="320"/>
      <c r="Y721" s="368" t="s">
        <v>2320</v>
      </c>
      <c r="Z721" s="319"/>
    </row>
    <row r="722" spans="1:26" ht="16.399999999999999" hidden="1" customHeight="1">
      <c r="A722" s="29" t="str">
        <f t="shared" si="11"/>
        <v>lt005_instr_entmn_entty_id</v>
      </c>
      <c r="B722" s="141" t="s">
        <v>26</v>
      </c>
      <c r="C722" s="137" t="s">
        <v>26</v>
      </c>
      <c r="D722" s="133" t="s">
        <v>40</v>
      </c>
      <c r="E722" s="136" t="s">
        <v>439</v>
      </c>
      <c r="F722" s="474" t="s">
        <v>440</v>
      </c>
      <c r="G722" s="135" t="str">
        <f>VLOOKUP(A722,Plano_V3!$A$26:$G$768,7,0)</f>
        <v>1. Concluído</v>
      </c>
      <c r="H722" s="135" t="s">
        <v>612</v>
      </c>
      <c r="I722" s="467"/>
      <c r="J722" s="142"/>
      <c r="K722" s="142"/>
      <c r="L722" s="153"/>
      <c r="M722" s="153"/>
      <c r="N722" s="142"/>
      <c r="O722" s="142"/>
      <c r="P722" s="152" t="str">
        <f>IF(VLOOKUP(A713,'Aux - pivots1'!$A:$E,3,0)=0, "",VLOOKUP(A713,'Aux - pivots1'!$A:$E,3,0))</f>
        <v/>
      </c>
      <c r="Q722" s="152" t="str">
        <f>IF(VLOOKUP(A713,'Aux - pivots1'!$A:$E,4,0)=0, "",VLOOKUP(A713,'Aux - pivots1'!$A:$E,4,0))</f>
        <v/>
      </c>
      <c r="R722" s="152" t="str">
        <f>IF(VLOOKUP(A713,'Aux - pivots1'!$A:$E,5,0)=0, "",VLOOKUP(A713,'Aux - pivots1'!$A:$E,5,0))</f>
        <v/>
      </c>
      <c r="S722" s="198"/>
      <c r="T722" s="198"/>
      <c r="U722" s="198"/>
      <c r="V722" s="320"/>
      <c r="W722" s="320"/>
      <c r="X722" s="320"/>
      <c r="Y722" s="368" t="s">
        <v>2320</v>
      </c>
      <c r="Z722" s="319"/>
    </row>
    <row r="723" spans="1:26" ht="16.399999999999999" hidden="1" customHeight="1">
      <c r="A723" s="29" t="str">
        <f t="shared" si="11"/>
        <v>lt006_instr_protdt_rfrnc</v>
      </c>
      <c r="B723" s="141" t="s">
        <v>26</v>
      </c>
      <c r="C723" s="137" t="s">
        <v>26</v>
      </c>
      <c r="D723" s="133" t="s">
        <v>40</v>
      </c>
      <c r="E723" s="136" t="s">
        <v>441</v>
      </c>
      <c r="F723" s="474" t="s">
        <v>398</v>
      </c>
      <c r="G723" s="135" t="str">
        <f>VLOOKUP(A723,Plano_V3!$A$26:$G$768,7,0)</f>
        <v>1. Concluído</v>
      </c>
      <c r="H723" s="135" t="s">
        <v>612</v>
      </c>
      <c r="I723" s="467"/>
      <c r="J723" s="142"/>
      <c r="K723" s="142"/>
      <c r="L723" s="153"/>
      <c r="M723" s="153"/>
      <c r="N723" s="142"/>
      <c r="O723" s="142"/>
      <c r="P723" s="152" t="str">
        <f>IF(VLOOKUP(A714,'Aux - pivots1'!$A:$E,3,0)=0, "",VLOOKUP(A714,'Aux - pivots1'!$A:$E,3,0))</f>
        <v/>
      </c>
      <c r="Q723" s="152" t="str">
        <f>IF(VLOOKUP(A714,'Aux - pivots1'!$A:$E,4,0)=0, "",VLOOKUP(A714,'Aux - pivots1'!$A:$E,4,0))</f>
        <v/>
      </c>
      <c r="R723" s="152" t="str">
        <f>IF(VLOOKUP(A714,'Aux - pivots1'!$A:$E,5,0)=0, "",VLOOKUP(A714,'Aux - pivots1'!$A:$E,5,0))</f>
        <v/>
      </c>
      <c r="S723" s="198"/>
      <c r="T723" s="198"/>
      <c r="U723" s="198"/>
      <c r="V723" s="320"/>
      <c r="W723" s="320"/>
      <c r="X723" s="320"/>
      <c r="Y723" s="368" t="s">
        <v>2320</v>
      </c>
      <c r="Z723" s="319"/>
    </row>
    <row r="724" spans="1:26" ht="16.399999999999999" hidden="1" customHeight="1">
      <c r="A724" s="29" t="str">
        <f t="shared" si="11"/>
        <v>lt006_instr_protinstrmnt_id</v>
      </c>
      <c r="B724" s="141" t="s">
        <v>26</v>
      </c>
      <c r="C724" s="137" t="s">
        <v>26</v>
      </c>
      <c r="D724" s="133" t="s">
        <v>40</v>
      </c>
      <c r="E724" s="136" t="s">
        <v>441</v>
      </c>
      <c r="F724" s="474" t="s">
        <v>400</v>
      </c>
      <c r="G724" s="135" t="str">
        <f>VLOOKUP(A724,Plano_V3!$A$26:$G$768,7,0)</f>
        <v>1. Concluído</v>
      </c>
      <c r="H724" s="135" t="s">
        <v>612</v>
      </c>
      <c r="I724" s="467"/>
      <c r="J724" s="142"/>
      <c r="K724" s="142"/>
      <c r="L724" s="153"/>
      <c r="M724" s="153"/>
      <c r="N724" s="142"/>
      <c r="O724" s="142"/>
      <c r="P724" s="152" t="str">
        <f>IF(VLOOKUP(A715,'Aux - pivots1'!$A:$E,3,0)=0, "",VLOOKUP(A715,'Aux - pivots1'!$A:$E,3,0))</f>
        <v/>
      </c>
      <c r="Q724" s="152" t="str">
        <f>IF(VLOOKUP(A715,'Aux - pivots1'!$A:$E,4,0)=0, "",VLOOKUP(A715,'Aux - pivots1'!$A:$E,4,0))</f>
        <v/>
      </c>
      <c r="R724" s="152" t="str">
        <f>IF(VLOOKUP(A715,'Aux - pivots1'!$A:$E,5,0)=0, "",VLOOKUP(A715,'Aux - pivots1'!$A:$E,5,0))</f>
        <v/>
      </c>
      <c r="S724" s="198"/>
      <c r="T724" s="198"/>
      <c r="U724" s="198"/>
      <c r="V724" s="320"/>
      <c r="W724" s="320"/>
      <c r="X724" s="320"/>
      <c r="Y724" s="368" t="s">
        <v>2320</v>
      </c>
      <c r="Z724" s="319"/>
    </row>
    <row r="725" spans="1:26" ht="16.399999999999999" hidden="1" customHeight="1">
      <c r="A725" s="29" t="str">
        <f t="shared" si="11"/>
        <v>lt006_instr_protprtctn_id</v>
      </c>
      <c r="B725" s="141" t="s">
        <v>26</v>
      </c>
      <c r="C725" s="137" t="s">
        <v>26</v>
      </c>
      <c r="D725" s="133" t="s">
        <v>40</v>
      </c>
      <c r="E725" s="136" t="s">
        <v>441</v>
      </c>
      <c r="F725" s="474" t="s">
        <v>433</v>
      </c>
      <c r="G725" s="135" t="str">
        <f>VLOOKUP(A725,Plano_V3!$A$26:$G$768,7,0)</f>
        <v>1. Concluído</v>
      </c>
      <c r="H725" s="135" t="s">
        <v>612</v>
      </c>
      <c r="I725" s="467"/>
      <c r="J725" s="142"/>
      <c r="K725" s="142"/>
      <c r="L725" s="153"/>
      <c r="M725" s="153"/>
      <c r="N725" s="142"/>
      <c r="O725" s="142"/>
      <c r="P725" s="152" t="str">
        <f>IF(VLOOKUP(A716,'Aux - pivots1'!$A:$E,3,0)=0, "",VLOOKUP(A716,'Aux - pivots1'!$A:$E,3,0))</f>
        <v/>
      </c>
      <c r="Q725" s="152" t="str">
        <f>IF(VLOOKUP(A716,'Aux - pivots1'!$A:$E,4,0)=0, "",VLOOKUP(A716,'Aux - pivots1'!$A:$E,4,0))</f>
        <v/>
      </c>
      <c r="R725" s="152" t="str">
        <f>IF(VLOOKUP(A716,'Aux - pivots1'!$A:$E,5,0)=0, "",VLOOKUP(A716,'Aux - pivots1'!$A:$E,5,0))</f>
        <v/>
      </c>
      <c r="S725" s="198"/>
      <c r="T725" s="198"/>
      <c r="U725" s="198"/>
      <c r="V725" s="320"/>
      <c r="W725" s="320"/>
      <c r="X725" s="320"/>
      <c r="Y725" s="368" t="s">
        <v>2320</v>
      </c>
      <c r="Z725" s="319"/>
    </row>
    <row r="726" spans="1:26" ht="16.399999999999999" hidden="1" customHeight="1">
      <c r="A726" s="29" t="str">
        <f t="shared" si="11"/>
        <v>lt006_instr_protcod_soc</v>
      </c>
      <c r="B726" s="141" t="s">
        <v>26</v>
      </c>
      <c r="C726" s="137" t="s">
        <v>26</v>
      </c>
      <c r="D726" s="133" t="s">
        <v>40</v>
      </c>
      <c r="E726" s="136" t="s">
        <v>441</v>
      </c>
      <c r="F726" s="474" t="s">
        <v>416</v>
      </c>
      <c r="G726" s="135" t="str">
        <f>VLOOKUP(A726,Plano_V3!$A$26:$G$768,7,0)</f>
        <v>1. Concluído</v>
      </c>
      <c r="H726" s="135" t="s">
        <v>612</v>
      </c>
      <c r="I726" s="467"/>
      <c r="J726" s="142"/>
      <c r="K726" s="142"/>
      <c r="L726" s="153"/>
      <c r="M726" s="153"/>
      <c r="N726" s="142"/>
      <c r="O726" s="142"/>
      <c r="P726" s="152" t="str">
        <f>IF(VLOOKUP(A716,'Aux - pivots1'!$A:$E,3,0)=0, "",VLOOKUP(A716,'Aux - pivots1'!$A:$E,3,0))</f>
        <v/>
      </c>
      <c r="Q726" s="152" t="str">
        <f>IF(VLOOKUP(A716,'Aux - pivots1'!$A:$E,4,0)=0, "",VLOOKUP(A716,'Aux - pivots1'!$A:$E,4,0))</f>
        <v/>
      </c>
      <c r="R726" s="152" t="str">
        <f>IF(VLOOKUP(A716,'Aux - pivots1'!$A:$E,5,0)=0, "",VLOOKUP(A716,'Aux - pivots1'!$A:$E,5,0))</f>
        <v/>
      </c>
      <c r="S726" s="198"/>
      <c r="T726" s="198"/>
      <c r="U726" s="198"/>
      <c r="V726" s="320"/>
      <c r="W726" s="320"/>
      <c r="X726" s="320"/>
      <c r="Y726" s="368" t="s">
        <v>2320</v>
      </c>
      <c r="Z726" s="319" t="s">
        <v>1855</v>
      </c>
    </row>
    <row r="727" spans="1:26" ht="16.399999999999999" hidden="1" customHeight="1">
      <c r="A727" s="29" t="str">
        <f t="shared" si="11"/>
        <v>lt004_protectionflg_fin</v>
      </c>
      <c r="B727" s="141" t="s">
        <v>26</v>
      </c>
      <c r="C727" s="137" t="s">
        <v>26</v>
      </c>
      <c r="D727" s="133" t="s">
        <v>40</v>
      </c>
      <c r="E727" s="136" t="s">
        <v>368</v>
      </c>
      <c r="F727" s="474" t="s">
        <v>480</v>
      </c>
      <c r="G727" s="135" t="str">
        <f>VLOOKUP(A727,Plano_V3!$A$26:$G$768,7,0)</f>
        <v>0. Cancelado</v>
      </c>
      <c r="H727" s="135" t="s">
        <v>611</v>
      </c>
      <c r="I727" s="467"/>
      <c r="J727" s="142"/>
      <c r="K727" s="142"/>
      <c r="L727" s="153"/>
      <c r="M727" s="153"/>
      <c r="N727" s="142"/>
      <c r="O727" s="142"/>
      <c r="P727" s="152" t="str">
        <f>IF(VLOOKUP(A717,'Aux - pivots1'!$A:$E,3,0)=0, "",VLOOKUP(A717,'Aux - pivots1'!$A:$E,3,0))</f>
        <v/>
      </c>
      <c r="Q727" s="152" t="str">
        <f>IF(VLOOKUP(A717,'Aux - pivots1'!$A:$E,4,0)=0, "",VLOOKUP(A717,'Aux - pivots1'!$A:$E,4,0))</f>
        <v/>
      </c>
      <c r="R727" s="152" t="str">
        <f>IF(VLOOKUP(A717,'Aux - pivots1'!$A:$E,5,0)=0, "",VLOOKUP(A717,'Aux - pivots1'!$A:$E,5,0))</f>
        <v/>
      </c>
      <c r="S727" s="198"/>
      <c r="T727" s="198"/>
      <c r="U727" s="198"/>
      <c r="V727" s="320"/>
      <c r="W727" s="320"/>
      <c r="X727" s="320"/>
      <c r="Y727" s="368" t="s">
        <v>2320</v>
      </c>
      <c r="Z727" s="319" t="s">
        <v>1855</v>
      </c>
    </row>
    <row r="728" spans="1:26" ht="16.399999999999999" hidden="1" customHeight="1">
      <c r="A728" s="29" t="str">
        <f t="shared" si="11"/>
        <v>lt004_protectionflg_exec</v>
      </c>
      <c r="B728" s="141" t="s">
        <v>26</v>
      </c>
      <c r="C728" s="137" t="s">
        <v>26</v>
      </c>
      <c r="D728" s="133" t="s">
        <v>40</v>
      </c>
      <c r="E728" s="136" t="s">
        <v>368</v>
      </c>
      <c r="F728" s="474" t="s">
        <v>1276</v>
      </c>
      <c r="G728" s="135" t="str">
        <f>VLOOKUP(A728,Plano_V3!$A$26:$G$768,7,0)</f>
        <v>0. Cancelado</v>
      </c>
      <c r="H728" s="135" t="s">
        <v>611</v>
      </c>
      <c r="I728" s="467"/>
      <c r="J728" s="142"/>
      <c r="K728" s="142"/>
      <c r="L728" s="153"/>
      <c r="M728" s="153"/>
      <c r="N728" s="142"/>
      <c r="O728" s="142"/>
      <c r="P728" s="152" t="str">
        <f>IF(VLOOKUP(A718,'Aux - pivots1'!$A:$E,3,0)=0, "",VLOOKUP(A718,'Aux - pivots1'!$A:$E,3,0))</f>
        <v/>
      </c>
      <c r="Q728" s="152" t="str">
        <f>IF(VLOOKUP(A718,'Aux - pivots1'!$A:$E,4,0)=0, "",VLOOKUP(A718,'Aux - pivots1'!$A:$E,4,0))</f>
        <v/>
      </c>
      <c r="R728" s="152" t="str">
        <f>IF(VLOOKUP(A718,'Aux - pivots1'!$A:$E,5,0)=0, "",VLOOKUP(A718,'Aux - pivots1'!$A:$E,5,0))</f>
        <v/>
      </c>
      <c r="S728" s="198"/>
      <c r="T728" s="198"/>
      <c r="U728" s="198"/>
      <c r="V728" s="320"/>
      <c r="W728" s="320"/>
      <c r="X728" s="320"/>
      <c r="Y728" s="368" t="s">
        <v>2320</v>
      </c>
      <c r="Z728" s="319" t="s">
        <v>1855</v>
      </c>
    </row>
    <row r="729" spans="1:26" ht="16.399999999999999" hidden="1" customHeight="1">
      <c r="A729" s="29" t="str">
        <f t="shared" si="11"/>
        <v>lt004_protectionflg_col</v>
      </c>
      <c r="B729" s="141" t="s">
        <v>26</v>
      </c>
      <c r="C729" s="137" t="s">
        <v>26</v>
      </c>
      <c r="D729" s="133" t="s">
        <v>40</v>
      </c>
      <c r="E729" s="136" t="s">
        <v>368</v>
      </c>
      <c r="F729" s="474" t="s">
        <v>479</v>
      </c>
      <c r="G729" s="135" t="str">
        <f>VLOOKUP(A729,Plano_V3!$A$26:$G$768,7,0)</f>
        <v>0. Cancelado</v>
      </c>
      <c r="H729" s="135" t="s">
        <v>611</v>
      </c>
      <c r="I729" s="467"/>
      <c r="J729" s="142"/>
      <c r="K729" s="142"/>
      <c r="L729" s="153"/>
      <c r="M729" s="153"/>
      <c r="N729" s="142"/>
      <c r="O729" s="142"/>
      <c r="P729" s="152" t="str">
        <f>IF(VLOOKUP(A696,'Aux - pivots1'!$A:$E,3,0)=0, "",VLOOKUP(A696,'Aux - pivots1'!$A:$E,3,0))</f>
        <v/>
      </c>
      <c r="Q729" s="152" t="str">
        <f>IF(VLOOKUP(A696,'Aux - pivots1'!$A:$E,4,0)=0, "",VLOOKUP(A696,'Aux - pivots1'!$A:$E,4,0))</f>
        <v/>
      </c>
      <c r="R729" s="152" t="str">
        <f>IF(VLOOKUP(A696,'Aux - pivots1'!$A:$E,5,0)=0, "",VLOOKUP(A696,'Aux - pivots1'!$A:$E,5,0))</f>
        <v/>
      </c>
      <c r="S729" s="198"/>
      <c r="T729" s="198"/>
      <c r="U729" s="198"/>
      <c r="V729" s="320"/>
      <c r="W729" s="320"/>
      <c r="X729" s="320"/>
      <c r="Y729" s="368" t="s">
        <v>2320</v>
      </c>
      <c r="Z729" s="319"/>
    </row>
    <row r="730" spans="1:26" ht="16.399999999999999" hidden="1" customHeight="1">
      <c r="A730" s="29" t="str">
        <f t="shared" si="11"/>
        <v>lt004_protectionflg_pro</v>
      </c>
      <c r="B730" s="141" t="s">
        <v>26</v>
      </c>
      <c r="C730" s="137" t="s">
        <v>26</v>
      </c>
      <c r="D730" s="133" t="s">
        <v>40</v>
      </c>
      <c r="E730" s="136" t="s">
        <v>368</v>
      </c>
      <c r="F730" s="474" t="s">
        <v>481</v>
      </c>
      <c r="G730" s="135" t="str">
        <f>VLOOKUP(A730,Plano_V3!$A$26:$G$768,7,0)</f>
        <v>0. Cancelado</v>
      </c>
      <c r="H730" s="135" t="s">
        <v>611</v>
      </c>
      <c r="I730" s="467"/>
      <c r="J730" s="142"/>
      <c r="K730" s="142"/>
      <c r="L730" s="153"/>
      <c r="M730" s="153"/>
      <c r="N730" s="142"/>
      <c r="O730" s="142"/>
      <c r="P730" s="152" t="str">
        <f>IF(VLOOKUP(A697,'Aux - pivots1'!$A:$E,3,0)=0, "",VLOOKUP(A697,'Aux - pivots1'!$A:$E,3,0))</f>
        <v/>
      </c>
      <c r="Q730" s="152" t="str">
        <f>IF(VLOOKUP(A697,'Aux - pivots1'!$A:$E,4,0)=0, "",VLOOKUP(A697,'Aux - pivots1'!$A:$E,4,0))</f>
        <v/>
      </c>
      <c r="R730" s="152" t="str">
        <f>IF(VLOOKUP(A697,'Aux - pivots1'!$A:$E,5,0)=0, "",VLOOKUP(A697,'Aux - pivots1'!$A:$E,5,0))</f>
        <v/>
      </c>
      <c r="S730" s="198"/>
      <c r="T730" s="198"/>
      <c r="U730" s="198"/>
      <c r="V730" s="320"/>
      <c r="W730" s="320"/>
      <c r="X730" s="320"/>
      <c r="Y730" s="368" t="s">
        <v>2320</v>
      </c>
      <c r="Z730" s="319"/>
    </row>
    <row r="731" spans="1:26" ht="16.399999999999999" hidden="1" customHeight="1">
      <c r="A731" s="29" t="str">
        <f t="shared" si="11"/>
        <v>modesg_inp_emss_nacenome_regiao</v>
      </c>
      <c r="B731" s="141" t="s">
        <v>26</v>
      </c>
      <c r="C731" s="137" t="s">
        <v>181</v>
      </c>
      <c r="D731" s="133" t="s">
        <v>40</v>
      </c>
      <c r="E731" s="134" t="s">
        <v>218</v>
      </c>
      <c r="F731" s="470" t="s">
        <v>220</v>
      </c>
      <c r="G731" s="135" t="str">
        <f>VLOOKUP(A731,Plano_V3!$A$26:$G$768,7,0)</f>
        <v>0. Cancelado</v>
      </c>
      <c r="H731" s="135" t="s">
        <v>611</v>
      </c>
      <c r="I731" s="467"/>
      <c r="J731" s="142"/>
      <c r="K731" s="142"/>
      <c r="L731" s="153"/>
      <c r="M731" s="153"/>
      <c r="N731" s="142"/>
      <c r="O731" s="142" t="s">
        <v>2353</v>
      </c>
      <c r="P731" s="152" t="str">
        <f>IF(VLOOKUP(A698,'Aux - pivots1'!$A:$E,3,0)=0, "",VLOOKUP(A698,'Aux - pivots1'!$A:$E,3,0))</f>
        <v/>
      </c>
      <c r="Q731" s="152" t="str">
        <f>IF(VLOOKUP(A698,'Aux - pivots1'!$A:$E,4,0)=0, "",VLOOKUP(A698,'Aux - pivots1'!$A:$E,4,0))</f>
        <v/>
      </c>
      <c r="R731" s="152" t="str">
        <f>IF(VLOOKUP(A698,'Aux - pivots1'!$A:$E,5,0)=0, "",VLOOKUP(A698,'Aux - pivots1'!$A:$E,5,0))</f>
        <v/>
      </c>
      <c r="S731" s="198"/>
      <c r="T731" s="198"/>
      <c r="U731" s="198"/>
      <c r="V731" s="320"/>
      <c r="W731" s="320"/>
      <c r="X731" s="320"/>
      <c r="Y731" s="368" t="s">
        <v>2320</v>
      </c>
      <c r="Z731" s="319"/>
    </row>
    <row r="732" spans="1:26" ht="16.5" hidden="1" customHeight="1">
      <c r="A732" s="29" t="str">
        <f t="shared" si="11"/>
        <v>modesg_inp_emss_nacearea_atividade</v>
      </c>
      <c r="B732" s="141" t="s">
        <v>26</v>
      </c>
      <c r="C732" s="137" t="s">
        <v>181</v>
      </c>
      <c r="D732" s="133" t="s">
        <v>40</v>
      </c>
      <c r="E732" s="134" t="s">
        <v>218</v>
      </c>
      <c r="F732" s="470" t="s">
        <v>643</v>
      </c>
      <c r="G732" s="135" t="str">
        <f>VLOOKUP(A732,Plano_V3!$A$26:$G$768,7,0)</f>
        <v>0. Cancelado</v>
      </c>
      <c r="H732" s="135" t="s">
        <v>611</v>
      </c>
      <c r="I732" s="467"/>
      <c r="J732" s="142"/>
      <c r="K732" s="142"/>
      <c r="L732" s="153"/>
      <c r="M732" s="153"/>
      <c r="N732" s="142"/>
      <c r="O732" s="142" t="s">
        <v>2353</v>
      </c>
      <c r="P732" s="152" t="str">
        <f>IF(VLOOKUP(A699,'Aux - pivots1'!$A:$E,3,0)=0, "",VLOOKUP(A699,'Aux - pivots1'!$A:$E,3,0))</f>
        <v/>
      </c>
      <c r="Q732" s="152" t="str">
        <f>IF(VLOOKUP(A699,'Aux - pivots1'!$A:$E,4,0)=0, "",VLOOKUP(A699,'Aux - pivots1'!$A:$E,4,0))</f>
        <v/>
      </c>
      <c r="R732" s="152" t="str">
        <f>IF(VLOOKUP(A699,'Aux - pivots1'!$A:$E,5,0)=0, "",VLOOKUP(A699,'Aux - pivots1'!$A:$E,5,0))</f>
        <v/>
      </c>
      <c r="S732" s="198"/>
      <c r="T732" s="198"/>
      <c r="U732" s="198"/>
      <c r="V732" s="320"/>
      <c r="W732" s="320"/>
      <c r="X732" s="320"/>
      <c r="Y732" s="368" t="s">
        <v>2320</v>
      </c>
      <c r="Z732" s="319"/>
    </row>
    <row r="733" spans="1:26" ht="16.5" hidden="1" customHeight="1">
      <c r="A733" s="29" t="str">
        <f t="shared" si="11"/>
        <v>modesg_inp_emss_nacetipo_atividade</v>
      </c>
      <c r="B733" s="141" t="s">
        <v>26</v>
      </c>
      <c r="C733" s="137" t="s">
        <v>181</v>
      </c>
      <c r="D733" s="133" t="s">
        <v>40</v>
      </c>
      <c r="E733" s="134" t="s">
        <v>218</v>
      </c>
      <c r="F733" s="470" t="s">
        <v>644</v>
      </c>
      <c r="G733" s="135" t="str">
        <f>VLOOKUP(A733,Plano_V3!$A$26:$G$768,7,0)</f>
        <v>0. Cancelado</v>
      </c>
      <c r="H733" s="135" t="s">
        <v>611</v>
      </c>
      <c r="I733" s="467"/>
      <c r="J733" s="142"/>
      <c r="K733" s="142"/>
      <c r="L733" s="153"/>
      <c r="M733" s="153"/>
      <c r="N733" s="142"/>
      <c r="O733" s="142" t="s">
        <v>2353</v>
      </c>
      <c r="P733" s="152" t="str">
        <f>IF(VLOOKUP(A700,'Aux - pivots1'!$A:$E,3,0)=0, "",VLOOKUP(A700,'Aux - pivots1'!$A:$E,3,0))</f>
        <v/>
      </c>
      <c r="Q733" s="152" t="str">
        <f>IF(VLOOKUP(A700,'Aux - pivots1'!$A:$E,4,0)=0, "",VLOOKUP(A700,'Aux - pivots1'!$A:$E,4,0))</f>
        <v/>
      </c>
      <c r="R733" s="152" t="str">
        <f>IF(VLOOKUP(A700,'Aux - pivots1'!$A:$E,5,0)=0, "",VLOOKUP(A700,'Aux - pivots1'!$A:$E,5,0))</f>
        <v/>
      </c>
      <c r="S733" s="198"/>
      <c r="T733" s="198"/>
      <c r="U733" s="198"/>
      <c r="V733" s="320"/>
      <c r="W733" s="320"/>
      <c r="X733" s="320"/>
      <c r="Y733" s="368" t="s">
        <v>2320</v>
      </c>
      <c r="Z733" s="319"/>
    </row>
    <row r="734" spans="1:26" ht="16.5" hidden="1" customHeight="1">
      <c r="A734" s="29" t="str">
        <f t="shared" si="11"/>
        <v>modesg_inp_emss_nacesub_tipo_atividade_1</v>
      </c>
      <c r="B734" s="141" t="s">
        <v>26</v>
      </c>
      <c r="C734" s="137" t="s">
        <v>181</v>
      </c>
      <c r="D734" s="133" t="s">
        <v>40</v>
      </c>
      <c r="E734" s="134" t="s">
        <v>218</v>
      </c>
      <c r="F734" s="470" t="s">
        <v>645</v>
      </c>
      <c r="G734" s="135" t="str">
        <f>VLOOKUP(A734,Plano_V3!$A$26:$G$768,7,0)</f>
        <v>0. Cancelado</v>
      </c>
      <c r="H734" s="135" t="s">
        <v>611</v>
      </c>
      <c r="I734" s="467"/>
      <c r="J734" s="142"/>
      <c r="K734" s="142"/>
      <c r="L734" s="153"/>
      <c r="M734" s="153"/>
      <c r="N734" s="142"/>
      <c r="O734" s="142" t="s">
        <v>2353</v>
      </c>
      <c r="P734" s="152" t="str">
        <f>IF(VLOOKUP(A701,'Aux - pivots1'!$A:$E,3,0)=0, "",VLOOKUP(A701,'Aux - pivots1'!$A:$E,3,0))</f>
        <v/>
      </c>
      <c r="Q734" s="152" t="str">
        <f>IF(VLOOKUP(A701,'Aux - pivots1'!$A:$E,4,0)=0, "",VLOOKUP(A701,'Aux - pivots1'!$A:$E,4,0))</f>
        <v/>
      </c>
      <c r="R734" s="152" t="str">
        <f>IF(VLOOKUP(A701,'Aux - pivots1'!$A:$E,5,0)=0, "",VLOOKUP(A701,'Aux - pivots1'!$A:$E,5,0))</f>
        <v/>
      </c>
      <c r="S734" s="198"/>
      <c r="T734" s="198"/>
      <c r="U734" s="198"/>
      <c r="V734" s="320"/>
      <c r="W734" s="320"/>
      <c r="X734" s="320"/>
      <c r="Y734" s="368" t="s">
        <v>2320</v>
      </c>
      <c r="Z734" s="319"/>
    </row>
    <row r="735" spans="1:26" ht="16.5" hidden="1" customHeight="1">
      <c r="A735" s="29" t="str">
        <f t="shared" si="11"/>
        <v>modesg_inp_emss_nacesub_tipo_atividade_2</v>
      </c>
      <c r="B735" s="141" t="s">
        <v>26</v>
      </c>
      <c r="C735" s="137" t="s">
        <v>181</v>
      </c>
      <c r="D735" s="133" t="s">
        <v>40</v>
      </c>
      <c r="E735" s="134" t="s">
        <v>218</v>
      </c>
      <c r="F735" s="470" t="s">
        <v>646</v>
      </c>
      <c r="G735" s="135" t="str">
        <f>VLOOKUP(A735,Plano_V3!$A$26:$G$768,7,0)</f>
        <v>0. Cancelado</v>
      </c>
      <c r="H735" s="135" t="s">
        <v>611</v>
      </c>
      <c r="I735" s="467"/>
      <c r="J735" s="142"/>
      <c r="K735" s="142"/>
      <c r="L735" s="153"/>
      <c r="M735" s="153"/>
      <c r="N735" s="142"/>
      <c r="O735" s="142" t="s">
        <v>2353</v>
      </c>
      <c r="P735" s="152" t="str">
        <f>IF(VLOOKUP(A703,'Aux - pivots1'!$A:$E,3,0)=0, "",VLOOKUP(A703,'Aux - pivots1'!$A:$E,3,0))</f>
        <v/>
      </c>
      <c r="Q735" s="152" t="str">
        <f>IF(VLOOKUP(A703,'Aux - pivots1'!$A:$E,4,0)=0, "",VLOOKUP(A703,'Aux - pivots1'!$A:$E,4,0))</f>
        <v/>
      </c>
      <c r="R735" s="152" t="str">
        <f>IF(VLOOKUP(A703,'Aux - pivots1'!$A:$E,5,0)=0, "",VLOOKUP(A703,'Aux - pivots1'!$A:$E,5,0))</f>
        <v/>
      </c>
      <c r="S735" s="198"/>
      <c r="T735" s="198"/>
      <c r="U735" s="198"/>
      <c r="V735" s="320"/>
      <c r="W735" s="320"/>
      <c r="X735" s="320"/>
      <c r="Y735" s="368" t="s">
        <v>2320</v>
      </c>
      <c r="Z735" s="319"/>
    </row>
    <row r="736" spans="1:26" ht="16.5" hidden="1" customHeight="1">
      <c r="A736" s="29" t="str">
        <f t="shared" si="11"/>
        <v>modesg_inp_emss_naceunidades_unidade_funcional</v>
      </c>
      <c r="B736" s="141" t="s">
        <v>26</v>
      </c>
      <c r="C736" s="137" t="s">
        <v>181</v>
      </c>
      <c r="D736" s="133" t="s">
        <v>40</v>
      </c>
      <c r="E736" s="134" t="s">
        <v>218</v>
      </c>
      <c r="F736" s="470" t="s">
        <v>647</v>
      </c>
      <c r="G736" s="135" t="str">
        <f>VLOOKUP(A736,Plano_V3!$A$26:$G$768,7,0)</f>
        <v>0. Cancelado</v>
      </c>
      <c r="H736" s="135" t="s">
        <v>611</v>
      </c>
      <c r="I736" s="467"/>
      <c r="J736" s="142"/>
      <c r="K736" s="142"/>
      <c r="L736" s="153"/>
      <c r="M736" s="153"/>
      <c r="N736" s="142"/>
      <c r="O736" s="142" t="s">
        <v>2353</v>
      </c>
      <c r="P736" s="152" t="str">
        <f>IF(VLOOKUP(A704,'Aux - pivots1'!$A:$E,3,0)=0, "",VLOOKUP(A704,'Aux - pivots1'!$A:$E,3,0))</f>
        <v/>
      </c>
      <c r="Q736" s="152" t="str">
        <f>IF(VLOOKUP(A704,'Aux - pivots1'!$A:$E,4,0)=0, "",VLOOKUP(A704,'Aux - pivots1'!$A:$E,4,0))</f>
        <v/>
      </c>
      <c r="R736" s="152" t="str">
        <f>IF(VLOOKUP(A704,'Aux - pivots1'!$A:$E,5,0)=0, "",VLOOKUP(A704,'Aux - pivots1'!$A:$E,5,0))</f>
        <v/>
      </c>
      <c r="S736" s="198"/>
      <c r="T736" s="198"/>
      <c r="U736" s="198"/>
      <c r="V736" s="320"/>
      <c r="W736" s="320"/>
      <c r="X736" s="320"/>
      <c r="Y736" s="368" t="s">
        <v>2320</v>
      </c>
      <c r="Z736" s="319"/>
    </row>
    <row r="737" spans="1:26" ht="16.5" hidden="1" customHeight="1">
      <c r="A737" s="29" t="str">
        <f t="shared" si="11"/>
        <v>modesg_inp_emss_nacefator_emissao</v>
      </c>
      <c r="B737" s="141" t="s">
        <v>26</v>
      </c>
      <c r="C737" s="137" t="s">
        <v>181</v>
      </c>
      <c r="D737" s="133" t="s">
        <v>40</v>
      </c>
      <c r="E737" s="134" t="s">
        <v>218</v>
      </c>
      <c r="F737" s="470" t="s">
        <v>648</v>
      </c>
      <c r="G737" s="135" t="str">
        <f>VLOOKUP(A737,Plano_V3!$A$26:$G$768,7,0)</f>
        <v>0. Cancelado</v>
      </c>
      <c r="H737" s="135" t="s">
        <v>611</v>
      </c>
      <c r="I737" s="467"/>
      <c r="J737" s="142"/>
      <c r="K737" s="142"/>
      <c r="L737" s="153"/>
      <c r="M737" s="153"/>
      <c r="N737" s="142"/>
      <c r="O737" s="142" t="s">
        <v>2353</v>
      </c>
      <c r="P737" s="152" t="str">
        <f>IF(VLOOKUP(A705,'Aux - pivots1'!$A:$E,3,0)=0, "",VLOOKUP(A705,'Aux - pivots1'!$A:$E,3,0))</f>
        <v/>
      </c>
      <c r="Q737" s="152" t="str">
        <f>IF(VLOOKUP(A705,'Aux - pivots1'!$A:$E,4,0)=0, "",VLOOKUP(A705,'Aux - pivots1'!$A:$E,4,0))</f>
        <v/>
      </c>
      <c r="R737" s="152" t="str">
        <f>IF(VLOOKUP(A705,'Aux - pivots1'!$A:$E,5,0)=0, "",VLOOKUP(A705,'Aux - pivots1'!$A:$E,5,0))</f>
        <v/>
      </c>
      <c r="S737" s="198"/>
      <c r="T737" s="198"/>
      <c r="U737" s="198"/>
      <c r="V737" s="320"/>
      <c r="W737" s="320"/>
      <c r="X737" s="320"/>
      <c r="Y737" s="368" t="s">
        <v>2320</v>
      </c>
      <c r="Z737" s="319"/>
    </row>
    <row r="738" spans="1:26" ht="16.5" hidden="1" customHeight="1">
      <c r="A738" s="29" t="str">
        <f t="shared" si="11"/>
        <v>modesg_inp_km_medios_emss_vclsmedia_scp1_emss</v>
      </c>
      <c r="B738" s="141" t="s">
        <v>26</v>
      </c>
      <c r="C738" s="137" t="s">
        <v>181</v>
      </c>
      <c r="D738" s="133" t="s">
        <v>40</v>
      </c>
      <c r="E738" s="134" t="s">
        <v>213</v>
      </c>
      <c r="F738" s="470" t="s">
        <v>649</v>
      </c>
      <c r="G738" s="135" t="str">
        <f>VLOOKUP(A738,Plano_V3!$A$26:$G$768,7,0)</f>
        <v>0. Cancelado</v>
      </c>
      <c r="H738" s="135" t="s">
        <v>611</v>
      </c>
      <c r="I738" s="467"/>
      <c r="J738" s="142"/>
      <c r="K738" s="142"/>
      <c r="L738" s="153"/>
      <c r="M738" s="153"/>
      <c r="N738" s="142"/>
      <c r="O738" s="142"/>
      <c r="P738" s="152" t="str">
        <f>IF(VLOOKUP(A729,'Aux - pivots1'!$A:$E,3,0)=0, "",VLOOKUP(A729,'Aux - pivots1'!$A:$E,3,0))</f>
        <v/>
      </c>
      <c r="Q738" s="152" t="str">
        <f>IF(VLOOKUP(A729,'Aux - pivots1'!$A:$E,4,0)=0, "",VLOOKUP(A729,'Aux - pivots1'!$A:$E,4,0))</f>
        <v/>
      </c>
      <c r="R738" s="152" t="str">
        <f>IF(VLOOKUP(A729,'Aux - pivots1'!$A:$E,5,0)=0, "",VLOOKUP(A729,'Aux - pivots1'!$A:$E,5,0))</f>
        <v/>
      </c>
      <c r="S738" s="198"/>
      <c r="T738" s="198"/>
      <c r="U738" s="198"/>
      <c r="V738" s="320"/>
      <c r="W738" s="320"/>
      <c r="X738" s="320"/>
      <c r="Y738" s="368" t="s">
        <v>2320</v>
      </c>
      <c r="Z738" s="319"/>
    </row>
    <row r="739" spans="1:26" ht="16.5" hidden="1" customHeight="1">
      <c r="A739" s="29" t="str">
        <f t="shared" si="11"/>
        <v>modesg_inp_km_medios_emss_vclsmedia_scp2_emss</v>
      </c>
      <c r="B739" s="141" t="s">
        <v>26</v>
      </c>
      <c r="C739" s="137" t="s">
        <v>181</v>
      </c>
      <c r="D739" s="133" t="s">
        <v>40</v>
      </c>
      <c r="E739" s="134" t="s">
        <v>213</v>
      </c>
      <c r="F739" s="470" t="s">
        <v>650</v>
      </c>
      <c r="G739" s="135" t="str">
        <f>VLOOKUP(A739,Plano_V3!$A$26:$G$768,7,0)</f>
        <v>0. Cancelado</v>
      </c>
      <c r="H739" s="135" t="s">
        <v>611</v>
      </c>
      <c r="I739" s="467"/>
      <c r="J739" s="142"/>
      <c r="K739" s="142"/>
      <c r="L739" s="153"/>
      <c r="M739" s="153"/>
      <c r="N739" s="142"/>
      <c r="O739" s="142"/>
      <c r="P739" s="152" t="str">
        <f>IF(VLOOKUP(A730,'Aux - pivots1'!$A:$E,3,0)=0, "",VLOOKUP(A730,'Aux - pivots1'!$A:$E,3,0))</f>
        <v/>
      </c>
      <c r="Q739" s="152" t="str">
        <f>IF(VLOOKUP(A730,'Aux - pivots1'!$A:$E,4,0)=0, "",VLOOKUP(A730,'Aux - pivots1'!$A:$E,4,0))</f>
        <v/>
      </c>
      <c r="R739" s="152" t="str">
        <f>IF(VLOOKUP(A730,'Aux - pivots1'!$A:$E,5,0)=0, "",VLOOKUP(A730,'Aux - pivots1'!$A:$E,5,0))</f>
        <v/>
      </c>
      <c r="S739" s="198"/>
      <c r="T739" s="198"/>
      <c r="U739" s="198"/>
      <c r="V739" s="320"/>
      <c r="W739" s="320"/>
      <c r="X739" s="320"/>
      <c r="Y739" s="368" t="s">
        <v>2320</v>
      </c>
      <c r="Z739" s="319"/>
    </row>
    <row r="740" spans="1:26" ht="16.5" hidden="1" customHeight="1">
      <c r="A740" s="29" t="str">
        <f t="shared" si="11"/>
        <v>modesg_inp_km_medios_emss_vclsmedia_scp3_emss</v>
      </c>
      <c r="B740" s="145" t="s">
        <v>26</v>
      </c>
      <c r="C740" s="146" t="s">
        <v>181</v>
      </c>
      <c r="D740" s="147" t="s">
        <v>40</v>
      </c>
      <c r="E740" s="148" t="s">
        <v>213</v>
      </c>
      <c r="F740" s="475" t="s">
        <v>651</v>
      </c>
      <c r="G740" s="149" t="str">
        <f>VLOOKUP(A740,Plano_V3!$A$26:$G$768,7,0)</f>
        <v>0. Cancelado</v>
      </c>
      <c r="H740" s="135" t="s">
        <v>611</v>
      </c>
      <c r="I740" s="468"/>
      <c r="J740" s="150"/>
      <c r="K740" s="150"/>
      <c r="L740" s="490"/>
      <c r="M740" s="490"/>
      <c r="N740" s="150"/>
      <c r="O740" s="150"/>
      <c r="P740" s="152" t="str">
        <f>IF(VLOOKUP(A731,'Aux - pivots1'!$A:$E,3,0)=0, "",VLOOKUP(A731,'Aux - pivots1'!$A:$E,3,0))</f>
        <v/>
      </c>
      <c r="Q740" s="152" t="str">
        <f>IF(VLOOKUP(A731,'Aux - pivots1'!$A:$E,4,0)=0, "",VLOOKUP(A731,'Aux - pivots1'!$A:$E,4,0))</f>
        <v/>
      </c>
      <c r="R740" s="152" t="str">
        <f>IF(VLOOKUP(A731,'Aux - pivots1'!$A:$E,5,0)=0, "",VLOOKUP(A731,'Aux - pivots1'!$A:$E,5,0))</f>
        <v/>
      </c>
      <c r="S740" s="200"/>
      <c r="T740" s="200"/>
      <c r="U740" s="200"/>
      <c r="V740" s="320"/>
      <c r="W740" s="320"/>
      <c r="X740" s="320"/>
      <c r="Y740" s="368" t="s">
        <v>2320</v>
      </c>
      <c r="Z740" s="319"/>
    </row>
  </sheetData>
  <pageMargins left="0.7" right="0.7" top="0.75" bottom="0.75" header="0.3" footer="0.3"/>
  <pageSetup paperSize="9" orientation="portrait" r:id="rId1"/>
  <drawing r:id="rId2"/>
  <tableParts count="1">
    <tablePart r:id="rId3"/>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tabColor theme="5" tint="-0.249977111117893"/>
  </sheetPr>
  <dimension ref="A1:AS1532"/>
  <sheetViews>
    <sheetView showGridLines="0" zoomScale="50" zoomScaleNormal="50" workbookViewId="0">
      <selection activeCell="I1426" sqref="I1426"/>
    </sheetView>
  </sheetViews>
  <sheetFormatPr defaultColWidth="0" defaultRowHeight="14"/>
  <cols>
    <col min="1" max="1" width="2.58203125" customWidth="1"/>
    <col min="2" max="2" width="13.58203125" customWidth="1"/>
    <col min="3" max="3" width="27.08203125" customWidth="1"/>
    <col min="4" max="4" width="42.08203125" customWidth="1"/>
    <col min="5" max="5" width="20.58203125" customWidth="1"/>
    <col min="6" max="7" width="40.58203125" customWidth="1"/>
    <col min="8" max="8" width="6.08203125" customWidth="1"/>
    <col min="9" max="9" width="51.08203125" customWidth="1"/>
    <col min="10" max="10" width="10.5" bestFit="1" customWidth="1"/>
    <col min="11" max="11" width="37.08203125" customWidth="1"/>
    <col min="12" max="12" width="20.58203125" customWidth="1"/>
    <col min="13" max="14" width="24.5" customWidth="1"/>
    <col min="15" max="15" width="22" customWidth="1"/>
    <col min="16" max="16" width="50.58203125" customWidth="1"/>
    <col min="17" max="18" width="20.58203125" customWidth="1"/>
    <col min="19" max="19" width="18.58203125" bestFit="1" customWidth="1"/>
    <col min="20" max="20" width="37.08203125" bestFit="1" customWidth="1"/>
    <col min="21" max="21" width="30.5" bestFit="1" customWidth="1"/>
    <col min="22" max="22" width="21.08203125" customWidth="1"/>
    <col min="23" max="24" width="8.83203125" customWidth="1"/>
    <col min="25" max="25" width="7" customWidth="1"/>
    <col min="26" max="45" width="0" hidden="1" customWidth="1"/>
    <col min="46" max="16384" width="8.83203125" hidden="1"/>
  </cols>
  <sheetData>
    <row r="1" spans="1:25" ht="16.399999999999999" customHeight="1"/>
    <row r="2" spans="1:25">
      <c r="A2" s="6"/>
      <c r="B2" s="6"/>
      <c r="C2" s="6"/>
      <c r="D2" s="6"/>
      <c r="E2" s="6"/>
      <c r="F2" s="6"/>
      <c r="G2" s="6"/>
      <c r="H2" s="6"/>
      <c r="I2" s="6"/>
      <c r="J2" s="6"/>
      <c r="K2" s="6"/>
      <c r="L2" s="6"/>
      <c r="M2" s="6"/>
      <c r="N2" s="6"/>
      <c r="O2" s="6"/>
      <c r="P2" s="6"/>
      <c r="Q2" s="6"/>
      <c r="R2" s="6"/>
      <c r="S2" s="6"/>
      <c r="T2" s="6"/>
      <c r="U2" s="6"/>
      <c r="V2" s="6"/>
      <c r="W2" s="6"/>
      <c r="X2" s="6"/>
      <c r="Y2" s="6"/>
    </row>
    <row r="3" spans="1:25">
      <c r="A3" s="9"/>
      <c r="B3" s="9"/>
      <c r="C3" s="9"/>
      <c r="D3" s="9"/>
      <c r="E3" s="9"/>
      <c r="F3" s="9"/>
      <c r="G3" s="9"/>
      <c r="H3" s="9"/>
      <c r="I3" s="8"/>
      <c r="J3" s="8"/>
      <c r="K3" s="8"/>
      <c r="L3" s="8"/>
      <c r="M3" s="8"/>
      <c r="N3" s="8"/>
      <c r="O3" s="8"/>
      <c r="P3" s="8"/>
      <c r="Q3" s="8"/>
      <c r="R3" s="8"/>
      <c r="S3" s="8"/>
      <c r="T3" s="7"/>
      <c r="U3" s="7"/>
      <c r="V3" s="7"/>
      <c r="W3" s="7"/>
      <c r="X3" s="7"/>
      <c r="Y3" s="7"/>
    </row>
    <row r="4" spans="1:25">
      <c r="A4" s="6"/>
      <c r="B4" s="6"/>
      <c r="C4" s="6"/>
      <c r="D4" s="6"/>
      <c r="E4" s="6"/>
      <c r="F4" s="6"/>
      <c r="G4" s="6"/>
      <c r="H4" s="6"/>
      <c r="I4" s="6"/>
      <c r="J4" s="6"/>
      <c r="K4" s="6"/>
      <c r="L4" s="6"/>
      <c r="M4" s="6"/>
      <c r="N4" s="6"/>
      <c r="O4" s="6"/>
      <c r="P4" s="6"/>
      <c r="Q4" s="6"/>
      <c r="R4" s="6"/>
      <c r="S4" s="6"/>
      <c r="T4" s="6"/>
      <c r="U4" s="6"/>
      <c r="V4" s="6"/>
      <c r="W4" s="6"/>
      <c r="X4" s="6"/>
      <c r="Y4" s="6"/>
    </row>
    <row r="5" spans="1:25" ht="3" customHeight="1">
      <c r="A5" s="5"/>
      <c r="B5" s="5"/>
      <c r="C5" s="5"/>
      <c r="D5" s="5"/>
      <c r="E5" s="5"/>
      <c r="F5" s="5"/>
      <c r="G5" s="5"/>
      <c r="H5" s="5"/>
      <c r="I5" s="5"/>
      <c r="J5" s="5"/>
      <c r="K5" s="5"/>
      <c r="L5" s="5"/>
      <c r="M5" s="5"/>
      <c r="N5" s="5"/>
      <c r="O5" s="5"/>
      <c r="P5" s="5"/>
      <c r="Q5" s="5"/>
      <c r="R5" s="5"/>
      <c r="S5" s="5"/>
      <c r="T5" s="5"/>
      <c r="U5" s="5"/>
      <c r="V5" s="5"/>
      <c r="W5" s="5"/>
      <c r="X5" s="5"/>
      <c r="Y5" s="5"/>
    </row>
    <row r="7" spans="1:25">
      <c r="N7" t="s">
        <v>1149</v>
      </c>
      <c r="R7" t="s">
        <v>1150</v>
      </c>
    </row>
    <row r="8" spans="1:25" ht="15" customHeight="1">
      <c r="B8" s="191" t="s">
        <v>8</v>
      </c>
      <c r="C8" s="191" t="s">
        <v>9</v>
      </c>
      <c r="D8" s="190" t="s">
        <v>119</v>
      </c>
      <c r="E8" s="190" t="s">
        <v>1151</v>
      </c>
      <c r="F8" s="194" t="s">
        <v>11</v>
      </c>
      <c r="G8" s="190" t="s">
        <v>12</v>
      </c>
      <c r="H8" s="192" t="s">
        <v>652</v>
      </c>
      <c r="I8" s="193" t="s">
        <v>13</v>
      </c>
      <c r="J8" s="193" t="s">
        <v>14</v>
      </c>
      <c r="K8" s="190" t="s">
        <v>1152</v>
      </c>
      <c r="L8" s="190" t="s">
        <v>1153</v>
      </c>
      <c r="M8" s="190" t="s">
        <v>1154</v>
      </c>
      <c r="N8" s="190" t="s">
        <v>1155</v>
      </c>
      <c r="O8" s="190" t="s">
        <v>1156</v>
      </c>
      <c r="P8" s="190" t="s">
        <v>1157</v>
      </c>
      <c r="Q8" s="190" t="s">
        <v>1158</v>
      </c>
      <c r="R8" s="190" t="s">
        <v>1159</v>
      </c>
      <c r="S8" s="190" t="s">
        <v>1160</v>
      </c>
      <c r="T8" s="190" t="s">
        <v>1161</v>
      </c>
      <c r="U8" s="190" t="s">
        <v>1162</v>
      </c>
      <c r="V8" s="190" t="s">
        <v>1163</v>
      </c>
      <c r="W8" s="190" t="s">
        <v>17</v>
      </c>
      <c r="X8" s="190" t="s">
        <v>1164</v>
      </c>
      <c r="Y8" s="495" t="s">
        <v>2453</v>
      </c>
    </row>
    <row r="9" spans="1:25" ht="17.899999999999999" hidden="1" customHeight="1">
      <c r="A9" t="str">
        <f>+Table1[[#This Row],[Tabela]]&amp;Table1[[#This Row],[Campo]]</f>
        <v>ENERGY_CERTIFICATE_EST_INPUTn.a.</v>
      </c>
      <c r="B9" s="2" t="s">
        <v>26</v>
      </c>
      <c r="C9" s="2" t="s">
        <v>34</v>
      </c>
      <c r="D9" s="2" t="s">
        <v>1178</v>
      </c>
      <c r="E9" s="2" t="s">
        <v>38</v>
      </c>
      <c r="F9" s="2" t="s">
        <v>37</v>
      </c>
      <c r="G9" s="2" t="s">
        <v>38</v>
      </c>
      <c r="H9" s="56" t="str">
        <f>Table1[[#This Row],[Tabela]]&amp;Table1[[#This Row],[Campo]]</f>
        <v>ENERGY_CERTIFICATE_EST_INPUTn.a.</v>
      </c>
      <c r="I9" s="2" t="s">
        <v>612</v>
      </c>
      <c r="J9" s="42">
        <f>VLOOKUP(Table1[[#This Row],[Status]],Auxiliar!$B$16:$C$24,2,0)</f>
        <v>1</v>
      </c>
      <c r="K9" s="2" t="s">
        <v>1165</v>
      </c>
      <c r="L9" s="2" t="s">
        <v>1174</v>
      </c>
      <c r="M9" s="20" t="s">
        <v>1175</v>
      </c>
      <c r="N9" s="47">
        <v>45716</v>
      </c>
      <c r="O9" s="20">
        <f>INDEX(Auxiliar!$D$5:$F$13,MATCH(Table1[[#This Row],[Tipologia_Testes]],Auxiliar!$B$5:$B$13,0),MATCH(Table1[[#This Row],[Complexidade]],Auxiliar!$D$4:$F$4,0))</f>
        <v>8</v>
      </c>
      <c r="P9" s="2"/>
      <c r="Q9" s="2"/>
      <c r="R9" s="151">
        <v>45261</v>
      </c>
      <c r="S9" s="151"/>
      <c r="T9" s="151">
        <v>45510</v>
      </c>
      <c r="U9" s="151">
        <v>45624</v>
      </c>
      <c r="V9" s="151"/>
      <c r="W9" s="2">
        <f>VLOOKUP(Table1[[#This Row],[Status]],Auxiliar!$B$16:$D$24,3,0)*Table1[[#This Row],[Estimação (horas)]]</f>
        <v>8</v>
      </c>
      <c r="X9" s="165" t="str">
        <f>+VLOOKUP(CONCATENATE(Table1[[#This Row],[Tabela]],Table1[[#This Row],[Campo]]),'2. Status Detalhe Campos FY24'!A:J,9,FALSE)</f>
        <v>Fase I</v>
      </c>
      <c r="Y9" s="493" t="e">
        <f>+VLOOKUP(A9,#REF!,1,FALSE)</f>
        <v>#REF!</v>
      </c>
    </row>
    <row r="10" spans="1:25" ht="17.899999999999999" hidden="1" customHeight="1">
      <c r="A10" t="str">
        <f>+Table1[[#This Row],[Tabela]]&amp;Table1[[#This Row],[Campo]]</f>
        <v>ENERGY_CERTIFICATE_EST_INPUTDATA_PROVIDER</v>
      </c>
      <c r="B10" s="2" t="s">
        <v>26</v>
      </c>
      <c r="C10" s="2" t="s">
        <v>34</v>
      </c>
      <c r="D10" s="2" t="s">
        <v>1178</v>
      </c>
      <c r="E10" s="2" t="s">
        <v>38</v>
      </c>
      <c r="F10" s="2" t="s">
        <v>37</v>
      </c>
      <c r="G10" s="134" t="s">
        <v>48</v>
      </c>
      <c r="H10" s="56" t="str">
        <f>Table1[[#This Row],[Tabela]]&amp;Table1[[#This Row],[Campo]]</f>
        <v>ENERGY_CERTIFICATE_EST_INPUTDATA_PROVIDER</v>
      </c>
      <c r="I10" s="2" t="s">
        <v>611</v>
      </c>
      <c r="J10" s="42">
        <f>VLOOKUP(Table1[[#This Row],[Status]],Auxiliar!$B$16:$C$24,2,0)</f>
        <v>0</v>
      </c>
      <c r="K10" s="2"/>
      <c r="L10" s="2"/>
      <c r="M10" s="20"/>
      <c r="N10" s="47">
        <v>45688</v>
      </c>
      <c r="O10" s="20" t="e">
        <f>INDEX(Auxiliar!$D$5:$F$11,MATCH(Table1[[#This Row],[Tipologia_Testes]],Auxiliar!$B$5:$B$11,0),MATCH(Table1[[#This Row],[Complexidade]],Auxiliar!$D$4:$F$4,0))</f>
        <v>#N/A</v>
      </c>
      <c r="P10" s="2"/>
      <c r="Q10" s="2"/>
      <c r="R10" s="151"/>
      <c r="S10" s="151"/>
      <c r="T10" s="151"/>
      <c r="U10" s="151"/>
      <c r="V10" s="151"/>
      <c r="W10" s="2" t="e">
        <f>VLOOKUP(Table1[[#This Row],[Status]],Auxiliar!$B$16:$D$24,3,0)*Table1[[#This Row],[Estimação (horas)]]</f>
        <v>#N/A</v>
      </c>
      <c r="X10" s="165" t="str">
        <f>+VLOOKUP(CONCATENATE(Table1[[#This Row],[Tabela]],Table1[[#This Row],[Campo]]),'2. Status Detalhe Campos FY24'!A:J,9,FALSE)</f>
        <v>Fase I</v>
      </c>
      <c r="Y10" s="491" t="e">
        <f>+VLOOKUP(A10,#REF!,1,FALSE)</f>
        <v>#REF!</v>
      </c>
    </row>
    <row r="11" spans="1:25" ht="17.899999999999999" hidden="1" customHeight="1">
      <c r="A11" t="str">
        <f>+Table1[[#This Row],[Tabela]]&amp;Table1[[#This Row],[Campo]]</f>
        <v>ENERGY_CERTIFICATE_EST_INPUTACTUAL_VALUE_IND</v>
      </c>
      <c r="B11" s="2" t="s">
        <v>26</v>
      </c>
      <c r="C11" s="2" t="s">
        <v>34</v>
      </c>
      <c r="D11" s="2" t="s">
        <v>1178</v>
      </c>
      <c r="E11" s="2" t="s">
        <v>38</v>
      </c>
      <c r="F11" s="2" t="s">
        <v>37</v>
      </c>
      <c r="G11" s="134" t="s">
        <v>49</v>
      </c>
      <c r="H11" s="56" t="str">
        <f>Table1[[#This Row],[Tabela]]&amp;Table1[[#This Row],[Campo]]</f>
        <v>ENERGY_CERTIFICATE_EST_INPUTACTUAL_VALUE_IND</v>
      </c>
      <c r="I11" s="2" t="s">
        <v>611</v>
      </c>
      <c r="J11" s="42">
        <f>VLOOKUP(Table1[[#This Row],[Status]],Auxiliar!$B$16:$C$24,2,0)</f>
        <v>0</v>
      </c>
      <c r="K11" s="2"/>
      <c r="L11" s="2"/>
      <c r="M11" s="20"/>
      <c r="N11" s="47">
        <v>45688</v>
      </c>
      <c r="O11" s="20" t="e">
        <f>INDEX(Auxiliar!$D$5:$F$11,MATCH(Table1[[#This Row],[Tipologia_Testes]],Auxiliar!$B$5:$B$11,0),MATCH(Table1[[#This Row],[Complexidade]],Auxiliar!$D$4:$F$4,0))</f>
        <v>#N/A</v>
      </c>
      <c r="P11" s="2"/>
      <c r="Q11" s="2"/>
      <c r="R11" s="151"/>
      <c r="S11" s="151"/>
      <c r="T11" s="151"/>
      <c r="U11" s="151"/>
      <c r="V11" s="151"/>
      <c r="W11" s="2" t="e">
        <f>VLOOKUP(Table1[[#This Row],[Status]],Auxiliar!$B$16:$D$24,3,0)*Table1[[#This Row],[Estimação (horas)]]</f>
        <v>#N/A</v>
      </c>
      <c r="X11" s="165" t="str">
        <f>+VLOOKUP(CONCATENATE(Table1[[#This Row],[Tabela]],Table1[[#This Row],[Campo]]),'2. Status Detalhe Campos FY24'!A:J,9,FALSE)</f>
        <v>Fase I</v>
      </c>
      <c r="Y11" s="491" t="e">
        <f>+VLOOKUP(A11,#REF!,1,FALSE)</f>
        <v>#REF!</v>
      </c>
    </row>
    <row r="12" spans="1:25" ht="17.899999999999999" hidden="1" customHeight="1">
      <c r="A12" t="str">
        <f>+Table1[[#This Row],[Tabela]]&amp;Table1[[#This Row],[Campo]]</f>
        <v>ENERGY_CERTIFICATE_EST_INPUTCHAVE_GLOVAL</v>
      </c>
      <c r="B12" s="2" t="s">
        <v>26</v>
      </c>
      <c r="C12" s="2" t="s">
        <v>34</v>
      </c>
      <c r="D12" s="2" t="s">
        <v>1178</v>
      </c>
      <c r="E12" s="2" t="s">
        <v>38</v>
      </c>
      <c r="F12" s="2" t="s">
        <v>37</v>
      </c>
      <c r="G12" s="134" t="s">
        <v>1967</v>
      </c>
      <c r="H12" s="56" t="str">
        <f>Table1[[#This Row],[Tabela]]&amp;Table1[[#This Row],[Campo]]</f>
        <v>ENERGY_CERTIFICATE_EST_INPUTCHAVE_GLOVAL</v>
      </c>
      <c r="I12" s="2" t="s">
        <v>612</v>
      </c>
      <c r="J12" s="42">
        <f>VLOOKUP(Table1[[#This Row],[Status]],Auxiliar!$B$16:$C$24,2,0)</f>
        <v>1</v>
      </c>
      <c r="K12" s="2" t="s">
        <v>1171</v>
      </c>
      <c r="L12" s="28" t="s">
        <v>1166</v>
      </c>
      <c r="M12" s="20" t="s">
        <v>1175</v>
      </c>
      <c r="N12" s="47">
        <v>45716</v>
      </c>
      <c r="O12" s="20">
        <f>INDEX(Auxiliar!$D$5:$F$13,MATCH(Table1[[#This Row],[Tipologia_Testes]],Auxiliar!$B$5:$B$13,0),MATCH(Table1[[#This Row],[Complexidade]],Auxiliar!$D$4:$F$4,0))</f>
        <v>0.1</v>
      </c>
      <c r="P12" s="2"/>
      <c r="Q12" s="2"/>
      <c r="R12" s="151">
        <v>45261</v>
      </c>
      <c r="S12" s="151"/>
      <c r="T12" s="151">
        <v>45510</v>
      </c>
      <c r="U12" s="151">
        <v>45624</v>
      </c>
      <c r="V12" s="151"/>
      <c r="W12" s="2">
        <f>VLOOKUP(Table1[[#This Row],[Status]],Auxiliar!$B$16:$D$24,3,0)*Table1[[#This Row],[Estimação (horas)]]</f>
        <v>0.1</v>
      </c>
      <c r="X12" s="165" t="str">
        <f>+VLOOKUP(CONCATENATE(Table1[[#This Row],[Tabela]],Table1[[#This Row],[Campo]]),'2. Status Detalhe Campos FY24'!A:J,9,FALSE)</f>
        <v>Fase I</v>
      </c>
      <c r="Y12" s="491" t="e">
        <f>+VLOOKUP(A12,#REF!,1,FALSE)</f>
        <v>#REF!</v>
      </c>
    </row>
    <row r="13" spans="1:25" ht="17.899999999999999" hidden="1" customHeight="1">
      <c r="A13" t="str">
        <f>+Table1[[#This Row],[Tabela]]&amp;Table1[[#This Row],[Campo]]</f>
        <v>ENERGY_CERTIFICATE_EST_INPUTPROPERTY_BANK_ID</v>
      </c>
      <c r="B13" s="2" t="s">
        <v>26</v>
      </c>
      <c r="C13" s="2" t="s">
        <v>34</v>
      </c>
      <c r="D13" s="2" t="s">
        <v>1178</v>
      </c>
      <c r="E13" s="2" t="s">
        <v>38</v>
      </c>
      <c r="F13" s="2" t="s">
        <v>37</v>
      </c>
      <c r="G13" s="134" t="s">
        <v>41</v>
      </c>
      <c r="H13" s="56" t="str">
        <f>Table1[[#This Row],[Tabela]]&amp;Table1[[#This Row],[Campo]]</f>
        <v>ENERGY_CERTIFICATE_EST_INPUTPROPERTY_BANK_ID</v>
      </c>
      <c r="I13" s="2" t="s">
        <v>612</v>
      </c>
      <c r="J13" s="42">
        <f>VLOOKUP(Table1[[#This Row],[Status]],Auxiliar!$B$16:$C$24,2,0)</f>
        <v>1</v>
      </c>
      <c r="K13" s="2" t="s">
        <v>1171</v>
      </c>
      <c r="L13" s="28" t="s">
        <v>1166</v>
      </c>
      <c r="M13" s="20" t="s">
        <v>1175</v>
      </c>
      <c r="N13" s="47">
        <v>45716</v>
      </c>
      <c r="O13" s="20">
        <f>INDEX(Auxiliar!$D$5:$F$13,MATCH(Table1[[#This Row],[Tipologia_Testes]],Auxiliar!$B$5:$B$13,0),MATCH(Table1[[#This Row],[Complexidade]],Auxiliar!$D$4:$F$4,0))</f>
        <v>0.1</v>
      </c>
      <c r="P13" s="2" t="s">
        <v>1180</v>
      </c>
      <c r="Q13" s="2"/>
      <c r="R13" s="151">
        <v>45261</v>
      </c>
      <c r="S13" s="151"/>
      <c r="T13" s="151">
        <v>45510</v>
      </c>
      <c r="U13" s="151">
        <v>45624</v>
      </c>
      <c r="V13" s="151"/>
      <c r="W13" s="2">
        <f>VLOOKUP(Table1[[#This Row],[Status]],Auxiliar!$B$16:$D$24,3,0)*Table1[[#This Row],[Estimação (horas)]]</f>
        <v>0.1</v>
      </c>
      <c r="X13" s="165" t="str">
        <f>+VLOOKUP(CONCATENATE(Table1[[#This Row],[Tabela]],Table1[[#This Row],[Campo]]),'2. Status Detalhe Campos FY24'!A:J,9,FALSE)</f>
        <v>Fase I</v>
      </c>
      <c r="Y13" s="491" t="e">
        <f>+VLOOKUP(A13,#REF!,1,FALSE)</f>
        <v>#REF!</v>
      </c>
    </row>
    <row r="14" spans="1:25" ht="69.650000000000006" hidden="1" customHeight="1">
      <c r="A14" t="str">
        <f>+Table1[[#This Row],[Tabela]]&amp;Table1[[#This Row],[Campo]]</f>
        <v>ENERGY_CERTIFICATE_EST_INPUTPROPERTY_BRANCH_CODE</v>
      </c>
      <c r="B14" s="2" t="s">
        <v>26</v>
      </c>
      <c r="C14" s="2" t="s">
        <v>34</v>
      </c>
      <c r="D14" s="2" t="s">
        <v>1178</v>
      </c>
      <c r="E14" s="2" t="s">
        <v>38</v>
      </c>
      <c r="F14" s="2" t="s">
        <v>37</v>
      </c>
      <c r="G14" s="134" t="s">
        <v>43</v>
      </c>
      <c r="H14" s="56" t="str">
        <f>Table1[[#This Row],[Tabela]]&amp;Table1[[#This Row],[Campo]]</f>
        <v>ENERGY_CERTIFICATE_EST_INPUTPROPERTY_BRANCH_CODE</v>
      </c>
      <c r="I14" s="2" t="s">
        <v>612</v>
      </c>
      <c r="J14" s="42">
        <f>VLOOKUP(Table1[[#This Row],[Status]],Auxiliar!$B$16:$C$24,2,0)</f>
        <v>1</v>
      </c>
      <c r="K14" s="2" t="s">
        <v>1171</v>
      </c>
      <c r="L14" s="28" t="s">
        <v>1166</v>
      </c>
      <c r="M14" s="20" t="s">
        <v>1175</v>
      </c>
      <c r="N14" s="47">
        <v>45716</v>
      </c>
      <c r="O14" s="20">
        <f>INDEX(Auxiliar!$D$5:$F$13,MATCH(Table1[[#This Row],[Tipologia_Testes]],Auxiliar!$B$5:$B$13,0),MATCH(Table1[[#This Row],[Complexidade]],Auxiliar!$D$4:$F$4,0))</f>
        <v>0.1</v>
      </c>
      <c r="P14" s="48" t="s">
        <v>1181</v>
      </c>
      <c r="Q14" s="32"/>
      <c r="R14" s="151">
        <v>45261</v>
      </c>
      <c r="S14" s="151"/>
      <c r="T14" s="151">
        <v>45510</v>
      </c>
      <c r="U14" s="151">
        <v>45624</v>
      </c>
      <c r="V14" s="151"/>
      <c r="W14" s="2">
        <f>VLOOKUP(Table1[[#This Row],[Status]],Auxiliar!$B$16:$D$24,3,0)*Table1[[#This Row],[Estimação (horas)]]</f>
        <v>0.1</v>
      </c>
      <c r="X14" s="165" t="str">
        <f>+VLOOKUP(CONCATENATE(Table1[[#This Row],[Tabela]],Table1[[#This Row],[Campo]]),'2. Status Detalhe Campos FY24'!A:J,9,FALSE)</f>
        <v>Fase I</v>
      </c>
      <c r="Y14" s="492" t="e">
        <f>+VLOOKUP(A14,#REF!,1,FALSE)</f>
        <v>#REF!</v>
      </c>
    </row>
    <row r="15" spans="1:25" ht="69.650000000000006" hidden="1" customHeight="1">
      <c r="A15" t="str">
        <f>+Table1[[#This Row],[Tabela]]&amp;Table1[[#This Row],[Campo]]</f>
        <v>ENERGY_CERTIFICATE_EST_INPUTPROPERTY_CONTRACT_ID</v>
      </c>
      <c r="B15" s="2" t="s">
        <v>26</v>
      </c>
      <c r="C15" s="2" t="s">
        <v>34</v>
      </c>
      <c r="D15" s="2" t="s">
        <v>1178</v>
      </c>
      <c r="E15" s="2" t="s">
        <v>38</v>
      </c>
      <c r="F15" s="2" t="s">
        <v>37</v>
      </c>
      <c r="G15" s="134" t="s">
        <v>44</v>
      </c>
      <c r="H15" s="56" t="str">
        <f>Table1[[#This Row],[Tabela]]&amp;Table1[[#This Row],[Campo]]</f>
        <v>ENERGY_CERTIFICATE_EST_INPUTPROPERTY_CONTRACT_ID</v>
      </c>
      <c r="I15" s="2" t="s">
        <v>612</v>
      </c>
      <c r="J15" s="42">
        <f>VLOOKUP(Table1[[#This Row],[Status]],Auxiliar!$B$16:$C$24,2,0)</f>
        <v>1</v>
      </c>
      <c r="K15" s="2" t="s">
        <v>1171</v>
      </c>
      <c r="L15" s="28" t="s">
        <v>1166</v>
      </c>
      <c r="M15" s="20" t="s">
        <v>1175</v>
      </c>
      <c r="N15" s="47">
        <v>45716</v>
      </c>
      <c r="O15" s="20">
        <f>INDEX(Auxiliar!$D$5:$F$13,MATCH(Table1[[#This Row],[Tipologia_Testes]],Auxiliar!$B$5:$B$13,0),MATCH(Table1[[#This Row],[Complexidade]],Auxiliar!$D$4:$F$4,0))</f>
        <v>0.1</v>
      </c>
      <c r="P15" s="48" t="s">
        <v>1181</v>
      </c>
      <c r="Q15" s="32"/>
      <c r="R15" s="151">
        <v>45261</v>
      </c>
      <c r="S15" s="151"/>
      <c r="T15" s="151">
        <v>45510</v>
      </c>
      <c r="U15" s="151">
        <v>45624</v>
      </c>
      <c r="V15" s="151"/>
      <c r="W15" s="2">
        <f>VLOOKUP(Table1[[#This Row],[Status]],Auxiliar!$B$16:$D$24,3,0)*Table1[[#This Row],[Estimação (horas)]]</f>
        <v>0.1</v>
      </c>
      <c r="X15" s="165" t="str">
        <f>+VLOOKUP(CONCATENATE(Table1[[#This Row],[Tabela]],Table1[[#This Row],[Campo]]),'2. Status Detalhe Campos FY24'!A:J,9,FALSE)</f>
        <v>Fase I</v>
      </c>
      <c r="Y15" s="492" t="e">
        <f>+VLOOKUP(A15,#REF!,1,FALSE)</f>
        <v>#REF!</v>
      </c>
    </row>
    <row r="16" spans="1:25" ht="17.899999999999999" hidden="1" customHeight="1">
      <c r="A16" t="str">
        <f>+Table1[[#This Row],[Tabela]]&amp;Table1[[#This Row],[Campo]]</f>
        <v>ENERGY_CERTIFICATE_EST_INPUTPROPERTY_REFERENCE_CODE</v>
      </c>
      <c r="B16" s="2" t="s">
        <v>26</v>
      </c>
      <c r="C16" s="2" t="s">
        <v>34</v>
      </c>
      <c r="D16" s="2" t="s">
        <v>1178</v>
      </c>
      <c r="E16" s="2" t="s">
        <v>38</v>
      </c>
      <c r="F16" s="2" t="s">
        <v>37</v>
      </c>
      <c r="G16" s="134" t="s">
        <v>45</v>
      </c>
      <c r="H16" s="56" t="str">
        <f>Table1[[#This Row],[Tabela]]&amp;Table1[[#This Row],[Campo]]</f>
        <v>ENERGY_CERTIFICATE_EST_INPUTPROPERTY_REFERENCE_CODE</v>
      </c>
      <c r="I16" s="2" t="s">
        <v>612</v>
      </c>
      <c r="J16" s="42">
        <f>VLOOKUP(Table1[[#This Row],[Status]],Auxiliar!$B$16:$C$24,2,0)</f>
        <v>1</v>
      </c>
      <c r="K16" s="2" t="s">
        <v>1171</v>
      </c>
      <c r="L16" s="28" t="s">
        <v>1166</v>
      </c>
      <c r="M16" s="20" t="s">
        <v>1175</v>
      </c>
      <c r="N16" s="47">
        <v>45716</v>
      </c>
      <c r="O16" s="20">
        <f>INDEX(Auxiliar!$D$5:$F$13,MATCH(Table1[[#This Row],[Tipologia_Testes]],Auxiliar!$B$5:$B$13,0),MATCH(Table1[[#This Row],[Complexidade]],Auxiliar!$D$4:$F$4,0))</f>
        <v>0.1</v>
      </c>
      <c r="P16" s="2"/>
      <c r="Q16" s="2"/>
      <c r="R16" s="151">
        <v>45261</v>
      </c>
      <c r="S16" s="151"/>
      <c r="T16" s="151">
        <v>45510</v>
      </c>
      <c r="U16" s="151">
        <v>45624</v>
      </c>
      <c r="V16" s="151"/>
      <c r="W16" s="2">
        <f>VLOOKUP(Table1[[#This Row],[Status]],Auxiliar!$B$16:$D$24,3,0)*Table1[[#This Row],[Estimação (horas)]]</f>
        <v>0.1</v>
      </c>
      <c r="X16" s="165" t="str">
        <f>+VLOOKUP(CONCATENATE(Table1[[#This Row],[Tabela]],Table1[[#This Row],[Campo]]),'2. Status Detalhe Campos FY24'!A:J,9,FALSE)</f>
        <v>Fase I</v>
      </c>
      <c r="Y16" s="491" t="e">
        <f>+VLOOKUP(A16,#REF!,1,FALSE)</f>
        <v>#REF!</v>
      </c>
    </row>
    <row r="17" spans="1:25" ht="17.899999999999999" hidden="1" customHeight="1">
      <c r="A17" t="str">
        <f>+Table1[[#This Row],[Tabela]]&amp;Table1[[#This Row],[Campo]]</f>
        <v>ENERGY_CERTIFICATE_EST_INPUTCÓDIGO_DISTRITO</v>
      </c>
      <c r="B17" s="2" t="s">
        <v>26</v>
      </c>
      <c r="C17" s="2" t="s">
        <v>34</v>
      </c>
      <c r="D17" s="2" t="s">
        <v>1178</v>
      </c>
      <c r="E17" s="2" t="s">
        <v>38</v>
      </c>
      <c r="F17" s="2" t="s">
        <v>37</v>
      </c>
      <c r="G17" s="134" t="s">
        <v>1968</v>
      </c>
      <c r="H17" s="56" t="str">
        <f>Table1[[#This Row],[Tabela]]&amp;Table1[[#This Row],[Campo]]</f>
        <v>ENERGY_CERTIFICATE_EST_INPUTCÓDIGO_DISTRITO</v>
      </c>
      <c r="I17" s="2" t="s">
        <v>612</v>
      </c>
      <c r="J17" s="42">
        <f>VLOOKUP(Table1[[#This Row],[Status]],Auxiliar!$B$16:$C$24,2,0)</f>
        <v>1</v>
      </c>
      <c r="K17" s="2" t="s">
        <v>1171</v>
      </c>
      <c r="L17" s="28" t="s">
        <v>1166</v>
      </c>
      <c r="M17" s="20" t="s">
        <v>1175</v>
      </c>
      <c r="N17" s="47">
        <v>45716</v>
      </c>
      <c r="O17" s="20">
        <f>INDEX(Auxiliar!$D$5:$F$13,MATCH(Table1[[#This Row],[Tipologia_Testes]],Auxiliar!$B$5:$B$13,0),MATCH(Table1[[#This Row],[Complexidade]],Auxiliar!$D$4:$F$4,0))</f>
        <v>0.1</v>
      </c>
      <c r="P17" s="2"/>
      <c r="Q17" s="2"/>
      <c r="R17" s="151">
        <v>45261</v>
      </c>
      <c r="S17" s="151"/>
      <c r="T17" s="151">
        <v>45510</v>
      </c>
      <c r="U17" s="151">
        <v>45624</v>
      </c>
      <c r="V17" s="151"/>
      <c r="W17" s="2">
        <f>VLOOKUP(Table1[[#This Row],[Status]],Auxiliar!$B$16:$D$24,3,0)*Table1[[#This Row],[Estimação (horas)]]</f>
        <v>0.1</v>
      </c>
      <c r="X17" s="165" t="str">
        <f>+VLOOKUP(CONCATENATE(Table1[[#This Row],[Tabela]],Table1[[#This Row],[Campo]]),'2. Status Detalhe Campos FY24'!A:J,9,FALSE)</f>
        <v>Fase I</v>
      </c>
      <c r="Y17" s="491" t="e">
        <f>+VLOOKUP(A17,#REF!,1,FALSE)</f>
        <v>#REF!</v>
      </c>
    </row>
    <row r="18" spans="1:25" ht="17.899999999999999" hidden="1" customHeight="1">
      <c r="A18" t="str">
        <f>+Table1[[#This Row],[Tabela]]&amp;Table1[[#This Row],[Campo]]</f>
        <v>ENERGY_CERTIFICATE_EST_INPUTNOMBRE_DISTRITO</v>
      </c>
      <c r="B18" s="2" t="s">
        <v>26</v>
      </c>
      <c r="C18" s="2" t="s">
        <v>34</v>
      </c>
      <c r="D18" s="2" t="s">
        <v>1178</v>
      </c>
      <c r="E18" s="2" t="s">
        <v>38</v>
      </c>
      <c r="F18" s="2" t="s">
        <v>37</v>
      </c>
      <c r="G18" s="134" t="s">
        <v>1969</v>
      </c>
      <c r="H18" s="56" t="str">
        <f>Table1[[#This Row],[Tabela]]&amp;Table1[[#This Row],[Campo]]</f>
        <v>ENERGY_CERTIFICATE_EST_INPUTNOMBRE_DISTRITO</v>
      </c>
      <c r="I18" s="2" t="s">
        <v>612</v>
      </c>
      <c r="J18" s="42">
        <f>VLOOKUP(Table1[[#This Row],[Status]],Auxiliar!$B$16:$C$24,2,0)</f>
        <v>1</v>
      </c>
      <c r="K18" s="2" t="s">
        <v>1171</v>
      </c>
      <c r="L18" s="28" t="s">
        <v>1166</v>
      </c>
      <c r="M18" s="20" t="s">
        <v>1175</v>
      </c>
      <c r="N18" s="47">
        <v>45716</v>
      </c>
      <c r="O18" s="20">
        <f>INDEX(Auxiliar!$D$5:$F$13,MATCH(Table1[[#This Row],[Tipologia_Testes]],Auxiliar!$B$5:$B$13,0),MATCH(Table1[[#This Row],[Complexidade]],Auxiliar!$D$4:$F$4,0))</f>
        <v>0.1</v>
      </c>
      <c r="P18" s="2"/>
      <c r="Q18" s="2"/>
      <c r="R18" s="151">
        <v>45261</v>
      </c>
      <c r="S18" s="151"/>
      <c r="T18" s="151">
        <v>45510</v>
      </c>
      <c r="U18" s="151">
        <v>45624</v>
      </c>
      <c r="V18" s="151"/>
      <c r="W18" s="2">
        <f>VLOOKUP(Table1[[#This Row],[Status]],Auxiliar!$B$16:$D$24,3,0)*Table1[[#This Row],[Estimação (horas)]]</f>
        <v>0.1</v>
      </c>
      <c r="X18" s="165" t="str">
        <f>+VLOOKUP(CONCATENATE(Table1[[#This Row],[Tabela]],Table1[[#This Row],[Campo]]),'2. Status Detalhe Campos FY24'!A:J,9,FALSE)</f>
        <v>Fase I</v>
      </c>
      <c r="Y18" s="491" t="e">
        <f>+VLOOKUP(A18,#REF!,1,FALSE)</f>
        <v>#REF!</v>
      </c>
    </row>
    <row r="19" spans="1:25" ht="17.899999999999999" hidden="1" customHeight="1">
      <c r="A19" t="str">
        <f>+Table1[[#This Row],[Tabela]]&amp;Table1[[#This Row],[Campo]]</f>
        <v>ENERGY_CERTIFICATE_EST_INPUTCÓDIGO_CONCEJO</v>
      </c>
      <c r="B19" s="2" t="s">
        <v>26</v>
      </c>
      <c r="C19" s="2" t="s">
        <v>34</v>
      </c>
      <c r="D19" s="2" t="s">
        <v>1178</v>
      </c>
      <c r="E19" s="2" t="s">
        <v>38</v>
      </c>
      <c r="F19" s="2" t="s">
        <v>37</v>
      </c>
      <c r="G19" s="134" t="s">
        <v>1970</v>
      </c>
      <c r="H19" s="56" t="str">
        <f>Table1[[#This Row],[Tabela]]&amp;Table1[[#This Row],[Campo]]</f>
        <v>ENERGY_CERTIFICATE_EST_INPUTCÓDIGO_CONCEJO</v>
      </c>
      <c r="I19" s="2" t="s">
        <v>612</v>
      </c>
      <c r="J19" s="42">
        <f>VLOOKUP(Table1[[#This Row],[Status]],Auxiliar!$B$16:$C$24,2,0)</f>
        <v>1</v>
      </c>
      <c r="K19" s="2" t="s">
        <v>1171</v>
      </c>
      <c r="L19" s="28" t="s">
        <v>1166</v>
      </c>
      <c r="M19" s="20" t="s">
        <v>1175</v>
      </c>
      <c r="N19" s="47">
        <v>45716</v>
      </c>
      <c r="O19" s="20">
        <f>INDEX(Auxiliar!$D$5:$F$13,MATCH(Table1[[#This Row],[Tipologia_Testes]],Auxiliar!$B$5:$B$13,0),MATCH(Table1[[#This Row],[Complexidade]],Auxiliar!$D$4:$F$4,0))</f>
        <v>0.1</v>
      </c>
      <c r="P19" s="2"/>
      <c r="Q19" s="2"/>
      <c r="R19" s="151">
        <v>45261</v>
      </c>
      <c r="S19" s="151"/>
      <c r="T19" s="151">
        <v>45510</v>
      </c>
      <c r="U19" s="151">
        <v>45624</v>
      </c>
      <c r="V19" s="151"/>
      <c r="W19" s="2">
        <f>VLOOKUP(Table1[[#This Row],[Status]],Auxiliar!$B$16:$D$24,3,0)*Table1[[#This Row],[Estimação (horas)]]</f>
        <v>0.1</v>
      </c>
      <c r="X19" s="165" t="str">
        <f>+VLOOKUP(CONCATENATE(Table1[[#This Row],[Tabela]],Table1[[#This Row],[Campo]]),'2. Status Detalhe Campos FY24'!A:J,9,FALSE)</f>
        <v>Fase I</v>
      </c>
      <c r="Y19" s="491" t="e">
        <f>+VLOOKUP(A19,#REF!,1,FALSE)</f>
        <v>#REF!</v>
      </c>
    </row>
    <row r="20" spans="1:25" ht="17.899999999999999" hidden="1" customHeight="1">
      <c r="A20" t="str">
        <f>+Table1[[#This Row],[Tabela]]&amp;Table1[[#This Row],[Campo]]</f>
        <v>ENERGY_CERTIFICATE_EST_INPUTNOMBRE_CONCEJO</v>
      </c>
      <c r="B20" s="2" t="s">
        <v>26</v>
      </c>
      <c r="C20" s="2" t="s">
        <v>34</v>
      </c>
      <c r="D20" s="2" t="s">
        <v>1178</v>
      </c>
      <c r="E20" s="2" t="s">
        <v>38</v>
      </c>
      <c r="F20" s="2" t="s">
        <v>37</v>
      </c>
      <c r="G20" s="134" t="s">
        <v>1971</v>
      </c>
      <c r="H20" s="56" t="str">
        <f>Table1[[#This Row],[Tabela]]&amp;Table1[[#This Row],[Campo]]</f>
        <v>ENERGY_CERTIFICATE_EST_INPUTNOMBRE_CONCEJO</v>
      </c>
      <c r="I20" s="2" t="s">
        <v>612</v>
      </c>
      <c r="J20" s="42">
        <f>VLOOKUP(Table1[[#This Row],[Status]],Auxiliar!$B$16:$C$24,2,0)</f>
        <v>1</v>
      </c>
      <c r="K20" s="2" t="s">
        <v>1171</v>
      </c>
      <c r="L20" s="28" t="s">
        <v>1166</v>
      </c>
      <c r="M20" s="20" t="s">
        <v>1175</v>
      </c>
      <c r="N20" s="47">
        <v>45716</v>
      </c>
      <c r="O20" s="20">
        <f>INDEX(Auxiliar!$D$5:$F$13,MATCH(Table1[[#This Row],[Tipologia_Testes]],Auxiliar!$B$5:$B$13,0),MATCH(Table1[[#This Row],[Complexidade]],Auxiliar!$D$4:$F$4,0))</f>
        <v>0.1</v>
      </c>
      <c r="P20" s="2"/>
      <c r="Q20" s="2"/>
      <c r="R20" s="151">
        <v>45261</v>
      </c>
      <c r="S20" s="151"/>
      <c r="T20" s="151">
        <v>45510</v>
      </c>
      <c r="U20" s="151">
        <v>45624</v>
      </c>
      <c r="V20" s="151"/>
      <c r="W20" s="2">
        <f>VLOOKUP(Table1[[#This Row],[Status]],Auxiliar!$B$16:$D$24,3,0)*Table1[[#This Row],[Estimação (horas)]]</f>
        <v>0.1</v>
      </c>
      <c r="X20" s="165" t="str">
        <f>+VLOOKUP(CONCATENATE(Table1[[#This Row],[Tabela]],Table1[[#This Row],[Campo]]),'2. Status Detalhe Campos FY24'!A:J,9,FALSE)</f>
        <v>Fase I</v>
      </c>
      <c r="Y20" s="491" t="e">
        <f>+VLOOKUP(A20,#REF!,1,FALSE)</f>
        <v>#REF!</v>
      </c>
    </row>
    <row r="21" spans="1:25" ht="17.899999999999999" hidden="1" customHeight="1">
      <c r="A21" t="str">
        <f>+Table1[[#This Row],[Tabela]]&amp;Table1[[#This Row],[Campo]]</f>
        <v>ENERGY_CERTIFICATE_EST_INPUTCÓDIGO_FREGUESIA</v>
      </c>
      <c r="B21" s="2" t="s">
        <v>26</v>
      </c>
      <c r="C21" s="2" t="s">
        <v>34</v>
      </c>
      <c r="D21" s="2" t="s">
        <v>1178</v>
      </c>
      <c r="E21" s="2" t="s">
        <v>38</v>
      </c>
      <c r="F21" s="2" t="s">
        <v>37</v>
      </c>
      <c r="G21" s="134" t="s">
        <v>1972</v>
      </c>
      <c r="H21" s="56" t="str">
        <f>Table1[[#This Row],[Tabela]]&amp;Table1[[#This Row],[Campo]]</f>
        <v>ENERGY_CERTIFICATE_EST_INPUTCÓDIGO_FREGUESIA</v>
      </c>
      <c r="I21" s="2" t="s">
        <v>612</v>
      </c>
      <c r="J21" s="42">
        <f>VLOOKUP(Table1[[#This Row],[Status]],Auxiliar!$B$16:$C$24,2,0)</f>
        <v>1</v>
      </c>
      <c r="K21" s="2" t="s">
        <v>1171</v>
      </c>
      <c r="L21" s="28" t="s">
        <v>1166</v>
      </c>
      <c r="M21" s="20" t="s">
        <v>1175</v>
      </c>
      <c r="N21" s="47">
        <v>45716</v>
      </c>
      <c r="O21" s="20">
        <f>INDEX(Auxiliar!$D$5:$F$13,MATCH(Table1[[#This Row],[Tipologia_Testes]],Auxiliar!$B$5:$B$13,0),MATCH(Table1[[#This Row],[Complexidade]],Auxiliar!$D$4:$F$4,0))</f>
        <v>0.1</v>
      </c>
      <c r="P21" s="2"/>
      <c r="Q21" s="2"/>
      <c r="R21" s="151">
        <v>45261</v>
      </c>
      <c r="S21" s="151"/>
      <c r="T21" s="151">
        <v>45510</v>
      </c>
      <c r="U21" s="151">
        <v>45624</v>
      </c>
      <c r="V21" s="151"/>
      <c r="W21" s="2">
        <f>VLOOKUP(Table1[[#This Row],[Status]],Auxiliar!$B$16:$D$24,3,0)*Table1[[#This Row],[Estimação (horas)]]</f>
        <v>0.1</v>
      </c>
      <c r="X21" s="165" t="str">
        <f>+VLOOKUP(CONCATENATE(Table1[[#This Row],[Tabela]],Table1[[#This Row],[Campo]]),'2. Status Detalhe Campos FY24'!A:J,9,FALSE)</f>
        <v>Fase I</v>
      </c>
      <c r="Y21" s="491" t="e">
        <f>+VLOOKUP(A21,#REF!,1,FALSE)</f>
        <v>#REF!</v>
      </c>
    </row>
    <row r="22" spans="1:25" ht="17.899999999999999" hidden="1" customHeight="1">
      <c r="A22" t="str">
        <f>+Table1[[#This Row],[Tabela]]&amp;Table1[[#This Row],[Campo]]</f>
        <v>ENERGY_CERTIFICATE_EST_INPUTNOMBRE_FREGUESIA</v>
      </c>
      <c r="B22" s="2" t="s">
        <v>26</v>
      </c>
      <c r="C22" s="2" t="s">
        <v>34</v>
      </c>
      <c r="D22" s="2" t="s">
        <v>1178</v>
      </c>
      <c r="E22" s="2" t="s">
        <v>38</v>
      </c>
      <c r="F22" s="2" t="s">
        <v>37</v>
      </c>
      <c r="G22" s="134" t="s">
        <v>1973</v>
      </c>
      <c r="H22" s="56" t="str">
        <f>Table1[[#This Row],[Tabela]]&amp;Table1[[#This Row],[Campo]]</f>
        <v>ENERGY_CERTIFICATE_EST_INPUTNOMBRE_FREGUESIA</v>
      </c>
      <c r="I22" s="2" t="s">
        <v>612</v>
      </c>
      <c r="J22" s="42">
        <f>VLOOKUP(Table1[[#This Row],[Status]],Auxiliar!$B$16:$C$24,2,0)</f>
        <v>1</v>
      </c>
      <c r="K22" s="2" t="s">
        <v>1171</v>
      </c>
      <c r="L22" s="28" t="s">
        <v>1166</v>
      </c>
      <c r="M22" s="20" t="s">
        <v>1175</v>
      </c>
      <c r="N22" s="47">
        <v>45716</v>
      </c>
      <c r="O22" s="20">
        <f>INDEX(Auxiliar!$D$5:$F$13,MATCH(Table1[[#This Row],[Tipologia_Testes]],Auxiliar!$B$5:$B$13,0),MATCH(Table1[[#This Row],[Complexidade]],Auxiliar!$D$4:$F$4,0))</f>
        <v>0.1</v>
      </c>
      <c r="P22" s="2"/>
      <c r="Q22" s="2"/>
      <c r="R22" s="151">
        <v>45261</v>
      </c>
      <c r="S22" s="151"/>
      <c r="T22" s="151">
        <v>45510</v>
      </c>
      <c r="U22" s="151">
        <v>45624</v>
      </c>
      <c r="V22" s="151"/>
      <c r="W22" s="2">
        <f>VLOOKUP(Table1[[#This Row],[Status]],Auxiliar!$B$16:$D$24,3,0)*Table1[[#This Row],[Estimação (horas)]]</f>
        <v>0.1</v>
      </c>
      <c r="X22" s="165" t="str">
        <f>+VLOOKUP(CONCATENATE(Table1[[#This Row],[Tabela]],Table1[[#This Row],[Campo]]),'2. Status Detalhe Campos FY24'!A:J,9,FALSE)</f>
        <v>Fase I</v>
      </c>
      <c r="Y22" s="491" t="e">
        <f>+VLOOKUP(A22,#REF!,1,FALSE)</f>
        <v>#REF!</v>
      </c>
    </row>
    <row r="23" spans="1:25" ht="17.899999999999999" hidden="1" customHeight="1">
      <c r="A23" t="str">
        <f>+Table1[[#This Row],[Tabela]]&amp;Table1[[#This Row],[Campo]]</f>
        <v>ENERGY_CERTIFICATE_EST_INPUTLOCALIDADE</v>
      </c>
      <c r="B23" s="2" t="s">
        <v>26</v>
      </c>
      <c r="C23" s="2" t="s">
        <v>34</v>
      </c>
      <c r="D23" s="2" t="s">
        <v>1178</v>
      </c>
      <c r="E23" s="2" t="s">
        <v>38</v>
      </c>
      <c r="F23" s="2" t="s">
        <v>37</v>
      </c>
      <c r="G23" s="134" t="s">
        <v>1974</v>
      </c>
      <c r="H23" s="56" t="str">
        <f>Table1[[#This Row],[Tabela]]&amp;Table1[[#This Row],[Campo]]</f>
        <v>ENERGY_CERTIFICATE_EST_INPUTLOCALIDADE</v>
      </c>
      <c r="I23" s="2" t="s">
        <v>612</v>
      </c>
      <c r="J23" s="42">
        <f>VLOOKUP(Table1[[#This Row],[Status]],Auxiliar!$B$16:$C$24,2,0)</f>
        <v>1</v>
      </c>
      <c r="K23" s="2" t="s">
        <v>1171</v>
      </c>
      <c r="L23" s="28" t="s">
        <v>1166</v>
      </c>
      <c r="M23" s="20" t="s">
        <v>1175</v>
      </c>
      <c r="N23" s="47">
        <v>45716</v>
      </c>
      <c r="O23" s="20">
        <f>INDEX(Auxiliar!$D$5:$F$13,MATCH(Table1[[#This Row],[Tipologia_Testes]],Auxiliar!$B$5:$B$13,0),MATCH(Table1[[#This Row],[Complexidade]],Auxiliar!$D$4:$F$4,0))</f>
        <v>0.1</v>
      </c>
      <c r="P23" s="2"/>
      <c r="Q23" s="2"/>
      <c r="R23" s="151">
        <v>45261</v>
      </c>
      <c r="S23" s="151"/>
      <c r="T23" s="151">
        <v>45510</v>
      </c>
      <c r="U23" s="151">
        <v>45624</v>
      </c>
      <c r="V23" s="151"/>
      <c r="W23" s="2">
        <f>VLOOKUP(Table1[[#This Row],[Status]],Auxiliar!$B$16:$D$24,3,0)*Table1[[#This Row],[Estimação (horas)]]</f>
        <v>0.1</v>
      </c>
      <c r="X23" s="165" t="str">
        <f>+VLOOKUP(CONCATENATE(Table1[[#This Row],[Tabela]],Table1[[#This Row],[Campo]]),'2. Status Detalhe Campos FY24'!A:J,9,FALSE)</f>
        <v>Fase I</v>
      </c>
      <c r="Y23" s="491" t="e">
        <f>+VLOOKUP(A23,#REF!,1,FALSE)</f>
        <v>#REF!</v>
      </c>
    </row>
    <row r="24" spans="1:25" ht="17.899999999999999" hidden="1" customHeight="1">
      <c r="A24" t="str">
        <f>+Table1[[#This Row],[Tabela]]&amp;Table1[[#This Row],[Campo]]</f>
        <v>ENERGY_CERTIFICATE_EST_INPUTTIPO_VIA</v>
      </c>
      <c r="B24" s="2" t="s">
        <v>26</v>
      </c>
      <c r="C24" s="2" t="s">
        <v>34</v>
      </c>
      <c r="D24" s="2" t="s">
        <v>1178</v>
      </c>
      <c r="E24" s="2" t="s">
        <v>38</v>
      </c>
      <c r="F24" s="2" t="s">
        <v>37</v>
      </c>
      <c r="G24" s="134" t="s">
        <v>1975</v>
      </c>
      <c r="H24" s="56" t="str">
        <f>Table1[[#This Row],[Tabela]]&amp;Table1[[#This Row],[Campo]]</f>
        <v>ENERGY_CERTIFICATE_EST_INPUTTIPO_VIA</v>
      </c>
      <c r="I24" s="2" t="s">
        <v>612</v>
      </c>
      <c r="J24" s="42">
        <f>VLOOKUP(Table1[[#This Row],[Status]],Auxiliar!$B$16:$C$24,2,0)</f>
        <v>1</v>
      </c>
      <c r="K24" s="2" t="s">
        <v>1171</v>
      </c>
      <c r="L24" s="28" t="s">
        <v>1166</v>
      </c>
      <c r="M24" s="20" t="s">
        <v>1175</v>
      </c>
      <c r="N24" s="47">
        <v>45716</v>
      </c>
      <c r="O24" s="20">
        <f>INDEX(Auxiliar!$D$5:$F$13,MATCH(Table1[[#This Row],[Tipologia_Testes]],Auxiliar!$B$5:$B$13,0),MATCH(Table1[[#This Row],[Complexidade]],Auxiliar!$D$4:$F$4,0))</f>
        <v>0.1</v>
      </c>
      <c r="P24" s="2" t="s">
        <v>1182</v>
      </c>
      <c r="Q24" s="2"/>
      <c r="R24" s="151">
        <v>45261</v>
      </c>
      <c r="S24" s="151"/>
      <c r="T24" s="151">
        <v>45510</v>
      </c>
      <c r="U24" s="151">
        <v>45624</v>
      </c>
      <c r="V24" s="151"/>
      <c r="W24" s="2">
        <f>VLOOKUP(Table1[[#This Row],[Status]],Auxiliar!$B$16:$D$24,3,0)*Table1[[#This Row],[Estimação (horas)]]</f>
        <v>0.1</v>
      </c>
      <c r="X24" s="165" t="str">
        <f>+VLOOKUP(CONCATENATE(Table1[[#This Row],[Tabela]],Table1[[#This Row],[Campo]]),'2. Status Detalhe Campos FY24'!A:J,9,FALSE)</f>
        <v>Fase I</v>
      </c>
      <c r="Y24" s="491" t="e">
        <f>+VLOOKUP(A24,#REF!,1,FALSE)</f>
        <v>#REF!</v>
      </c>
    </row>
    <row r="25" spans="1:25" ht="17.899999999999999" hidden="1" customHeight="1">
      <c r="A25" t="str">
        <f>+Table1[[#This Row],[Tabela]]&amp;Table1[[#This Row],[Campo]]</f>
        <v>ENERGY_CERTIFICATE_EST_INPUTNOMBRE_TIPO_VIA</v>
      </c>
      <c r="B25" s="2" t="s">
        <v>26</v>
      </c>
      <c r="C25" s="2" t="s">
        <v>34</v>
      </c>
      <c r="D25" s="2" t="s">
        <v>1178</v>
      </c>
      <c r="E25" s="2" t="s">
        <v>38</v>
      </c>
      <c r="F25" s="2" t="s">
        <v>37</v>
      </c>
      <c r="G25" s="134" t="s">
        <v>1976</v>
      </c>
      <c r="H25" s="56" t="str">
        <f>Table1[[#This Row],[Tabela]]&amp;Table1[[#This Row],[Campo]]</f>
        <v>ENERGY_CERTIFICATE_EST_INPUTNOMBRE_TIPO_VIA</v>
      </c>
      <c r="I25" s="2" t="s">
        <v>612</v>
      </c>
      <c r="J25" s="42">
        <f>VLOOKUP(Table1[[#This Row],[Status]],Auxiliar!$B$16:$C$24,2,0)</f>
        <v>1</v>
      </c>
      <c r="K25" s="2" t="s">
        <v>1171</v>
      </c>
      <c r="L25" s="28" t="s">
        <v>1166</v>
      </c>
      <c r="M25" s="20" t="s">
        <v>1175</v>
      </c>
      <c r="N25" s="47">
        <v>45716</v>
      </c>
      <c r="O25" s="20">
        <f>INDEX(Auxiliar!$D$5:$F$13,MATCH(Table1[[#This Row],[Tipologia_Testes]],Auxiliar!$B$5:$B$13,0),MATCH(Table1[[#This Row],[Complexidade]],Auxiliar!$D$4:$F$4,0))</f>
        <v>0.1</v>
      </c>
      <c r="P25" s="2" t="s">
        <v>1182</v>
      </c>
      <c r="Q25" s="2"/>
      <c r="R25" s="151">
        <v>45261</v>
      </c>
      <c r="S25" s="151"/>
      <c r="T25" s="151">
        <v>45510</v>
      </c>
      <c r="U25" s="151">
        <v>45624</v>
      </c>
      <c r="V25" s="151"/>
      <c r="W25" s="2">
        <f>VLOOKUP(Table1[[#This Row],[Status]],Auxiliar!$B$16:$D$24,3,0)*Table1[[#This Row],[Estimação (horas)]]</f>
        <v>0.1</v>
      </c>
      <c r="X25" s="165" t="str">
        <f>+VLOOKUP(CONCATENATE(Table1[[#This Row],[Tabela]],Table1[[#This Row],[Campo]]),'2. Status Detalhe Campos FY24'!A:J,9,FALSE)</f>
        <v>Fase I</v>
      </c>
      <c r="Y25" s="491" t="e">
        <f>+VLOOKUP(A25,#REF!,1,FALSE)</f>
        <v>#REF!</v>
      </c>
    </row>
    <row r="26" spans="1:25" ht="17.899999999999999" hidden="1" customHeight="1">
      <c r="A26" t="str">
        <f>+Table1[[#This Row],[Tabela]]&amp;Table1[[#This Row],[Campo]]</f>
        <v>ENERGY_CERTIFICATE_EST_INPUTNOMBRE_VIA</v>
      </c>
      <c r="B26" s="2" t="s">
        <v>26</v>
      </c>
      <c r="C26" s="2" t="s">
        <v>34</v>
      </c>
      <c r="D26" s="2" t="s">
        <v>1178</v>
      </c>
      <c r="E26" s="2" t="s">
        <v>38</v>
      </c>
      <c r="F26" s="2" t="s">
        <v>37</v>
      </c>
      <c r="G26" s="134" t="s">
        <v>1977</v>
      </c>
      <c r="H26" s="56" t="str">
        <f>Table1[[#This Row],[Tabela]]&amp;Table1[[#This Row],[Campo]]</f>
        <v>ENERGY_CERTIFICATE_EST_INPUTNOMBRE_VIA</v>
      </c>
      <c r="I26" s="2" t="s">
        <v>612</v>
      </c>
      <c r="J26" s="42">
        <f>VLOOKUP(Table1[[#This Row],[Status]],Auxiliar!$B$16:$C$24,2,0)</f>
        <v>1</v>
      </c>
      <c r="K26" s="2" t="s">
        <v>1171</v>
      </c>
      <c r="L26" s="28" t="s">
        <v>1166</v>
      </c>
      <c r="M26" s="20" t="s">
        <v>1175</v>
      </c>
      <c r="N26" s="47">
        <v>45716</v>
      </c>
      <c r="O26" s="20">
        <f>INDEX(Auxiliar!$D$5:$F$13,MATCH(Table1[[#This Row],[Tipologia_Testes]],Auxiliar!$B$5:$B$13,0),MATCH(Table1[[#This Row],[Complexidade]],Auxiliar!$D$4:$F$4,0))</f>
        <v>0.1</v>
      </c>
      <c r="P26" s="48" t="s">
        <v>1183</v>
      </c>
      <c r="Q26" s="32"/>
      <c r="R26" s="151">
        <v>45261</v>
      </c>
      <c r="S26" s="151"/>
      <c r="T26" s="151">
        <v>45510</v>
      </c>
      <c r="U26" s="151">
        <v>45624</v>
      </c>
      <c r="V26" s="151"/>
      <c r="W26" s="2">
        <f>VLOOKUP(Table1[[#This Row],[Status]],Auxiliar!$B$16:$D$24,3,0)*Table1[[#This Row],[Estimação (horas)]]</f>
        <v>0.1</v>
      </c>
      <c r="X26" s="165" t="str">
        <f>+VLOOKUP(CONCATENATE(Table1[[#This Row],[Tabela]],Table1[[#This Row],[Campo]]),'2. Status Detalhe Campos FY24'!A:J,9,FALSE)</f>
        <v>Fase I</v>
      </c>
      <c r="Y26" s="492" t="e">
        <f>+VLOOKUP(A26,#REF!,1,FALSE)</f>
        <v>#REF!</v>
      </c>
    </row>
    <row r="27" spans="1:25" ht="17.899999999999999" hidden="1" customHeight="1">
      <c r="A27" t="str">
        <f>+Table1[[#This Row],[Tabela]]&amp;Table1[[#This Row],[Campo]]</f>
        <v>ENERGY_CERTIFICATE_EST_INPUTNUMERO_VIA</v>
      </c>
      <c r="B27" s="2" t="s">
        <v>26</v>
      </c>
      <c r="C27" s="2" t="s">
        <v>34</v>
      </c>
      <c r="D27" s="2" t="s">
        <v>1178</v>
      </c>
      <c r="E27" s="2" t="s">
        <v>38</v>
      </c>
      <c r="F27" s="2" t="s">
        <v>37</v>
      </c>
      <c r="G27" s="134" t="s">
        <v>1978</v>
      </c>
      <c r="H27" s="56" t="str">
        <f>Table1[[#This Row],[Tabela]]&amp;Table1[[#This Row],[Campo]]</f>
        <v>ENERGY_CERTIFICATE_EST_INPUTNUMERO_VIA</v>
      </c>
      <c r="I27" s="2" t="s">
        <v>612</v>
      </c>
      <c r="J27" s="42">
        <f>VLOOKUP(Table1[[#This Row],[Status]],Auxiliar!$B$16:$C$24,2,0)</f>
        <v>1</v>
      </c>
      <c r="K27" s="2" t="s">
        <v>1171</v>
      </c>
      <c r="L27" s="28" t="s">
        <v>1166</v>
      </c>
      <c r="M27" s="20" t="s">
        <v>1175</v>
      </c>
      <c r="N27" s="47">
        <v>45716</v>
      </c>
      <c r="O27" s="20">
        <f>INDEX(Auxiliar!$D$5:$F$13,MATCH(Table1[[#This Row],[Tipologia_Testes]],Auxiliar!$B$5:$B$13,0),MATCH(Table1[[#This Row],[Complexidade]],Auxiliar!$D$4:$F$4,0))</f>
        <v>0.1</v>
      </c>
      <c r="P27" s="48" t="s">
        <v>1183</v>
      </c>
      <c r="Q27" s="32"/>
      <c r="R27" s="151">
        <v>45261</v>
      </c>
      <c r="S27" s="151"/>
      <c r="T27" s="151">
        <v>45510</v>
      </c>
      <c r="U27" s="151">
        <v>45624</v>
      </c>
      <c r="V27" s="151"/>
      <c r="W27" s="2">
        <f>VLOOKUP(Table1[[#This Row],[Status]],Auxiliar!$B$16:$D$24,3,0)*Table1[[#This Row],[Estimação (horas)]]</f>
        <v>0.1</v>
      </c>
      <c r="X27" s="165" t="str">
        <f>+VLOOKUP(CONCATENATE(Table1[[#This Row],[Tabela]],Table1[[#This Row],[Campo]]),'2. Status Detalhe Campos FY24'!A:J,9,FALSE)</f>
        <v>Fase I</v>
      </c>
      <c r="Y27" s="492" t="e">
        <f>+VLOOKUP(A27,#REF!,1,FALSE)</f>
        <v>#REF!</v>
      </c>
    </row>
    <row r="28" spans="1:25" ht="17.899999999999999" hidden="1" customHeight="1">
      <c r="A28" t="str">
        <f>+Table1[[#This Row],[Tabela]]&amp;Table1[[#This Row],[Campo]]</f>
        <v>ENERGY_CERTIFICATE_EST_INPUTLOTE</v>
      </c>
      <c r="B28" s="2" t="s">
        <v>26</v>
      </c>
      <c r="C28" s="2" t="s">
        <v>34</v>
      </c>
      <c r="D28" s="2" t="s">
        <v>1178</v>
      </c>
      <c r="E28" s="2" t="s">
        <v>38</v>
      </c>
      <c r="F28" s="2" t="s">
        <v>37</v>
      </c>
      <c r="G28" s="134" t="s">
        <v>1979</v>
      </c>
      <c r="H28" s="56" t="str">
        <f>Table1[[#This Row],[Tabela]]&amp;Table1[[#This Row],[Campo]]</f>
        <v>ENERGY_CERTIFICATE_EST_INPUTLOTE</v>
      </c>
      <c r="I28" s="2" t="s">
        <v>612</v>
      </c>
      <c r="J28" s="42">
        <f>VLOOKUP(Table1[[#This Row],[Status]],Auxiliar!$B$16:$C$24,2,0)</f>
        <v>1</v>
      </c>
      <c r="K28" s="2" t="s">
        <v>1171</v>
      </c>
      <c r="L28" s="28" t="s">
        <v>1166</v>
      </c>
      <c r="M28" s="20" t="s">
        <v>1175</v>
      </c>
      <c r="N28" s="47">
        <v>45716</v>
      </c>
      <c r="O28" s="20">
        <f>INDEX(Auxiliar!$D$5:$F$13,MATCH(Table1[[#This Row],[Tipologia_Testes]],Auxiliar!$B$5:$B$13,0),MATCH(Table1[[#This Row],[Complexidade]],Auxiliar!$D$4:$F$4,0))</f>
        <v>0.1</v>
      </c>
      <c r="P28" s="2"/>
      <c r="Q28" s="2"/>
      <c r="R28" s="151">
        <v>45261</v>
      </c>
      <c r="S28" s="151"/>
      <c r="T28" s="151">
        <v>45510</v>
      </c>
      <c r="U28" s="151">
        <v>45624</v>
      </c>
      <c r="V28" s="151"/>
      <c r="W28" s="2">
        <f>VLOOKUP(Table1[[#This Row],[Status]],Auxiliar!$B$16:$D$24,3,0)*Table1[[#This Row],[Estimação (horas)]]</f>
        <v>0.1</v>
      </c>
      <c r="X28" s="165" t="str">
        <f>+VLOOKUP(CONCATENATE(Table1[[#This Row],[Tabela]],Table1[[#This Row],[Campo]]),'2. Status Detalhe Campos FY24'!A:J,9,FALSE)</f>
        <v>Fase I</v>
      </c>
      <c r="Y28" s="491" t="e">
        <f>+VLOOKUP(A28,#REF!,1,FALSE)</f>
        <v>#REF!</v>
      </c>
    </row>
    <row r="29" spans="1:25" ht="17.899999999999999" hidden="1" customHeight="1">
      <c r="A29" t="str">
        <f>+Table1[[#This Row],[Tabela]]&amp;Table1[[#This Row],[Campo]]</f>
        <v>ENERGY_CERTIFICATE_EST_INPUTURBANIZACION</v>
      </c>
      <c r="B29" s="2" t="s">
        <v>26</v>
      </c>
      <c r="C29" s="2" t="s">
        <v>34</v>
      </c>
      <c r="D29" s="2" t="s">
        <v>1178</v>
      </c>
      <c r="E29" s="2" t="s">
        <v>38</v>
      </c>
      <c r="F29" s="2" t="s">
        <v>37</v>
      </c>
      <c r="G29" s="134" t="s">
        <v>1980</v>
      </c>
      <c r="H29" s="56" t="str">
        <f>Table1[[#This Row],[Tabela]]&amp;Table1[[#This Row],[Campo]]</f>
        <v>ENERGY_CERTIFICATE_EST_INPUTURBANIZACION</v>
      </c>
      <c r="I29" s="2" t="s">
        <v>612</v>
      </c>
      <c r="J29" s="42">
        <f>VLOOKUP(Table1[[#This Row],[Status]],Auxiliar!$B$16:$C$24,2,0)</f>
        <v>1</v>
      </c>
      <c r="K29" s="2" t="s">
        <v>1171</v>
      </c>
      <c r="L29" s="28" t="s">
        <v>1166</v>
      </c>
      <c r="M29" s="20" t="s">
        <v>1175</v>
      </c>
      <c r="N29" s="47">
        <v>45716</v>
      </c>
      <c r="O29" s="20">
        <f>INDEX(Auxiliar!$D$5:$F$13,MATCH(Table1[[#This Row],[Tipologia_Testes]],Auxiliar!$B$5:$B$13,0),MATCH(Table1[[#This Row],[Complexidade]],Auxiliar!$D$4:$F$4,0))</f>
        <v>0.1</v>
      </c>
      <c r="P29" s="2"/>
      <c r="Q29" s="2"/>
      <c r="R29" s="151">
        <v>45261</v>
      </c>
      <c r="S29" s="151"/>
      <c r="T29" s="151">
        <v>45510</v>
      </c>
      <c r="U29" s="151">
        <v>45624</v>
      </c>
      <c r="V29" s="151"/>
      <c r="W29" s="2">
        <f>VLOOKUP(Table1[[#This Row],[Status]],Auxiliar!$B$16:$D$24,3,0)*Table1[[#This Row],[Estimação (horas)]]</f>
        <v>0.1</v>
      </c>
      <c r="X29" s="165" t="str">
        <f>+VLOOKUP(CONCATENATE(Table1[[#This Row],[Tabela]],Table1[[#This Row],[Campo]]),'2. Status Detalhe Campos FY24'!A:J,9,FALSE)</f>
        <v>Fase I</v>
      </c>
      <c r="Y29" s="491" t="e">
        <f>+VLOOKUP(A29,#REF!,1,FALSE)</f>
        <v>#REF!</v>
      </c>
    </row>
    <row r="30" spans="1:25" ht="17.899999999999999" hidden="1" customHeight="1">
      <c r="A30" t="str">
        <f>+Table1[[#This Row],[Tabela]]&amp;Table1[[#This Row],[Campo]]</f>
        <v>ENERGY_CERTIFICATE_EST_INPUTCAGLURB</v>
      </c>
      <c r="B30" s="2" t="s">
        <v>26</v>
      </c>
      <c r="C30" s="2" t="s">
        <v>34</v>
      </c>
      <c r="D30" s="2" t="s">
        <v>1178</v>
      </c>
      <c r="E30" s="2" t="s">
        <v>38</v>
      </c>
      <c r="F30" s="2" t="s">
        <v>37</v>
      </c>
      <c r="G30" s="134" t="s">
        <v>1981</v>
      </c>
      <c r="H30" s="56" t="str">
        <f>Table1[[#This Row],[Tabela]]&amp;Table1[[#This Row],[Campo]]</f>
        <v>ENERGY_CERTIFICATE_EST_INPUTCAGLURB</v>
      </c>
      <c r="I30" s="2" t="s">
        <v>612</v>
      </c>
      <c r="J30" s="42">
        <f>VLOOKUP(Table1[[#This Row],[Status]],Auxiliar!$B$16:$C$24,2,0)</f>
        <v>1</v>
      </c>
      <c r="K30" s="2" t="s">
        <v>1171</v>
      </c>
      <c r="L30" s="28" t="s">
        <v>1166</v>
      </c>
      <c r="M30" s="20" t="s">
        <v>1175</v>
      </c>
      <c r="N30" s="47">
        <v>45716</v>
      </c>
      <c r="O30" s="20">
        <f>INDEX(Auxiliar!$D$5:$F$13,MATCH(Table1[[#This Row],[Tipologia_Testes]],Auxiliar!$B$5:$B$13,0),MATCH(Table1[[#This Row],[Complexidade]],Auxiliar!$D$4:$F$4,0))</f>
        <v>0.1</v>
      </c>
      <c r="P30" s="2"/>
      <c r="Q30" s="2"/>
      <c r="R30" s="151">
        <v>45261</v>
      </c>
      <c r="S30" s="151"/>
      <c r="T30" s="151">
        <v>45510</v>
      </c>
      <c r="U30" s="151">
        <v>45624</v>
      </c>
      <c r="V30" s="151"/>
      <c r="W30" s="2">
        <f>VLOOKUP(Table1[[#This Row],[Status]],Auxiliar!$B$16:$D$24,3,0)*Table1[[#This Row],[Estimação (horas)]]</f>
        <v>0.1</v>
      </c>
      <c r="X30" s="165" t="str">
        <f>+VLOOKUP(CONCATENATE(Table1[[#This Row],[Tabela]],Table1[[#This Row],[Campo]]),'2. Status Detalhe Campos FY24'!A:J,9,FALSE)</f>
        <v>Fase I</v>
      </c>
      <c r="Y30" s="491" t="e">
        <f>+VLOOKUP(A30,#REF!,1,FALSE)</f>
        <v>#REF!</v>
      </c>
    </row>
    <row r="31" spans="1:25" ht="17.899999999999999" hidden="1" customHeight="1">
      <c r="A31" t="str">
        <f>+Table1[[#This Row],[Tabela]]&amp;Table1[[#This Row],[Campo]]</f>
        <v>ENERGY_CERTIFICATE_EST_INPUTRESTO_DIRECCION</v>
      </c>
      <c r="B31" s="2" t="s">
        <v>26</v>
      </c>
      <c r="C31" s="2" t="s">
        <v>34</v>
      </c>
      <c r="D31" s="2" t="s">
        <v>1178</v>
      </c>
      <c r="E31" s="2" t="s">
        <v>38</v>
      </c>
      <c r="F31" s="2" t="s">
        <v>37</v>
      </c>
      <c r="G31" s="134" t="s">
        <v>1982</v>
      </c>
      <c r="H31" s="56" t="str">
        <f>Table1[[#This Row],[Tabela]]&amp;Table1[[#This Row],[Campo]]</f>
        <v>ENERGY_CERTIFICATE_EST_INPUTRESTO_DIRECCION</v>
      </c>
      <c r="I31" s="2" t="s">
        <v>612</v>
      </c>
      <c r="J31" s="42">
        <f>VLOOKUP(Table1[[#This Row],[Status]],Auxiliar!$B$16:$C$24,2,0)</f>
        <v>1</v>
      </c>
      <c r="K31" s="2" t="s">
        <v>1171</v>
      </c>
      <c r="L31" s="28" t="s">
        <v>1166</v>
      </c>
      <c r="M31" s="20" t="s">
        <v>1175</v>
      </c>
      <c r="N31" s="47">
        <v>45716</v>
      </c>
      <c r="O31" s="20">
        <f>INDEX(Auxiliar!$D$5:$F$11,MATCH(Table1[[#This Row],[Tipologia_Testes]],Auxiliar!$B$5:$B$11,0),MATCH(Table1[[#This Row],[Complexidade]],Auxiliar!$D$4:$F$4,0))</f>
        <v>0.1</v>
      </c>
      <c r="P31" s="2"/>
      <c r="Q31" s="2"/>
      <c r="R31" s="151"/>
      <c r="S31" s="151"/>
      <c r="T31" s="151"/>
      <c r="U31" s="151"/>
      <c r="V31" s="151"/>
      <c r="W31" s="2">
        <f>VLOOKUP(Table1[[#This Row],[Status]],Auxiliar!$B$16:$D$24,3,0)*Table1[[#This Row],[Estimação (horas)]]</f>
        <v>0.1</v>
      </c>
      <c r="X31" s="165" t="str">
        <f>+VLOOKUP(CONCATENATE(Table1[[#This Row],[Tabela]],Table1[[#This Row],[Campo]]),'2. Status Detalhe Campos FY24'!A:J,9,FALSE)</f>
        <v>Fase I</v>
      </c>
      <c r="Y31" s="491" t="e">
        <f>+VLOOKUP(A31,#REF!,1,FALSE)</f>
        <v>#REF!</v>
      </c>
    </row>
    <row r="32" spans="1:25" ht="17.899999999999999" hidden="1" customHeight="1">
      <c r="A32" t="str">
        <f>+Table1[[#This Row],[Tabela]]&amp;Table1[[#This Row],[Campo]]</f>
        <v>ENERGY_CERTIFICATE_EST_INPUTLATITUDE</v>
      </c>
      <c r="B32" s="2" t="s">
        <v>26</v>
      </c>
      <c r="C32" s="2" t="s">
        <v>34</v>
      </c>
      <c r="D32" s="2" t="s">
        <v>1178</v>
      </c>
      <c r="E32" s="2" t="s">
        <v>38</v>
      </c>
      <c r="F32" s="2" t="s">
        <v>37</v>
      </c>
      <c r="G32" s="134" t="s">
        <v>1983</v>
      </c>
      <c r="H32" s="56" t="str">
        <f>Table1[[#This Row],[Tabela]]&amp;Table1[[#This Row],[Campo]]</f>
        <v>ENERGY_CERTIFICATE_EST_INPUTLATITUDE</v>
      </c>
      <c r="I32" s="2" t="s">
        <v>612</v>
      </c>
      <c r="J32" s="42">
        <f>VLOOKUP(Table1[[#This Row],[Status]],Auxiliar!$B$16:$C$24,2,0)</f>
        <v>1</v>
      </c>
      <c r="K32" s="2" t="s">
        <v>1171</v>
      </c>
      <c r="L32" s="28" t="s">
        <v>1166</v>
      </c>
      <c r="M32" s="20" t="s">
        <v>1175</v>
      </c>
      <c r="N32" s="47">
        <v>45716</v>
      </c>
      <c r="O32" s="20">
        <f>INDEX(Auxiliar!$D$5:$F$11,MATCH(Table1[[#This Row],[Tipologia_Testes]],Auxiliar!$B$5:$B$11,0),MATCH(Table1[[#This Row],[Complexidade]],Auxiliar!$D$4:$F$4,0))</f>
        <v>0.1</v>
      </c>
      <c r="P32" s="2"/>
      <c r="Q32" s="2"/>
      <c r="R32" s="151"/>
      <c r="S32" s="151"/>
      <c r="T32" s="151"/>
      <c r="U32" s="151"/>
      <c r="V32" s="151"/>
      <c r="W32" s="2">
        <f>VLOOKUP(Table1[[#This Row],[Status]],Auxiliar!$B$16:$D$24,3,0)*Table1[[#This Row],[Estimação (horas)]]</f>
        <v>0.1</v>
      </c>
      <c r="X32" s="165" t="str">
        <f>+VLOOKUP(CONCATENATE(Table1[[#This Row],[Tabela]],Table1[[#This Row],[Campo]]),'2. Status Detalhe Campos FY24'!A:J,9,FALSE)</f>
        <v>Fase I</v>
      </c>
      <c r="Y32" s="491" t="e">
        <f>+VLOOKUP(A32,#REF!,1,FALSE)</f>
        <v>#REF!</v>
      </c>
    </row>
    <row r="33" spans="1:25" ht="17.899999999999999" hidden="1" customHeight="1">
      <c r="A33" t="str">
        <f>+Table1[[#This Row],[Tabela]]&amp;Table1[[#This Row],[Campo]]</f>
        <v>ENERGY_CERTIFICATE_EST_INPUTLONGITUDE</v>
      </c>
      <c r="B33" s="2" t="s">
        <v>26</v>
      </c>
      <c r="C33" s="2" t="s">
        <v>34</v>
      </c>
      <c r="D33" s="2" t="s">
        <v>1178</v>
      </c>
      <c r="E33" s="2" t="s">
        <v>38</v>
      </c>
      <c r="F33" s="2" t="s">
        <v>37</v>
      </c>
      <c r="G33" s="134" t="s">
        <v>1984</v>
      </c>
      <c r="H33" s="56" t="str">
        <f>Table1[[#This Row],[Tabela]]&amp;Table1[[#This Row],[Campo]]</f>
        <v>ENERGY_CERTIFICATE_EST_INPUTLONGITUDE</v>
      </c>
      <c r="I33" s="2" t="s">
        <v>612</v>
      </c>
      <c r="J33" s="42">
        <f>VLOOKUP(Table1[[#This Row],[Status]],Auxiliar!$B$16:$C$24,2,0)</f>
        <v>1</v>
      </c>
      <c r="K33" s="2" t="s">
        <v>1171</v>
      </c>
      <c r="L33" s="28" t="s">
        <v>1166</v>
      </c>
      <c r="M33" s="20" t="s">
        <v>1175</v>
      </c>
      <c r="N33" s="47">
        <v>45716</v>
      </c>
      <c r="O33" s="20">
        <f>INDEX(Auxiliar!$D$5:$F$11,MATCH(Table1[[#This Row],[Tipologia_Testes]],Auxiliar!$B$5:$B$11,0),MATCH(Table1[[#This Row],[Complexidade]],Auxiliar!$D$4:$F$4,0))</f>
        <v>0.1</v>
      </c>
      <c r="P33" s="2"/>
      <c r="Q33" s="2"/>
      <c r="R33" s="151"/>
      <c r="S33" s="151"/>
      <c r="T33" s="151"/>
      <c r="U33" s="151"/>
      <c r="V33" s="151"/>
      <c r="W33" s="2">
        <f>VLOOKUP(Table1[[#This Row],[Status]],Auxiliar!$B$16:$D$24,3,0)*Table1[[#This Row],[Estimação (horas)]]</f>
        <v>0.1</v>
      </c>
      <c r="X33" s="165" t="str">
        <f>+VLOOKUP(CONCATENATE(Table1[[#This Row],[Tabela]],Table1[[#This Row],[Campo]]),'2. Status Detalhe Campos FY24'!A:J,9,FALSE)</f>
        <v>Fase I</v>
      </c>
      <c r="Y33" s="491" t="e">
        <f>+VLOOKUP(A33,#REF!,1,FALSE)</f>
        <v>#REF!</v>
      </c>
    </row>
    <row r="34" spans="1:25" ht="17.899999999999999" hidden="1" customHeight="1">
      <c r="A34" t="str">
        <f>+Table1[[#This Row],[Tabela]]&amp;Table1[[#This Row],[Campo]]</f>
        <v>ENERGY_CERTIFICATE_EST_INPUTCODIGO_POSTAL</v>
      </c>
      <c r="B34" s="2" t="s">
        <v>26</v>
      </c>
      <c r="C34" s="2" t="s">
        <v>34</v>
      </c>
      <c r="D34" s="2" t="s">
        <v>1178</v>
      </c>
      <c r="E34" s="2" t="s">
        <v>38</v>
      </c>
      <c r="F34" s="2" t="s">
        <v>37</v>
      </c>
      <c r="G34" s="134" t="s">
        <v>1985</v>
      </c>
      <c r="H34" s="56" t="str">
        <f>Table1[[#This Row],[Tabela]]&amp;Table1[[#This Row],[Campo]]</f>
        <v>ENERGY_CERTIFICATE_EST_INPUTCODIGO_POSTAL</v>
      </c>
      <c r="I34" s="2" t="s">
        <v>612</v>
      </c>
      <c r="J34" s="42">
        <f>VLOOKUP(Table1[[#This Row],[Status]],Auxiliar!$B$16:$C$24,2,0)</f>
        <v>1</v>
      </c>
      <c r="K34" s="2" t="s">
        <v>1171</v>
      </c>
      <c r="L34" s="28" t="s">
        <v>1166</v>
      </c>
      <c r="M34" s="20" t="s">
        <v>1175</v>
      </c>
      <c r="N34" s="47">
        <v>45716</v>
      </c>
      <c r="O34" s="20">
        <f>INDEX(Auxiliar!$D$5:$F$11,MATCH(Table1[[#This Row],[Tipologia_Testes]],Auxiliar!$B$5:$B$11,0),MATCH(Table1[[#This Row],[Complexidade]],Auxiliar!$D$4:$F$4,0))</f>
        <v>0.1</v>
      </c>
      <c r="P34" s="2"/>
      <c r="Q34" s="2"/>
      <c r="R34" s="151"/>
      <c r="S34" s="151"/>
      <c r="T34" s="151"/>
      <c r="U34" s="151"/>
      <c r="V34" s="151"/>
      <c r="W34" s="2">
        <f>VLOOKUP(Table1[[#This Row],[Status]],Auxiliar!$B$16:$D$24,3,0)*Table1[[#This Row],[Estimação (horas)]]</f>
        <v>0.1</v>
      </c>
      <c r="X34" s="165" t="str">
        <f>+VLOOKUP(CONCATENATE(Table1[[#This Row],[Tabela]],Table1[[#This Row],[Campo]]),'2. Status Detalhe Campos FY24'!A:J,9,FALSE)</f>
        <v>Fase I</v>
      </c>
      <c r="Y34" s="491" t="e">
        <f>+VLOOKUP(A34,#REF!,1,FALSE)</f>
        <v>#REF!</v>
      </c>
    </row>
    <row r="35" spans="1:25" ht="17.899999999999999" hidden="1" customHeight="1">
      <c r="A35" t="str">
        <f>+Table1[[#This Row],[Tabela]]&amp;Table1[[#This Row],[Campo]]</f>
        <v>ENERGY_CERTIFICATE_EST_INPUTSUBCODIGO_POSTAL</v>
      </c>
      <c r="B35" s="2" t="s">
        <v>26</v>
      </c>
      <c r="C35" s="2" t="s">
        <v>34</v>
      </c>
      <c r="D35" s="2" t="s">
        <v>1178</v>
      </c>
      <c r="E35" s="2" t="s">
        <v>38</v>
      </c>
      <c r="F35" s="2" t="s">
        <v>37</v>
      </c>
      <c r="G35" s="134" t="s">
        <v>1986</v>
      </c>
      <c r="H35" s="56" t="str">
        <f>Table1[[#This Row],[Tabela]]&amp;Table1[[#This Row],[Campo]]</f>
        <v>ENERGY_CERTIFICATE_EST_INPUTSUBCODIGO_POSTAL</v>
      </c>
      <c r="I35" s="2" t="s">
        <v>612</v>
      </c>
      <c r="J35" s="42">
        <f>VLOOKUP(Table1[[#This Row],[Status]],Auxiliar!$B$16:$C$24,2,0)</f>
        <v>1</v>
      </c>
      <c r="K35" s="2" t="s">
        <v>1171</v>
      </c>
      <c r="L35" s="28" t="s">
        <v>1166</v>
      </c>
      <c r="M35" s="20" t="s">
        <v>1175</v>
      </c>
      <c r="N35" s="47">
        <v>45716</v>
      </c>
      <c r="O35" s="20">
        <f>INDEX(Auxiliar!$D$5:$F$11,MATCH(Table1[[#This Row],[Tipologia_Testes]],Auxiliar!$B$5:$B$11,0),MATCH(Table1[[#This Row],[Complexidade]],Auxiliar!$D$4:$F$4,0))</f>
        <v>0.1</v>
      </c>
      <c r="P35" s="2"/>
      <c r="Q35" s="2"/>
      <c r="R35" s="151"/>
      <c r="S35" s="151"/>
      <c r="T35" s="151"/>
      <c r="U35" s="151"/>
      <c r="V35" s="151"/>
      <c r="W35" s="2">
        <f>VLOOKUP(Table1[[#This Row],[Status]],Auxiliar!$B$16:$D$24,3,0)*Table1[[#This Row],[Estimação (horas)]]</f>
        <v>0.1</v>
      </c>
      <c r="X35" s="165" t="str">
        <f>+VLOOKUP(CONCATENATE(Table1[[#This Row],[Tabela]],Table1[[#This Row],[Campo]]),'2. Status Detalhe Campos FY24'!A:J,9,FALSE)</f>
        <v>Fase I</v>
      </c>
      <c r="Y35" s="491" t="e">
        <f>+VLOOKUP(A35,#REF!,1,FALSE)</f>
        <v>#REF!</v>
      </c>
    </row>
    <row r="36" spans="1:25" ht="17.899999999999999" hidden="1" customHeight="1">
      <c r="A36" t="str">
        <f>+Table1[[#This Row],[Tabela]]&amp;Table1[[#This Row],[Campo]]</f>
        <v>ENERGY_CERTIFICATE_EST_INPUTASSUPERFICIE_UTIL</v>
      </c>
      <c r="B36" s="2" t="s">
        <v>26</v>
      </c>
      <c r="C36" s="2" t="s">
        <v>34</v>
      </c>
      <c r="D36" s="2" t="s">
        <v>1178</v>
      </c>
      <c r="E36" s="2" t="s">
        <v>38</v>
      </c>
      <c r="F36" s="2" t="s">
        <v>37</v>
      </c>
      <c r="G36" s="134" t="s">
        <v>1987</v>
      </c>
      <c r="H36" s="56" t="str">
        <f>Table1[[#This Row],[Tabela]]&amp;Table1[[#This Row],[Campo]]</f>
        <v>ENERGY_CERTIFICATE_EST_INPUTASSUPERFICIE_UTIL</v>
      </c>
      <c r="I36" s="2" t="s">
        <v>612</v>
      </c>
      <c r="J36" s="42">
        <f>VLOOKUP(Table1[[#This Row],[Status]],Auxiliar!$B$16:$C$24,2,0)</f>
        <v>1</v>
      </c>
      <c r="K36" s="2" t="s">
        <v>1171</v>
      </c>
      <c r="L36" s="28" t="s">
        <v>1166</v>
      </c>
      <c r="M36" s="20" t="s">
        <v>1175</v>
      </c>
      <c r="N36" s="47">
        <v>45716</v>
      </c>
      <c r="O36" s="20">
        <f>INDEX(Auxiliar!$D$5:$F$11,MATCH(Table1[[#This Row],[Tipologia_Testes]],Auxiliar!$B$5:$B$11,0),MATCH(Table1[[#This Row],[Complexidade]],Auxiliar!$D$4:$F$4,0))</f>
        <v>0.1</v>
      </c>
      <c r="P36" s="2"/>
      <c r="Q36" s="2"/>
      <c r="R36" s="151"/>
      <c r="S36" s="151"/>
      <c r="T36" s="151"/>
      <c r="U36" s="151"/>
      <c r="V36" s="151"/>
      <c r="W36" s="2">
        <f>VLOOKUP(Table1[[#This Row],[Status]],Auxiliar!$B$16:$D$24,3,0)*Table1[[#This Row],[Estimação (horas)]]</f>
        <v>0.1</v>
      </c>
      <c r="X36" s="165" t="str">
        <f>+VLOOKUP(CONCATENATE(Table1[[#This Row],[Tabela]],Table1[[#This Row],[Campo]]),'2. Status Detalhe Campos FY24'!A:J,9,FALSE)</f>
        <v>Fase I</v>
      </c>
      <c r="Y36" s="491" t="e">
        <f>+VLOOKUP(A36,#REF!,1,FALSE)</f>
        <v>#REF!</v>
      </c>
    </row>
    <row r="37" spans="1:25" ht="17.899999999999999" hidden="1" customHeight="1">
      <c r="A37" t="str">
        <f>+Table1[[#This Row],[Tabela]]&amp;Table1[[#This Row],[Campo]]</f>
        <v>ENERGY_CERTIFICATE_EST_INPUTANIO_CONSTRUCCION</v>
      </c>
      <c r="B37" s="2" t="s">
        <v>26</v>
      </c>
      <c r="C37" s="2" t="s">
        <v>34</v>
      </c>
      <c r="D37" s="2" t="s">
        <v>1178</v>
      </c>
      <c r="E37" s="2" t="s">
        <v>38</v>
      </c>
      <c r="F37" s="2" t="s">
        <v>37</v>
      </c>
      <c r="G37" s="134" t="s">
        <v>1988</v>
      </c>
      <c r="H37" s="56" t="str">
        <f>Table1[[#This Row],[Tabela]]&amp;Table1[[#This Row],[Campo]]</f>
        <v>ENERGY_CERTIFICATE_EST_INPUTANIO_CONSTRUCCION</v>
      </c>
      <c r="I37" s="2" t="s">
        <v>612</v>
      </c>
      <c r="J37" s="42">
        <f>VLOOKUP(Table1[[#This Row],[Status]],Auxiliar!$B$16:$C$24,2,0)</f>
        <v>1</v>
      </c>
      <c r="K37" s="2" t="s">
        <v>1171</v>
      </c>
      <c r="L37" s="28" t="s">
        <v>1166</v>
      </c>
      <c r="M37" s="20" t="s">
        <v>1175</v>
      </c>
      <c r="N37" s="47">
        <v>45716</v>
      </c>
      <c r="O37" s="20">
        <f>INDEX(Auxiliar!$D$5:$F$11,MATCH(Table1[[#This Row],[Tipologia_Testes]],Auxiliar!$B$5:$B$11,0),MATCH(Table1[[#This Row],[Complexidade]],Auxiliar!$D$4:$F$4,0))</f>
        <v>0.1</v>
      </c>
      <c r="P37" s="2"/>
      <c r="Q37" s="2"/>
      <c r="R37" s="151"/>
      <c r="S37" s="151"/>
      <c r="T37" s="151"/>
      <c r="U37" s="151"/>
      <c r="V37" s="151"/>
      <c r="W37" s="2">
        <f>VLOOKUP(Table1[[#This Row],[Status]],Auxiliar!$B$16:$D$24,3,0)*Table1[[#This Row],[Estimação (horas)]]</f>
        <v>0.1</v>
      </c>
      <c r="X37" s="165" t="str">
        <f>+VLOOKUP(CONCATENATE(Table1[[#This Row],[Tabela]],Table1[[#This Row],[Campo]]),'2. Status Detalhe Campos FY24'!A:J,9,FALSE)</f>
        <v>Fase I</v>
      </c>
      <c r="Y37" s="491" t="e">
        <f>+VLOOKUP(A37,#REF!,1,FALSE)</f>
        <v>#REF!</v>
      </c>
    </row>
    <row r="38" spans="1:25" ht="17.899999999999999" hidden="1" customHeight="1">
      <c r="A38" t="str">
        <f>+Table1[[#This Row],[Tabela]]&amp;Table1[[#This Row],[Campo]]</f>
        <v>ENERGY_CERTIFICATE_EST_INPUTTIPO_INMUEBLE_HABITACAO</v>
      </c>
      <c r="B38" s="2" t="s">
        <v>26</v>
      </c>
      <c r="C38" s="2" t="s">
        <v>34</v>
      </c>
      <c r="D38" s="2" t="s">
        <v>1178</v>
      </c>
      <c r="E38" s="2" t="s">
        <v>38</v>
      </c>
      <c r="F38" s="2" t="s">
        <v>37</v>
      </c>
      <c r="G38" s="134" t="s">
        <v>1989</v>
      </c>
      <c r="H38" s="56" t="str">
        <f>Table1[[#This Row],[Tabela]]&amp;Table1[[#This Row],[Campo]]</f>
        <v>ENERGY_CERTIFICATE_EST_INPUTTIPO_INMUEBLE_HABITACAO</v>
      </c>
      <c r="I38" s="2" t="s">
        <v>612</v>
      </c>
      <c r="J38" s="42">
        <f>VLOOKUP(Table1[[#This Row],[Status]],Auxiliar!$B$16:$C$24,2,0)</f>
        <v>1</v>
      </c>
      <c r="K38" s="2" t="s">
        <v>1171</v>
      </c>
      <c r="L38" s="28" t="s">
        <v>1166</v>
      </c>
      <c r="M38" s="20" t="s">
        <v>1175</v>
      </c>
      <c r="N38" s="47">
        <v>45716</v>
      </c>
      <c r="O38" s="20">
        <f>INDEX(Auxiliar!$D$5:$F$11,MATCH(Table1[[#This Row],[Tipologia_Testes]],Auxiliar!$B$5:$B$11,0),MATCH(Table1[[#This Row],[Complexidade]],Auxiliar!$D$4:$F$4,0))</f>
        <v>0.1</v>
      </c>
      <c r="P38" s="2"/>
      <c r="Q38" s="2"/>
      <c r="R38" s="151"/>
      <c r="S38" s="151"/>
      <c r="T38" s="151"/>
      <c r="U38" s="151"/>
      <c r="V38" s="151"/>
      <c r="W38" s="2">
        <f>VLOOKUP(Table1[[#This Row],[Status]],Auxiliar!$B$16:$D$24,3,0)*Table1[[#This Row],[Estimação (horas)]]</f>
        <v>0.1</v>
      </c>
      <c r="X38" s="165" t="str">
        <f>+VLOOKUP(CONCATENATE(Table1[[#This Row],[Tabela]],Table1[[#This Row],[Campo]]),'2. Status Detalhe Campos FY24'!A:J,9,FALSE)</f>
        <v>Fase I</v>
      </c>
      <c r="Y38" s="491" t="e">
        <f>+VLOOKUP(A38,#REF!,1,FALSE)</f>
        <v>#REF!</v>
      </c>
    </row>
    <row r="39" spans="1:25" ht="17.899999999999999" hidden="1" customHeight="1">
      <c r="A39" t="str">
        <f>+Table1[[#This Row],[Tabela]]&amp;Table1[[#This Row],[Campo]]</f>
        <v>ENERGY_CERTIFICATE_EST_INPUTPISO_APARTAMENTO</v>
      </c>
      <c r="B39" s="2" t="s">
        <v>26</v>
      </c>
      <c r="C39" s="2" t="s">
        <v>34</v>
      </c>
      <c r="D39" s="2" t="s">
        <v>1178</v>
      </c>
      <c r="E39" s="2" t="s">
        <v>38</v>
      </c>
      <c r="F39" s="2" t="s">
        <v>37</v>
      </c>
      <c r="G39" s="134" t="s">
        <v>1990</v>
      </c>
      <c r="H39" s="56" t="str">
        <f>Table1[[#This Row],[Tabela]]&amp;Table1[[#This Row],[Campo]]</f>
        <v>ENERGY_CERTIFICATE_EST_INPUTPISO_APARTAMENTO</v>
      </c>
      <c r="I39" s="2" t="s">
        <v>612</v>
      </c>
      <c r="J39" s="42">
        <f>VLOOKUP(Table1[[#This Row],[Status]],Auxiliar!$B$16:$C$24,2,0)</f>
        <v>1</v>
      </c>
      <c r="K39" s="2" t="s">
        <v>1171</v>
      </c>
      <c r="L39" s="28" t="s">
        <v>1166</v>
      </c>
      <c r="M39" s="20" t="s">
        <v>1175</v>
      </c>
      <c r="N39" s="47">
        <v>45716</v>
      </c>
      <c r="O39" s="20">
        <f>INDEX(Auxiliar!$D$5:$F$11,MATCH(Table1[[#This Row],[Tipologia_Testes]],Auxiliar!$B$5:$B$11,0),MATCH(Table1[[#This Row],[Complexidade]],Auxiliar!$D$4:$F$4,0))</f>
        <v>0.1</v>
      </c>
      <c r="P39" s="2"/>
      <c r="Q39" s="2"/>
      <c r="R39" s="151"/>
      <c r="S39" s="151"/>
      <c r="T39" s="151"/>
      <c r="U39" s="151"/>
      <c r="V39" s="151"/>
      <c r="W39" s="2">
        <f>VLOOKUP(Table1[[#This Row],[Status]],Auxiliar!$B$16:$D$24,3,0)*Table1[[#This Row],[Estimação (horas)]]</f>
        <v>0.1</v>
      </c>
      <c r="X39" s="165" t="str">
        <f>+VLOOKUP(CONCATENATE(Table1[[#This Row],[Tabela]],Table1[[#This Row],[Campo]]),'2. Status Detalhe Campos FY24'!A:J,9,FALSE)</f>
        <v>Fase I</v>
      </c>
      <c r="Y39" s="491" t="e">
        <f>+VLOOKUP(A39,#REF!,1,FALSE)</f>
        <v>#REF!</v>
      </c>
    </row>
    <row r="40" spans="1:25" ht="17.899999999999999" hidden="1" customHeight="1">
      <c r="A40" t="str">
        <f>+Table1[[#This Row],[Tabela]]&amp;Table1[[#This Row],[Campo]]</f>
        <v>ENERGY_CERTIFICATE_EST_INPUTCASA_UNIFAMILIAR</v>
      </c>
      <c r="B40" s="2" t="s">
        <v>26</v>
      </c>
      <c r="C40" s="2" t="s">
        <v>34</v>
      </c>
      <c r="D40" s="2" t="s">
        <v>1178</v>
      </c>
      <c r="E40" s="2" t="s">
        <v>38</v>
      </c>
      <c r="F40" s="2" t="s">
        <v>37</v>
      </c>
      <c r="G40" s="134" t="s">
        <v>1991</v>
      </c>
      <c r="H40" s="56" t="str">
        <f>Table1[[#This Row],[Tabela]]&amp;Table1[[#This Row],[Campo]]</f>
        <v>ENERGY_CERTIFICATE_EST_INPUTCASA_UNIFAMILIAR</v>
      </c>
      <c r="I40" s="2" t="s">
        <v>612</v>
      </c>
      <c r="J40" s="42">
        <f>VLOOKUP(Table1[[#This Row],[Status]],Auxiliar!$B$16:$C$24,2,0)</f>
        <v>1</v>
      </c>
      <c r="K40" s="2" t="s">
        <v>1171</v>
      </c>
      <c r="L40" s="28" t="s">
        <v>1166</v>
      </c>
      <c r="M40" s="20" t="s">
        <v>1175</v>
      </c>
      <c r="N40" s="47">
        <v>45716</v>
      </c>
      <c r="O40" s="20">
        <f>INDEX(Auxiliar!$D$5:$F$11,MATCH(Table1[[#This Row],[Tipologia_Testes]],Auxiliar!$B$5:$B$11,0),MATCH(Table1[[#This Row],[Complexidade]],Auxiliar!$D$4:$F$4,0))</f>
        <v>0.1</v>
      </c>
      <c r="P40" s="2"/>
      <c r="Q40" s="2"/>
      <c r="R40" s="151"/>
      <c r="S40" s="151"/>
      <c r="T40" s="151"/>
      <c r="U40" s="151"/>
      <c r="V40" s="151"/>
      <c r="W40" s="2">
        <f>VLOOKUP(Table1[[#This Row],[Status]],Auxiliar!$B$16:$D$24,3,0)*Table1[[#This Row],[Estimação (horas)]]</f>
        <v>0.1</v>
      </c>
      <c r="X40" s="165" t="str">
        <f>+VLOOKUP(CONCATENATE(Table1[[#This Row],[Tabela]],Table1[[#This Row],[Campo]]),'2. Status Detalhe Campos FY24'!A:J,9,FALSE)</f>
        <v>Fase I</v>
      </c>
      <c r="Y40" s="491" t="e">
        <f>+VLOOKUP(A40,#REF!,1,FALSE)</f>
        <v>#REF!</v>
      </c>
    </row>
    <row r="41" spans="1:25" ht="17.899999999999999" hidden="1" customHeight="1">
      <c r="A41" t="str">
        <f>+Table1[[#This Row],[Tabela]]&amp;Table1[[#This Row],[Campo]]</f>
        <v>ENERGY_CERTIFICATE_EST_INPUTTIPO_INMUEBLE_COMERCIO_SERVICOS</v>
      </c>
      <c r="B41" s="2" t="s">
        <v>26</v>
      </c>
      <c r="C41" s="2" t="s">
        <v>34</v>
      </c>
      <c r="D41" s="2" t="s">
        <v>1178</v>
      </c>
      <c r="E41" s="2" t="s">
        <v>38</v>
      </c>
      <c r="F41" s="2" t="s">
        <v>37</v>
      </c>
      <c r="G41" s="134" t="s">
        <v>1992</v>
      </c>
      <c r="H41" s="56" t="str">
        <f>Table1[[#This Row],[Tabela]]&amp;Table1[[#This Row],[Campo]]</f>
        <v>ENERGY_CERTIFICATE_EST_INPUTTIPO_INMUEBLE_COMERCIO_SERVICOS</v>
      </c>
      <c r="I41" s="2" t="s">
        <v>612</v>
      </c>
      <c r="J41" s="42">
        <f>VLOOKUP(Table1[[#This Row],[Status]],Auxiliar!$B$16:$C$24,2,0)</f>
        <v>1</v>
      </c>
      <c r="K41" s="2" t="s">
        <v>1171</v>
      </c>
      <c r="L41" s="28" t="s">
        <v>1166</v>
      </c>
      <c r="M41" s="20" t="s">
        <v>1175</v>
      </c>
      <c r="N41" s="47">
        <v>45716</v>
      </c>
      <c r="O41" s="20">
        <f>INDEX(Auxiliar!$D$5:$F$11,MATCH(Table1[[#This Row],[Tipologia_Testes]],Auxiliar!$B$5:$B$11,0),MATCH(Table1[[#This Row],[Complexidade]],Auxiliar!$D$4:$F$4,0))</f>
        <v>0.1</v>
      </c>
      <c r="P41" s="2"/>
      <c r="Q41" s="2"/>
      <c r="R41" s="151"/>
      <c r="S41" s="151"/>
      <c r="T41" s="151"/>
      <c r="U41" s="151"/>
      <c r="V41" s="151"/>
      <c r="W41" s="2">
        <f>VLOOKUP(Table1[[#This Row],[Status]],Auxiliar!$B$16:$D$24,3,0)*Table1[[#This Row],[Estimação (horas)]]</f>
        <v>0.1</v>
      </c>
      <c r="X41" s="165" t="str">
        <f>+VLOOKUP(CONCATENATE(Table1[[#This Row],[Tabela]],Table1[[#This Row],[Campo]]),'2. Status Detalhe Campos FY24'!A:J,9,FALSE)</f>
        <v>Fase I</v>
      </c>
      <c r="Y41" s="491" t="e">
        <f>+VLOOKUP(A41,#REF!,1,FALSE)</f>
        <v>#REF!</v>
      </c>
    </row>
    <row r="42" spans="1:25" ht="17.899999999999999" hidden="1" customHeight="1">
      <c r="A42" t="str">
        <f>+Table1[[#This Row],[Tabela]]&amp;Table1[[#This Row],[Campo]]</f>
        <v>ENERGY_CERTIFICATE_EST_INPUTNOME_CONSERVATORIA</v>
      </c>
      <c r="B42" s="2" t="s">
        <v>26</v>
      </c>
      <c r="C42" s="2" t="s">
        <v>34</v>
      </c>
      <c r="D42" s="2" t="s">
        <v>1178</v>
      </c>
      <c r="E42" s="2" t="s">
        <v>38</v>
      </c>
      <c r="F42" s="2" t="s">
        <v>37</v>
      </c>
      <c r="G42" s="134" t="s">
        <v>1993</v>
      </c>
      <c r="H42" s="56" t="str">
        <f>Table1[[#This Row],[Tabela]]&amp;Table1[[#This Row],[Campo]]</f>
        <v>ENERGY_CERTIFICATE_EST_INPUTNOME_CONSERVATORIA</v>
      </c>
      <c r="I42" s="2" t="s">
        <v>612</v>
      </c>
      <c r="J42" s="42">
        <f>VLOOKUP(Table1[[#This Row],[Status]],Auxiliar!$B$16:$C$24,2,0)</f>
        <v>1</v>
      </c>
      <c r="K42" s="2" t="s">
        <v>1171</v>
      </c>
      <c r="L42" s="28" t="s">
        <v>1166</v>
      </c>
      <c r="M42" s="20" t="s">
        <v>1175</v>
      </c>
      <c r="N42" s="47">
        <v>45716</v>
      </c>
      <c r="O42" s="20">
        <f>INDEX(Auxiliar!$D$5:$F$11,MATCH(Table1[[#This Row],[Tipologia_Testes]],Auxiliar!$B$5:$B$11,0),MATCH(Table1[[#This Row],[Complexidade]],Auxiliar!$D$4:$F$4,0))</f>
        <v>0.1</v>
      </c>
      <c r="P42" s="2"/>
      <c r="Q42" s="2"/>
      <c r="R42" s="151"/>
      <c r="S42" s="151"/>
      <c r="T42" s="151"/>
      <c r="U42" s="151"/>
      <c r="V42" s="151"/>
      <c r="W42" s="2">
        <f>VLOOKUP(Table1[[#This Row],[Status]],Auxiliar!$B$16:$D$24,3,0)*Table1[[#This Row],[Estimação (horas)]]</f>
        <v>0.1</v>
      </c>
      <c r="X42" s="165" t="str">
        <f>+VLOOKUP(CONCATENATE(Table1[[#This Row],[Tabela]],Table1[[#This Row],[Campo]]),'2. Status Detalhe Campos FY24'!A:J,9,FALSE)</f>
        <v>Fase I</v>
      </c>
      <c r="Y42" s="491" t="e">
        <f>+VLOOKUP(A42,#REF!,1,FALSE)</f>
        <v>#REF!</v>
      </c>
    </row>
    <row r="43" spans="1:25" ht="17.899999999999999" hidden="1" customHeight="1">
      <c r="A43" t="str">
        <f>+Table1[[#This Row],[Tabela]]&amp;Table1[[#This Row],[Campo]]</f>
        <v>ENERGY_CERTIFICATE_EST_INPUTCOD_CONSERVATORIA</v>
      </c>
      <c r="B43" s="2" t="s">
        <v>26</v>
      </c>
      <c r="C43" s="2" t="s">
        <v>34</v>
      </c>
      <c r="D43" s="2" t="s">
        <v>1178</v>
      </c>
      <c r="E43" s="2" t="s">
        <v>38</v>
      </c>
      <c r="F43" s="2" t="s">
        <v>37</v>
      </c>
      <c r="G43" s="134" t="s">
        <v>1994</v>
      </c>
      <c r="H43" s="56" t="str">
        <f>Table1[[#This Row],[Tabela]]&amp;Table1[[#This Row],[Campo]]</f>
        <v>ENERGY_CERTIFICATE_EST_INPUTCOD_CONSERVATORIA</v>
      </c>
      <c r="I43" s="2" t="s">
        <v>612</v>
      </c>
      <c r="J43" s="42">
        <f>VLOOKUP(Table1[[#This Row],[Status]],Auxiliar!$B$16:$C$24,2,0)</f>
        <v>1</v>
      </c>
      <c r="K43" s="2" t="s">
        <v>1171</v>
      </c>
      <c r="L43" s="28" t="s">
        <v>1166</v>
      </c>
      <c r="M43" s="20" t="s">
        <v>1175</v>
      </c>
      <c r="N43" s="47">
        <v>45716</v>
      </c>
      <c r="O43" s="20">
        <f>INDEX(Auxiliar!$D$5:$F$11,MATCH(Table1[[#This Row],[Tipologia_Testes]],Auxiliar!$B$5:$B$11,0),MATCH(Table1[[#This Row],[Complexidade]],Auxiliar!$D$4:$F$4,0))</f>
        <v>0.1</v>
      </c>
      <c r="P43" s="2"/>
      <c r="Q43" s="2"/>
      <c r="R43" s="151"/>
      <c r="S43" s="151"/>
      <c r="T43" s="151"/>
      <c r="U43" s="151"/>
      <c r="V43" s="151"/>
      <c r="W43" s="2">
        <f>VLOOKUP(Table1[[#This Row],[Status]],Auxiliar!$B$16:$D$24,3,0)*Table1[[#This Row],[Estimação (horas)]]</f>
        <v>0.1</v>
      </c>
      <c r="X43" s="165" t="str">
        <f>+VLOOKUP(CONCATENATE(Table1[[#This Row],[Tabela]],Table1[[#This Row],[Campo]]),'2. Status Detalhe Campos FY24'!A:J,9,FALSE)</f>
        <v>Fase I</v>
      </c>
      <c r="Y43" s="491" t="e">
        <f>+VLOOKUP(A43,#REF!,1,FALSE)</f>
        <v>#REF!</v>
      </c>
    </row>
    <row r="44" spans="1:25" ht="17.899999999999999" hidden="1" customHeight="1">
      <c r="A44" t="str">
        <f>+Table1[[#This Row],[Tabela]]&amp;Table1[[#This Row],[Campo]]</f>
        <v>ENERGY_CERTIFICATE_EST_INPUTREGISTRO_CONSERVATORIA</v>
      </c>
      <c r="B44" s="2" t="s">
        <v>26</v>
      </c>
      <c r="C44" s="2" t="s">
        <v>34</v>
      </c>
      <c r="D44" s="2" t="s">
        <v>1178</v>
      </c>
      <c r="E44" s="2" t="s">
        <v>38</v>
      </c>
      <c r="F44" s="2" t="s">
        <v>37</v>
      </c>
      <c r="G44" s="134" t="s">
        <v>1995</v>
      </c>
      <c r="H44" s="56" t="str">
        <f>Table1[[#This Row],[Tabela]]&amp;Table1[[#This Row],[Campo]]</f>
        <v>ENERGY_CERTIFICATE_EST_INPUTREGISTRO_CONSERVATORIA</v>
      </c>
      <c r="I44" s="2" t="s">
        <v>612</v>
      </c>
      <c r="J44" s="42">
        <f>VLOOKUP(Table1[[#This Row],[Status]],Auxiliar!$B$16:$C$24,2,0)</f>
        <v>1</v>
      </c>
      <c r="K44" s="2" t="s">
        <v>1171</v>
      </c>
      <c r="L44" s="28" t="s">
        <v>1166</v>
      </c>
      <c r="M44" s="20" t="s">
        <v>1175</v>
      </c>
      <c r="N44" s="47">
        <v>45716</v>
      </c>
      <c r="O44" s="20">
        <f>INDEX(Auxiliar!$D$5:$F$11,MATCH(Table1[[#This Row],[Tipologia_Testes]],Auxiliar!$B$5:$B$11,0),MATCH(Table1[[#This Row],[Complexidade]],Auxiliar!$D$4:$F$4,0))</f>
        <v>0.1</v>
      </c>
      <c r="P44" s="2"/>
      <c r="Q44" s="2"/>
      <c r="R44" s="151"/>
      <c r="S44" s="151"/>
      <c r="T44" s="151"/>
      <c r="U44" s="151"/>
      <c r="V44" s="151"/>
      <c r="W44" s="2">
        <f>VLOOKUP(Table1[[#This Row],[Status]],Auxiliar!$B$16:$D$24,3,0)*Table1[[#This Row],[Estimação (horas)]]</f>
        <v>0.1</v>
      </c>
      <c r="X44" s="165" t="str">
        <f>+VLOOKUP(CONCATENATE(Table1[[#This Row],[Tabela]],Table1[[#This Row],[Campo]]),'2. Status Detalhe Campos FY24'!A:J,9,FALSE)</f>
        <v>Fase I</v>
      </c>
      <c r="Y44" s="491" t="e">
        <f>+VLOOKUP(A44,#REF!,1,FALSE)</f>
        <v>#REF!</v>
      </c>
    </row>
    <row r="45" spans="1:25" ht="17.899999999999999" hidden="1" customHeight="1">
      <c r="A45" t="str">
        <f>+Table1[[#This Row],[Tabela]]&amp;Table1[[#This Row],[Campo]]</f>
        <v>ENERGY_CERTIFICATE_EST_INPUTART_MATRICIAIS</v>
      </c>
      <c r="B45" s="2" t="s">
        <v>26</v>
      </c>
      <c r="C45" s="2" t="s">
        <v>34</v>
      </c>
      <c r="D45" s="2" t="s">
        <v>1178</v>
      </c>
      <c r="E45" s="2" t="s">
        <v>38</v>
      </c>
      <c r="F45" s="2" t="s">
        <v>37</v>
      </c>
      <c r="G45" s="134" t="s">
        <v>1996</v>
      </c>
      <c r="H45" s="56" t="str">
        <f>Table1[[#This Row],[Tabela]]&amp;Table1[[#This Row],[Campo]]</f>
        <v>ENERGY_CERTIFICATE_EST_INPUTART_MATRICIAIS</v>
      </c>
      <c r="I45" s="2" t="s">
        <v>612</v>
      </c>
      <c r="J45" s="42">
        <f>VLOOKUP(Table1[[#This Row],[Status]],Auxiliar!$B$16:$C$24,2,0)</f>
        <v>1</v>
      </c>
      <c r="K45" s="2" t="s">
        <v>1171</v>
      </c>
      <c r="L45" s="28" t="s">
        <v>1166</v>
      </c>
      <c r="M45" s="20" t="s">
        <v>1175</v>
      </c>
      <c r="N45" s="47">
        <v>45716</v>
      </c>
      <c r="O45" s="20">
        <f>INDEX(Auxiliar!$D$5:$F$11,MATCH(Table1[[#This Row],[Tipologia_Testes]],Auxiliar!$B$5:$B$11,0),MATCH(Table1[[#This Row],[Complexidade]],Auxiliar!$D$4:$F$4,0))</f>
        <v>0.1</v>
      </c>
      <c r="P45" s="2"/>
      <c r="Q45" s="2"/>
      <c r="R45" s="151"/>
      <c r="S45" s="151"/>
      <c r="T45" s="151"/>
      <c r="U45" s="151"/>
      <c r="V45" s="151"/>
      <c r="W45" s="2">
        <f>VLOOKUP(Table1[[#This Row],[Status]],Auxiliar!$B$16:$D$24,3,0)*Table1[[#This Row],[Estimação (horas)]]</f>
        <v>0.1</v>
      </c>
      <c r="X45" s="165" t="str">
        <f>+VLOOKUP(CONCATENATE(Table1[[#This Row],[Tabela]],Table1[[#This Row],[Campo]]),'2. Status Detalhe Campos FY24'!A:J,9,FALSE)</f>
        <v>Fase I</v>
      </c>
      <c r="Y45" s="491" t="e">
        <f>+VLOOKUP(A45,#REF!,1,FALSE)</f>
        <v>#REF!</v>
      </c>
    </row>
    <row r="46" spans="1:25" ht="17.899999999999999" hidden="1" customHeight="1">
      <c r="A46" t="str">
        <f>+Table1[[#This Row],[Tabela]]&amp;Table1[[#This Row],[Campo]]</f>
        <v>ENERGY_CERTIFICATE_EST_INPUTFRACCAO_AUTONOMA</v>
      </c>
      <c r="B46" s="2" t="s">
        <v>26</v>
      </c>
      <c r="C46" s="2" t="s">
        <v>34</v>
      </c>
      <c r="D46" s="2" t="s">
        <v>1178</v>
      </c>
      <c r="E46" s="2" t="s">
        <v>38</v>
      </c>
      <c r="F46" s="2" t="s">
        <v>37</v>
      </c>
      <c r="G46" s="134" t="s">
        <v>1997</v>
      </c>
      <c r="H46" s="56" t="str">
        <f>Table1[[#This Row],[Tabela]]&amp;Table1[[#This Row],[Campo]]</f>
        <v>ENERGY_CERTIFICATE_EST_INPUTFRACCAO_AUTONOMA</v>
      </c>
      <c r="I46" s="2" t="s">
        <v>612</v>
      </c>
      <c r="J46" s="42">
        <f>VLOOKUP(Table1[[#This Row],[Status]],Auxiliar!$B$16:$C$24,2,0)</f>
        <v>1</v>
      </c>
      <c r="K46" s="2" t="s">
        <v>1171</v>
      </c>
      <c r="L46" s="28" t="s">
        <v>1166</v>
      </c>
      <c r="M46" s="20" t="s">
        <v>1175</v>
      </c>
      <c r="N46" s="47">
        <v>45716</v>
      </c>
      <c r="O46" s="20">
        <f>INDEX(Auxiliar!$D$5:$F$11,MATCH(Table1[[#This Row],[Tipologia_Testes]],Auxiliar!$B$5:$B$11,0),MATCH(Table1[[#This Row],[Complexidade]],Auxiliar!$D$4:$F$4,0))</f>
        <v>0.1</v>
      </c>
      <c r="P46" s="2"/>
      <c r="Q46" s="2"/>
      <c r="R46" s="151"/>
      <c r="S46" s="151"/>
      <c r="T46" s="151"/>
      <c r="U46" s="151"/>
      <c r="V46" s="151"/>
      <c r="W46" s="2">
        <f>VLOOKUP(Table1[[#This Row],[Status]],Auxiliar!$B$16:$D$24,3,0)*Table1[[#This Row],[Estimação (horas)]]</f>
        <v>0.1</v>
      </c>
      <c r="X46" s="165" t="str">
        <f>+VLOOKUP(CONCATENATE(Table1[[#This Row],[Tabela]],Table1[[#This Row],[Campo]]),'2. Status Detalhe Campos FY24'!A:J,9,FALSE)</f>
        <v>Fase I</v>
      </c>
      <c r="Y46" s="491" t="e">
        <f>+VLOOKUP(A46,#REF!,1,FALSE)</f>
        <v>#REF!</v>
      </c>
    </row>
    <row r="47" spans="1:25" ht="17.899999999999999" hidden="1" customHeight="1">
      <c r="A47" t="str">
        <f>+Table1[[#This Row],[Tabela]]&amp;Table1[[#This Row],[Campo]]</f>
        <v>ENERGY_CERTIFICATE_EST_INPUTFINALIDADE_BEM</v>
      </c>
      <c r="B47" s="2" t="s">
        <v>26</v>
      </c>
      <c r="C47" s="2" t="s">
        <v>34</v>
      </c>
      <c r="D47" s="2" t="s">
        <v>1178</v>
      </c>
      <c r="E47" s="2" t="s">
        <v>38</v>
      </c>
      <c r="F47" s="2" t="s">
        <v>37</v>
      </c>
      <c r="G47" s="134" t="s">
        <v>1998</v>
      </c>
      <c r="H47" s="56" t="str">
        <f>Table1[[#This Row],[Tabela]]&amp;Table1[[#This Row],[Campo]]</f>
        <v>ENERGY_CERTIFICATE_EST_INPUTFINALIDADE_BEM</v>
      </c>
      <c r="I47" s="2" t="s">
        <v>612</v>
      </c>
      <c r="J47" s="42">
        <f>VLOOKUP(Table1[[#This Row],[Status]],Auxiliar!$B$16:$C$24,2,0)</f>
        <v>1</v>
      </c>
      <c r="K47" s="2" t="s">
        <v>1171</v>
      </c>
      <c r="L47" s="28" t="s">
        <v>1166</v>
      </c>
      <c r="M47" s="20" t="s">
        <v>1175</v>
      </c>
      <c r="N47" s="47">
        <v>45716</v>
      </c>
      <c r="O47" s="20">
        <f>INDEX(Auxiliar!$D$5:$F$11,MATCH(Table1[[#This Row],[Tipologia_Testes]],Auxiliar!$B$5:$B$11,0),MATCH(Table1[[#This Row],[Complexidade]],Auxiliar!$D$4:$F$4,0))</f>
        <v>0.1</v>
      </c>
      <c r="P47" s="2"/>
      <c r="Q47" s="2"/>
      <c r="R47" s="151"/>
      <c r="S47" s="151"/>
      <c r="T47" s="151"/>
      <c r="U47" s="151"/>
      <c r="V47" s="151"/>
      <c r="W47" s="2">
        <f>VLOOKUP(Table1[[#This Row],[Status]],Auxiliar!$B$16:$D$24,3,0)*Table1[[#This Row],[Estimação (horas)]]</f>
        <v>0.1</v>
      </c>
      <c r="X47" s="165" t="str">
        <f>+VLOOKUP(CONCATENATE(Table1[[#This Row],[Tabela]],Table1[[#This Row],[Campo]]),'2. Status Detalhe Campos FY24'!A:J,9,FALSE)</f>
        <v>Fase I</v>
      </c>
      <c r="Y47" s="491" t="e">
        <f>+VLOOKUP(A47,#REF!,1,FALSE)</f>
        <v>#REF!</v>
      </c>
    </row>
    <row r="48" spans="1:25" ht="17.899999999999999" hidden="1" customHeight="1">
      <c r="A48" t="str">
        <f>+Table1[[#This Row],[Tabela]]&amp;Table1[[#This Row],[Campo]]</f>
        <v>ENERGY_CERTIFICATE_EST_INPUTCLASS_GPT31</v>
      </c>
      <c r="B48" s="2" t="s">
        <v>26</v>
      </c>
      <c r="C48" s="2" t="s">
        <v>34</v>
      </c>
      <c r="D48" s="2" t="s">
        <v>1178</v>
      </c>
      <c r="E48" s="2" t="s">
        <v>38</v>
      </c>
      <c r="F48" s="2" t="s">
        <v>37</v>
      </c>
      <c r="G48" s="134" t="s">
        <v>1999</v>
      </c>
      <c r="H48" s="56" t="str">
        <f>Table1[[#This Row],[Tabela]]&amp;Table1[[#This Row],[Campo]]</f>
        <v>ENERGY_CERTIFICATE_EST_INPUTCLASS_GPT31</v>
      </c>
      <c r="I48" s="2" t="s">
        <v>612</v>
      </c>
      <c r="J48" s="42">
        <f>VLOOKUP(Table1[[#This Row],[Status]],Auxiliar!$B$16:$C$24,2,0)</f>
        <v>1</v>
      </c>
      <c r="K48" s="2" t="s">
        <v>1171</v>
      </c>
      <c r="L48" s="28" t="s">
        <v>1166</v>
      </c>
      <c r="M48" s="20" t="s">
        <v>1175</v>
      </c>
      <c r="N48" s="47">
        <v>45716</v>
      </c>
      <c r="O48" s="20">
        <f>INDEX(Auxiliar!$D$5:$F$11,MATCH(Table1[[#This Row],[Tipologia_Testes]],Auxiliar!$B$5:$B$11,0),MATCH(Table1[[#This Row],[Complexidade]],Auxiliar!$D$4:$F$4,0))</f>
        <v>0.1</v>
      </c>
      <c r="P48" s="2"/>
      <c r="Q48" s="2"/>
      <c r="R48" s="151"/>
      <c r="S48" s="151"/>
      <c r="T48" s="151"/>
      <c r="U48" s="151"/>
      <c r="V48" s="151"/>
      <c r="W48" s="2">
        <f>VLOOKUP(Table1[[#This Row],[Status]],Auxiliar!$B$16:$D$24,3,0)*Table1[[#This Row],[Estimação (horas)]]</f>
        <v>0.1</v>
      </c>
      <c r="X48" s="165" t="str">
        <f>+VLOOKUP(CONCATENATE(Table1[[#This Row],[Tabela]],Table1[[#This Row],[Campo]]),'2. Status Detalhe Campos FY24'!A:J,9,FALSE)</f>
        <v>Fase I</v>
      </c>
      <c r="Y48" s="491" t="e">
        <f>+VLOOKUP(A48,#REF!,1,FALSE)</f>
        <v>#REF!</v>
      </c>
    </row>
    <row r="49" spans="1:25" ht="17.899999999999999" hidden="1" customHeight="1">
      <c r="A49" t="str">
        <f>+Table1[[#This Row],[Tabela]]&amp;Table1[[#This Row],[Campo]]</f>
        <v>ENERGY_CERTIFICATE_EST_INPUTCLASS_STCLIM</v>
      </c>
      <c r="B49" s="2" t="s">
        <v>26</v>
      </c>
      <c r="C49" s="2" t="s">
        <v>34</v>
      </c>
      <c r="D49" s="2" t="s">
        <v>1178</v>
      </c>
      <c r="E49" s="2" t="s">
        <v>38</v>
      </c>
      <c r="F49" s="2" t="s">
        <v>37</v>
      </c>
      <c r="G49" s="134" t="s">
        <v>2000</v>
      </c>
      <c r="H49" s="56" t="str">
        <f>Table1[[#This Row],[Tabela]]&amp;Table1[[#This Row],[Campo]]</f>
        <v>ENERGY_CERTIFICATE_EST_INPUTCLASS_STCLIM</v>
      </c>
      <c r="I49" s="2" t="s">
        <v>612</v>
      </c>
      <c r="J49" s="42">
        <f>VLOOKUP(Table1[[#This Row],[Status]],Auxiliar!$B$16:$C$24,2,0)</f>
        <v>1</v>
      </c>
      <c r="K49" s="2" t="s">
        <v>1171</v>
      </c>
      <c r="L49" s="28" t="s">
        <v>1166</v>
      </c>
      <c r="M49" s="20" t="s">
        <v>1175</v>
      </c>
      <c r="N49" s="47">
        <v>45716</v>
      </c>
      <c r="O49" s="20">
        <f>INDEX(Auxiliar!$D$5:$F$11,MATCH(Table1[[#This Row],[Tipologia_Testes]],Auxiliar!$B$5:$B$11,0),MATCH(Table1[[#This Row],[Complexidade]],Auxiliar!$D$4:$F$4,0))</f>
        <v>0.1</v>
      </c>
      <c r="P49" s="2"/>
      <c r="Q49" s="2"/>
      <c r="R49" s="151"/>
      <c r="S49" s="151"/>
      <c r="T49" s="151"/>
      <c r="U49" s="151"/>
      <c r="V49" s="151"/>
      <c r="W49" s="2">
        <f>VLOOKUP(Table1[[#This Row],[Status]],Auxiliar!$B$16:$D$24,3,0)*Table1[[#This Row],[Estimação (horas)]]</f>
        <v>0.1</v>
      </c>
      <c r="X49" s="165" t="str">
        <f>+VLOOKUP(CONCATENATE(Table1[[#This Row],[Tabela]],Table1[[#This Row],[Campo]]),'2. Status Detalhe Campos FY24'!A:J,9,FALSE)</f>
        <v>Fase I</v>
      </c>
      <c r="Y49" s="491" t="e">
        <f>+VLOOKUP(A49,#REF!,1,FALSE)</f>
        <v>#REF!</v>
      </c>
    </row>
    <row r="50" spans="1:25" ht="17.899999999999999" hidden="1" customHeight="1">
      <c r="A50" t="str">
        <f>+Table1[[#This Row],[Tabela]]&amp;Table1[[#This Row],[Campo]]</f>
        <v>ENERGY_CERTIFICATE_EST_INPUTCONF_STCLIM</v>
      </c>
      <c r="B50" s="2" t="s">
        <v>26</v>
      </c>
      <c r="C50" s="2" t="s">
        <v>34</v>
      </c>
      <c r="D50" s="2" t="s">
        <v>1178</v>
      </c>
      <c r="E50" s="2" t="s">
        <v>38</v>
      </c>
      <c r="F50" s="2" t="s">
        <v>37</v>
      </c>
      <c r="G50" s="134" t="s">
        <v>2001</v>
      </c>
      <c r="H50" s="56" t="str">
        <f>Table1[[#This Row],[Tabela]]&amp;Table1[[#This Row],[Campo]]</f>
        <v>ENERGY_CERTIFICATE_EST_INPUTCONF_STCLIM</v>
      </c>
      <c r="I50" s="2" t="s">
        <v>612</v>
      </c>
      <c r="J50" s="42">
        <f>VLOOKUP(Table1[[#This Row],[Status]],Auxiliar!$B$16:$C$24,2,0)</f>
        <v>1</v>
      </c>
      <c r="K50" s="2" t="s">
        <v>1171</v>
      </c>
      <c r="L50" s="28" t="s">
        <v>1166</v>
      </c>
      <c r="M50" s="20" t="s">
        <v>1175</v>
      </c>
      <c r="N50" s="47">
        <v>45716</v>
      </c>
      <c r="O50" s="20">
        <f>INDEX(Auxiliar!$D$5:$F$11,MATCH(Table1[[#This Row],[Tipologia_Testes]],Auxiliar!$B$5:$B$11,0),MATCH(Table1[[#This Row],[Complexidade]],Auxiliar!$D$4:$F$4,0))</f>
        <v>0.1</v>
      </c>
      <c r="P50" s="2"/>
      <c r="Q50" s="2"/>
      <c r="R50" s="151"/>
      <c r="S50" s="151"/>
      <c r="T50" s="151"/>
      <c r="U50" s="151"/>
      <c r="V50" s="151"/>
      <c r="W50" s="2">
        <f>VLOOKUP(Table1[[#This Row],[Status]],Auxiliar!$B$16:$D$24,3,0)*Table1[[#This Row],[Estimação (horas)]]</f>
        <v>0.1</v>
      </c>
      <c r="X50" s="165" t="str">
        <f>+VLOOKUP(CONCATENATE(Table1[[#This Row],[Tabela]],Table1[[#This Row],[Campo]]),'2. Status Detalhe Campos FY24'!A:J,9,FALSE)</f>
        <v>Fase I</v>
      </c>
      <c r="Y50" s="491" t="e">
        <f>+VLOOKUP(A50,#REF!,1,FALSE)</f>
        <v>#REF!</v>
      </c>
    </row>
    <row r="51" spans="1:25" ht="17.899999999999999" hidden="1" customHeight="1">
      <c r="A51" t="str">
        <f>+Table1[[#This Row],[Tabela]]&amp;Table1[[#This Row],[Campo]]</f>
        <v>ENERGY_CERTIFICATE_EST_INPUTCLASSE_ENERGETICA</v>
      </c>
      <c r="B51" s="2" t="s">
        <v>26</v>
      </c>
      <c r="C51" s="2" t="s">
        <v>34</v>
      </c>
      <c r="D51" s="2" t="s">
        <v>1178</v>
      </c>
      <c r="E51" s="2" t="s">
        <v>38</v>
      </c>
      <c r="F51" s="2" t="s">
        <v>37</v>
      </c>
      <c r="G51" s="134" t="s">
        <v>2002</v>
      </c>
      <c r="H51" s="56" t="str">
        <f>Table1[[#This Row],[Tabela]]&amp;Table1[[#This Row],[Campo]]</f>
        <v>ENERGY_CERTIFICATE_EST_INPUTCLASSE_ENERGETICA</v>
      </c>
      <c r="I51" s="2" t="s">
        <v>612</v>
      </c>
      <c r="J51" s="42">
        <f>VLOOKUP(Table1[[#This Row],[Status]],Auxiliar!$B$16:$C$24,2,0)</f>
        <v>1</v>
      </c>
      <c r="K51" s="2" t="s">
        <v>1171</v>
      </c>
      <c r="L51" s="28" t="s">
        <v>1166</v>
      </c>
      <c r="M51" s="20" t="s">
        <v>1175</v>
      </c>
      <c r="N51" s="47">
        <v>45716</v>
      </c>
      <c r="O51" s="20">
        <f>INDEX(Auxiliar!$D$5:$F$13,MATCH(Table1[[#This Row],[Tipologia_Testes]],Auxiliar!$B$5:$B$13,0),MATCH(Table1[[#This Row],[Complexidade]],Auxiliar!$D$4:$F$4,0))</f>
        <v>0.1</v>
      </c>
      <c r="P51" s="2"/>
      <c r="Q51" s="2"/>
      <c r="R51" s="151">
        <v>45261</v>
      </c>
      <c r="S51" s="151"/>
      <c r="T51" s="151">
        <v>45510</v>
      </c>
      <c r="U51" s="151">
        <v>45624</v>
      </c>
      <c r="V51" s="151"/>
      <c r="W51" s="2">
        <f>VLOOKUP(Table1[[#This Row],[Status]],Auxiliar!$B$16:$D$24,3,0)*Table1[[#This Row],[Estimação (horas)]]</f>
        <v>0.1</v>
      </c>
      <c r="X51" s="165" t="str">
        <f>+VLOOKUP(CONCATENATE(Table1[[#This Row],[Tabela]],Table1[[#This Row],[Campo]]),'2. Status Detalhe Campos FY24'!A:J,9,FALSE)</f>
        <v>Fase I</v>
      </c>
      <c r="Y51" s="491" t="e">
        <f>+VLOOKUP(A51,#REF!,1,FALSE)</f>
        <v>#REF!</v>
      </c>
    </row>
    <row r="52" spans="1:25" ht="17.899999999999999" hidden="1" customHeight="1">
      <c r="A52" t="str">
        <f>+Table1[[#This Row],[Tabela]]&amp;Table1[[#This Row],[Campo]]</f>
        <v>ENERGY_CERTIFICATE_EST_INPUTFIABILIDAD</v>
      </c>
      <c r="B52" s="2" t="s">
        <v>26</v>
      </c>
      <c r="C52" s="2" t="s">
        <v>34</v>
      </c>
      <c r="D52" s="2" t="s">
        <v>1178</v>
      </c>
      <c r="E52" s="2" t="s">
        <v>38</v>
      </c>
      <c r="F52" s="2" t="s">
        <v>37</v>
      </c>
      <c r="G52" s="134" t="s">
        <v>2003</v>
      </c>
      <c r="H52" s="56" t="str">
        <f>Table1[[#This Row],[Tabela]]&amp;Table1[[#This Row],[Campo]]</f>
        <v>ENERGY_CERTIFICATE_EST_INPUTFIABILIDAD</v>
      </c>
      <c r="I52" s="2" t="s">
        <v>612</v>
      </c>
      <c r="J52" s="42">
        <f>VLOOKUP(Table1[[#This Row],[Status]],Auxiliar!$B$16:$C$24,2,0)</f>
        <v>1</v>
      </c>
      <c r="K52" s="2" t="s">
        <v>1171</v>
      </c>
      <c r="L52" s="28" t="s">
        <v>1166</v>
      </c>
      <c r="M52" s="20" t="s">
        <v>1175</v>
      </c>
      <c r="N52" s="47">
        <v>45716</v>
      </c>
      <c r="O52" s="20">
        <f>INDEX(Auxiliar!$D$5:$F$13,MATCH(Table1[[#This Row],[Tipologia_Testes]],Auxiliar!$B$5:$B$13,0),MATCH(Table1[[#This Row],[Complexidade]],Auxiliar!$D$4:$F$4,0))</f>
        <v>0.1</v>
      </c>
      <c r="P52" s="2" t="s">
        <v>1182</v>
      </c>
      <c r="Q52" s="2"/>
      <c r="R52" s="151">
        <v>45261</v>
      </c>
      <c r="S52" s="151"/>
      <c r="T52" s="151">
        <v>45510</v>
      </c>
      <c r="U52" s="151">
        <v>45624</v>
      </c>
      <c r="V52" s="151"/>
      <c r="W52" s="2">
        <f>VLOOKUP(Table1[[#This Row],[Status]],Auxiliar!$B$16:$D$24,3,0)*Table1[[#This Row],[Estimação (horas)]]</f>
        <v>0.1</v>
      </c>
      <c r="X52" s="165" t="str">
        <f>+VLOOKUP(CONCATENATE(Table1[[#This Row],[Tabela]],Table1[[#This Row],[Campo]]),'2. Status Detalhe Campos FY24'!A:J,9,FALSE)</f>
        <v>Fase I</v>
      </c>
      <c r="Y52" s="491" t="e">
        <f>+VLOOKUP(A52,#REF!,1,FALSE)</f>
        <v>#REF!</v>
      </c>
    </row>
    <row r="53" spans="1:25" ht="17.899999999999999" hidden="1" customHeight="1">
      <c r="A53" t="str">
        <f>+Table1[[#This Row],[Tabela]]&amp;Table1[[#This Row],[Campo]]</f>
        <v>ENERGY_CERTIFICATE_EST_INPUTEMISSIONES</v>
      </c>
      <c r="B53" s="2" t="s">
        <v>26</v>
      </c>
      <c r="C53" s="2" t="s">
        <v>34</v>
      </c>
      <c r="D53" s="2" t="s">
        <v>1178</v>
      </c>
      <c r="E53" s="2" t="s">
        <v>38</v>
      </c>
      <c r="F53" s="2" t="s">
        <v>37</v>
      </c>
      <c r="G53" s="134" t="s">
        <v>2004</v>
      </c>
      <c r="H53" s="56" t="str">
        <f>Table1[[#This Row],[Tabela]]&amp;Table1[[#This Row],[Campo]]</f>
        <v>ENERGY_CERTIFICATE_EST_INPUTEMISSIONES</v>
      </c>
      <c r="I53" s="2" t="s">
        <v>612</v>
      </c>
      <c r="J53" s="42">
        <f>VLOOKUP(Table1[[#This Row],[Status]],Auxiliar!$B$16:$C$24,2,0)</f>
        <v>1</v>
      </c>
      <c r="K53" s="2" t="s">
        <v>1171</v>
      </c>
      <c r="L53" s="28" t="s">
        <v>1166</v>
      </c>
      <c r="M53" s="20" t="s">
        <v>1175</v>
      </c>
      <c r="N53" s="47">
        <v>45716</v>
      </c>
      <c r="O53" s="20">
        <f>INDEX(Auxiliar!$D$5:$F$13,MATCH(Table1[[#This Row],[Tipologia_Testes]],Auxiliar!$B$5:$B$13,0),MATCH(Table1[[#This Row],[Complexidade]],Auxiliar!$D$4:$F$4,0))</f>
        <v>0.1</v>
      </c>
      <c r="P53" s="2" t="s">
        <v>1182</v>
      </c>
      <c r="Q53" s="2"/>
      <c r="R53" s="151">
        <v>45261</v>
      </c>
      <c r="S53" s="151"/>
      <c r="T53" s="151">
        <v>45510</v>
      </c>
      <c r="U53" s="151">
        <v>45624</v>
      </c>
      <c r="V53" s="151"/>
      <c r="W53" s="2">
        <f>VLOOKUP(Table1[[#This Row],[Status]],Auxiliar!$B$16:$D$24,3,0)*Table1[[#This Row],[Estimação (horas)]]</f>
        <v>0.1</v>
      </c>
      <c r="X53" s="165" t="str">
        <f>+VLOOKUP(CONCATENATE(Table1[[#This Row],[Tabela]],Table1[[#This Row],[Campo]]),'2. Status Detalhe Campos FY24'!A:J,9,FALSE)</f>
        <v>Fase I</v>
      </c>
      <c r="Y53" s="491" t="e">
        <f>+VLOOKUP(A53,#REF!,1,FALSE)</f>
        <v>#REF!</v>
      </c>
    </row>
    <row r="54" spans="1:25" ht="17.899999999999999" hidden="1" customHeight="1">
      <c r="A54" t="str">
        <f>+Table1[[#This Row],[Tabela]]&amp;Table1[[#This Row],[Campo]]</f>
        <v>ENERGY_CERTIFICATE_EST_INPUTCONSUMOS</v>
      </c>
      <c r="B54" s="2" t="s">
        <v>26</v>
      </c>
      <c r="C54" s="2" t="s">
        <v>34</v>
      </c>
      <c r="D54" s="2" t="s">
        <v>1178</v>
      </c>
      <c r="E54" s="2" t="s">
        <v>38</v>
      </c>
      <c r="F54" s="2" t="s">
        <v>37</v>
      </c>
      <c r="G54" s="134" t="s">
        <v>2005</v>
      </c>
      <c r="H54" s="56" t="str">
        <f>Table1[[#This Row],[Tabela]]&amp;Table1[[#This Row],[Campo]]</f>
        <v>ENERGY_CERTIFICATE_EST_INPUTCONSUMOS</v>
      </c>
      <c r="I54" s="2" t="s">
        <v>612</v>
      </c>
      <c r="J54" s="42">
        <f>VLOOKUP(Table1[[#This Row],[Status]],Auxiliar!$B$16:$C$24,2,0)</f>
        <v>1</v>
      </c>
      <c r="K54" s="2" t="s">
        <v>1171</v>
      </c>
      <c r="L54" s="28" t="s">
        <v>1166</v>
      </c>
      <c r="M54" s="20" t="s">
        <v>1175</v>
      </c>
      <c r="N54" s="47">
        <v>45716</v>
      </c>
      <c r="O54" s="20">
        <f>INDEX(Auxiliar!$D$5:$F$13,MATCH(Table1[[#This Row],[Tipologia_Testes]],Auxiliar!$B$5:$B$13,0),MATCH(Table1[[#This Row],[Complexidade]],Auxiliar!$D$4:$F$4,0))</f>
        <v>0.1</v>
      </c>
      <c r="P54" s="2" t="s">
        <v>1182</v>
      </c>
      <c r="Q54" s="2"/>
      <c r="R54" s="151">
        <v>45261</v>
      </c>
      <c r="S54" s="151"/>
      <c r="T54" s="151">
        <v>45510</v>
      </c>
      <c r="U54" s="151">
        <v>45624</v>
      </c>
      <c r="V54" s="151"/>
      <c r="W54" s="2">
        <f>VLOOKUP(Table1[[#This Row],[Status]],Auxiliar!$B$16:$D$24,3,0)*Table1[[#This Row],[Estimação (horas)]]</f>
        <v>0.1</v>
      </c>
      <c r="X54" s="165" t="str">
        <f>+VLOOKUP(CONCATENATE(Table1[[#This Row],[Tabela]],Table1[[#This Row],[Campo]]),'2. Status Detalhe Campos FY24'!A:J,9,FALSE)</f>
        <v>Fase I</v>
      </c>
      <c r="Y54" s="491" t="e">
        <f>+VLOOKUP(A54,#REF!,1,FALSE)</f>
        <v>#REF!</v>
      </c>
    </row>
    <row r="55" spans="1:25" ht="17.899999999999999" hidden="1" customHeight="1">
      <c r="A55" t="str">
        <f>+Table1[[#This Row],[Tabela]]&amp;Table1[[#This Row],[Campo]]</f>
        <v>ENERGY_CERTIFICATE_EST_INPUTDATA_ENVIO</v>
      </c>
      <c r="B55" s="2" t="s">
        <v>26</v>
      </c>
      <c r="C55" s="2" t="s">
        <v>34</v>
      </c>
      <c r="D55" s="2" t="s">
        <v>1178</v>
      </c>
      <c r="E55" s="2" t="s">
        <v>38</v>
      </c>
      <c r="F55" s="2" t="s">
        <v>37</v>
      </c>
      <c r="G55" s="134" t="s">
        <v>2006</v>
      </c>
      <c r="H55" s="56" t="str">
        <f>Table1[[#This Row],[Tabela]]&amp;Table1[[#This Row],[Campo]]</f>
        <v>ENERGY_CERTIFICATE_EST_INPUTDATA_ENVIO</v>
      </c>
      <c r="I55" s="2" t="s">
        <v>612</v>
      </c>
      <c r="J55" s="42">
        <f>VLOOKUP(Table1[[#This Row],[Status]],Auxiliar!$B$16:$C$24,2,0)</f>
        <v>1</v>
      </c>
      <c r="K55" s="2" t="s">
        <v>1171</v>
      </c>
      <c r="L55" s="28" t="s">
        <v>1166</v>
      </c>
      <c r="M55" s="20" t="s">
        <v>1175</v>
      </c>
      <c r="N55" s="47">
        <v>45716</v>
      </c>
      <c r="O55" s="20">
        <f>INDEX(Auxiliar!$D$5:$F$13,MATCH(Table1[[#This Row],[Tipologia_Testes]],Auxiliar!$B$5:$B$13,0),MATCH(Table1[[#This Row],[Complexidade]],Auxiliar!$D$4:$F$4,0))</f>
        <v>0.1</v>
      </c>
      <c r="P55" s="2" t="s">
        <v>1182</v>
      </c>
      <c r="Q55" s="2"/>
      <c r="R55" s="151">
        <v>45261</v>
      </c>
      <c r="S55" s="151"/>
      <c r="T55" s="151">
        <v>45510</v>
      </c>
      <c r="U55" s="151">
        <v>45624</v>
      </c>
      <c r="V55" s="151"/>
      <c r="W55" s="2">
        <f>VLOOKUP(Table1[[#This Row],[Status]],Auxiliar!$B$16:$D$24,3,0)*Table1[[#This Row],[Estimação (horas)]]</f>
        <v>0.1</v>
      </c>
      <c r="X55" s="165" t="str">
        <f>+VLOOKUP(CONCATENATE(Table1[[#This Row],[Tabela]],Table1[[#This Row],[Campo]]),'2. Status Detalhe Campos FY24'!A:J,9,FALSE)</f>
        <v>Fase I</v>
      </c>
      <c r="Y55" s="491" t="e">
        <f>+VLOOKUP(A55,#REF!,1,FALSE)</f>
        <v>#REF!</v>
      </c>
    </row>
    <row r="56" spans="1:25" ht="17.899999999999999" hidden="1" customHeight="1">
      <c r="A56" t="str">
        <f>+Table1[[#This Row],[Tabela]]&amp;Table1[[#This Row],[Campo]]</f>
        <v>ENERGY_CERTIFICATE_EST_INPUTCHAVE_GLOVAL</v>
      </c>
      <c r="B56" s="2" t="s">
        <v>26</v>
      </c>
      <c r="C56" s="2" t="s">
        <v>34</v>
      </c>
      <c r="D56" s="2" t="s">
        <v>1178</v>
      </c>
      <c r="E56" s="2" t="s">
        <v>38</v>
      </c>
      <c r="F56" s="2" t="s">
        <v>37</v>
      </c>
      <c r="G56" s="134" t="s">
        <v>1967</v>
      </c>
      <c r="H56" s="56" t="str">
        <f>Table1[[#This Row],[Tabela]]&amp;Table1[[#This Row],[Campo]]</f>
        <v>ENERGY_CERTIFICATE_EST_INPUTCHAVE_GLOVAL</v>
      </c>
      <c r="I56" s="2" t="s">
        <v>612</v>
      </c>
      <c r="J56" s="42">
        <f>VLOOKUP(Table1[[#This Row],[Status]],Auxiliar!$B$16:$C$24,2,0)</f>
        <v>1</v>
      </c>
      <c r="K56" s="2" t="s">
        <v>1179</v>
      </c>
      <c r="L56" s="28" t="s">
        <v>1166</v>
      </c>
      <c r="M56" s="20" t="s">
        <v>1175</v>
      </c>
      <c r="N56" s="47">
        <v>45716</v>
      </c>
      <c r="O56" s="20" t="e">
        <f>INDEX(Auxiliar!$D$5:$F$11,MATCH(Table1[[#This Row],[Tipologia_Testes]],Auxiliar!$B$5:$B$11,0),MATCH(Table1[[#This Row],[Complexidade]],Auxiliar!$D$4:$F$4,0))</f>
        <v>#N/A</v>
      </c>
      <c r="P56" s="2"/>
      <c r="Q56" s="2"/>
      <c r="R56" s="151"/>
      <c r="S56" s="151"/>
      <c r="T56" s="151"/>
      <c r="U56" s="151"/>
      <c r="V56" s="151"/>
      <c r="W56" s="2" t="e">
        <f>VLOOKUP(Table1[[#This Row],[Status]],Auxiliar!$B$16:$D$24,3,0)*Table1[[#This Row],[Estimação (horas)]]</f>
        <v>#N/A</v>
      </c>
      <c r="X56" s="165" t="str">
        <f>+VLOOKUP(CONCATENATE(Table1[[#This Row],[Tabela]],Table1[[#This Row],[Campo]]),'2. Status Detalhe Campos FY24'!A:J,9,FALSE)</f>
        <v>Fase I</v>
      </c>
      <c r="Y56" s="491" t="e">
        <f>+VLOOKUP(A56,#REF!,1,FALSE)</f>
        <v>#REF!</v>
      </c>
    </row>
    <row r="57" spans="1:25" ht="17.899999999999999" hidden="1" customHeight="1">
      <c r="A57" t="str">
        <f>+Table1[[#This Row],[Tabela]]&amp;Table1[[#This Row],[Campo]]</f>
        <v>ENERGY_CERTIFICATE_EST_INPUTPROPERTY_BANK_ID</v>
      </c>
      <c r="B57" s="2" t="s">
        <v>26</v>
      </c>
      <c r="C57" s="2" t="s">
        <v>34</v>
      </c>
      <c r="D57" s="2" t="s">
        <v>1178</v>
      </c>
      <c r="E57" s="2" t="s">
        <v>38</v>
      </c>
      <c r="F57" s="2" t="s">
        <v>37</v>
      </c>
      <c r="G57" s="134" t="s">
        <v>41</v>
      </c>
      <c r="H57" s="56" t="str">
        <f>Table1[[#This Row],[Tabela]]&amp;Table1[[#This Row],[Campo]]</f>
        <v>ENERGY_CERTIFICATE_EST_INPUTPROPERTY_BANK_ID</v>
      </c>
      <c r="I57" s="2" t="s">
        <v>612</v>
      </c>
      <c r="J57" s="42">
        <f>VLOOKUP(Table1[[#This Row],[Status]],Auxiliar!$B$16:$C$24,2,0)</f>
        <v>1</v>
      </c>
      <c r="K57" s="2" t="s">
        <v>1179</v>
      </c>
      <c r="L57" s="28" t="s">
        <v>1166</v>
      </c>
      <c r="M57" s="20" t="s">
        <v>1175</v>
      </c>
      <c r="N57" s="47">
        <v>45716</v>
      </c>
      <c r="O57" s="20" t="e">
        <f>INDEX(Auxiliar!$D$5:$F$11,MATCH(Table1[[#This Row],[Tipologia_Testes]],Auxiliar!$B$5:$B$11,0),MATCH(Table1[[#This Row],[Complexidade]],Auxiliar!$D$4:$F$4,0))</f>
        <v>#N/A</v>
      </c>
      <c r="P57" s="2"/>
      <c r="Q57" s="2"/>
      <c r="R57" s="151"/>
      <c r="S57" s="151"/>
      <c r="T57" s="151"/>
      <c r="U57" s="151"/>
      <c r="V57" s="151"/>
      <c r="W57" s="2" t="e">
        <f>VLOOKUP(Table1[[#This Row],[Status]],Auxiliar!$B$16:$D$24,3,0)*Table1[[#This Row],[Estimação (horas)]]</f>
        <v>#N/A</v>
      </c>
      <c r="X57" s="165" t="str">
        <f>+VLOOKUP(CONCATENATE(Table1[[#This Row],[Tabela]],Table1[[#This Row],[Campo]]),'2. Status Detalhe Campos FY24'!A:J,9,FALSE)</f>
        <v>Fase I</v>
      </c>
      <c r="Y57" s="491" t="e">
        <f>+VLOOKUP(A57,#REF!,1,FALSE)</f>
        <v>#REF!</v>
      </c>
    </row>
    <row r="58" spans="1:25" ht="17.899999999999999" hidden="1" customHeight="1">
      <c r="A58" t="str">
        <f>+Table1[[#This Row],[Tabela]]&amp;Table1[[#This Row],[Campo]]</f>
        <v>ENERGY_CERTIFICATE_EST_INPUTPROPERTY_BRANCH_CODE</v>
      </c>
      <c r="B58" s="2" t="s">
        <v>26</v>
      </c>
      <c r="C58" s="2" t="s">
        <v>34</v>
      </c>
      <c r="D58" s="2" t="s">
        <v>1178</v>
      </c>
      <c r="E58" s="2" t="s">
        <v>38</v>
      </c>
      <c r="F58" s="2" t="s">
        <v>37</v>
      </c>
      <c r="G58" s="134" t="s">
        <v>43</v>
      </c>
      <c r="H58" s="56" t="str">
        <f>Table1[[#This Row],[Tabela]]&amp;Table1[[#This Row],[Campo]]</f>
        <v>ENERGY_CERTIFICATE_EST_INPUTPROPERTY_BRANCH_CODE</v>
      </c>
      <c r="I58" s="2" t="s">
        <v>612</v>
      </c>
      <c r="J58" s="42">
        <f>VLOOKUP(Table1[[#This Row],[Status]],Auxiliar!$B$16:$C$24,2,0)</f>
        <v>1</v>
      </c>
      <c r="K58" s="2" t="s">
        <v>1179</v>
      </c>
      <c r="L58" s="28" t="s">
        <v>1166</v>
      </c>
      <c r="M58" s="20" t="s">
        <v>1175</v>
      </c>
      <c r="N58" s="47">
        <v>45716</v>
      </c>
      <c r="O58" s="20" t="e">
        <f>INDEX(Auxiliar!$D$5:$F$11,MATCH(Table1[[#This Row],[Tipologia_Testes]],Auxiliar!$B$5:$B$11,0),MATCH(Table1[[#This Row],[Complexidade]],Auxiliar!$D$4:$F$4,0))</f>
        <v>#N/A</v>
      </c>
      <c r="P58" s="2"/>
      <c r="Q58" s="2"/>
      <c r="R58" s="151"/>
      <c r="S58" s="151"/>
      <c r="T58" s="151"/>
      <c r="U58" s="151"/>
      <c r="V58" s="151"/>
      <c r="W58" s="2" t="e">
        <f>VLOOKUP(Table1[[#This Row],[Status]],Auxiliar!$B$16:$D$24,3,0)*Table1[[#This Row],[Estimação (horas)]]</f>
        <v>#N/A</v>
      </c>
      <c r="X58" s="165" t="str">
        <f>+VLOOKUP(CONCATENATE(Table1[[#This Row],[Tabela]],Table1[[#This Row],[Campo]]),'2. Status Detalhe Campos FY24'!A:J,9,FALSE)</f>
        <v>Fase I</v>
      </c>
      <c r="Y58" s="491" t="e">
        <f>+VLOOKUP(A58,#REF!,1,FALSE)</f>
        <v>#REF!</v>
      </c>
    </row>
    <row r="59" spans="1:25" ht="17.899999999999999" hidden="1" customHeight="1">
      <c r="A59" t="str">
        <f>+Table1[[#This Row],[Tabela]]&amp;Table1[[#This Row],[Campo]]</f>
        <v>ENERGY_CERTIFICATE_EST_INPUTPROPERTY_CONTRACT_ID</v>
      </c>
      <c r="B59" s="2" t="s">
        <v>26</v>
      </c>
      <c r="C59" s="2" t="s">
        <v>34</v>
      </c>
      <c r="D59" s="2" t="s">
        <v>1178</v>
      </c>
      <c r="E59" s="2" t="s">
        <v>38</v>
      </c>
      <c r="F59" s="2" t="s">
        <v>37</v>
      </c>
      <c r="G59" s="134" t="s">
        <v>44</v>
      </c>
      <c r="H59" s="56" t="str">
        <f>Table1[[#This Row],[Tabela]]&amp;Table1[[#This Row],[Campo]]</f>
        <v>ENERGY_CERTIFICATE_EST_INPUTPROPERTY_CONTRACT_ID</v>
      </c>
      <c r="I59" s="2" t="s">
        <v>612</v>
      </c>
      <c r="J59" s="42">
        <f>VLOOKUP(Table1[[#This Row],[Status]],Auxiliar!$B$16:$C$24,2,0)</f>
        <v>1</v>
      </c>
      <c r="K59" s="2" t="s">
        <v>1179</v>
      </c>
      <c r="L59" s="28" t="s">
        <v>1166</v>
      </c>
      <c r="M59" s="20" t="s">
        <v>1175</v>
      </c>
      <c r="N59" s="47">
        <v>45716</v>
      </c>
      <c r="O59" s="20" t="e">
        <f>INDEX(Auxiliar!$D$5:$F$11,MATCH(Table1[[#This Row],[Tipologia_Testes]],Auxiliar!$B$5:$B$11,0),MATCH(Table1[[#This Row],[Complexidade]],Auxiliar!$D$4:$F$4,0))</f>
        <v>#N/A</v>
      </c>
      <c r="P59" s="2"/>
      <c r="Q59" s="2"/>
      <c r="R59" s="151"/>
      <c r="S59" s="151"/>
      <c r="T59" s="151"/>
      <c r="U59" s="151"/>
      <c r="V59" s="151"/>
      <c r="W59" s="2" t="e">
        <f>VLOOKUP(Table1[[#This Row],[Status]],Auxiliar!$B$16:$D$24,3,0)*Table1[[#This Row],[Estimação (horas)]]</f>
        <v>#N/A</v>
      </c>
      <c r="X59" s="165" t="str">
        <f>+VLOOKUP(CONCATENATE(Table1[[#This Row],[Tabela]],Table1[[#This Row],[Campo]]),'2. Status Detalhe Campos FY24'!A:J,9,FALSE)</f>
        <v>Fase I</v>
      </c>
      <c r="Y59" s="491" t="e">
        <f>+VLOOKUP(A59,#REF!,1,FALSE)</f>
        <v>#REF!</v>
      </c>
    </row>
    <row r="60" spans="1:25" ht="17.899999999999999" hidden="1" customHeight="1">
      <c r="A60" t="str">
        <f>+Table1[[#This Row],[Tabela]]&amp;Table1[[#This Row],[Campo]]</f>
        <v>ENERGY_CERTIFICATE_EST_INPUTPROPERTY_REFERENCE_CODE</v>
      </c>
      <c r="B60" s="2" t="s">
        <v>26</v>
      </c>
      <c r="C60" s="2" t="s">
        <v>34</v>
      </c>
      <c r="D60" s="2" t="s">
        <v>1178</v>
      </c>
      <c r="E60" s="2" t="s">
        <v>38</v>
      </c>
      <c r="F60" s="2" t="s">
        <v>37</v>
      </c>
      <c r="G60" s="134" t="s">
        <v>45</v>
      </c>
      <c r="H60" s="56" t="str">
        <f>Table1[[#This Row],[Tabela]]&amp;Table1[[#This Row],[Campo]]</f>
        <v>ENERGY_CERTIFICATE_EST_INPUTPROPERTY_REFERENCE_CODE</v>
      </c>
      <c r="I60" s="2" t="s">
        <v>612</v>
      </c>
      <c r="J60" s="42">
        <f>VLOOKUP(Table1[[#This Row],[Status]],Auxiliar!$B$16:$C$24,2,0)</f>
        <v>1</v>
      </c>
      <c r="K60" s="2" t="s">
        <v>1179</v>
      </c>
      <c r="L60" s="28" t="s">
        <v>1166</v>
      </c>
      <c r="M60" s="20" t="s">
        <v>1175</v>
      </c>
      <c r="N60" s="47">
        <v>45716</v>
      </c>
      <c r="O60" s="20" t="e">
        <f>INDEX(Auxiliar!$D$5:$F$11,MATCH(Table1[[#This Row],[Tipologia_Testes]],Auxiliar!$B$5:$B$11,0),MATCH(Table1[[#This Row],[Complexidade]],Auxiliar!$D$4:$F$4,0))</f>
        <v>#N/A</v>
      </c>
      <c r="P60" s="2"/>
      <c r="Q60" s="2"/>
      <c r="R60" s="151"/>
      <c r="S60" s="151"/>
      <c r="T60" s="151"/>
      <c r="U60" s="151"/>
      <c r="V60" s="151"/>
      <c r="W60" s="2" t="e">
        <f>VLOOKUP(Table1[[#This Row],[Status]],Auxiliar!$B$16:$D$24,3,0)*Table1[[#This Row],[Estimação (horas)]]</f>
        <v>#N/A</v>
      </c>
      <c r="X60" s="165" t="str">
        <f>+VLOOKUP(CONCATENATE(Table1[[#This Row],[Tabela]],Table1[[#This Row],[Campo]]),'2. Status Detalhe Campos FY24'!A:J,9,FALSE)</f>
        <v>Fase I</v>
      </c>
      <c r="Y60" s="491" t="e">
        <f>+VLOOKUP(A60,#REF!,1,FALSE)</f>
        <v>#REF!</v>
      </c>
    </row>
    <row r="61" spans="1:25" ht="17.899999999999999" hidden="1" customHeight="1">
      <c r="A61" t="str">
        <f>+Table1[[#This Row],[Tabela]]&amp;Table1[[#This Row],[Campo]]</f>
        <v>ENERGY_CERTIFICATE_EST_INPUTCÓDIGO_DISTRITO</v>
      </c>
      <c r="B61" s="2" t="s">
        <v>26</v>
      </c>
      <c r="C61" s="2" t="s">
        <v>34</v>
      </c>
      <c r="D61" s="2" t="s">
        <v>1178</v>
      </c>
      <c r="E61" s="2" t="s">
        <v>38</v>
      </c>
      <c r="F61" s="2" t="s">
        <v>37</v>
      </c>
      <c r="G61" s="134" t="s">
        <v>1968</v>
      </c>
      <c r="H61" s="56" t="str">
        <f>Table1[[#This Row],[Tabela]]&amp;Table1[[#This Row],[Campo]]</f>
        <v>ENERGY_CERTIFICATE_EST_INPUTCÓDIGO_DISTRITO</v>
      </c>
      <c r="I61" s="2" t="s">
        <v>612</v>
      </c>
      <c r="J61" s="42">
        <f>VLOOKUP(Table1[[#This Row],[Status]],Auxiliar!$B$16:$C$24,2,0)</f>
        <v>1</v>
      </c>
      <c r="K61" s="2" t="s">
        <v>1179</v>
      </c>
      <c r="L61" s="28" t="s">
        <v>1166</v>
      </c>
      <c r="M61" s="20" t="s">
        <v>1175</v>
      </c>
      <c r="N61" s="47">
        <v>45716</v>
      </c>
      <c r="O61" s="20" t="e">
        <f>INDEX(Auxiliar!$D$5:$F$11,MATCH(Table1[[#This Row],[Tipologia_Testes]],Auxiliar!$B$5:$B$11,0),MATCH(Table1[[#This Row],[Complexidade]],Auxiliar!$D$4:$F$4,0))</f>
        <v>#N/A</v>
      </c>
      <c r="P61" s="2"/>
      <c r="Q61" s="2"/>
      <c r="R61" s="151"/>
      <c r="S61" s="151"/>
      <c r="T61" s="151"/>
      <c r="U61" s="151"/>
      <c r="V61" s="151"/>
      <c r="W61" s="2" t="e">
        <f>VLOOKUP(Table1[[#This Row],[Status]],Auxiliar!$B$16:$D$24,3,0)*Table1[[#This Row],[Estimação (horas)]]</f>
        <v>#N/A</v>
      </c>
      <c r="X61" s="165" t="str">
        <f>+VLOOKUP(CONCATENATE(Table1[[#This Row],[Tabela]],Table1[[#This Row],[Campo]]),'2. Status Detalhe Campos FY24'!A:J,9,FALSE)</f>
        <v>Fase I</v>
      </c>
      <c r="Y61" s="491" t="e">
        <f>+VLOOKUP(A61,#REF!,1,FALSE)</f>
        <v>#REF!</v>
      </c>
    </row>
    <row r="62" spans="1:25" ht="17.899999999999999" hidden="1" customHeight="1">
      <c r="A62" t="str">
        <f>+Table1[[#This Row],[Tabela]]&amp;Table1[[#This Row],[Campo]]</f>
        <v>ENERGY_CERTIFICATE_EST_INPUTNOMBRE_DISTRITO</v>
      </c>
      <c r="B62" s="2" t="s">
        <v>26</v>
      </c>
      <c r="C62" s="2" t="s">
        <v>34</v>
      </c>
      <c r="D62" s="2" t="s">
        <v>1178</v>
      </c>
      <c r="E62" s="2" t="s">
        <v>38</v>
      </c>
      <c r="F62" s="2" t="s">
        <v>37</v>
      </c>
      <c r="G62" s="134" t="s">
        <v>1969</v>
      </c>
      <c r="H62" s="56" t="str">
        <f>Table1[[#This Row],[Tabela]]&amp;Table1[[#This Row],[Campo]]</f>
        <v>ENERGY_CERTIFICATE_EST_INPUTNOMBRE_DISTRITO</v>
      </c>
      <c r="I62" s="2" t="s">
        <v>612</v>
      </c>
      <c r="J62" s="42">
        <f>VLOOKUP(Table1[[#This Row],[Status]],Auxiliar!$B$16:$C$24,2,0)</f>
        <v>1</v>
      </c>
      <c r="K62" s="2" t="s">
        <v>1179</v>
      </c>
      <c r="L62" s="28" t="s">
        <v>1166</v>
      </c>
      <c r="M62" s="20" t="s">
        <v>1175</v>
      </c>
      <c r="N62" s="47">
        <v>45716</v>
      </c>
      <c r="O62" s="20" t="e">
        <f>INDEX(Auxiliar!$D$5:$F$11,MATCH(Table1[[#This Row],[Tipologia_Testes]],Auxiliar!$B$5:$B$11,0),MATCH(Table1[[#This Row],[Complexidade]],Auxiliar!$D$4:$F$4,0))</f>
        <v>#N/A</v>
      </c>
      <c r="P62" s="2"/>
      <c r="Q62" s="2"/>
      <c r="R62" s="151"/>
      <c r="S62" s="151"/>
      <c r="T62" s="151"/>
      <c r="U62" s="151"/>
      <c r="V62" s="151"/>
      <c r="W62" s="2" t="e">
        <f>VLOOKUP(Table1[[#This Row],[Status]],Auxiliar!$B$16:$D$24,3,0)*Table1[[#This Row],[Estimação (horas)]]</f>
        <v>#N/A</v>
      </c>
      <c r="X62" s="165" t="str">
        <f>+VLOOKUP(CONCATENATE(Table1[[#This Row],[Tabela]],Table1[[#This Row],[Campo]]),'2. Status Detalhe Campos FY24'!A:J,9,FALSE)</f>
        <v>Fase I</v>
      </c>
      <c r="Y62" s="491" t="e">
        <f>+VLOOKUP(A62,#REF!,1,FALSE)</f>
        <v>#REF!</v>
      </c>
    </row>
    <row r="63" spans="1:25" ht="17.899999999999999" hidden="1" customHeight="1">
      <c r="A63" t="str">
        <f>+Table1[[#This Row],[Tabela]]&amp;Table1[[#This Row],[Campo]]</f>
        <v>ENERGY_CERTIFICATE_EST_INPUTCÓDIGO_CONCEJO</v>
      </c>
      <c r="B63" s="2" t="s">
        <v>26</v>
      </c>
      <c r="C63" s="2" t="s">
        <v>34</v>
      </c>
      <c r="D63" s="2" t="s">
        <v>1178</v>
      </c>
      <c r="E63" s="2" t="s">
        <v>38</v>
      </c>
      <c r="F63" s="2" t="s">
        <v>37</v>
      </c>
      <c r="G63" s="134" t="s">
        <v>1970</v>
      </c>
      <c r="H63" s="56" t="str">
        <f>Table1[[#This Row],[Tabela]]&amp;Table1[[#This Row],[Campo]]</f>
        <v>ENERGY_CERTIFICATE_EST_INPUTCÓDIGO_CONCEJO</v>
      </c>
      <c r="I63" s="2" t="s">
        <v>612</v>
      </c>
      <c r="J63" s="42">
        <f>VLOOKUP(Table1[[#This Row],[Status]],Auxiliar!$B$16:$C$24,2,0)</f>
        <v>1</v>
      </c>
      <c r="K63" s="2" t="s">
        <v>1179</v>
      </c>
      <c r="L63" s="28" t="s">
        <v>1166</v>
      </c>
      <c r="M63" s="20" t="s">
        <v>1175</v>
      </c>
      <c r="N63" s="47">
        <v>45716</v>
      </c>
      <c r="O63" s="20" t="e">
        <f>INDEX(Auxiliar!$D$5:$F$11,MATCH(Table1[[#This Row],[Tipologia_Testes]],Auxiliar!$B$5:$B$11,0),MATCH(Table1[[#This Row],[Complexidade]],Auxiliar!$D$4:$F$4,0))</f>
        <v>#N/A</v>
      </c>
      <c r="P63" s="2"/>
      <c r="Q63" s="2"/>
      <c r="R63" s="151"/>
      <c r="S63" s="151"/>
      <c r="T63" s="151"/>
      <c r="U63" s="151"/>
      <c r="V63" s="151"/>
      <c r="W63" s="2" t="e">
        <f>VLOOKUP(Table1[[#This Row],[Status]],Auxiliar!$B$16:$D$24,3,0)*Table1[[#This Row],[Estimação (horas)]]</f>
        <v>#N/A</v>
      </c>
      <c r="X63" s="165" t="str">
        <f>+VLOOKUP(CONCATENATE(Table1[[#This Row],[Tabela]],Table1[[#This Row],[Campo]]),'2. Status Detalhe Campos FY24'!A:J,9,FALSE)</f>
        <v>Fase I</v>
      </c>
      <c r="Y63" s="491" t="e">
        <f>+VLOOKUP(A63,#REF!,1,FALSE)</f>
        <v>#REF!</v>
      </c>
    </row>
    <row r="64" spans="1:25" ht="17.899999999999999" hidden="1" customHeight="1">
      <c r="A64" t="str">
        <f>+Table1[[#This Row],[Tabela]]&amp;Table1[[#This Row],[Campo]]</f>
        <v>ENERGY_CERTIFICATE_EST_INPUTNOMBRE_CONCEJO</v>
      </c>
      <c r="B64" s="2" t="s">
        <v>26</v>
      </c>
      <c r="C64" s="2" t="s">
        <v>34</v>
      </c>
      <c r="D64" s="2" t="s">
        <v>1178</v>
      </c>
      <c r="E64" s="2" t="s">
        <v>38</v>
      </c>
      <c r="F64" s="2" t="s">
        <v>37</v>
      </c>
      <c r="G64" s="134" t="s">
        <v>1971</v>
      </c>
      <c r="H64" s="56" t="str">
        <f>Table1[[#This Row],[Tabela]]&amp;Table1[[#This Row],[Campo]]</f>
        <v>ENERGY_CERTIFICATE_EST_INPUTNOMBRE_CONCEJO</v>
      </c>
      <c r="I64" s="2" t="s">
        <v>612</v>
      </c>
      <c r="J64" s="42">
        <f>VLOOKUP(Table1[[#This Row],[Status]],Auxiliar!$B$16:$C$24,2,0)</f>
        <v>1</v>
      </c>
      <c r="K64" s="2" t="s">
        <v>1179</v>
      </c>
      <c r="L64" s="28" t="s">
        <v>1166</v>
      </c>
      <c r="M64" s="20" t="s">
        <v>1175</v>
      </c>
      <c r="N64" s="47">
        <v>45716</v>
      </c>
      <c r="O64" s="20" t="e">
        <f>INDEX(Auxiliar!$D$5:$F$11,MATCH(Table1[[#This Row],[Tipologia_Testes]],Auxiliar!$B$5:$B$11,0),MATCH(Table1[[#This Row],[Complexidade]],Auxiliar!$D$4:$F$4,0))</f>
        <v>#N/A</v>
      </c>
      <c r="P64" s="2"/>
      <c r="Q64" s="2"/>
      <c r="R64" s="151"/>
      <c r="S64" s="151"/>
      <c r="T64" s="151"/>
      <c r="U64" s="151"/>
      <c r="V64" s="151"/>
      <c r="W64" s="2" t="e">
        <f>VLOOKUP(Table1[[#This Row],[Status]],Auxiliar!$B$16:$D$24,3,0)*Table1[[#This Row],[Estimação (horas)]]</f>
        <v>#N/A</v>
      </c>
      <c r="X64" s="165" t="str">
        <f>+VLOOKUP(CONCATENATE(Table1[[#This Row],[Tabela]],Table1[[#This Row],[Campo]]),'2. Status Detalhe Campos FY24'!A:J,9,FALSE)</f>
        <v>Fase I</v>
      </c>
      <c r="Y64" s="491" t="e">
        <f>+VLOOKUP(A64,#REF!,1,FALSE)</f>
        <v>#REF!</v>
      </c>
    </row>
    <row r="65" spans="1:25" ht="17.899999999999999" hidden="1" customHeight="1">
      <c r="A65" t="str">
        <f>+Table1[[#This Row],[Tabela]]&amp;Table1[[#This Row],[Campo]]</f>
        <v>ENERGY_CERTIFICATE_EST_INPUTCÓDIGO_FREGUESIA</v>
      </c>
      <c r="B65" s="2" t="s">
        <v>26</v>
      </c>
      <c r="C65" s="2" t="s">
        <v>34</v>
      </c>
      <c r="D65" s="2" t="s">
        <v>1178</v>
      </c>
      <c r="E65" s="2" t="s">
        <v>38</v>
      </c>
      <c r="F65" s="2" t="s">
        <v>37</v>
      </c>
      <c r="G65" s="134" t="s">
        <v>1972</v>
      </c>
      <c r="H65" s="56" t="str">
        <f>Table1[[#This Row],[Tabela]]&amp;Table1[[#This Row],[Campo]]</f>
        <v>ENERGY_CERTIFICATE_EST_INPUTCÓDIGO_FREGUESIA</v>
      </c>
      <c r="I65" s="2" t="s">
        <v>612</v>
      </c>
      <c r="J65" s="42">
        <f>VLOOKUP(Table1[[#This Row],[Status]],Auxiliar!$B$16:$C$24,2,0)</f>
        <v>1</v>
      </c>
      <c r="K65" s="2" t="s">
        <v>1179</v>
      </c>
      <c r="L65" s="28" t="s">
        <v>1166</v>
      </c>
      <c r="M65" s="20" t="s">
        <v>1175</v>
      </c>
      <c r="N65" s="47">
        <v>45716</v>
      </c>
      <c r="O65" s="20" t="e">
        <f>INDEX(Auxiliar!$D$5:$F$11,MATCH(Table1[[#This Row],[Tipologia_Testes]],Auxiliar!$B$5:$B$11,0),MATCH(Table1[[#This Row],[Complexidade]],Auxiliar!$D$4:$F$4,0))</f>
        <v>#N/A</v>
      </c>
      <c r="P65" s="2"/>
      <c r="Q65" s="2"/>
      <c r="R65" s="151"/>
      <c r="S65" s="151"/>
      <c r="T65" s="151"/>
      <c r="U65" s="151"/>
      <c r="V65" s="151"/>
      <c r="W65" s="2" t="e">
        <f>VLOOKUP(Table1[[#This Row],[Status]],Auxiliar!$B$16:$D$24,3,0)*Table1[[#This Row],[Estimação (horas)]]</f>
        <v>#N/A</v>
      </c>
      <c r="X65" s="165" t="str">
        <f>+VLOOKUP(CONCATENATE(Table1[[#This Row],[Tabela]],Table1[[#This Row],[Campo]]),'2. Status Detalhe Campos FY24'!A:J,9,FALSE)</f>
        <v>Fase I</v>
      </c>
      <c r="Y65" s="491" t="e">
        <f>+VLOOKUP(A65,#REF!,1,FALSE)</f>
        <v>#REF!</v>
      </c>
    </row>
    <row r="66" spans="1:25" ht="17.899999999999999" hidden="1" customHeight="1">
      <c r="A66" t="str">
        <f>+Table1[[#This Row],[Tabela]]&amp;Table1[[#This Row],[Campo]]</f>
        <v>ENERGY_CERTIFICATE_EST_INPUTNOMBRE_FREGUESIA</v>
      </c>
      <c r="B66" s="2" t="s">
        <v>26</v>
      </c>
      <c r="C66" s="2" t="s">
        <v>34</v>
      </c>
      <c r="D66" s="2" t="s">
        <v>1178</v>
      </c>
      <c r="E66" s="2" t="s">
        <v>38</v>
      </c>
      <c r="F66" s="2" t="s">
        <v>37</v>
      </c>
      <c r="G66" s="134" t="s">
        <v>1973</v>
      </c>
      <c r="H66" s="56" t="str">
        <f>Table1[[#This Row],[Tabela]]&amp;Table1[[#This Row],[Campo]]</f>
        <v>ENERGY_CERTIFICATE_EST_INPUTNOMBRE_FREGUESIA</v>
      </c>
      <c r="I66" s="2" t="s">
        <v>612</v>
      </c>
      <c r="J66" s="42">
        <f>VLOOKUP(Table1[[#This Row],[Status]],Auxiliar!$B$16:$C$24,2,0)</f>
        <v>1</v>
      </c>
      <c r="K66" s="2" t="s">
        <v>1179</v>
      </c>
      <c r="L66" s="28" t="s">
        <v>1166</v>
      </c>
      <c r="M66" s="20" t="s">
        <v>1175</v>
      </c>
      <c r="N66" s="47">
        <v>45716</v>
      </c>
      <c r="O66" s="20" t="e">
        <f>INDEX(Auxiliar!$D$5:$F$11,MATCH(Table1[[#This Row],[Tipologia_Testes]],Auxiliar!$B$5:$B$11,0),MATCH(Table1[[#This Row],[Complexidade]],Auxiliar!$D$4:$F$4,0))</f>
        <v>#N/A</v>
      </c>
      <c r="P66" s="2"/>
      <c r="Q66" s="2"/>
      <c r="R66" s="151"/>
      <c r="S66" s="151"/>
      <c r="T66" s="151"/>
      <c r="U66" s="151"/>
      <c r="V66" s="151"/>
      <c r="W66" s="2" t="e">
        <f>VLOOKUP(Table1[[#This Row],[Status]],Auxiliar!$B$16:$D$24,3,0)*Table1[[#This Row],[Estimação (horas)]]</f>
        <v>#N/A</v>
      </c>
      <c r="X66" s="165" t="str">
        <f>+VLOOKUP(CONCATENATE(Table1[[#This Row],[Tabela]],Table1[[#This Row],[Campo]]),'2. Status Detalhe Campos FY24'!A:J,9,FALSE)</f>
        <v>Fase I</v>
      </c>
      <c r="Y66" s="491" t="e">
        <f>+VLOOKUP(A66,#REF!,1,FALSE)</f>
        <v>#REF!</v>
      </c>
    </row>
    <row r="67" spans="1:25" ht="17.899999999999999" hidden="1" customHeight="1">
      <c r="A67" t="str">
        <f>+Table1[[#This Row],[Tabela]]&amp;Table1[[#This Row],[Campo]]</f>
        <v>ENERGY_CERTIFICATE_EST_INPUTLOCALIDADE</v>
      </c>
      <c r="B67" s="2" t="s">
        <v>26</v>
      </c>
      <c r="C67" s="2" t="s">
        <v>34</v>
      </c>
      <c r="D67" s="2" t="s">
        <v>1178</v>
      </c>
      <c r="E67" s="2" t="s">
        <v>38</v>
      </c>
      <c r="F67" s="2" t="s">
        <v>37</v>
      </c>
      <c r="G67" s="134" t="s">
        <v>1974</v>
      </c>
      <c r="H67" s="56" t="str">
        <f>Table1[[#This Row],[Tabela]]&amp;Table1[[#This Row],[Campo]]</f>
        <v>ENERGY_CERTIFICATE_EST_INPUTLOCALIDADE</v>
      </c>
      <c r="I67" s="2" t="s">
        <v>612</v>
      </c>
      <c r="J67" s="42">
        <f>VLOOKUP(Table1[[#This Row],[Status]],Auxiliar!$B$16:$C$24,2,0)</f>
        <v>1</v>
      </c>
      <c r="K67" s="2" t="s">
        <v>1179</v>
      </c>
      <c r="L67" s="28" t="s">
        <v>1166</v>
      </c>
      <c r="M67" s="20" t="s">
        <v>1175</v>
      </c>
      <c r="N67" s="47">
        <v>45716</v>
      </c>
      <c r="O67" s="20" t="e">
        <f>INDEX(Auxiliar!$D$5:$F$11,MATCH(Table1[[#This Row],[Tipologia_Testes]],Auxiliar!$B$5:$B$11,0),MATCH(Table1[[#This Row],[Complexidade]],Auxiliar!$D$4:$F$4,0))</f>
        <v>#N/A</v>
      </c>
      <c r="P67" s="2"/>
      <c r="Q67" s="2"/>
      <c r="R67" s="151"/>
      <c r="S67" s="151"/>
      <c r="T67" s="151"/>
      <c r="U67" s="151"/>
      <c r="V67" s="151"/>
      <c r="W67" s="2" t="e">
        <f>VLOOKUP(Table1[[#This Row],[Status]],Auxiliar!$B$16:$D$24,3,0)*Table1[[#This Row],[Estimação (horas)]]</f>
        <v>#N/A</v>
      </c>
      <c r="X67" s="165" t="str">
        <f>+VLOOKUP(CONCATENATE(Table1[[#This Row],[Tabela]],Table1[[#This Row],[Campo]]),'2. Status Detalhe Campos FY24'!A:J,9,FALSE)</f>
        <v>Fase I</v>
      </c>
      <c r="Y67" s="491" t="e">
        <f>+VLOOKUP(A67,#REF!,1,FALSE)</f>
        <v>#REF!</v>
      </c>
    </row>
    <row r="68" spans="1:25" ht="17.899999999999999" hidden="1" customHeight="1">
      <c r="A68" t="str">
        <f>+Table1[[#This Row],[Tabela]]&amp;Table1[[#This Row],[Campo]]</f>
        <v>ENERGY_CERTIFICATE_EST_INPUTTIPO_VIA</v>
      </c>
      <c r="B68" s="2" t="s">
        <v>26</v>
      </c>
      <c r="C68" s="2" t="s">
        <v>34</v>
      </c>
      <c r="D68" s="2" t="s">
        <v>1178</v>
      </c>
      <c r="E68" s="2" t="s">
        <v>38</v>
      </c>
      <c r="F68" s="2" t="s">
        <v>37</v>
      </c>
      <c r="G68" s="134" t="s">
        <v>1975</v>
      </c>
      <c r="H68" s="56" t="str">
        <f>Table1[[#This Row],[Tabela]]&amp;Table1[[#This Row],[Campo]]</f>
        <v>ENERGY_CERTIFICATE_EST_INPUTTIPO_VIA</v>
      </c>
      <c r="I68" s="2" t="s">
        <v>612</v>
      </c>
      <c r="J68" s="42">
        <f>VLOOKUP(Table1[[#This Row],[Status]],Auxiliar!$B$16:$C$24,2,0)</f>
        <v>1</v>
      </c>
      <c r="K68" s="2" t="s">
        <v>1179</v>
      </c>
      <c r="L68" s="28" t="s">
        <v>1166</v>
      </c>
      <c r="M68" s="20" t="s">
        <v>1175</v>
      </c>
      <c r="N68" s="47">
        <v>45716</v>
      </c>
      <c r="O68" s="20" t="e">
        <f>INDEX(Auxiliar!$D$5:$F$11,MATCH(Table1[[#This Row],[Tipologia_Testes]],Auxiliar!$B$5:$B$11,0),MATCH(Table1[[#This Row],[Complexidade]],Auxiliar!$D$4:$F$4,0))</f>
        <v>#N/A</v>
      </c>
      <c r="P68" s="2"/>
      <c r="Q68" s="2"/>
      <c r="R68" s="151"/>
      <c r="S68" s="151"/>
      <c r="T68" s="151"/>
      <c r="U68" s="151"/>
      <c r="V68" s="151"/>
      <c r="W68" s="2" t="e">
        <f>VLOOKUP(Table1[[#This Row],[Status]],Auxiliar!$B$16:$D$24,3,0)*Table1[[#This Row],[Estimação (horas)]]</f>
        <v>#N/A</v>
      </c>
      <c r="X68" s="165" t="str">
        <f>+VLOOKUP(CONCATENATE(Table1[[#This Row],[Tabela]],Table1[[#This Row],[Campo]]),'2. Status Detalhe Campos FY24'!A:J,9,FALSE)</f>
        <v>Fase I</v>
      </c>
      <c r="Y68" s="491" t="e">
        <f>+VLOOKUP(A68,#REF!,1,FALSE)</f>
        <v>#REF!</v>
      </c>
    </row>
    <row r="69" spans="1:25" ht="17.899999999999999" hidden="1" customHeight="1">
      <c r="A69" t="str">
        <f>+Table1[[#This Row],[Tabela]]&amp;Table1[[#This Row],[Campo]]</f>
        <v>ENERGY_CERTIFICATE_EST_INPUTNOMBRE_TIPO_VIA</v>
      </c>
      <c r="B69" s="2" t="s">
        <v>26</v>
      </c>
      <c r="C69" s="2" t="s">
        <v>34</v>
      </c>
      <c r="D69" s="2" t="s">
        <v>1178</v>
      </c>
      <c r="E69" s="2" t="s">
        <v>38</v>
      </c>
      <c r="F69" s="2" t="s">
        <v>37</v>
      </c>
      <c r="G69" s="134" t="s">
        <v>1976</v>
      </c>
      <c r="H69" s="56" t="str">
        <f>Table1[[#This Row],[Tabela]]&amp;Table1[[#This Row],[Campo]]</f>
        <v>ENERGY_CERTIFICATE_EST_INPUTNOMBRE_TIPO_VIA</v>
      </c>
      <c r="I69" s="2" t="s">
        <v>612</v>
      </c>
      <c r="J69" s="42">
        <f>VLOOKUP(Table1[[#This Row],[Status]],Auxiliar!$B$16:$C$24,2,0)</f>
        <v>1</v>
      </c>
      <c r="K69" s="2" t="s">
        <v>1179</v>
      </c>
      <c r="L69" s="28" t="s">
        <v>1166</v>
      </c>
      <c r="M69" s="20" t="s">
        <v>1175</v>
      </c>
      <c r="N69" s="47">
        <v>45716</v>
      </c>
      <c r="O69" s="20" t="e">
        <f>INDEX(Auxiliar!$D$5:$F$11,MATCH(Table1[[#This Row],[Tipologia_Testes]],Auxiliar!$B$5:$B$11,0),MATCH(Table1[[#This Row],[Complexidade]],Auxiliar!$D$4:$F$4,0))</f>
        <v>#N/A</v>
      </c>
      <c r="P69" s="2"/>
      <c r="Q69" s="2"/>
      <c r="R69" s="151"/>
      <c r="S69" s="151"/>
      <c r="T69" s="151"/>
      <c r="U69" s="151"/>
      <c r="V69" s="151"/>
      <c r="W69" s="2" t="e">
        <f>VLOOKUP(Table1[[#This Row],[Status]],Auxiliar!$B$16:$D$24,3,0)*Table1[[#This Row],[Estimação (horas)]]</f>
        <v>#N/A</v>
      </c>
      <c r="X69" s="165" t="str">
        <f>+VLOOKUP(CONCATENATE(Table1[[#This Row],[Tabela]],Table1[[#This Row],[Campo]]),'2. Status Detalhe Campos FY24'!A:J,9,FALSE)</f>
        <v>Fase I</v>
      </c>
      <c r="Y69" s="491" t="e">
        <f>+VLOOKUP(A69,#REF!,1,FALSE)</f>
        <v>#REF!</v>
      </c>
    </row>
    <row r="70" spans="1:25" ht="17.899999999999999" hidden="1" customHeight="1">
      <c r="A70" t="str">
        <f>+Table1[[#This Row],[Tabela]]&amp;Table1[[#This Row],[Campo]]</f>
        <v>ENERGY_CERTIFICATE_EST_INPUTNOMBRE_VIA</v>
      </c>
      <c r="B70" s="2" t="s">
        <v>26</v>
      </c>
      <c r="C70" s="2" t="s">
        <v>34</v>
      </c>
      <c r="D70" s="2" t="s">
        <v>1178</v>
      </c>
      <c r="E70" s="2" t="s">
        <v>38</v>
      </c>
      <c r="F70" s="2" t="s">
        <v>37</v>
      </c>
      <c r="G70" s="134" t="s">
        <v>1977</v>
      </c>
      <c r="H70" s="56" t="str">
        <f>Table1[[#This Row],[Tabela]]&amp;Table1[[#This Row],[Campo]]</f>
        <v>ENERGY_CERTIFICATE_EST_INPUTNOMBRE_VIA</v>
      </c>
      <c r="I70" s="2" t="s">
        <v>612</v>
      </c>
      <c r="J70" s="42">
        <f>VLOOKUP(Table1[[#This Row],[Status]],Auxiliar!$B$16:$C$24,2,0)</f>
        <v>1</v>
      </c>
      <c r="K70" s="2" t="s">
        <v>1179</v>
      </c>
      <c r="L70" s="28" t="s">
        <v>1166</v>
      </c>
      <c r="M70" s="20" t="s">
        <v>1175</v>
      </c>
      <c r="N70" s="47">
        <v>45716</v>
      </c>
      <c r="O70" s="20" t="e">
        <f>INDEX(Auxiliar!$D$5:$F$11,MATCH(Table1[[#This Row],[Tipologia_Testes]],Auxiliar!$B$5:$B$11,0),MATCH(Table1[[#This Row],[Complexidade]],Auxiliar!$D$4:$F$4,0))</f>
        <v>#N/A</v>
      </c>
      <c r="P70" s="2"/>
      <c r="Q70" s="2"/>
      <c r="R70" s="151"/>
      <c r="S70" s="151"/>
      <c r="T70" s="151"/>
      <c r="U70" s="151"/>
      <c r="V70" s="151"/>
      <c r="W70" s="2" t="e">
        <f>VLOOKUP(Table1[[#This Row],[Status]],Auxiliar!$B$16:$D$24,3,0)*Table1[[#This Row],[Estimação (horas)]]</f>
        <v>#N/A</v>
      </c>
      <c r="X70" s="165" t="str">
        <f>+VLOOKUP(CONCATENATE(Table1[[#This Row],[Tabela]],Table1[[#This Row],[Campo]]),'2. Status Detalhe Campos FY24'!A:J,9,FALSE)</f>
        <v>Fase I</v>
      </c>
      <c r="Y70" s="491" t="e">
        <f>+VLOOKUP(A70,#REF!,1,FALSE)</f>
        <v>#REF!</v>
      </c>
    </row>
    <row r="71" spans="1:25" ht="17.899999999999999" hidden="1" customHeight="1">
      <c r="A71" t="str">
        <f>+Table1[[#This Row],[Tabela]]&amp;Table1[[#This Row],[Campo]]</f>
        <v>ENERGY_CERTIFICATE_EST_INPUTNUMERO_VIA</v>
      </c>
      <c r="B71" s="2" t="s">
        <v>26</v>
      </c>
      <c r="C71" s="2" t="s">
        <v>34</v>
      </c>
      <c r="D71" s="2" t="s">
        <v>1178</v>
      </c>
      <c r="E71" s="2" t="s">
        <v>38</v>
      </c>
      <c r="F71" s="2" t="s">
        <v>37</v>
      </c>
      <c r="G71" s="134" t="s">
        <v>1978</v>
      </c>
      <c r="H71" s="56" t="str">
        <f>Table1[[#This Row],[Tabela]]&amp;Table1[[#This Row],[Campo]]</f>
        <v>ENERGY_CERTIFICATE_EST_INPUTNUMERO_VIA</v>
      </c>
      <c r="I71" s="2" t="s">
        <v>612</v>
      </c>
      <c r="J71" s="42">
        <f>VLOOKUP(Table1[[#This Row],[Status]],Auxiliar!$B$16:$C$24,2,0)</f>
        <v>1</v>
      </c>
      <c r="K71" s="2" t="s">
        <v>1179</v>
      </c>
      <c r="L71" s="28" t="s">
        <v>1166</v>
      </c>
      <c r="M71" s="20" t="s">
        <v>1175</v>
      </c>
      <c r="N71" s="47">
        <v>45716</v>
      </c>
      <c r="O71" s="20" t="e">
        <f>INDEX(Auxiliar!$D$5:$F$11,MATCH(Table1[[#This Row],[Tipologia_Testes]],Auxiliar!$B$5:$B$11,0),MATCH(Table1[[#This Row],[Complexidade]],Auxiliar!$D$4:$F$4,0))</f>
        <v>#N/A</v>
      </c>
      <c r="P71" s="2"/>
      <c r="Q71" s="2"/>
      <c r="R71" s="151"/>
      <c r="S71" s="151"/>
      <c r="T71" s="151"/>
      <c r="U71" s="151"/>
      <c r="V71" s="151"/>
      <c r="W71" s="2" t="e">
        <f>VLOOKUP(Table1[[#This Row],[Status]],Auxiliar!$B$16:$D$24,3,0)*Table1[[#This Row],[Estimação (horas)]]</f>
        <v>#N/A</v>
      </c>
      <c r="X71" s="165" t="str">
        <f>+VLOOKUP(CONCATENATE(Table1[[#This Row],[Tabela]],Table1[[#This Row],[Campo]]),'2. Status Detalhe Campos FY24'!A:J,9,FALSE)</f>
        <v>Fase I</v>
      </c>
      <c r="Y71" s="491" t="e">
        <f>+VLOOKUP(A71,#REF!,1,FALSE)</f>
        <v>#REF!</v>
      </c>
    </row>
    <row r="72" spans="1:25" ht="17.899999999999999" hidden="1" customHeight="1">
      <c r="A72" t="str">
        <f>+Table1[[#This Row],[Tabela]]&amp;Table1[[#This Row],[Campo]]</f>
        <v>ENERGY_CERTIFICATE_EST_INPUTLOTE</v>
      </c>
      <c r="B72" s="2" t="s">
        <v>26</v>
      </c>
      <c r="C72" s="2" t="s">
        <v>34</v>
      </c>
      <c r="D72" s="2" t="s">
        <v>1178</v>
      </c>
      <c r="E72" s="2" t="s">
        <v>38</v>
      </c>
      <c r="F72" s="2" t="s">
        <v>37</v>
      </c>
      <c r="G72" s="134" t="s">
        <v>1979</v>
      </c>
      <c r="H72" s="56" t="str">
        <f>Table1[[#This Row],[Tabela]]&amp;Table1[[#This Row],[Campo]]</f>
        <v>ENERGY_CERTIFICATE_EST_INPUTLOTE</v>
      </c>
      <c r="I72" s="2" t="s">
        <v>612</v>
      </c>
      <c r="J72" s="42">
        <f>VLOOKUP(Table1[[#This Row],[Status]],Auxiliar!$B$16:$C$24,2,0)</f>
        <v>1</v>
      </c>
      <c r="K72" s="2" t="s">
        <v>1179</v>
      </c>
      <c r="L72" s="28" t="s">
        <v>1166</v>
      </c>
      <c r="M72" s="20" t="s">
        <v>1175</v>
      </c>
      <c r="N72" s="47">
        <v>45716</v>
      </c>
      <c r="O72" s="20" t="e">
        <f>INDEX(Auxiliar!$D$5:$F$11,MATCH(Table1[[#This Row],[Tipologia_Testes]],Auxiliar!$B$5:$B$11,0),MATCH(Table1[[#This Row],[Complexidade]],Auxiliar!$D$4:$F$4,0))</f>
        <v>#N/A</v>
      </c>
      <c r="P72" s="2"/>
      <c r="Q72" s="2"/>
      <c r="R72" s="151"/>
      <c r="S72" s="151"/>
      <c r="T72" s="151"/>
      <c r="U72" s="151"/>
      <c r="V72" s="151"/>
      <c r="W72" s="2" t="e">
        <f>VLOOKUP(Table1[[#This Row],[Status]],Auxiliar!$B$16:$D$24,3,0)*Table1[[#This Row],[Estimação (horas)]]</f>
        <v>#N/A</v>
      </c>
      <c r="X72" s="165" t="str">
        <f>+VLOOKUP(CONCATENATE(Table1[[#This Row],[Tabela]],Table1[[#This Row],[Campo]]),'2. Status Detalhe Campos FY24'!A:J,9,FALSE)</f>
        <v>Fase I</v>
      </c>
      <c r="Y72" s="491" t="e">
        <f>+VLOOKUP(A72,#REF!,1,FALSE)</f>
        <v>#REF!</v>
      </c>
    </row>
    <row r="73" spans="1:25" ht="17.899999999999999" hidden="1" customHeight="1">
      <c r="A73" t="str">
        <f>+Table1[[#This Row],[Tabela]]&amp;Table1[[#This Row],[Campo]]</f>
        <v>ENERGY_CERTIFICATE_EST_INPUTURBANIZACION</v>
      </c>
      <c r="B73" s="2" t="s">
        <v>26</v>
      </c>
      <c r="C73" s="2" t="s">
        <v>34</v>
      </c>
      <c r="D73" s="2" t="s">
        <v>1178</v>
      </c>
      <c r="E73" s="2" t="s">
        <v>38</v>
      </c>
      <c r="F73" s="2" t="s">
        <v>37</v>
      </c>
      <c r="G73" s="134" t="s">
        <v>1980</v>
      </c>
      <c r="H73" s="56" t="str">
        <f>Table1[[#This Row],[Tabela]]&amp;Table1[[#This Row],[Campo]]</f>
        <v>ENERGY_CERTIFICATE_EST_INPUTURBANIZACION</v>
      </c>
      <c r="I73" s="2" t="s">
        <v>612</v>
      </c>
      <c r="J73" s="42">
        <f>VLOOKUP(Table1[[#This Row],[Status]],Auxiliar!$B$16:$C$24,2,0)</f>
        <v>1</v>
      </c>
      <c r="K73" s="2" t="s">
        <v>1179</v>
      </c>
      <c r="L73" s="28" t="s">
        <v>1166</v>
      </c>
      <c r="M73" s="20" t="s">
        <v>1175</v>
      </c>
      <c r="N73" s="47">
        <v>45716</v>
      </c>
      <c r="O73" s="20" t="e">
        <f>INDEX(Auxiliar!$D$5:$F$11,MATCH(Table1[[#This Row],[Tipologia_Testes]],Auxiliar!$B$5:$B$11,0),MATCH(Table1[[#This Row],[Complexidade]],Auxiliar!$D$4:$F$4,0))</f>
        <v>#N/A</v>
      </c>
      <c r="P73" s="2"/>
      <c r="Q73" s="2"/>
      <c r="R73" s="151"/>
      <c r="S73" s="151"/>
      <c r="T73" s="151"/>
      <c r="U73" s="151"/>
      <c r="V73" s="151"/>
      <c r="W73" s="2" t="e">
        <f>VLOOKUP(Table1[[#This Row],[Status]],Auxiliar!$B$16:$D$24,3,0)*Table1[[#This Row],[Estimação (horas)]]</f>
        <v>#N/A</v>
      </c>
      <c r="X73" s="165" t="str">
        <f>+VLOOKUP(CONCATENATE(Table1[[#This Row],[Tabela]],Table1[[#This Row],[Campo]]),'2. Status Detalhe Campos FY24'!A:J,9,FALSE)</f>
        <v>Fase I</v>
      </c>
      <c r="Y73" s="491" t="e">
        <f>+VLOOKUP(A73,#REF!,1,FALSE)</f>
        <v>#REF!</v>
      </c>
    </row>
    <row r="74" spans="1:25" ht="17.899999999999999" hidden="1" customHeight="1">
      <c r="A74" t="str">
        <f>+Table1[[#This Row],[Tabela]]&amp;Table1[[#This Row],[Campo]]</f>
        <v>ENERGY_CERTIFICATE_EST_INPUTCAGLURB</v>
      </c>
      <c r="B74" s="2" t="s">
        <v>26</v>
      </c>
      <c r="C74" s="2" t="s">
        <v>34</v>
      </c>
      <c r="D74" s="2" t="s">
        <v>1178</v>
      </c>
      <c r="E74" s="2" t="s">
        <v>38</v>
      </c>
      <c r="F74" s="2" t="s">
        <v>37</v>
      </c>
      <c r="G74" s="134" t="s">
        <v>1981</v>
      </c>
      <c r="H74" s="56" t="str">
        <f>Table1[[#This Row],[Tabela]]&amp;Table1[[#This Row],[Campo]]</f>
        <v>ENERGY_CERTIFICATE_EST_INPUTCAGLURB</v>
      </c>
      <c r="I74" s="2" t="s">
        <v>612</v>
      </c>
      <c r="J74" s="42">
        <f>VLOOKUP(Table1[[#This Row],[Status]],Auxiliar!$B$16:$C$24,2,0)</f>
        <v>1</v>
      </c>
      <c r="K74" s="2" t="s">
        <v>1179</v>
      </c>
      <c r="L74" s="28" t="s">
        <v>1166</v>
      </c>
      <c r="M74" s="20" t="s">
        <v>1175</v>
      </c>
      <c r="N74" s="47">
        <v>45716</v>
      </c>
      <c r="O74" s="20" t="e">
        <f>INDEX(Auxiliar!$D$5:$F$11,MATCH(Table1[[#This Row],[Tipologia_Testes]],Auxiliar!$B$5:$B$11,0),MATCH(Table1[[#This Row],[Complexidade]],Auxiliar!$D$4:$F$4,0))</f>
        <v>#N/A</v>
      </c>
      <c r="P74" s="2"/>
      <c r="Q74" s="2"/>
      <c r="R74" s="151"/>
      <c r="S74" s="151"/>
      <c r="T74" s="151"/>
      <c r="U74" s="151"/>
      <c r="V74" s="151"/>
      <c r="W74" s="2" t="e">
        <f>VLOOKUP(Table1[[#This Row],[Status]],Auxiliar!$B$16:$D$24,3,0)*Table1[[#This Row],[Estimação (horas)]]</f>
        <v>#N/A</v>
      </c>
      <c r="X74" s="165" t="str">
        <f>+VLOOKUP(CONCATENATE(Table1[[#This Row],[Tabela]],Table1[[#This Row],[Campo]]),'2. Status Detalhe Campos FY24'!A:J,9,FALSE)</f>
        <v>Fase I</v>
      </c>
      <c r="Y74" s="491" t="e">
        <f>+VLOOKUP(A74,#REF!,1,FALSE)</f>
        <v>#REF!</v>
      </c>
    </row>
    <row r="75" spans="1:25" ht="17.899999999999999" hidden="1" customHeight="1">
      <c r="A75" t="str">
        <f>+Table1[[#This Row],[Tabela]]&amp;Table1[[#This Row],[Campo]]</f>
        <v>ENERGY_CERTIFICATE_EST_INPUTRESTO_DIRECCION</v>
      </c>
      <c r="B75" s="2" t="s">
        <v>26</v>
      </c>
      <c r="C75" s="2" t="s">
        <v>34</v>
      </c>
      <c r="D75" s="2" t="s">
        <v>1178</v>
      </c>
      <c r="E75" s="2" t="s">
        <v>38</v>
      </c>
      <c r="F75" s="2" t="s">
        <v>37</v>
      </c>
      <c r="G75" s="134" t="s">
        <v>1982</v>
      </c>
      <c r="H75" s="56" t="str">
        <f>Table1[[#This Row],[Tabela]]&amp;Table1[[#This Row],[Campo]]</f>
        <v>ENERGY_CERTIFICATE_EST_INPUTRESTO_DIRECCION</v>
      </c>
      <c r="I75" s="2" t="s">
        <v>612</v>
      </c>
      <c r="J75" s="42">
        <f>VLOOKUP(Table1[[#This Row],[Status]],Auxiliar!$B$16:$C$24,2,0)</f>
        <v>1</v>
      </c>
      <c r="K75" s="2" t="s">
        <v>1179</v>
      </c>
      <c r="L75" s="28" t="s">
        <v>1166</v>
      </c>
      <c r="M75" s="20" t="s">
        <v>1175</v>
      </c>
      <c r="N75" s="47">
        <v>45716</v>
      </c>
      <c r="O75" s="20" t="e">
        <f>INDEX(Auxiliar!$D$5:$F$11,MATCH(Table1[[#This Row],[Tipologia_Testes]],Auxiliar!$B$5:$B$11,0),MATCH(Table1[[#This Row],[Complexidade]],Auxiliar!$D$4:$F$4,0))</f>
        <v>#N/A</v>
      </c>
      <c r="P75" s="2"/>
      <c r="Q75" s="2"/>
      <c r="R75" s="151"/>
      <c r="S75" s="151"/>
      <c r="T75" s="151"/>
      <c r="U75" s="151"/>
      <c r="V75" s="151"/>
      <c r="W75" s="2" t="e">
        <f>VLOOKUP(Table1[[#This Row],[Status]],Auxiliar!$B$16:$D$24,3,0)*Table1[[#This Row],[Estimação (horas)]]</f>
        <v>#N/A</v>
      </c>
      <c r="X75" s="165" t="str">
        <f>+VLOOKUP(CONCATENATE(Table1[[#This Row],[Tabela]],Table1[[#This Row],[Campo]]),'2. Status Detalhe Campos FY24'!A:J,9,FALSE)</f>
        <v>Fase I</v>
      </c>
      <c r="Y75" s="491" t="e">
        <f>+VLOOKUP(A75,#REF!,1,FALSE)</f>
        <v>#REF!</v>
      </c>
    </row>
    <row r="76" spans="1:25" ht="17.899999999999999" hidden="1" customHeight="1">
      <c r="A76" t="str">
        <f>+Table1[[#This Row],[Tabela]]&amp;Table1[[#This Row],[Campo]]</f>
        <v>ENERGY_CERTIFICATE_EST_INPUTLATITUDE</v>
      </c>
      <c r="B76" s="2" t="s">
        <v>26</v>
      </c>
      <c r="C76" s="2" t="s">
        <v>34</v>
      </c>
      <c r="D76" s="2" t="s">
        <v>1178</v>
      </c>
      <c r="E76" s="2" t="s">
        <v>38</v>
      </c>
      <c r="F76" s="2" t="s">
        <v>37</v>
      </c>
      <c r="G76" s="134" t="s">
        <v>1983</v>
      </c>
      <c r="H76" s="56" t="str">
        <f>Table1[[#This Row],[Tabela]]&amp;Table1[[#This Row],[Campo]]</f>
        <v>ENERGY_CERTIFICATE_EST_INPUTLATITUDE</v>
      </c>
      <c r="I76" s="2" t="s">
        <v>612</v>
      </c>
      <c r="J76" s="42">
        <f>VLOOKUP(Table1[[#This Row],[Status]],Auxiliar!$B$16:$C$24,2,0)</f>
        <v>1</v>
      </c>
      <c r="K76" s="2" t="s">
        <v>1179</v>
      </c>
      <c r="L76" s="28" t="s">
        <v>1166</v>
      </c>
      <c r="M76" s="20" t="s">
        <v>1175</v>
      </c>
      <c r="N76" s="47">
        <v>45716</v>
      </c>
      <c r="O76" s="20" t="e">
        <f>INDEX(Auxiliar!$D$5:$F$11,MATCH(Table1[[#This Row],[Tipologia_Testes]],Auxiliar!$B$5:$B$11,0),MATCH(Table1[[#This Row],[Complexidade]],Auxiliar!$D$4:$F$4,0))</f>
        <v>#N/A</v>
      </c>
      <c r="P76" s="2"/>
      <c r="Q76" s="2"/>
      <c r="R76" s="151"/>
      <c r="S76" s="151"/>
      <c r="T76" s="151"/>
      <c r="U76" s="151"/>
      <c r="V76" s="151"/>
      <c r="W76" s="2" t="e">
        <f>VLOOKUP(Table1[[#This Row],[Status]],Auxiliar!$B$16:$D$24,3,0)*Table1[[#This Row],[Estimação (horas)]]</f>
        <v>#N/A</v>
      </c>
      <c r="X76" s="165" t="str">
        <f>+VLOOKUP(CONCATENATE(Table1[[#This Row],[Tabela]],Table1[[#This Row],[Campo]]),'2. Status Detalhe Campos FY24'!A:J,9,FALSE)</f>
        <v>Fase I</v>
      </c>
      <c r="Y76" s="491" t="e">
        <f>+VLOOKUP(A76,#REF!,1,FALSE)</f>
        <v>#REF!</v>
      </c>
    </row>
    <row r="77" spans="1:25" ht="17.899999999999999" hidden="1" customHeight="1">
      <c r="A77" t="str">
        <f>+Table1[[#This Row],[Tabela]]&amp;Table1[[#This Row],[Campo]]</f>
        <v>ENERGY_CERTIFICATE_EST_INPUTLONGITUDE</v>
      </c>
      <c r="B77" s="2" t="s">
        <v>26</v>
      </c>
      <c r="C77" s="2" t="s">
        <v>34</v>
      </c>
      <c r="D77" s="2" t="s">
        <v>1178</v>
      </c>
      <c r="E77" s="2" t="s">
        <v>38</v>
      </c>
      <c r="F77" s="2" t="s">
        <v>37</v>
      </c>
      <c r="G77" s="134" t="s">
        <v>1984</v>
      </c>
      <c r="H77" s="56" t="str">
        <f>Table1[[#This Row],[Tabela]]&amp;Table1[[#This Row],[Campo]]</f>
        <v>ENERGY_CERTIFICATE_EST_INPUTLONGITUDE</v>
      </c>
      <c r="I77" s="2" t="s">
        <v>612</v>
      </c>
      <c r="J77" s="42">
        <f>VLOOKUP(Table1[[#This Row],[Status]],Auxiliar!$B$16:$C$24,2,0)</f>
        <v>1</v>
      </c>
      <c r="K77" s="2" t="s">
        <v>1179</v>
      </c>
      <c r="L77" s="28" t="s">
        <v>1166</v>
      </c>
      <c r="M77" s="20" t="s">
        <v>1175</v>
      </c>
      <c r="N77" s="47">
        <v>45716</v>
      </c>
      <c r="O77" s="20" t="e">
        <f>INDEX(Auxiliar!$D$5:$F$11,MATCH(Table1[[#This Row],[Tipologia_Testes]],Auxiliar!$B$5:$B$11,0),MATCH(Table1[[#This Row],[Complexidade]],Auxiliar!$D$4:$F$4,0))</f>
        <v>#N/A</v>
      </c>
      <c r="P77" s="2"/>
      <c r="Q77" s="2"/>
      <c r="R77" s="151"/>
      <c r="S77" s="151"/>
      <c r="T77" s="151"/>
      <c r="U77" s="151"/>
      <c r="V77" s="151"/>
      <c r="W77" s="2" t="e">
        <f>VLOOKUP(Table1[[#This Row],[Status]],Auxiliar!$B$16:$D$24,3,0)*Table1[[#This Row],[Estimação (horas)]]</f>
        <v>#N/A</v>
      </c>
      <c r="X77" s="165" t="str">
        <f>+VLOOKUP(CONCATENATE(Table1[[#This Row],[Tabela]],Table1[[#This Row],[Campo]]),'2. Status Detalhe Campos FY24'!A:J,9,FALSE)</f>
        <v>Fase I</v>
      </c>
      <c r="Y77" s="491" t="e">
        <f>+VLOOKUP(A77,#REF!,1,FALSE)</f>
        <v>#REF!</v>
      </c>
    </row>
    <row r="78" spans="1:25" ht="17.899999999999999" hidden="1" customHeight="1">
      <c r="A78" t="str">
        <f>+Table1[[#This Row],[Tabela]]&amp;Table1[[#This Row],[Campo]]</f>
        <v>ENERGY_CERTIFICATE_EST_INPUTCODIGO_POSTAL</v>
      </c>
      <c r="B78" s="2" t="s">
        <v>26</v>
      </c>
      <c r="C78" s="2" t="s">
        <v>34</v>
      </c>
      <c r="D78" s="2" t="s">
        <v>1178</v>
      </c>
      <c r="E78" s="2" t="s">
        <v>38</v>
      </c>
      <c r="F78" s="2" t="s">
        <v>37</v>
      </c>
      <c r="G78" s="134" t="s">
        <v>1985</v>
      </c>
      <c r="H78" s="56" t="str">
        <f>Table1[[#This Row],[Tabela]]&amp;Table1[[#This Row],[Campo]]</f>
        <v>ENERGY_CERTIFICATE_EST_INPUTCODIGO_POSTAL</v>
      </c>
      <c r="I78" s="2" t="s">
        <v>612</v>
      </c>
      <c r="J78" s="42">
        <f>VLOOKUP(Table1[[#This Row],[Status]],Auxiliar!$B$16:$C$24,2,0)</f>
        <v>1</v>
      </c>
      <c r="K78" s="2" t="s">
        <v>1179</v>
      </c>
      <c r="L78" s="28" t="s">
        <v>1166</v>
      </c>
      <c r="M78" s="20" t="s">
        <v>1175</v>
      </c>
      <c r="N78" s="47">
        <v>45716</v>
      </c>
      <c r="O78" s="20" t="e">
        <f>INDEX(Auxiliar!$D$5:$F$11,MATCH(Table1[[#This Row],[Tipologia_Testes]],Auxiliar!$B$5:$B$11,0),MATCH(Table1[[#This Row],[Complexidade]],Auxiliar!$D$4:$F$4,0))</f>
        <v>#N/A</v>
      </c>
      <c r="P78" s="2"/>
      <c r="Q78" s="2"/>
      <c r="R78" s="151"/>
      <c r="S78" s="151"/>
      <c r="T78" s="151"/>
      <c r="U78" s="151"/>
      <c r="V78" s="151"/>
      <c r="W78" s="2" t="e">
        <f>VLOOKUP(Table1[[#This Row],[Status]],Auxiliar!$B$16:$D$24,3,0)*Table1[[#This Row],[Estimação (horas)]]</f>
        <v>#N/A</v>
      </c>
      <c r="X78" s="165" t="str">
        <f>+VLOOKUP(CONCATENATE(Table1[[#This Row],[Tabela]],Table1[[#This Row],[Campo]]),'2. Status Detalhe Campos FY24'!A:J,9,FALSE)</f>
        <v>Fase I</v>
      </c>
      <c r="Y78" s="491" t="e">
        <f>+VLOOKUP(A78,#REF!,1,FALSE)</f>
        <v>#REF!</v>
      </c>
    </row>
    <row r="79" spans="1:25" ht="17.899999999999999" hidden="1" customHeight="1">
      <c r="A79" t="str">
        <f>+Table1[[#This Row],[Tabela]]&amp;Table1[[#This Row],[Campo]]</f>
        <v>ENERGY_CERTIFICATE_EST_INPUTSUBCODIGO_POSTAL</v>
      </c>
      <c r="B79" s="2" t="s">
        <v>26</v>
      </c>
      <c r="C79" s="2" t="s">
        <v>34</v>
      </c>
      <c r="D79" s="2" t="s">
        <v>1178</v>
      </c>
      <c r="E79" s="2" t="s">
        <v>38</v>
      </c>
      <c r="F79" s="2" t="s">
        <v>37</v>
      </c>
      <c r="G79" s="134" t="s">
        <v>1986</v>
      </c>
      <c r="H79" s="56" t="str">
        <f>Table1[[#This Row],[Tabela]]&amp;Table1[[#This Row],[Campo]]</f>
        <v>ENERGY_CERTIFICATE_EST_INPUTSUBCODIGO_POSTAL</v>
      </c>
      <c r="I79" s="2" t="s">
        <v>612</v>
      </c>
      <c r="J79" s="42">
        <f>VLOOKUP(Table1[[#This Row],[Status]],Auxiliar!$B$16:$C$24,2,0)</f>
        <v>1</v>
      </c>
      <c r="K79" s="2" t="s">
        <v>1179</v>
      </c>
      <c r="L79" s="28" t="s">
        <v>1166</v>
      </c>
      <c r="M79" s="20" t="s">
        <v>1175</v>
      </c>
      <c r="N79" s="47">
        <v>45716</v>
      </c>
      <c r="O79" s="20" t="e">
        <f>INDEX(Auxiliar!$D$5:$F$11,MATCH(Table1[[#This Row],[Tipologia_Testes]],Auxiliar!$B$5:$B$11,0),MATCH(Table1[[#This Row],[Complexidade]],Auxiliar!$D$4:$F$4,0))</f>
        <v>#N/A</v>
      </c>
      <c r="P79" s="2"/>
      <c r="Q79" s="2"/>
      <c r="R79" s="151"/>
      <c r="S79" s="151"/>
      <c r="T79" s="151"/>
      <c r="U79" s="151"/>
      <c r="V79" s="151"/>
      <c r="W79" s="2" t="e">
        <f>VLOOKUP(Table1[[#This Row],[Status]],Auxiliar!$B$16:$D$24,3,0)*Table1[[#This Row],[Estimação (horas)]]</f>
        <v>#N/A</v>
      </c>
      <c r="X79" s="165" t="str">
        <f>+VLOOKUP(CONCATENATE(Table1[[#This Row],[Tabela]],Table1[[#This Row],[Campo]]),'2. Status Detalhe Campos FY24'!A:J,9,FALSE)</f>
        <v>Fase I</v>
      </c>
      <c r="Y79" s="491" t="e">
        <f>+VLOOKUP(A79,#REF!,1,FALSE)</f>
        <v>#REF!</v>
      </c>
    </row>
    <row r="80" spans="1:25" ht="17.899999999999999" hidden="1" customHeight="1">
      <c r="A80" t="str">
        <f>+Table1[[#This Row],[Tabela]]&amp;Table1[[#This Row],[Campo]]</f>
        <v>ENERGY_CERTIFICATE_EST_INPUTASSUPERFICIE_UTIL</v>
      </c>
      <c r="B80" s="2" t="s">
        <v>26</v>
      </c>
      <c r="C80" s="2" t="s">
        <v>34</v>
      </c>
      <c r="D80" s="2" t="s">
        <v>1178</v>
      </c>
      <c r="E80" s="2" t="s">
        <v>38</v>
      </c>
      <c r="F80" s="2" t="s">
        <v>37</v>
      </c>
      <c r="G80" s="134" t="s">
        <v>1987</v>
      </c>
      <c r="H80" s="56" t="str">
        <f>Table1[[#This Row],[Tabela]]&amp;Table1[[#This Row],[Campo]]</f>
        <v>ENERGY_CERTIFICATE_EST_INPUTASSUPERFICIE_UTIL</v>
      </c>
      <c r="I80" s="2" t="s">
        <v>612</v>
      </c>
      <c r="J80" s="42">
        <f>VLOOKUP(Table1[[#This Row],[Status]],Auxiliar!$B$16:$C$24,2,0)</f>
        <v>1</v>
      </c>
      <c r="K80" s="2" t="s">
        <v>1179</v>
      </c>
      <c r="L80" s="28" t="s">
        <v>1166</v>
      </c>
      <c r="M80" s="20" t="s">
        <v>1175</v>
      </c>
      <c r="N80" s="47">
        <v>45716</v>
      </c>
      <c r="O80" s="20" t="e">
        <f>INDEX(Auxiliar!$D$5:$F$11,MATCH(Table1[[#This Row],[Tipologia_Testes]],Auxiliar!$B$5:$B$11,0),MATCH(Table1[[#This Row],[Complexidade]],Auxiliar!$D$4:$F$4,0))</f>
        <v>#N/A</v>
      </c>
      <c r="P80" s="2"/>
      <c r="Q80" s="2"/>
      <c r="R80" s="151"/>
      <c r="S80" s="151"/>
      <c r="T80" s="151"/>
      <c r="U80" s="151"/>
      <c r="V80" s="151"/>
      <c r="W80" s="2" t="e">
        <f>VLOOKUP(Table1[[#This Row],[Status]],Auxiliar!$B$16:$D$24,3,0)*Table1[[#This Row],[Estimação (horas)]]</f>
        <v>#N/A</v>
      </c>
      <c r="X80" s="165" t="str">
        <f>+VLOOKUP(CONCATENATE(Table1[[#This Row],[Tabela]],Table1[[#This Row],[Campo]]),'2. Status Detalhe Campos FY24'!A:J,9,FALSE)</f>
        <v>Fase I</v>
      </c>
      <c r="Y80" s="491" t="e">
        <f>+VLOOKUP(A80,#REF!,1,FALSE)</f>
        <v>#REF!</v>
      </c>
    </row>
    <row r="81" spans="1:25" ht="17.899999999999999" hidden="1" customHeight="1">
      <c r="A81" t="str">
        <f>+Table1[[#This Row],[Tabela]]&amp;Table1[[#This Row],[Campo]]</f>
        <v>ENERGY_CERTIFICATE_EST_INPUTANIO_CONSTRUCCION</v>
      </c>
      <c r="B81" s="2" t="s">
        <v>26</v>
      </c>
      <c r="C81" s="2" t="s">
        <v>34</v>
      </c>
      <c r="D81" s="2" t="s">
        <v>1178</v>
      </c>
      <c r="E81" s="2" t="s">
        <v>38</v>
      </c>
      <c r="F81" s="2" t="s">
        <v>37</v>
      </c>
      <c r="G81" s="134" t="s">
        <v>1988</v>
      </c>
      <c r="H81" s="56" t="str">
        <f>Table1[[#This Row],[Tabela]]&amp;Table1[[#This Row],[Campo]]</f>
        <v>ENERGY_CERTIFICATE_EST_INPUTANIO_CONSTRUCCION</v>
      </c>
      <c r="I81" s="2" t="s">
        <v>612</v>
      </c>
      <c r="J81" s="42">
        <f>VLOOKUP(Table1[[#This Row],[Status]],Auxiliar!$B$16:$C$24,2,0)</f>
        <v>1</v>
      </c>
      <c r="K81" s="2" t="s">
        <v>1179</v>
      </c>
      <c r="L81" s="28" t="s">
        <v>1166</v>
      </c>
      <c r="M81" s="20" t="s">
        <v>1175</v>
      </c>
      <c r="N81" s="47">
        <v>45716</v>
      </c>
      <c r="O81" s="20" t="e">
        <f>INDEX(Auxiliar!$D$5:$F$11,MATCH(Table1[[#This Row],[Tipologia_Testes]],Auxiliar!$B$5:$B$11,0),MATCH(Table1[[#This Row],[Complexidade]],Auxiliar!$D$4:$F$4,0))</f>
        <v>#N/A</v>
      </c>
      <c r="P81" s="2"/>
      <c r="Q81" s="2"/>
      <c r="R81" s="151"/>
      <c r="S81" s="151"/>
      <c r="T81" s="151"/>
      <c r="U81" s="151"/>
      <c r="V81" s="151"/>
      <c r="W81" s="2" t="e">
        <f>VLOOKUP(Table1[[#This Row],[Status]],Auxiliar!$B$16:$D$24,3,0)*Table1[[#This Row],[Estimação (horas)]]</f>
        <v>#N/A</v>
      </c>
      <c r="X81" s="165" t="str">
        <f>+VLOOKUP(CONCATENATE(Table1[[#This Row],[Tabela]],Table1[[#This Row],[Campo]]),'2. Status Detalhe Campos FY24'!A:J,9,FALSE)</f>
        <v>Fase I</v>
      </c>
      <c r="Y81" s="491" t="e">
        <f>+VLOOKUP(A81,#REF!,1,FALSE)</f>
        <v>#REF!</v>
      </c>
    </row>
    <row r="82" spans="1:25" ht="17.899999999999999" hidden="1" customHeight="1">
      <c r="A82" t="str">
        <f>+Table1[[#This Row],[Tabela]]&amp;Table1[[#This Row],[Campo]]</f>
        <v>ENERGY_CERTIFICATE_EST_INPUTTIPO_INMUEBLE_HABITACAO</v>
      </c>
      <c r="B82" s="2" t="s">
        <v>26</v>
      </c>
      <c r="C82" s="2" t="s">
        <v>34</v>
      </c>
      <c r="D82" s="2" t="s">
        <v>1178</v>
      </c>
      <c r="E82" s="2" t="s">
        <v>38</v>
      </c>
      <c r="F82" s="2" t="s">
        <v>37</v>
      </c>
      <c r="G82" s="134" t="s">
        <v>1989</v>
      </c>
      <c r="H82" s="56" t="str">
        <f>Table1[[#This Row],[Tabela]]&amp;Table1[[#This Row],[Campo]]</f>
        <v>ENERGY_CERTIFICATE_EST_INPUTTIPO_INMUEBLE_HABITACAO</v>
      </c>
      <c r="I82" s="2" t="s">
        <v>612</v>
      </c>
      <c r="J82" s="42">
        <f>VLOOKUP(Table1[[#This Row],[Status]],Auxiliar!$B$16:$C$24,2,0)</f>
        <v>1</v>
      </c>
      <c r="K82" s="2" t="s">
        <v>1179</v>
      </c>
      <c r="L82" s="28" t="s">
        <v>1166</v>
      </c>
      <c r="M82" s="20" t="s">
        <v>1175</v>
      </c>
      <c r="N82" s="47">
        <v>45716</v>
      </c>
      <c r="O82" s="20" t="e">
        <f>INDEX(Auxiliar!$D$5:$F$11,MATCH(Table1[[#This Row],[Tipologia_Testes]],Auxiliar!$B$5:$B$11,0),MATCH(Table1[[#This Row],[Complexidade]],Auxiliar!$D$4:$F$4,0))</f>
        <v>#N/A</v>
      </c>
      <c r="P82" s="2"/>
      <c r="Q82" s="2"/>
      <c r="R82" s="151"/>
      <c r="S82" s="151"/>
      <c r="T82" s="151"/>
      <c r="U82" s="151"/>
      <c r="V82" s="151"/>
      <c r="W82" s="2" t="e">
        <f>VLOOKUP(Table1[[#This Row],[Status]],Auxiliar!$B$16:$D$24,3,0)*Table1[[#This Row],[Estimação (horas)]]</f>
        <v>#N/A</v>
      </c>
      <c r="X82" s="165" t="str">
        <f>+VLOOKUP(CONCATENATE(Table1[[#This Row],[Tabela]],Table1[[#This Row],[Campo]]),'2. Status Detalhe Campos FY24'!A:J,9,FALSE)</f>
        <v>Fase I</v>
      </c>
      <c r="Y82" s="491" t="e">
        <f>+VLOOKUP(A82,#REF!,1,FALSE)</f>
        <v>#REF!</v>
      </c>
    </row>
    <row r="83" spans="1:25" ht="17.899999999999999" hidden="1" customHeight="1">
      <c r="A83" t="str">
        <f>+Table1[[#This Row],[Tabela]]&amp;Table1[[#This Row],[Campo]]</f>
        <v>ENERGY_CERTIFICATE_EST_INPUTPISO_APARTAMENTO</v>
      </c>
      <c r="B83" s="2" t="s">
        <v>26</v>
      </c>
      <c r="C83" s="2" t="s">
        <v>34</v>
      </c>
      <c r="D83" s="2" t="s">
        <v>1178</v>
      </c>
      <c r="E83" s="2" t="s">
        <v>38</v>
      </c>
      <c r="F83" s="2" t="s">
        <v>37</v>
      </c>
      <c r="G83" s="134" t="s">
        <v>1990</v>
      </c>
      <c r="H83" s="56" t="str">
        <f>Table1[[#This Row],[Tabela]]&amp;Table1[[#This Row],[Campo]]</f>
        <v>ENERGY_CERTIFICATE_EST_INPUTPISO_APARTAMENTO</v>
      </c>
      <c r="I83" s="2" t="s">
        <v>612</v>
      </c>
      <c r="J83" s="42">
        <f>VLOOKUP(Table1[[#This Row],[Status]],Auxiliar!$B$16:$C$24,2,0)</f>
        <v>1</v>
      </c>
      <c r="K83" s="2" t="s">
        <v>1179</v>
      </c>
      <c r="L83" s="28" t="s">
        <v>1166</v>
      </c>
      <c r="M83" s="20" t="s">
        <v>1175</v>
      </c>
      <c r="N83" s="47">
        <v>45716</v>
      </c>
      <c r="O83" s="20" t="e">
        <f>INDEX(Auxiliar!$D$5:$F$11,MATCH(Table1[[#This Row],[Tipologia_Testes]],Auxiliar!$B$5:$B$11,0),MATCH(Table1[[#This Row],[Complexidade]],Auxiliar!$D$4:$F$4,0))</f>
        <v>#N/A</v>
      </c>
      <c r="P83" s="2"/>
      <c r="Q83" s="2"/>
      <c r="R83" s="151"/>
      <c r="S83" s="151"/>
      <c r="T83" s="151"/>
      <c r="U83" s="151"/>
      <c r="V83" s="151"/>
      <c r="W83" s="2" t="e">
        <f>VLOOKUP(Table1[[#This Row],[Status]],Auxiliar!$B$16:$D$24,3,0)*Table1[[#This Row],[Estimação (horas)]]</f>
        <v>#N/A</v>
      </c>
      <c r="X83" s="165" t="str">
        <f>+VLOOKUP(CONCATENATE(Table1[[#This Row],[Tabela]],Table1[[#This Row],[Campo]]),'2. Status Detalhe Campos FY24'!A:J,9,FALSE)</f>
        <v>Fase I</v>
      </c>
      <c r="Y83" s="491" t="e">
        <f>+VLOOKUP(A83,#REF!,1,FALSE)</f>
        <v>#REF!</v>
      </c>
    </row>
    <row r="84" spans="1:25" ht="17.899999999999999" hidden="1" customHeight="1">
      <c r="A84" t="str">
        <f>+Table1[[#This Row],[Tabela]]&amp;Table1[[#This Row],[Campo]]</f>
        <v>ENERGY_CERTIFICATE_EST_INPUTCASA_UNIFAMILIAR</v>
      </c>
      <c r="B84" s="2" t="s">
        <v>26</v>
      </c>
      <c r="C84" s="2" t="s">
        <v>34</v>
      </c>
      <c r="D84" s="2" t="s">
        <v>1178</v>
      </c>
      <c r="E84" s="2" t="s">
        <v>38</v>
      </c>
      <c r="F84" s="2" t="s">
        <v>37</v>
      </c>
      <c r="G84" s="134" t="s">
        <v>1991</v>
      </c>
      <c r="H84" s="56" t="str">
        <f>Table1[[#This Row],[Tabela]]&amp;Table1[[#This Row],[Campo]]</f>
        <v>ENERGY_CERTIFICATE_EST_INPUTCASA_UNIFAMILIAR</v>
      </c>
      <c r="I84" s="2" t="s">
        <v>612</v>
      </c>
      <c r="J84" s="42">
        <f>VLOOKUP(Table1[[#This Row],[Status]],Auxiliar!$B$16:$C$24,2,0)</f>
        <v>1</v>
      </c>
      <c r="K84" s="2" t="s">
        <v>1179</v>
      </c>
      <c r="L84" s="28" t="s">
        <v>1166</v>
      </c>
      <c r="M84" s="20" t="s">
        <v>1175</v>
      </c>
      <c r="N84" s="47">
        <v>45716</v>
      </c>
      <c r="O84" s="20" t="e">
        <f>INDEX(Auxiliar!$D$5:$F$11,MATCH(Table1[[#This Row],[Tipologia_Testes]],Auxiliar!$B$5:$B$11,0),MATCH(Table1[[#This Row],[Complexidade]],Auxiliar!$D$4:$F$4,0))</f>
        <v>#N/A</v>
      </c>
      <c r="P84" s="2"/>
      <c r="Q84" s="2"/>
      <c r="R84" s="151"/>
      <c r="S84" s="151"/>
      <c r="T84" s="151"/>
      <c r="U84" s="151"/>
      <c r="V84" s="151"/>
      <c r="W84" s="2" t="e">
        <f>VLOOKUP(Table1[[#This Row],[Status]],Auxiliar!$B$16:$D$24,3,0)*Table1[[#This Row],[Estimação (horas)]]</f>
        <v>#N/A</v>
      </c>
      <c r="X84" s="165" t="str">
        <f>+VLOOKUP(CONCATENATE(Table1[[#This Row],[Tabela]],Table1[[#This Row],[Campo]]),'2. Status Detalhe Campos FY24'!A:J,9,FALSE)</f>
        <v>Fase I</v>
      </c>
      <c r="Y84" s="491" t="e">
        <f>+VLOOKUP(A84,#REF!,1,FALSE)</f>
        <v>#REF!</v>
      </c>
    </row>
    <row r="85" spans="1:25" ht="17.899999999999999" hidden="1" customHeight="1">
      <c r="A85" t="str">
        <f>+Table1[[#This Row],[Tabela]]&amp;Table1[[#This Row],[Campo]]</f>
        <v>ENERGY_CERTIFICATE_EST_INPUTTIPO_INMUEBLE_COMERCIO_SERVICOS</v>
      </c>
      <c r="B85" s="2" t="s">
        <v>26</v>
      </c>
      <c r="C85" s="2" t="s">
        <v>34</v>
      </c>
      <c r="D85" s="2" t="s">
        <v>1178</v>
      </c>
      <c r="E85" s="2" t="s">
        <v>38</v>
      </c>
      <c r="F85" s="2" t="s">
        <v>37</v>
      </c>
      <c r="G85" s="134" t="s">
        <v>1992</v>
      </c>
      <c r="H85" s="56" t="str">
        <f>Table1[[#This Row],[Tabela]]&amp;Table1[[#This Row],[Campo]]</f>
        <v>ENERGY_CERTIFICATE_EST_INPUTTIPO_INMUEBLE_COMERCIO_SERVICOS</v>
      </c>
      <c r="I85" s="2" t="s">
        <v>612</v>
      </c>
      <c r="J85" s="42">
        <f>VLOOKUP(Table1[[#This Row],[Status]],Auxiliar!$B$16:$C$24,2,0)</f>
        <v>1</v>
      </c>
      <c r="K85" s="2" t="s">
        <v>1179</v>
      </c>
      <c r="L85" s="28" t="s">
        <v>1166</v>
      </c>
      <c r="M85" s="20" t="s">
        <v>1175</v>
      </c>
      <c r="N85" s="47">
        <v>45716</v>
      </c>
      <c r="O85" s="20" t="e">
        <f>INDEX(Auxiliar!$D$5:$F$11,MATCH(Table1[[#This Row],[Tipologia_Testes]],Auxiliar!$B$5:$B$11,0),MATCH(Table1[[#This Row],[Complexidade]],Auxiliar!$D$4:$F$4,0))</f>
        <v>#N/A</v>
      </c>
      <c r="P85" s="2"/>
      <c r="Q85" s="2"/>
      <c r="R85" s="151"/>
      <c r="S85" s="151"/>
      <c r="T85" s="151"/>
      <c r="U85" s="151"/>
      <c r="V85" s="151"/>
      <c r="W85" s="2" t="e">
        <f>VLOOKUP(Table1[[#This Row],[Status]],Auxiliar!$B$16:$D$24,3,0)*Table1[[#This Row],[Estimação (horas)]]</f>
        <v>#N/A</v>
      </c>
      <c r="X85" s="165" t="str">
        <f>+VLOOKUP(CONCATENATE(Table1[[#This Row],[Tabela]],Table1[[#This Row],[Campo]]),'2. Status Detalhe Campos FY24'!A:J,9,FALSE)</f>
        <v>Fase I</v>
      </c>
      <c r="Y85" s="491" t="e">
        <f>+VLOOKUP(A85,#REF!,1,FALSE)</f>
        <v>#REF!</v>
      </c>
    </row>
    <row r="86" spans="1:25" ht="17.899999999999999" hidden="1" customHeight="1">
      <c r="A86" t="str">
        <f>+Table1[[#This Row],[Tabela]]&amp;Table1[[#This Row],[Campo]]</f>
        <v>ENERGY_CERTIFICATE_EST_INPUTNOME_CONSERVATORIA</v>
      </c>
      <c r="B86" s="2" t="s">
        <v>26</v>
      </c>
      <c r="C86" s="2" t="s">
        <v>34</v>
      </c>
      <c r="D86" s="2" t="s">
        <v>1178</v>
      </c>
      <c r="E86" s="2" t="s">
        <v>38</v>
      </c>
      <c r="F86" s="2" t="s">
        <v>37</v>
      </c>
      <c r="G86" s="134" t="s">
        <v>1993</v>
      </c>
      <c r="H86" s="56" t="str">
        <f>Table1[[#This Row],[Tabela]]&amp;Table1[[#This Row],[Campo]]</f>
        <v>ENERGY_CERTIFICATE_EST_INPUTNOME_CONSERVATORIA</v>
      </c>
      <c r="I86" s="2" t="s">
        <v>612</v>
      </c>
      <c r="J86" s="42">
        <f>VLOOKUP(Table1[[#This Row],[Status]],Auxiliar!$B$16:$C$24,2,0)</f>
        <v>1</v>
      </c>
      <c r="K86" s="2" t="s">
        <v>1179</v>
      </c>
      <c r="L86" s="28" t="s">
        <v>1166</v>
      </c>
      <c r="M86" s="20" t="s">
        <v>1175</v>
      </c>
      <c r="N86" s="47">
        <v>45716</v>
      </c>
      <c r="O86" s="20" t="e">
        <f>INDEX(Auxiliar!$D$5:$F$11,MATCH(Table1[[#This Row],[Tipologia_Testes]],Auxiliar!$B$5:$B$11,0),MATCH(Table1[[#This Row],[Complexidade]],Auxiliar!$D$4:$F$4,0))</f>
        <v>#N/A</v>
      </c>
      <c r="P86" s="2"/>
      <c r="Q86" s="2"/>
      <c r="R86" s="151"/>
      <c r="S86" s="151"/>
      <c r="T86" s="151"/>
      <c r="U86" s="151"/>
      <c r="V86" s="151"/>
      <c r="W86" s="2" t="e">
        <f>VLOOKUP(Table1[[#This Row],[Status]],Auxiliar!$B$16:$D$24,3,0)*Table1[[#This Row],[Estimação (horas)]]</f>
        <v>#N/A</v>
      </c>
      <c r="X86" s="165" t="str">
        <f>+VLOOKUP(CONCATENATE(Table1[[#This Row],[Tabela]],Table1[[#This Row],[Campo]]),'2. Status Detalhe Campos FY24'!A:J,9,FALSE)</f>
        <v>Fase I</v>
      </c>
      <c r="Y86" s="491" t="e">
        <f>+VLOOKUP(A86,#REF!,1,FALSE)</f>
        <v>#REF!</v>
      </c>
    </row>
    <row r="87" spans="1:25" ht="17.899999999999999" hidden="1" customHeight="1">
      <c r="A87" t="str">
        <f>+Table1[[#This Row],[Tabela]]&amp;Table1[[#This Row],[Campo]]</f>
        <v>ENERGY_CERTIFICATE_EST_INPUTCOD_CONSERVATORIA</v>
      </c>
      <c r="B87" s="2" t="s">
        <v>26</v>
      </c>
      <c r="C87" s="2" t="s">
        <v>34</v>
      </c>
      <c r="D87" s="2" t="s">
        <v>1178</v>
      </c>
      <c r="E87" s="2" t="s">
        <v>38</v>
      </c>
      <c r="F87" s="2" t="s">
        <v>37</v>
      </c>
      <c r="G87" s="134" t="s">
        <v>1994</v>
      </c>
      <c r="H87" s="56" t="str">
        <f>Table1[[#This Row],[Tabela]]&amp;Table1[[#This Row],[Campo]]</f>
        <v>ENERGY_CERTIFICATE_EST_INPUTCOD_CONSERVATORIA</v>
      </c>
      <c r="I87" s="2" t="s">
        <v>612</v>
      </c>
      <c r="J87" s="42">
        <f>VLOOKUP(Table1[[#This Row],[Status]],Auxiliar!$B$16:$C$24,2,0)</f>
        <v>1</v>
      </c>
      <c r="K87" s="2" t="s">
        <v>1179</v>
      </c>
      <c r="L87" s="28" t="s">
        <v>1166</v>
      </c>
      <c r="M87" s="20" t="s">
        <v>1175</v>
      </c>
      <c r="N87" s="47">
        <v>45716</v>
      </c>
      <c r="O87" s="20" t="e">
        <f>INDEX(Auxiliar!$D$5:$F$11,MATCH(Table1[[#This Row],[Tipologia_Testes]],Auxiliar!$B$5:$B$11,0),MATCH(Table1[[#This Row],[Complexidade]],Auxiliar!$D$4:$F$4,0))</f>
        <v>#N/A</v>
      </c>
      <c r="P87" s="2"/>
      <c r="Q87" s="2"/>
      <c r="R87" s="151"/>
      <c r="S87" s="151"/>
      <c r="T87" s="151"/>
      <c r="U87" s="151"/>
      <c r="V87" s="151"/>
      <c r="W87" s="2" t="e">
        <f>VLOOKUP(Table1[[#This Row],[Status]],Auxiliar!$B$16:$D$24,3,0)*Table1[[#This Row],[Estimação (horas)]]</f>
        <v>#N/A</v>
      </c>
      <c r="X87" s="165" t="str">
        <f>+VLOOKUP(CONCATENATE(Table1[[#This Row],[Tabela]],Table1[[#This Row],[Campo]]),'2. Status Detalhe Campos FY24'!A:J,9,FALSE)</f>
        <v>Fase I</v>
      </c>
      <c r="Y87" s="491" t="e">
        <f>+VLOOKUP(A87,#REF!,1,FALSE)</f>
        <v>#REF!</v>
      </c>
    </row>
    <row r="88" spans="1:25" ht="17.899999999999999" hidden="1" customHeight="1">
      <c r="A88" t="str">
        <f>+Table1[[#This Row],[Tabela]]&amp;Table1[[#This Row],[Campo]]</f>
        <v>ENERGY_CERTIFICATE_EST_INPUTREGISTRO_CONSERVATORIA</v>
      </c>
      <c r="B88" s="2" t="s">
        <v>26</v>
      </c>
      <c r="C88" s="2" t="s">
        <v>34</v>
      </c>
      <c r="D88" s="2" t="s">
        <v>1178</v>
      </c>
      <c r="E88" s="2" t="s">
        <v>38</v>
      </c>
      <c r="F88" s="2" t="s">
        <v>37</v>
      </c>
      <c r="G88" s="134" t="s">
        <v>1995</v>
      </c>
      <c r="H88" s="56" t="str">
        <f>Table1[[#This Row],[Tabela]]&amp;Table1[[#This Row],[Campo]]</f>
        <v>ENERGY_CERTIFICATE_EST_INPUTREGISTRO_CONSERVATORIA</v>
      </c>
      <c r="I88" s="2" t="s">
        <v>612</v>
      </c>
      <c r="J88" s="42">
        <f>VLOOKUP(Table1[[#This Row],[Status]],Auxiliar!$B$16:$C$24,2,0)</f>
        <v>1</v>
      </c>
      <c r="K88" s="2" t="s">
        <v>1179</v>
      </c>
      <c r="L88" s="28" t="s">
        <v>1166</v>
      </c>
      <c r="M88" s="20" t="s">
        <v>1175</v>
      </c>
      <c r="N88" s="47">
        <v>45716</v>
      </c>
      <c r="O88" s="20" t="e">
        <f>INDEX(Auxiliar!$D$5:$F$11,MATCH(Table1[[#This Row],[Tipologia_Testes]],Auxiliar!$B$5:$B$11,0),MATCH(Table1[[#This Row],[Complexidade]],Auxiliar!$D$4:$F$4,0))</f>
        <v>#N/A</v>
      </c>
      <c r="P88" s="2"/>
      <c r="Q88" s="2"/>
      <c r="R88" s="151"/>
      <c r="S88" s="151"/>
      <c r="T88" s="151"/>
      <c r="U88" s="151"/>
      <c r="V88" s="151"/>
      <c r="W88" s="2" t="e">
        <f>VLOOKUP(Table1[[#This Row],[Status]],Auxiliar!$B$16:$D$24,3,0)*Table1[[#This Row],[Estimação (horas)]]</f>
        <v>#N/A</v>
      </c>
      <c r="X88" s="165" t="str">
        <f>+VLOOKUP(CONCATENATE(Table1[[#This Row],[Tabela]],Table1[[#This Row],[Campo]]),'2. Status Detalhe Campos FY24'!A:J,9,FALSE)</f>
        <v>Fase I</v>
      </c>
      <c r="Y88" s="491" t="e">
        <f>+VLOOKUP(A88,#REF!,1,FALSE)</f>
        <v>#REF!</v>
      </c>
    </row>
    <row r="89" spans="1:25" ht="17.899999999999999" hidden="1" customHeight="1">
      <c r="A89" t="str">
        <f>+Table1[[#This Row],[Tabela]]&amp;Table1[[#This Row],[Campo]]</f>
        <v>ENERGY_CERTIFICATE_EST_INPUTART_MATRICIAIS</v>
      </c>
      <c r="B89" s="2" t="s">
        <v>26</v>
      </c>
      <c r="C89" s="2" t="s">
        <v>34</v>
      </c>
      <c r="D89" s="2" t="s">
        <v>1178</v>
      </c>
      <c r="E89" s="2" t="s">
        <v>38</v>
      </c>
      <c r="F89" s="2" t="s">
        <v>37</v>
      </c>
      <c r="G89" s="134" t="s">
        <v>1996</v>
      </c>
      <c r="H89" s="56" t="str">
        <f>Table1[[#This Row],[Tabela]]&amp;Table1[[#This Row],[Campo]]</f>
        <v>ENERGY_CERTIFICATE_EST_INPUTART_MATRICIAIS</v>
      </c>
      <c r="I89" s="2" t="s">
        <v>612</v>
      </c>
      <c r="J89" s="42">
        <f>VLOOKUP(Table1[[#This Row],[Status]],Auxiliar!$B$16:$C$24,2,0)</f>
        <v>1</v>
      </c>
      <c r="K89" s="2" t="s">
        <v>1179</v>
      </c>
      <c r="L89" s="28" t="s">
        <v>1166</v>
      </c>
      <c r="M89" s="20" t="s">
        <v>1175</v>
      </c>
      <c r="N89" s="47">
        <v>45716</v>
      </c>
      <c r="O89" s="20" t="e">
        <f>INDEX(Auxiliar!$D$5:$F$11,MATCH(Table1[[#This Row],[Tipologia_Testes]],Auxiliar!$B$5:$B$11,0),MATCH(Table1[[#This Row],[Complexidade]],Auxiliar!$D$4:$F$4,0))</f>
        <v>#N/A</v>
      </c>
      <c r="P89" s="2"/>
      <c r="Q89" s="2"/>
      <c r="R89" s="151"/>
      <c r="S89" s="151"/>
      <c r="T89" s="151"/>
      <c r="U89" s="151"/>
      <c r="V89" s="151"/>
      <c r="W89" s="2" t="e">
        <f>VLOOKUP(Table1[[#This Row],[Status]],Auxiliar!$B$16:$D$24,3,0)*Table1[[#This Row],[Estimação (horas)]]</f>
        <v>#N/A</v>
      </c>
      <c r="X89" s="165" t="str">
        <f>+VLOOKUP(CONCATENATE(Table1[[#This Row],[Tabela]],Table1[[#This Row],[Campo]]),'2. Status Detalhe Campos FY24'!A:J,9,FALSE)</f>
        <v>Fase I</v>
      </c>
      <c r="Y89" s="491" t="e">
        <f>+VLOOKUP(A89,#REF!,1,FALSE)</f>
        <v>#REF!</v>
      </c>
    </row>
    <row r="90" spans="1:25" ht="17.899999999999999" hidden="1" customHeight="1">
      <c r="A90" t="str">
        <f>+Table1[[#This Row],[Tabela]]&amp;Table1[[#This Row],[Campo]]</f>
        <v>ENERGY_CERTIFICATE_EST_INPUTFRACCAO_AUTONOMA</v>
      </c>
      <c r="B90" s="2" t="s">
        <v>26</v>
      </c>
      <c r="C90" s="2" t="s">
        <v>34</v>
      </c>
      <c r="D90" s="2" t="s">
        <v>1178</v>
      </c>
      <c r="E90" s="2" t="s">
        <v>38</v>
      </c>
      <c r="F90" s="2" t="s">
        <v>37</v>
      </c>
      <c r="G90" s="134" t="s">
        <v>1997</v>
      </c>
      <c r="H90" s="56" t="str">
        <f>Table1[[#This Row],[Tabela]]&amp;Table1[[#This Row],[Campo]]</f>
        <v>ENERGY_CERTIFICATE_EST_INPUTFRACCAO_AUTONOMA</v>
      </c>
      <c r="I90" s="2" t="s">
        <v>612</v>
      </c>
      <c r="J90" s="42">
        <f>VLOOKUP(Table1[[#This Row],[Status]],Auxiliar!$B$16:$C$24,2,0)</f>
        <v>1</v>
      </c>
      <c r="K90" s="2" t="s">
        <v>1179</v>
      </c>
      <c r="L90" s="28" t="s">
        <v>1166</v>
      </c>
      <c r="M90" s="20" t="s">
        <v>1175</v>
      </c>
      <c r="N90" s="47">
        <v>45716</v>
      </c>
      <c r="O90" s="20" t="e">
        <f>INDEX(Auxiliar!$D$5:$F$11,MATCH(Table1[[#This Row],[Tipologia_Testes]],Auxiliar!$B$5:$B$11,0),MATCH(Table1[[#This Row],[Complexidade]],Auxiliar!$D$4:$F$4,0))</f>
        <v>#N/A</v>
      </c>
      <c r="P90" s="2"/>
      <c r="Q90" s="2"/>
      <c r="R90" s="151"/>
      <c r="S90" s="151"/>
      <c r="T90" s="151"/>
      <c r="U90" s="151"/>
      <c r="V90" s="151"/>
      <c r="W90" s="2" t="e">
        <f>VLOOKUP(Table1[[#This Row],[Status]],Auxiliar!$B$16:$D$24,3,0)*Table1[[#This Row],[Estimação (horas)]]</f>
        <v>#N/A</v>
      </c>
      <c r="X90" s="165" t="str">
        <f>+VLOOKUP(CONCATENATE(Table1[[#This Row],[Tabela]],Table1[[#This Row],[Campo]]),'2. Status Detalhe Campos FY24'!A:J,9,FALSE)</f>
        <v>Fase I</v>
      </c>
      <c r="Y90" s="491" t="e">
        <f>+VLOOKUP(A90,#REF!,1,FALSE)</f>
        <v>#REF!</v>
      </c>
    </row>
    <row r="91" spans="1:25" ht="17.899999999999999" hidden="1" customHeight="1">
      <c r="A91" t="str">
        <f>+Table1[[#This Row],[Tabela]]&amp;Table1[[#This Row],[Campo]]</f>
        <v>ENERGY_CERTIFICATE_EST_INPUTFINALIDADE_BEM</v>
      </c>
      <c r="B91" s="2" t="s">
        <v>26</v>
      </c>
      <c r="C91" s="2" t="s">
        <v>34</v>
      </c>
      <c r="D91" s="2" t="s">
        <v>1178</v>
      </c>
      <c r="E91" s="2" t="s">
        <v>38</v>
      </c>
      <c r="F91" s="2" t="s">
        <v>37</v>
      </c>
      <c r="G91" s="134" t="s">
        <v>1998</v>
      </c>
      <c r="H91" s="56" t="str">
        <f>Table1[[#This Row],[Tabela]]&amp;Table1[[#This Row],[Campo]]</f>
        <v>ENERGY_CERTIFICATE_EST_INPUTFINALIDADE_BEM</v>
      </c>
      <c r="I91" s="2" t="s">
        <v>612</v>
      </c>
      <c r="J91" s="42">
        <f>VLOOKUP(Table1[[#This Row],[Status]],Auxiliar!$B$16:$C$24,2,0)</f>
        <v>1</v>
      </c>
      <c r="K91" s="2" t="s">
        <v>1179</v>
      </c>
      <c r="L91" s="28" t="s">
        <v>1166</v>
      </c>
      <c r="M91" s="20" t="s">
        <v>1175</v>
      </c>
      <c r="N91" s="47">
        <v>45716</v>
      </c>
      <c r="O91" s="20" t="e">
        <f>INDEX(Auxiliar!$D$5:$F$11,MATCH(Table1[[#This Row],[Tipologia_Testes]],Auxiliar!$B$5:$B$11,0),MATCH(Table1[[#This Row],[Complexidade]],Auxiliar!$D$4:$F$4,0))</f>
        <v>#N/A</v>
      </c>
      <c r="P91" s="2"/>
      <c r="Q91" s="2"/>
      <c r="R91" s="151"/>
      <c r="S91" s="151"/>
      <c r="T91" s="151"/>
      <c r="U91" s="151"/>
      <c r="V91" s="151"/>
      <c r="W91" s="2" t="e">
        <f>VLOOKUP(Table1[[#This Row],[Status]],Auxiliar!$B$16:$D$24,3,0)*Table1[[#This Row],[Estimação (horas)]]</f>
        <v>#N/A</v>
      </c>
      <c r="X91" s="165" t="str">
        <f>+VLOOKUP(CONCATENATE(Table1[[#This Row],[Tabela]],Table1[[#This Row],[Campo]]),'2. Status Detalhe Campos FY24'!A:J,9,FALSE)</f>
        <v>Fase I</v>
      </c>
      <c r="Y91" s="491" t="e">
        <f>+VLOOKUP(A91,#REF!,1,FALSE)</f>
        <v>#REF!</v>
      </c>
    </row>
    <row r="92" spans="1:25" ht="17.899999999999999" hidden="1" customHeight="1">
      <c r="A92" t="str">
        <f>+Table1[[#This Row],[Tabela]]&amp;Table1[[#This Row],[Campo]]</f>
        <v>ENERGY_CERTIFICATE_EST_INPUTCLASS_GPT31</v>
      </c>
      <c r="B92" s="2" t="s">
        <v>26</v>
      </c>
      <c r="C92" s="2" t="s">
        <v>34</v>
      </c>
      <c r="D92" s="2" t="s">
        <v>1178</v>
      </c>
      <c r="E92" s="2" t="s">
        <v>38</v>
      </c>
      <c r="F92" s="2" t="s">
        <v>37</v>
      </c>
      <c r="G92" s="134" t="s">
        <v>1999</v>
      </c>
      <c r="H92" s="56" t="str">
        <f>Table1[[#This Row],[Tabela]]&amp;Table1[[#This Row],[Campo]]</f>
        <v>ENERGY_CERTIFICATE_EST_INPUTCLASS_GPT31</v>
      </c>
      <c r="I92" s="2" t="s">
        <v>612</v>
      </c>
      <c r="J92" s="42">
        <f>VLOOKUP(Table1[[#This Row],[Status]],Auxiliar!$B$16:$C$24,2,0)</f>
        <v>1</v>
      </c>
      <c r="K92" s="2" t="s">
        <v>1179</v>
      </c>
      <c r="L92" s="28" t="s">
        <v>1166</v>
      </c>
      <c r="M92" s="20" t="s">
        <v>1175</v>
      </c>
      <c r="N92" s="47">
        <v>45716</v>
      </c>
      <c r="O92" s="20" t="e">
        <f>INDEX(Auxiliar!$D$5:$F$11,MATCH(Table1[[#This Row],[Tipologia_Testes]],Auxiliar!$B$5:$B$11,0),MATCH(Table1[[#This Row],[Complexidade]],Auxiliar!$D$4:$F$4,0))</f>
        <v>#N/A</v>
      </c>
      <c r="P92" s="2"/>
      <c r="Q92" s="2"/>
      <c r="R92" s="151"/>
      <c r="S92" s="151"/>
      <c r="T92" s="151"/>
      <c r="U92" s="151"/>
      <c r="V92" s="151"/>
      <c r="W92" s="2" t="e">
        <f>VLOOKUP(Table1[[#This Row],[Status]],Auxiliar!$B$16:$D$24,3,0)*Table1[[#This Row],[Estimação (horas)]]</f>
        <v>#N/A</v>
      </c>
      <c r="X92" s="165" t="str">
        <f>+VLOOKUP(CONCATENATE(Table1[[#This Row],[Tabela]],Table1[[#This Row],[Campo]]),'2. Status Detalhe Campos FY24'!A:J,9,FALSE)</f>
        <v>Fase I</v>
      </c>
      <c r="Y92" s="491" t="e">
        <f>+VLOOKUP(A92,#REF!,1,FALSE)</f>
        <v>#REF!</v>
      </c>
    </row>
    <row r="93" spans="1:25" ht="17.899999999999999" hidden="1" customHeight="1">
      <c r="A93" t="str">
        <f>+Table1[[#This Row],[Tabela]]&amp;Table1[[#This Row],[Campo]]</f>
        <v>ENERGY_CERTIFICATE_EST_INPUTCLASS_STCLIM</v>
      </c>
      <c r="B93" s="2" t="s">
        <v>26</v>
      </c>
      <c r="C93" s="2" t="s">
        <v>34</v>
      </c>
      <c r="D93" s="2" t="s">
        <v>1178</v>
      </c>
      <c r="E93" s="2" t="s">
        <v>38</v>
      </c>
      <c r="F93" s="2" t="s">
        <v>37</v>
      </c>
      <c r="G93" s="134" t="s">
        <v>2000</v>
      </c>
      <c r="H93" s="56" t="str">
        <f>Table1[[#This Row],[Tabela]]&amp;Table1[[#This Row],[Campo]]</f>
        <v>ENERGY_CERTIFICATE_EST_INPUTCLASS_STCLIM</v>
      </c>
      <c r="I93" s="2" t="s">
        <v>612</v>
      </c>
      <c r="J93" s="42">
        <f>VLOOKUP(Table1[[#This Row],[Status]],Auxiliar!$B$16:$C$24,2,0)</f>
        <v>1</v>
      </c>
      <c r="K93" s="2" t="s">
        <v>1179</v>
      </c>
      <c r="L93" s="28" t="s">
        <v>1166</v>
      </c>
      <c r="M93" s="20" t="s">
        <v>1175</v>
      </c>
      <c r="N93" s="47">
        <v>45716</v>
      </c>
      <c r="O93" s="20" t="e">
        <f>INDEX(Auxiliar!$D$5:$F$11,MATCH(Table1[[#This Row],[Tipologia_Testes]],Auxiliar!$B$5:$B$11,0),MATCH(Table1[[#This Row],[Complexidade]],Auxiliar!$D$4:$F$4,0))</f>
        <v>#N/A</v>
      </c>
      <c r="P93" s="2"/>
      <c r="Q93" s="2"/>
      <c r="R93" s="151"/>
      <c r="S93" s="151"/>
      <c r="T93" s="151"/>
      <c r="U93" s="151"/>
      <c r="V93" s="151"/>
      <c r="W93" s="2" t="e">
        <f>VLOOKUP(Table1[[#This Row],[Status]],Auxiliar!$B$16:$D$24,3,0)*Table1[[#This Row],[Estimação (horas)]]</f>
        <v>#N/A</v>
      </c>
      <c r="X93" s="165" t="str">
        <f>+VLOOKUP(CONCATENATE(Table1[[#This Row],[Tabela]],Table1[[#This Row],[Campo]]),'2. Status Detalhe Campos FY24'!A:J,9,FALSE)</f>
        <v>Fase I</v>
      </c>
      <c r="Y93" s="491" t="e">
        <f>+VLOOKUP(A93,#REF!,1,FALSE)</f>
        <v>#REF!</v>
      </c>
    </row>
    <row r="94" spans="1:25" ht="17.899999999999999" hidden="1" customHeight="1">
      <c r="A94" t="str">
        <f>+Table1[[#This Row],[Tabela]]&amp;Table1[[#This Row],[Campo]]</f>
        <v>ENERGY_CERTIFICATE_EST_INPUTCONF_STCLIM</v>
      </c>
      <c r="B94" s="2" t="s">
        <v>26</v>
      </c>
      <c r="C94" s="2" t="s">
        <v>34</v>
      </c>
      <c r="D94" s="2" t="s">
        <v>1178</v>
      </c>
      <c r="E94" s="2" t="s">
        <v>38</v>
      </c>
      <c r="F94" s="2" t="s">
        <v>37</v>
      </c>
      <c r="G94" s="134" t="s">
        <v>2001</v>
      </c>
      <c r="H94" s="56" t="str">
        <f>Table1[[#This Row],[Tabela]]&amp;Table1[[#This Row],[Campo]]</f>
        <v>ENERGY_CERTIFICATE_EST_INPUTCONF_STCLIM</v>
      </c>
      <c r="I94" s="2" t="s">
        <v>612</v>
      </c>
      <c r="J94" s="42">
        <f>VLOOKUP(Table1[[#This Row],[Status]],Auxiliar!$B$16:$C$24,2,0)</f>
        <v>1</v>
      </c>
      <c r="K94" s="2" t="s">
        <v>1179</v>
      </c>
      <c r="L94" s="28" t="s">
        <v>1166</v>
      </c>
      <c r="M94" s="20" t="s">
        <v>1175</v>
      </c>
      <c r="N94" s="47">
        <v>45716</v>
      </c>
      <c r="O94" s="20" t="e">
        <f>INDEX(Auxiliar!$D$5:$F$11,MATCH(Table1[[#This Row],[Tipologia_Testes]],Auxiliar!$B$5:$B$11,0),MATCH(Table1[[#This Row],[Complexidade]],Auxiliar!$D$4:$F$4,0))</f>
        <v>#N/A</v>
      </c>
      <c r="P94" s="2"/>
      <c r="Q94" s="2"/>
      <c r="R94" s="151"/>
      <c r="S94" s="151"/>
      <c r="T94" s="151"/>
      <c r="U94" s="151"/>
      <c r="V94" s="151"/>
      <c r="W94" s="2" t="e">
        <f>VLOOKUP(Table1[[#This Row],[Status]],Auxiliar!$B$16:$D$24,3,0)*Table1[[#This Row],[Estimação (horas)]]</f>
        <v>#N/A</v>
      </c>
      <c r="X94" s="165" t="str">
        <f>+VLOOKUP(CONCATENATE(Table1[[#This Row],[Tabela]],Table1[[#This Row],[Campo]]),'2. Status Detalhe Campos FY24'!A:J,9,FALSE)</f>
        <v>Fase I</v>
      </c>
      <c r="Y94" s="491" t="e">
        <f>+VLOOKUP(A94,#REF!,1,FALSE)</f>
        <v>#REF!</v>
      </c>
    </row>
    <row r="95" spans="1:25" ht="17.899999999999999" hidden="1" customHeight="1">
      <c r="A95" t="str">
        <f>+Table1[[#This Row],[Tabela]]&amp;Table1[[#This Row],[Campo]]</f>
        <v>ENERGY_CERTIFICATE_EST_INPUTCLASSE_ENERGETICA</v>
      </c>
      <c r="B95" s="2" t="s">
        <v>26</v>
      </c>
      <c r="C95" s="2" t="s">
        <v>34</v>
      </c>
      <c r="D95" s="2" t="s">
        <v>1178</v>
      </c>
      <c r="E95" s="2" t="s">
        <v>38</v>
      </c>
      <c r="F95" s="2" t="s">
        <v>37</v>
      </c>
      <c r="G95" s="134" t="s">
        <v>2002</v>
      </c>
      <c r="H95" s="56" t="str">
        <f>Table1[[#This Row],[Tabela]]&amp;Table1[[#This Row],[Campo]]</f>
        <v>ENERGY_CERTIFICATE_EST_INPUTCLASSE_ENERGETICA</v>
      </c>
      <c r="I95" s="2" t="s">
        <v>612</v>
      </c>
      <c r="J95" s="42">
        <f>VLOOKUP(Table1[[#This Row],[Status]],Auxiliar!$B$16:$C$24,2,0)</f>
        <v>1</v>
      </c>
      <c r="K95" s="2" t="s">
        <v>1179</v>
      </c>
      <c r="L95" s="28" t="s">
        <v>1166</v>
      </c>
      <c r="M95" s="20" t="s">
        <v>1175</v>
      </c>
      <c r="N95" s="47">
        <v>45716</v>
      </c>
      <c r="O95" s="20" t="e">
        <f>INDEX(Auxiliar!$D$5:$F$11,MATCH(Table1[[#This Row],[Tipologia_Testes]],Auxiliar!$B$5:$B$11,0),MATCH(Table1[[#This Row],[Complexidade]],Auxiliar!$D$4:$F$4,0))</f>
        <v>#N/A</v>
      </c>
      <c r="P95" s="2"/>
      <c r="Q95" s="2"/>
      <c r="R95" s="151"/>
      <c r="S95" s="151"/>
      <c r="T95" s="151"/>
      <c r="U95" s="151"/>
      <c r="V95" s="151"/>
      <c r="W95" s="2" t="e">
        <f>VLOOKUP(Table1[[#This Row],[Status]],Auxiliar!$B$16:$D$24,3,0)*Table1[[#This Row],[Estimação (horas)]]</f>
        <v>#N/A</v>
      </c>
      <c r="X95" s="165" t="str">
        <f>+VLOOKUP(CONCATENATE(Table1[[#This Row],[Tabela]],Table1[[#This Row],[Campo]]),'2. Status Detalhe Campos FY24'!A:J,9,FALSE)</f>
        <v>Fase I</v>
      </c>
      <c r="Y95" s="491" t="e">
        <f>+VLOOKUP(A95,#REF!,1,FALSE)</f>
        <v>#REF!</v>
      </c>
    </row>
    <row r="96" spans="1:25" ht="17.899999999999999" hidden="1" customHeight="1">
      <c r="A96" t="str">
        <f>+Table1[[#This Row],[Tabela]]&amp;Table1[[#This Row],[Campo]]</f>
        <v>ENERGY_CERTIFICATE_EST_INPUTFIABILIDAD</v>
      </c>
      <c r="B96" s="2" t="s">
        <v>26</v>
      </c>
      <c r="C96" s="2" t="s">
        <v>34</v>
      </c>
      <c r="D96" s="2" t="s">
        <v>1178</v>
      </c>
      <c r="E96" s="2" t="s">
        <v>38</v>
      </c>
      <c r="F96" s="2" t="s">
        <v>37</v>
      </c>
      <c r="G96" s="134" t="s">
        <v>2003</v>
      </c>
      <c r="H96" s="56" t="str">
        <f>Table1[[#This Row],[Tabela]]&amp;Table1[[#This Row],[Campo]]</f>
        <v>ENERGY_CERTIFICATE_EST_INPUTFIABILIDAD</v>
      </c>
      <c r="I96" s="2" t="s">
        <v>612</v>
      </c>
      <c r="J96" s="42">
        <f>VLOOKUP(Table1[[#This Row],[Status]],Auxiliar!$B$16:$C$24,2,0)</f>
        <v>1</v>
      </c>
      <c r="K96" s="2" t="s">
        <v>1179</v>
      </c>
      <c r="L96" s="28" t="s">
        <v>1166</v>
      </c>
      <c r="M96" s="20" t="s">
        <v>1175</v>
      </c>
      <c r="N96" s="47">
        <v>45716</v>
      </c>
      <c r="O96" s="20" t="e">
        <f>INDEX(Auxiliar!$D$5:$F$11,MATCH(Table1[[#This Row],[Tipologia_Testes]],Auxiliar!$B$5:$B$11,0),MATCH(Table1[[#This Row],[Complexidade]],Auxiliar!$D$4:$F$4,0))</f>
        <v>#N/A</v>
      </c>
      <c r="P96" s="2"/>
      <c r="Q96" s="2"/>
      <c r="R96" s="151"/>
      <c r="S96" s="151"/>
      <c r="T96" s="151"/>
      <c r="U96" s="151"/>
      <c r="V96" s="151"/>
      <c r="W96" s="2" t="e">
        <f>VLOOKUP(Table1[[#This Row],[Status]],Auxiliar!$B$16:$D$24,3,0)*Table1[[#This Row],[Estimação (horas)]]</f>
        <v>#N/A</v>
      </c>
      <c r="X96" s="165" t="str">
        <f>+VLOOKUP(CONCATENATE(Table1[[#This Row],[Tabela]],Table1[[#This Row],[Campo]]),'2. Status Detalhe Campos FY24'!A:J,9,FALSE)</f>
        <v>Fase I</v>
      </c>
      <c r="Y96" s="491" t="e">
        <f>+VLOOKUP(A96,#REF!,1,FALSE)</f>
        <v>#REF!</v>
      </c>
    </row>
    <row r="97" spans="1:25" ht="17.899999999999999" hidden="1" customHeight="1">
      <c r="A97" t="str">
        <f>+Table1[[#This Row],[Tabela]]&amp;Table1[[#This Row],[Campo]]</f>
        <v>ENERGY_CERTIFICATE_EST_INPUTEMISSIONES</v>
      </c>
      <c r="B97" s="2" t="s">
        <v>26</v>
      </c>
      <c r="C97" s="2" t="s">
        <v>34</v>
      </c>
      <c r="D97" s="2" t="s">
        <v>1178</v>
      </c>
      <c r="E97" s="2" t="s">
        <v>38</v>
      </c>
      <c r="F97" s="2" t="s">
        <v>37</v>
      </c>
      <c r="G97" s="134" t="s">
        <v>2004</v>
      </c>
      <c r="H97" s="56" t="str">
        <f>Table1[[#This Row],[Tabela]]&amp;Table1[[#This Row],[Campo]]</f>
        <v>ENERGY_CERTIFICATE_EST_INPUTEMISSIONES</v>
      </c>
      <c r="I97" s="2" t="s">
        <v>612</v>
      </c>
      <c r="J97" s="42">
        <f>VLOOKUP(Table1[[#This Row],[Status]],Auxiliar!$B$16:$C$24,2,0)</f>
        <v>1</v>
      </c>
      <c r="K97" s="2" t="s">
        <v>1179</v>
      </c>
      <c r="L97" s="28" t="s">
        <v>1166</v>
      </c>
      <c r="M97" s="20" t="s">
        <v>1175</v>
      </c>
      <c r="N97" s="47">
        <v>45716</v>
      </c>
      <c r="O97" s="20" t="e">
        <f>INDEX(Auxiliar!$D$5:$F$11,MATCH(Table1[[#This Row],[Tipologia_Testes]],Auxiliar!$B$5:$B$11,0),MATCH(Table1[[#This Row],[Complexidade]],Auxiliar!$D$4:$F$4,0))</f>
        <v>#N/A</v>
      </c>
      <c r="P97" s="2"/>
      <c r="Q97" s="2"/>
      <c r="R97" s="151"/>
      <c r="S97" s="151"/>
      <c r="T97" s="151"/>
      <c r="U97" s="151"/>
      <c r="V97" s="151"/>
      <c r="W97" s="2" t="e">
        <f>VLOOKUP(Table1[[#This Row],[Status]],Auxiliar!$B$16:$D$24,3,0)*Table1[[#This Row],[Estimação (horas)]]</f>
        <v>#N/A</v>
      </c>
      <c r="X97" s="165" t="str">
        <f>+VLOOKUP(CONCATENATE(Table1[[#This Row],[Tabela]],Table1[[#This Row],[Campo]]),'2. Status Detalhe Campos FY24'!A:J,9,FALSE)</f>
        <v>Fase I</v>
      </c>
      <c r="Y97" s="491" t="e">
        <f>+VLOOKUP(A97,#REF!,1,FALSE)</f>
        <v>#REF!</v>
      </c>
    </row>
    <row r="98" spans="1:25" ht="17.899999999999999" hidden="1" customHeight="1">
      <c r="A98" t="str">
        <f>+Table1[[#This Row],[Tabela]]&amp;Table1[[#This Row],[Campo]]</f>
        <v>ENERGY_CERTIFICATE_EST_INPUTCONSUMOS</v>
      </c>
      <c r="B98" s="2" t="s">
        <v>26</v>
      </c>
      <c r="C98" s="2" t="s">
        <v>34</v>
      </c>
      <c r="D98" s="2" t="s">
        <v>1178</v>
      </c>
      <c r="E98" s="2" t="s">
        <v>38</v>
      </c>
      <c r="F98" s="2" t="s">
        <v>37</v>
      </c>
      <c r="G98" s="134" t="s">
        <v>2005</v>
      </c>
      <c r="H98" s="56" t="str">
        <f>Table1[[#This Row],[Tabela]]&amp;Table1[[#This Row],[Campo]]</f>
        <v>ENERGY_CERTIFICATE_EST_INPUTCONSUMOS</v>
      </c>
      <c r="I98" s="2" t="s">
        <v>612</v>
      </c>
      <c r="J98" s="42">
        <f>VLOOKUP(Table1[[#This Row],[Status]],Auxiliar!$B$16:$C$24,2,0)</f>
        <v>1</v>
      </c>
      <c r="K98" s="2" t="s">
        <v>1179</v>
      </c>
      <c r="L98" s="28" t="s">
        <v>1166</v>
      </c>
      <c r="M98" s="20" t="s">
        <v>1175</v>
      </c>
      <c r="N98" s="47">
        <v>45716</v>
      </c>
      <c r="O98" s="20" t="e">
        <f>INDEX(Auxiliar!$D$5:$F$11,MATCH(Table1[[#This Row],[Tipologia_Testes]],Auxiliar!$B$5:$B$11,0),MATCH(Table1[[#This Row],[Complexidade]],Auxiliar!$D$4:$F$4,0))</f>
        <v>#N/A</v>
      </c>
      <c r="P98" s="2"/>
      <c r="Q98" s="2"/>
      <c r="R98" s="151"/>
      <c r="S98" s="151"/>
      <c r="T98" s="151"/>
      <c r="U98" s="151"/>
      <c r="V98" s="151"/>
      <c r="W98" s="2" t="e">
        <f>VLOOKUP(Table1[[#This Row],[Status]],Auxiliar!$B$16:$D$24,3,0)*Table1[[#This Row],[Estimação (horas)]]</f>
        <v>#N/A</v>
      </c>
      <c r="X98" s="165" t="str">
        <f>+VLOOKUP(CONCATENATE(Table1[[#This Row],[Tabela]],Table1[[#This Row],[Campo]]),'2. Status Detalhe Campos FY24'!A:J,9,FALSE)</f>
        <v>Fase I</v>
      </c>
      <c r="Y98" s="491" t="e">
        <f>+VLOOKUP(A98,#REF!,1,FALSE)</f>
        <v>#REF!</v>
      </c>
    </row>
    <row r="99" spans="1:25" ht="17.899999999999999" hidden="1" customHeight="1">
      <c r="A99" t="str">
        <f>+Table1[[#This Row],[Tabela]]&amp;Table1[[#This Row],[Campo]]</f>
        <v>ENERGY_CERTIFICATE_EST_INPUTDATA_ENVIO</v>
      </c>
      <c r="B99" s="2" t="s">
        <v>26</v>
      </c>
      <c r="C99" s="2" t="s">
        <v>34</v>
      </c>
      <c r="D99" s="2" t="s">
        <v>1178</v>
      </c>
      <c r="E99" s="2" t="s">
        <v>38</v>
      </c>
      <c r="F99" s="2" t="s">
        <v>37</v>
      </c>
      <c r="G99" s="134" t="s">
        <v>2006</v>
      </c>
      <c r="H99" s="56" t="str">
        <f>Table1[[#This Row],[Tabela]]&amp;Table1[[#This Row],[Campo]]</f>
        <v>ENERGY_CERTIFICATE_EST_INPUTDATA_ENVIO</v>
      </c>
      <c r="I99" s="2" t="s">
        <v>612</v>
      </c>
      <c r="J99" s="42">
        <f>VLOOKUP(Table1[[#This Row],[Status]],Auxiliar!$B$16:$C$24,2,0)</f>
        <v>1</v>
      </c>
      <c r="K99" s="2" t="s">
        <v>1179</v>
      </c>
      <c r="L99" s="28" t="s">
        <v>1166</v>
      </c>
      <c r="M99" s="20" t="s">
        <v>1175</v>
      </c>
      <c r="N99" s="47">
        <v>45716</v>
      </c>
      <c r="O99" s="20" t="e">
        <f>INDEX(Auxiliar!$D$5:$F$11,MATCH(Table1[[#This Row],[Tipologia_Testes]],Auxiliar!$B$5:$B$11,0),MATCH(Table1[[#This Row],[Complexidade]],Auxiliar!$D$4:$F$4,0))</f>
        <v>#N/A</v>
      </c>
      <c r="P99" s="2"/>
      <c r="Q99" s="2"/>
      <c r="R99" s="151"/>
      <c r="S99" s="151"/>
      <c r="T99" s="151"/>
      <c r="U99" s="151"/>
      <c r="V99" s="151"/>
      <c r="W99" s="2" t="e">
        <f>VLOOKUP(Table1[[#This Row],[Status]],Auxiliar!$B$16:$D$24,3,0)*Table1[[#This Row],[Estimação (horas)]]</f>
        <v>#N/A</v>
      </c>
      <c r="X99" s="165" t="str">
        <f>+VLOOKUP(CONCATENATE(Table1[[#This Row],[Tabela]],Table1[[#This Row],[Campo]]),'2. Status Detalhe Campos FY24'!A:J,9,FALSE)</f>
        <v>Fase I</v>
      </c>
      <c r="Y99" s="491" t="e">
        <f>+VLOOKUP(A99,#REF!,1,FALSE)</f>
        <v>#REF!</v>
      </c>
    </row>
    <row r="100" spans="1:25" ht="87" hidden="1" customHeight="1">
      <c r="A100" t="str">
        <f>+Table1[[#This Row],[Tabela]]&amp;Table1[[#This Row],[Campo]]</f>
        <v>PROPERTYn.a.</v>
      </c>
      <c r="B100" s="2" t="s">
        <v>26</v>
      </c>
      <c r="C100" s="2" t="s">
        <v>54</v>
      </c>
      <c r="D100" s="2" t="s">
        <v>95</v>
      </c>
      <c r="E100" s="2" t="s">
        <v>38</v>
      </c>
      <c r="F100" s="2" t="s">
        <v>94</v>
      </c>
      <c r="G100" s="2" t="s">
        <v>38</v>
      </c>
      <c r="H100" s="56" t="str">
        <f>Table1[[#This Row],[Tabela]]&amp;Table1[[#This Row],[Campo]]</f>
        <v>PROPERTYn.a.</v>
      </c>
      <c r="I100" s="2" t="s">
        <v>612</v>
      </c>
      <c r="J100" s="42">
        <f>VLOOKUP(Table1[[#This Row],[Status]],Auxiliar!$B$16:$C$24,2,0)</f>
        <v>1</v>
      </c>
      <c r="K100" s="2" t="s">
        <v>1165</v>
      </c>
      <c r="L100" s="28" t="s">
        <v>1166</v>
      </c>
      <c r="M100" s="20" t="s">
        <v>1167</v>
      </c>
      <c r="N100" s="47">
        <v>45505</v>
      </c>
      <c r="O100" s="20">
        <f>INDEX(Auxiliar!$D$5:$F$13,MATCH(Table1[[#This Row],[Tipologia_Testes]],Auxiliar!$B$5:$B$13,0),MATCH(Table1[[#This Row],[Complexidade]],Auxiliar!$D$4:$F$4,0))</f>
        <v>8</v>
      </c>
      <c r="P100" s="22" t="s">
        <v>1184</v>
      </c>
      <c r="Q100" s="2" t="s">
        <v>1185</v>
      </c>
      <c r="R100" s="151">
        <v>45261</v>
      </c>
      <c r="S100" s="151"/>
      <c r="T100" s="151"/>
      <c r="U100" s="151"/>
      <c r="V100" s="151"/>
      <c r="W100" s="2">
        <f>VLOOKUP(Table1[[#This Row],[Status]],Auxiliar!$B$16:$D$24,3,0)*Table1[[#This Row],[Estimação (horas)]]</f>
        <v>8</v>
      </c>
      <c r="X100" s="165">
        <f>+VLOOKUP(CONCATENATE(Table1[[#This Row],[Tabela]],Table1[[#This Row],[Campo]]),'2. Status Detalhe Campos FY24'!A:J,9,FALSE)</f>
        <v>0</v>
      </c>
      <c r="Y100" s="491" t="e">
        <f>+VLOOKUP(A100,#REF!,1,FALSE)</f>
        <v>#REF!</v>
      </c>
    </row>
    <row r="101" spans="1:25" ht="52.4" hidden="1" customHeight="1">
      <c r="A101" t="str">
        <f>+Table1[[#This Row],[Tabela]]&amp;Table1[[#This Row],[Campo]]</f>
        <v>PROPERTYCONSTRUCTION_YEAR</v>
      </c>
      <c r="B101" s="2" t="s">
        <v>26</v>
      </c>
      <c r="C101" s="2" t="s">
        <v>54</v>
      </c>
      <c r="D101" s="2" t="s">
        <v>95</v>
      </c>
      <c r="E101" s="2" t="s">
        <v>38</v>
      </c>
      <c r="F101" s="2" t="s">
        <v>94</v>
      </c>
      <c r="G101" s="2" t="s">
        <v>96</v>
      </c>
      <c r="H101" s="56" t="str">
        <f>Table1[[#This Row],[Tabela]]&amp;Table1[[#This Row],[Campo]]</f>
        <v>PROPERTYCONSTRUCTION_YEAR</v>
      </c>
      <c r="I101" s="2" t="s">
        <v>612</v>
      </c>
      <c r="J101" s="42">
        <f>VLOOKUP(Table1[[#This Row],[Status]],Auxiliar!$B$16:$C$24,2,0)</f>
        <v>1</v>
      </c>
      <c r="K101" s="2" t="s">
        <v>1168</v>
      </c>
      <c r="L101" s="28" t="s">
        <v>1186</v>
      </c>
      <c r="M101" s="20" t="s">
        <v>1176</v>
      </c>
      <c r="N101" s="47">
        <v>45505</v>
      </c>
      <c r="O101" s="20">
        <f>INDEX(Auxiliar!$D$5:$F$13,MATCH(Table1[[#This Row],[Tipologia_Testes]],Auxiliar!$B$5:$B$13,0),MATCH(Table1[[#This Row],[Complexidade]],Auxiliar!$D$4:$F$4,0))</f>
        <v>4</v>
      </c>
      <c r="P101" s="22" t="s">
        <v>1187</v>
      </c>
      <c r="Q101" s="2" t="s">
        <v>1185</v>
      </c>
      <c r="R101" s="151">
        <v>45425</v>
      </c>
      <c r="S101" s="151"/>
      <c r="T101" s="151"/>
      <c r="U101" s="151"/>
      <c r="V101" s="151"/>
      <c r="W101" s="2">
        <f>VLOOKUP(Table1[[#This Row],[Status]],Auxiliar!$B$16:$D$24,3,0)*Table1[[#This Row],[Estimação (horas)]]</f>
        <v>4</v>
      </c>
      <c r="X101" s="165">
        <f>+VLOOKUP(CONCATENATE(Table1[[#This Row],[Tabela]],Table1[[#This Row],[Campo]]),'2. Status Detalhe Campos FY24'!A:J,9,FALSE)</f>
        <v>0</v>
      </c>
      <c r="Y101" s="491" t="e">
        <f>+VLOOKUP(A101,#REF!,1,FALSE)</f>
        <v>#REF!</v>
      </c>
    </row>
    <row r="102" spans="1:25" ht="17.899999999999999" hidden="1" customHeight="1">
      <c r="A102" t="str">
        <f>+Table1[[#This Row],[Tabela]]&amp;Table1[[#This Row],[Campo]]</f>
        <v>PROPERTYNET_FLOOR_AREA</v>
      </c>
      <c r="B102" s="2" t="s">
        <v>26</v>
      </c>
      <c r="C102" s="2" t="s">
        <v>54</v>
      </c>
      <c r="D102" s="2" t="s">
        <v>95</v>
      </c>
      <c r="E102" s="2" t="s">
        <v>38</v>
      </c>
      <c r="F102" s="2" t="s">
        <v>94</v>
      </c>
      <c r="G102" s="2" t="s">
        <v>97</v>
      </c>
      <c r="H102" s="56" t="str">
        <f>Table1[[#This Row],[Tabela]]&amp;Table1[[#This Row],[Campo]]</f>
        <v>PROPERTYNET_FLOOR_AREA</v>
      </c>
      <c r="I102" s="3" t="s">
        <v>612</v>
      </c>
      <c r="J102" s="42">
        <f>VLOOKUP(Table1[[#This Row],[Status]],Auxiliar!$B$16:$C$24,2,0)</f>
        <v>1</v>
      </c>
      <c r="K102" s="2" t="s">
        <v>1168</v>
      </c>
      <c r="L102" s="28" t="s">
        <v>1166</v>
      </c>
      <c r="M102" s="20" t="s">
        <v>1176</v>
      </c>
      <c r="N102" s="47">
        <v>45505</v>
      </c>
      <c r="O102" s="20">
        <f>INDEX(Auxiliar!$D$5:$F$13,MATCH(Table1[[#This Row],[Tipologia_Testes]],Auxiliar!$B$5:$B$13,0),MATCH(Table1[[#This Row],[Complexidade]],Auxiliar!$D$4:$F$4,0))</f>
        <v>4</v>
      </c>
      <c r="P102" s="2"/>
      <c r="Q102" s="2" t="s">
        <v>1185</v>
      </c>
      <c r="R102" s="151">
        <v>45261</v>
      </c>
      <c r="S102" s="151"/>
      <c r="T102" s="151"/>
      <c r="U102" s="151"/>
      <c r="V102" s="151"/>
      <c r="W102" s="2">
        <f>VLOOKUP(Table1[[#This Row],[Status]],Auxiliar!$B$16:$D$24,3,0)*Table1[[#This Row],[Estimação (horas)]]</f>
        <v>4</v>
      </c>
      <c r="X102" s="165">
        <f>+VLOOKUP(CONCATENATE(Table1[[#This Row],[Tabela]],Table1[[#This Row],[Campo]]),'2. Status Detalhe Campos FY24'!A:J,9,FALSE)</f>
        <v>0</v>
      </c>
      <c r="Y102" s="491" t="e">
        <f>+VLOOKUP(A102,#REF!,1,FALSE)</f>
        <v>#REF!</v>
      </c>
    </row>
    <row r="103" spans="1:25" ht="17.899999999999999" hidden="1" customHeight="1">
      <c r="A103" t="str">
        <f>+Table1[[#This Row],[Tabela]]&amp;Table1[[#This Row],[Campo]]</f>
        <v>PROPERTYNET_FLOOR_AREA</v>
      </c>
      <c r="B103" s="2" t="s">
        <v>26</v>
      </c>
      <c r="C103" s="2" t="s">
        <v>54</v>
      </c>
      <c r="D103" s="2" t="s">
        <v>95</v>
      </c>
      <c r="E103" s="2" t="s">
        <v>38</v>
      </c>
      <c r="F103" s="2" t="s">
        <v>94</v>
      </c>
      <c r="G103" s="2" t="s">
        <v>97</v>
      </c>
      <c r="H103" s="56" t="str">
        <f>Table1[[#This Row],[Tabela]]&amp;Table1[[#This Row],[Campo]]</f>
        <v>PROPERTYNET_FLOOR_AREA</v>
      </c>
      <c r="I103" s="3" t="s">
        <v>612</v>
      </c>
      <c r="J103" s="42">
        <f>VLOOKUP(Table1[[#This Row],[Status]],Auxiliar!$B$16:$C$24,2,0)</f>
        <v>1</v>
      </c>
      <c r="K103" s="2" t="s">
        <v>1169</v>
      </c>
      <c r="L103" s="28" t="s">
        <v>1166</v>
      </c>
      <c r="M103" s="20" t="s">
        <v>1176</v>
      </c>
      <c r="N103" s="47">
        <v>45505</v>
      </c>
      <c r="O103" s="20">
        <f>INDEX(Auxiliar!$D$5:$F$13,MATCH(Table1[[#This Row],[Tipologia_Testes]],Auxiliar!$B$5:$B$13,0),MATCH(Table1[[#This Row],[Complexidade]],Auxiliar!$D$4:$F$4,0))</f>
        <v>4</v>
      </c>
      <c r="P103" s="2"/>
      <c r="Q103" s="2" t="s">
        <v>1185</v>
      </c>
      <c r="R103" s="151">
        <v>45261</v>
      </c>
      <c r="S103" s="151"/>
      <c r="T103" s="151"/>
      <c r="U103" s="151"/>
      <c r="V103" s="151"/>
      <c r="W103" s="2">
        <f>VLOOKUP(Table1[[#This Row],[Status]],Auxiliar!$B$16:$D$24,3,0)*Table1[[#This Row],[Estimação (horas)]]</f>
        <v>4</v>
      </c>
      <c r="X103" s="165">
        <f>+VLOOKUP(CONCATENATE(Table1[[#This Row],[Tabela]],Table1[[#This Row],[Campo]]),'2. Status Detalhe Campos FY24'!A:J,9,FALSE)</f>
        <v>0</v>
      </c>
      <c r="Y103" s="491" t="e">
        <f>+VLOOKUP(A103,#REF!,1,FALSE)</f>
        <v>#REF!</v>
      </c>
    </row>
    <row r="104" spans="1:25" ht="17.899999999999999" hidden="1" customHeight="1">
      <c r="A104" t="str">
        <f>+Table1[[#This Row],[Tabela]]&amp;Table1[[#This Row],[Campo]]</f>
        <v>PROPERTYNET_FLOOR_AREA</v>
      </c>
      <c r="B104" s="2" t="s">
        <v>26</v>
      </c>
      <c r="C104" s="2" t="s">
        <v>54</v>
      </c>
      <c r="D104" s="2" t="s">
        <v>95</v>
      </c>
      <c r="E104" s="2" t="s">
        <v>38</v>
      </c>
      <c r="F104" s="2" t="s">
        <v>94</v>
      </c>
      <c r="G104" s="2" t="s">
        <v>97</v>
      </c>
      <c r="H104" s="56" t="str">
        <f>Table1[[#This Row],[Tabela]]&amp;Table1[[#This Row],[Campo]]</f>
        <v>PROPERTYNET_FLOOR_AREA</v>
      </c>
      <c r="I104" s="3" t="s">
        <v>612</v>
      </c>
      <c r="J104" s="42">
        <f>VLOOKUP(Table1[[#This Row],[Status]],Auxiliar!$B$16:$C$24,2,0)</f>
        <v>1</v>
      </c>
      <c r="K104" s="2" t="s">
        <v>1171</v>
      </c>
      <c r="L104" s="28" t="s">
        <v>1166</v>
      </c>
      <c r="M104" s="20" t="s">
        <v>1176</v>
      </c>
      <c r="N104" s="47">
        <v>45505</v>
      </c>
      <c r="O104" s="20">
        <f>INDEX(Auxiliar!$D$5:$F$13,MATCH(Table1[[#This Row],[Tipologia_Testes]],Auxiliar!$B$5:$B$13,0),MATCH(Table1[[#This Row],[Complexidade]],Auxiliar!$D$4:$F$4,0))</f>
        <v>0.1</v>
      </c>
      <c r="P104" s="2"/>
      <c r="Q104" s="2" t="s">
        <v>1185</v>
      </c>
      <c r="R104" s="151">
        <v>45261</v>
      </c>
      <c r="S104" s="151"/>
      <c r="T104" s="151"/>
      <c r="U104" s="151"/>
      <c r="V104" s="151"/>
      <c r="W104" s="2">
        <f>VLOOKUP(Table1[[#This Row],[Status]],Auxiliar!$B$16:$D$24,3,0)*Table1[[#This Row],[Estimação (horas)]]</f>
        <v>0.1</v>
      </c>
      <c r="X104" s="165">
        <f>+VLOOKUP(CONCATENATE(Table1[[#This Row],[Tabela]],Table1[[#This Row],[Campo]]),'2. Status Detalhe Campos FY24'!A:J,9,FALSE)</f>
        <v>0</v>
      </c>
      <c r="Y104" s="491" t="e">
        <f>+VLOOKUP(A104,#REF!,1,FALSE)</f>
        <v>#REF!</v>
      </c>
    </row>
    <row r="105" spans="1:25" ht="17.899999999999999" hidden="1" customHeight="1">
      <c r="A105" t="str">
        <f>+Table1[[#This Row],[Tabela]]&amp;Table1[[#This Row],[Campo]]</f>
        <v>PROPERTYPROPERTY_BANK_ID</v>
      </c>
      <c r="B105" s="2" t="s">
        <v>26</v>
      </c>
      <c r="C105" s="2" t="s">
        <v>54</v>
      </c>
      <c r="D105" s="2" t="s">
        <v>95</v>
      </c>
      <c r="E105" s="2" t="s">
        <v>38</v>
      </c>
      <c r="F105" s="2" t="s">
        <v>94</v>
      </c>
      <c r="G105" s="2" t="s">
        <v>41</v>
      </c>
      <c r="H105" s="56" t="str">
        <f>Table1[[#This Row],[Tabela]]&amp;Table1[[#This Row],[Campo]]</f>
        <v>PROPERTYPROPERTY_BANK_ID</v>
      </c>
      <c r="I105" s="3" t="s">
        <v>612</v>
      </c>
      <c r="J105" s="54">
        <f>VLOOKUP(Table1[[#This Row],[Status]],Auxiliar!$B$16:$C$24,2,0)</f>
        <v>1</v>
      </c>
      <c r="K105" s="2" t="s">
        <v>1168</v>
      </c>
      <c r="L105" s="28" t="s">
        <v>1174</v>
      </c>
      <c r="M105" s="20" t="s">
        <v>1175</v>
      </c>
      <c r="N105" s="47">
        <v>45485</v>
      </c>
      <c r="O105" s="20">
        <f>INDEX(Auxiliar!$D$5:$F$13,MATCH(Table1[[#This Row],[Tipologia_Testes]],Auxiliar!$B$5:$B$13,0),MATCH(Table1[[#This Row],[Complexidade]],Auxiliar!$D$4:$F$4,0))</f>
        <v>2</v>
      </c>
      <c r="P105" s="2" t="s">
        <v>1188</v>
      </c>
      <c r="Q105" s="2" t="s">
        <v>1185</v>
      </c>
      <c r="R105" s="151">
        <v>45261</v>
      </c>
      <c r="S105" s="151"/>
      <c r="T105" s="151"/>
      <c r="U105" s="151"/>
      <c r="V105" s="151"/>
      <c r="W105" s="2">
        <f>VLOOKUP(Table1[[#This Row],[Status]],Auxiliar!$B$16:$D$24,3,0)*Table1[[#This Row],[Estimação (horas)]]</f>
        <v>2</v>
      </c>
      <c r="X105" s="165">
        <f>+VLOOKUP(CONCATENATE(Table1[[#This Row],[Tabela]],Table1[[#This Row],[Campo]]),'2. Status Detalhe Campos FY24'!A:J,9,FALSE)</f>
        <v>0</v>
      </c>
      <c r="Y105" s="491" t="e">
        <f>+VLOOKUP(A105,#REF!,1,FALSE)</f>
        <v>#REF!</v>
      </c>
    </row>
    <row r="106" spans="1:25" ht="17.899999999999999" hidden="1" customHeight="1">
      <c r="A106" t="str">
        <f>+Table1[[#This Row],[Tabela]]&amp;Table1[[#This Row],[Campo]]</f>
        <v>PROPERTYPROPERTY_BANK_ID</v>
      </c>
      <c r="B106" s="2" t="s">
        <v>26</v>
      </c>
      <c r="C106" s="2" t="s">
        <v>54</v>
      </c>
      <c r="D106" s="2" t="s">
        <v>95</v>
      </c>
      <c r="E106" s="2" t="s">
        <v>38</v>
      </c>
      <c r="F106" s="2" t="s">
        <v>94</v>
      </c>
      <c r="G106" s="2" t="s">
        <v>41</v>
      </c>
      <c r="H106" s="56" t="str">
        <f>Table1[[#This Row],[Tabela]]&amp;Table1[[#This Row],[Campo]]</f>
        <v>PROPERTYPROPERTY_BANK_ID</v>
      </c>
      <c r="I106" s="3" t="s">
        <v>612</v>
      </c>
      <c r="J106" s="54">
        <f>VLOOKUP(Table1[[#This Row],[Status]],Auxiliar!$B$16:$C$24,2,0)</f>
        <v>1</v>
      </c>
      <c r="K106" s="2" t="s">
        <v>1169</v>
      </c>
      <c r="L106" s="28" t="s">
        <v>1174</v>
      </c>
      <c r="M106" s="20" t="s">
        <v>1175</v>
      </c>
      <c r="N106" s="47">
        <v>45485</v>
      </c>
      <c r="O106" s="20">
        <f>INDEX(Auxiliar!$D$5:$F$13,MATCH(Table1[[#This Row],[Tipologia_Testes]],Auxiliar!$B$5:$B$13,0),MATCH(Table1[[#This Row],[Complexidade]],Auxiliar!$D$4:$F$4,0))</f>
        <v>2</v>
      </c>
      <c r="P106" s="2" t="s">
        <v>1188</v>
      </c>
      <c r="Q106" s="2" t="s">
        <v>1185</v>
      </c>
      <c r="R106" s="151">
        <v>45261</v>
      </c>
      <c r="S106" s="151"/>
      <c r="T106" s="151"/>
      <c r="U106" s="151"/>
      <c r="V106" s="151"/>
      <c r="W106" s="2">
        <f>VLOOKUP(Table1[[#This Row],[Status]],Auxiliar!$B$16:$D$24,3,0)*Table1[[#This Row],[Estimação (horas)]]</f>
        <v>2</v>
      </c>
      <c r="X106" s="165">
        <f>+VLOOKUP(CONCATENATE(Table1[[#This Row],[Tabela]],Table1[[#This Row],[Campo]]),'2. Status Detalhe Campos FY24'!A:J,9,FALSE)</f>
        <v>0</v>
      </c>
      <c r="Y106" s="491" t="e">
        <f>+VLOOKUP(A106,#REF!,1,FALSE)</f>
        <v>#REF!</v>
      </c>
    </row>
    <row r="107" spans="1:25" ht="17.899999999999999" hidden="1" customHeight="1">
      <c r="A107" t="str">
        <f>+Table1[[#This Row],[Tabela]]&amp;Table1[[#This Row],[Campo]]</f>
        <v>PROPERTYPROPERTY_BANK_ID</v>
      </c>
      <c r="B107" s="2" t="s">
        <v>26</v>
      </c>
      <c r="C107" s="2" t="s">
        <v>54</v>
      </c>
      <c r="D107" s="2" t="s">
        <v>95</v>
      </c>
      <c r="E107" s="2" t="s">
        <v>38</v>
      </c>
      <c r="F107" s="2" t="s">
        <v>94</v>
      </c>
      <c r="G107" s="2" t="s">
        <v>41</v>
      </c>
      <c r="H107" s="56" t="str">
        <f>Table1[[#This Row],[Tabela]]&amp;Table1[[#This Row],[Campo]]</f>
        <v>PROPERTYPROPERTY_BANK_ID</v>
      </c>
      <c r="I107" s="3" t="s">
        <v>612</v>
      </c>
      <c r="J107" s="54">
        <f>VLOOKUP(Table1[[#This Row],[Status]],Auxiliar!$B$16:$C$24,2,0)</f>
        <v>1</v>
      </c>
      <c r="K107" s="2" t="s">
        <v>1171</v>
      </c>
      <c r="L107" s="28" t="s">
        <v>1174</v>
      </c>
      <c r="M107" s="20" t="s">
        <v>1175</v>
      </c>
      <c r="N107" s="47">
        <v>45485</v>
      </c>
      <c r="O107" s="20">
        <f>INDEX(Auxiliar!$D$5:$F$13,MATCH(Table1[[#This Row],[Tipologia_Testes]],Auxiliar!$B$5:$B$13,0),MATCH(Table1[[#This Row],[Complexidade]],Auxiliar!$D$4:$F$4,0))</f>
        <v>0.1</v>
      </c>
      <c r="P107" s="2" t="s">
        <v>1188</v>
      </c>
      <c r="Q107" s="2" t="s">
        <v>1185</v>
      </c>
      <c r="R107" s="151">
        <v>45261</v>
      </c>
      <c r="S107" s="151"/>
      <c r="T107" s="151"/>
      <c r="U107" s="151"/>
      <c r="V107" s="151"/>
      <c r="W107" s="2">
        <f>VLOOKUP(Table1[[#This Row],[Status]],Auxiliar!$B$16:$D$24,3,0)*Table1[[#This Row],[Estimação (horas)]]</f>
        <v>0.1</v>
      </c>
      <c r="X107" s="165">
        <f>+VLOOKUP(CONCATENATE(Table1[[#This Row],[Tabela]],Table1[[#This Row],[Campo]]),'2. Status Detalhe Campos FY24'!A:J,9,FALSE)</f>
        <v>0</v>
      </c>
      <c r="Y107" s="491" t="e">
        <f>+VLOOKUP(A107,#REF!,1,FALSE)</f>
        <v>#REF!</v>
      </c>
    </row>
    <row r="108" spans="1:25" ht="17.899999999999999" hidden="1" customHeight="1">
      <c r="A108" t="str">
        <f>+Table1[[#This Row],[Tabela]]&amp;Table1[[#This Row],[Campo]]</f>
        <v>PROPERTYPROPERTY_BRANCH_CODE</v>
      </c>
      <c r="B108" s="2" t="s">
        <v>26</v>
      </c>
      <c r="C108" s="2" t="s">
        <v>54</v>
      </c>
      <c r="D108" s="2" t="s">
        <v>95</v>
      </c>
      <c r="E108" s="2" t="s">
        <v>38</v>
      </c>
      <c r="F108" s="2" t="s">
        <v>94</v>
      </c>
      <c r="G108" s="2" t="s">
        <v>43</v>
      </c>
      <c r="H108" s="56" t="str">
        <f>Table1[[#This Row],[Tabela]]&amp;Table1[[#This Row],[Campo]]</f>
        <v>PROPERTYPROPERTY_BRANCH_CODE</v>
      </c>
      <c r="I108" s="3" t="s">
        <v>612</v>
      </c>
      <c r="J108" s="54">
        <f>VLOOKUP(Table1[[#This Row],[Status]],Auxiliar!$B$16:$C$24,2,0)</f>
        <v>1</v>
      </c>
      <c r="K108" s="2" t="s">
        <v>1168</v>
      </c>
      <c r="L108" s="28" t="s">
        <v>1174</v>
      </c>
      <c r="M108" s="20" t="s">
        <v>1175</v>
      </c>
      <c r="N108" s="47">
        <v>45485</v>
      </c>
      <c r="O108" s="20">
        <f>INDEX(Auxiliar!$D$5:$F$13,MATCH(Table1[[#This Row],[Tipologia_Testes]],Auxiliar!$B$5:$B$13,0),MATCH(Table1[[#This Row],[Complexidade]],Auxiliar!$D$4:$F$4,0))</f>
        <v>2</v>
      </c>
      <c r="P108" s="2" t="s">
        <v>1188</v>
      </c>
      <c r="Q108" s="2" t="s">
        <v>1185</v>
      </c>
      <c r="R108" s="151">
        <v>45261</v>
      </c>
      <c r="S108" s="151"/>
      <c r="T108" s="151"/>
      <c r="U108" s="151"/>
      <c r="V108" s="151"/>
      <c r="W108" s="2">
        <f>VLOOKUP(Table1[[#This Row],[Status]],Auxiliar!$B$16:$D$24,3,0)*Table1[[#This Row],[Estimação (horas)]]</f>
        <v>2</v>
      </c>
      <c r="X108" s="165">
        <f>+VLOOKUP(CONCATENATE(Table1[[#This Row],[Tabela]],Table1[[#This Row],[Campo]]),'2. Status Detalhe Campos FY24'!A:J,9,FALSE)</f>
        <v>0</v>
      </c>
      <c r="Y108" s="491" t="e">
        <f>+VLOOKUP(A108,#REF!,1,FALSE)</f>
        <v>#REF!</v>
      </c>
    </row>
    <row r="109" spans="1:25" ht="17.899999999999999" hidden="1" customHeight="1">
      <c r="A109" t="str">
        <f>+Table1[[#This Row],[Tabela]]&amp;Table1[[#This Row],[Campo]]</f>
        <v>PROPERTYPROPERTY_BRANCH_CODE</v>
      </c>
      <c r="B109" s="2" t="s">
        <v>26</v>
      </c>
      <c r="C109" s="2" t="s">
        <v>54</v>
      </c>
      <c r="D109" s="2" t="s">
        <v>95</v>
      </c>
      <c r="E109" s="2" t="s">
        <v>38</v>
      </c>
      <c r="F109" s="2" t="s">
        <v>94</v>
      </c>
      <c r="G109" s="2" t="s">
        <v>43</v>
      </c>
      <c r="H109" s="56" t="str">
        <f>Table1[[#This Row],[Tabela]]&amp;Table1[[#This Row],[Campo]]</f>
        <v>PROPERTYPROPERTY_BRANCH_CODE</v>
      </c>
      <c r="I109" s="3" t="s">
        <v>612</v>
      </c>
      <c r="J109" s="54">
        <f>VLOOKUP(Table1[[#This Row],[Status]],Auxiliar!$B$16:$C$24,2,0)</f>
        <v>1</v>
      </c>
      <c r="K109" s="2" t="s">
        <v>1169</v>
      </c>
      <c r="L109" s="28" t="s">
        <v>1174</v>
      </c>
      <c r="M109" s="20" t="s">
        <v>1175</v>
      </c>
      <c r="N109" s="47">
        <v>45485</v>
      </c>
      <c r="O109" s="20">
        <f>INDEX(Auxiliar!$D$5:$F$13,MATCH(Table1[[#This Row],[Tipologia_Testes]],Auxiliar!$B$5:$B$13,0),MATCH(Table1[[#This Row],[Complexidade]],Auxiliar!$D$4:$F$4,0))</f>
        <v>2</v>
      </c>
      <c r="P109" s="2" t="s">
        <v>1188</v>
      </c>
      <c r="Q109" s="2" t="s">
        <v>1185</v>
      </c>
      <c r="R109" s="151">
        <v>45261</v>
      </c>
      <c r="S109" s="151"/>
      <c r="T109" s="151"/>
      <c r="U109" s="151"/>
      <c r="V109" s="151"/>
      <c r="W109" s="2">
        <f>VLOOKUP(Table1[[#This Row],[Status]],Auxiliar!$B$16:$D$24,3,0)*Table1[[#This Row],[Estimação (horas)]]</f>
        <v>2</v>
      </c>
      <c r="X109" s="165">
        <f>+VLOOKUP(CONCATENATE(Table1[[#This Row],[Tabela]],Table1[[#This Row],[Campo]]),'2. Status Detalhe Campos FY24'!A:J,9,FALSE)</f>
        <v>0</v>
      </c>
      <c r="Y109" s="491" t="e">
        <f>+VLOOKUP(A109,#REF!,1,FALSE)</f>
        <v>#REF!</v>
      </c>
    </row>
    <row r="110" spans="1:25" ht="17.899999999999999" hidden="1" customHeight="1">
      <c r="A110" t="str">
        <f>+Table1[[#This Row],[Tabela]]&amp;Table1[[#This Row],[Campo]]</f>
        <v>PROPERTYPROPERTY_BRANCH_CODE</v>
      </c>
      <c r="B110" s="2" t="s">
        <v>26</v>
      </c>
      <c r="C110" s="2" t="s">
        <v>54</v>
      </c>
      <c r="D110" s="2" t="s">
        <v>95</v>
      </c>
      <c r="E110" s="2" t="s">
        <v>38</v>
      </c>
      <c r="F110" s="2" t="s">
        <v>94</v>
      </c>
      <c r="G110" s="2" t="s">
        <v>43</v>
      </c>
      <c r="H110" s="56" t="str">
        <f>Table1[[#This Row],[Tabela]]&amp;Table1[[#This Row],[Campo]]</f>
        <v>PROPERTYPROPERTY_BRANCH_CODE</v>
      </c>
      <c r="I110" s="3" t="s">
        <v>612</v>
      </c>
      <c r="J110" s="54">
        <f>VLOOKUP(Table1[[#This Row],[Status]],Auxiliar!$B$16:$C$24,2,0)</f>
        <v>1</v>
      </c>
      <c r="K110" s="2" t="s">
        <v>1171</v>
      </c>
      <c r="L110" s="28" t="s">
        <v>1174</v>
      </c>
      <c r="M110" s="20" t="s">
        <v>1175</v>
      </c>
      <c r="N110" s="47">
        <v>45485</v>
      </c>
      <c r="O110" s="20">
        <f>INDEX(Auxiliar!$D$5:$F$13,MATCH(Table1[[#This Row],[Tipologia_Testes]],Auxiliar!$B$5:$B$13,0),MATCH(Table1[[#This Row],[Complexidade]],Auxiliar!$D$4:$F$4,0))</f>
        <v>0.1</v>
      </c>
      <c r="P110" s="2" t="s">
        <v>1188</v>
      </c>
      <c r="Q110" s="2" t="s">
        <v>1185</v>
      </c>
      <c r="R110" s="151">
        <v>45261</v>
      </c>
      <c r="S110" s="151"/>
      <c r="T110" s="151"/>
      <c r="U110" s="151"/>
      <c r="V110" s="151"/>
      <c r="W110" s="2">
        <f>VLOOKUP(Table1[[#This Row],[Status]],Auxiliar!$B$16:$D$24,3,0)*Table1[[#This Row],[Estimação (horas)]]</f>
        <v>0.1</v>
      </c>
      <c r="X110" s="165">
        <f>+VLOOKUP(CONCATENATE(Table1[[#This Row],[Tabela]],Table1[[#This Row],[Campo]]),'2. Status Detalhe Campos FY24'!A:J,9,FALSE)</f>
        <v>0</v>
      </c>
      <c r="Y110" s="491" t="e">
        <f>+VLOOKUP(A110,#REF!,1,FALSE)</f>
        <v>#REF!</v>
      </c>
    </row>
    <row r="111" spans="1:25" ht="17.899999999999999" hidden="1" customHeight="1">
      <c r="A111" t="str">
        <f>+Table1[[#This Row],[Tabela]]&amp;Table1[[#This Row],[Campo]]</f>
        <v>PROPERTYPROPERTY_CONTRACT_ID</v>
      </c>
      <c r="B111" s="2" t="s">
        <v>26</v>
      </c>
      <c r="C111" s="2" t="s">
        <v>54</v>
      </c>
      <c r="D111" s="2" t="s">
        <v>95</v>
      </c>
      <c r="E111" s="2" t="s">
        <v>38</v>
      </c>
      <c r="F111" s="2" t="s">
        <v>94</v>
      </c>
      <c r="G111" s="2" t="s">
        <v>44</v>
      </c>
      <c r="H111" s="56" t="str">
        <f>Table1[[#This Row],[Tabela]]&amp;Table1[[#This Row],[Campo]]</f>
        <v>PROPERTYPROPERTY_CONTRACT_ID</v>
      </c>
      <c r="I111" s="3" t="s">
        <v>612</v>
      </c>
      <c r="J111" s="54">
        <f>VLOOKUP(Table1[[#This Row],[Status]],Auxiliar!$B$16:$C$24,2,0)</f>
        <v>1</v>
      </c>
      <c r="K111" s="2" t="s">
        <v>1168</v>
      </c>
      <c r="L111" s="28" t="s">
        <v>1174</v>
      </c>
      <c r="M111" s="20" t="s">
        <v>1175</v>
      </c>
      <c r="N111" s="47">
        <v>45485</v>
      </c>
      <c r="O111" s="20">
        <f>INDEX(Auxiliar!$D$5:$F$13,MATCH(Table1[[#This Row],[Tipologia_Testes]],Auxiliar!$B$5:$B$13,0),MATCH(Table1[[#This Row],[Complexidade]],Auxiliar!$D$4:$F$4,0))</f>
        <v>2</v>
      </c>
      <c r="P111" s="2" t="s">
        <v>1188</v>
      </c>
      <c r="Q111" s="2" t="s">
        <v>1185</v>
      </c>
      <c r="R111" s="151">
        <v>45261</v>
      </c>
      <c r="S111" s="151"/>
      <c r="T111" s="151"/>
      <c r="U111" s="151"/>
      <c r="V111" s="151"/>
      <c r="W111" s="2">
        <f>VLOOKUP(Table1[[#This Row],[Status]],Auxiliar!$B$16:$D$24,3,0)*Table1[[#This Row],[Estimação (horas)]]</f>
        <v>2</v>
      </c>
      <c r="X111" s="165">
        <f>+VLOOKUP(CONCATENATE(Table1[[#This Row],[Tabela]],Table1[[#This Row],[Campo]]),'2. Status Detalhe Campos FY24'!A:J,9,FALSE)</f>
        <v>0</v>
      </c>
      <c r="Y111" s="491" t="e">
        <f>+VLOOKUP(A111,#REF!,1,FALSE)</f>
        <v>#REF!</v>
      </c>
    </row>
    <row r="112" spans="1:25" ht="17.899999999999999" hidden="1" customHeight="1">
      <c r="A112" t="str">
        <f>+Table1[[#This Row],[Tabela]]&amp;Table1[[#This Row],[Campo]]</f>
        <v>PROPERTYPROPERTY_CONTRACT_ID</v>
      </c>
      <c r="B112" s="2" t="s">
        <v>26</v>
      </c>
      <c r="C112" s="2" t="s">
        <v>54</v>
      </c>
      <c r="D112" s="2" t="s">
        <v>95</v>
      </c>
      <c r="E112" s="2" t="s">
        <v>38</v>
      </c>
      <c r="F112" s="2" t="s">
        <v>94</v>
      </c>
      <c r="G112" s="2" t="s">
        <v>44</v>
      </c>
      <c r="H112" s="56" t="str">
        <f>Table1[[#This Row],[Tabela]]&amp;Table1[[#This Row],[Campo]]</f>
        <v>PROPERTYPROPERTY_CONTRACT_ID</v>
      </c>
      <c r="I112" s="3" t="s">
        <v>612</v>
      </c>
      <c r="J112" s="54">
        <f>VLOOKUP(Table1[[#This Row],[Status]],Auxiliar!$B$16:$C$24,2,0)</f>
        <v>1</v>
      </c>
      <c r="K112" s="2" t="s">
        <v>1169</v>
      </c>
      <c r="L112" s="28" t="s">
        <v>1174</v>
      </c>
      <c r="M112" s="20" t="s">
        <v>1175</v>
      </c>
      <c r="N112" s="47">
        <v>45485</v>
      </c>
      <c r="O112" s="20">
        <f>INDEX(Auxiliar!$D$5:$F$13,MATCH(Table1[[#This Row],[Tipologia_Testes]],Auxiliar!$B$5:$B$13,0),MATCH(Table1[[#This Row],[Complexidade]],Auxiliar!$D$4:$F$4,0))</f>
        <v>2</v>
      </c>
      <c r="P112" s="2" t="s">
        <v>1188</v>
      </c>
      <c r="Q112" s="2" t="s">
        <v>1185</v>
      </c>
      <c r="R112" s="151">
        <v>45261</v>
      </c>
      <c r="S112" s="151"/>
      <c r="T112" s="151"/>
      <c r="U112" s="151"/>
      <c r="V112" s="151"/>
      <c r="W112" s="2">
        <f>VLOOKUP(Table1[[#This Row],[Status]],Auxiliar!$B$16:$D$24,3,0)*Table1[[#This Row],[Estimação (horas)]]</f>
        <v>2</v>
      </c>
      <c r="X112" s="165">
        <f>+VLOOKUP(CONCATENATE(Table1[[#This Row],[Tabela]],Table1[[#This Row],[Campo]]),'2. Status Detalhe Campos FY24'!A:J,9,FALSE)</f>
        <v>0</v>
      </c>
      <c r="Y112" s="491" t="e">
        <f>+VLOOKUP(A112,#REF!,1,FALSE)</f>
        <v>#REF!</v>
      </c>
    </row>
    <row r="113" spans="1:25" ht="17.899999999999999" hidden="1" customHeight="1">
      <c r="A113" t="str">
        <f>+Table1[[#This Row],[Tabela]]&amp;Table1[[#This Row],[Campo]]</f>
        <v>PROPERTYPROPERTY_CONTRACT_ID</v>
      </c>
      <c r="B113" s="2" t="s">
        <v>26</v>
      </c>
      <c r="C113" s="2" t="s">
        <v>54</v>
      </c>
      <c r="D113" s="2" t="s">
        <v>95</v>
      </c>
      <c r="E113" s="2" t="s">
        <v>38</v>
      </c>
      <c r="F113" s="2" t="s">
        <v>94</v>
      </c>
      <c r="G113" s="2" t="s">
        <v>44</v>
      </c>
      <c r="H113" s="56" t="str">
        <f>Table1[[#This Row],[Tabela]]&amp;Table1[[#This Row],[Campo]]</f>
        <v>PROPERTYPROPERTY_CONTRACT_ID</v>
      </c>
      <c r="I113" s="3" t="s">
        <v>612</v>
      </c>
      <c r="J113" s="54">
        <f>VLOOKUP(Table1[[#This Row],[Status]],Auxiliar!$B$16:$C$24,2,0)</f>
        <v>1</v>
      </c>
      <c r="K113" s="2" t="s">
        <v>1171</v>
      </c>
      <c r="L113" s="28" t="s">
        <v>1174</v>
      </c>
      <c r="M113" s="20" t="s">
        <v>1175</v>
      </c>
      <c r="N113" s="47">
        <v>45485</v>
      </c>
      <c r="O113" s="20">
        <f>INDEX(Auxiliar!$D$5:$F$13,MATCH(Table1[[#This Row],[Tipologia_Testes]],Auxiliar!$B$5:$B$13,0),MATCH(Table1[[#This Row],[Complexidade]],Auxiliar!$D$4:$F$4,0))</f>
        <v>0.1</v>
      </c>
      <c r="P113" s="2" t="s">
        <v>1188</v>
      </c>
      <c r="Q113" s="2" t="s">
        <v>1185</v>
      </c>
      <c r="R113" s="151">
        <v>45261</v>
      </c>
      <c r="S113" s="151"/>
      <c r="T113" s="151"/>
      <c r="U113" s="151"/>
      <c r="V113" s="151"/>
      <c r="W113" s="2">
        <f>VLOOKUP(Table1[[#This Row],[Status]],Auxiliar!$B$16:$D$24,3,0)*Table1[[#This Row],[Estimação (horas)]]</f>
        <v>0.1</v>
      </c>
      <c r="X113" s="165">
        <f>+VLOOKUP(CONCATENATE(Table1[[#This Row],[Tabela]],Table1[[#This Row],[Campo]]),'2. Status Detalhe Campos FY24'!A:J,9,FALSE)</f>
        <v>0</v>
      </c>
      <c r="Y113" s="491" t="e">
        <f>+VLOOKUP(A113,#REF!,1,FALSE)</f>
        <v>#REF!</v>
      </c>
    </row>
    <row r="114" spans="1:25" ht="17.899999999999999" hidden="1" customHeight="1">
      <c r="A114" t="str">
        <f>+Table1[[#This Row],[Tabela]]&amp;Table1[[#This Row],[Campo]]</f>
        <v>PROPERTYPROPERTY_REFERENCE_CODE</v>
      </c>
      <c r="B114" s="2" t="s">
        <v>26</v>
      </c>
      <c r="C114" s="2" t="s">
        <v>54</v>
      </c>
      <c r="D114" s="2" t="s">
        <v>95</v>
      </c>
      <c r="E114" s="2" t="s">
        <v>38</v>
      </c>
      <c r="F114" s="2" t="s">
        <v>94</v>
      </c>
      <c r="G114" s="2" t="s">
        <v>45</v>
      </c>
      <c r="H114" s="56" t="str">
        <f>Table1[[#This Row],[Tabela]]&amp;Table1[[#This Row],[Campo]]</f>
        <v>PROPERTYPROPERTY_REFERENCE_CODE</v>
      </c>
      <c r="I114" s="3" t="s">
        <v>612</v>
      </c>
      <c r="J114" s="54">
        <f>VLOOKUP(Table1[[#This Row],[Status]],Auxiliar!$B$16:$C$24,2,0)</f>
        <v>1</v>
      </c>
      <c r="K114" s="2" t="s">
        <v>1168</v>
      </c>
      <c r="L114" s="28" t="s">
        <v>1174</v>
      </c>
      <c r="M114" s="20" t="s">
        <v>1175</v>
      </c>
      <c r="N114" s="47">
        <v>45485</v>
      </c>
      <c r="O114" s="20">
        <f>INDEX(Auxiliar!$D$5:$F$13,MATCH(Table1[[#This Row],[Tipologia_Testes]],Auxiliar!$B$5:$B$13,0),MATCH(Table1[[#This Row],[Complexidade]],Auxiliar!$D$4:$F$4,0))</f>
        <v>2</v>
      </c>
      <c r="P114" s="2" t="s">
        <v>1188</v>
      </c>
      <c r="Q114" s="2" t="s">
        <v>1185</v>
      </c>
      <c r="R114" s="151">
        <v>45261</v>
      </c>
      <c r="S114" s="151"/>
      <c r="T114" s="151"/>
      <c r="U114" s="151"/>
      <c r="V114" s="151"/>
      <c r="W114" s="2">
        <f>VLOOKUP(Table1[[#This Row],[Status]],Auxiliar!$B$16:$D$24,3,0)*Table1[[#This Row],[Estimação (horas)]]</f>
        <v>2</v>
      </c>
      <c r="X114" s="165">
        <f>+VLOOKUP(CONCATENATE(Table1[[#This Row],[Tabela]],Table1[[#This Row],[Campo]]),'2. Status Detalhe Campos FY24'!A:J,9,FALSE)</f>
        <v>0</v>
      </c>
      <c r="Y114" s="491" t="e">
        <f>+VLOOKUP(A114,#REF!,1,FALSE)</f>
        <v>#REF!</v>
      </c>
    </row>
    <row r="115" spans="1:25" ht="17.899999999999999" hidden="1" customHeight="1">
      <c r="A115" t="str">
        <f>+Table1[[#This Row],[Tabela]]&amp;Table1[[#This Row],[Campo]]</f>
        <v>PROPERTYPROPERTY_REFERENCE_CODE</v>
      </c>
      <c r="B115" s="2" t="s">
        <v>26</v>
      </c>
      <c r="C115" s="2" t="s">
        <v>54</v>
      </c>
      <c r="D115" s="2" t="s">
        <v>95</v>
      </c>
      <c r="E115" s="2" t="s">
        <v>38</v>
      </c>
      <c r="F115" s="2" t="s">
        <v>94</v>
      </c>
      <c r="G115" s="2" t="s">
        <v>45</v>
      </c>
      <c r="H115" s="56" t="str">
        <f>Table1[[#This Row],[Tabela]]&amp;Table1[[#This Row],[Campo]]</f>
        <v>PROPERTYPROPERTY_REFERENCE_CODE</v>
      </c>
      <c r="I115" s="3" t="s">
        <v>612</v>
      </c>
      <c r="J115" s="54">
        <f>VLOOKUP(Table1[[#This Row],[Status]],Auxiliar!$B$16:$C$24,2,0)</f>
        <v>1</v>
      </c>
      <c r="K115" s="2" t="s">
        <v>1169</v>
      </c>
      <c r="L115" s="28" t="s">
        <v>1174</v>
      </c>
      <c r="M115" s="20" t="s">
        <v>1175</v>
      </c>
      <c r="N115" s="47">
        <v>45485</v>
      </c>
      <c r="O115" s="20">
        <f>INDEX(Auxiliar!$D$5:$F$13,MATCH(Table1[[#This Row],[Tipologia_Testes]],Auxiliar!$B$5:$B$13,0),MATCH(Table1[[#This Row],[Complexidade]],Auxiliar!$D$4:$F$4,0))</f>
        <v>2</v>
      </c>
      <c r="P115" s="2" t="s">
        <v>1188</v>
      </c>
      <c r="Q115" s="2" t="s">
        <v>1185</v>
      </c>
      <c r="R115" s="151">
        <v>45261</v>
      </c>
      <c r="S115" s="151"/>
      <c r="T115" s="151"/>
      <c r="U115" s="151"/>
      <c r="V115" s="151"/>
      <c r="W115" s="2">
        <f>VLOOKUP(Table1[[#This Row],[Status]],Auxiliar!$B$16:$D$24,3,0)*Table1[[#This Row],[Estimação (horas)]]</f>
        <v>2</v>
      </c>
      <c r="X115" s="165">
        <f>+VLOOKUP(CONCATENATE(Table1[[#This Row],[Tabela]],Table1[[#This Row],[Campo]]),'2. Status Detalhe Campos FY24'!A:J,9,FALSE)</f>
        <v>0</v>
      </c>
      <c r="Y115" s="491" t="e">
        <f>+VLOOKUP(A115,#REF!,1,FALSE)</f>
        <v>#REF!</v>
      </c>
    </row>
    <row r="116" spans="1:25" ht="17.899999999999999" hidden="1" customHeight="1">
      <c r="A116" t="str">
        <f>+Table1[[#This Row],[Tabela]]&amp;Table1[[#This Row],[Campo]]</f>
        <v>PROPERTYPROPERTY_REFERENCE_CODE</v>
      </c>
      <c r="B116" s="2" t="s">
        <v>26</v>
      </c>
      <c r="C116" s="2" t="s">
        <v>54</v>
      </c>
      <c r="D116" s="2" t="s">
        <v>95</v>
      </c>
      <c r="E116" s="2" t="s">
        <v>38</v>
      </c>
      <c r="F116" s="2" t="s">
        <v>94</v>
      </c>
      <c r="G116" s="2" t="s">
        <v>45</v>
      </c>
      <c r="H116" s="56" t="str">
        <f>Table1[[#This Row],[Tabela]]&amp;Table1[[#This Row],[Campo]]</f>
        <v>PROPERTYPROPERTY_REFERENCE_CODE</v>
      </c>
      <c r="I116" s="3" t="s">
        <v>612</v>
      </c>
      <c r="J116" s="54">
        <f>VLOOKUP(Table1[[#This Row],[Status]],Auxiliar!$B$16:$C$24,2,0)</f>
        <v>1</v>
      </c>
      <c r="K116" s="2" t="s">
        <v>1171</v>
      </c>
      <c r="L116" s="28" t="s">
        <v>1174</v>
      </c>
      <c r="M116" s="20" t="s">
        <v>1175</v>
      </c>
      <c r="N116" s="47">
        <v>45485</v>
      </c>
      <c r="O116" s="20">
        <f>INDEX(Auxiliar!$D$5:$F$13,MATCH(Table1[[#This Row],[Tipologia_Testes]],Auxiliar!$B$5:$B$13,0),MATCH(Table1[[#This Row],[Complexidade]],Auxiliar!$D$4:$F$4,0))</f>
        <v>0.1</v>
      </c>
      <c r="P116" s="2" t="s">
        <v>1188</v>
      </c>
      <c r="Q116" s="2" t="s">
        <v>1185</v>
      </c>
      <c r="R116" s="151">
        <v>45261</v>
      </c>
      <c r="S116" s="151"/>
      <c r="T116" s="151"/>
      <c r="U116" s="151"/>
      <c r="V116" s="151"/>
      <c r="W116" s="2">
        <f>VLOOKUP(Table1[[#This Row],[Status]],Auxiliar!$B$16:$D$24,3,0)*Table1[[#This Row],[Estimação (horas)]]</f>
        <v>0.1</v>
      </c>
      <c r="X116" s="165">
        <f>+VLOOKUP(CONCATENATE(Table1[[#This Row],[Tabela]],Table1[[#This Row],[Campo]]),'2. Status Detalhe Campos FY24'!A:J,9,FALSE)</f>
        <v>0</v>
      </c>
      <c r="Y116" s="491" t="e">
        <f>+VLOOKUP(A116,#REF!,1,FALSE)</f>
        <v>#REF!</v>
      </c>
    </row>
    <row r="117" spans="1:25" ht="17.899999999999999" hidden="1" customHeight="1">
      <c r="A117" t="str">
        <f>+Table1[[#This Row],[Tabela]]&amp;Table1[[#This Row],[Campo]]</f>
        <v>PROPERTYCADASTRAL_REGISTER_CODE</v>
      </c>
      <c r="B117" s="2" t="s">
        <v>26</v>
      </c>
      <c r="C117" s="2" t="s">
        <v>54</v>
      </c>
      <c r="D117" s="2" t="s">
        <v>95</v>
      </c>
      <c r="E117" s="2" t="s">
        <v>38</v>
      </c>
      <c r="F117" s="2" t="s">
        <v>94</v>
      </c>
      <c r="G117" s="2" t="s">
        <v>98</v>
      </c>
      <c r="H117" s="56" t="str">
        <f>Table1[[#This Row],[Tabela]]&amp;Table1[[#This Row],[Campo]]</f>
        <v>PROPERTYCADASTRAL_REGISTER_CODE</v>
      </c>
      <c r="I117" s="3" t="s">
        <v>612</v>
      </c>
      <c r="J117" s="54">
        <f>VLOOKUP(Table1[[#This Row],[Status]],Auxiliar!$B$16:$C$24,2,0)</f>
        <v>1</v>
      </c>
      <c r="K117" s="2" t="s">
        <v>1168</v>
      </c>
      <c r="L117" s="28" t="s">
        <v>1174</v>
      </c>
      <c r="M117" s="20" t="s">
        <v>1175</v>
      </c>
      <c r="N117" s="47">
        <v>45505</v>
      </c>
      <c r="O117" s="20">
        <f>INDEX(Auxiliar!$D$5:$F$13,MATCH(Table1[[#This Row],[Tipologia_Testes]],Auxiliar!$B$5:$B$13,0),MATCH(Table1[[#This Row],[Complexidade]],Auxiliar!$D$4:$F$4,0))</f>
        <v>2</v>
      </c>
      <c r="P117" s="2"/>
      <c r="Q117" s="2" t="s">
        <v>1185</v>
      </c>
      <c r="R117" s="151">
        <v>45261</v>
      </c>
      <c r="S117" s="151"/>
      <c r="T117" s="151"/>
      <c r="U117" s="151"/>
      <c r="V117" s="151"/>
      <c r="W117" s="2">
        <f>VLOOKUP(Table1[[#This Row],[Status]],Auxiliar!$B$16:$D$24,3,0)*Table1[[#This Row],[Estimação (horas)]]</f>
        <v>2</v>
      </c>
      <c r="X117" s="165">
        <f>+VLOOKUP(CONCATENATE(Table1[[#This Row],[Tabela]],Table1[[#This Row],[Campo]]),'2. Status Detalhe Campos FY24'!A:J,9,FALSE)</f>
        <v>0</v>
      </c>
      <c r="Y117" s="491" t="e">
        <f>+VLOOKUP(A117,#REF!,1,FALSE)</f>
        <v>#REF!</v>
      </c>
    </row>
    <row r="118" spans="1:25" ht="17.899999999999999" hidden="1" customHeight="1">
      <c r="A118" t="str">
        <f>+Table1[[#This Row],[Tabela]]&amp;Table1[[#This Row],[Campo]]</f>
        <v>PROPERTYCADASTRAL_REGISTER_CODE</v>
      </c>
      <c r="B118" s="2" t="s">
        <v>26</v>
      </c>
      <c r="C118" s="2" t="s">
        <v>54</v>
      </c>
      <c r="D118" s="2" t="s">
        <v>95</v>
      </c>
      <c r="E118" s="2" t="s">
        <v>38</v>
      </c>
      <c r="F118" s="2" t="s">
        <v>94</v>
      </c>
      <c r="G118" s="2" t="s">
        <v>98</v>
      </c>
      <c r="H118" s="56" t="str">
        <f>Table1[[#This Row],[Tabela]]&amp;Table1[[#This Row],[Campo]]</f>
        <v>PROPERTYCADASTRAL_REGISTER_CODE</v>
      </c>
      <c r="I118" s="3" t="s">
        <v>612</v>
      </c>
      <c r="J118" s="54">
        <f>VLOOKUP(Table1[[#This Row],[Status]],Auxiliar!$B$16:$C$24,2,0)</f>
        <v>1</v>
      </c>
      <c r="K118" s="2" t="s">
        <v>1169</v>
      </c>
      <c r="L118" s="28" t="s">
        <v>1174</v>
      </c>
      <c r="M118" s="20" t="s">
        <v>1175</v>
      </c>
      <c r="N118" s="47">
        <v>45505</v>
      </c>
      <c r="O118" s="20">
        <f>INDEX(Auxiliar!$D$5:$F$13,MATCH(Table1[[#This Row],[Tipologia_Testes]],Auxiliar!$B$5:$B$13,0),MATCH(Table1[[#This Row],[Complexidade]],Auxiliar!$D$4:$F$4,0))</f>
        <v>2</v>
      </c>
      <c r="P118" s="2"/>
      <c r="Q118" s="2" t="s">
        <v>1185</v>
      </c>
      <c r="R118" s="151">
        <v>45261</v>
      </c>
      <c r="S118" s="151"/>
      <c r="T118" s="151"/>
      <c r="U118" s="151"/>
      <c r="V118" s="151"/>
      <c r="W118" s="2">
        <f>VLOOKUP(Table1[[#This Row],[Status]],Auxiliar!$B$16:$D$24,3,0)*Table1[[#This Row],[Estimação (horas)]]</f>
        <v>2</v>
      </c>
      <c r="X118" s="165">
        <f>+VLOOKUP(CONCATENATE(Table1[[#This Row],[Tabela]],Table1[[#This Row],[Campo]]),'2. Status Detalhe Campos FY24'!A:J,9,FALSE)</f>
        <v>0</v>
      </c>
      <c r="Y118" s="491" t="e">
        <f>+VLOOKUP(A118,#REF!,1,FALSE)</f>
        <v>#REF!</v>
      </c>
    </row>
    <row r="119" spans="1:25" ht="17.899999999999999" hidden="1" customHeight="1">
      <c r="A119" t="str">
        <f>+Table1[[#This Row],[Tabela]]&amp;Table1[[#This Row],[Campo]]</f>
        <v>PROPERTYCADASTRAL_REGISTER_CODE</v>
      </c>
      <c r="B119" s="2" t="s">
        <v>26</v>
      </c>
      <c r="C119" s="2" t="s">
        <v>54</v>
      </c>
      <c r="D119" s="2" t="s">
        <v>95</v>
      </c>
      <c r="E119" s="2" t="s">
        <v>38</v>
      </c>
      <c r="F119" s="2" t="s">
        <v>94</v>
      </c>
      <c r="G119" s="2" t="s">
        <v>98</v>
      </c>
      <c r="H119" s="56" t="str">
        <f>Table1[[#This Row],[Tabela]]&amp;Table1[[#This Row],[Campo]]</f>
        <v>PROPERTYCADASTRAL_REGISTER_CODE</v>
      </c>
      <c r="I119" s="3" t="s">
        <v>612</v>
      </c>
      <c r="J119" s="54">
        <f>VLOOKUP(Table1[[#This Row],[Status]],Auxiliar!$B$16:$C$24,2,0)</f>
        <v>1</v>
      </c>
      <c r="K119" s="2" t="s">
        <v>1171</v>
      </c>
      <c r="L119" s="28" t="s">
        <v>1174</v>
      </c>
      <c r="M119" s="20" t="s">
        <v>1175</v>
      </c>
      <c r="N119" s="47">
        <v>45505</v>
      </c>
      <c r="O119" s="20">
        <f>INDEX(Auxiliar!$D$5:$F$13,MATCH(Table1[[#This Row],[Tipologia_Testes]],Auxiliar!$B$5:$B$13,0),MATCH(Table1[[#This Row],[Complexidade]],Auxiliar!$D$4:$F$4,0))</f>
        <v>0.1</v>
      </c>
      <c r="P119" s="2"/>
      <c r="Q119" s="2" t="s">
        <v>1185</v>
      </c>
      <c r="R119" s="151">
        <v>45261</v>
      </c>
      <c r="S119" s="151"/>
      <c r="T119" s="151"/>
      <c r="U119" s="151"/>
      <c r="V119" s="151"/>
      <c r="W119" s="2">
        <f>VLOOKUP(Table1[[#This Row],[Status]],Auxiliar!$B$16:$D$24,3,0)*Table1[[#This Row],[Estimação (horas)]]</f>
        <v>0.1</v>
      </c>
      <c r="X119" s="165">
        <f>+VLOOKUP(CONCATENATE(Table1[[#This Row],[Tabela]],Table1[[#This Row],[Campo]]),'2. Status Detalhe Campos FY24'!A:J,9,FALSE)</f>
        <v>0</v>
      </c>
      <c r="Y119" s="491" t="e">
        <f>+VLOOKUP(A119,#REF!,1,FALSE)</f>
        <v>#REF!</v>
      </c>
    </row>
    <row r="120" spans="1:25" ht="17.899999999999999" hidden="1" customHeight="1">
      <c r="A120" t="str">
        <f>+Table1[[#This Row],[Tabela]]&amp;Table1[[#This Row],[Campo]]</f>
        <v>PROPERTYAPPRAISAL_CODE</v>
      </c>
      <c r="B120" s="2" t="s">
        <v>26</v>
      </c>
      <c r="C120" s="2" t="s">
        <v>54</v>
      </c>
      <c r="D120" s="2" t="s">
        <v>95</v>
      </c>
      <c r="E120" s="2" t="s">
        <v>38</v>
      </c>
      <c r="F120" s="2" t="s">
        <v>94</v>
      </c>
      <c r="G120" s="2" t="s">
        <v>99</v>
      </c>
      <c r="H120" s="56" t="str">
        <f>Table1[[#This Row],[Tabela]]&amp;Table1[[#This Row],[Campo]]</f>
        <v>PROPERTYAPPRAISAL_CODE</v>
      </c>
      <c r="I120" s="3" t="s">
        <v>612</v>
      </c>
      <c r="J120" s="54">
        <f>VLOOKUP(Table1[[#This Row],[Status]],Auxiliar!$B$16:$C$24,2,0)</f>
        <v>1</v>
      </c>
      <c r="K120" s="2" t="s">
        <v>1168</v>
      </c>
      <c r="L120" s="28" t="s">
        <v>1174</v>
      </c>
      <c r="M120" s="20" t="s">
        <v>1175</v>
      </c>
      <c r="N120" s="47">
        <v>45485</v>
      </c>
      <c r="O120" s="20">
        <f>INDEX(Auxiliar!$D$5:$F$13,MATCH(Table1[[#This Row],[Tipologia_Testes]],Auxiliar!$B$5:$B$13,0),MATCH(Table1[[#This Row],[Complexidade]],Auxiliar!$D$4:$F$4,0))</f>
        <v>2</v>
      </c>
      <c r="P120" s="2"/>
      <c r="Q120" s="2" t="s">
        <v>1185</v>
      </c>
      <c r="R120" s="151">
        <v>45261</v>
      </c>
      <c r="S120" s="151"/>
      <c r="T120" s="151"/>
      <c r="U120" s="151"/>
      <c r="V120" s="151"/>
      <c r="W120" s="2">
        <f>VLOOKUP(Table1[[#This Row],[Status]],Auxiliar!$B$16:$D$24,3,0)*Table1[[#This Row],[Estimação (horas)]]</f>
        <v>2</v>
      </c>
      <c r="X120" s="165">
        <f>+VLOOKUP(CONCATENATE(Table1[[#This Row],[Tabela]],Table1[[#This Row],[Campo]]),'2. Status Detalhe Campos FY24'!A:J,9,FALSE)</f>
        <v>0</v>
      </c>
      <c r="Y120" s="491" t="e">
        <f>+VLOOKUP(A120,#REF!,1,FALSE)</f>
        <v>#REF!</v>
      </c>
    </row>
    <row r="121" spans="1:25" ht="17.899999999999999" hidden="1" customHeight="1">
      <c r="A121" t="str">
        <f>+Table1[[#This Row],[Tabela]]&amp;Table1[[#This Row],[Campo]]</f>
        <v>PROPERTYAPPRAISAL_CODE</v>
      </c>
      <c r="B121" s="2" t="s">
        <v>26</v>
      </c>
      <c r="C121" s="2" t="s">
        <v>54</v>
      </c>
      <c r="D121" s="2" t="s">
        <v>95</v>
      </c>
      <c r="E121" s="2" t="s">
        <v>38</v>
      </c>
      <c r="F121" s="2" t="s">
        <v>94</v>
      </c>
      <c r="G121" s="2" t="s">
        <v>99</v>
      </c>
      <c r="H121" s="56" t="str">
        <f>Table1[[#This Row],[Tabela]]&amp;Table1[[#This Row],[Campo]]</f>
        <v>PROPERTYAPPRAISAL_CODE</v>
      </c>
      <c r="I121" s="3" t="s">
        <v>612</v>
      </c>
      <c r="J121" s="54">
        <f>VLOOKUP(Table1[[#This Row],[Status]],Auxiliar!$B$16:$C$24,2,0)</f>
        <v>1</v>
      </c>
      <c r="K121" s="2" t="s">
        <v>1169</v>
      </c>
      <c r="L121" s="28" t="s">
        <v>1174</v>
      </c>
      <c r="M121" s="20" t="s">
        <v>1175</v>
      </c>
      <c r="N121" s="47">
        <v>45485</v>
      </c>
      <c r="O121" s="20">
        <f>INDEX(Auxiliar!$D$5:$F$13,MATCH(Table1[[#This Row],[Tipologia_Testes]],Auxiliar!$B$5:$B$13,0),MATCH(Table1[[#This Row],[Complexidade]],Auxiliar!$D$4:$F$4,0))</f>
        <v>2</v>
      </c>
      <c r="P121" s="2"/>
      <c r="Q121" s="2" t="s">
        <v>1185</v>
      </c>
      <c r="R121" s="151">
        <v>45261</v>
      </c>
      <c r="S121" s="151"/>
      <c r="T121" s="151"/>
      <c r="U121" s="151"/>
      <c r="V121" s="151"/>
      <c r="W121" s="2">
        <f>VLOOKUP(Table1[[#This Row],[Status]],Auxiliar!$B$16:$D$24,3,0)*Table1[[#This Row],[Estimação (horas)]]</f>
        <v>2</v>
      </c>
      <c r="X121" s="165">
        <f>+VLOOKUP(CONCATENATE(Table1[[#This Row],[Tabela]],Table1[[#This Row],[Campo]]),'2. Status Detalhe Campos FY24'!A:J,9,FALSE)</f>
        <v>0</v>
      </c>
      <c r="Y121" s="491" t="e">
        <f>+VLOOKUP(A121,#REF!,1,FALSE)</f>
        <v>#REF!</v>
      </c>
    </row>
    <row r="122" spans="1:25" ht="17.899999999999999" hidden="1" customHeight="1">
      <c r="A122" t="str">
        <f>+Table1[[#This Row],[Tabela]]&amp;Table1[[#This Row],[Campo]]</f>
        <v>PROPERTYAPPRAISAL_CODE</v>
      </c>
      <c r="B122" s="2" t="s">
        <v>26</v>
      </c>
      <c r="C122" s="2" t="s">
        <v>54</v>
      </c>
      <c r="D122" s="2" t="s">
        <v>95</v>
      </c>
      <c r="E122" s="2" t="s">
        <v>38</v>
      </c>
      <c r="F122" s="2" t="s">
        <v>94</v>
      </c>
      <c r="G122" s="2" t="s">
        <v>99</v>
      </c>
      <c r="H122" s="56" t="str">
        <f>Table1[[#This Row],[Tabela]]&amp;Table1[[#This Row],[Campo]]</f>
        <v>PROPERTYAPPRAISAL_CODE</v>
      </c>
      <c r="I122" s="3" t="s">
        <v>612</v>
      </c>
      <c r="J122" s="54">
        <f>VLOOKUP(Table1[[#This Row],[Status]],Auxiliar!$B$16:$C$24,2,0)</f>
        <v>1</v>
      </c>
      <c r="K122" s="2" t="s">
        <v>1171</v>
      </c>
      <c r="L122" s="28" t="s">
        <v>1174</v>
      </c>
      <c r="M122" s="20" t="s">
        <v>1175</v>
      </c>
      <c r="N122" s="47">
        <v>45485</v>
      </c>
      <c r="O122" s="20">
        <f>INDEX(Auxiliar!$D$5:$F$13,MATCH(Table1[[#This Row],[Tipologia_Testes]],Auxiliar!$B$5:$B$13,0),MATCH(Table1[[#This Row],[Complexidade]],Auxiliar!$D$4:$F$4,0))</f>
        <v>0.1</v>
      </c>
      <c r="P122" s="2"/>
      <c r="Q122" s="2" t="s">
        <v>1185</v>
      </c>
      <c r="R122" s="151">
        <v>45261</v>
      </c>
      <c r="S122" s="151"/>
      <c r="T122" s="151"/>
      <c r="U122" s="151"/>
      <c r="V122" s="151"/>
      <c r="W122" s="2">
        <f>VLOOKUP(Table1[[#This Row],[Status]],Auxiliar!$B$16:$D$24,3,0)*Table1[[#This Row],[Estimação (horas)]]</f>
        <v>0.1</v>
      </c>
      <c r="X122" s="165">
        <f>+VLOOKUP(CONCATENATE(Table1[[#This Row],[Tabela]],Table1[[#This Row],[Campo]]),'2. Status Detalhe Campos FY24'!A:J,9,FALSE)</f>
        <v>0</v>
      </c>
      <c r="Y122" s="491" t="e">
        <f>+VLOOKUP(A122,#REF!,1,FALSE)</f>
        <v>#REF!</v>
      </c>
    </row>
    <row r="123" spans="1:25" ht="35.15" hidden="1" customHeight="1">
      <c r="A123" t="str">
        <f>+Table1[[#This Row],[Tabela]]&amp;Table1[[#This Row],[Campo]]</f>
        <v>PROPERTYcod_bem</v>
      </c>
      <c r="B123" s="2" t="s">
        <v>26</v>
      </c>
      <c r="C123" s="2" t="s">
        <v>54</v>
      </c>
      <c r="D123" s="2" t="s">
        <v>95</v>
      </c>
      <c r="E123" s="2" t="s">
        <v>38</v>
      </c>
      <c r="F123" s="2" t="s">
        <v>94</v>
      </c>
      <c r="G123" s="2" t="s">
        <v>100</v>
      </c>
      <c r="H123" s="56" t="str">
        <f>Table1[[#This Row],[Tabela]]&amp;Table1[[#This Row],[Campo]]</f>
        <v>PROPERTYcod_bem</v>
      </c>
      <c r="I123" s="2" t="s">
        <v>611</v>
      </c>
      <c r="J123" s="42">
        <f>VLOOKUP(Table1[[#This Row],[Status]],Auxiliar!$B$16:$C$24,2,0)</f>
        <v>0</v>
      </c>
      <c r="K123" s="2" t="s">
        <v>1168</v>
      </c>
      <c r="L123" s="28" t="s">
        <v>1186</v>
      </c>
      <c r="M123" s="20" t="s">
        <v>1176</v>
      </c>
      <c r="N123" s="47">
        <v>45485</v>
      </c>
      <c r="O123" s="20">
        <f>INDEX(Auxiliar!$D$5:$F$13,MATCH(Table1[[#This Row],[Tipologia_Testes]],Auxiliar!$B$5:$B$13,0),MATCH(Table1[[#This Row],[Complexidade]],Auxiliar!$D$4:$F$4,0))</f>
        <v>4</v>
      </c>
      <c r="P123" s="22" t="s">
        <v>1189</v>
      </c>
      <c r="Q123" s="2" t="s">
        <v>1185</v>
      </c>
      <c r="R123" s="151">
        <v>45425</v>
      </c>
      <c r="S123" s="151"/>
      <c r="T123" s="151"/>
      <c r="U123" s="151"/>
      <c r="V123" s="151"/>
      <c r="W123" s="2">
        <f>VLOOKUP(Table1[[#This Row],[Status]],Auxiliar!$B$16:$D$24,3,0)*Table1[[#This Row],[Estimação (horas)]]</f>
        <v>0</v>
      </c>
      <c r="X123" s="165">
        <f>+VLOOKUP(CONCATENATE(Table1[[#This Row],[Tabela]],Table1[[#This Row],[Campo]]),'2. Status Detalhe Campos FY24'!A:J,9,FALSE)</f>
        <v>0</v>
      </c>
      <c r="Y123" s="491" t="e">
        <f>+VLOOKUP(A123,#REF!,1,FALSE)</f>
        <v>#REF!</v>
      </c>
    </row>
    <row r="124" spans="1:25" ht="17.899999999999999" hidden="1" customHeight="1">
      <c r="A124" t="str">
        <f>+Table1[[#This Row],[Tabela]]&amp;Table1[[#This Row],[Campo]]</f>
        <v>PROPERTYDISTRICT_MUNICIP_PARISH_CODE</v>
      </c>
      <c r="B124" s="2" t="s">
        <v>26</v>
      </c>
      <c r="C124" s="2" t="s">
        <v>54</v>
      </c>
      <c r="D124" s="2" t="s">
        <v>95</v>
      </c>
      <c r="E124" s="2" t="s">
        <v>38</v>
      </c>
      <c r="F124" s="2" t="s">
        <v>94</v>
      </c>
      <c r="G124" s="2" t="s">
        <v>101</v>
      </c>
      <c r="H124" s="56" t="str">
        <f>Table1[[#This Row],[Tabela]]&amp;Table1[[#This Row],[Campo]]</f>
        <v>PROPERTYDISTRICT_MUNICIP_PARISH_CODE</v>
      </c>
      <c r="I124" s="3" t="s">
        <v>612</v>
      </c>
      <c r="J124" s="54">
        <f>VLOOKUP(Table1[[#This Row],[Status]],Auxiliar!$B$16:$C$24,2,0)</f>
        <v>1</v>
      </c>
      <c r="K124" s="2" t="s">
        <v>1168</v>
      </c>
      <c r="L124" s="28" t="s">
        <v>1174</v>
      </c>
      <c r="M124" s="20" t="s">
        <v>1175</v>
      </c>
      <c r="N124" s="47">
        <v>45505</v>
      </c>
      <c r="O124" s="20">
        <f>INDEX(Auxiliar!$D$5:$F$13,MATCH(Table1[[#This Row],[Tipologia_Testes]],Auxiliar!$B$5:$B$13,0),MATCH(Table1[[#This Row],[Complexidade]],Auxiliar!$D$4:$F$4,0))</f>
        <v>2</v>
      </c>
      <c r="P124" s="2"/>
      <c r="Q124" s="2" t="s">
        <v>1185</v>
      </c>
      <c r="R124" s="151">
        <v>45261</v>
      </c>
      <c r="S124" s="151"/>
      <c r="T124" s="151"/>
      <c r="U124" s="151"/>
      <c r="V124" s="151"/>
      <c r="W124" s="2">
        <f>VLOOKUP(Table1[[#This Row],[Status]],Auxiliar!$B$16:$D$24,3,0)*Table1[[#This Row],[Estimação (horas)]]</f>
        <v>2</v>
      </c>
      <c r="X124" s="165">
        <f>+VLOOKUP(CONCATENATE(Table1[[#This Row],[Tabela]],Table1[[#This Row],[Campo]]),'2. Status Detalhe Campos FY24'!A:J,9,FALSE)</f>
        <v>0</v>
      </c>
      <c r="Y124" s="491" t="e">
        <f>+VLOOKUP(A124,#REF!,1,FALSE)</f>
        <v>#REF!</v>
      </c>
    </row>
    <row r="125" spans="1:25" ht="17.899999999999999" hidden="1" customHeight="1">
      <c r="A125" t="str">
        <f>+Table1[[#This Row],[Tabela]]&amp;Table1[[#This Row],[Campo]]</f>
        <v>PROPERTYDISTRICT_MUNICIP_PARISH_CODE</v>
      </c>
      <c r="B125" s="2" t="s">
        <v>26</v>
      </c>
      <c r="C125" s="2" t="s">
        <v>54</v>
      </c>
      <c r="D125" s="2" t="s">
        <v>95</v>
      </c>
      <c r="E125" s="2" t="s">
        <v>38</v>
      </c>
      <c r="F125" s="2" t="s">
        <v>94</v>
      </c>
      <c r="G125" s="2" t="s">
        <v>101</v>
      </c>
      <c r="H125" s="56" t="str">
        <f>Table1[[#This Row],[Tabela]]&amp;Table1[[#This Row],[Campo]]</f>
        <v>PROPERTYDISTRICT_MUNICIP_PARISH_CODE</v>
      </c>
      <c r="I125" s="3" t="s">
        <v>612</v>
      </c>
      <c r="J125" s="54">
        <f>VLOOKUP(Table1[[#This Row],[Status]],Auxiliar!$B$16:$C$24,2,0)</f>
        <v>1</v>
      </c>
      <c r="K125" s="2" t="s">
        <v>1169</v>
      </c>
      <c r="L125" s="28" t="s">
        <v>1174</v>
      </c>
      <c r="M125" s="20" t="s">
        <v>1175</v>
      </c>
      <c r="N125" s="47">
        <v>45505</v>
      </c>
      <c r="O125" s="20">
        <f>INDEX(Auxiliar!$D$5:$F$13,MATCH(Table1[[#This Row],[Tipologia_Testes]],Auxiliar!$B$5:$B$13,0),MATCH(Table1[[#This Row],[Complexidade]],Auxiliar!$D$4:$F$4,0))</f>
        <v>2</v>
      </c>
      <c r="P125" s="2"/>
      <c r="Q125" s="2" t="s">
        <v>1185</v>
      </c>
      <c r="R125" s="151">
        <v>45261</v>
      </c>
      <c r="S125" s="151"/>
      <c r="T125" s="151"/>
      <c r="U125" s="151"/>
      <c r="V125" s="151"/>
      <c r="W125" s="2">
        <f>VLOOKUP(Table1[[#This Row],[Status]],Auxiliar!$B$16:$D$24,3,0)*Table1[[#This Row],[Estimação (horas)]]</f>
        <v>2</v>
      </c>
      <c r="X125" s="165">
        <f>+VLOOKUP(CONCATENATE(Table1[[#This Row],[Tabela]],Table1[[#This Row],[Campo]]),'2. Status Detalhe Campos FY24'!A:J,9,FALSE)</f>
        <v>0</v>
      </c>
      <c r="Y125" s="491" t="e">
        <f>+VLOOKUP(A125,#REF!,1,FALSE)</f>
        <v>#REF!</v>
      </c>
    </row>
    <row r="126" spans="1:25" ht="17.899999999999999" hidden="1" customHeight="1">
      <c r="A126" t="str">
        <f>+Table1[[#This Row],[Tabela]]&amp;Table1[[#This Row],[Campo]]</f>
        <v>PROPERTYDISTRICT_MUNICIP_PARISH_CODE</v>
      </c>
      <c r="B126" s="2" t="s">
        <v>26</v>
      </c>
      <c r="C126" s="2" t="s">
        <v>54</v>
      </c>
      <c r="D126" s="2" t="s">
        <v>95</v>
      </c>
      <c r="E126" s="2" t="s">
        <v>38</v>
      </c>
      <c r="F126" s="2" t="s">
        <v>94</v>
      </c>
      <c r="G126" s="2" t="s">
        <v>101</v>
      </c>
      <c r="H126" s="56" t="str">
        <f>Table1[[#This Row],[Tabela]]&amp;Table1[[#This Row],[Campo]]</f>
        <v>PROPERTYDISTRICT_MUNICIP_PARISH_CODE</v>
      </c>
      <c r="I126" s="3" t="s">
        <v>612</v>
      </c>
      <c r="J126" s="54">
        <f>VLOOKUP(Table1[[#This Row],[Status]],Auxiliar!$B$16:$C$24,2,0)</f>
        <v>1</v>
      </c>
      <c r="K126" s="2" t="s">
        <v>1171</v>
      </c>
      <c r="L126" s="28" t="s">
        <v>1174</v>
      </c>
      <c r="M126" s="20" t="s">
        <v>1175</v>
      </c>
      <c r="N126" s="47">
        <v>45505</v>
      </c>
      <c r="O126" s="20">
        <f>INDEX(Auxiliar!$D$5:$F$13,MATCH(Table1[[#This Row],[Tipologia_Testes]],Auxiliar!$B$5:$B$13,0),MATCH(Table1[[#This Row],[Complexidade]],Auxiliar!$D$4:$F$4,0))</f>
        <v>0.1</v>
      </c>
      <c r="P126" s="2"/>
      <c r="Q126" s="2" t="s">
        <v>1185</v>
      </c>
      <c r="R126" s="151">
        <v>45261</v>
      </c>
      <c r="S126" s="151"/>
      <c r="T126" s="151"/>
      <c r="U126" s="151"/>
      <c r="V126" s="151"/>
      <c r="W126" s="2">
        <f>VLOOKUP(Table1[[#This Row],[Status]],Auxiliar!$B$16:$D$24,3,0)*Table1[[#This Row],[Estimação (horas)]]</f>
        <v>0.1</v>
      </c>
      <c r="X126" s="165">
        <f>+VLOOKUP(CONCATENATE(Table1[[#This Row],[Tabela]],Table1[[#This Row],[Campo]]),'2. Status Detalhe Campos FY24'!A:J,9,FALSE)</f>
        <v>0</v>
      </c>
      <c r="Y126" s="491" t="e">
        <f>+VLOOKUP(A126,#REF!,1,FALSE)</f>
        <v>#REF!</v>
      </c>
    </row>
    <row r="127" spans="1:25" ht="17.899999999999999" hidden="1" customHeight="1">
      <c r="A127" t="str">
        <f>+Table1[[#This Row],[Tabela]]&amp;Table1[[#This Row],[Campo]]</f>
        <v>PROPERTYPROPERTY_PURPOSE_CODE</v>
      </c>
      <c r="B127" s="2" t="s">
        <v>26</v>
      </c>
      <c r="C127" s="2" t="s">
        <v>54</v>
      </c>
      <c r="D127" s="2" t="s">
        <v>95</v>
      </c>
      <c r="E127" s="2" t="s">
        <v>38</v>
      </c>
      <c r="F127" s="2" t="s">
        <v>94</v>
      </c>
      <c r="G127" s="2" t="s">
        <v>102</v>
      </c>
      <c r="H127" s="56" t="str">
        <f>Table1[[#This Row],[Tabela]]&amp;Table1[[#This Row],[Campo]]</f>
        <v>PROPERTYPROPERTY_PURPOSE_CODE</v>
      </c>
      <c r="I127" s="3" t="s">
        <v>612</v>
      </c>
      <c r="J127" s="54">
        <f>VLOOKUP(Table1[[#This Row],[Status]],Auxiliar!$B$16:$C$24,2,0)</f>
        <v>1</v>
      </c>
      <c r="K127" s="2" t="s">
        <v>1168</v>
      </c>
      <c r="L127" s="28" t="s">
        <v>1174</v>
      </c>
      <c r="M127" s="20" t="s">
        <v>1175</v>
      </c>
      <c r="N127" s="47">
        <v>45505</v>
      </c>
      <c r="O127" s="20">
        <f>INDEX(Auxiliar!$D$5:$F$13,MATCH(Table1[[#This Row],[Tipologia_Testes]],Auxiliar!$B$5:$B$13,0),MATCH(Table1[[#This Row],[Complexidade]],Auxiliar!$D$4:$F$4,0))</f>
        <v>2</v>
      </c>
      <c r="P127" s="2"/>
      <c r="Q127" s="2" t="s">
        <v>1185</v>
      </c>
      <c r="R127" s="151">
        <v>45261</v>
      </c>
      <c r="S127" s="151"/>
      <c r="T127" s="151"/>
      <c r="U127" s="151"/>
      <c r="V127" s="151"/>
      <c r="W127" s="2">
        <f>VLOOKUP(Table1[[#This Row],[Status]],Auxiliar!$B$16:$D$24,3,0)*Table1[[#This Row],[Estimação (horas)]]</f>
        <v>2</v>
      </c>
      <c r="X127" s="165">
        <f>+VLOOKUP(CONCATENATE(Table1[[#This Row],[Tabela]],Table1[[#This Row],[Campo]]),'2. Status Detalhe Campos FY24'!A:J,9,FALSE)</f>
        <v>0</v>
      </c>
      <c r="Y127" s="491" t="e">
        <f>+VLOOKUP(A127,#REF!,1,FALSE)</f>
        <v>#REF!</v>
      </c>
    </row>
    <row r="128" spans="1:25" ht="17.899999999999999" hidden="1" customHeight="1">
      <c r="A128" t="str">
        <f>+Table1[[#This Row],[Tabela]]&amp;Table1[[#This Row],[Campo]]</f>
        <v>PROPERTYPROPERTY_PURPOSE_CODE</v>
      </c>
      <c r="B128" s="2" t="s">
        <v>26</v>
      </c>
      <c r="C128" s="2" t="s">
        <v>54</v>
      </c>
      <c r="D128" s="2" t="s">
        <v>95</v>
      </c>
      <c r="E128" s="2" t="s">
        <v>38</v>
      </c>
      <c r="F128" s="2" t="s">
        <v>94</v>
      </c>
      <c r="G128" s="2" t="s">
        <v>102</v>
      </c>
      <c r="H128" s="56" t="str">
        <f>Table1[[#This Row],[Tabela]]&amp;Table1[[#This Row],[Campo]]</f>
        <v>PROPERTYPROPERTY_PURPOSE_CODE</v>
      </c>
      <c r="I128" s="3" t="s">
        <v>612</v>
      </c>
      <c r="J128" s="54">
        <f>VLOOKUP(Table1[[#This Row],[Status]],Auxiliar!$B$16:$C$24,2,0)</f>
        <v>1</v>
      </c>
      <c r="K128" s="2" t="s">
        <v>1169</v>
      </c>
      <c r="L128" s="28" t="s">
        <v>1174</v>
      </c>
      <c r="M128" s="20" t="s">
        <v>1175</v>
      </c>
      <c r="N128" s="47">
        <v>45505</v>
      </c>
      <c r="O128" s="20">
        <f>INDEX(Auxiliar!$D$5:$F$13,MATCH(Table1[[#This Row],[Tipologia_Testes]],Auxiliar!$B$5:$B$13,0),MATCH(Table1[[#This Row],[Complexidade]],Auxiliar!$D$4:$F$4,0))</f>
        <v>2</v>
      </c>
      <c r="P128" s="2"/>
      <c r="Q128" s="2" t="s">
        <v>1185</v>
      </c>
      <c r="R128" s="151">
        <v>45261</v>
      </c>
      <c r="S128" s="151"/>
      <c r="T128" s="151"/>
      <c r="U128" s="151"/>
      <c r="V128" s="151"/>
      <c r="W128" s="2">
        <f>VLOOKUP(Table1[[#This Row],[Status]],Auxiliar!$B$16:$D$24,3,0)*Table1[[#This Row],[Estimação (horas)]]</f>
        <v>2</v>
      </c>
      <c r="X128" s="165">
        <f>+VLOOKUP(CONCATENATE(Table1[[#This Row],[Tabela]],Table1[[#This Row],[Campo]]),'2. Status Detalhe Campos FY24'!A:J,9,FALSE)</f>
        <v>0</v>
      </c>
      <c r="Y128" s="491" t="e">
        <f>+VLOOKUP(A128,#REF!,1,FALSE)</f>
        <v>#REF!</v>
      </c>
    </row>
    <row r="129" spans="1:25" ht="17.899999999999999" hidden="1" customHeight="1">
      <c r="A129" t="str">
        <f>+Table1[[#This Row],[Tabela]]&amp;Table1[[#This Row],[Campo]]</f>
        <v>PROPERTYPROPERTY_PURPOSE_CODE</v>
      </c>
      <c r="B129" s="2" t="s">
        <v>26</v>
      </c>
      <c r="C129" s="2" t="s">
        <v>54</v>
      </c>
      <c r="D129" s="2" t="s">
        <v>95</v>
      </c>
      <c r="E129" s="2" t="s">
        <v>38</v>
      </c>
      <c r="F129" s="2" t="s">
        <v>94</v>
      </c>
      <c r="G129" s="2" t="s">
        <v>102</v>
      </c>
      <c r="H129" s="56" t="str">
        <f>Table1[[#This Row],[Tabela]]&amp;Table1[[#This Row],[Campo]]</f>
        <v>PROPERTYPROPERTY_PURPOSE_CODE</v>
      </c>
      <c r="I129" s="3" t="s">
        <v>612</v>
      </c>
      <c r="J129" s="54">
        <f>VLOOKUP(Table1[[#This Row],[Status]],Auxiliar!$B$16:$C$24,2,0)</f>
        <v>1</v>
      </c>
      <c r="K129" s="2" t="s">
        <v>1171</v>
      </c>
      <c r="L129" s="28" t="s">
        <v>1174</v>
      </c>
      <c r="M129" s="20" t="s">
        <v>1175</v>
      </c>
      <c r="N129" s="47">
        <v>45505</v>
      </c>
      <c r="O129" s="20">
        <f>INDEX(Auxiliar!$D$5:$F$13,MATCH(Table1[[#This Row],[Tipologia_Testes]],Auxiliar!$B$5:$B$13,0),MATCH(Table1[[#This Row],[Complexidade]],Auxiliar!$D$4:$F$4,0))</f>
        <v>0.1</v>
      </c>
      <c r="P129" s="2"/>
      <c r="Q129" s="2" t="s">
        <v>1185</v>
      </c>
      <c r="R129" s="151">
        <v>45261</v>
      </c>
      <c r="S129" s="151"/>
      <c r="T129" s="151"/>
      <c r="U129" s="151"/>
      <c r="V129" s="151"/>
      <c r="W129" s="2">
        <f>VLOOKUP(Table1[[#This Row],[Status]],Auxiliar!$B$16:$D$24,3,0)*Table1[[#This Row],[Estimação (horas)]]</f>
        <v>0.1</v>
      </c>
      <c r="X129" s="165">
        <f>+VLOOKUP(CONCATENATE(Table1[[#This Row],[Tabela]],Table1[[#This Row],[Campo]]),'2. Status Detalhe Campos FY24'!A:J,9,FALSE)</f>
        <v>0</v>
      </c>
      <c r="Y129" s="491" t="e">
        <f>+VLOOKUP(A129,#REF!,1,FALSE)</f>
        <v>#REF!</v>
      </c>
    </row>
    <row r="130" spans="1:25" ht="17.899999999999999" hidden="1" customHeight="1">
      <c r="A130" t="str">
        <f>+Table1[[#This Row],[Tabela]]&amp;Table1[[#This Row],[Campo]]</f>
        <v>PROPERTYPROPERTY_LIFETIME_CODE</v>
      </c>
      <c r="B130" s="2" t="s">
        <v>26</v>
      </c>
      <c r="C130" s="2" t="s">
        <v>54</v>
      </c>
      <c r="D130" s="2" t="s">
        <v>95</v>
      </c>
      <c r="E130" s="2" t="s">
        <v>38</v>
      </c>
      <c r="F130" s="2" t="s">
        <v>94</v>
      </c>
      <c r="G130" s="2" t="s">
        <v>103</v>
      </c>
      <c r="H130" s="56" t="str">
        <f>Table1[[#This Row],[Tabela]]&amp;Table1[[#This Row],[Campo]]</f>
        <v>PROPERTYPROPERTY_LIFETIME_CODE</v>
      </c>
      <c r="I130" s="2" t="s">
        <v>612</v>
      </c>
      <c r="J130" s="42">
        <f>VLOOKUP(Table1[[#This Row],[Status]],Auxiliar!$B$16:$C$24,2,0)</f>
        <v>1</v>
      </c>
      <c r="K130" s="2" t="s">
        <v>1168</v>
      </c>
      <c r="L130" s="28" t="s">
        <v>1174</v>
      </c>
      <c r="M130" s="20" t="s">
        <v>1175</v>
      </c>
      <c r="N130" s="47">
        <v>45490</v>
      </c>
      <c r="O130" s="20">
        <f>INDEX(Auxiliar!$D$5:$F$13,MATCH(Table1[[#This Row],[Tipologia_Testes]],Auxiliar!$B$5:$B$13,0),MATCH(Table1[[#This Row],[Complexidade]],Auxiliar!$D$4:$F$4,0))</f>
        <v>2</v>
      </c>
      <c r="P130" s="2"/>
      <c r="Q130" s="2" t="s">
        <v>1185</v>
      </c>
      <c r="R130" s="151">
        <v>45261</v>
      </c>
      <c r="S130" s="151"/>
      <c r="T130" s="151"/>
      <c r="U130" s="151"/>
      <c r="V130" s="151"/>
      <c r="W130" s="2">
        <f>VLOOKUP(Table1[[#This Row],[Status]],Auxiliar!$B$16:$D$24,3,0)*Table1[[#This Row],[Estimação (horas)]]</f>
        <v>2</v>
      </c>
      <c r="X130" s="165">
        <f>+VLOOKUP(CONCATENATE(Table1[[#This Row],[Tabela]],Table1[[#This Row],[Campo]]),'2. Status Detalhe Campos FY24'!A:J,9,FALSE)</f>
        <v>0</v>
      </c>
      <c r="Y130" s="491" t="e">
        <f>+VLOOKUP(A130,#REF!,1,FALSE)</f>
        <v>#REF!</v>
      </c>
    </row>
    <row r="131" spans="1:25" ht="17.899999999999999" hidden="1" customHeight="1">
      <c r="A131" t="str">
        <f>+Table1[[#This Row],[Tabela]]&amp;Table1[[#This Row],[Campo]]</f>
        <v>PROPERTYPROPERTY_LIFETIME_CODE</v>
      </c>
      <c r="B131" s="2" t="s">
        <v>26</v>
      </c>
      <c r="C131" s="2" t="s">
        <v>54</v>
      </c>
      <c r="D131" s="2" t="s">
        <v>95</v>
      </c>
      <c r="E131" s="2" t="s">
        <v>38</v>
      </c>
      <c r="F131" s="2" t="s">
        <v>94</v>
      </c>
      <c r="G131" s="2" t="s">
        <v>103</v>
      </c>
      <c r="H131" s="56" t="str">
        <f>Table1[[#This Row],[Tabela]]&amp;Table1[[#This Row],[Campo]]</f>
        <v>PROPERTYPROPERTY_LIFETIME_CODE</v>
      </c>
      <c r="I131" s="2" t="s">
        <v>612</v>
      </c>
      <c r="J131" s="42">
        <f>VLOOKUP(Table1[[#This Row],[Status]],Auxiliar!$B$16:$C$24,2,0)</f>
        <v>1</v>
      </c>
      <c r="K131" s="2" t="s">
        <v>1169</v>
      </c>
      <c r="L131" s="28" t="s">
        <v>1174</v>
      </c>
      <c r="M131" s="20" t="s">
        <v>1175</v>
      </c>
      <c r="N131" s="47">
        <v>45490</v>
      </c>
      <c r="O131" s="20">
        <f>INDEX(Auxiliar!$D$5:$F$13,MATCH(Table1[[#This Row],[Tipologia_Testes]],Auxiliar!$B$5:$B$13,0),MATCH(Table1[[#This Row],[Complexidade]],Auxiliar!$D$4:$F$4,0))</f>
        <v>2</v>
      </c>
      <c r="P131" s="2"/>
      <c r="Q131" s="2" t="s">
        <v>1185</v>
      </c>
      <c r="R131" s="151">
        <v>45261</v>
      </c>
      <c r="S131" s="151"/>
      <c r="T131" s="151"/>
      <c r="U131" s="151"/>
      <c r="V131" s="151"/>
      <c r="W131" s="2">
        <f>VLOOKUP(Table1[[#This Row],[Status]],Auxiliar!$B$16:$D$24,3,0)*Table1[[#This Row],[Estimação (horas)]]</f>
        <v>2</v>
      </c>
      <c r="X131" s="165">
        <f>+VLOOKUP(CONCATENATE(Table1[[#This Row],[Tabela]],Table1[[#This Row],[Campo]]),'2. Status Detalhe Campos FY24'!A:J,9,FALSE)</f>
        <v>0</v>
      </c>
      <c r="Y131" s="491" t="e">
        <f>+VLOOKUP(A131,#REF!,1,FALSE)</f>
        <v>#REF!</v>
      </c>
    </row>
    <row r="132" spans="1:25" ht="17.899999999999999" hidden="1" customHeight="1">
      <c r="A132" t="str">
        <f>+Table1[[#This Row],[Tabela]]&amp;Table1[[#This Row],[Campo]]</f>
        <v>PROPERTYPROPERTY_LIFETIME_CODE</v>
      </c>
      <c r="B132" s="2" t="s">
        <v>26</v>
      </c>
      <c r="C132" s="2" t="s">
        <v>54</v>
      </c>
      <c r="D132" s="2" t="s">
        <v>95</v>
      </c>
      <c r="E132" s="2" t="s">
        <v>38</v>
      </c>
      <c r="F132" s="2" t="s">
        <v>94</v>
      </c>
      <c r="G132" s="2" t="s">
        <v>103</v>
      </c>
      <c r="H132" s="56" t="str">
        <f>Table1[[#This Row],[Tabela]]&amp;Table1[[#This Row],[Campo]]</f>
        <v>PROPERTYPROPERTY_LIFETIME_CODE</v>
      </c>
      <c r="I132" s="2" t="s">
        <v>612</v>
      </c>
      <c r="J132" s="42">
        <f>VLOOKUP(Table1[[#This Row],[Status]],Auxiliar!$B$16:$C$24,2,0)</f>
        <v>1</v>
      </c>
      <c r="K132" s="2" t="s">
        <v>1171</v>
      </c>
      <c r="L132" s="28" t="s">
        <v>1174</v>
      </c>
      <c r="M132" s="20" t="s">
        <v>1175</v>
      </c>
      <c r="N132" s="47">
        <v>45490</v>
      </c>
      <c r="O132" s="20">
        <f>INDEX(Auxiliar!$D$5:$F$13,MATCH(Table1[[#This Row],[Tipologia_Testes]],Auxiliar!$B$5:$B$13,0),MATCH(Table1[[#This Row],[Complexidade]],Auxiliar!$D$4:$F$4,0))</f>
        <v>0.1</v>
      </c>
      <c r="P132" s="2"/>
      <c r="Q132" s="2" t="s">
        <v>1185</v>
      </c>
      <c r="R132" s="151">
        <v>45261</v>
      </c>
      <c r="S132" s="151"/>
      <c r="T132" s="151"/>
      <c r="U132" s="151"/>
      <c r="V132" s="151"/>
      <c r="W132" s="2">
        <f>VLOOKUP(Table1[[#This Row],[Status]],Auxiliar!$B$16:$D$24,3,0)*Table1[[#This Row],[Estimação (horas)]]</f>
        <v>0.1</v>
      </c>
      <c r="X132" s="165">
        <f>+VLOOKUP(CONCATENATE(Table1[[#This Row],[Tabela]],Table1[[#This Row],[Campo]]),'2. Status Detalhe Campos FY24'!A:J,9,FALSE)</f>
        <v>0</v>
      </c>
      <c r="Y132" s="491" t="e">
        <f>+VLOOKUP(A132,#REF!,1,FALSE)</f>
        <v>#REF!</v>
      </c>
    </row>
    <row r="133" spans="1:25" ht="17.899999999999999" hidden="1" customHeight="1">
      <c r="A133" t="str">
        <f>+Table1[[#This Row],[Tabela]]&amp;Table1[[#This Row],[Campo]]</f>
        <v>PROPERTYADDRESS_CODE</v>
      </c>
      <c r="B133" s="2" t="s">
        <v>26</v>
      </c>
      <c r="C133" s="2" t="s">
        <v>54</v>
      </c>
      <c r="D133" s="2" t="s">
        <v>95</v>
      </c>
      <c r="E133" s="2" t="s">
        <v>38</v>
      </c>
      <c r="F133" s="2" t="s">
        <v>94</v>
      </c>
      <c r="G133" s="2" t="s">
        <v>104</v>
      </c>
      <c r="H133" s="56" t="str">
        <f>Table1[[#This Row],[Tabela]]&amp;Table1[[#This Row],[Campo]]</f>
        <v>PROPERTYADDRESS_CODE</v>
      </c>
      <c r="I133" s="2" t="s">
        <v>612</v>
      </c>
      <c r="J133" s="42">
        <f>VLOOKUP(Table1[[#This Row],[Status]],Auxiliar!$B$16:$C$24,2,0)</f>
        <v>1</v>
      </c>
      <c r="K133" s="2" t="s">
        <v>1168</v>
      </c>
      <c r="L133" s="28" t="s">
        <v>1174</v>
      </c>
      <c r="M133" s="20" t="s">
        <v>1175</v>
      </c>
      <c r="N133" s="47">
        <v>45485</v>
      </c>
      <c r="O133" s="20">
        <f>INDEX(Auxiliar!$D$5:$F$13,MATCH(Table1[[#This Row],[Tipologia_Testes]],Auxiliar!$B$5:$B$13,0),MATCH(Table1[[#This Row],[Complexidade]],Auxiliar!$D$4:$F$4,0))</f>
        <v>2</v>
      </c>
      <c r="P133" s="2"/>
      <c r="Q133" s="2" t="s">
        <v>1185</v>
      </c>
      <c r="R133" s="151">
        <v>45261</v>
      </c>
      <c r="S133" s="151"/>
      <c r="T133" s="151"/>
      <c r="U133" s="151"/>
      <c r="V133" s="151"/>
      <c r="W133" s="2">
        <f>VLOOKUP(Table1[[#This Row],[Status]],Auxiliar!$B$16:$D$24,3,0)*Table1[[#This Row],[Estimação (horas)]]</f>
        <v>2</v>
      </c>
      <c r="X133" s="165">
        <f>+VLOOKUP(CONCATENATE(Table1[[#This Row],[Tabela]],Table1[[#This Row],[Campo]]),'2. Status Detalhe Campos FY24'!A:J,9,FALSE)</f>
        <v>0</v>
      </c>
      <c r="Y133" s="491" t="e">
        <f>+VLOOKUP(A133,#REF!,1,FALSE)</f>
        <v>#REF!</v>
      </c>
    </row>
    <row r="134" spans="1:25" ht="17.899999999999999" hidden="1" customHeight="1">
      <c r="A134" t="str">
        <f>+Table1[[#This Row],[Tabela]]&amp;Table1[[#This Row],[Campo]]</f>
        <v>PROPERTYADDRESS_CODE</v>
      </c>
      <c r="B134" s="2" t="s">
        <v>26</v>
      </c>
      <c r="C134" s="2" t="s">
        <v>54</v>
      </c>
      <c r="D134" s="2" t="s">
        <v>95</v>
      </c>
      <c r="E134" s="2" t="s">
        <v>38</v>
      </c>
      <c r="F134" s="2" t="s">
        <v>94</v>
      </c>
      <c r="G134" s="2" t="s">
        <v>104</v>
      </c>
      <c r="H134" s="56" t="str">
        <f>Table1[[#This Row],[Tabela]]&amp;Table1[[#This Row],[Campo]]</f>
        <v>PROPERTYADDRESS_CODE</v>
      </c>
      <c r="I134" s="2" t="s">
        <v>612</v>
      </c>
      <c r="J134" s="42">
        <f>VLOOKUP(Table1[[#This Row],[Status]],Auxiliar!$B$16:$C$24,2,0)</f>
        <v>1</v>
      </c>
      <c r="K134" s="2" t="s">
        <v>1169</v>
      </c>
      <c r="L134" s="28" t="s">
        <v>1174</v>
      </c>
      <c r="M134" s="20" t="s">
        <v>1175</v>
      </c>
      <c r="N134" s="47">
        <v>45485</v>
      </c>
      <c r="O134" s="20">
        <f>INDEX(Auxiliar!$D$5:$F$13,MATCH(Table1[[#This Row],[Tipologia_Testes]],Auxiliar!$B$5:$B$13,0),MATCH(Table1[[#This Row],[Complexidade]],Auxiliar!$D$4:$F$4,0))</f>
        <v>2</v>
      </c>
      <c r="P134" s="2"/>
      <c r="Q134" s="2" t="s">
        <v>1185</v>
      </c>
      <c r="R134" s="151">
        <v>45261</v>
      </c>
      <c r="S134" s="151"/>
      <c r="T134" s="151"/>
      <c r="U134" s="151"/>
      <c r="V134" s="151"/>
      <c r="W134" s="2">
        <f>VLOOKUP(Table1[[#This Row],[Status]],Auxiliar!$B$16:$D$24,3,0)*Table1[[#This Row],[Estimação (horas)]]</f>
        <v>2</v>
      </c>
      <c r="X134" s="165">
        <f>+VLOOKUP(CONCATENATE(Table1[[#This Row],[Tabela]],Table1[[#This Row],[Campo]]),'2. Status Detalhe Campos FY24'!A:J,9,FALSE)</f>
        <v>0</v>
      </c>
      <c r="Y134" s="491" t="e">
        <f>+VLOOKUP(A134,#REF!,1,FALSE)</f>
        <v>#REF!</v>
      </c>
    </row>
    <row r="135" spans="1:25" ht="17.899999999999999" hidden="1" customHeight="1">
      <c r="A135" t="str">
        <f>+Table1[[#This Row],[Tabela]]&amp;Table1[[#This Row],[Campo]]</f>
        <v>PROPERTYADDRESS_CODE</v>
      </c>
      <c r="B135" s="2" t="s">
        <v>26</v>
      </c>
      <c r="C135" s="2" t="s">
        <v>54</v>
      </c>
      <c r="D135" s="2" t="s">
        <v>95</v>
      </c>
      <c r="E135" s="2" t="s">
        <v>38</v>
      </c>
      <c r="F135" s="2" t="s">
        <v>94</v>
      </c>
      <c r="G135" s="2" t="s">
        <v>104</v>
      </c>
      <c r="H135" s="56" t="str">
        <f>Table1[[#This Row],[Tabela]]&amp;Table1[[#This Row],[Campo]]</f>
        <v>PROPERTYADDRESS_CODE</v>
      </c>
      <c r="I135" s="2" t="s">
        <v>612</v>
      </c>
      <c r="J135" s="42">
        <f>VLOOKUP(Table1[[#This Row],[Status]],Auxiliar!$B$16:$C$24,2,0)</f>
        <v>1</v>
      </c>
      <c r="K135" s="2" t="s">
        <v>1171</v>
      </c>
      <c r="L135" s="28" t="s">
        <v>1174</v>
      </c>
      <c r="M135" s="20" t="s">
        <v>1175</v>
      </c>
      <c r="N135" s="47">
        <v>45485</v>
      </c>
      <c r="O135" s="20">
        <f>INDEX(Auxiliar!$D$5:$F$13,MATCH(Table1[[#This Row],[Tipologia_Testes]],Auxiliar!$B$5:$B$13,0),MATCH(Table1[[#This Row],[Complexidade]],Auxiliar!$D$4:$F$4,0))</f>
        <v>0.1</v>
      </c>
      <c r="P135" s="2"/>
      <c r="Q135" s="2" t="s">
        <v>1185</v>
      </c>
      <c r="R135" s="151">
        <v>45261</v>
      </c>
      <c r="S135" s="151"/>
      <c r="T135" s="151"/>
      <c r="U135" s="151"/>
      <c r="V135" s="151"/>
      <c r="W135" s="2">
        <f>VLOOKUP(Table1[[#This Row],[Status]],Auxiliar!$B$16:$D$24,3,0)*Table1[[#This Row],[Estimação (horas)]]</f>
        <v>0.1</v>
      </c>
      <c r="X135" s="165">
        <f>+VLOOKUP(CONCATENATE(Table1[[#This Row],[Tabela]],Table1[[#This Row],[Campo]]),'2. Status Detalhe Campos FY24'!A:J,9,FALSE)</f>
        <v>0</v>
      </c>
      <c r="Y135" s="491" t="e">
        <f>+VLOOKUP(A135,#REF!,1,FALSE)</f>
        <v>#REF!</v>
      </c>
    </row>
    <row r="136" spans="1:25" ht="17.899999999999999" hidden="1" customHeight="1">
      <c r="A136" t="str">
        <f>+Table1[[#This Row],[Tabela]]&amp;Table1[[#This Row],[Campo]]</f>
        <v>PROPERTYCOUNTRY_CODE</v>
      </c>
      <c r="B136" s="2" t="s">
        <v>26</v>
      </c>
      <c r="C136" s="2" t="s">
        <v>54</v>
      </c>
      <c r="D136" s="2" t="s">
        <v>95</v>
      </c>
      <c r="E136" s="2" t="s">
        <v>38</v>
      </c>
      <c r="F136" s="2" t="s">
        <v>94</v>
      </c>
      <c r="G136" s="2" t="s">
        <v>105</v>
      </c>
      <c r="H136" s="56" t="str">
        <f>Table1[[#This Row],[Tabela]]&amp;Table1[[#This Row],[Campo]]</f>
        <v>PROPERTYCOUNTRY_CODE</v>
      </c>
      <c r="I136" s="2" t="s">
        <v>612</v>
      </c>
      <c r="J136" s="42">
        <f>VLOOKUP(Table1[[#This Row],[Status]],Auxiliar!$B$16:$C$24,2,0)</f>
        <v>1</v>
      </c>
      <c r="K136" s="2" t="s">
        <v>1168</v>
      </c>
      <c r="L136" s="28" t="s">
        <v>1174</v>
      </c>
      <c r="M136" s="20" t="s">
        <v>1175</v>
      </c>
      <c r="N136" s="47">
        <v>45485</v>
      </c>
      <c r="O136" s="20">
        <f>INDEX(Auxiliar!$D$5:$F$13,MATCH(Table1[[#This Row],[Tipologia_Testes]],Auxiliar!$B$5:$B$13,0),MATCH(Table1[[#This Row],[Complexidade]],Auxiliar!$D$4:$F$4,0))</f>
        <v>2</v>
      </c>
      <c r="P136" s="2"/>
      <c r="Q136" s="2" t="s">
        <v>1185</v>
      </c>
      <c r="R136" s="151">
        <v>45261</v>
      </c>
      <c r="S136" s="151"/>
      <c r="T136" s="151"/>
      <c r="U136" s="151"/>
      <c r="V136" s="151"/>
      <c r="W136" s="2">
        <f>VLOOKUP(Table1[[#This Row],[Status]],Auxiliar!$B$16:$D$24,3,0)*Table1[[#This Row],[Estimação (horas)]]</f>
        <v>2</v>
      </c>
      <c r="X136" s="165">
        <f>+VLOOKUP(CONCATENATE(Table1[[#This Row],[Tabela]],Table1[[#This Row],[Campo]]),'2. Status Detalhe Campos FY24'!A:J,9,FALSE)</f>
        <v>0</v>
      </c>
      <c r="Y136" s="491" t="e">
        <f>+VLOOKUP(A136,#REF!,1,FALSE)</f>
        <v>#REF!</v>
      </c>
    </row>
    <row r="137" spans="1:25" ht="17.899999999999999" hidden="1" customHeight="1">
      <c r="A137" t="str">
        <f>+Table1[[#This Row],[Tabela]]&amp;Table1[[#This Row],[Campo]]</f>
        <v>PROPERTYCOUNTRY_CODE</v>
      </c>
      <c r="B137" s="2" t="s">
        <v>26</v>
      </c>
      <c r="C137" s="2" t="s">
        <v>54</v>
      </c>
      <c r="D137" s="2" t="s">
        <v>95</v>
      </c>
      <c r="E137" s="2" t="s">
        <v>38</v>
      </c>
      <c r="F137" s="2" t="s">
        <v>94</v>
      </c>
      <c r="G137" s="2" t="s">
        <v>105</v>
      </c>
      <c r="H137" s="56" t="str">
        <f>Table1[[#This Row],[Tabela]]&amp;Table1[[#This Row],[Campo]]</f>
        <v>PROPERTYCOUNTRY_CODE</v>
      </c>
      <c r="I137" s="2" t="s">
        <v>612</v>
      </c>
      <c r="J137" s="42">
        <f>VLOOKUP(Table1[[#This Row],[Status]],Auxiliar!$B$16:$C$24,2,0)</f>
        <v>1</v>
      </c>
      <c r="K137" s="2" t="s">
        <v>1169</v>
      </c>
      <c r="L137" s="28" t="s">
        <v>1174</v>
      </c>
      <c r="M137" s="20" t="s">
        <v>1175</v>
      </c>
      <c r="N137" s="47">
        <v>45485</v>
      </c>
      <c r="O137" s="20">
        <f>INDEX(Auxiliar!$D$5:$F$13,MATCH(Table1[[#This Row],[Tipologia_Testes]],Auxiliar!$B$5:$B$13,0),MATCH(Table1[[#This Row],[Complexidade]],Auxiliar!$D$4:$F$4,0))</f>
        <v>2</v>
      </c>
      <c r="P137" s="2"/>
      <c r="Q137" s="2" t="s">
        <v>1185</v>
      </c>
      <c r="R137" s="151">
        <v>45261</v>
      </c>
      <c r="S137" s="151"/>
      <c r="T137" s="151"/>
      <c r="U137" s="151"/>
      <c r="V137" s="151"/>
      <c r="W137" s="2">
        <f>VLOOKUP(Table1[[#This Row],[Status]],Auxiliar!$B$16:$D$24,3,0)*Table1[[#This Row],[Estimação (horas)]]</f>
        <v>2</v>
      </c>
      <c r="X137" s="165">
        <f>+VLOOKUP(CONCATENATE(Table1[[#This Row],[Tabela]],Table1[[#This Row],[Campo]]),'2. Status Detalhe Campos FY24'!A:J,9,FALSE)</f>
        <v>0</v>
      </c>
      <c r="Y137" s="491" t="e">
        <f>+VLOOKUP(A137,#REF!,1,FALSE)</f>
        <v>#REF!</v>
      </c>
    </row>
    <row r="138" spans="1:25" ht="17.899999999999999" hidden="1" customHeight="1">
      <c r="A138" t="str">
        <f>+Table1[[#This Row],[Tabela]]&amp;Table1[[#This Row],[Campo]]</f>
        <v>PROPERTYCOUNTRY_CODE</v>
      </c>
      <c r="B138" s="2" t="s">
        <v>26</v>
      </c>
      <c r="C138" s="2" t="s">
        <v>54</v>
      </c>
      <c r="D138" s="2" t="s">
        <v>95</v>
      </c>
      <c r="E138" s="2" t="s">
        <v>38</v>
      </c>
      <c r="F138" s="2" t="s">
        <v>94</v>
      </c>
      <c r="G138" s="2" t="s">
        <v>105</v>
      </c>
      <c r="H138" s="56" t="str">
        <f>Table1[[#This Row],[Tabela]]&amp;Table1[[#This Row],[Campo]]</f>
        <v>PROPERTYCOUNTRY_CODE</v>
      </c>
      <c r="I138" s="2" t="s">
        <v>612</v>
      </c>
      <c r="J138" s="42">
        <f>VLOOKUP(Table1[[#This Row],[Status]],Auxiliar!$B$16:$C$24,2,0)</f>
        <v>1</v>
      </c>
      <c r="K138" s="2" t="s">
        <v>1171</v>
      </c>
      <c r="L138" s="28" t="s">
        <v>1174</v>
      </c>
      <c r="M138" s="20" t="s">
        <v>1175</v>
      </c>
      <c r="N138" s="47">
        <v>45485</v>
      </c>
      <c r="O138" s="20">
        <f>INDEX(Auxiliar!$D$5:$F$13,MATCH(Table1[[#This Row],[Tipologia_Testes]],Auxiliar!$B$5:$B$13,0),MATCH(Table1[[#This Row],[Complexidade]],Auxiliar!$D$4:$F$4,0))</f>
        <v>0.1</v>
      </c>
      <c r="P138" s="2"/>
      <c r="Q138" s="2" t="s">
        <v>1185</v>
      </c>
      <c r="R138" s="151">
        <v>45261</v>
      </c>
      <c r="S138" s="151"/>
      <c r="T138" s="151"/>
      <c r="U138" s="151"/>
      <c r="V138" s="151"/>
      <c r="W138" s="2">
        <f>VLOOKUP(Table1[[#This Row],[Status]],Auxiliar!$B$16:$D$24,3,0)*Table1[[#This Row],[Estimação (horas)]]</f>
        <v>0.1</v>
      </c>
      <c r="X138" s="165">
        <f>+VLOOKUP(CONCATENATE(Table1[[#This Row],[Tabela]],Table1[[#This Row],[Campo]]),'2. Status Detalhe Campos FY24'!A:J,9,FALSE)</f>
        <v>0</v>
      </c>
      <c r="Y138" s="491" t="e">
        <f>+VLOOKUP(A138,#REF!,1,FALSE)</f>
        <v>#REF!</v>
      </c>
    </row>
    <row r="139" spans="1:25" ht="17.899999999999999" hidden="1" customHeight="1">
      <c r="A139" t="str">
        <f>+Table1[[#This Row],[Tabela]]&amp;Table1[[#This Row],[Campo]]</f>
        <v>PROPERTYPOSTAL_CODE</v>
      </c>
      <c r="B139" s="2" t="s">
        <v>26</v>
      </c>
      <c r="C139" s="2" t="s">
        <v>54</v>
      </c>
      <c r="D139" s="2" t="s">
        <v>95</v>
      </c>
      <c r="E139" s="2" t="s">
        <v>38</v>
      </c>
      <c r="F139" s="2" t="s">
        <v>94</v>
      </c>
      <c r="G139" s="2" t="s">
        <v>106</v>
      </c>
      <c r="H139" s="56" t="str">
        <f>Table1[[#This Row],[Tabela]]&amp;Table1[[#This Row],[Campo]]</f>
        <v>PROPERTYPOSTAL_CODE</v>
      </c>
      <c r="I139" s="3" t="s">
        <v>612</v>
      </c>
      <c r="J139" s="54">
        <f>VLOOKUP(Table1[[#This Row],[Status]],Auxiliar!$B$16:$C$24,2,0)</f>
        <v>1</v>
      </c>
      <c r="K139" s="2" t="s">
        <v>1168</v>
      </c>
      <c r="L139" s="28" t="s">
        <v>1174</v>
      </c>
      <c r="M139" s="20" t="s">
        <v>1175</v>
      </c>
      <c r="N139" s="47">
        <v>45505</v>
      </c>
      <c r="O139" s="20">
        <f>INDEX(Auxiliar!$D$5:$F$13,MATCH(Table1[[#This Row],[Tipologia_Testes]],Auxiliar!$B$5:$B$13,0),MATCH(Table1[[#This Row],[Complexidade]],Auxiliar!$D$4:$F$4,0))</f>
        <v>2</v>
      </c>
      <c r="P139" s="2"/>
      <c r="Q139" s="2" t="s">
        <v>1185</v>
      </c>
      <c r="R139" s="151">
        <v>45261</v>
      </c>
      <c r="S139" s="151"/>
      <c r="T139" s="151"/>
      <c r="U139" s="151"/>
      <c r="V139" s="151"/>
      <c r="W139" s="2">
        <f>VLOOKUP(Table1[[#This Row],[Status]],Auxiliar!$B$16:$D$24,3,0)*Table1[[#This Row],[Estimação (horas)]]</f>
        <v>2</v>
      </c>
      <c r="X139" s="165">
        <f>+VLOOKUP(CONCATENATE(Table1[[#This Row],[Tabela]],Table1[[#This Row],[Campo]]),'2. Status Detalhe Campos FY24'!A:J,9,FALSE)</f>
        <v>0</v>
      </c>
      <c r="Y139" s="491" t="e">
        <f>+VLOOKUP(A139,#REF!,1,FALSE)</f>
        <v>#REF!</v>
      </c>
    </row>
    <row r="140" spans="1:25" ht="17.899999999999999" hidden="1" customHeight="1">
      <c r="A140" t="str">
        <f>+Table1[[#This Row],[Tabela]]&amp;Table1[[#This Row],[Campo]]</f>
        <v>PROPERTYPOSTAL_CODE</v>
      </c>
      <c r="B140" s="2" t="s">
        <v>26</v>
      </c>
      <c r="C140" s="2" t="s">
        <v>54</v>
      </c>
      <c r="D140" s="2" t="s">
        <v>95</v>
      </c>
      <c r="E140" s="2" t="s">
        <v>38</v>
      </c>
      <c r="F140" s="2" t="s">
        <v>94</v>
      </c>
      <c r="G140" s="2" t="s">
        <v>106</v>
      </c>
      <c r="H140" s="56" t="str">
        <f>Table1[[#This Row],[Tabela]]&amp;Table1[[#This Row],[Campo]]</f>
        <v>PROPERTYPOSTAL_CODE</v>
      </c>
      <c r="I140" s="3" t="s">
        <v>612</v>
      </c>
      <c r="J140" s="54">
        <f>VLOOKUP(Table1[[#This Row],[Status]],Auxiliar!$B$16:$C$24,2,0)</f>
        <v>1</v>
      </c>
      <c r="K140" s="2" t="s">
        <v>1169</v>
      </c>
      <c r="L140" s="28" t="s">
        <v>1174</v>
      </c>
      <c r="M140" s="20" t="s">
        <v>1175</v>
      </c>
      <c r="N140" s="47">
        <v>45505</v>
      </c>
      <c r="O140" s="20">
        <f>INDEX(Auxiliar!$D$5:$F$13,MATCH(Table1[[#This Row],[Tipologia_Testes]],Auxiliar!$B$5:$B$13,0),MATCH(Table1[[#This Row],[Complexidade]],Auxiliar!$D$4:$F$4,0))</f>
        <v>2</v>
      </c>
      <c r="P140" s="2"/>
      <c r="Q140" s="2" t="s">
        <v>1185</v>
      </c>
      <c r="R140" s="151">
        <v>45261</v>
      </c>
      <c r="S140" s="151"/>
      <c r="T140" s="151"/>
      <c r="U140" s="151"/>
      <c r="V140" s="151"/>
      <c r="W140" s="2">
        <f>VLOOKUP(Table1[[#This Row],[Status]],Auxiliar!$B$16:$D$24,3,0)*Table1[[#This Row],[Estimação (horas)]]</f>
        <v>2</v>
      </c>
      <c r="X140" s="165">
        <f>+VLOOKUP(CONCATENATE(Table1[[#This Row],[Tabela]],Table1[[#This Row],[Campo]]),'2. Status Detalhe Campos FY24'!A:J,9,FALSE)</f>
        <v>0</v>
      </c>
      <c r="Y140" s="491" t="e">
        <f>+VLOOKUP(A140,#REF!,1,FALSE)</f>
        <v>#REF!</v>
      </c>
    </row>
    <row r="141" spans="1:25" ht="17.899999999999999" hidden="1" customHeight="1">
      <c r="A141" t="str">
        <f>+Table1[[#This Row],[Tabela]]&amp;Table1[[#This Row],[Campo]]</f>
        <v>PROPERTYPOSTAL_CODE</v>
      </c>
      <c r="B141" s="2" t="s">
        <v>26</v>
      </c>
      <c r="C141" s="2" t="s">
        <v>54</v>
      </c>
      <c r="D141" s="2" t="s">
        <v>95</v>
      </c>
      <c r="E141" s="2" t="s">
        <v>38</v>
      </c>
      <c r="F141" s="2" t="s">
        <v>94</v>
      </c>
      <c r="G141" s="2" t="s">
        <v>106</v>
      </c>
      <c r="H141" s="56" t="str">
        <f>Table1[[#This Row],[Tabela]]&amp;Table1[[#This Row],[Campo]]</f>
        <v>PROPERTYPOSTAL_CODE</v>
      </c>
      <c r="I141" s="3" t="s">
        <v>612</v>
      </c>
      <c r="J141" s="54">
        <f>VLOOKUP(Table1[[#This Row],[Status]],Auxiliar!$B$16:$C$24,2,0)</f>
        <v>1</v>
      </c>
      <c r="K141" s="2" t="s">
        <v>1171</v>
      </c>
      <c r="L141" s="28" t="s">
        <v>1174</v>
      </c>
      <c r="M141" s="20" t="s">
        <v>1175</v>
      </c>
      <c r="N141" s="47">
        <v>45505</v>
      </c>
      <c r="O141" s="20">
        <f>INDEX(Auxiliar!$D$5:$F$13,MATCH(Table1[[#This Row],[Tipologia_Testes]],Auxiliar!$B$5:$B$13,0),MATCH(Table1[[#This Row],[Complexidade]],Auxiliar!$D$4:$F$4,0))</f>
        <v>0.1</v>
      </c>
      <c r="P141" s="2"/>
      <c r="Q141" s="2" t="s">
        <v>1185</v>
      </c>
      <c r="R141" s="151">
        <v>45261</v>
      </c>
      <c r="S141" s="151"/>
      <c r="T141" s="151"/>
      <c r="U141" s="151"/>
      <c r="V141" s="151"/>
      <c r="W141" s="2">
        <f>VLOOKUP(Table1[[#This Row],[Status]],Auxiliar!$B$16:$D$24,3,0)*Table1[[#This Row],[Estimação (horas)]]</f>
        <v>0.1</v>
      </c>
      <c r="X141" s="165">
        <f>+VLOOKUP(CONCATENATE(Table1[[#This Row],[Tabela]],Table1[[#This Row],[Campo]]),'2. Status Detalhe Campos FY24'!A:J,9,FALSE)</f>
        <v>0</v>
      </c>
      <c r="Y141" s="491" t="e">
        <f>+VLOOKUP(A141,#REF!,1,FALSE)</f>
        <v>#REF!</v>
      </c>
    </row>
    <row r="142" spans="1:25" ht="17.899999999999999" hidden="1" customHeight="1">
      <c r="A142" t="str">
        <f>+Table1[[#This Row],[Tabela]]&amp;Table1[[#This Row],[Campo]]</f>
        <v>PROPERTYPROPERTY_TYPE_CODE</v>
      </c>
      <c r="B142" s="2" t="s">
        <v>26</v>
      </c>
      <c r="C142" s="2" t="s">
        <v>54</v>
      </c>
      <c r="D142" s="2" t="s">
        <v>95</v>
      </c>
      <c r="E142" s="2" t="s">
        <v>38</v>
      </c>
      <c r="F142" s="2" t="s">
        <v>94</v>
      </c>
      <c r="G142" s="2" t="s">
        <v>107</v>
      </c>
      <c r="H142" s="56" t="str">
        <f>Table1[[#This Row],[Tabela]]&amp;Table1[[#This Row],[Campo]]</f>
        <v>PROPERTYPROPERTY_TYPE_CODE</v>
      </c>
      <c r="I142" s="3" t="s">
        <v>612</v>
      </c>
      <c r="J142" s="54">
        <f>VLOOKUP(Table1[[#This Row],[Status]],Auxiliar!$B$16:$C$24,2,0)</f>
        <v>1</v>
      </c>
      <c r="K142" s="2" t="s">
        <v>1168</v>
      </c>
      <c r="L142" s="28" t="s">
        <v>1174</v>
      </c>
      <c r="M142" s="20" t="s">
        <v>1175</v>
      </c>
      <c r="N142" s="47">
        <v>45505</v>
      </c>
      <c r="O142" s="20">
        <f>INDEX(Auxiliar!$D$5:$F$13,MATCH(Table1[[#This Row],[Tipologia_Testes]],Auxiliar!$B$5:$B$13,0),MATCH(Table1[[#This Row],[Complexidade]],Auxiliar!$D$4:$F$4,0))</f>
        <v>2</v>
      </c>
      <c r="P142" s="2"/>
      <c r="Q142" s="2" t="s">
        <v>1185</v>
      </c>
      <c r="R142" s="151">
        <v>45261</v>
      </c>
      <c r="S142" s="151"/>
      <c r="T142" s="151"/>
      <c r="U142" s="151"/>
      <c r="V142" s="151"/>
      <c r="W142" s="2">
        <f>VLOOKUP(Table1[[#This Row],[Status]],Auxiliar!$B$16:$D$24,3,0)*Table1[[#This Row],[Estimação (horas)]]</f>
        <v>2</v>
      </c>
      <c r="X142" s="165">
        <f>+VLOOKUP(CONCATENATE(Table1[[#This Row],[Tabela]],Table1[[#This Row],[Campo]]),'2. Status Detalhe Campos FY24'!A:J,9,FALSE)</f>
        <v>0</v>
      </c>
      <c r="Y142" s="491" t="e">
        <f>+VLOOKUP(A142,#REF!,1,FALSE)</f>
        <v>#REF!</v>
      </c>
    </row>
    <row r="143" spans="1:25" ht="17.899999999999999" hidden="1" customHeight="1">
      <c r="A143" t="str">
        <f>+Table1[[#This Row],[Tabela]]&amp;Table1[[#This Row],[Campo]]</f>
        <v>PROPERTYPROPERTY_TYPE_CODE</v>
      </c>
      <c r="B143" s="2" t="s">
        <v>26</v>
      </c>
      <c r="C143" s="2" t="s">
        <v>54</v>
      </c>
      <c r="D143" s="2" t="s">
        <v>95</v>
      </c>
      <c r="E143" s="2" t="s">
        <v>38</v>
      </c>
      <c r="F143" s="2" t="s">
        <v>94</v>
      </c>
      <c r="G143" s="2" t="s">
        <v>107</v>
      </c>
      <c r="H143" s="56" t="str">
        <f>Table1[[#This Row],[Tabela]]&amp;Table1[[#This Row],[Campo]]</f>
        <v>PROPERTYPROPERTY_TYPE_CODE</v>
      </c>
      <c r="I143" s="3" t="s">
        <v>612</v>
      </c>
      <c r="J143" s="54">
        <f>VLOOKUP(Table1[[#This Row],[Status]],Auxiliar!$B$16:$C$24,2,0)</f>
        <v>1</v>
      </c>
      <c r="K143" s="2" t="s">
        <v>1169</v>
      </c>
      <c r="L143" s="28" t="s">
        <v>1174</v>
      </c>
      <c r="M143" s="20" t="s">
        <v>1175</v>
      </c>
      <c r="N143" s="47">
        <v>45505</v>
      </c>
      <c r="O143" s="20">
        <f>INDEX(Auxiliar!$D$5:$F$13,MATCH(Table1[[#This Row],[Tipologia_Testes]],Auxiliar!$B$5:$B$13,0),MATCH(Table1[[#This Row],[Complexidade]],Auxiliar!$D$4:$F$4,0))</f>
        <v>2</v>
      </c>
      <c r="P143" s="2"/>
      <c r="Q143" s="2" t="s">
        <v>1185</v>
      </c>
      <c r="R143" s="151">
        <v>45261</v>
      </c>
      <c r="S143" s="151"/>
      <c r="T143" s="151"/>
      <c r="U143" s="151"/>
      <c r="V143" s="151"/>
      <c r="W143" s="2">
        <f>VLOOKUP(Table1[[#This Row],[Status]],Auxiliar!$B$16:$D$24,3,0)*Table1[[#This Row],[Estimação (horas)]]</f>
        <v>2</v>
      </c>
      <c r="X143" s="165">
        <f>+VLOOKUP(CONCATENATE(Table1[[#This Row],[Tabela]],Table1[[#This Row],[Campo]]),'2. Status Detalhe Campos FY24'!A:J,9,FALSE)</f>
        <v>0</v>
      </c>
      <c r="Y143" s="491" t="e">
        <f>+VLOOKUP(A143,#REF!,1,FALSE)</f>
        <v>#REF!</v>
      </c>
    </row>
    <row r="144" spans="1:25" ht="17.899999999999999" hidden="1" customHeight="1">
      <c r="A144" t="str">
        <f>+Table1[[#This Row],[Tabela]]&amp;Table1[[#This Row],[Campo]]</f>
        <v>PROPERTYPROPERTY_TYPE_CODE</v>
      </c>
      <c r="B144" s="2" t="s">
        <v>26</v>
      </c>
      <c r="C144" s="2" t="s">
        <v>54</v>
      </c>
      <c r="D144" s="2" t="s">
        <v>95</v>
      </c>
      <c r="E144" s="2" t="s">
        <v>38</v>
      </c>
      <c r="F144" s="2" t="s">
        <v>94</v>
      </c>
      <c r="G144" s="2" t="s">
        <v>107</v>
      </c>
      <c r="H144" s="56" t="str">
        <f>Table1[[#This Row],[Tabela]]&amp;Table1[[#This Row],[Campo]]</f>
        <v>PROPERTYPROPERTY_TYPE_CODE</v>
      </c>
      <c r="I144" s="3" t="s">
        <v>612</v>
      </c>
      <c r="J144" s="54">
        <f>VLOOKUP(Table1[[#This Row],[Status]],Auxiliar!$B$16:$C$24,2,0)</f>
        <v>1</v>
      </c>
      <c r="K144" s="2" t="s">
        <v>1171</v>
      </c>
      <c r="L144" s="28" t="s">
        <v>1174</v>
      </c>
      <c r="M144" s="20" t="s">
        <v>1175</v>
      </c>
      <c r="N144" s="47">
        <v>45505</v>
      </c>
      <c r="O144" s="20">
        <f>INDEX(Auxiliar!$D$5:$F$13,MATCH(Table1[[#This Row],[Tipologia_Testes]],Auxiliar!$B$5:$B$13,0),MATCH(Table1[[#This Row],[Complexidade]],Auxiliar!$D$4:$F$4,0))</f>
        <v>0.1</v>
      </c>
      <c r="P144" s="2"/>
      <c r="Q144" s="2" t="s">
        <v>1185</v>
      </c>
      <c r="R144" s="151">
        <v>45261</v>
      </c>
      <c r="S144" s="151"/>
      <c r="T144" s="151"/>
      <c r="U144" s="151"/>
      <c r="V144" s="151"/>
      <c r="W144" s="2">
        <f>VLOOKUP(Table1[[#This Row],[Status]],Auxiliar!$B$16:$D$24,3,0)*Table1[[#This Row],[Estimação (horas)]]</f>
        <v>0.1</v>
      </c>
      <c r="X144" s="165">
        <f>+VLOOKUP(CONCATENATE(Table1[[#This Row],[Tabela]],Table1[[#This Row],[Campo]]),'2. Status Detalhe Campos FY24'!A:J,9,FALSE)</f>
        <v>0</v>
      </c>
      <c r="Y144" s="491" t="e">
        <f>+VLOOKUP(A144,#REF!,1,FALSE)</f>
        <v>#REF!</v>
      </c>
    </row>
    <row r="145" spans="1:25" ht="17.899999999999999" hidden="1" customHeight="1">
      <c r="A145" t="str">
        <f>+Table1[[#This Row],[Tabela]]&amp;Table1[[#This Row],[Campo]]</f>
        <v>PROPERTYLAST_APPRAISAL_DATE</v>
      </c>
      <c r="B145" s="2" t="s">
        <v>26</v>
      </c>
      <c r="C145" s="2" t="s">
        <v>54</v>
      </c>
      <c r="D145" s="2" t="s">
        <v>95</v>
      </c>
      <c r="E145" s="2" t="s">
        <v>38</v>
      </c>
      <c r="F145" s="2" t="s">
        <v>94</v>
      </c>
      <c r="G145" s="2" t="s">
        <v>108</v>
      </c>
      <c r="H145" s="56" t="str">
        <f>Table1[[#This Row],[Tabela]]&amp;Table1[[#This Row],[Campo]]</f>
        <v>PROPERTYLAST_APPRAISAL_DATE</v>
      </c>
      <c r="I145" s="3" t="s">
        <v>612</v>
      </c>
      <c r="J145" s="54">
        <f>VLOOKUP(Table1[[#This Row],[Status]],Auxiliar!$B$16:$C$24,2,0)</f>
        <v>1</v>
      </c>
      <c r="K145" s="2" t="s">
        <v>1168</v>
      </c>
      <c r="L145" s="28" t="s">
        <v>1174</v>
      </c>
      <c r="M145" s="20" t="s">
        <v>1175</v>
      </c>
      <c r="N145" s="47">
        <v>45485</v>
      </c>
      <c r="O145" s="20">
        <f>INDEX(Auxiliar!$D$5:$F$13,MATCH(Table1[[#This Row],[Tipologia_Testes]],Auxiliar!$B$5:$B$13,0),MATCH(Table1[[#This Row],[Complexidade]],Auxiliar!$D$4:$F$4,0))</f>
        <v>2</v>
      </c>
      <c r="P145" s="2"/>
      <c r="Q145" s="2" t="s">
        <v>1185</v>
      </c>
      <c r="R145" s="151">
        <v>45261</v>
      </c>
      <c r="S145" s="151"/>
      <c r="T145" s="151"/>
      <c r="U145" s="151"/>
      <c r="V145" s="151"/>
      <c r="W145" s="2">
        <f>VLOOKUP(Table1[[#This Row],[Status]],Auxiliar!$B$16:$D$24,3,0)*Table1[[#This Row],[Estimação (horas)]]</f>
        <v>2</v>
      </c>
      <c r="X145" s="165">
        <f>+VLOOKUP(CONCATENATE(Table1[[#This Row],[Tabela]],Table1[[#This Row],[Campo]]),'2. Status Detalhe Campos FY24'!A:J,9,FALSE)</f>
        <v>0</v>
      </c>
      <c r="Y145" s="491" t="e">
        <f>+VLOOKUP(A145,#REF!,1,FALSE)</f>
        <v>#REF!</v>
      </c>
    </row>
    <row r="146" spans="1:25" ht="17.899999999999999" hidden="1" customHeight="1">
      <c r="A146" t="str">
        <f>+Table1[[#This Row],[Tabela]]&amp;Table1[[#This Row],[Campo]]</f>
        <v>PROPERTYLAST_APPRAISAL_DATE</v>
      </c>
      <c r="B146" s="2" t="s">
        <v>26</v>
      </c>
      <c r="C146" s="2" t="s">
        <v>54</v>
      </c>
      <c r="D146" s="2" t="s">
        <v>95</v>
      </c>
      <c r="E146" s="2" t="s">
        <v>38</v>
      </c>
      <c r="F146" s="2" t="s">
        <v>94</v>
      </c>
      <c r="G146" s="2" t="s">
        <v>108</v>
      </c>
      <c r="H146" s="56" t="str">
        <f>Table1[[#This Row],[Tabela]]&amp;Table1[[#This Row],[Campo]]</f>
        <v>PROPERTYLAST_APPRAISAL_DATE</v>
      </c>
      <c r="I146" s="3" t="s">
        <v>612</v>
      </c>
      <c r="J146" s="54">
        <f>VLOOKUP(Table1[[#This Row],[Status]],Auxiliar!$B$16:$C$24,2,0)</f>
        <v>1</v>
      </c>
      <c r="K146" s="2" t="s">
        <v>1169</v>
      </c>
      <c r="L146" s="28" t="s">
        <v>1174</v>
      </c>
      <c r="M146" s="20" t="s">
        <v>1175</v>
      </c>
      <c r="N146" s="47">
        <v>45485</v>
      </c>
      <c r="O146" s="20">
        <f>INDEX(Auxiliar!$D$5:$F$13,MATCH(Table1[[#This Row],[Tipologia_Testes]],Auxiliar!$B$5:$B$13,0),MATCH(Table1[[#This Row],[Complexidade]],Auxiliar!$D$4:$F$4,0))</f>
        <v>2</v>
      </c>
      <c r="P146" s="2"/>
      <c r="Q146" s="2" t="s">
        <v>1185</v>
      </c>
      <c r="R146" s="151">
        <v>45261</v>
      </c>
      <c r="S146" s="151"/>
      <c r="T146" s="151"/>
      <c r="U146" s="151"/>
      <c r="V146" s="151"/>
      <c r="W146" s="2">
        <f>VLOOKUP(Table1[[#This Row],[Status]],Auxiliar!$B$16:$D$24,3,0)*Table1[[#This Row],[Estimação (horas)]]</f>
        <v>2</v>
      </c>
      <c r="X146" s="165">
        <f>+VLOOKUP(CONCATENATE(Table1[[#This Row],[Tabela]],Table1[[#This Row],[Campo]]),'2. Status Detalhe Campos FY24'!A:J,9,FALSE)</f>
        <v>0</v>
      </c>
      <c r="Y146" s="491" t="e">
        <f>+VLOOKUP(A146,#REF!,1,FALSE)</f>
        <v>#REF!</v>
      </c>
    </row>
    <row r="147" spans="1:25" ht="17.899999999999999" hidden="1" customHeight="1">
      <c r="A147" t="str">
        <f>+Table1[[#This Row],[Tabela]]&amp;Table1[[#This Row],[Campo]]</f>
        <v>PROPERTYLAST_APPRAISAL_DATE</v>
      </c>
      <c r="B147" s="2" t="s">
        <v>26</v>
      </c>
      <c r="C147" s="2" t="s">
        <v>54</v>
      </c>
      <c r="D147" s="2" t="s">
        <v>95</v>
      </c>
      <c r="E147" s="2" t="s">
        <v>38</v>
      </c>
      <c r="F147" s="2" t="s">
        <v>94</v>
      </c>
      <c r="G147" s="2" t="s">
        <v>108</v>
      </c>
      <c r="H147" s="56" t="str">
        <f>Table1[[#This Row],[Tabela]]&amp;Table1[[#This Row],[Campo]]</f>
        <v>PROPERTYLAST_APPRAISAL_DATE</v>
      </c>
      <c r="I147" s="3" t="s">
        <v>612</v>
      </c>
      <c r="J147" s="54">
        <f>VLOOKUP(Table1[[#This Row],[Status]],Auxiliar!$B$16:$C$24,2,0)</f>
        <v>1</v>
      </c>
      <c r="K147" s="2" t="s">
        <v>1171</v>
      </c>
      <c r="L147" s="28" t="s">
        <v>1174</v>
      </c>
      <c r="M147" s="20" t="s">
        <v>1175</v>
      </c>
      <c r="N147" s="47">
        <v>45485</v>
      </c>
      <c r="O147" s="20">
        <f>INDEX(Auxiliar!$D$5:$F$13,MATCH(Table1[[#This Row],[Tipologia_Testes]],Auxiliar!$B$5:$B$13,0),MATCH(Table1[[#This Row],[Complexidade]],Auxiliar!$D$4:$F$4,0))</f>
        <v>0.1</v>
      </c>
      <c r="P147" s="2"/>
      <c r="Q147" s="2" t="s">
        <v>1185</v>
      </c>
      <c r="R147" s="151">
        <v>45261</v>
      </c>
      <c r="S147" s="151"/>
      <c r="T147" s="151"/>
      <c r="U147" s="151"/>
      <c r="V147" s="151"/>
      <c r="W147" s="2">
        <f>VLOOKUP(Table1[[#This Row],[Status]],Auxiliar!$B$16:$D$24,3,0)*Table1[[#This Row],[Estimação (horas)]]</f>
        <v>0.1</v>
      </c>
      <c r="X147" s="165">
        <f>+VLOOKUP(CONCATENATE(Table1[[#This Row],[Tabela]],Table1[[#This Row],[Campo]]),'2. Status Detalhe Campos FY24'!A:J,9,FALSE)</f>
        <v>0</v>
      </c>
      <c r="Y147" s="491" t="e">
        <f>+VLOOKUP(A147,#REF!,1,FALSE)</f>
        <v>#REF!</v>
      </c>
    </row>
    <row r="148" spans="1:25" ht="17.899999999999999" hidden="1" customHeight="1">
      <c r="A148" t="str">
        <f>+Table1[[#This Row],[Tabela]]&amp;Table1[[#This Row],[Campo]]</f>
        <v>PROPERTYUSAGE_PERMIT_START_DATE</v>
      </c>
      <c r="B148" s="2" t="s">
        <v>26</v>
      </c>
      <c r="C148" s="2" t="s">
        <v>54</v>
      </c>
      <c r="D148" s="2" t="s">
        <v>95</v>
      </c>
      <c r="E148" s="2" t="s">
        <v>38</v>
      </c>
      <c r="F148" s="2" t="s">
        <v>94</v>
      </c>
      <c r="G148" s="2" t="s">
        <v>109</v>
      </c>
      <c r="H148" s="56" t="str">
        <f>Table1[[#This Row],[Tabela]]&amp;Table1[[#This Row],[Campo]]</f>
        <v>PROPERTYUSAGE_PERMIT_START_DATE</v>
      </c>
      <c r="I148" s="3" t="s">
        <v>612</v>
      </c>
      <c r="J148" s="42">
        <f>VLOOKUP(Table1[[#This Row],[Status]],Auxiliar!$B$16:$C$24,2,0)</f>
        <v>1</v>
      </c>
      <c r="K148" s="2" t="s">
        <v>1168</v>
      </c>
      <c r="L148" s="28" t="s">
        <v>1174</v>
      </c>
      <c r="M148" s="20" t="s">
        <v>1175</v>
      </c>
      <c r="N148" s="47">
        <v>45490</v>
      </c>
      <c r="O148" s="20">
        <f>INDEX(Auxiliar!$D$5:$F$13,MATCH(Table1[[#This Row],[Tipologia_Testes]],Auxiliar!$B$5:$B$13,0),MATCH(Table1[[#This Row],[Complexidade]],Auxiliar!$D$4:$F$4,0))</f>
        <v>2</v>
      </c>
      <c r="P148" s="2"/>
      <c r="Q148" s="2" t="s">
        <v>1185</v>
      </c>
      <c r="R148" s="151">
        <v>45261</v>
      </c>
      <c r="S148" s="151"/>
      <c r="T148" s="151"/>
      <c r="U148" s="151"/>
      <c r="V148" s="151"/>
      <c r="W148" s="2">
        <f>VLOOKUP(Table1[[#This Row],[Status]],Auxiliar!$B$16:$D$24,3,0)*Table1[[#This Row],[Estimação (horas)]]</f>
        <v>2</v>
      </c>
      <c r="X148" s="165">
        <f>+VLOOKUP(CONCATENATE(Table1[[#This Row],[Tabela]],Table1[[#This Row],[Campo]]),'2. Status Detalhe Campos FY24'!A:J,9,FALSE)</f>
        <v>0</v>
      </c>
      <c r="Y148" s="491" t="e">
        <f>+VLOOKUP(A148,#REF!,1,FALSE)</f>
        <v>#REF!</v>
      </c>
    </row>
    <row r="149" spans="1:25" ht="17.899999999999999" hidden="1" customHeight="1">
      <c r="A149" t="str">
        <f>+Table1[[#This Row],[Tabela]]&amp;Table1[[#This Row],[Campo]]</f>
        <v>PROPERTYUSAGE_PERMIT_START_DATE</v>
      </c>
      <c r="B149" s="2" t="s">
        <v>26</v>
      </c>
      <c r="C149" s="2" t="s">
        <v>54</v>
      </c>
      <c r="D149" s="2" t="s">
        <v>95</v>
      </c>
      <c r="E149" s="2" t="s">
        <v>38</v>
      </c>
      <c r="F149" s="2" t="s">
        <v>94</v>
      </c>
      <c r="G149" s="2" t="s">
        <v>109</v>
      </c>
      <c r="H149" s="56" t="str">
        <f>Table1[[#This Row],[Tabela]]&amp;Table1[[#This Row],[Campo]]</f>
        <v>PROPERTYUSAGE_PERMIT_START_DATE</v>
      </c>
      <c r="I149" s="3" t="s">
        <v>612</v>
      </c>
      <c r="J149" s="42">
        <f>VLOOKUP(Table1[[#This Row],[Status]],Auxiliar!$B$16:$C$24,2,0)</f>
        <v>1</v>
      </c>
      <c r="K149" s="2" t="s">
        <v>1169</v>
      </c>
      <c r="L149" s="28" t="s">
        <v>1174</v>
      </c>
      <c r="M149" s="20" t="s">
        <v>1175</v>
      </c>
      <c r="N149" s="47">
        <v>45490</v>
      </c>
      <c r="O149" s="20">
        <f>INDEX(Auxiliar!$D$5:$F$13,MATCH(Table1[[#This Row],[Tipologia_Testes]],Auxiliar!$B$5:$B$13,0),MATCH(Table1[[#This Row],[Complexidade]],Auxiliar!$D$4:$F$4,0))</f>
        <v>2</v>
      </c>
      <c r="P149" s="2"/>
      <c r="Q149" s="2" t="s">
        <v>1185</v>
      </c>
      <c r="R149" s="151">
        <v>45261</v>
      </c>
      <c r="S149" s="151"/>
      <c r="T149" s="151"/>
      <c r="U149" s="151"/>
      <c r="V149" s="151"/>
      <c r="W149" s="2">
        <f>VLOOKUP(Table1[[#This Row],[Status]],Auxiliar!$B$16:$D$24,3,0)*Table1[[#This Row],[Estimação (horas)]]</f>
        <v>2</v>
      </c>
      <c r="X149" s="165">
        <f>+VLOOKUP(CONCATENATE(Table1[[#This Row],[Tabela]],Table1[[#This Row],[Campo]]),'2. Status Detalhe Campos FY24'!A:J,9,FALSE)</f>
        <v>0</v>
      </c>
      <c r="Y149" s="491" t="e">
        <f>+VLOOKUP(A149,#REF!,1,FALSE)</f>
        <v>#REF!</v>
      </c>
    </row>
    <row r="150" spans="1:25" ht="17.899999999999999" hidden="1" customHeight="1">
      <c r="A150" t="str">
        <f>+Table1[[#This Row],[Tabela]]&amp;Table1[[#This Row],[Campo]]</f>
        <v>PROPERTYUSAGE_PERMIT_START_DATE</v>
      </c>
      <c r="B150" s="2" t="s">
        <v>26</v>
      </c>
      <c r="C150" s="2" t="s">
        <v>54</v>
      </c>
      <c r="D150" s="2" t="s">
        <v>95</v>
      </c>
      <c r="E150" s="2" t="s">
        <v>38</v>
      </c>
      <c r="F150" s="2" t="s">
        <v>94</v>
      </c>
      <c r="G150" s="2" t="s">
        <v>109</v>
      </c>
      <c r="H150" s="56" t="str">
        <f>Table1[[#This Row],[Tabela]]&amp;Table1[[#This Row],[Campo]]</f>
        <v>PROPERTYUSAGE_PERMIT_START_DATE</v>
      </c>
      <c r="I150" s="3" t="s">
        <v>612</v>
      </c>
      <c r="J150" s="42">
        <f>VLOOKUP(Table1[[#This Row],[Status]],Auxiliar!$B$16:$C$24,2,0)</f>
        <v>1</v>
      </c>
      <c r="K150" s="2" t="s">
        <v>1171</v>
      </c>
      <c r="L150" s="28" t="s">
        <v>1174</v>
      </c>
      <c r="M150" s="20" t="s">
        <v>1175</v>
      </c>
      <c r="N150" s="47">
        <v>45490</v>
      </c>
      <c r="O150" s="20">
        <f>INDEX(Auxiliar!$D$5:$F$13,MATCH(Table1[[#This Row],[Tipologia_Testes]],Auxiliar!$B$5:$B$13,0),MATCH(Table1[[#This Row],[Complexidade]],Auxiliar!$D$4:$F$4,0))</f>
        <v>0.1</v>
      </c>
      <c r="P150" s="2"/>
      <c r="Q150" s="2" t="s">
        <v>1185</v>
      </c>
      <c r="R150" s="151">
        <v>45261</v>
      </c>
      <c r="S150" s="151"/>
      <c r="T150" s="151"/>
      <c r="U150" s="151"/>
      <c r="V150" s="151"/>
      <c r="W150" s="2">
        <f>VLOOKUP(Table1[[#This Row],[Status]],Auxiliar!$B$16:$D$24,3,0)*Table1[[#This Row],[Estimação (horas)]]</f>
        <v>0.1</v>
      </c>
      <c r="X150" s="165">
        <f>+VLOOKUP(CONCATENATE(Table1[[#This Row],[Tabela]],Table1[[#This Row],[Campo]]),'2. Status Detalhe Campos FY24'!A:J,9,FALSE)</f>
        <v>0</v>
      </c>
      <c r="Y150" s="491" t="e">
        <f>+VLOOKUP(A150,#REF!,1,FALSE)</f>
        <v>#REF!</v>
      </c>
    </row>
    <row r="151" spans="1:25" ht="17.899999999999999" hidden="1" customHeight="1">
      <c r="A151" t="str">
        <f>+Table1[[#This Row],[Tabela]]&amp;Table1[[#This Row],[Campo]]</f>
        <v>PROPERTYCONSERVATORY_REG_FILE_ID</v>
      </c>
      <c r="B151" s="2" t="s">
        <v>26</v>
      </c>
      <c r="C151" s="2" t="s">
        <v>54</v>
      </c>
      <c r="D151" s="2" t="s">
        <v>95</v>
      </c>
      <c r="E151" s="2" t="s">
        <v>38</v>
      </c>
      <c r="F151" s="2" t="s">
        <v>94</v>
      </c>
      <c r="G151" s="2" t="s">
        <v>110</v>
      </c>
      <c r="H151" s="56" t="str">
        <f>Table1[[#This Row],[Tabela]]&amp;Table1[[#This Row],[Campo]]</f>
        <v>PROPERTYCONSERVATORY_REG_FILE_ID</v>
      </c>
      <c r="I151" s="3" t="s">
        <v>612</v>
      </c>
      <c r="J151" s="54">
        <f>VLOOKUP(Table1[[#This Row],[Status]],Auxiliar!$B$16:$C$24,2,0)</f>
        <v>1</v>
      </c>
      <c r="K151" s="2" t="s">
        <v>1168</v>
      </c>
      <c r="L151" s="28" t="s">
        <v>1174</v>
      </c>
      <c r="M151" s="20" t="s">
        <v>1175</v>
      </c>
      <c r="N151" s="47">
        <v>45485</v>
      </c>
      <c r="O151" s="20">
        <f>INDEX(Auxiliar!$D$5:$F$13,MATCH(Table1[[#This Row],[Tipologia_Testes]],Auxiliar!$B$5:$B$13,0),MATCH(Table1[[#This Row],[Complexidade]],Auxiliar!$D$4:$F$4,0))</f>
        <v>2</v>
      </c>
      <c r="P151" s="2"/>
      <c r="Q151" s="2" t="s">
        <v>1185</v>
      </c>
      <c r="R151" s="151">
        <v>45261</v>
      </c>
      <c r="S151" s="151"/>
      <c r="T151" s="151"/>
      <c r="U151" s="151"/>
      <c r="V151" s="151"/>
      <c r="W151" s="2">
        <f>VLOOKUP(Table1[[#This Row],[Status]],Auxiliar!$B$16:$D$24,3,0)*Table1[[#This Row],[Estimação (horas)]]</f>
        <v>2</v>
      </c>
      <c r="X151" s="165">
        <f>+VLOOKUP(CONCATENATE(Table1[[#This Row],[Tabela]],Table1[[#This Row],[Campo]]),'2. Status Detalhe Campos FY24'!A:J,9,FALSE)</f>
        <v>0</v>
      </c>
      <c r="Y151" s="491" t="e">
        <f>+VLOOKUP(A151,#REF!,1,FALSE)</f>
        <v>#REF!</v>
      </c>
    </row>
    <row r="152" spans="1:25" ht="17.899999999999999" hidden="1" customHeight="1">
      <c r="A152" t="str">
        <f>+Table1[[#This Row],[Tabela]]&amp;Table1[[#This Row],[Campo]]</f>
        <v>PROPERTYCONSERVATORY_REG_FILE_ID</v>
      </c>
      <c r="B152" s="2" t="s">
        <v>26</v>
      </c>
      <c r="C152" s="2" t="s">
        <v>54</v>
      </c>
      <c r="D152" s="2" t="s">
        <v>95</v>
      </c>
      <c r="E152" s="2" t="s">
        <v>38</v>
      </c>
      <c r="F152" s="2" t="s">
        <v>94</v>
      </c>
      <c r="G152" s="2" t="s">
        <v>110</v>
      </c>
      <c r="H152" s="56" t="str">
        <f>Table1[[#This Row],[Tabela]]&amp;Table1[[#This Row],[Campo]]</f>
        <v>PROPERTYCONSERVATORY_REG_FILE_ID</v>
      </c>
      <c r="I152" s="3" t="s">
        <v>612</v>
      </c>
      <c r="J152" s="54">
        <f>VLOOKUP(Table1[[#This Row],[Status]],Auxiliar!$B$16:$C$24,2,0)</f>
        <v>1</v>
      </c>
      <c r="K152" s="2" t="s">
        <v>1169</v>
      </c>
      <c r="L152" s="28" t="s">
        <v>1174</v>
      </c>
      <c r="M152" s="20" t="s">
        <v>1175</v>
      </c>
      <c r="N152" s="47">
        <v>45485</v>
      </c>
      <c r="O152" s="20">
        <f>INDEX(Auxiliar!$D$5:$F$13,MATCH(Table1[[#This Row],[Tipologia_Testes]],Auxiliar!$B$5:$B$13,0),MATCH(Table1[[#This Row],[Complexidade]],Auxiliar!$D$4:$F$4,0))</f>
        <v>2</v>
      </c>
      <c r="P152" s="2"/>
      <c r="Q152" s="2" t="s">
        <v>1185</v>
      </c>
      <c r="R152" s="151">
        <v>45261</v>
      </c>
      <c r="S152" s="151"/>
      <c r="T152" s="151"/>
      <c r="U152" s="151"/>
      <c r="V152" s="151"/>
      <c r="W152" s="2">
        <f>VLOOKUP(Table1[[#This Row],[Status]],Auxiliar!$B$16:$D$24,3,0)*Table1[[#This Row],[Estimação (horas)]]</f>
        <v>2</v>
      </c>
      <c r="X152" s="165">
        <f>+VLOOKUP(CONCATENATE(Table1[[#This Row],[Tabela]],Table1[[#This Row],[Campo]]),'2. Status Detalhe Campos FY24'!A:J,9,FALSE)</f>
        <v>0</v>
      </c>
      <c r="Y152" s="491" t="e">
        <f>+VLOOKUP(A152,#REF!,1,FALSE)</f>
        <v>#REF!</v>
      </c>
    </row>
    <row r="153" spans="1:25" ht="17.899999999999999" hidden="1" customHeight="1">
      <c r="A153" t="str">
        <f>+Table1[[#This Row],[Tabela]]&amp;Table1[[#This Row],[Campo]]</f>
        <v>PROPERTYCONSERVATORY_REG_FILE_ID</v>
      </c>
      <c r="B153" s="2" t="s">
        <v>26</v>
      </c>
      <c r="C153" s="2" t="s">
        <v>54</v>
      </c>
      <c r="D153" s="2" t="s">
        <v>95</v>
      </c>
      <c r="E153" s="2" t="s">
        <v>38</v>
      </c>
      <c r="F153" s="2" t="s">
        <v>94</v>
      </c>
      <c r="G153" s="2" t="s">
        <v>110</v>
      </c>
      <c r="H153" s="56" t="str">
        <f>Table1[[#This Row],[Tabela]]&amp;Table1[[#This Row],[Campo]]</f>
        <v>PROPERTYCONSERVATORY_REG_FILE_ID</v>
      </c>
      <c r="I153" s="3" t="s">
        <v>612</v>
      </c>
      <c r="J153" s="54">
        <f>VLOOKUP(Table1[[#This Row],[Status]],Auxiliar!$B$16:$C$24,2,0)</f>
        <v>1</v>
      </c>
      <c r="K153" s="2" t="s">
        <v>1171</v>
      </c>
      <c r="L153" s="28" t="s">
        <v>1174</v>
      </c>
      <c r="M153" s="20" t="s">
        <v>1175</v>
      </c>
      <c r="N153" s="47">
        <v>45485</v>
      </c>
      <c r="O153" s="20">
        <f>INDEX(Auxiliar!$D$5:$F$13,MATCH(Table1[[#This Row],[Tipologia_Testes]],Auxiliar!$B$5:$B$13,0),MATCH(Table1[[#This Row],[Complexidade]],Auxiliar!$D$4:$F$4,0))</f>
        <v>0.1</v>
      </c>
      <c r="P153" s="2"/>
      <c r="Q153" s="2" t="s">
        <v>1185</v>
      </c>
      <c r="R153" s="151">
        <v>45261</v>
      </c>
      <c r="S153" s="151"/>
      <c r="T153" s="151"/>
      <c r="U153" s="151"/>
      <c r="V153" s="151"/>
      <c r="W153" s="2">
        <f>VLOOKUP(Table1[[#This Row],[Status]],Auxiliar!$B$16:$D$24,3,0)*Table1[[#This Row],[Estimação (horas)]]</f>
        <v>0.1</v>
      </c>
      <c r="X153" s="165">
        <f>+VLOOKUP(CONCATENATE(Table1[[#This Row],[Tabela]],Table1[[#This Row],[Campo]]),'2. Status Detalhe Campos FY24'!A:J,9,FALSE)</f>
        <v>0</v>
      </c>
      <c r="Y153" s="491" t="e">
        <f>+VLOOKUP(A153,#REF!,1,FALSE)</f>
        <v>#REF!</v>
      </c>
    </row>
    <row r="154" spans="1:25" ht="17.899999999999999" hidden="1" customHeight="1">
      <c r="A154" t="str">
        <f>+Table1[[#This Row],[Tabela]]&amp;Table1[[#This Row],[Campo]]</f>
        <v>PROPERTYFLOOR_NUMBER</v>
      </c>
      <c r="B154" s="2" t="s">
        <v>26</v>
      </c>
      <c r="C154" s="2" t="s">
        <v>54</v>
      </c>
      <c r="D154" s="2" t="s">
        <v>95</v>
      </c>
      <c r="E154" s="2" t="s">
        <v>38</v>
      </c>
      <c r="F154" s="2" t="s">
        <v>94</v>
      </c>
      <c r="G154" s="2" t="s">
        <v>111</v>
      </c>
      <c r="H154" s="56" t="str">
        <f>Table1[[#This Row],[Tabela]]&amp;Table1[[#This Row],[Campo]]</f>
        <v>PROPERTYFLOOR_NUMBER</v>
      </c>
      <c r="I154" s="3" t="s">
        <v>612</v>
      </c>
      <c r="J154" s="42">
        <f>VLOOKUP(Table1[[#This Row],[Status]],Auxiliar!$B$16:$C$24,2,0)</f>
        <v>1</v>
      </c>
      <c r="K154" s="2" t="s">
        <v>1168</v>
      </c>
      <c r="L154" s="28" t="s">
        <v>1174</v>
      </c>
      <c r="M154" s="20" t="s">
        <v>1175</v>
      </c>
      <c r="N154" s="47">
        <v>45490</v>
      </c>
      <c r="O154" s="20">
        <f>INDEX(Auxiliar!$D$5:$F$13,MATCH(Table1[[#This Row],[Tipologia_Testes]],Auxiliar!$B$5:$B$13,0),MATCH(Table1[[#This Row],[Complexidade]],Auxiliar!$D$4:$F$4,0))</f>
        <v>2</v>
      </c>
      <c r="P154" s="2"/>
      <c r="Q154" s="2" t="s">
        <v>1185</v>
      </c>
      <c r="R154" s="151">
        <v>45261</v>
      </c>
      <c r="S154" s="151"/>
      <c r="T154" s="151"/>
      <c r="U154" s="151"/>
      <c r="V154" s="151"/>
      <c r="W154" s="2">
        <f>VLOOKUP(Table1[[#This Row],[Status]],Auxiliar!$B$16:$D$24,3,0)*Table1[[#This Row],[Estimação (horas)]]</f>
        <v>2</v>
      </c>
      <c r="X154" s="165">
        <f>+VLOOKUP(CONCATENATE(Table1[[#This Row],[Tabela]],Table1[[#This Row],[Campo]]),'2. Status Detalhe Campos FY24'!A:J,9,FALSE)</f>
        <v>0</v>
      </c>
      <c r="Y154" s="491" t="e">
        <f>+VLOOKUP(A154,#REF!,1,FALSE)</f>
        <v>#REF!</v>
      </c>
    </row>
    <row r="155" spans="1:25" ht="17.899999999999999" hidden="1" customHeight="1">
      <c r="A155" t="str">
        <f>+Table1[[#This Row],[Tabela]]&amp;Table1[[#This Row],[Campo]]</f>
        <v>PROPERTYFLOOR_NUMBER</v>
      </c>
      <c r="B155" s="2" t="s">
        <v>26</v>
      </c>
      <c r="C155" s="2" t="s">
        <v>54</v>
      </c>
      <c r="D155" s="2" t="s">
        <v>95</v>
      </c>
      <c r="E155" s="2" t="s">
        <v>38</v>
      </c>
      <c r="F155" s="2" t="s">
        <v>94</v>
      </c>
      <c r="G155" s="2" t="s">
        <v>111</v>
      </c>
      <c r="H155" s="56" t="str">
        <f>Table1[[#This Row],[Tabela]]&amp;Table1[[#This Row],[Campo]]</f>
        <v>PROPERTYFLOOR_NUMBER</v>
      </c>
      <c r="I155" s="3" t="s">
        <v>612</v>
      </c>
      <c r="J155" s="42">
        <f>VLOOKUP(Table1[[#This Row],[Status]],Auxiliar!$B$16:$C$24,2,0)</f>
        <v>1</v>
      </c>
      <c r="K155" s="2" t="s">
        <v>1169</v>
      </c>
      <c r="L155" s="28" t="s">
        <v>1174</v>
      </c>
      <c r="M155" s="20" t="s">
        <v>1175</v>
      </c>
      <c r="N155" s="47">
        <v>45490</v>
      </c>
      <c r="O155" s="20">
        <f>INDEX(Auxiliar!$D$5:$F$13,MATCH(Table1[[#This Row],[Tipologia_Testes]],Auxiliar!$B$5:$B$13,0),MATCH(Table1[[#This Row],[Complexidade]],Auxiliar!$D$4:$F$4,0))</f>
        <v>2</v>
      </c>
      <c r="P155" s="2"/>
      <c r="Q155" s="2" t="s">
        <v>1185</v>
      </c>
      <c r="R155" s="151">
        <v>45261</v>
      </c>
      <c r="S155" s="151"/>
      <c r="T155" s="151"/>
      <c r="U155" s="151"/>
      <c r="V155" s="151"/>
      <c r="W155" s="2">
        <f>VLOOKUP(Table1[[#This Row],[Status]],Auxiliar!$B$16:$D$24,3,0)*Table1[[#This Row],[Estimação (horas)]]</f>
        <v>2</v>
      </c>
      <c r="X155" s="165">
        <f>+VLOOKUP(CONCATENATE(Table1[[#This Row],[Tabela]],Table1[[#This Row],[Campo]]),'2. Status Detalhe Campos FY24'!A:J,9,FALSE)</f>
        <v>0</v>
      </c>
      <c r="Y155" s="491" t="e">
        <f>+VLOOKUP(A155,#REF!,1,FALSE)</f>
        <v>#REF!</v>
      </c>
    </row>
    <row r="156" spans="1:25" ht="17.899999999999999" hidden="1" customHeight="1">
      <c r="A156" t="str">
        <f>+Table1[[#This Row],[Tabela]]&amp;Table1[[#This Row],[Campo]]</f>
        <v>PROPERTYFLOOR_NUMBER</v>
      </c>
      <c r="B156" s="2" t="s">
        <v>26</v>
      </c>
      <c r="C156" s="2" t="s">
        <v>54</v>
      </c>
      <c r="D156" s="2" t="s">
        <v>95</v>
      </c>
      <c r="E156" s="2" t="s">
        <v>38</v>
      </c>
      <c r="F156" s="2" t="s">
        <v>94</v>
      </c>
      <c r="G156" s="2" t="s">
        <v>111</v>
      </c>
      <c r="H156" s="56" t="str">
        <f>Table1[[#This Row],[Tabela]]&amp;Table1[[#This Row],[Campo]]</f>
        <v>PROPERTYFLOOR_NUMBER</v>
      </c>
      <c r="I156" s="3" t="s">
        <v>612</v>
      </c>
      <c r="J156" s="42">
        <f>VLOOKUP(Table1[[#This Row],[Status]],Auxiliar!$B$16:$C$24,2,0)</f>
        <v>1</v>
      </c>
      <c r="K156" s="2" t="s">
        <v>1171</v>
      </c>
      <c r="L156" s="28" t="s">
        <v>1174</v>
      </c>
      <c r="M156" s="20" t="s">
        <v>1175</v>
      </c>
      <c r="N156" s="47">
        <v>45490</v>
      </c>
      <c r="O156" s="20">
        <f>INDEX(Auxiliar!$D$5:$F$13,MATCH(Table1[[#This Row],[Tipologia_Testes]],Auxiliar!$B$5:$B$13,0),MATCH(Table1[[#This Row],[Complexidade]],Auxiliar!$D$4:$F$4,0))</f>
        <v>0.1</v>
      </c>
      <c r="P156" s="2"/>
      <c r="Q156" s="2" t="s">
        <v>1185</v>
      </c>
      <c r="R156" s="151">
        <v>45261</v>
      </c>
      <c r="S156" s="151"/>
      <c r="T156" s="151"/>
      <c r="U156" s="151"/>
      <c r="V156" s="151"/>
      <c r="W156" s="2">
        <f>VLOOKUP(Table1[[#This Row],[Status]],Auxiliar!$B$16:$D$24,3,0)*Table1[[#This Row],[Estimação (horas)]]</f>
        <v>0.1</v>
      </c>
      <c r="X156" s="165">
        <f>+VLOOKUP(CONCATENATE(Table1[[#This Row],[Tabela]],Table1[[#This Row],[Campo]]),'2. Status Detalhe Campos FY24'!A:J,9,FALSE)</f>
        <v>0</v>
      </c>
      <c r="Y156" s="491" t="e">
        <f>+VLOOKUP(A156,#REF!,1,FALSE)</f>
        <v>#REF!</v>
      </c>
    </row>
    <row r="157" spans="1:25" ht="17.899999999999999" hidden="1" customHeight="1">
      <c r="A157" t="str">
        <f>+Table1[[#This Row],[Tabela]]&amp;Table1[[#This Row],[Campo]]</f>
        <v>PROPERTYLOCALITY</v>
      </c>
      <c r="B157" s="2" t="s">
        <v>26</v>
      </c>
      <c r="C157" s="2" t="s">
        <v>54</v>
      </c>
      <c r="D157" s="2" t="s">
        <v>95</v>
      </c>
      <c r="E157" s="2" t="s">
        <v>38</v>
      </c>
      <c r="F157" s="2" t="s">
        <v>94</v>
      </c>
      <c r="G157" s="2" t="s">
        <v>112</v>
      </c>
      <c r="H157" s="56" t="str">
        <f>Table1[[#This Row],[Tabela]]&amp;Table1[[#This Row],[Campo]]</f>
        <v>PROPERTYLOCALITY</v>
      </c>
      <c r="I157" s="3" t="s">
        <v>612</v>
      </c>
      <c r="J157" s="42">
        <f>VLOOKUP(Table1[[#This Row],[Status]],Auxiliar!$B$16:$C$24,2,0)</f>
        <v>1</v>
      </c>
      <c r="K157" s="2" t="s">
        <v>1168</v>
      </c>
      <c r="L157" s="28" t="s">
        <v>1174</v>
      </c>
      <c r="M157" s="20" t="s">
        <v>1175</v>
      </c>
      <c r="N157" s="47">
        <v>45490</v>
      </c>
      <c r="O157" s="20">
        <f>INDEX(Auxiliar!$D$5:$F$13,MATCH(Table1[[#This Row],[Tipologia_Testes]],Auxiliar!$B$5:$B$13,0),MATCH(Table1[[#This Row],[Complexidade]],Auxiliar!$D$4:$F$4,0))</f>
        <v>2</v>
      </c>
      <c r="P157" s="2"/>
      <c r="Q157" s="2" t="s">
        <v>1185</v>
      </c>
      <c r="R157" s="151">
        <v>45261</v>
      </c>
      <c r="S157" s="151"/>
      <c r="T157" s="151"/>
      <c r="U157" s="151"/>
      <c r="V157" s="151"/>
      <c r="W157" s="2">
        <f>VLOOKUP(Table1[[#This Row],[Status]],Auxiliar!$B$16:$D$24,3,0)*Table1[[#This Row],[Estimação (horas)]]</f>
        <v>2</v>
      </c>
      <c r="X157" s="165">
        <f>+VLOOKUP(CONCATENATE(Table1[[#This Row],[Tabela]],Table1[[#This Row],[Campo]]),'2. Status Detalhe Campos FY24'!A:J,9,FALSE)</f>
        <v>0</v>
      </c>
      <c r="Y157" s="491" t="e">
        <f>+VLOOKUP(A157,#REF!,1,FALSE)</f>
        <v>#REF!</v>
      </c>
    </row>
    <row r="158" spans="1:25" ht="17.899999999999999" hidden="1" customHeight="1">
      <c r="A158" t="str">
        <f>+Table1[[#This Row],[Tabela]]&amp;Table1[[#This Row],[Campo]]</f>
        <v>PROPERTYLOCALITY</v>
      </c>
      <c r="B158" s="2" t="s">
        <v>26</v>
      </c>
      <c r="C158" s="2" t="s">
        <v>54</v>
      </c>
      <c r="D158" s="2" t="s">
        <v>95</v>
      </c>
      <c r="E158" s="2" t="s">
        <v>38</v>
      </c>
      <c r="F158" s="2" t="s">
        <v>94</v>
      </c>
      <c r="G158" s="2" t="s">
        <v>112</v>
      </c>
      <c r="H158" s="56" t="str">
        <f>Table1[[#This Row],[Tabela]]&amp;Table1[[#This Row],[Campo]]</f>
        <v>PROPERTYLOCALITY</v>
      </c>
      <c r="I158" s="3" t="s">
        <v>612</v>
      </c>
      <c r="J158" s="42">
        <f>VLOOKUP(Table1[[#This Row],[Status]],Auxiliar!$B$16:$C$24,2,0)</f>
        <v>1</v>
      </c>
      <c r="K158" s="2" t="s">
        <v>1169</v>
      </c>
      <c r="L158" s="28" t="s">
        <v>1174</v>
      </c>
      <c r="M158" s="20" t="s">
        <v>1175</v>
      </c>
      <c r="N158" s="47">
        <v>45490</v>
      </c>
      <c r="O158" s="20">
        <f>INDEX(Auxiliar!$D$5:$F$13,MATCH(Table1[[#This Row],[Tipologia_Testes]],Auxiliar!$B$5:$B$13,0),MATCH(Table1[[#This Row],[Complexidade]],Auxiliar!$D$4:$F$4,0))</f>
        <v>2</v>
      </c>
      <c r="P158" s="2"/>
      <c r="Q158" s="2" t="s">
        <v>1185</v>
      </c>
      <c r="R158" s="151">
        <v>45261</v>
      </c>
      <c r="S158" s="151"/>
      <c r="T158" s="151"/>
      <c r="U158" s="151"/>
      <c r="V158" s="151"/>
      <c r="W158" s="2">
        <f>VLOOKUP(Table1[[#This Row],[Status]],Auxiliar!$B$16:$D$24,3,0)*Table1[[#This Row],[Estimação (horas)]]</f>
        <v>2</v>
      </c>
      <c r="X158" s="165">
        <f>+VLOOKUP(CONCATENATE(Table1[[#This Row],[Tabela]],Table1[[#This Row],[Campo]]),'2. Status Detalhe Campos FY24'!A:J,9,FALSE)</f>
        <v>0</v>
      </c>
      <c r="Y158" s="491" t="e">
        <f>+VLOOKUP(A158,#REF!,1,FALSE)</f>
        <v>#REF!</v>
      </c>
    </row>
    <row r="159" spans="1:25" ht="17.899999999999999" hidden="1" customHeight="1">
      <c r="A159" t="str">
        <f>+Table1[[#This Row],[Tabela]]&amp;Table1[[#This Row],[Campo]]</f>
        <v>PROPERTYLOCALITY</v>
      </c>
      <c r="B159" s="2" t="s">
        <v>26</v>
      </c>
      <c r="C159" s="2" t="s">
        <v>54</v>
      </c>
      <c r="D159" s="2" t="s">
        <v>95</v>
      </c>
      <c r="E159" s="2" t="s">
        <v>38</v>
      </c>
      <c r="F159" s="2" t="s">
        <v>94</v>
      </c>
      <c r="G159" s="2" t="s">
        <v>112</v>
      </c>
      <c r="H159" s="56" t="str">
        <f>Table1[[#This Row],[Tabela]]&amp;Table1[[#This Row],[Campo]]</f>
        <v>PROPERTYLOCALITY</v>
      </c>
      <c r="I159" s="3" t="s">
        <v>612</v>
      </c>
      <c r="J159" s="42">
        <f>VLOOKUP(Table1[[#This Row],[Status]],Auxiliar!$B$16:$C$24,2,0)</f>
        <v>1</v>
      </c>
      <c r="K159" s="2" t="s">
        <v>1171</v>
      </c>
      <c r="L159" s="28" t="s">
        <v>1174</v>
      </c>
      <c r="M159" s="20" t="s">
        <v>1175</v>
      </c>
      <c r="N159" s="47">
        <v>45490</v>
      </c>
      <c r="O159" s="20">
        <f>INDEX(Auxiliar!$D$5:$F$13,MATCH(Table1[[#This Row],[Tipologia_Testes]],Auxiliar!$B$5:$B$13,0),MATCH(Table1[[#This Row],[Complexidade]],Auxiliar!$D$4:$F$4,0))</f>
        <v>0.1</v>
      </c>
      <c r="P159" s="2"/>
      <c r="Q159" s="2" t="s">
        <v>1185</v>
      </c>
      <c r="R159" s="151">
        <v>45261</v>
      </c>
      <c r="S159" s="151"/>
      <c r="T159" s="151"/>
      <c r="U159" s="151"/>
      <c r="V159" s="151"/>
      <c r="W159" s="2">
        <f>VLOOKUP(Table1[[#This Row],[Status]],Auxiliar!$B$16:$D$24,3,0)*Table1[[#This Row],[Estimação (horas)]]</f>
        <v>0.1</v>
      </c>
      <c r="X159" s="165">
        <f>+VLOOKUP(CONCATENATE(Table1[[#This Row],[Tabela]],Table1[[#This Row],[Campo]]),'2. Status Detalhe Campos FY24'!A:J,9,FALSE)</f>
        <v>0</v>
      </c>
      <c r="Y159" s="491" t="e">
        <f>+VLOOKUP(A159,#REF!,1,FALSE)</f>
        <v>#REF!</v>
      </c>
    </row>
    <row r="160" spans="1:25" ht="17.899999999999999" hidden="1" customHeight="1">
      <c r="A160" t="str">
        <f>+Table1[[#This Row],[Tabela]]&amp;Table1[[#This Row],[Campo]]</f>
        <v>PROPERTYPROPERTY_LOT</v>
      </c>
      <c r="B160" s="2" t="s">
        <v>26</v>
      </c>
      <c r="C160" s="2" t="s">
        <v>54</v>
      </c>
      <c r="D160" s="2" t="s">
        <v>95</v>
      </c>
      <c r="E160" s="2" t="s">
        <v>38</v>
      </c>
      <c r="F160" s="2" t="s">
        <v>94</v>
      </c>
      <c r="G160" s="2" t="s">
        <v>113</v>
      </c>
      <c r="H160" s="56" t="str">
        <f>Table1[[#This Row],[Tabela]]&amp;Table1[[#This Row],[Campo]]</f>
        <v>PROPERTYPROPERTY_LOT</v>
      </c>
      <c r="I160" s="3" t="s">
        <v>612</v>
      </c>
      <c r="J160" s="42">
        <f>VLOOKUP(Table1[[#This Row],[Status]],Auxiliar!$B$16:$C$24,2,0)</f>
        <v>1</v>
      </c>
      <c r="K160" s="2" t="s">
        <v>1168</v>
      </c>
      <c r="L160" s="28" t="s">
        <v>1174</v>
      </c>
      <c r="M160" s="20" t="s">
        <v>1175</v>
      </c>
      <c r="N160" s="47">
        <v>45490</v>
      </c>
      <c r="O160" s="20">
        <f>INDEX(Auxiliar!$D$5:$F$13,MATCH(Table1[[#This Row],[Tipologia_Testes]],Auxiliar!$B$5:$B$13,0),MATCH(Table1[[#This Row],[Complexidade]],Auxiliar!$D$4:$F$4,0))</f>
        <v>2</v>
      </c>
      <c r="P160" s="2"/>
      <c r="Q160" s="2" t="s">
        <v>1185</v>
      </c>
      <c r="R160" s="151">
        <v>45261</v>
      </c>
      <c r="S160" s="151"/>
      <c r="T160" s="151"/>
      <c r="U160" s="151"/>
      <c r="V160" s="151"/>
      <c r="W160" s="2">
        <f>VLOOKUP(Table1[[#This Row],[Status]],Auxiliar!$B$16:$D$24,3,0)*Table1[[#This Row],[Estimação (horas)]]</f>
        <v>2</v>
      </c>
      <c r="X160" s="165">
        <f>+VLOOKUP(CONCATENATE(Table1[[#This Row],[Tabela]],Table1[[#This Row],[Campo]]),'2. Status Detalhe Campos FY24'!A:J,9,FALSE)</f>
        <v>0</v>
      </c>
      <c r="Y160" s="491" t="e">
        <f>+VLOOKUP(A160,#REF!,1,FALSE)</f>
        <v>#REF!</v>
      </c>
    </row>
    <row r="161" spans="1:25" ht="17.899999999999999" hidden="1" customHeight="1">
      <c r="A161" t="str">
        <f>+Table1[[#This Row],[Tabela]]&amp;Table1[[#This Row],[Campo]]</f>
        <v>PROPERTYPROPERTY_LOT</v>
      </c>
      <c r="B161" s="2" t="s">
        <v>26</v>
      </c>
      <c r="C161" s="2" t="s">
        <v>54</v>
      </c>
      <c r="D161" s="2" t="s">
        <v>95</v>
      </c>
      <c r="E161" s="2" t="s">
        <v>38</v>
      </c>
      <c r="F161" s="2" t="s">
        <v>94</v>
      </c>
      <c r="G161" s="2" t="s">
        <v>113</v>
      </c>
      <c r="H161" s="56" t="str">
        <f>Table1[[#This Row],[Tabela]]&amp;Table1[[#This Row],[Campo]]</f>
        <v>PROPERTYPROPERTY_LOT</v>
      </c>
      <c r="I161" s="3" t="s">
        <v>612</v>
      </c>
      <c r="J161" s="42">
        <f>VLOOKUP(Table1[[#This Row],[Status]],Auxiliar!$B$16:$C$24,2,0)</f>
        <v>1</v>
      </c>
      <c r="K161" s="2" t="s">
        <v>1169</v>
      </c>
      <c r="L161" s="28" t="s">
        <v>1174</v>
      </c>
      <c r="M161" s="20" t="s">
        <v>1175</v>
      </c>
      <c r="N161" s="47">
        <v>45490</v>
      </c>
      <c r="O161" s="20">
        <f>INDEX(Auxiliar!$D$5:$F$13,MATCH(Table1[[#This Row],[Tipologia_Testes]],Auxiliar!$B$5:$B$13,0),MATCH(Table1[[#This Row],[Complexidade]],Auxiliar!$D$4:$F$4,0))</f>
        <v>2</v>
      </c>
      <c r="P161" s="2"/>
      <c r="Q161" s="2" t="s">
        <v>1185</v>
      </c>
      <c r="R161" s="151">
        <v>45261</v>
      </c>
      <c r="S161" s="151"/>
      <c r="T161" s="151"/>
      <c r="U161" s="151"/>
      <c r="V161" s="151"/>
      <c r="W161" s="2">
        <f>VLOOKUP(Table1[[#This Row],[Status]],Auxiliar!$B$16:$D$24,3,0)*Table1[[#This Row],[Estimação (horas)]]</f>
        <v>2</v>
      </c>
      <c r="X161" s="165">
        <f>+VLOOKUP(CONCATENATE(Table1[[#This Row],[Tabela]],Table1[[#This Row],[Campo]]),'2. Status Detalhe Campos FY24'!A:J,9,FALSE)</f>
        <v>0</v>
      </c>
      <c r="Y161" s="491" t="e">
        <f>+VLOOKUP(A161,#REF!,1,FALSE)</f>
        <v>#REF!</v>
      </c>
    </row>
    <row r="162" spans="1:25" ht="17.899999999999999" hidden="1" customHeight="1">
      <c r="A162" t="str">
        <f>+Table1[[#This Row],[Tabela]]&amp;Table1[[#This Row],[Campo]]</f>
        <v>PROPERTYPROPERTY_LOT</v>
      </c>
      <c r="B162" s="2" t="s">
        <v>26</v>
      </c>
      <c r="C162" s="2" t="s">
        <v>54</v>
      </c>
      <c r="D162" s="2" t="s">
        <v>95</v>
      </c>
      <c r="E162" s="2" t="s">
        <v>38</v>
      </c>
      <c r="F162" s="2" t="s">
        <v>94</v>
      </c>
      <c r="G162" s="2" t="s">
        <v>113</v>
      </c>
      <c r="H162" s="56" t="str">
        <f>Table1[[#This Row],[Tabela]]&amp;Table1[[#This Row],[Campo]]</f>
        <v>PROPERTYPROPERTY_LOT</v>
      </c>
      <c r="I162" s="3" t="s">
        <v>612</v>
      </c>
      <c r="J162" s="42">
        <f>VLOOKUP(Table1[[#This Row],[Status]],Auxiliar!$B$16:$C$24,2,0)</f>
        <v>1</v>
      </c>
      <c r="K162" s="2" t="s">
        <v>1171</v>
      </c>
      <c r="L162" s="28" t="s">
        <v>1174</v>
      </c>
      <c r="M162" s="20" t="s">
        <v>1175</v>
      </c>
      <c r="N162" s="47">
        <v>45490</v>
      </c>
      <c r="O162" s="20">
        <f>INDEX(Auxiliar!$D$5:$F$13,MATCH(Table1[[#This Row],[Tipologia_Testes]],Auxiliar!$B$5:$B$13,0),MATCH(Table1[[#This Row],[Complexidade]],Auxiliar!$D$4:$F$4,0))</f>
        <v>0.1</v>
      </c>
      <c r="P162" s="2"/>
      <c r="Q162" s="2" t="s">
        <v>1185</v>
      </c>
      <c r="R162" s="151">
        <v>45261</v>
      </c>
      <c r="S162" s="151"/>
      <c r="T162" s="151"/>
      <c r="U162" s="151"/>
      <c r="V162" s="151"/>
      <c r="W162" s="2">
        <f>VLOOKUP(Table1[[#This Row],[Status]],Auxiliar!$B$16:$D$24,3,0)*Table1[[#This Row],[Estimação (horas)]]</f>
        <v>0.1</v>
      </c>
      <c r="X162" s="165">
        <f>+VLOOKUP(CONCATENATE(Table1[[#This Row],[Tabela]],Table1[[#This Row],[Campo]]),'2. Status Detalhe Campos FY24'!A:J,9,FALSE)</f>
        <v>0</v>
      </c>
      <c r="Y162" s="491" t="e">
        <f>+VLOOKUP(A162,#REF!,1,FALSE)</f>
        <v>#REF!</v>
      </c>
    </row>
    <row r="163" spans="1:25" ht="17.899999999999999" hidden="1" customHeight="1">
      <c r="A163" t="str">
        <f>+Table1[[#This Row],[Tabela]]&amp;Table1[[#This Row],[Campo]]</f>
        <v>PROPERTYLAST_APPRAISAL_AMOUNT</v>
      </c>
      <c r="B163" s="2" t="s">
        <v>26</v>
      </c>
      <c r="C163" s="2" t="s">
        <v>54</v>
      </c>
      <c r="D163" s="2" t="s">
        <v>95</v>
      </c>
      <c r="E163" s="2" t="s">
        <v>38</v>
      </c>
      <c r="F163" s="2" t="s">
        <v>94</v>
      </c>
      <c r="G163" s="2" t="s">
        <v>114</v>
      </c>
      <c r="H163" s="56" t="str">
        <f>Table1[[#This Row],[Tabela]]&amp;Table1[[#This Row],[Campo]]</f>
        <v>PROPERTYLAST_APPRAISAL_AMOUNT</v>
      </c>
      <c r="I163" s="3" t="s">
        <v>612</v>
      </c>
      <c r="J163" s="54">
        <f>VLOOKUP(Table1[[#This Row],[Status]],Auxiliar!$B$16:$C$24,2,0)</f>
        <v>1</v>
      </c>
      <c r="K163" s="2" t="s">
        <v>1168</v>
      </c>
      <c r="L163" s="28" t="s">
        <v>1174</v>
      </c>
      <c r="M163" s="20" t="s">
        <v>1175</v>
      </c>
      <c r="N163" s="47">
        <v>45485</v>
      </c>
      <c r="O163" s="20">
        <f>INDEX(Auxiliar!$D$5:$F$13,MATCH(Table1[[#This Row],[Tipologia_Testes]],Auxiliar!$B$5:$B$13,0),MATCH(Table1[[#This Row],[Complexidade]],Auxiliar!$D$4:$F$4,0))</f>
        <v>2</v>
      </c>
      <c r="P163" s="2"/>
      <c r="Q163" s="2" t="s">
        <v>1185</v>
      </c>
      <c r="R163" s="151">
        <v>45261</v>
      </c>
      <c r="S163" s="151"/>
      <c r="T163" s="151"/>
      <c r="U163" s="151"/>
      <c r="V163" s="151"/>
      <c r="W163" s="2">
        <f>VLOOKUP(Table1[[#This Row],[Status]],Auxiliar!$B$16:$D$24,3,0)*Table1[[#This Row],[Estimação (horas)]]</f>
        <v>2</v>
      </c>
      <c r="X163" s="165">
        <f>+VLOOKUP(CONCATENATE(Table1[[#This Row],[Tabela]],Table1[[#This Row],[Campo]]),'2. Status Detalhe Campos FY24'!A:J,9,FALSE)</f>
        <v>0</v>
      </c>
      <c r="Y163" s="491" t="e">
        <f>+VLOOKUP(A163,#REF!,1,FALSE)</f>
        <v>#REF!</v>
      </c>
    </row>
    <row r="164" spans="1:25" ht="17.899999999999999" hidden="1" customHeight="1">
      <c r="A164" t="str">
        <f>+Table1[[#This Row],[Tabela]]&amp;Table1[[#This Row],[Campo]]</f>
        <v>PROPERTYLAST_APPRAISAL_AMOUNT</v>
      </c>
      <c r="B164" s="2" t="s">
        <v>26</v>
      </c>
      <c r="C164" s="2" t="s">
        <v>54</v>
      </c>
      <c r="D164" s="2" t="s">
        <v>95</v>
      </c>
      <c r="E164" s="2" t="s">
        <v>38</v>
      </c>
      <c r="F164" s="2" t="s">
        <v>94</v>
      </c>
      <c r="G164" s="2" t="s">
        <v>114</v>
      </c>
      <c r="H164" s="56" t="str">
        <f>Table1[[#This Row],[Tabela]]&amp;Table1[[#This Row],[Campo]]</f>
        <v>PROPERTYLAST_APPRAISAL_AMOUNT</v>
      </c>
      <c r="I164" s="3" t="s">
        <v>612</v>
      </c>
      <c r="J164" s="54">
        <f>VLOOKUP(Table1[[#This Row],[Status]],Auxiliar!$B$16:$C$24,2,0)</f>
        <v>1</v>
      </c>
      <c r="K164" s="2" t="s">
        <v>1169</v>
      </c>
      <c r="L164" s="28" t="s">
        <v>1174</v>
      </c>
      <c r="M164" s="20" t="s">
        <v>1175</v>
      </c>
      <c r="N164" s="47">
        <v>45485</v>
      </c>
      <c r="O164" s="20">
        <f>INDEX(Auxiliar!$D$5:$F$13,MATCH(Table1[[#This Row],[Tipologia_Testes]],Auxiliar!$B$5:$B$13,0),MATCH(Table1[[#This Row],[Complexidade]],Auxiliar!$D$4:$F$4,0))</f>
        <v>2</v>
      </c>
      <c r="P164" s="2"/>
      <c r="Q164" s="2" t="s">
        <v>1185</v>
      </c>
      <c r="R164" s="151">
        <v>45261</v>
      </c>
      <c r="S164" s="151"/>
      <c r="T164" s="151"/>
      <c r="U164" s="151"/>
      <c r="V164" s="151"/>
      <c r="W164" s="2">
        <f>VLOOKUP(Table1[[#This Row],[Status]],Auxiliar!$B$16:$D$24,3,0)*Table1[[#This Row],[Estimação (horas)]]</f>
        <v>2</v>
      </c>
      <c r="X164" s="165">
        <f>+VLOOKUP(CONCATENATE(Table1[[#This Row],[Tabela]],Table1[[#This Row],[Campo]]),'2. Status Detalhe Campos FY24'!A:J,9,FALSE)</f>
        <v>0</v>
      </c>
      <c r="Y164" s="491" t="e">
        <f>+VLOOKUP(A164,#REF!,1,FALSE)</f>
        <v>#REF!</v>
      </c>
    </row>
    <row r="165" spans="1:25" ht="17.899999999999999" hidden="1" customHeight="1">
      <c r="A165" t="str">
        <f>+Table1[[#This Row],[Tabela]]&amp;Table1[[#This Row],[Campo]]</f>
        <v>PROPERTYLAST_APPRAISAL_AMOUNT</v>
      </c>
      <c r="B165" s="2" t="s">
        <v>26</v>
      </c>
      <c r="C165" s="2" t="s">
        <v>54</v>
      </c>
      <c r="D165" s="2" t="s">
        <v>95</v>
      </c>
      <c r="E165" s="2" t="s">
        <v>38</v>
      </c>
      <c r="F165" s="2" t="s">
        <v>94</v>
      </c>
      <c r="G165" s="2" t="s">
        <v>114</v>
      </c>
      <c r="H165" s="56" t="str">
        <f>Table1[[#This Row],[Tabela]]&amp;Table1[[#This Row],[Campo]]</f>
        <v>PROPERTYLAST_APPRAISAL_AMOUNT</v>
      </c>
      <c r="I165" s="3" t="s">
        <v>612</v>
      </c>
      <c r="J165" s="54">
        <f>VLOOKUP(Table1[[#This Row],[Status]],Auxiliar!$B$16:$C$24,2,0)</f>
        <v>1</v>
      </c>
      <c r="K165" s="2" t="s">
        <v>1171</v>
      </c>
      <c r="L165" s="28" t="s">
        <v>1174</v>
      </c>
      <c r="M165" s="20" t="s">
        <v>1175</v>
      </c>
      <c r="N165" s="47">
        <v>45485</v>
      </c>
      <c r="O165" s="20">
        <f>INDEX(Auxiliar!$D$5:$F$13,MATCH(Table1[[#This Row],[Tipologia_Testes]],Auxiliar!$B$5:$B$13,0),MATCH(Table1[[#This Row],[Complexidade]],Auxiliar!$D$4:$F$4,0))</f>
        <v>0.1</v>
      </c>
      <c r="P165" s="2"/>
      <c r="Q165" s="2" t="s">
        <v>1185</v>
      </c>
      <c r="R165" s="151">
        <v>45261</v>
      </c>
      <c r="S165" s="151"/>
      <c r="T165" s="151"/>
      <c r="U165" s="151"/>
      <c r="V165" s="151"/>
      <c r="W165" s="2">
        <f>VLOOKUP(Table1[[#This Row],[Status]],Auxiliar!$B$16:$D$24,3,0)*Table1[[#This Row],[Estimação (horas)]]</f>
        <v>0.1</v>
      </c>
      <c r="X165" s="165">
        <f>+VLOOKUP(CONCATENATE(Table1[[#This Row],[Tabela]],Table1[[#This Row],[Campo]]),'2. Status Detalhe Campos FY24'!A:J,9,FALSE)</f>
        <v>0</v>
      </c>
      <c r="Y165" s="491" t="e">
        <f>+VLOOKUP(A165,#REF!,1,FALSE)</f>
        <v>#REF!</v>
      </c>
    </row>
    <row r="166" spans="1:25" ht="17.899999999999999" hidden="1" customHeight="1">
      <c r="A166" t="str">
        <f>+Table1[[#This Row],[Tabela]]&amp;Table1[[#This Row],[Campo]]</f>
        <v>PROPERTYNET_APPRAISAL_AMOUNT</v>
      </c>
      <c r="B166" s="2" t="s">
        <v>26</v>
      </c>
      <c r="C166" s="2" t="s">
        <v>54</v>
      </c>
      <c r="D166" s="2" t="s">
        <v>95</v>
      </c>
      <c r="E166" s="2" t="s">
        <v>38</v>
      </c>
      <c r="F166" s="2" t="s">
        <v>94</v>
      </c>
      <c r="G166" s="2" t="s">
        <v>115</v>
      </c>
      <c r="H166" s="56" t="str">
        <f>Table1[[#This Row],[Tabela]]&amp;Table1[[#This Row],[Campo]]</f>
        <v>PROPERTYNET_APPRAISAL_AMOUNT</v>
      </c>
      <c r="I166" s="3" t="s">
        <v>612</v>
      </c>
      <c r="J166" s="54">
        <f>VLOOKUP(Table1[[#This Row],[Status]],Auxiliar!$B$16:$C$24,2,0)</f>
        <v>1</v>
      </c>
      <c r="K166" s="2" t="s">
        <v>1168</v>
      </c>
      <c r="L166" s="28" t="s">
        <v>1174</v>
      </c>
      <c r="M166" s="20" t="s">
        <v>1175</v>
      </c>
      <c r="N166" s="47">
        <v>45485</v>
      </c>
      <c r="O166" s="20">
        <f>INDEX(Auxiliar!$D$5:$F$13,MATCH(Table1[[#This Row],[Tipologia_Testes]],Auxiliar!$B$5:$B$13,0),MATCH(Table1[[#This Row],[Complexidade]],Auxiliar!$D$4:$F$4,0))</f>
        <v>2</v>
      </c>
      <c r="P166" s="2"/>
      <c r="Q166" s="2" t="s">
        <v>1185</v>
      </c>
      <c r="R166" s="151">
        <v>45261</v>
      </c>
      <c r="S166" s="151"/>
      <c r="T166" s="151"/>
      <c r="U166" s="151"/>
      <c r="V166" s="151"/>
      <c r="W166" s="2">
        <f>VLOOKUP(Table1[[#This Row],[Status]],Auxiliar!$B$16:$D$24,3,0)*Table1[[#This Row],[Estimação (horas)]]</f>
        <v>2</v>
      </c>
      <c r="X166" s="165">
        <f>+VLOOKUP(CONCATENATE(Table1[[#This Row],[Tabela]],Table1[[#This Row],[Campo]]),'2. Status Detalhe Campos FY24'!A:J,9,FALSE)</f>
        <v>0</v>
      </c>
      <c r="Y166" s="491" t="e">
        <f>+VLOOKUP(A166,#REF!,1,FALSE)</f>
        <v>#REF!</v>
      </c>
    </row>
    <row r="167" spans="1:25" ht="17.899999999999999" hidden="1" customHeight="1">
      <c r="A167" t="str">
        <f>+Table1[[#This Row],[Tabela]]&amp;Table1[[#This Row],[Campo]]</f>
        <v>PROPERTYNET_APPRAISAL_AMOUNT</v>
      </c>
      <c r="B167" s="2" t="s">
        <v>26</v>
      </c>
      <c r="C167" s="2" t="s">
        <v>54</v>
      </c>
      <c r="D167" s="2" t="s">
        <v>95</v>
      </c>
      <c r="E167" s="2" t="s">
        <v>38</v>
      </c>
      <c r="F167" s="2" t="s">
        <v>94</v>
      </c>
      <c r="G167" s="2" t="s">
        <v>115</v>
      </c>
      <c r="H167" s="56" t="str">
        <f>Table1[[#This Row],[Tabela]]&amp;Table1[[#This Row],[Campo]]</f>
        <v>PROPERTYNET_APPRAISAL_AMOUNT</v>
      </c>
      <c r="I167" s="3" t="s">
        <v>612</v>
      </c>
      <c r="J167" s="54">
        <f>VLOOKUP(Table1[[#This Row],[Status]],Auxiliar!$B$16:$C$24,2,0)</f>
        <v>1</v>
      </c>
      <c r="K167" s="2" t="s">
        <v>1169</v>
      </c>
      <c r="L167" s="28" t="s">
        <v>1174</v>
      </c>
      <c r="M167" s="20" t="s">
        <v>1175</v>
      </c>
      <c r="N167" s="47">
        <v>45485</v>
      </c>
      <c r="O167" s="20">
        <f>INDEX(Auxiliar!$D$5:$F$13,MATCH(Table1[[#This Row],[Tipologia_Testes]],Auxiliar!$B$5:$B$13,0),MATCH(Table1[[#This Row],[Complexidade]],Auxiliar!$D$4:$F$4,0))</f>
        <v>2</v>
      </c>
      <c r="P167" s="2"/>
      <c r="Q167" s="2" t="s">
        <v>1185</v>
      </c>
      <c r="R167" s="151">
        <v>45261</v>
      </c>
      <c r="S167" s="151"/>
      <c r="T167" s="151"/>
      <c r="U167" s="151"/>
      <c r="V167" s="151"/>
      <c r="W167" s="2">
        <f>VLOOKUP(Table1[[#This Row],[Status]],Auxiliar!$B$16:$D$24,3,0)*Table1[[#This Row],[Estimação (horas)]]</f>
        <v>2</v>
      </c>
      <c r="X167" s="165">
        <f>+VLOOKUP(CONCATENATE(Table1[[#This Row],[Tabela]],Table1[[#This Row],[Campo]]),'2. Status Detalhe Campos FY24'!A:J,9,FALSE)</f>
        <v>0</v>
      </c>
      <c r="Y167" s="491" t="e">
        <f>+VLOOKUP(A167,#REF!,1,FALSE)</f>
        <v>#REF!</v>
      </c>
    </row>
    <row r="168" spans="1:25" ht="17.899999999999999" hidden="1" customHeight="1">
      <c r="A168" t="str">
        <f>+Table1[[#This Row],[Tabela]]&amp;Table1[[#This Row],[Campo]]</f>
        <v>PROPERTYNET_APPRAISAL_AMOUNT</v>
      </c>
      <c r="B168" s="2" t="s">
        <v>26</v>
      </c>
      <c r="C168" s="2" t="s">
        <v>54</v>
      </c>
      <c r="D168" s="2" t="s">
        <v>95</v>
      </c>
      <c r="E168" s="2" t="s">
        <v>38</v>
      </c>
      <c r="F168" s="2" t="s">
        <v>94</v>
      </c>
      <c r="G168" s="2" t="s">
        <v>115</v>
      </c>
      <c r="H168" s="56" t="str">
        <f>Table1[[#This Row],[Tabela]]&amp;Table1[[#This Row],[Campo]]</f>
        <v>PROPERTYNET_APPRAISAL_AMOUNT</v>
      </c>
      <c r="I168" s="3" t="s">
        <v>612</v>
      </c>
      <c r="J168" s="54">
        <f>VLOOKUP(Table1[[#This Row],[Status]],Auxiliar!$B$16:$C$24,2,0)</f>
        <v>1</v>
      </c>
      <c r="K168" s="2" t="s">
        <v>1171</v>
      </c>
      <c r="L168" s="28" t="s">
        <v>1174</v>
      </c>
      <c r="M168" s="20" t="s">
        <v>1175</v>
      </c>
      <c r="N168" s="47">
        <v>45485</v>
      </c>
      <c r="O168" s="20">
        <f>INDEX(Auxiliar!$D$5:$F$13,MATCH(Table1[[#This Row],[Tipologia_Testes]],Auxiliar!$B$5:$B$13,0),MATCH(Table1[[#This Row],[Complexidade]],Auxiliar!$D$4:$F$4,0))</f>
        <v>0.1</v>
      </c>
      <c r="P168" s="2"/>
      <c r="Q168" s="2" t="s">
        <v>1185</v>
      </c>
      <c r="R168" s="151">
        <v>45261</v>
      </c>
      <c r="S168" s="151"/>
      <c r="T168" s="151"/>
      <c r="U168" s="151"/>
      <c r="V168" s="151"/>
      <c r="W168" s="2">
        <f>VLOOKUP(Table1[[#This Row],[Status]],Auxiliar!$B$16:$D$24,3,0)*Table1[[#This Row],[Estimação (horas)]]</f>
        <v>0.1</v>
      </c>
      <c r="X168" s="165">
        <f>+VLOOKUP(CONCATENATE(Table1[[#This Row],[Tabela]],Table1[[#This Row],[Campo]]),'2. Status Detalhe Campos FY24'!A:J,9,FALSE)</f>
        <v>0</v>
      </c>
      <c r="Y168" s="491" t="e">
        <f>+VLOOKUP(A168,#REF!,1,FALSE)</f>
        <v>#REF!</v>
      </c>
    </row>
    <row r="169" spans="1:25" ht="17.899999999999999" hidden="1" customHeight="1">
      <c r="A169" t="str">
        <f>+Table1[[#This Row],[Tabela]]&amp;Table1[[#This Row],[Campo]]</f>
        <v>PROPERTYCOLLATERAL_FAST_SALE_AMOUNT</v>
      </c>
      <c r="B169" s="2" t="s">
        <v>26</v>
      </c>
      <c r="C169" s="2" t="s">
        <v>54</v>
      </c>
      <c r="D169" s="2" t="s">
        <v>95</v>
      </c>
      <c r="E169" s="2" t="s">
        <v>38</v>
      </c>
      <c r="F169" s="2" t="s">
        <v>94</v>
      </c>
      <c r="G169" s="2" t="s">
        <v>116</v>
      </c>
      <c r="H169" s="56" t="str">
        <f>Table1[[#This Row],[Tabela]]&amp;Table1[[#This Row],[Campo]]</f>
        <v>PROPERTYCOLLATERAL_FAST_SALE_AMOUNT</v>
      </c>
      <c r="I169" s="3" t="s">
        <v>612</v>
      </c>
      <c r="J169" s="54">
        <f>VLOOKUP(Table1[[#This Row],[Status]],Auxiliar!$B$16:$C$24,2,0)</f>
        <v>1</v>
      </c>
      <c r="K169" s="2" t="s">
        <v>1168</v>
      </c>
      <c r="L169" s="28" t="s">
        <v>1174</v>
      </c>
      <c r="M169" s="20" t="s">
        <v>1175</v>
      </c>
      <c r="N169" s="47">
        <v>45485</v>
      </c>
      <c r="O169" s="20">
        <f>INDEX(Auxiliar!$D$5:$F$13,MATCH(Table1[[#This Row],[Tipologia_Testes]],Auxiliar!$B$5:$B$13,0),MATCH(Table1[[#This Row],[Complexidade]],Auxiliar!$D$4:$F$4,0))</f>
        <v>2</v>
      </c>
      <c r="P169" s="2"/>
      <c r="Q169" s="2" t="s">
        <v>1185</v>
      </c>
      <c r="R169" s="151">
        <v>45261</v>
      </c>
      <c r="S169" s="151"/>
      <c r="T169" s="151"/>
      <c r="U169" s="151"/>
      <c r="V169" s="151"/>
      <c r="W169" s="2">
        <f>VLOOKUP(Table1[[#This Row],[Status]],Auxiliar!$B$16:$D$24,3,0)*Table1[[#This Row],[Estimação (horas)]]</f>
        <v>2</v>
      </c>
      <c r="X169" s="165">
        <f>+VLOOKUP(CONCATENATE(Table1[[#This Row],[Tabela]],Table1[[#This Row],[Campo]]),'2. Status Detalhe Campos FY24'!A:J,9,FALSE)</f>
        <v>0</v>
      </c>
      <c r="Y169" s="491" t="e">
        <f>+VLOOKUP(A169,#REF!,1,FALSE)</f>
        <v>#REF!</v>
      </c>
    </row>
    <row r="170" spans="1:25" ht="17.899999999999999" hidden="1" customHeight="1">
      <c r="A170" t="str">
        <f>+Table1[[#This Row],[Tabela]]&amp;Table1[[#This Row],[Campo]]</f>
        <v>PROPERTYCOLLATERAL_FAST_SALE_AMOUNT</v>
      </c>
      <c r="B170" s="2" t="s">
        <v>26</v>
      </c>
      <c r="C170" s="2" t="s">
        <v>54</v>
      </c>
      <c r="D170" s="2" t="s">
        <v>95</v>
      </c>
      <c r="E170" s="2" t="s">
        <v>38</v>
      </c>
      <c r="F170" s="2" t="s">
        <v>94</v>
      </c>
      <c r="G170" s="2" t="s">
        <v>116</v>
      </c>
      <c r="H170" s="56" t="str">
        <f>Table1[[#This Row],[Tabela]]&amp;Table1[[#This Row],[Campo]]</f>
        <v>PROPERTYCOLLATERAL_FAST_SALE_AMOUNT</v>
      </c>
      <c r="I170" s="3" t="s">
        <v>612</v>
      </c>
      <c r="J170" s="54">
        <f>VLOOKUP(Table1[[#This Row],[Status]],Auxiliar!$B$16:$C$24,2,0)</f>
        <v>1</v>
      </c>
      <c r="K170" s="2" t="s">
        <v>1169</v>
      </c>
      <c r="L170" s="28" t="s">
        <v>1174</v>
      </c>
      <c r="M170" s="20" t="s">
        <v>1175</v>
      </c>
      <c r="N170" s="47">
        <v>45485</v>
      </c>
      <c r="O170" s="20">
        <f>INDEX(Auxiliar!$D$5:$F$13,MATCH(Table1[[#This Row],[Tipologia_Testes]],Auxiliar!$B$5:$B$13,0),MATCH(Table1[[#This Row],[Complexidade]],Auxiliar!$D$4:$F$4,0))</f>
        <v>2</v>
      </c>
      <c r="P170" s="2"/>
      <c r="Q170" s="2" t="s">
        <v>1185</v>
      </c>
      <c r="R170" s="151">
        <v>45261</v>
      </c>
      <c r="S170" s="151"/>
      <c r="T170" s="151"/>
      <c r="U170" s="151"/>
      <c r="V170" s="151"/>
      <c r="W170" s="2">
        <f>VLOOKUP(Table1[[#This Row],[Status]],Auxiliar!$B$16:$D$24,3,0)*Table1[[#This Row],[Estimação (horas)]]</f>
        <v>2</v>
      </c>
      <c r="X170" s="165">
        <f>+VLOOKUP(CONCATENATE(Table1[[#This Row],[Tabela]],Table1[[#This Row],[Campo]]),'2. Status Detalhe Campos FY24'!A:J,9,FALSE)</f>
        <v>0</v>
      </c>
      <c r="Y170" s="491" t="e">
        <f>+VLOOKUP(A170,#REF!,1,FALSE)</f>
        <v>#REF!</v>
      </c>
    </row>
    <row r="171" spans="1:25" ht="17.899999999999999" hidden="1" customHeight="1">
      <c r="A171" t="str">
        <f>+Table1[[#This Row],[Tabela]]&amp;Table1[[#This Row],[Campo]]</f>
        <v>PROPERTYCOLLATERAL_FAST_SALE_AMOUNT</v>
      </c>
      <c r="B171" s="2" t="s">
        <v>26</v>
      </c>
      <c r="C171" s="2" t="s">
        <v>54</v>
      </c>
      <c r="D171" s="2" t="s">
        <v>95</v>
      </c>
      <c r="E171" s="2" t="s">
        <v>38</v>
      </c>
      <c r="F171" s="2" t="s">
        <v>94</v>
      </c>
      <c r="G171" s="2" t="s">
        <v>116</v>
      </c>
      <c r="H171" s="56" t="str">
        <f>Table1[[#This Row],[Tabela]]&amp;Table1[[#This Row],[Campo]]</f>
        <v>PROPERTYCOLLATERAL_FAST_SALE_AMOUNT</v>
      </c>
      <c r="I171" s="3" t="s">
        <v>612</v>
      </c>
      <c r="J171" s="54">
        <f>VLOOKUP(Table1[[#This Row],[Status]],Auxiliar!$B$16:$C$24,2,0)</f>
        <v>1</v>
      </c>
      <c r="K171" s="2" t="s">
        <v>1171</v>
      </c>
      <c r="L171" s="28" t="s">
        <v>1174</v>
      </c>
      <c r="M171" s="20" t="s">
        <v>1175</v>
      </c>
      <c r="N171" s="47">
        <v>45485</v>
      </c>
      <c r="O171" s="20">
        <f>INDEX(Auxiliar!$D$5:$F$13,MATCH(Table1[[#This Row],[Tipologia_Testes]],Auxiliar!$B$5:$B$13,0),MATCH(Table1[[#This Row],[Complexidade]],Auxiliar!$D$4:$F$4,0))</f>
        <v>0.1</v>
      </c>
      <c r="P171" s="2"/>
      <c r="Q171" s="2" t="s">
        <v>1185</v>
      </c>
      <c r="R171" s="151">
        <v>45261</v>
      </c>
      <c r="S171" s="151"/>
      <c r="T171" s="151"/>
      <c r="U171" s="151"/>
      <c r="V171" s="151"/>
      <c r="W171" s="2">
        <f>VLOOKUP(Table1[[#This Row],[Status]],Auxiliar!$B$16:$D$24,3,0)*Table1[[#This Row],[Estimação (horas)]]</f>
        <v>0.1</v>
      </c>
      <c r="X171" s="165">
        <f>+VLOOKUP(CONCATENATE(Table1[[#This Row],[Tabela]],Table1[[#This Row],[Campo]]),'2. Status Detalhe Campos FY24'!A:J,9,FALSE)</f>
        <v>0</v>
      </c>
      <c r="Y171" s="491" t="e">
        <f>+VLOOKUP(A171,#REF!,1,FALSE)</f>
        <v>#REF!</v>
      </c>
    </row>
    <row r="172" spans="1:25" ht="17.899999999999999" hidden="1" customHeight="1">
      <c r="A172" t="str">
        <f>+Table1[[#This Row],[Tabela]]&amp;Table1[[#This Row],[Campo]]</f>
        <v>PROPERTYADDRESS</v>
      </c>
      <c r="B172" s="2" t="s">
        <v>26</v>
      </c>
      <c r="C172" s="2" t="s">
        <v>54</v>
      </c>
      <c r="D172" s="2" t="s">
        <v>95</v>
      </c>
      <c r="E172" s="2" t="s">
        <v>38</v>
      </c>
      <c r="F172" s="2" t="s">
        <v>94</v>
      </c>
      <c r="G172" s="2" t="s">
        <v>117</v>
      </c>
      <c r="H172" s="56" t="str">
        <f>Table1[[#This Row],[Tabela]]&amp;Table1[[#This Row],[Campo]]</f>
        <v>PROPERTYADDRESS</v>
      </c>
      <c r="I172" s="3" t="s">
        <v>612</v>
      </c>
      <c r="J172" s="54">
        <f>VLOOKUP(Table1[[#This Row],[Status]],Auxiliar!$B$16:$C$24,2,0)</f>
        <v>1</v>
      </c>
      <c r="K172" s="2" t="s">
        <v>1168</v>
      </c>
      <c r="L172" s="28" t="s">
        <v>1174</v>
      </c>
      <c r="M172" s="20" t="s">
        <v>1175</v>
      </c>
      <c r="N172" s="47">
        <v>45485</v>
      </c>
      <c r="O172" s="20">
        <f>INDEX(Auxiliar!$D$5:$F$13,MATCH(Table1[[#This Row],[Tipologia_Testes]],Auxiliar!$B$5:$B$13,0),MATCH(Table1[[#This Row],[Complexidade]],Auxiliar!$D$4:$F$4,0))</f>
        <v>2</v>
      </c>
      <c r="P172" s="2"/>
      <c r="Q172" s="2" t="s">
        <v>1185</v>
      </c>
      <c r="R172" s="151">
        <v>45261</v>
      </c>
      <c r="S172" s="151"/>
      <c r="T172" s="151"/>
      <c r="U172" s="151"/>
      <c r="V172" s="151"/>
      <c r="W172" s="2">
        <f>VLOOKUP(Table1[[#This Row],[Status]],Auxiliar!$B$16:$D$24,3,0)*Table1[[#This Row],[Estimação (horas)]]</f>
        <v>2</v>
      </c>
      <c r="X172" s="165">
        <f>+VLOOKUP(CONCATENATE(Table1[[#This Row],[Tabela]],Table1[[#This Row],[Campo]]),'2. Status Detalhe Campos FY24'!A:J,9,FALSE)</f>
        <v>0</v>
      </c>
      <c r="Y172" s="491" t="e">
        <f>+VLOOKUP(A172,#REF!,1,FALSE)</f>
        <v>#REF!</v>
      </c>
    </row>
    <row r="173" spans="1:25" ht="17.899999999999999" hidden="1" customHeight="1">
      <c r="A173" t="str">
        <f>+Table1[[#This Row],[Tabela]]&amp;Table1[[#This Row],[Campo]]</f>
        <v>PROPERTYADDRESS</v>
      </c>
      <c r="B173" s="2" t="s">
        <v>26</v>
      </c>
      <c r="C173" s="2" t="s">
        <v>54</v>
      </c>
      <c r="D173" s="2" t="s">
        <v>95</v>
      </c>
      <c r="E173" s="2" t="s">
        <v>38</v>
      </c>
      <c r="F173" s="2" t="s">
        <v>94</v>
      </c>
      <c r="G173" s="2" t="s">
        <v>117</v>
      </c>
      <c r="H173" s="56" t="str">
        <f>Table1[[#This Row],[Tabela]]&amp;Table1[[#This Row],[Campo]]</f>
        <v>PROPERTYADDRESS</v>
      </c>
      <c r="I173" s="3" t="s">
        <v>612</v>
      </c>
      <c r="J173" s="54">
        <f>VLOOKUP(Table1[[#This Row],[Status]],Auxiliar!$B$16:$C$24,2,0)</f>
        <v>1</v>
      </c>
      <c r="K173" s="2" t="s">
        <v>1169</v>
      </c>
      <c r="L173" s="28" t="s">
        <v>1174</v>
      </c>
      <c r="M173" s="20" t="s">
        <v>1175</v>
      </c>
      <c r="N173" s="47">
        <v>45485</v>
      </c>
      <c r="O173" s="20">
        <f>INDEX(Auxiliar!$D$5:$F$13,MATCH(Table1[[#This Row],[Tipologia_Testes]],Auxiliar!$B$5:$B$13,0),MATCH(Table1[[#This Row],[Complexidade]],Auxiliar!$D$4:$F$4,0))</f>
        <v>2</v>
      </c>
      <c r="P173" s="2"/>
      <c r="Q173" s="2" t="s">
        <v>1185</v>
      </c>
      <c r="R173" s="151">
        <v>45261</v>
      </c>
      <c r="S173" s="151"/>
      <c r="T173" s="151"/>
      <c r="U173" s="151"/>
      <c r="V173" s="151"/>
      <c r="W173" s="2">
        <f>VLOOKUP(Table1[[#This Row],[Status]],Auxiliar!$B$16:$D$24,3,0)*Table1[[#This Row],[Estimação (horas)]]</f>
        <v>2</v>
      </c>
      <c r="X173" s="165">
        <f>+VLOOKUP(CONCATENATE(Table1[[#This Row],[Tabela]],Table1[[#This Row],[Campo]]),'2. Status Detalhe Campos FY24'!A:J,9,FALSE)</f>
        <v>0</v>
      </c>
      <c r="Y173" s="491" t="e">
        <f>+VLOOKUP(A173,#REF!,1,FALSE)</f>
        <v>#REF!</v>
      </c>
    </row>
    <row r="174" spans="1:25" ht="17.899999999999999" hidden="1" customHeight="1">
      <c r="A174" t="str">
        <f>+Table1[[#This Row],[Tabela]]&amp;Table1[[#This Row],[Campo]]</f>
        <v>PROPERTYADDRESS</v>
      </c>
      <c r="B174" s="2" t="s">
        <v>26</v>
      </c>
      <c r="C174" s="2" t="s">
        <v>54</v>
      </c>
      <c r="D174" s="2" t="s">
        <v>95</v>
      </c>
      <c r="E174" s="2" t="s">
        <v>38</v>
      </c>
      <c r="F174" s="2" t="s">
        <v>94</v>
      </c>
      <c r="G174" s="2" t="s">
        <v>117</v>
      </c>
      <c r="H174" s="56" t="str">
        <f>Table1[[#This Row],[Tabela]]&amp;Table1[[#This Row],[Campo]]</f>
        <v>PROPERTYADDRESS</v>
      </c>
      <c r="I174" s="3" t="s">
        <v>612</v>
      </c>
      <c r="J174" s="54">
        <f>VLOOKUP(Table1[[#This Row],[Status]],Auxiliar!$B$16:$C$24,2,0)</f>
        <v>1</v>
      </c>
      <c r="K174" s="2" t="s">
        <v>1171</v>
      </c>
      <c r="L174" s="28" t="s">
        <v>1174</v>
      </c>
      <c r="M174" s="20" t="s">
        <v>1175</v>
      </c>
      <c r="N174" s="47">
        <v>45485</v>
      </c>
      <c r="O174" s="20">
        <f>INDEX(Auxiliar!$D$5:$F$13,MATCH(Table1[[#This Row],[Tipologia_Testes]],Auxiliar!$B$5:$B$13,0),MATCH(Table1[[#This Row],[Complexidade]],Auxiliar!$D$4:$F$4,0))</f>
        <v>0.1</v>
      </c>
      <c r="P174" s="2"/>
      <c r="Q174" s="2" t="s">
        <v>1185</v>
      </c>
      <c r="R174" s="151">
        <v>45261</v>
      </c>
      <c r="S174" s="151"/>
      <c r="T174" s="151"/>
      <c r="U174" s="151"/>
      <c r="V174" s="151"/>
      <c r="W174" s="2">
        <f>VLOOKUP(Table1[[#This Row],[Status]],Auxiliar!$B$16:$D$24,3,0)*Table1[[#This Row],[Estimação (horas)]]</f>
        <v>0.1</v>
      </c>
      <c r="X174" s="165">
        <f>+VLOOKUP(CONCATENATE(Table1[[#This Row],[Tabela]],Table1[[#This Row],[Campo]]),'2. Status Detalhe Campos FY24'!A:J,9,FALSE)</f>
        <v>0</v>
      </c>
      <c r="Y174" s="491" t="e">
        <f>+VLOOKUP(A174,#REF!,1,FALSE)</f>
        <v>#REF!</v>
      </c>
    </row>
    <row r="175" spans="1:25" ht="17.899999999999999" hidden="1" customHeight="1">
      <c r="A175" t="str">
        <f>+Table1[[#This Row],[Tabela]]&amp;Table1[[#This Row],[Campo]]</f>
        <v>PROPERTYPROPERTY_NUMBER</v>
      </c>
      <c r="B175" s="2" t="s">
        <v>26</v>
      </c>
      <c r="C175" s="2" t="s">
        <v>54</v>
      </c>
      <c r="D175" s="2" t="s">
        <v>95</v>
      </c>
      <c r="E175" s="2" t="s">
        <v>38</v>
      </c>
      <c r="F175" s="2" t="s">
        <v>94</v>
      </c>
      <c r="G175" s="2" t="s">
        <v>118</v>
      </c>
      <c r="H175" s="56" t="str">
        <f>Table1[[#This Row],[Tabela]]&amp;Table1[[#This Row],[Campo]]</f>
        <v>PROPERTYPROPERTY_NUMBER</v>
      </c>
      <c r="I175" s="3" t="s">
        <v>612</v>
      </c>
      <c r="J175" s="42">
        <f>VLOOKUP(Table1[[#This Row],[Status]],Auxiliar!$B$16:$C$24,2,0)</f>
        <v>1</v>
      </c>
      <c r="K175" s="2" t="s">
        <v>1168</v>
      </c>
      <c r="L175" s="28" t="s">
        <v>1174</v>
      </c>
      <c r="M175" s="20" t="s">
        <v>1175</v>
      </c>
      <c r="N175" s="47">
        <v>45490</v>
      </c>
      <c r="O175" s="20">
        <f>INDEX(Auxiliar!$D$5:$F$13,MATCH(Table1[[#This Row],[Tipologia_Testes]],Auxiliar!$B$5:$B$13,0),MATCH(Table1[[#This Row],[Complexidade]],Auxiliar!$D$4:$F$4,0))</f>
        <v>2</v>
      </c>
      <c r="P175" s="2"/>
      <c r="Q175" s="2" t="s">
        <v>1185</v>
      </c>
      <c r="R175" s="151">
        <v>45261</v>
      </c>
      <c r="S175" s="151"/>
      <c r="T175" s="151"/>
      <c r="U175" s="151"/>
      <c r="V175" s="151"/>
      <c r="W175" s="2">
        <f>VLOOKUP(Table1[[#This Row],[Status]],Auxiliar!$B$16:$D$24,3,0)*Table1[[#This Row],[Estimação (horas)]]</f>
        <v>2</v>
      </c>
      <c r="X175" s="165">
        <f>+VLOOKUP(CONCATENATE(Table1[[#This Row],[Tabela]],Table1[[#This Row],[Campo]]),'2. Status Detalhe Campos FY24'!A:J,9,FALSE)</f>
        <v>0</v>
      </c>
      <c r="Y175" s="491" t="e">
        <f>+VLOOKUP(A175,#REF!,1,FALSE)</f>
        <v>#REF!</v>
      </c>
    </row>
    <row r="176" spans="1:25" ht="17.899999999999999" hidden="1" customHeight="1">
      <c r="A176" t="str">
        <f>+Table1[[#This Row],[Tabela]]&amp;Table1[[#This Row],[Campo]]</f>
        <v>PROPERTYPROPERTY_NUMBER</v>
      </c>
      <c r="B176" s="2" t="s">
        <v>26</v>
      </c>
      <c r="C176" s="2" t="s">
        <v>54</v>
      </c>
      <c r="D176" s="2" t="s">
        <v>95</v>
      </c>
      <c r="E176" s="2" t="s">
        <v>38</v>
      </c>
      <c r="F176" s="2" t="s">
        <v>94</v>
      </c>
      <c r="G176" s="2" t="s">
        <v>118</v>
      </c>
      <c r="H176" s="56" t="str">
        <f>Table1[[#This Row],[Tabela]]&amp;Table1[[#This Row],[Campo]]</f>
        <v>PROPERTYPROPERTY_NUMBER</v>
      </c>
      <c r="I176" s="3" t="s">
        <v>612</v>
      </c>
      <c r="J176" s="42">
        <f>VLOOKUP(Table1[[#This Row],[Status]],Auxiliar!$B$16:$C$24,2,0)</f>
        <v>1</v>
      </c>
      <c r="K176" s="2" t="s">
        <v>1169</v>
      </c>
      <c r="L176" s="28" t="s">
        <v>1174</v>
      </c>
      <c r="M176" s="20" t="s">
        <v>1175</v>
      </c>
      <c r="N176" s="47">
        <v>45490</v>
      </c>
      <c r="O176" s="20">
        <f>INDEX(Auxiliar!$D$5:$F$13,MATCH(Table1[[#This Row],[Tipologia_Testes]],Auxiliar!$B$5:$B$13,0),MATCH(Table1[[#This Row],[Complexidade]],Auxiliar!$D$4:$F$4,0))</f>
        <v>2</v>
      </c>
      <c r="P176" s="2"/>
      <c r="Q176" s="2" t="s">
        <v>1185</v>
      </c>
      <c r="R176" s="151">
        <v>45261</v>
      </c>
      <c r="S176" s="151"/>
      <c r="T176" s="151"/>
      <c r="U176" s="151"/>
      <c r="V176" s="151"/>
      <c r="W176" s="2">
        <f>VLOOKUP(Table1[[#This Row],[Status]],Auxiliar!$B$16:$D$24,3,0)*Table1[[#This Row],[Estimação (horas)]]</f>
        <v>2</v>
      </c>
      <c r="X176" s="165">
        <f>+VLOOKUP(CONCATENATE(Table1[[#This Row],[Tabela]],Table1[[#This Row],[Campo]]),'2. Status Detalhe Campos FY24'!A:J,9,FALSE)</f>
        <v>0</v>
      </c>
      <c r="Y176" s="491" t="e">
        <f>+VLOOKUP(A176,#REF!,1,FALSE)</f>
        <v>#REF!</v>
      </c>
    </row>
    <row r="177" spans="1:25" ht="17.899999999999999" hidden="1" customHeight="1">
      <c r="A177" t="str">
        <f>+Table1[[#This Row],[Tabela]]&amp;Table1[[#This Row],[Campo]]</f>
        <v>PROPERTYPROPERTY_NUMBER</v>
      </c>
      <c r="B177" s="2" t="s">
        <v>26</v>
      </c>
      <c r="C177" s="2" t="s">
        <v>54</v>
      </c>
      <c r="D177" s="2" t="s">
        <v>95</v>
      </c>
      <c r="E177" s="2" t="s">
        <v>38</v>
      </c>
      <c r="F177" s="2" t="s">
        <v>94</v>
      </c>
      <c r="G177" s="2" t="s">
        <v>118</v>
      </c>
      <c r="H177" s="56" t="str">
        <f>Table1[[#This Row],[Tabela]]&amp;Table1[[#This Row],[Campo]]</f>
        <v>PROPERTYPROPERTY_NUMBER</v>
      </c>
      <c r="I177" s="3" t="s">
        <v>612</v>
      </c>
      <c r="J177" s="42">
        <f>VLOOKUP(Table1[[#This Row],[Status]],Auxiliar!$B$16:$C$24,2,0)</f>
        <v>1</v>
      </c>
      <c r="K177" s="2" t="s">
        <v>1171</v>
      </c>
      <c r="L177" s="28" t="s">
        <v>1174</v>
      </c>
      <c r="M177" s="20" t="s">
        <v>1175</v>
      </c>
      <c r="N177" s="47">
        <v>45490</v>
      </c>
      <c r="O177" s="20">
        <f>INDEX(Auxiliar!$D$5:$F$13,MATCH(Table1[[#This Row],[Tipologia_Testes]],Auxiliar!$B$5:$B$13,0),MATCH(Table1[[#This Row],[Complexidade]],Auxiliar!$D$4:$F$4,0))</f>
        <v>0.1</v>
      </c>
      <c r="P177" s="2"/>
      <c r="Q177" s="2" t="s">
        <v>1185</v>
      </c>
      <c r="R177" s="151">
        <v>45261</v>
      </c>
      <c r="S177" s="151"/>
      <c r="T177" s="151"/>
      <c r="U177" s="151"/>
      <c r="V177" s="151"/>
      <c r="W177" s="2">
        <f>VLOOKUP(Table1[[#This Row],[Status]],Auxiliar!$B$16:$D$24,3,0)*Table1[[#This Row],[Estimação (horas)]]</f>
        <v>0.1</v>
      </c>
      <c r="X177" s="165">
        <f>+VLOOKUP(CONCATENATE(Table1[[#This Row],[Tabela]],Table1[[#This Row],[Campo]]),'2. Status Detalhe Campos FY24'!A:J,9,FALSE)</f>
        <v>0</v>
      </c>
      <c r="Y177" s="491" t="e">
        <f>+VLOOKUP(A177,#REF!,1,FALSE)</f>
        <v>#REF!</v>
      </c>
    </row>
    <row r="178" spans="1:25" ht="17.899999999999999" hidden="1" customHeight="1">
      <c r="A178" t="str">
        <f>+Table1[[#This Row],[Tabela]]&amp;Table1[[#This Row],[Campo]]</f>
        <v>PROPERTYorigem</v>
      </c>
      <c r="B178" s="2" t="s">
        <v>26</v>
      </c>
      <c r="C178" s="2" t="s">
        <v>54</v>
      </c>
      <c r="D178" s="2" t="s">
        <v>95</v>
      </c>
      <c r="E178" s="2" t="s">
        <v>38</v>
      </c>
      <c r="F178" s="2" t="s">
        <v>94</v>
      </c>
      <c r="G178" s="2" t="s">
        <v>72</v>
      </c>
      <c r="H178" s="56" t="str">
        <f>Table1[[#This Row],[Tabela]]&amp;Table1[[#This Row],[Campo]]</f>
        <v>PROPERTYorigem</v>
      </c>
      <c r="I178" s="2" t="s">
        <v>611</v>
      </c>
      <c r="J178" s="54">
        <f>VLOOKUP(Table1[[#This Row],[Status]],Auxiliar!$B$16:$C$24,2,0)</f>
        <v>0</v>
      </c>
      <c r="K178" s="2" t="s">
        <v>1168</v>
      </c>
      <c r="L178" s="28" t="s">
        <v>1174</v>
      </c>
      <c r="M178" s="20" t="s">
        <v>1175</v>
      </c>
      <c r="N178" s="47">
        <v>45512</v>
      </c>
      <c r="O178" s="20">
        <f>INDEX(Auxiliar!$D$5:$F$13,MATCH(Table1[[#This Row],[Tipologia_Testes]],Auxiliar!$B$5:$B$13,0),MATCH(Table1[[#This Row],[Complexidade]],Auxiliar!$D$4:$F$4,0))</f>
        <v>2</v>
      </c>
      <c r="P178" s="2"/>
      <c r="Q178" s="2" t="s">
        <v>1185</v>
      </c>
      <c r="R178" s="151">
        <v>45261</v>
      </c>
      <c r="S178" s="151"/>
      <c r="T178" s="151"/>
      <c r="U178" s="151"/>
      <c r="V178" s="151"/>
      <c r="W178" s="2">
        <f>VLOOKUP(Table1[[#This Row],[Status]],Auxiliar!$B$16:$D$24,3,0)*Table1[[#This Row],[Estimação (horas)]]</f>
        <v>0</v>
      </c>
      <c r="X178" s="165">
        <f>+VLOOKUP(CONCATENATE(Table1[[#This Row],[Tabela]],Table1[[#This Row],[Campo]]),'2. Status Detalhe Campos FY24'!A:J,9,FALSE)</f>
        <v>0</v>
      </c>
      <c r="Y178" s="491" t="e">
        <f>+VLOOKUP(A178,#REF!,1,FALSE)</f>
        <v>#REF!</v>
      </c>
    </row>
    <row r="179" spans="1:25" ht="17.899999999999999" hidden="1" customHeight="1">
      <c r="A179" t="str">
        <f>+Table1[[#This Row],[Tabela]]&amp;Table1[[#This Row],[Campo]]</f>
        <v>PROPERTYorigem</v>
      </c>
      <c r="B179" s="2" t="s">
        <v>26</v>
      </c>
      <c r="C179" s="2" t="s">
        <v>54</v>
      </c>
      <c r="D179" s="2" t="s">
        <v>95</v>
      </c>
      <c r="E179" s="2" t="s">
        <v>38</v>
      </c>
      <c r="F179" s="2" t="s">
        <v>94</v>
      </c>
      <c r="G179" s="2" t="s">
        <v>72</v>
      </c>
      <c r="H179" s="56" t="str">
        <f>Table1[[#This Row],[Tabela]]&amp;Table1[[#This Row],[Campo]]</f>
        <v>PROPERTYorigem</v>
      </c>
      <c r="I179" s="2" t="s">
        <v>611</v>
      </c>
      <c r="J179" s="54">
        <f>VLOOKUP(Table1[[#This Row],[Status]],Auxiliar!$B$16:$C$24,2,0)</f>
        <v>0</v>
      </c>
      <c r="K179" s="2" t="s">
        <v>1169</v>
      </c>
      <c r="L179" s="28" t="s">
        <v>1174</v>
      </c>
      <c r="M179" s="20" t="s">
        <v>1175</v>
      </c>
      <c r="N179" s="47">
        <v>45512</v>
      </c>
      <c r="O179" s="20">
        <f>INDEX(Auxiliar!$D$5:$F$13,MATCH(Table1[[#This Row],[Tipologia_Testes]],Auxiliar!$B$5:$B$13,0),MATCH(Table1[[#This Row],[Complexidade]],Auxiliar!$D$4:$F$4,0))</f>
        <v>2</v>
      </c>
      <c r="P179" s="2"/>
      <c r="Q179" s="2" t="s">
        <v>1185</v>
      </c>
      <c r="R179" s="151">
        <v>45261</v>
      </c>
      <c r="S179" s="151"/>
      <c r="T179" s="151"/>
      <c r="U179" s="151"/>
      <c r="V179" s="151"/>
      <c r="W179" s="2">
        <f>VLOOKUP(Table1[[#This Row],[Status]],Auxiliar!$B$16:$D$24,3,0)*Table1[[#This Row],[Estimação (horas)]]</f>
        <v>0</v>
      </c>
      <c r="X179" s="165">
        <f>+VLOOKUP(CONCATENATE(Table1[[#This Row],[Tabela]],Table1[[#This Row],[Campo]]),'2. Status Detalhe Campos FY24'!A:J,9,FALSE)</f>
        <v>0</v>
      </c>
      <c r="Y179" s="491" t="e">
        <f>+VLOOKUP(A179,#REF!,1,FALSE)</f>
        <v>#REF!</v>
      </c>
    </row>
    <row r="180" spans="1:25" ht="17.899999999999999" hidden="1" customHeight="1">
      <c r="A180" t="str">
        <f>+Table1[[#This Row],[Tabela]]&amp;Table1[[#This Row],[Campo]]</f>
        <v>PROPERTYorigem</v>
      </c>
      <c r="B180" s="2" t="s">
        <v>26</v>
      </c>
      <c r="C180" s="2" t="s">
        <v>54</v>
      </c>
      <c r="D180" s="2" t="s">
        <v>95</v>
      </c>
      <c r="E180" s="2" t="s">
        <v>38</v>
      </c>
      <c r="F180" s="2" t="s">
        <v>94</v>
      </c>
      <c r="G180" s="2" t="s">
        <v>72</v>
      </c>
      <c r="H180" s="56" t="str">
        <f>Table1[[#This Row],[Tabela]]&amp;Table1[[#This Row],[Campo]]</f>
        <v>PROPERTYorigem</v>
      </c>
      <c r="I180" s="2" t="s">
        <v>611</v>
      </c>
      <c r="J180" s="54">
        <f>VLOOKUP(Table1[[#This Row],[Status]],Auxiliar!$B$16:$C$24,2,0)</f>
        <v>0</v>
      </c>
      <c r="K180" s="2" t="s">
        <v>1171</v>
      </c>
      <c r="L180" s="28" t="s">
        <v>1174</v>
      </c>
      <c r="M180" s="20" t="s">
        <v>1175</v>
      </c>
      <c r="N180" s="47">
        <v>45512</v>
      </c>
      <c r="O180" s="20">
        <f>INDEX(Auxiliar!$D$5:$F$13,MATCH(Table1[[#This Row],[Tipologia_Testes]],Auxiliar!$B$5:$B$13,0),MATCH(Table1[[#This Row],[Complexidade]],Auxiliar!$D$4:$F$4,0))</f>
        <v>0.1</v>
      </c>
      <c r="P180" s="2"/>
      <c r="Q180" s="2" t="s">
        <v>1185</v>
      </c>
      <c r="R180" s="151">
        <v>45261</v>
      </c>
      <c r="S180" s="151"/>
      <c r="T180" s="151"/>
      <c r="U180" s="151"/>
      <c r="V180" s="151"/>
      <c r="W180" s="2">
        <f>VLOOKUP(Table1[[#This Row],[Status]],Auxiliar!$B$16:$D$24,3,0)*Table1[[#This Row],[Estimação (horas)]]</f>
        <v>0</v>
      </c>
      <c r="X180" s="165">
        <f>+VLOOKUP(CONCATENATE(Table1[[#This Row],[Tabela]],Table1[[#This Row],[Campo]]),'2. Status Detalhe Campos FY24'!A:J,9,FALSE)</f>
        <v>0</v>
      </c>
      <c r="Y180" s="491" t="e">
        <f>+VLOOKUP(A180,#REF!,1,FALSE)</f>
        <v>#REF!</v>
      </c>
    </row>
    <row r="181" spans="1:25" ht="17.899999999999999" hidden="1" customHeight="1">
      <c r="A181" t="str">
        <f>+Table1[[#This Row],[Tabela]]&amp;Table1[[#This Row],[Campo]]</f>
        <v>PROPERTYCURRENT_CONSTRUCTION_PCT</v>
      </c>
      <c r="B181" s="2" t="s">
        <v>26</v>
      </c>
      <c r="C181" s="2" t="s">
        <v>54</v>
      </c>
      <c r="D181" s="2" t="s">
        <v>95</v>
      </c>
      <c r="E181" s="2" t="s">
        <v>38</v>
      </c>
      <c r="F181" s="2" t="s">
        <v>94</v>
      </c>
      <c r="G181" s="2" t="s">
        <v>120</v>
      </c>
      <c r="H181" s="56" t="str">
        <f>Table1[[#This Row],[Tabela]]&amp;Table1[[#This Row],[Campo]]</f>
        <v>PROPERTYCURRENT_CONSTRUCTION_PCT</v>
      </c>
      <c r="I181" s="115" t="s">
        <v>612</v>
      </c>
      <c r="J181" s="42">
        <f>VLOOKUP(Table1[[#This Row],[Status]],Auxiliar!$B$16:$C$24,2,0)</f>
        <v>1</v>
      </c>
      <c r="K181" s="2" t="s">
        <v>1168</v>
      </c>
      <c r="L181" s="28" t="s">
        <v>1166</v>
      </c>
      <c r="M181" s="20" t="s">
        <v>1176</v>
      </c>
      <c r="N181" s="47">
        <v>45505</v>
      </c>
      <c r="O181" s="20">
        <f>INDEX(Auxiliar!$D$5:$F$13,MATCH(Table1[[#This Row],[Tipologia_Testes]],Auxiliar!$B$5:$B$13,0),MATCH(Table1[[#This Row],[Complexidade]],Auxiliar!$D$4:$F$4,0))</f>
        <v>4</v>
      </c>
      <c r="P181" s="2" t="s">
        <v>1177</v>
      </c>
      <c r="Q181" s="2" t="s">
        <v>1185</v>
      </c>
      <c r="R181" s="151">
        <v>45261</v>
      </c>
      <c r="S181" s="151"/>
      <c r="T181" s="151">
        <v>45491</v>
      </c>
      <c r="U181" s="151">
        <v>45495</v>
      </c>
      <c r="V181" s="151">
        <v>45495</v>
      </c>
      <c r="W181" s="2">
        <f>VLOOKUP(Table1[[#This Row],[Status]],Auxiliar!$B$16:$D$24,3,0)*Table1[[#This Row],[Estimação (horas)]]</f>
        <v>4</v>
      </c>
      <c r="X181" s="165">
        <f>+VLOOKUP(CONCATENATE(Table1[[#This Row],[Tabela]],Table1[[#This Row],[Campo]]),'2. Status Detalhe Campos FY24'!A:J,9,FALSE)</f>
        <v>0</v>
      </c>
      <c r="Y181" s="491" t="e">
        <f>+VLOOKUP(A181,#REF!,1,FALSE)</f>
        <v>#REF!</v>
      </c>
    </row>
    <row r="182" spans="1:25" ht="17.899999999999999" hidden="1" customHeight="1">
      <c r="A182" t="str">
        <f>+Table1[[#This Row],[Tabela]]&amp;Table1[[#This Row],[Campo]]</f>
        <v>PROPERTYCURRENT_CONSTRUCTION_PCT</v>
      </c>
      <c r="B182" s="2" t="s">
        <v>26</v>
      </c>
      <c r="C182" s="2" t="s">
        <v>54</v>
      </c>
      <c r="D182" s="2" t="s">
        <v>95</v>
      </c>
      <c r="E182" s="2" t="s">
        <v>38</v>
      </c>
      <c r="F182" s="2" t="s">
        <v>94</v>
      </c>
      <c r="G182" s="2" t="s">
        <v>120</v>
      </c>
      <c r="H182" s="56" t="str">
        <f>Table1[[#This Row],[Tabela]]&amp;Table1[[#This Row],[Campo]]</f>
        <v>PROPERTYCURRENT_CONSTRUCTION_PCT</v>
      </c>
      <c r="I182" s="115" t="s">
        <v>612</v>
      </c>
      <c r="J182" s="42">
        <f>VLOOKUP(Table1[[#This Row],[Status]],Auxiliar!$B$16:$C$24,2,0)</f>
        <v>1</v>
      </c>
      <c r="K182" s="2" t="s">
        <v>1169</v>
      </c>
      <c r="L182" s="28" t="s">
        <v>1166</v>
      </c>
      <c r="M182" s="20" t="s">
        <v>1176</v>
      </c>
      <c r="N182" s="47">
        <v>45505</v>
      </c>
      <c r="O182" s="20">
        <f>INDEX(Auxiliar!$D$5:$F$13,MATCH(Table1[[#This Row],[Tipologia_Testes]],Auxiliar!$B$5:$B$13,0),MATCH(Table1[[#This Row],[Complexidade]],Auxiliar!$D$4:$F$4,0))</f>
        <v>4</v>
      </c>
      <c r="P182" s="2" t="s">
        <v>1177</v>
      </c>
      <c r="Q182" s="2" t="s">
        <v>1185</v>
      </c>
      <c r="R182" s="151">
        <v>45261</v>
      </c>
      <c r="S182" s="151"/>
      <c r="T182" s="151">
        <v>45491</v>
      </c>
      <c r="U182" s="151">
        <v>45495</v>
      </c>
      <c r="V182" s="151">
        <v>45495</v>
      </c>
      <c r="W182" s="2">
        <f>VLOOKUP(Table1[[#This Row],[Status]],Auxiliar!$B$16:$D$24,3,0)*Table1[[#This Row],[Estimação (horas)]]</f>
        <v>4</v>
      </c>
      <c r="X182" s="165">
        <f>+VLOOKUP(CONCATENATE(Table1[[#This Row],[Tabela]],Table1[[#This Row],[Campo]]),'2. Status Detalhe Campos FY24'!A:J,9,FALSE)</f>
        <v>0</v>
      </c>
      <c r="Y182" s="491" t="e">
        <f>+VLOOKUP(A182,#REF!,1,FALSE)</f>
        <v>#REF!</v>
      </c>
    </row>
    <row r="183" spans="1:25" ht="17.899999999999999" hidden="1" customHeight="1">
      <c r="A183" t="str">
        <f>+Table1[[#This Row],[Tabela]]&amp;Table1[[#This Row],[Campo]]</f>
        <v>PROPERTYCURRENT_CONSTRUCTION_PCT</v>
      </c>
      <c r="B183" s="2" t="s">
        <v>26</v>
      </c>
      <c r="C183" s="2" t="s">
        <v>54</v>
      </c>
      <c r="D183" s="2" t="s">
        <v>95</v>
      </c>
      <c r="E183" s="2" t="s">
        <v>38</v>
      </c>
      <c r="F183" s="2" t="s">
        <v>94</v>
      </c>
      <c r="G183" s="2" t="s">
        <v>120</v>
      </c>
      <c r="H183" s="56" t="str">
        <f>Table1[[#This Row],[Tabela]]&amp;Table1[[#This Row],[Campo]]</f>
        <v>PROPERTYCURRENT_CONSTRUCTION_PCT</v>
      </c>
      <c r="I183" s="115" t="s">
        <v>612</v>
      </c>
      <c r="J183" s="42">
        <f>VLOOKUP(Table1[[#This Row],[Status]],Auxiliar!$B$16:$C$24,2,0)</f>
        <v>1</v>
      </c>
      <c r="K183" s="2" t="s">
        <v>1171</v>
      </c>
      <c r="L183" s="28" t="s">
        <v>1166</v>
      </c>
      <c r="M183" s="20" t="s">
        <v>1176</v>
      </c>
      <c r="N183" s="47">
        <v>45505</v>
      </c>
      <c r="O183" s="20">
        <f>INDEX(Auxiliar!$D$5:$F$13,MATCH(Table1[[#This Row],[Tipologia_Testes]],Auxiliar!$B$5:$B$13,0),MATCH(Table1[[#This Row],[Complexidade]],Auxiliar!$D$4:$F$4,0))</f>
        <v>0.1</v>
      </c>
      <c r="P183" s="2" t="s">
        <v>1177</v>
      </c>
      <c r="Q183" s="2" t="s">
        <v>1185</v>
      </c>
      <c r="R183" s="151">
        <v>45261</v>
      </c>
      <c r="S183" s="151"/>
      <c r="T183" s="151">
        <v>45491</v>
      </c>
      <c r="U183" s="151">
        <v>45495</v>
      </c>
      <c r="V183" s="151">
        <v>45495</v>
      </c>
      <c r="W183" s="2">
        <f>VLOOKUP(Table1[[#This Row],[Status]],Auxiliar!$B$16:$D$24,3,0)*Table1[[#This Row],[Estimação (horas)]]</f>
        <v>0.1</v>
      </c>
      <c r="X183" s="165">
        <f>+VLOOKUP(CONCATENATE(Table1[[#This Row],[Tabela]],Table1[[#This Row],[Campo]]),'2. Status Detalhe Campos FY24'!A:J,9,FALSE)</f>
        <v>0</v>
      </c>
      <c r="Y183" s="491" t="e">
        <f>+VLOOKUP(A183,#REF!,1,FALSE)</f>
        <v>#REF!</v>
      </c>
    </row>
    <row r="184" spans="1:25" ht="17.899999999999999" hidden="1" customHeight="1">
      <c r="A184" t="str">
        <f>+Table1[[#This Row],[Tabela]]&amp;Table1[[#This Row],[Campo]]</f>
        <v>PROPERTYCONSTRUCTION_COMPLETED_PCT</v>
      </c>
      <c r="B184" s="2" t="s">
        <v>26</v>
      </c>
      <c r="C184" s="2" t="s">
        <v>54</v>
      </c>
      <c r="D184" s="2" t="s">
        <v>95</v>
      </c>
      <c r="E184" s="2" t="s">
        <v>38</v>
      </c>
      <c r="F184" s="2" t="s">
        <v>94</v>
      </c>
      <c r="G184" s="2" t="s">
        <v>121</v>
      </c>
      <c r="H184" s="56" t="str">
        <f>Table1[[#This Row],[Tabela]]&amp;Table1[[#This Row],[Campo]]</f>
        <v>PROPERTYCONSTRUCTION_COMPLETED_PCT</v>
      </c>
      <c r="I184" s="3" t="s">
        <v>612</v>
      </c>
      <c r="J184" s="42">
        <f>VLOOKUP(Table1[[#This Row],[Status]],Auxiliar!$B$16:$C$24,2,0)</f>
        <v>1</v>
      </c>
      <c r="K184" s="2" t="s">
        <v>1168</v>
      </c>
      <c r="L184" s="28" t="s">
        <v>1166</v>
      </c>
      <c r="M184" s="20" t="s">
        <v>1176</v>
      </c>
      <c r="N184" s="47">
        <v>45505</v>
      </c>
      <c r="O184" s="20">
        <f>INDEX(Auxiliar!$D$5:$F$13,MATCH(Table1[[#This Row],[Tipologia_Testes]],Auxiliar!$B$5:$B$13,0),MATCH(Table1[[#This Row],[Complexidade]],Auxiliar!$D$4:$F$4,0))</f>
        <v>4</v>
      </c>
      <c r="P184" s="2" t="s">
        <v>1177</v>
      </c>
      <c r="Q184" s="2" t="s">
        <v>1185</v>
      </c>
      <c r="R184" s="151">
        <v>45261</v>
      </c>
      <c r="S184" s="151"/>
      <c r="T184" s="151">
        <v>45491</v>
      </c>
      <c r="U184" s="151">
        <v>45495</v>
      </c>
      <c r="V184" s="151">
        <v>45495</v>
      </c>
      <c r="W184" s="2">
        <f>VLOOKUP(Table1[[#This Row],[Status]],Auxiliar!$B$16:$D$24,3,0)*Table1[[#This Row],[Estimação (horas)]]</f>
        <v>4</v>
      </c>
      <c r="X184" s="165">
        <f>+VLOOKUP(CONCATENATE(Table1[[#This Row],[Tabela]],Table1[[#This Row],[Campo]]),'2. Status Detalhe Campos FY24'!A:J,9,FALSE)</f>
        <v>0</v>
      </c>
      <c r="Y184" s="491" t="e">
        <f>+VLOOKUP(A184,#REF!,1,FALSE)</f>
        <v>#REF!</v>
      </c>
    </row>
    <row r="185" spans="1:25" ht="17.899999999999999" hidden="1" customHeight="1">
      <c r="A185" t="str">
        <f>+Table1[[#This Row],[Tabela]]&amp;Table1[[#This Row],[Campo]]</f>
        <v>PROPERTYCONSTRUCTION_COMPLETED_PCT</v>
      </c>
      <c r="B185" s="2" t="s">
        <v>26</v>
      </c>
      <c r="C185" s="2" t="s">
        <v>54</v>
      </c>
      <c r="D185" s="2" t="s">
        <v>95</v>
      </c>
      <c r="E185" s="2" t="s">
        <v>38</v>
      </c>
      <c r="F185" s="2" t="s">
        <v>94</v>
      </c>
      <c r="G185" s="2" t="s">
        <v>121</v>
      </c>
      <c r="H185" s="56" t="str">
        <f>Table1[[#This Row],[Tabela]]&amp;Table1[[#This Row],[Campo]]</f>
        <v>PROPERTYCONSTRUCTION_COMPLETED_PCT</v>
      </c>
      <c r="I185" s="3" t="s">
        <v>612</v>
      </c>
      <c r="J185" s="42">
        <f>VLOOKUP(Table1[[#This Row],[Status]],Auxiliar!$B$16:$C$24,2,0)</f>
        <v>1</v>
      </c>
      <c r="K185" s="2" t="s">
        <v>1169</v>
      </c>
      <c r="L185" s="28" t="s">
        <v>1166</v>
      </c>
      <c r="M185" s="20" t="s">
        <v>1176</v>
      </c>
      <c r="N185" s="47">
        <v>45505</v>
      </c>
      <c r="O185" s="20">
        <f>INDEX(Auxiliar!$D$5:$F$13,MATCH(Table1[[#This Row],[Tipologia_Testes]],Auxiliar!$B$5:$B$13,0),MATCH(Table1[[#This Row],[Complexidade]],Auxiliar!$D$4:$F$4,0))</f>
        <v>4</v>
      </c>
      <c r="P185" s="2" t="s">
        <v>1177</v>
      </c>
      <c r="Q185" s="2" t="s">
        <v>1185</v>
      </c>
      <c r="R185" s="151">
        <v>45261</v>
      </c>
      <c r="S185" s="151"/>
      <c r="T185" s="151">
        <v>45491</v>
      </c>
      <c r="U185" s="151">
        <v>45495</v>
      </c>
      <c r="V185" s="151">
        <v>45495</v>
      </c>
      <c r="W185" s="2">
        <f>VLOOKUP(Table1[[#This Row],[Status]],Auxiliar!$B$16:$D$24,3,0)*Table1[[#This Row],[Estimação (horas)]]</f>
        <v>4</v>
      </c>
      <c r="X185" s="165">
        <f>+VLOOKUP(CONCATENATE(Table1[[#This Row],[Tabela]],Table1[[#This Row],[Campo]]),'2. Status Detalhe Campos FY24'!A:J,9,FALSE)</f>
        <v>0</v>
      </c>
      <c r="Y185" s="491" t="e">
        <f>+VLOOKUP(A185,#REF!,1,FALSE)</f>
        <v>#REF!</v>
      </c>
    </row>
    <row r="186" spans="1:25" ht="17.899999999999999" hidden="1" customHeight="1">
      <c r="A186" t="str">
        <f>+Table1[[#This Row],[Tabela]]&amp;Table1[[#This Row],[Campo]]</f>
        <v>PROPERTYCONSTRUCTION_COMPLETED_PCT</v>
      </c>
      <c r="B186" s="2" t="s">
        <v>26</v>
      </c>
      <c r="C186" s="2" t="s">
        <v>54</v>
      </c>
      <c r="D186" s="2" t="s">
        <v>95</v>
      </c>
      <c r="E186" s="2" t="s">
        <v>38</v>
      </c>
      <c r="F186" s="2" t="s">
        <v>94</v>
      </c>
      <c r="G186" s="2" t="s">
        <v>121</v>
      </c>
      <c r="H186" s="56" t="str">
        <f>Table1[[#This Row],[Tabela]]&amp;Table1[[#This Row],[Campo]]</f>
        <v>PROPERTYCONSTRUCTION_COMPLETED_PCT</v>
      </c>
      <c r="I186" s="3" t="s">
        <v>612</v>
      </c>
      <c r="J186" s="42">
        <f>VLOOKUP(Table1[[#This Row],[Status]],Auxiliar!$B$16:$C$24,2,0)</f>
        <v>1</v>
      </c>
      <c r="K186" s="2" t="s">
        <v>1171</v>
      </c>
      <c r="L186" s="28" t="s">
        <v>1166</v>
      </c>
      <c r="M186" s="20" t="s">
        <v>1176</v>
      </c>
      <c r="N186" s="47">
        <v>45505</v>
      </c>
      <c r="O186" s="20">
        <f>INDEX(Auxiliar!$D$5:$F$13,MATCH(Table1[[#This Row],[Tipologia_Testes]],Auxiliar!$B$5:$B$13,0),MATCH(Table1[[#This Row],[Complexidade]],Auxiliar!$D$4:$F$4,0))</f>
        <v>0.1</v>
      </c>
      <c r="P186" s="2" t="s">
        <v>1177</v>
      </c>
      <c r="Q186" s="2" t="s">
        <v>1185</v>
      </c>
      <c r="R186" s="151">
        <v>45261</v>
      </c>
      <c r="S186" s="151"/>
      <c r="T186" s="151">
        <v>45491</v>
      </c>
      <c r="U186" s="151">
        <v>45495</v>
      </c>
      <c r="V186" s="151">
        <v>45495</v>
      </c>
      <c r="W186" s="2">
        <f>VLOOKUP(Table1[[#This Row],[Status]],Auxiliar!$B$16:$D$24,3,0)*Table1[[#This Row],[Estimação (horas)]]</f>
        <v>0.1</v>
      </c>
      <c r="X186" s="165">
        <f>+VLOOKUP(CONCATENATE(Table1[[#This Row],[Tabela]],Table1[[#This Row],[Campo]]),'2. Status Detalhe Campos FY24'!A:J,9,FALSE)</f>
        <v>0</v>
      </c>
      <c r="Y186" s="491" t="e">
        <f>+VLOOKUP(A186,#REF!,1,FALSE)</f>
        <v>#REF!</v>
      </c>
    </row>
    <row r="187" spans="1:25" ht="17.899999999999999" hidden="1" customHeight="1">
      <c r="A187" t="str">
        <f>+Table1[[#This Row],[Tabela]]&amp;Table1[[#This Row],[Campo]]</f>
        <v>PROPERTYDATA_DATE_PART</v>
      </c>
      <c r="B187" s="2" t="s">
        <v>26</v>
      </c>
      <c r="C187" s="2" t="s">
        <v>54</v>
      </c>
      <c r="D187" s="2" t="s">
        <v>95</v>
      </c>
      <c r="E187" s="2" t="s">
        <v>38</v>
      </c>
      <c r="F187" s="2" t="s">
        <v>94</v>
      </c>
      <c r="G187" s="2" t="s">
        <v>73</v>
      </c>
      <c r="H187" s="56" t="str">
        <f>Table1[[#This Row],[Tabela]]&amp;Table1[[#This Row],[Campo]]</f>
        <v>PROPERTYDATA_DATE_PART</v>
      </c>
      <c r="I187" s="3" t="s">
        <v>612</v>
      </c>
      <c r="J187" s="54">
        <f>VLOOKUP(Table1[[#This Row],[Status]],Auxiliar!$B$16:$C$24,2,0)</f>
        <v>1</v>
      </c>
      <c r="K187" s="2" t="s">
        <v>1168</v>
      </c>
      <c r="L187" s="28" t="s">
        <v>1174</v>
      </c>
      <c r="M187" s="20" t="s">
        <v>1175</v>
      </c>
      <c r="N187" s="47">
        <v>45485</v>
      </c>
      <c r="O187" s="20">
        <f>INDEX(Auxiliar!$D$5:$F$13,MATCH(Table1[[#This Row],[Tipologia_Testes]],Auxiliar!$B$5:$B$13,0),MATCH(Table1[[#This Row],[Complexidade]],Auxiliar!$D$4:$F$4,0))</f>
        <v>2</v>
      </c>
      <c r="P187" s="2"/>
      <c r="Q187" s="2" t="s">
        <v>1185</v>
      </c>
      <c r="R187" s="151">
        <v>45261</v>
      </c>
      <c r="S187" s="151"/>
      <c r="T187" s="151"/>
      <c r="U187" s="151"/>
      <c r="V187" s="151"/>
      <c r="W187" s="2">
        <f>VLOOKUP(Table1[[#This Row],[Status]],Auxiliar!$B$16:$D$24,3,0)*Table1[[#This Row],[Estimação (horas)]]</f>
        <v>2</v>
      </c>
      <c r="X187" s="165">
        <f>+VLOOKUP(CONCATENATE(Table1[[#This Row],[Tabela]],Table1[[#This Row],[Campo]]),'2. Status Detalhe Campos FY24'!A:J,9,FALSE)</f>
        <v>0</v>
      </c>
      <c r="Y187" s="491" t="e">
        <f>+VLOOKUP(A187,#REF!,1,FALSE)</f>
        <v>#REF!</v>
      </c>
    </row>
    <row r="188" spans="1:25" ht="17.899999999999999" hidden="1" customHeight="1">
      <c r="A188" t="str">
        <f>+Table1[[#This Row],[Tabela]]&amp;Table1[[#This Row],[Campo]]</f>
        <v>PROPERTYDATA_DATE_PART</v>
      </c>
      <c r="B188" s="2" t="s">
        <v>26</v>
      </c>
      <c r="C188" s="2" t="s">
        <v>54</v>
      </c>
      <c r="D188" s="2" t="s">
        <v>95</v>
      </c>
      <c r="E188" s="2" t="s">
        <v>38</v>
      </c>
      <c r="F188" s="2" t="s">
        <v>94</v>
      </c>
      <c r="G188" s="2" t="s">
        <v>73</v>
      </c>
      <c r="H188" s="56" t="str">
        <f>Table1[[#This Row],[Tabela]]&amp;Table1[[#This Row],[Campo]]</f>
        <v>PROPERTYDATA_DATE_PART</v>
      </c>
      <c r="I188" s="3" t="s">
        <v>612</v>
      </c>
      <c r="J188" s="54">
        <f>VLOOKUP(Table1[[#This Row],[Status]],Auxiliar!$B$16:$C$24,2,0)</f>
        <v>1</v>
      </c>
      <c r="K188" s="2" t="s">
        <v>1169</v>
      </c>
      <c r="L188" s="28" t="s">
        <v>1174</v>
      </c>
      <c r="M188" s="20" t="s">
        <v>1175</v>
      </c>
      <c r="N188" s="47">
        <v>45485</v>
      </c>
      <c r="O188" s="20">
        <f>INDEX(Auxiliar!$D$5:$F$13,MATCH(Table1[[#This Row],[Tipologia_Testes]],Auxiliar!$B$5:$B$13,0),MATCH(Table1[[#This Row],[Complexidade]],Auxiliar!$D$4:$F$4,0))</f>
        <v>2</v>
      </c>
      <c r="P188" s="2"/>
      <c r="Q188" s="2" t="s">
        <v>1185</v>
      </c>
      <c r="R188" s="151">
        <v>45261</v>
      </c>
      <c r="S188" s="151"/>
      <c r="T188" s="151"/>
      <c r="U188" s="151"/>
      <c r="V188" s="151"/>
      <c r="W188" s="2">
        <f>VLOOKUP(Table1[[#This Row],[Status]],Auxiliar!$B$16:$D$24,3,0)*Table1[[#This Row],[Estimação (horas)]]</f>
        <v>2</v>
      </c>
      <c r="X188" s="165">
        <f>+VLOOKUP(CONCATENATE(Table1[[#This Row],[Tabela]],Table1[[#This Row],[Campo]]),'2. Status Detalhe Campos FY24'!A:J,9,FALSE)</f>
        <v>0</v>
      </c>
      <c r="Y188" s="491" t="e">
        <f>+VLOOKUP(A188,#REF!,1,FALSE)</f>
        <v>#REF!</v>
      </c>
    </row>
    <row r="189" spans="1:25" ht="17.899999999999999" hidden="1" customHeight="1">
      <c r="A189" t="str">
        <f>+Table1[[#This Row],[Tabela]]&amp;Table1[[#This Row],[Campo]]</f>
        <v>PROPERTYDATA_DATE_PART</v>
      </c>
      <c r="B189" s="2" t="s">
        <v>26</v>
      </c>
      <c r="C189" s="2" t="s">
        <v>54</v>
      </c>
      <c r="D189" s="2" t="s">
        <v>95</v>
      </c>
      <c r="E189" s="2" t="s">
        <v>38</v>
      </c>
      <c r="F189" s="2" t="s">
        <v>94</v>
      </c>
      <c r="G189" s="2" t="s">
        <v>73</v>
      </c>
      <c r="H189" s="56" t="str">
        <f>Table1[[#This Row],[Tabela]]&amp;Table1[[#This Row],[Campo]]</f>
        <v>PROPERTYDATA_DATE_PART</v>
      </c>
      <c r="I189" s="3" t="s">
        <v>612</v>
      </c>
      <c r="J189" s="54">
        <f>VLOOKUP(Table1[[#This Row],[Status]],Auxiliar!$B$16:$C$24,2,0)</f>
        <v>1</v>
      </c>
      <c r="K189" s="2" t="s">
        <v>1171</v>
      </c>
      <c r="L189" s="28" t="s">
        <v>1174</v>
      </c>
      <c r="M189" s="20" t="s">
        <v>1175</v>
      </c>
      <c r="N189" s="47">
        <v>45485</v>
      </c>
      <c r="O189" s="20">
        <f>INDEX(Auxiliar!$D$5:$F$13,MATCH(Table1[[#This Row],[Tipologia_Testes]],Auxiliar!$B$5:$B$13,0),MATCH(Table1[[#This Row],[Complexidade]],Auxiliar!$D$4:$F$4,0))</f>
        <v>0.1</v>
      </c>
      <c r="P189" s="2"/>
      <c r="Q189" s="2" t="s">
        <v>1185</v>
      </c>
      <c r="R189" s="151">
        <v>45261</v>
      </c>
      <c r="S189" s="151"/>
      <c r="T189" s="151"/>
      <c r="U189" s="151"/>
      <c r="V189" s="151"/>
      <c r="W189" s="2">
        <f>VLOOKUP(Table1[[#This Row],[Status]],Auxiliar!$B$16:$D$24,3,0)*Table1[[#This Row],[Estimação (horas)]]</f>
        <v>0.1</v>
      </c>
      <c r="X189" s="165">
        <f>+VLOOKUP(CONCATENATE(Table1[[#This Row],[Tabela]],Table1[[#This Row],[Campo]]),'2. Status Detalhe Campos FY24'!A:J,9,FALSE)</f>
        <v>0</v>
      </c>
      <c r="Y189" s="491" t="e">
        <f>+VLOOKUP(A189,#REF!,1,FALSE)</f>
        <v>#REF!</v>
      </c>
    </row>
    <row r="190" spans="1:25" ht="17.899999999999999" hidden="1" customHeight="1">
      <c r="A190" t="str">
        <f>+Table1[[#This Row],[Tabela]]&amp;Table1[[#This Row],[Campo]]</f>
        <v>PROPERTYURBANIZATION</v>
      </c>
      <c r="B190" s="2" t="s">
        <v>26</v>
      </c>
      <c r="C190" s="2" t="s">
        <v>54</v>
      </c>
      <c r="D190" s="2" t="s">
        <v>95</v>
      </c>
      <c r="E190" s="2" t="s">
        <v>38</v>
      </c>
      <c r="F190" s="2" t="s">
        <v>94</v>
      </c>
      <c r="G190" s="2" t="s">
        <v>122</v>
      </c>
      <c r="H190" s="56" t="str">
        <f>Table1[[#This Row],[Tabela]]&amp;Table1[[#This Row],[Campo]]</f>
        <v>PROPERTYURBANIZATION</v>
      </c>
      <c r="I190" s="3" t="s">
        <v>612</v>
      </c>
      <c r="J190" s="42">
        <f>VLOOKUP(Table1[[#This Row],[Status]],Auxiliar!$B$16:$C$24,2,0)</f>
        <v>1</v>
      </c>
      <c r="K190" s="2" t="s">
        <v>1168</v>
      </c>
      <c r="L190" s="28" t="s">
        <v>1174</v>
      </c>
      <c r="M190" s="20" t="s">
        <v>1175</v>
      </c>
      <c r="N190" s="47">
        <v>45490</v>
      </c>
      <c r="O190" s="20">
        <f>INDEX(Auxiliar!$D$5:$F$13,MATCH(Table1[[#This Row],[Tipologia_Testes]],Auxiliar!$B$5:$B$13,0),MATCH(Table1[[#This Row],[Complexidade]],Auxiliar!$D$4:$F$4,0))</f>
        <v>2</v>
      </c>
      <c r="P190" s="2"/>
      <c r="Q190" s="2" t="s">
        <v>1185</v>
      </c>
      <c r="R190" s="151">
        <v>45261</v>
      </c>
      <c r="S190" s="151"/>
      <c r="T190" s="151"/>
      <c r="U190" s="151"/>
      <c r="V190" s="151"/>
      <c r="W190" s="2">
        <f>VLOOKUP(Table1[[#This Row],[Status]],Auxiliar!$B$16:$D$24,3,0)*Table1[[#This Row],[Estimação (horas)]]</f>
        <v>2</v>
      </c>
      <c r="X190" s="165">
        <f>+VLOOKUP(CONCATENATE(Table1[[#This Row],[Tabela]],Table1[[#This Row],[Campo]]),'2. Status Detalhe Campos FY24'!A:J,9,FALSE)</f>
        <v>0</v>
      </c>
      <c r="Y190" s="491" t="e">
        <f>+VLOOKUP(A190,#REF!,1,FALSE)</f>
        <v>#REF!</v>
      </c>
    </row>
    <row r="191" spans="1:25" ht="17.899999999999999" hidden="1" customHeight="1">
      <c r="A191" t="str">
        <f>+Table1[[#This Row],[Tabela]]&amp;Table1[[#This Row],[Campo]]</f>
        <v>PROPERTYURBANIZATION</v>
      </c>
      <c r="B191" s="2" t="s">
        <v>26</v>
      </c>
      <c r="C191" s="2" t="s">
        <v>54</v>
      </c>
      <c r="D191" s="2" t="s">
        <v>95</v>
      </c>
      <c r="E191" s="2" t="s">
        <v>38</v>
      </c>
      <c r="F191" s="2" t="s">
        <v>94</v>
      </c>
      <c r="G191" s="2" t="s">
        <v>122</v>
      </c>
      <c r="H191" s="56" t="str">
        <f>Table1[[#This Row],[Tabela]]&amp;Table1[[#This Row],[Campo]]</f>
        <v>PROPERTYURBANIZATION</v>
      </c>
      <c r="I191" s="3" t="s">
        <v>612</v>
      </c>
      <c r="J191" s="42">
        <f>VLOOKUP(Table1[[#This Row],[Status]],Auxiliar!$B$16:$C$24,2,0)</f>
        <v>1</v>
      </c>
      <c r="K191" s="2" t="s">
        <v>1169</v>
      </c>
      <c r="L191" s="28" t="s">
        <v>1174</v>
      </c>
      <c r="M191" s="20" t="s">
        <v>1175</v>
      </c>
      <c r="N191" s="47">
        <v>45490</v>
      </c>
      <c r="O191" s="20">
        <f>INDEX(Auxiliar!$D$5:$F$13,MATCH(Table1[[#This Row],[Tipologia_Testes]],Auxiliar!$B$5:$B$13,0),MATCH(Table1[[#This Row],[Complexidade]],Auxiliar!$D$4:$F$4,0))</f>
        <v>2</v>
      </c>
      <c r="P191" s="2"/>
      <c r="Q191" s="2" t="s">
        <v>1185</v>
      </c>
      <c r="R191" s="151">
        <v>45261</v>
      </c>
      <c r="S191" s="151"/>
      <c r="T191" s="151"/>
      <c r="U191" s="151"/>
      <c r="V191" s="151"/>
      <c r="W191" s="2">
        <f>VLOOKUP(Table1[[#This Row],[Status]],Auxiliar!$B$16:$D$24,3,0)*Table1[[#This Row],[Estimação (horas)]]</f>
        <v>2</v>
      </c>
      <c r="X191" s="165">
        <f>+VLOOKUP(CONCATENATE(Table1[[#This Row],[Tabela]],Table1[[#This Row],[Campo]]),'2. Status Detalhe Campos FY24'!A:J,9,FALSE)</f>
        <v>0</v>
      </c>
      <c r="Y191" s="491" t="e">
        <f>+VLOOKUP(A191,#REF!,1,FALSE)</f>
        <v>#REF!</v>
      </c>
    </row>
    <row r="192" spans="1:25" ht="17.899999999999999" hidden="1" customHeight="1">
      <c r="A192" t="str">
        <f>+Table1[[#This Row],[Tabela]]&amp;Table1[[#This Row],[Campo]]</f>
        <v>PROPERTYURBANIZATION</v>
      </c>
      <c r="B192" s="2" t="s">
        <v>26</v>
      </c>
      <c r="C192" s="2" t="s">
        <v>54</v>
      </c>
      <c r="D192" s="2" t="s">
        <v>95</v>
      </c>
      <c r="E192" s="2" t="s">
        <v>38</v>
      </c>
      <c r="F192" s="2" t="s">
        <v>94</v>
      </c>
      <c r="G192" s="2" t="s">
        <v>122</v>
      </c>
      <c r="H192" s="56" t="str">
        <f>Table1[[#This Row],[Tabela]]&amp;Table1[[#This Row],[Campo]]</f>
        <v>PROPERTYURBANIZATION</v>
      </c>
      <c r="I192" s="3" t="s">
        <v>612</v>
      </c>
      <c r="J192" s="42">
        <f>VLOOKUP(Table1[[#This Row],[Status]],Auxiliar!$B$16:$C$24,2,0)</f>
        <v>1</v>
      </c>
      <c r="K192" s="2" t="s">
        <v>1171</v>
      </c>
      <c r="L192" s="28" t="s">
        <v>1174</v>
      </c>
      <c r="M192" s="20" t="s">
        <v>1175</v>
      </c>
      <c r="N192" s="47">
        <v>45490</v>
      </c>
      <c r="O192" s="20">
        <f>INDEX(Auxiliar!$D$5:$F$13,MATCH(Table1[[#This Row],[Tipologia_Testes]],Auxiliar!$B$5:$B$13,0),MATCH(Table1[[#This Row],[Complexidade]],Auxiliar!$D$4:$F$4,0))</f>
        <v>0.1</v>
      </c>
      <c r="P192" s="2"/>
      <c r="Q192" s="2" t="s">
        <v>1185</v>
      </c>
      <c r="R192" s="151">
        <v>45261</v>
      </c>
      <c r="S192" s="151"/>
      <c r="T192" s="151"/>
      <c r="U192" s="151"/>
      <c r="V192" s="151"/>
      <c r="W192" s="2">
        <f>VLOOKUP(Table1[[#This Row],[Status]],Auxiliar!$B$16:$D$24,3,0)*Table1[[#This Row],[Estimação (horas)]]</f>
        <v>0.1</v>
      </c>
      <c r="X192" s="165">
        <f>+VLOOKUP(CONCATENATE(Table1[[#This Row],[Tabela]],Table1[[#This Row],[Campo]]),'2. Status Detalhe Campos FY24'!A:J,9,FALSE)</f>
        <v>0</v>
      </c>
      <c r="Y192" s="491" t="e">
        <f>+VLOOKUP(A192,#REF!,1,FALSE)</f>
        <v>#REF!</v>
      </c>
    </row>
    <row r="193" spans="1:25" ht="17.899999999999999" hidden="1" customHeight="1">
      <c r="A193" t="str">
        <f>+Table1[[#This Row],[Tabela]]&amp;Table1[[#This Row],[Campo]]</f>
        <v>PROPERTYPROPERTY_CODE</v>
      </c>
      <c r="B193" s="2" t="s">
        <v>26</v>
      </c>
      <c r="C193" s="2" t="s">
        <v>54</v>
      </c>
      <c r="D193" s="2" t="s">
        <v>95</v>
      </c>
      <c r="E193" s="2" t="s">
        <v>38</v>
      </c>
      <c r="F193" s="2" t="s">
        <v>94</v>
      </c>
      <c r="G193" s="2" t="s">
        <v>2161</v>
      </c>
      <c r="H193" s="56" t="str">
        <f>Table1[[#This Row],[Tabela]]&amp;Table1[[#This Row],[Campo]]</f>
        <v>PROPERTYPROPERTY_CODE</v>
      </c>
      <c r="I193" s="2" t="s">
        <v>612</v>
      </c>
      <c r="J193" s="42">
        <f>VLOOKUP(Table1[[#This Row],[Status]],Auxiliar!$B$16:$C$24,2,0)</f>
        <v>1</v>
      </c>
      <c r="K193" s="2" t="s">
        <v>1168</v>
      </c>
      <c r="L193" s="28" t="s">
        <v>1174</v>
      </c>
      <c r="M193" s="20" t="s">
        <v>1175</v>
      </c>
      <c r="N193" s="47">
        <v>45667</v>
      </c>
      <c r="O193" s="20">
        <f>INDEX(Auxiliar!$D$5:$F$13,MATCH(Table1[[#This Row],[Tipologia_Testes]],Auxiliar!$B$5:$B$13,0),MATCH(Table1[[#This Row],[Complexidade]],Auxiliar!$D$4:$F$4,0))</f>
        <v>2</v>
      </c>
      <c r="P193" s="2"/>
      <c r="Q193" s="2"/>
      <c r="R193" s="207">
        <v>45603</v>
      </c>
      <c r="S193" s="151"/>
      <c r="T193" s="151"/>
      <c r="U193" s="151"/>
      <c r="V193" s="151">
        <v>45645</v>
      </c>
      <c r="W193" s="2">
        <f>VLOOKUP(Table1[[#This Row],[Status]],Auxiliar!$B$16:$D$24,3,0)*Table1[[#This Row],[Estimação (horas)]]</f>
        <v>2</v>
      </c>
      <c r="X193" s="165">
        <f>+VLOOKUP(CONCATENATE(Table1[[#This Row],[Tabela]],Table1[[#This Row],[Campo]]),'2. Status Detalhe Campos FY24'!A:J,9,FALSE)</f>
        <v>0</v>
      </c>
      <c r="Y193" s="491" t="e">
        <f>+VLOOKUP(A193,#REF!,1,FALSE)</f>
        <v>#REF!</v>
      </c>
    </row>
    <row r="194" spans="1:25" ht="17.899999999999999" hidden="1" customHeight="1">
      <c r="A194" t="str">
        <f>+Table1[[#This Row],[Tabela]]&amp;Table1[[#This Row],[Campo]]</f>
        <v>PROPERTYPROPERTY_CODE</v>
      </c>
      <c r="B194" s="2" t="s">
        <v>26</v>
      </c>
      <c r="C194" s="2" t="s">
        <v>54</v>
      </c>
      <c r="D194" s="2" t="s">
        <v>95</v>
      </c>
      <c r="E194" s="2" t="s">
        <v>38</v>
      </c>
      <c r="F194" s="2" t="s">
        <v>94</v>
      </c>
      <c r="G194" s="2" t="s">
        <v>2161</v>
      </c>
      <c r="H194" s="56" t="str">
        <f>Table1[[#This Row],[Tabela]]&amp;Table1[[#This Row],[Campo]]</f>
        <v>PROPERTYPROPERTY_CODE</v>
      </c>
      <c r="I194" s="2" t="s">
        <v>612</v>
      </c>
      <c r="J194" s="42">
        <f>VLOOKUP(Table1[[#This Row],[Status]],Auxiliar!$B$16:$C$24,2,0)</f>
        <v>1</v>
      </c>
      <c r="K194" s="2" t="s">
        <v>1169</v>
      </c>
      <c r="L194" s="28" t="s">
        <v>1174</v>
      </c>
      <c r="M194" s="20" t="s">
        <v>1175</v>
      </c>
      <c r="N194" s="47">
        <v>45667</v>
      </c>
      <c r="O194" s="20">
        <f>INDEX(Auxiliar!$D$5:$F$13,MATCH(Table1[[#This Row],[Tipologia_Testes]],Auxiliar!$B$5:$B$13,0),MATCH(Table1[[#This Row],[Complexidade]],Auxiliar!$D$4:$F$4,0))</f>
        <v>2</v>
      </c>
      <c r="P194" s="2"/>
      <c r="Q194" s="2"/>
      <c r="R194" s="207">
        <v>45603</v>
      </c>
      <c r="S194" s="151"/>
      <c r="T194" s="151"/>
      <c r="U194" s="151"/>
      <c r="V194" s="151">
        <v>45645</v>
      </c>
      <c r="W194" s="2">
        <f>VLOOKUP(Table1[[#This Row],[Status]],Auxiliar!$B$16:$D$24,3,0)*Table1[[#This Row],[Estimação (horas)]]</f>
        <v>2</v>
      </c>
      <c r="X194" s="165">
        <f>+VLOOKUP(CONCATENATE(Table1[[#This Row],[Tabela]],Table1[[#This Row],[Campo]]),'2. Status Detalhe Campos FY24'!A:J,9,FALSE)</f>
        <v>0</v>
      </c>
      <c r="Y194" s="491" t="e">
        <f>+VLOOKUP(A194,#REF!,1,FALSE)</f>
        <v>#REF!</v>
      </c>
    </row>
    <row r="195" spans="1:25" ht="17.899999999999999" hidden="1" customHeight="1">
      <c r="A195" t="str">
        <f>+Table1[[#This Row],[Tabela]]&amp;Table1[[#This Row],[Campo]]</f>
        <v>PROPERTYPROPERTY_CODE</v>
      </c>
      <c r="B195" s="2" t="s">
        <v>26</v>
      </c>
      <c r="C195" s="2" t="s">
        <v>54</v>
      </c>
      <c r="D195" s="2" t="s">
        <v>95</v>
      </c>
      <c r="E195" s="2" t="s">
        <v>38</v>
      </c>
      <c r="F195" s="2" t="s">
        <v>94</v>
      </c>
      <c r="G195" s="2" t="s">
        <v>2161</v>
      </c>
      <c r="H195" s="56" t="str">
        <f>Table1[[#This Row],[Tabela]]&amp;Table1[[#This Row],[Campo]]</f>
        <v>PROPERTYPROPERTY_CODE</v>
      </c>
      <c r="I195" s="2" t="s">
        <v>612</v>
      </c>
      <c r="J195" s="42">
        <f>VLOOKUP(Table1[[#This Row],[Status]],Auxiliar!$B$16:$C$24,2,0)</f>
        <v>1</v>
      </c>
      <c r="K195" s="2" t="s">
        <v>1171</v>
      </c>
      <c r="L195" s="28" t="s">
        <v>1174</v>
      </c>
      <c r="M195" s="20" t="s">
        <v>1175</v>
      </c>
      <c r="N195" s="47">
        <v>45667</v>
      </c>
      <c r="O195" s="20">
        <f>INDEX(Auxiliar!$D$5:$F$13,MATCH(Table1[[#This Row],[Tipologia_Testes]],Auxiliar!$B$5:$B$13,0),MATCH(Table1[[#This Row],[Complexidade]],Auxiliar!$D$4:$F$4,0))</f>
        <v>0.1</v>
      </c>
      <c r="P195" s="2"/>
      <c r="Q195" s="2"/>
      <c r="R195" s="207">
        <v>45603</v>
      </c>
      <c r="S195" s="151"/>
      <c r="T195" s="151"/>
      <c r="U195" s="151"/>
      <c r="V195" s="151">
        <v>45645</v>
      </c>
      <c r="W195" s="2">
        <f>VLOOKUP(Table1[[#This Row],[Status]],Auxiliar!$B$16:$D$24,3,0)*Table1[[#This Row],[Estimação (horas)]]</f>
        <v>0.1</v>
      </c>
      <c r="X195" s="165">
        <f>+VLOOKUP(CONCATENATE(Table1[[#This Row],[Tabela]],Table1[[#This Row],[Campo]]),'2. Status Detalhe Campos FY24'!A:J,9,FALSE)</f>
        <v>0</v>
      </c>
      <c r="Y195" s="491" t="e">
        <f>+VLOOKUP(A195,#REF!,1,FALSE)</f>
        <v>#REF!</v>
      </c>
    </row>
    <row r="196" spans="1:25" ht="69.650000000000006" hidden="1" customHeight="1">
      <c r="A196" t="str">
        <f>+Table1[[#This Row],[Tabela]]&amp;Table1[[#This Row],[Campo]]</f>
        <v>PROPERTY_ENERGY_CERTIFICATEn.a.</v>
      </c>
      <c r="B196" s="2" t="s">
        <v>26</v>
      </c>
      <c r="C196" s="2" t="s">
        <v>54</v>
      </c>
      <c r="D196" s="2" t="s">
        <v>124</v>
      </c>
      <c r="E196" s="2" t="s">
        <v>38</v>
      </c>
      <c r="F196" s="2" t="s">
        <v>123</v>
      </c>
      <c r="G196" s="2" t="s">
        <v>38</v>
      </c>
      <c r="H196" s="56" t="str">
        <f>Table1[[#This Row],[Tabela]]&amp;Table1[[#This Row],[Campo]]</f>
        <v>PROPERTY_ENERGY_CERTIFICATEn.a.</v>
      </c>
      <c r="I196" s="2" t="s">
        <v>612</v>
      </c>
      <c r="J196" s="42">
        <f>VLOOKUP(Table1[[#This Row],[Status]],Auxiliar!$B$16:$C$24,2,0)</f>
        <v>1</v>
      </c>
      <c r="K196" s="2" t="s">
        <v>1165</v>
      </c>
      <c r="L196" s="28" t="s">
        <v>1166</v>
      </c>
      <c r="M196" s="20" t="s">
        <v>1175</v>
      </c>
      <c r="N196" s="47">
        <v>45485</v>
      </c>
      <c r="O196" s="20">
        <f>INDEX(Auxiliar!$D$5:$F$13,MATCH(Table1[[#This Row],[Tipologia_Testes]],Auxiliar!$B$5:$B$13,0),MATCH(Table1[[#This Row],[Complexidade]],Auxiliar!$D$4:$F$4,0))</f>
        <v>8</v>
      </c>
      <c r="P196" s="22" t="s">
        <v>1190</v>
      </c>
      <c r="Q196" s="2"/>
      <c r="R196" s="151">
        <v>45261</v>
      </c>
      <c r="S196" s="151"/>
      <c r="T196" s="151"/>
      <c r="U196" s="151"/>
      <c r="V196" s="151"/>
      <c r="W196" s="2">
        <f>VLOOKUP(Table1[[#This Row],[Status]],Auxiliar!$B$16:$D$24,3,0)*Table1[[#This Row],[Estimação (horas)]]</f>
        <v>8</v>
      </c>
      <c r="X196" s="165">
        <f>+VLOOKUP(CONCATENATE(Table1[[#This Row],[Tabela]],Table1[[#This Row],[Campo]]),'2. Status Detalhe Campos FY24'!A:J,9,FALSE)</f>
        <v>0</v>
      </c>
      <c r="Y196" s="491" t="e">
        <f>+VLOOKUP(A196,#REF!,1,FALSE)</f>
        <v>#REF!</v>
      </c>
    </row>
    <row r="197" spans="1:25" ht="17.899999999999999" hidden="1" customHeight="1">
      <c r="A197" t="str">
        <f>+Table1[[#This Row],[Tabela]]&amp;Table1[[#This Row],[Campo]]</f>
        <v>PROPERTY_ENERGY_CERTIFICATEPROPERTY_BANK_ID</v>
      </c>
      <c r="B197" s="2" t="s">
        <v>26</v>
      </c>
      <c r="C197" s="2" t="s">
        <v>54</v>
      </c>
      <c r="D197" s="2" t="s">
        <v>124</v>
      </c>
      <c r="E197" s="2" t="s">
        <v>38</v>
      </c>
      <c r="F197" s="2" t="s">
        <v>123</v>
      </c>
      <c r="G197" s="2" t="s">
        <v>41</v>
      </c>
      <c r="H197" s="56" t="str">
        <f>Table1[[#This Row],[Tabela]]&amp;Table1[[#This Row],[Campo]]</f>
        <v>PROPERTY_ENERGY_CERTIFICATEPROPERTY_BANK_ID</v>
      </c>
      <c r="I197" s="2" t="s">
        <v>612</v>
      </c>
      <c r="J197" s="42">
        <f>VLOOKUP(Table1[[#This Row],[Status]],Auxiliar!$B$16:$C$24,2,0)</f>
        <v>1</v>
      </c>
      <c r="K197" s="2" t="s">
        <v>1168</v>
      </c>
      <c r="L197" s="28" t="s">
        <v>1166</v>
      </c>
      <c r="M197" s="20" t="s">
        <v>1175</v>
      </c>
      <c r="N197" s="47">
        <v>45485</v>
      </c>
      <c r="O197" s="20">
        <f>INDEX(Auxiliar!$D$5:$F$13,MATCH(Table1[[#This Row],[Tipologia_Testes]],Auxiliar!$B$5:$B$13,0),MATCH(Table1[[#This Row],[Complexidade]],Auxiliar!$D$4:$F$4,0))</f>
        <v>2</v>
      </c>
      <c r="P197" s="2" t="s">
        <v>1191</v>
      </c>
      <c r="Q197" s="2"/>
      <c r="R197" s="151">
        <v>45261</v>
      </c>
      <c r="S197" s="151"/>
      <c r="T197" s="151"/>
      <c r="U197" s="151"/>
      <c r="V197" s="151"/>
      <c r="W197" s="2">
        <f>VLOOKUP(Table1[[#This Row],[Status]],Auxiliar!$B$16:$D$24,3,0)*Table1[[#This Row],[Estimação (horas)]]</f>
        <v>2</v>
      </c>
      <c r="X197" s="165">
        <f>+VLOOKUP(CONCATENATE(Table1[[#This Row],[Tabela]],Table1[[#This Row],[Campo]]),'2. Status Detalhe Campos FY24'!A:J,9,FALSE)</f>
        <v>0</v>
      </c>
      <c r="Y197" s="491" t="e">
        <f>+VLOOKUP(A197,#REF!,1,FALSE)</f>
        <v>#REF!</v>
      </c>
    </row>
    <row r="198" spans="1:25" ht="17.899999999999999" hidden="1" customHeight="1">
      <c r="A198" t="str">
        <f>+Table1[[#This Row],[Tabela]]&amp;Table1[[#This Row],[Campo]]</f>
        <v>PROPERTY_ENERGY_CERTIFICATEPROPERTY_BANK_ID</v>
      </c>
      <c r="B198" s="2" t="s">
        <v>26</v>
      </c>
      <c r="C198" s="2" t="s">
        <v>54</v>
      </c>
      <c r="D198" s="2" t="s">
        <v>124</v>
      </c>
      <c r="E198" s="2" t="s">
        <v>38</v>
      </c>
      <c r="F198" s="2" t="s">
        <v>123</v>
      </c>
      <c r="G198" s="2" t="s">
        <v>41</v>
      </c>
      <c r="H198" s="56" t="str">
        <f>Table1[[#This Row],[Tabela]]&amp;Table1[[#This Row],[Campo]]</f>
        <v>PROPERTY_ENERGY_CERTIFICATEPROPERTY_BANK_ID</v>
      </c>
      <c r="I198" s="2" t="s">
        <v>612</v>
      </c>
      <c r="J198" s="42">
        <f>VLOOKUP(Table1[[#This Row],[Status]],Auxiliar!$B$16:$C$24,2,0)</f>
        <v>1</v>
      </c>
      <c r="K198" s="2" t="s">
        <v>1169</v>
      </c>
      <c r="L198" s="28" t="s">
        <v>1166</v>
      </c>
      <c r="M198" s="20" t="s">
        <v>1175</v>
      </c>
      <c r="N198" s="47">
        <v>45485</v>
      </c>
      <c r="O198" s="20">
        <f>INDEX(Auxiliar!$D$5:$F$13,MATCH(Table1[[#This Row],[Tipologia_Testes]],Auxiliar!$B$5:$B$13,0),MATCH(Table1[[#This Row],[Complexidade]],Auxiliar!$D$4:$F$4,0))</f>
        <v>2</v>
      </c>
      <c r="P198" s="2" t="s">
        <v>1191</v>
      </c>
      <c r="Q198" s="2"/>
      <c r="R198" s="151">
        <v>45261</v>
      </c>
      <c r="S198" s="151"/>
      <c r="T198" s="151"/>
      <c r="U198" s="151"/>
      <c r="V198" s="151"/>
      <c r="W198" s="2">
        <f>VLOOKUP(Table1[[#This Row],[Status]],Auxiliar!$B$16:$D$24,3,0)*Table1[[#This Row],[Estimação (horas)]]</f>
        <v>2</v>
      </c>
      <c r="X198" s="165">
        <f>+VLOOKUP(CONCATENATE(Table1[[#This Row],[Tabela]],Table1[[#This Row],[Campo]]),'2. Status Detalhe Campos FY24'!A:J,9,FALSE)</f>
        <v>0</v>
      </c>
      <c r="Y198" s="491" t="e">
        <f>+VLOOKUP(A198,#REF!,1,FALSE)</f>
        <v>#REF!</v>
      </c>
    </row>
    <row r="199" spans="1:25" ht="17.899999999999999" hidden="1" customHeight="1">
      <c r="A199" t="str">
        <f>+Table1[[#This Row],[Tabela]]&amp;Table1[[#This Row],[Campo]]</f>
        <v>PROPERTY_ENERGY_CERTIFICATEPROPERTY_BANK_ID</v>
      </c>
      <c r="B199" s="2" t="s">
        <v>26</v>
      </c>
      <c r="C199" s="2" t="s">
        <v>54</v>
      </c>
      <c r="D199" s="2" t="s">
        <v>124</v>
      </c>
      <c r="E199" s="2" t="s">
        <v>38</v>
      </c>
      <c r="F199" s="2" t="s">
        <v>123</v>
      </c>
      <c r="G199" s="2" t="s">
        <v>41</v>
      </c>
      <c r="H199" s="56" t="str">
        <f>Table1[[#This Row],[Tabela]]&amp;Table1[[#This Row],[Campo]]</f>
        <v>PROPERTY_ENERGY_CERTIFICATEPROPERTY_BANK_ID</v>
      </c>
      <c r="I199" s="2" t="s">
        <v>612</v>
      </c>
      <c r="J199" s="42">
        <f>VLOOKUP(Table1[[#This Row],[Status]],Auxiliar!$B$16:$C$24,2,0)</f>
        <v>1</v>
      </c>
      <c r="K199" s="2" t="s">
        <v>1171</v>
      </c>
      <c r="L199" s="28" t="s">
        <v>1166</v>
      </c>
      <c r="M199" s="20" t="s">
        <v>1175</v>
      </c>
      <c r="N199" s="47">
        <v>45485</v>
      </c>
      <c r="O199" s="20">
        <f>INDEX(Auxiliar!$D$5:$F$13,MATCH(Table1[[#This Row],[Tipologia_Testes]],Auxiliar!$B$5:$B$13,0),MATCH(Table1[[#This Row],[Complexidade]],Auxiliar!$D$4:$F$4,0))</f>
        <v>0.1</v>
      </c>
      <c r="P199" s="2" t="s">
        <v>1191</v>
      </c>
      <c r="Q199" s="2"/>
      <c r="R199" s="151">
        <v>45261</v>
      </c>
      <c r="S199" s="151"/>
      <c r="T199" s="151"/>
      <c r="U199" s="151"/>
      <c r="V199" s="151"/>
      <c r="W199" s="2">
        <f>VLOOKUP(Table1[[#This Row],[Status]],Auxiliar!$B$16:$D$24,3,0)*Table1[[#This Row],[Estimação (horas)]]</f>
        <v>0.1</v>
      </c>
      <c r="X199" s="165">
        <f>+VLOOKUP(CONCATENATE(Table1[[#This Row],[Tabela]],Table1[[#This Row],[Campo]]),'2. Status Detalhe Campos FY24'!A:J,9,FALSE)</f>
        <v>0</v>
      </c>
      <c r="Y199" s="491" t="e">
        <f>+VLOOKUP(A199,#REF!,1,FALSE)</f>
        <v>#REF!</v>
      </c>
    </row>
    <row r="200" spans="1:25" ht="17.899999999999999" hidden="1" customHeight="1">
      <c r="A200" t="str">
        <f>+Table1[[#This Row],[Tabela]]&amp;Table1[[#This Row],[Campo]]</f>
        <v>PROPERTY_ENERGY_CERTIFICATEPROPERTY_BRANCH_CODE</v>
      </c>
      <c r="B200" s="2" t="s">
        <v>26</v>
      </c>
      <c r="C200" s="2" t="s">
        <v>54</v>
      </c>
      <c r="D200" s="2" t="s">
        <v>124</v>
      </c>
      <c r="E200" s="2" t="s">
        <v>38</v>
      </c>
      <c r="F200" s="2" t="s">
        <v>123</v>
      </c>
      <c r="G200" s="2" t="s">
        <v>43</v>
      </c>
      <c r="H200" s="56" t="str">
        <f>Table1[[#This Row],[Tabela]]&amp;Table1[[#This Row],[Campo]]</f>
        <v>PROPERTY_ENERGY_CERTIFICATEPROPERTY_BRANCH_CODE</v>
      </c>
      <c r="I200" s="2" t="s">
        <v>612</v>
      </c>
      <c r="J200" s="42">
        <f>VLOOKUP(Table1[[#This Row],[Status]],Auxiliar!$B$16:$C$24,2,0)</f>
        <v>1</v>
      </c>
      <c r="K200" s="2" t="s">
        <v>1168</v>
      </c>
      <c r="L200" s="28" t="s">
        <v>1166</v>
      </c>
      <c r="M200" s="20" t="s">
        <v>1175</v>
      </c>
      <c r="N200" s="47">
        <v>45485</v>
      </c>
      <c r="O200" s="20">
        <f>INDEX(Auxiliar!$D$5:$F$13,MATCH(Table1[[#This Row],[Tipologia_Testes]],Auxiliar!$B$5:$B$13,0),MATCH(Table1[[#This Row],[Complexidade]],Auxiliar!$D$4:$F$4,0))</f>
        <v>2</v>
      </c>
      <c r="P200" s="2" t="s">
        <v>1191</v>
      </c>
      <c r="Q200" s="2"/>
      <c r="R200" s="151">
        <v>45261</v>
      </c>
      <c r="S200" s="151"/>
      <c r="T200" s="151"/>
      <c r="U200" s="151"/>
      <c r="V200" s="151"/>
      <c r="W200" s="2">
        <f>VLOOKUP(Table1[[#This Row],[Status]],Auxiliar!$B$16:$D$24,3,0)*Table1[[#This Row],[Estimação (horas)]]</f>
        <v>2</v>
      </c>
      <c r="X200" s="165">
        <f>+VLOOKUP(CONCATENATE(Table1[[#This Row],[Tabela]],Table1[[#This Row],[Campo]]),'2. Status Detalhe Campos FY24'!A:J,9,FALSE)</f>
        <v>0</v>
      </c>
      <c r="Y200" s="491" t="e">
        <f>+VLOOKUP(A200,#REF!,1,FALSE)</f>
        <v>#REF!</v>
      </c>
    </row>
    <row r="201" spans="1:25" ht="17.899999999999999" hidden="1" customHeight="1">
      <c r="A201" t="str">
        <f>+Table1[[#This Row],[Tabela]]&amp;Table1[[#This Row],[Campo]]</f>
        <v>PROPERTY_ENERGY_CERTIFICATEPROPERTY_BRANCH_CODE</v>
      </c>
      <c r="B201" s="2" t="s">
        <v>26</v>
      </c>
      <c r="C201" s="2" t="s">
        <v>54</v>
      </c>
      <c r="D201" s="2" t="s">
        <v>124</v>
      </c>
      <c r="E201" s="2" t="s">
        <v>38</v>
      </c>
      <c r="F201" s="2" t="s">
        <v>123</v>
      </c>
      <c r="G201" s="2" t="s">
        <v>43</v>
      </c>
      <c r="H201" s="56" t="str">
        <f>Table1[[#This Row],[Tabela]]&amp;Table1[[#This Row],[Campo]]</f>
        <v>PROPERTY_ENERGY_CERTIFICATEPROPERTY_BRANCH_CODE</v>
      </c>
      <c r="I201" s="2" t="s">
        <v>612</v>
      </c>
      <c r="J201" s="42">
        <f>VLOOKUP(Table1[[#This Row],[Status]],Auxiliar!$B$16:$C$24,2,0)</f>
        <v>1</v>
      </c>
      <c r="K201" s="2" t="s">
        <v>1169</v>
      </c>
      <c r="L201" s="28" t="s">
        <v>1166</v>
      </c>
      <c r="M201" s="20" t="s">
        <v>1175</v>
      </c>
      <c r="N201" s="47">
        <v>45485</v>
      </c>
      <c r="O201" s="20">
        <f>INDEX(Auxiliar!$D$5:$F$13,MATCH(Table1[[#This Row],[Tipologia_Testes]],Auxiliar!$B$5:$B$13,0),MATCH(Table1[[#This Row],[Complexidade]],Auxiliar!$D$4:$F$4,0))</f>
        <v>2</v>
      </c>
      <c r="P201" s="2" t="s">
        <v>1191</v>
      </c>
      <c r="Q201" s="2"/>
      <c r="R201" s="151">
        <v>45261</v>
      </c>
      <c r="S201" s="151"/>
      <c r="T201" s="151"/>
      <c r="U201" s="151"/>
      <c r="V201" s="151"/>
      <c r="W201" s="2">
        <f>VLOOKUP(Table1[[#This Row],[Status]],Auxiliar!$B$16:$D$24,3,0)*Table1[[#This Row],[Estimação (horas)]]</f>
        <v>2</v>
      </c>
      <c r="X201" s="165">
        <f>+VLOOKUP(CONCATENATE(Table1[[#This Row],[Tabela]],Table1[[#This Row],[Campo]]),'2. Status Detalhe Campos FY24'!A:J,9,FALSE)</f>
        <v>0</v>
      </c>
      <c r="Y201" s="491" t="e">
        <f>+VLOOKUP(A201,#REF!,1,FALSE)</f>
        <v>#REF!</v>
      </c>
    </row>
    <row r="202" spans="1:25" ht="17.899999999999999" hidden="1" customHeight="1">
      <c r="A202" t="str">
        <f>+Table1[[#This Row],[Tabela]]&amp;Table1[[#This Row],[Campo]]</f>
        <v>PROPERTY_ENERGY_CERTIFICATEPROPERTY_BRANCH_CODE</v>
      </c>
      <c r="B202" s="2" t="s">
        <v>26</v>
      </c>
      <c r="C202" s="2" t="s">
        <v>54</v>
      </c>
      <c r="D202" s="2" t="s">
        <v>124</v>
      </c>
      <c r="E202" s="2" t="s">
        <v>38</v>
      </c>
      <c r="F202" s="2" t="s">
        <v>123</v>
      </c>
      <c r="G202" s="2" t="s">
        <v>43</v>
      </c>
      <c r="H202" s="56" t="str">
        <f>Table1[[#This Row],[Tabela]]&amp;Table1[[#This Row],[Campo]]</f>
        <v>PROPERTY_ENERGY_CERTIFICATEPROPERTY_BRANCH_CODE</v>
      </c>
      <c r="I202" s="2" t="s">
        <v>612</v>
      </c>
      <c r="J202" s="42">
        <f>VLOOKUP(Table1[[#This Row],[Status]],Auxiliar!$B$16:$C$24,2,0)</f>
        <v>1</v>
      </c>
      <c r="K202" s="2" t="s">
        <v>1171</v>
      </c>
      <c r="L202" s="28" t="s">
        <v>1166</v>
      </c>
      <c r="M202" s="20" t="s">
        <v>1175</v>
      </c>
      <c r="N202" s="47">
        <v>45485</v>
      </c>
      <c r="O202" s="20">
        <f>INDEX(Auxiliar!$D$5:$F$13,MATCH(Table1[[#This Row],[Tipologia_Testes]],Auxiliar!$B$5:$B$13,0),MATCH(Table1[[#This Row],[Complexidade]],Auxiliar!$D$4:$F$4,0))</f>
        <v>0.1</v>
      </c>
      <c r="P202" s="2" t="s">
        <v>1191</v>
      </c>
      <c r="Q202" s="2"/>
      <c r="R202" s="151">
        <v>45261</v>
      </c>
      <c r="S202" s="151"/>
      <c r="T202" s="151"/>
      <c r="U202" s="151"/>
      <c r="V202" s="151"/>
      <c r="W202" s="2">
        <f>VLOOKUP(Table1[[#This Row],[Status]],Auxiliar!$B$16:$D$24,3,0)*Table1[[#This Row],[Estimação (horas)]]</f>
        <v>0.1</v>
      </c>
      <c r="X202" s="165">
        <f>+VLOOKUP(CONCATENATE(Table1[[#This Row],[Tabela]],Table1[[#This Row],[Campo]]),'2. Status Detalhe Campos FY24'!A:J,9,FALSE)</f>
        <v>0</v>
      </c>
      <c r="Y202" s="491" t="e">
        <f>+VLOOKUP(A202,#REF!,1,FALSE)</f>
        <v>#REF!</v>
      </c>
    </row>
    <row r="203" spans="1:25" ht="17.899999999999999" hidden="1" customHeight="1">
      <c r="A203" t="str">
        <f>+Table1[[#This Row],[Tabela]]&amp;Table1[[#This Row],[Campo]]</f>
        <v>PROPERTY_ENERGY_CERTIFICATEPROPERTY_CONTRACT_ID</v>
      </c>
      <c r="B203" s="2" t="s">
        <v>26</v>
      </c>
      <c r="C203" s="2" t="s">
        <v>54</v>
      </c>
      <c r="D203" s="2" t="s">
        <v>124</v>
      </c>
      <c r="E203" s="2" t="s">
        <v>38</v>
      </c>
      <c r="F203" s="2" t="s">
        <v>123</v>
      </c>
      <c r="G203" s="2" t="s">
        <v>44</v>
      </c>
      <c r="H203" s="56" t="str">
        <f>Table1[[#This Row],[Tabela]]&amp;Table1[[#This Row],[Campo]]</f>
        <v>PROPERTY_ENERGY_CERTIFICATEPROPERTY_CONTRACT_ID</v>
      </c>
      <c r="I203" s="2" t="s">
        <v>612</v>
      </c>
      <c r="J203" s="42">
        <f>VLOOKUP(Table1[[#This Row],[Status]],Auxiliar!$B$16:$C$24,2,0)</f>
        <v>1</v>
      </c>
      <c r="K203" s="2" t="s">
        <v>1168</v>
      </c>
      <c r="L203" s="28" t="s">
        <v>1166</v>
      </c>
      <c r="M203" s="20" t="s">
        <v>1175</v>
      </c>
      <c r="N203" s="47">
        <v>45485</v>
      </c>
      <c r="O203" s="20">
        <f>INDEX(Auxiliar!$D$5:$F$13,MATCH(Table1[[#This Row],[Tipologia_Testes]],Auxiliar!$B$5:$B$13,0),MATCH(Table1[[#This Row],[Complexidade]],Auxiliar!$D$4:$F$4,0))</f>
        <v>2</v>
      </c>
      <c r="P203" s="2" t="s">
        <v>1191</v>
      </c>
      <c r="Q203" s="2"/>
      <c r="R203" s="151">
        <v>45261</v>
      </c>
      <c r="S203" s="151"/>
      <c r="T203" s="151"/>
      <c r="U203" s="151"/>
      <c r="V203" s="151"/>
      <c r="W203" s="2">
        <f>VLOOKUP(Table1[[#This Row],[Status]],Auxiliar!$B$16:$D$24,3,0)*Table1[[#This Row],[Estimação (horas)]]</f>
        <v>2</v>
      </c>
      <c r="X203" s="165">
        <f>+VLOOKUP(CONCATENATE(Table1[[#This Row],[Tabela]],Table1[[#This Row],[Campo]]),'2. Status Detalhe Campos FY24'!A:J,9,FALSE)</f>
        <v>0</v>
      </c>
      <c r="Y203" s="491" t="e">
        <f>+VLOOKUP(A203,#REF!,1,FALSE)</f>
        <v>#REF!</v>
      </c>
    </row>
    <row r="204" spans="1:25" ht="17.899999999999999" hidden="1" customHeight="1">
      <c r="A204" t="str">
        <f>+Table1[[#This Row],[Tabela]]&amp;Table1[[#This Row],[Campo]]</f>
        <v>PROPERTY_ENERGY_CERTIFICATEPROPERTY_CONTRACT_ID</v>
      </c>
      <c r="B204" s="2" t="s">
        <v>26</v>
      </c>
      <c r="C204" s="2" t="s">
        <v>54</v>
      </c>
      <c r="D204" s="2" t="s">
        <v>124</v>
      </c>
      <c r="E204" s="2" t="s">
        <v>38</v>
      </c>
      <c r="F204" s="2" t="s">
        <v>123</v>
      </c>
      <c r="G204" s="2" t="s">
        <v>44</v>
      </c>
      <c r="H204" s="56" t="str">
        <f>Table1[[#This Row],[Tabela]]&amp;Table1[[#This Row],[Campo]]</f>
        <v>PROPERTY_ENERGY_CERTIFICATEPROPERTY_CONTRACT_ID</v>
      </c>
      <c r="I204" s="2" t="s">
        <v>612</v>
      </c>
      <c r="J204" s="42">
        <f>VLOOKUP(Table1[[#This Row],[Status]],Auxiliar!$B$16:$C$24,2,0)</f>
        <v>1</v>
      </c>
      <c r="K204" s="2" t="s">
        <v>1169</v>
      </c>
      <c r="L204" s="28" t="s">
        <v>1166</v>
      </c>
      <c r="M204" s="20" t="s">
        <v>1175</v>
      </c>
      <c r="N204" s="47">
        <v>45485</v>
      </c>
      <c r="O204" s="20">
        <f>INDEX(Auxiliar!$D$5:$F$13,MATCH(Table1[[#This Row],[Tipologia_Testes]],Auxiliar!$B$5:$B$13,0),MATCH(Table1[[#This Row],[Complexidade]],Auxiliar!$D$4:$F$4,0))</f>
        <v>2</v>
      </c>
      <c r="P204" s="2" t="s">
        <v>1191</v>
      </c>
      <c r="Q204" s="2"/>
      <c r="R204" s="151">
        <v>45261</v>
      </c>
      <c r="S204" s="151"/>
      <c r="T204" s="151"/>
      <c r="U204" s="151"/>
      <c r="V204" s="151"/>
      <c r="W204" s="2">
        <f>VLOOKUP(Table1[[#This Row],[Status]],Auxiliar!$B$16:$D$24,3,0)*Table1[[#This Row],[Estimação (horas)]]</f>
        <v>2</v>
      </c>
      <c r="X204" s="165">
        <f>+VLOOKUP(CONCATENATE(Table1[[#This Row],[Tabela]],Table1[[#This Row],[Campo]]),'2. Status Detalhe Campos FY24'!A:J,9,FALSE)</f>
        <v>0</v>
      </c>
      <c r="Y204" s="491" t="e">
        <f>+VLOOKUP(A204,#REF!,1,FALSE)</f>
        <v>#REF!</v>
      </c>
    </row>
    <row r="205" spans="1:25" ht="17.899999999999999" hidden="1" customHeight="1">
      <c r="A205" t="str">
        <f>+Table1[[#This Row],[Tabela]]&amp;Table1[[#This Row],[Campo]]</f>
        <v>PROPERTY_ENERGY_CERTIFICATEPROPERTY_CONTRACT_ID</v>
      </c>
      <c r="B205" s="2" t="s">
        <v>26</v>
      </c>
      <c r="C205" s="2" t="s">
        <v>54</v>
      </c>
      <c r="D205" s="2" t="s">
        <v>124</v>
      </c>
      <c r="E205" s="2" t="s">
        <v>38</v>
      </c>
      <c r="F205" s="2" t="s">
        <v>123</v>
      </c>
      <c r="G205" s="2" t="s">
        <v>44</v>
      </c>
      <c r="H205" s="56" t="str">
        <f>Table1[[#This Row],[Tabela]]&amp;Table1[[#This Row],[Campo]]</f>
        <v>PROPERTY_ENERGY_CERTIFICATEPROPERTY_CONTRACT_ID</v>
      </c>
      <c r="I205" s="2" t="s">
        <v>612</v>
      </c>
      <c r="J205" s="42">
        <f>VLOOKUP(Table1[[#This Row],[Status]],Auxiliar!$B$16:$C$24,2,0)</f>
        <v>1</v>
      </c>
      <c r="K205" s="2" t="s">
        <v>1171</v>
      </c>
      <c r="L205" s="28" t="s">
        <v>1166</v>
      </c>
      <c r="M205" s="20" t="s">
        <v>1175</v>
      </c>
      <c r="N205" s="47">
        <v>45485</v>
      </c>
      <c r="O205" s="20">
        <f>INDEX(Auxiliar!$D$5:$F$13,MATCH(Table1[[#This Row],[Tipologia_Testes]],Auxiliar!$B$5:$B$13,0),MATCH(Table1[[#This Row],[Complexidade]],Auxiliar!$D$4:$F$4,0))</f>
        <v>0.1</v>
      </c>
      <c r="P205" s="2" t="s">
        <v>1191</v>
      </c>
      <c r="Q205" s="2"/>
      <c r="R205" s="151">
        <v>45261</v>
      </c>
      <c r="S205" s="151"/>
      <c r="T205" s="151"/>
      <c r="U205" s="151"/>
      <c r="V205" s="151"/>
      <c r="W205" s="2">
        <f>VLOOKUP(Table1[[#This Row],[Status]],Auxiliar!$B$16:$D$24,3,0)*Table1[[#This Row],[Estimação (horas)]]</f>
        <v>0.1</v>
      </c>
      <c r="X205" s="165">
        <f>+VLOOKUP(CONCATENATE(Table1[[#This Row],[Tabela]],Table1[[#This Row],[Campo]]),'2. Status Detalhe Campos FY24'!A:J,9,FALSE)</f>
        <v>0</v>
      </c>
      <c r="Y205" s="491" t="e">
        <f>+VLOOKUP(A205,#REF!,1,FALSE)</f>
        <v>#REF!</v>
      </c>
    </row>
    <row r="206" spans="1:25" ht="17.899999999999999" hidden="1" customHeight="1">
      <c r="A206" t="str">
        <f>+Table1[[#This Row],[Tabela]]&amp;Table1[[#This Row],[Campo]]</f>
        <v>PROPERTY_ENERGY_CERTIFICATEPROPERTY_REFERENCE_CODE</v>
      </c>
      <c r="B206" s="2" t="s">
        <v>26</v>
      </c>
      <c r="C206" s="2" t="s">
        <v>54</v>
      </c>
      <c r="D206" s="2" t="s">
        <v>124</v>
      </c>
      <c r="E206" s="2" t="s">
        <v>38</v>
      </c>
      <c r="F206" s="2" t="s">
        <v>123</v>
      </c>
      <c r="G206" s="2" t="s">
        <v>45</v>
      </c>
      <c r="H206" s="56" t="str">
        <f>Table1[[#This Row],[Tabela]]&amp;Table1[[#This Row],[Campo]]</f>
        <v>PROPERTY_ENERGY_CERTIFICATEPROPERTY_REFERENCE_CODE</v>
      </c>
      <c r="I206" s="2" t="s">
        <v>612</v>
      </c>
      <c r="J206" s="42">
        <f>VLOOKUP(Table1[[#This Row],[Status]],Auxiliar!$B$16:$C$24,2,0)</f>
        <v>1</v>
      </c>
      <c r="K206" s="2" t="s">
        <v>1168</v>
      </c>
      <c r="L206" s="28" t="s">
        <v>1166</v>
      </c>
      <c r="M206" s="20" t="s">
        <v>1175</v>
      </c>
      <c r="N206" s="47">
        <v>45485</v>
      </c>
      <c r="O206" s="20">
        <f>INDEX(Auxiliar!$D$5:$F$13,MATCH(Table1[[#This Row],[Tipologia_Testes]],Auxiliar!$B$5:$B$13,0),MATCH(Table1[[#This Row],[Complexidade]],Auxiliar!$D$4:$F$4,0))</f>
        <v>2</v>
      </c>
      <c r="P206" s="2" t="s">
        <v>1191</v>
      </c>
      <c r="Q206" s="2"/>
      <c r="R206" s="151">
        <v>45261</v>
      </c>
      <c r="S206" s="151"/>
      <c r="T206" s="151"/>
      <c r="U206" s="151"/>
      <c r="V206" s="151"/>
      <c r="W206" s="2">
        <f>VLOOKUP(Table1[[#This Row],[Status]],Auxiliar!$B$16:$D$24,3,0)*Table1[[#This Row],[Estimação (horas)]]</f>
        <v>2</v>
      </c>
      <c r="X206" s="165">
        <f>+VLOOKUP(CONCATENATE(Table1[[#This Row],[Tabela]],Table1[[#This Row],[Campo]]),'2. Status Detalhe Campos FY24'!A:J,9,FALSE)</f>
        <v>0</v>
      </c>
      <c r="Y206" s="491" t="e">
        <f>+VLOOKUP(A206,#REF!,1,FALSE)</f>
        <v>#REF!</v>
      </c>
    </row>
    <row r="207" spans="1:25" ht="17.899999999999999" hidden="1" customHeight="1">
      <c r="A207" t="str">
        <f>+Table1[[#This Row],[Tabela]]&amp;Table1[[#This Row],[Campo]]</f>
        <v>PROPERTY_ENERGY_CERTIFICATEPROPERTY_REFERENCE_CODE</v>
      </c>
      <c r="B207" s="2" t="s">
        <v>26</v>
      </c>
      <c r="C207" s="2" t="s">
        <v>54</v>
      </c>
      <c r="D207" s="2" t="s">
        <v>124</v>
      </c>
      <c r="E207" s="2" t="s">
        <v>38</v>
      </c>
      <c r="F207" s="2" t="s">
        <v>123</v>
      </c>
      <c r="G207" s="2" t="s">
        <v>45</v>
      </c>
      <c r="H207" s="56" t="str">
        <f>Table1[[#This Row],[Tabela]]&amp;Table1[[#This Row],[Campo]]</f>
        <v>PROPERTY_ENERGY_CERTIFICATEPROPERTY_REFERENCE_CODE</v>
      </c>
      <c r="I207" s="2" t="s">
        <v>612</v>
      </c>
      <c r="J207" s="42">
        <f>VLOOKUP(Table1[[#This Row],[Status]],Auxiliar!$B$16:$C$24,2,0)</f>
        <v>1</v>
      </c>
      <c r="K207" s="2" t="s">
        <v>1169</v>
      </c>
      <c r="L207" s="28" t="s">
        <v>1166</v>
      </c>
      <c r="M207" s="20" t="s">
        <v>1175</v>
      </c>
      <c r="N207" s="47">
        <v>45485</v>
      </c>
      <c r="O207" s="20">
        <f>INDEX(Auxiliar!$D$5:$F$13,MATCH(Table1[[#This Row],[Tipologia_Testes]],Auxiliar!$B$5:$B$13,0),MATCH(Table1[[#This Row],[Complexidade]],Auxiliar!$D$4:$F$4,0))</f>
        <v>2</v>
      </c>
      <c r="P207" s="2" t="s">
        <v>1191</v>
      </c>
      <c r="Q207" s="2"/>
      <c r="R207" s="151">
        <v>45261</v>
      </c>
      <c r="S207" s="151"/>
      <c r="T207" s="151"/>
      <c r="U207" s="151"/>
      <c r="V207" s="151"/>
      <c r="W207" s="2">
        <f>VLOOKUP(Table1[[#This Row],[Status]],Auxiliar!$B$16:$D$24,3,0)*Table1[[#This Row],[Estimação (horas)]]</f>
        <v>2</v>
      </c>
      <c r="X207" s="165">
        <f>+VLOOKUP(CONCATENATE(Table1[[#This Row],[Tabela]],Table1[[#This Row],[Campo]]),'2. Status Detalhe Campos FY24'!A:J,9,FALSE)</f>
        <v>0</v>
      </c>
      <c r="Y207" s="491" t="e">
        <f>+VLOOKUP(A207,#REF!,1,FALSE)</f>
        <v>#REF!</v>
      </c>
    </row>
    <row r="208" spans="1:25" ht="17.899999999999999" hidden="1" customHeight="1">
      <c r="A208" t="str">
        <f>+Table1[[#This Row],[Tabela]]&amp;Table1[[#This Row],[Campo]]</f>
        <v>PROPERTY_ENERGY_CERTIFICATEPROPERTY_REFERENCE_CODE</v>
      </c>
      <c r="B208" s="2" t="s">
        <v>26</v>
      </c>
      <c r="C208" s="2" t="s">
        <v>54</v>
      </c>
      <c r="D208" s="2" t="s">
        <v>124</v>
      </c>
      <c r="E208" s="2" t="s">
        <v>38</v>
      </c>
      <c r="F208" s="2" t="s">
        <v>123</v>
      </c>
      <c r="G208" s="2" t="s">
        <v>45</v>
      </c>
      <c r="H208" s="56" t="str">
        <f>Table1[[#This Row],[Tabela]]&amp;Table1[[#This Row],[Campo]]</f>
        <v>PROPERTY_ENERGY_CERTIFICATEPROPERTY_REFERENCE_CODE</v>
      </c>
      <c r="I208" s="2" t="s">
        <v>612</v>
      </c>
      <c r="J208" s="42">
        <f>VLOOKUP(Table1[[#This Row],[Status]],Auxiliar!$B$16:$C$24,2,0)</f>
        <v>1</v>
      </c>
      <c r="K208" s="2" t="s">
        <v>1171</v>
      </c>
      <c r="L208" s="28" t="s">
        <v>1166</v>
      </c>
      <c r="M208" s="20" t="s">
        <v>1175</v>
      </c>
      <c r="N208" s="47">
        <v>45485</v>
      </c>
      <c r="O208" s="20">
        <f>INDEX(Auxiliar!$D$5:$F$13,MATCH(Table1[[#This Row],[Tipologia_Testes]],Auxiliar!$B$5:$B$13,0),MATCH(Table1[[#This Row],[Complexidade]],Auxiliar!$D$4:$F$4,0))</f>
        <v>0.1</v>
      </c>
      <c r="P208" s="2" t="s">
        <v>1191</v>
      </c>
      <c r="Q208" s="2"/>
      <c r="R208" s="151">
        <v>45261</v>
      </c>
      <c r="S208" s="151"/>
      <c r="T208" s="151"/>
      <c r="U208" s="151"/>
      <c r="V208" s="151"/>
      <c r="W208" s="2">
        <f>VLOOKUP(Table1[[#This Row],[Status]],Auxiliar!$B$16:$D$24,3,0)*Table1[[#This Row],[Estimação (horas)]]</f>
        <v>0.1</v>
      </c>
      <c r="X208" s="165">
        <f>+VLOOKUP(CONCATENATE(Table1[[#This Row],[Tabela]],Table1[[#This Row],[Campo]]),'2. Status Detalhe Campos FY24'!A:J,9,FALSE)</f>
        <v>0</v>
      </c>
      <c r="Y208" s="491" t="e">
        <f>+VLOOKUP(A208,#REF!,1,FALSE)</f>
        <v>#REF!</v>
      </c>
    </row>
    <row r="209" spans="1:25" ht="17.899999999999999" hidden="1" customHeight="1">
      <c r="A209" t="str">
        <f>+Table1[[#This Row],[Tabela]]&amp;Table1[[#This Row],[Campo]]</f>
        <v>PROPERTY_ENERGY_CERTIFICATELAND_REGISTRY_OFFICE_CODE</v>
      </c>
      <c r="B209" s="2" t="s">
        <v>26</v>
      </c>
      <c r="C209" s="2" t="s">
        <v>54</v>
      </c>
      <c r="D209" s="2" t="s">
        <v>124</v>
      </c>
      <c r="E209" s="2" t="s">
        <v>38</v>
      </c>
      <c r="F209" s="2" t="s">
        <v>123</v>
      </c>
      <c r="G209" s="2" t="s">
        <v>125</v>
      </c>
      <c r="H209" s="56" t="str">
        <f>Table1[[#This Row],[Tabela]]&amp;Table1[[#This Row],[Campo]]</f>
        <v>PROPERTY_ENERGY_CERTIFICATELAND_REGISTRY_OFFICE_CODE</v>
      </c>
      <c r="I209" s="2" t="s">
        <v>612</v>
      </c>
      <c r="J209" s="42">
        <f>VLOOKUP(Table1[[#This Row],[Status]],Auxiliar!$B$16:$C$24,2,0)</f>
        <v>1</v>
      </c>
      <c r="K209" s="2" t="s">
        <v>1168</v>
      </c>
      <c r="L209" s="28" t="s">
        <v>1166</v>
      </c>
      <c r="M209" s="20" t="s">
        <v>1175</v>
      </c>
      <c r="N209" s="47">
        <v>45612</v>
      </c>
      <c r="O209" s="20">
        <f>INDEX(Auxiliar!$D$5:$F$13,MATCH(Table1[[#This Row],[Tipologia_Testes]],Auxiliar!$B$5:$B$13,0),MATCH(Table1[[#This Row],[Complexidade]],Auxiliar!$D$4:$F$4,0))</f>
        <v>2</v>
      </c>
      <c r="P209" s="2"/>
      <c r="Q209" s="2"/>
      <c r="R209" s="151">
        <v>45616</v>
      </c>
      <c r="S209" s="151"/>
      <c r="T209" s="151"/>
      <c r="U209" s="151"/>
      <c r="V209" s="151">
        <v>45639</v>
      </c>
      <c r="W209" s="2">
        <f>VLOOKUP(Table1[[#This Row],[Status]],Auxiliar!$B$16:$D$24,3,0)*Table1[[#This Row],[Estimação (horas)]]</f>
        <v>2</v>
      </c>
      <c r="X209" s="165">
        <f>+VLOOKUP(CONCATENATE(Table1[[#This Row],[Tabela]],Table1[[#This Row],[Campo]]),'2. Status Detalhe Campos FY24'!A:J,9,FALSE)</f>
        <v>0</v>
      </c>
      <c r="Y209" s="491" t="e">
        <f>+VLOOKUP(A209,#REF!,1,FALSE)</f>
        <v>#REF!</v>
      </c>
    </row>
    <row r="210" spans="1:25" ht="17.899999999999999" hidden="1" customHeight="1">
      <c r="A210" t="str">
        <f>+Table1[[#This Row],[Tabela]]&amp;Table1[[#This Row],[Campo]]</f>
        <v>PROPERTY_ENERGY_CERTIFICATELAND_REGISTRY_OFFICE_CODE</v>
      </c>
      <c r="B210" s="2" t="s">
        <v>26</v>
      </c>
      <c r="C210" s="2" t="s">
        <v>54</v>
      </c>
      <c r="D210" s="2" t="s">
        <v>124</v>
      </c>
      <c r="E210" s="2" t="s">
        <v>38</v>
      </c>
      <c r="F210" s="2" t="s">
        <v>123</v>
      </c>
      <c r="G210" s="2" t="s">
        <v>125</v>
      </c>
      <c r="H210" s="56" t="str">
        <f>Table1[[#This Row],[Tabela]]&amp;Table1[[#This Row],[Campo]]</f>
        <v>PROPERTY_ENERGY_CERTIFICATELAND_REGISTRY_OFFICE_CODE</v>
      </c>
      <c r="I210" s="2" t="s">
        <v>612</v>
      </c>
      <c r="J210" s="42">
        <f>VLOOKUP(Table1[[#This Row],[Status]],Auxiliar!$B$16:$C$24,2,0)</f>
        <v>1</v>
      </c>
      <c r="K210" s="2" t="s">
        <v>1169</v>
      </c>
      <c r="L210" s="28" t="s">
        <v>1166</v>
      </c>
      <c r="M210" s="20" t="s">
        <v>1175</v>
      </c>
      <c r="N210" s="47">
        <v>45612</v>
      </c>
      <c r="O210" s="20">
        <f>INDEX(Auxiliar!$D$5:$F$13,MATCH(Table1[[#This Row],[Tipologia_Testes]],Auxiliar!$B$5:$B$13,0),MATCH(Table1[[#This Row],[Complexidade]],Auxiliar!$D$4:$F$4,0))</f>
        <v>2</v>
      </c>
      <c r="P210" s="2"/>
      <c r="Q210" s="2"/>
      <c r="R210" s="151">
        <v>45616</v>
      </c>
      <c r="S210" s="151"/>
      <c r="T210" s="151"/>
      <c r="U210" s="151"/>
      <c r="V210" s="151">
        <v>45639</v>
      </c>
      <c r="W210" s="2">
        <f>VLOOKUP(Table1[[#This Row],[Status]],Auxiliar!$B$16:$D$24,3,0)*Table1[[#This Row],[Estimação (horas)]]</f>
        <v>2</v>
      </c>
      <c r="X210" s="165">
        <f>+VLOOKUP(CONCATENATE(Table1[[#This Row],[Tabela]],Table1[[#This Row],[Campo]]),'2. Status Detalhe Campos FY24'!A:J,9,FALSE)</f>
        <v>0</v>
      </c>
      <c r="Y210" s="491" t="e">
        <f>+VLOOKUP(A210,#REF!,1,FALSE)</f>
        <v>#REF!</v>
      </c>
    </row>
    <row r="211" spans="1:25" ht="17.899999999999999" hidden="1" customHeight="1">
      <c r="A211" t="str">
        <f>+Table1[[#This Row],[Tabela]]&amp;Table1[[#This Row],[Campo]]</f>
        <v>PROPERTY_ENERGY_CERTIFICATELAND_REGISTRY_OFFICE_CODE</v>
      </c>
      <c r="B211" s="2" t="s">
        <v>26</v>
      </c>
      <c r="C211" s="2" t="s">
        <v>54</v>
      </c>
      <c r="D211" s="2" t="s">
        <v>124</v>
      </c>
      <c r="E211" s="2" t="s">
        <v>38</v>
      </c>
      <c r="F211" s="2" t="s">
        <v>123</v>
      </c>
      <c r="G211" s="2" t="s">
        <v>125</v>
      </c>
      <c r="H211" s="56" t="str">
        <f>Table1[[#This Row],[Tabela]]&amp;Table1[[#This Row],[Campo]]</f>
        <v>PROPERTY_ENERGY_CERTIFICATELAND_REGISTRY_OFFICE_CODE</v>
      </c>
      <c r="I211" s="2" t="s">
        <v>612</v>
      </c>
      <c r="J211" s="42">
        <f>VLOOKUP(Table1[[#This Row],[Status]],Auxiliar!$B$16:$C$24,2,0)</f>
        <v>1</v>
      </c>
      <c r="K211" s="2" t="s">
        <v>1171</v>
      </c>
      <c r="L211" s="28" t="s">
        <v>1166</v>
      </c>
      <c r="M211" s="20" t="s">
        <v>1175</v>
      </c>
      <c r="N211" s="47">
        <v>45612</v>
      </c>
      <c r="O211" s="20">
        <f>INDEX(Auxiliar!$D$5:$F$13,MATCH(Table1[[#This Row],[Tipologia_Testes]],Auxiliar!$B$5:$B$13,0),MATCH(Table1[[#This Row],[Complexidade]],Auxiliar!$D$4:$F$4,0))</f>
        <v>0.1</v>
      </c>
      <c r="P211" s="2"/>
      <c r="Q211" s="2"/>
      <c r="R211" s="151">
        <v>45616</v>
      </c>
      <c r="S211" s="151"/>
      <c r="T211" s="151"/>
      <c r="U211" s="151"/>
      <c r="V211" s="151">
        <v>45639</v>
      </c>
      <c r="W211" s="2">
        <f>VLOOKUP(Table1[[#This Row],[Status]],Auxiliar!$B$16:$D$24,3,0)*Table1[[#This Row],[Estimação (horas)]]</f>
        <v>0.1</v>
      </c>
      <c r="X211" s="165">
        <f>+VLOOKUP(CONCATENATE(Table1[[#This Row],[Tabela]],Table1[[#This Row],[Campo]]),'2. Status Detalhe Campos FY24'!A:J,9,FALSE)</f>
        <v>0</v>
      </c>
      <c r="Y211" s="491" t="e">
        <f>+VLOOKUP(A211,#REF!,1,FALSE)</f>
        <v>#REF!</v>
      </c>
    </row>
    <row r="212" spans="1:25" ht="17.899999999999999" hidden="1" customHeight="1">
      <c r="A212" t="str">
        <f>+Table1[[#This Row],[Tabela]]&amp;Table1[[#This Row],[Campo]]</f>
        <v>PROPERTY_ENERGY_CERTIFICATEPROPERTY_IDENTIFICATION_CODE</v>
      </c>
      <c r="B212" s="2" t="s">
        <v>26</v>
      </c>
      <c r="C212" s="2" t="s">
        <v>54</v>
      </c>
      <c r="D212" s="2" t="s">
        <v>124</v>
      </c>
      <c r="E212" s="2" t="s">
        <v>38</v>
      </c>
      <c r="F212" s="2" t="s">
        <v>123</v>
      </c>
      <c r="G212" s="2" t="s">
        <v>126</v>
      </c>
      <c r="H212" s="56" t="str">
        <f>Table1[[#This Row],[Tabela]]&amp;Table1[[#This Row],[Campo]]</f>
        <v>PROPERTY_ENERGY_CERTIFICATEPROPERTY_IDENTIFICATION_CODE</v>
      </c>
      <c r="I212" s="2" t="s">
        <v>612</v>
      </c>
      <c r="J212" s="42">
        <f>VLOOKUP(Table1[[#This Row],[Status]],Auxiliar!$B$16:$C$24,2,0)</f>
        <v>1</v>
      </c>
      <c r="K212" s="2" t="s">
        <v>1168</v>
      </c>
      <c r="L212" s="28" t="s">
        <v>1166</v>
      </c>
      <c r="M212" s="20" t="s">
        <v>1175</v>
      </c>
      <c r="N212" s="47">
        <v>45612</v>
      </c>
      <c r="O212" s="20">
        <f>INDEX(Auxiliar!$D$5:$F$13,MATCH(Table1[[#This Row],[Tipologia_Testes]],Auxiliar!$B$5:$B$13,0),MATCH(Table1[[#This Row],[Complexidade]],Auxiliar!$D$4:$F$4,0))</f>
        <v>2</v>
      </c>
      <c r="P212" s="2"/>
      <c r="Q212" s="2"/>
      <c r="R212" s="151">
        <v>45616</v>
      </c>
      <c r="S212" s="151"/>
      <c r="T212" s="151"/>
      <c r="U212" s="151"/>
      <c r="V212" s="151">
        <v>45639</v>
      </c>
      <c r="W212" s="2">
        <f>VLOOKUP(Table1[[#This Row],[Status]],Auxiliar!$B$16:$D$24,3,0)*Table1[[#This Row],[Estimação (horas)]]</f>
        <v>2</v>
      </c>
      <c r="X212" s="165">
        <f>+VLOOKUP(CONCATENATE(Table1[[#This Row],[Tabela]],Table1[[#This Row],[Campo]]),'2. Status Detalhe Campos FY24'!A:J,9,FALSE)</f>
        <v>0</v>
      </c>
      <c r="Y212" s="491" t="e">
        <f>+VLOOKUP(A212,#REF!,1,FALSE)</f>
        <v>#REF!</v>
      </c>
    </row>
    <row r="213" spans="1:25" ht="17.899999999999999" hidden="1" customHeight="1">
      <c r="A213" t="str">
        <f>+Table1[[#This Row],[Tabela]]&amp;Table1[[#This Row],[Campo]]</f>
        <v>PROPERTY_ENERGY_CERTIFICATEPROPERTY_IDENTIFICATION_CODE</v>
      </c>
      <c r="B213" s="2" t="s">
        <v>26</v>
      </c>
      <c r="C213" s="2" t="s">
        <v>54</v>
      </c>
      <c r="D213" s="2" t="s">
        <v>124</v>
      </c>
      <c r="E213" s="2" t="s">
        <v>38</v>
      </c>
      <c r="F213" s="2" t="s">
        <v>123</v>
      </c>
      <c r="G213" s="2" t="s">
        <v>126</v>
      </c>
      <c r="H213" s="56" t="str">
        <f>Table1[[#This Row],[Tabela]]&amp;Table1[[#This Row],[Campo]]</f>
        <v>PROPERTY_ENERGY_CERTIFICATEPROPERTY_IDENTIFICATION_CODE</v>
      </c>
      <c r="I213" s="2" t="s">
        <v>612</v>
      </c>
      <c r="J213" s="42">
        <f>VLOOKUP(Table1[[#This Row],[Status]],Auxiliar!$B$16:$C$24,2,0)</f>
        <v>1</v>
      </c>
      <c r="K213" s="2" t="s">
        <v>1169</v>
      </c>
      <c r="L213" s="28" t="s">
        <v>1166</v>
      </c>
      <c r="M213" s="20" t="s">
        <v>1175</v>
      </c>
      <c r="N213" s="47">
        <v>45612</v>
      </c>
      <c r="O213" s="20">
        <f>INDEX(Auxiliar!$D$5:$F$13,MATCH(Table1[[#This Row],[Tipologia_Testes]],Auxiliar!$B$5:$B$13,0),MATCH(Table1[[#This Row],[Complexidade]],Auxiliar!$D$4:$F$4,0))</f>
        <v>2</v>
      </c>
      <c r="P213" s="2"/>
      <c r="Q213" s="2"/>
      <c r="R213" s="151">
        <v>45616</v>
      </c>
      <c r="S213" s="151"/>
      <c r="T213" s="151"/>
      <c r="U213" s="151"/>
      <c r="V213" s="151">
        <v>45639</v>
      </c>
      <c r="W213" s="2">
        <f>VLOOKUP(Table1[[#This Row],[Status]],Auxiliar!$B$16:$D$24,3,0)*Table1[[#This Row],[Estimação (horas)]]</f>
        <v>2</v>
      </c>
      <c r="X213" s="165">
        <f>+VLOOKUP(CONCATENATE(Table1[[#This Row],[Tabela]],Table1[[#This Row],[Campo]]),'2. Status Detalhe Campos FY24'!A:J,9,FALSE)</f>
        <v>0</v>
      </c>
      <c r="Y213" s="491" t="e">
        <f>+VLOOKUP(A213,#REF!,1,FALSE)</f>
        <v>#REF!</v>
      </c>
    </row>
    <row r="214" spans="1:25" ht="17.899999999999999" hidden="1" customHeight="1">
      <c r="A214" t="str">
        <f>+Table1[[#This Row],[Tabela]]&amp;Table1[[#This Row],[Campo]]</f>
        <v>PROPERTY_ENERGY_CERTIFICATEPROPERTY_IDENTIFICATION_CODE</v>
      </c>
      <c r="B214" s="2" t="s">
        <v>26</v>
      </c>
      <c r="C214" s="2" t="s">
        <v>54</v>
      </c>
      <c r="D214" s="2" t="s">
        <v>124</v>
      </c>
      <c r="E214" s="2" t="s">
        <v>38</v>
      </c>
      <c r="F214" s="2" t="s">
        <v>123</v>
      </c>
      <c r="G214" s="2" t="s">
        <v>126</v>
      </c>
      <c r="H214" s="56" t="str">
        <f>Table1[[#This Row],[Tabela]]&amp;Table1[[#This Row],[Campo]]</f>
        <v>PROPERTY_ENERGY_CERTIFICATEPROPERTY_IDENTIFICATION_CODE</v>
      </c>
      <c r="I214" s="2" t="s">
        <v>612</v>
      </c>
      <c r="J214" s="42">
        <f>VLOOKUP(Table1[[#This Row],[Status]],Auxiliar!$B$16:$C$24,2,0)</f>
        <v>1</v>
      </c>
      <c r="K214" s="2" t="s">
        <v>1171</v>
      </c>
      <c r="L214" s="28" t="s">
        <v>1166</v>
      </c>
      <c r="M214" s="20" t="s">
        <v>1175</v>
      </c>
      <c r="N214" s="47">
        <v>45612</v>
      </c>
      <c r="O214" s="20">
        <f>INDEX(Auxiliar!$D$5:$F$13,MATCH(Table1[[#This Row],[Tipologia_Testes]],Auxiliar!$B$5:$B$13,0),MATCH(Table1[[#This Row],[Complexidade]],Auxiliar!$D$4:$F$4,0))</f>
        <v>0.1</v>
      </c>
      <c r="P214" s="2"/>
      <c r="Q214" s="2"/>
      <c r="R214" s="151">
        <v>45616</v>
      </c>
      <c r="S214" s="151"/>
      <c r="T214" s="151"/>
      <c r="U214" s="151"/>
      <c r="V214" s="151">
        <v>45639</v>
      </c>
      <c r="W214" s="2">
        <f>VLOOKUP(Table1[[#This Row],[Status]],Auxiliar!$B$16:$D$24,3,0)*Table1[[#This Row],[Estimação (horas)]]</f>
        <v>0.1</v>
      </c>
      <c r="X214" s="165">
        <f>+VLOOKUP(CONCATENATE(Table1[[#This Row],[Tabela]],Table1[[#This Row],[Campo]]),'2. Status Detalhe Campos FY24'!A:J,9,FALSE)</f>
        <v>0</v>
      </c>
      <c r="Y214" s="491" t="e">
        <f>+VLOOKUP(A214,#REF!,1,FALSE)</f>
        <v>#REF!</v>
      </c>
    </row>
    <row r="215" spans="1:25" ht="17.899999999999999" hidden="1" customHeight="1">
      <c r="A215" t="str">
        <f>+Table1[[#This Row],[Tabela]]&amp;Table1[[#This Row],[Campo]]</f>
        <v>PROPERTY_ENERGY_CERTIFICATEENERGY_CERTIFICATION_SYSTEM_CODE</v>
      </c>
      <c r="B215" s="2" t="s">
        <v>26</v>
      </c>
      <c r="C215" s="2" t="s">
        <v>54</v>
      </c>
      <c r="D215" s="2" t="s">
        <v>124</v>
      </c>
      <c r="E215" s="2" t="s">
        <v>38</v>
      </c>
      <c r="F215" s="2" t="s">
        <v>123</v>
      </c>
      <c r="G215" s="2" t="s">
        <v>127</v>
      </c>
      <c r="H215" s="56" t="str">
        <f>Table1[[#This Row],[Tabela]]&amp;Table1[[#This Row],[Campo]]</f>
        <v>PROPERTY_ENERGY_CERTIFICATEENERGY_CERTIFICATION_SYSTEM_CODE</v>
      </c>
      <c r="I215" s="2" t="s">
        <v>612</v>
      </c>
      <c r="J215" s="42">
        <f>VLOOKUP(Table1[[#This Row],[Status]],Auxiliar!$B$16:$C$24,2,0)</f>
        <v>1</v>
      </c>
      <c r="K215" s="2" t="s">
        <v>1168</v>
      </c>
      <c r="L215" s="28" t="s">
        <v>1166</v>
      </c>
      <c r="M215" s="20" t="s">
        <v>1175</v>
      </c>
      <c r="N215" s="47">
        <v>45612</v>
      </c>
      <c r="O215" s="20">
        <f>INDEX(Auxiliar!$D$5:$F$13,MATCH(Table1[[#This Row],[Tipologia_Testes]],Auxiliar!$B$5:$B$13,0),MATCH(Table1[[#This Row],[Complexidade]],Auxiliar!$D$4:$F$4,0))</f>
        <v>2</v>
      </c>
      <c r="P215" s="2"/>
      <c r="Q215" s="2"/>
      <c r="R215" s="151">
        <v>45616</v>
      </c>
      <c r="S215" s="151"/>
      <c r="T215" s="151"/>
      <c r="U215" s="151"/>
      <c r="V215" s="151">
        <v>45639</v>
      </c>
      <c r="W215" s="2">
        <f>VLOOKUP(Table1[[#This Row],[Status]],Auxiliar!$B$16:$D$24,3,0)*Table1[[#This Row],[Estimação (horas)]]</f>
        <v>2</v>
      </c>
      <c r="X215" s="165">
        <f>+VLOOKUP(CONCATENATE(Table1[[#This Row],[Tabela]],Table1[[#This Row],[Campo]]),'2. Status Detalhe Campos FY24'!A:J,9,FALSE)</f>
        <v>0</v>
      </c>
      <c r="Y215" s="491" t="e">
        <f>+VLOOKUP(A215,#REF!,1,FALSE)</f>
        <v>#REF!</v>
      </c>
    </row>
    <row r="216" spans="1:25" ht="17.899999999999999" hidden="1" customHeight="1">
      <c r="A216" t="str">
        <f>+Table1[[#This Row],[Tabela]]&amp;Table1[[#This Row],[Campo]]</f>
        <v>PROPERTY_ENERGY_CERTIFICATEENERGY_CERTIFICATION_SYSTEM_CODE</v>
      </c>
      <c r="B216" s="2" t="s">
        <v>26</v>
      </c>
      <c r="C216" s="2" t="s">
        <v>54</v>
      </c>
      <c r="D216" s="2" t="s">
        <v>124</v>
      </c>
      <c r="E216" s="2" t="s">
        <v>38</v>
      </c>
      <c r="F216" s="2" t="s">
        <v>123</v>
      </c>
      <c r="G216" s="2" t="s">
        <v>127</v>
      </c>
      <c r="H216" s="56" t="str">
        <f>Table1[[#This Row],[Tabela]]&amp;Table1[[#This Row],[Campo]]</f>
        <v>PROPERTY_ENERGY_CERTIFICATEENERGY_CERTIFICATION_SYSTEM_CODE</v>
      </c>
      <c r="I216" s="2" t="s">
        <v>612</v>
      </c>
      <c r="J216" s="42">
        <f>VLOOKUP(Table1[[#This Row],[Status]],Auxiliar!$B$16:$C$24,2,0)</f>
        <v>1</v>
      </c>
      <c r="K216" s="2" t="s">
        <v>1169</v>
      </c>
      <c r="L216" s="28" t="s">
        <v>1166</v>
      </c>
      <c r="M216" s="20" t="s">
        <v>1175</v>
      </c>
      <c r="N216" s="47">
        <v>45612</v>
      </c>
      <c r="O216" s="20">
        <f>INDEX(Auxiliar!$D$5:$F$13,MATCH(Table1[[#This Row],[Tipologia_Testes]],Auxiliar!$B$5:$B$13,0),MATCH(Table1[[#This Row],[Complexidade]],Auxiliar!$D$4:$F$4,0))</f>
        <v>2</v>
      </c>
      <c r="P216" s="2"/>
      <c r="Q216" s="2"/>
      <c r="R216" s="151">
        <v>45616</v>
      </c>
      <c r="S216" s="151"/>
      <c r="T216" s="151"/>
      <c r="U216" s="151"/>
      <c r="V216" s="151">
        <v>45639</v>
      </c>
      <c r="W216" s="2">
        <f>VLOOKUP(Table1[[#This Row],[Status]],Auxiliar!$B$16:$D$24,3,0)*Table1[[#This Row],[Estimação (horas)]]</f>
        <v>2</v>
      </c>
      <c r="X216" s="165">
        <f>+VLOOKUP(CONCATENATE(Table1[[#This Row],[Tabela]],Table1[[#This Row],[Campo]]),'2. Status Detalhe Campos FY24'!A:J,9,FALSE)</f>
        <v>0</v>
      </c>
      <c r="Y216" s="491" t="e">
        <f>+VLOOKUP(A216,#REF!,1,FALSE)</f>
        <v>#REF!</v>
      </c>
    </row>
    <row r="217" spans="1:25" ht="17.899999999999999" hidden="1" customHeight="1">
      <c r="A217" t="str">
        <f>+Table1[[#This Row],[Tabela]]&amp;Table1[[#This Row],[Campo]]</f>
        <v>PROPERTY_ENERGY_CERTIFICATEENERGY_CERTIFICATION_SYSTEM_CODE</v>
      </c>
      <c r="B217" s="2" t="s">
        <v>26</v>
      </c>
      <c r="C217" s="2" t="s">
        <v>54</v>
      </c>
      <c r="D217" s="2" t="s">
        <v>124</v>
      </c>
      <c r="E217" s="2" t="s">
        <v>38</v>
      </c>
      <c r="F217" s="2" t="s">
        <v>123</v>
      </c>
      <c r="G217" s="2" t="s">
        <v>127</v>
      </c>
      <c r="H217" s="56" t="str">
        <f>Table1[[#This Row],[Tabela]]&amp;Table1[[#This Row],[Campo]]</f>
        <v>PROPERTY_ENERGY_CERTIFICATEENERGY_CERTIFICATION_SYSTEM_CODE</v>
      </c>
      <c r="I217" s="2" t="s">
        <v>612</v>
      </c>
      <c r="J217" s="42">
        <f>VLOOKUP(Table1[[#This Row],[Status]],Auxiliar!$B$16:$C$24,2,0)</f>
        <v>1</v>
      </c>
      <c r="K217" s="2" t="s">
        <v>1171</v>
      </c>
      <c r="L217" s="28" t="s">
        <v>1166</v>
      </c>
      <c r="M217" s="20" t="s">
        <v>1175</v>
      </c>
      <c r="N217" s="47">
        <v>45612</v>
      </c>
      <c r="O217" s="20">
        <f>INDEX(Auxiliar!$D$5:$F$13,MATCH(Table1[[#This Row],[Tipologia_Testes]],Auxiliar!$B$5:$B$13,0),MATCH(Table1[[#This Row],[Complexidade]],Auxiliar!$D$4:$F$4,0))</f>
        <v>0.1</v>
      </c>
      <c r="P217" s="2"/>
      <c r="Q217" s="2"/>
      <c r="R217" s="151">
        <v>45616</v>
      </c>
      <c r="S217" s="151"/>
      <c r="T217" s="151"/>
      <c r="U217" s="151"/>
      <c r="V217" s="151">
        <v>45639</v>
      </c>
      <c r="W217" s="2">
        <f>VLOOKUP(Table1[[#This Row],[Status]],Auxiliar!$B$16:$D$24,3,0)*Table1[[#This Row],[Estimação (horas)]]</f>
        <v>0.1</v>
      </c>
      <c r="X217" s="165">
        <f>+VLOOKUP(CONCATENATE(Table1[[#This Row],[Tabela]],Table1[[#This Row],[Campo]]),'2. Status Detalhe Campos FY24'!A:J,9,FALSE)</f>
        <v>0</v>
      </c>
      <c r="Y217" s="491" t="e">
        <f>+VLOOKUP(A217,#REF!,1,FALSE)</f>
        <v>#REF!</v>
      </c>
    </row>
    <row r="218" spans="1:25" ht="17.899999999999999" hidden="1" customHeight="1">
      <c r="A218" t="str">
        <f>+Table1[[#This Row],[Tabela]]&amp;Table1[[#This Row],[Campo]]</f>
        <v>PROPERTY_ENERGY_CERTIFICATEEPC_ISSUING_DATE</v>
      </c>
      <c r="B218" s="2" t="s">
        <v>26</v>
      </c>
      <c r="C218" s="2" t="s">
        <v>54</v>
      </c>
      <c r="D218" s="2" t="s">
        <v>124</v>
      </c>
      <c r="E218" s="2" t="s">
        <v>38</v>
      </c>
      <c r="F218" s="2" t="s">
        <v>123</v>
      </c>
      <c r="G218" s="2" t="s">
        <v>128</v>
      </c>
      <c r="H218" s="56" t="str">
        <f>Table1[[#This Row],[Tabela]]&amp;Table1[[#This Row],[Campo]]</f>
        <v>PROPERTY_ENERGY_CERTIFICATEEPC_ISSUING_DATE</v>
      </c>
      <c r="I218" s="2" t="s">
        <v>612</v>
      </c>
      <c r="J218" s="42">
        <f>VLOOKUP(Table1[[#This Row],[Status]],Auxiliar!$B$16:$C$24,2,0)</f>
        <v>1</v>
      </c>
      <c r="K218" s="2" t="s">
        <v>1168</v>
      </c>
      <c r="L218" s="28" t="s">
        <v>1166</v>
      </c>
      <c r="M218" s="20" t="s">
        <v>1175</v>
      </c>
      <c r="N218" s="47">
        <v>45612</v>
      </c>
      <c r="O218" s="20">
        <f>INDEX(Auxiliar!$D$5:$F$13,MATCH(Table1[[#This Row],[Tipologia_Testes]],Auxiliar!$B$5:$B$13,0),MATCH(Table1[[#This Row],[Complexidade]],Auxiliar!$D$4:$F$4,0))</f>
        <v>2</v>
      </c>
      <c r="P218" s="2"/>
      <c r="Q218" s="2"/>
      <c r="R218" s="151">
        <v>45616</v>
      </c>
      <c r="S218" s="151"/>
      <c r="T218" s="151"/>
      <c r="U218" s="151"/>
      <c r="V218" s="151">
        <v>45639</v>
      </c>
      <c r="W218" s="2">
        <f>VLOOKUP(Table1[[#This Row],[Status]],Auxiliar!$B$16:$D$24,3,0)*Table1[[#This Row],[Estimação (horas)]]</f>
        <v>2</v>
      </c>
      <c r="X218" s="165">
        <f>+VLOOKUP(CONCATENATE(Table1[[#This Row],[Tabela]],Table1[[#This Row],[Campo]]),'2. Status Detalhe Campos FY24'!A:J,9,FALSE)</f>
        <v>0</v>
      </c>
      <c r="Y218" s="491" t="e">
        <f>+VLOOKUP(A218,#REF!,1,FALSE)</f>
        <v>#REF!</v>
      </c>
    </row>
    <row r="219" spans="1:25" ht="17.899999999999999" hidden="1" customHeight="1">
      <c r="A219" t="str">
        <f>+Table1[[#This Row],[Tabela]]&amp;Table1[[#This Row],[Campo]]</f>
        <v>PROPERTY_ENERGY_CERTIFICATEEPC_ISSUING_DATE</v>
      </c>
      <c r="B219" s="2" t="s">
        <v>26</v>
      </c>
      <c r="C219" s="2" t="s">
        <v>54</v>
      </c>
      <c r="D219" s="2" t="s">
        <v>124</v>
      </c>
      <c r="E219" s="2" t="s">
        <v>38</v>
      </c>
      <c r="F219" s="2" t="s">
        <v>123</v>
      </c>
      <c r="G219" s="2" t="s">
        <v>128</v>
      </c>
      <c r="H219" s="56" t="str">
        <f>Table1[[#This Row],[Tabela]]&amp;Table1[[#This Row],[Campo]]</f>
        <v>PROPERTY_ENERGY_CERTIFICATEEPC_ISSUING_DATE</v>
      </c>
      <c r="I219" s="2" t="s">
        <v>612</v>
      </c>
      <c r="J219" s="42">
        <f>VLOOKUP(Table1[[#This Row],[Status]],Auxiliar!$B$16:$C$24,2,0)</f>
        <v>1</v>
      </c>
      <c r="K219" s="2" t="s">
        <v>1169</v>
      </c>
      <c r="L219" s="28" t="s">
        <v>1166</v>
      </c>
      <c r="M219" s="20" t="s">
        <v>1175</v>
      </c>
      <c r="N219" s="47">
        <v>45612</v>
      </c>
      <c r="O219" s="20">
        <f>INDEX(Auxiliar!$D$5:$F$13,MATCH(Table1[[#This Row],[Tipologia_Testes]],Auxiliar!$B$5:$B$13,0),MATCH(Table1[[#This Row],[Complexidade]],Auxiliar!$D$4:$F$4,0))</f>
        <v>2</v>
      </c>
      <c r="P219" s="2"/>
      <c r="Q219" s="2"/>
      <c r="R219" s="151">
        <v>45616</v>
      </c>
      <c r="S219" s="151"/>
      <c r="T219" s="151"/>
      <c r="U219" s="151"/>
      <c r="V219" s="151">
        <v>45639</v>
      </c>
      <c r="W219" s="2">
        <f>VLOOKUP(Table1[[#This Row],[Status]],Auxiliar!$B$16:$D$24,3,0)*Table1[[#This Row],[Estimação (horas)]]</f>
        <v>2</v>
      </c>
      <c r="X219" s="165">
        <f>+VLOOKUP(CONCATENATE(Table1[[#This Row],[Tabela]],Table1[[#This Row],[Campo]]),'2. Status Detalhe Campos FY24'!A:J,9,FALSE)</f>
        <v>0</v>
      </c>
      <c r="Y219" s="491" t="e">
        <f>+VLOOKUP(A219,#REF!,1,FALSE)</f>
        <v>#REF!</v>
      </c>
    </row>
    <row r="220" spans="1:25" ht="17.899999999999999" hidden="1" customHeight="1">
      <c r="A220" t="str">
        <f>+Table1[[#This Row],[Tabela]]&amp;Table1[[#This Row],[Campo]]</f>
        <v>PROPERTY_ENERGY_CERTIFICATEEPC_ISSUING_DATE</v>
      </c>
      <c r="B220" s="2" t="s">
        <v>26</v>
      </c>
      <c r="C220" s="2" t="s">
        <v>54</v>
      </c>
      <c r="D220" s="2" t="s">
        <v>124</v>
      </c>
      <c r="E220" s="2" t="s">
        <v>38</v>
      </c>
      <c r="F220" s="2" t="s">
        <v>123</v>
      </c>
      <c r="G220" s="2" t="s">
        <v>128</v>
      </c>
      <c r="H220" s="56" t="str">
        <f>Table1[[#This Row],[Tabela]]&amp;Table1[[#This Row],[Campo]]</f>
        <v>PROPERTY_ENERGY_CERTIFICATEEPC_ISSUING_DATE</v>
      </c>
      <c r="I220" s="2" t="s">
        <v>612</v>
      </c>
      <c r="J220" s="42">
        <f>VLOOKUP(Table1[[#This Row],[Status]],Auxiliar!$B$16:$C$24,2,0)</f>
        <v>1</v>
      </c>
      <c r="K220" s="2" t="s">
        <v>1171</v>
      </c>
      <c r="L220" s="28" t="s">
        <v>1166</v>
      </c>
      <c r="M220" s="20" t="s">
        <v>1175</v>
      </c>
      <c r="N220" s="47">
        <v>45612</v>
      </c>
      <c r="O220" s="20">
        <f>INDEX(Auxiliar!$D$5:$F$13,MATCH(Table1[[#This Row],[Tipologia_Testes]],Auxiliar!$B$5:$B$13,0),MATCH(Table1[[#This Row],[Complexidade]],Auxiliar!$D$4:$F$4,0))</f>
        <v>0.1</v>
      </c>
      <c r="P220" s="2"/>
      <c r="Q220" s="2"/>
      <c r="R220" s="151">
        <v>45616</v>
      </c>
      <c r="S220" s="151"/>
      <c r="T220" s="151"/>
      <c r="U220" s="151"/>
      <c r="V220" s="151">
        <v>45639</v>
      </c>
      <c r="W220" s="2">
        <f>VLOOKUP(Table1[[#This Row],[Status]],Auxiliar!$B$16:$D$24,3,0)*Table1[[#This Row],[Estimação (horas)]]</f>
        <v>0.1</v>
      </c>
      <c r="X220" s="165">
        <f>+VLOOKUP(CONCATENATE(Table1[[#This Row],[Tabela]],Table1[[#This Row],[Campo]]),'2. Status Detalhe Campos FY24'!A:J,9,FALSE)</f>
        <v>0</v>
      </c>
      <c r="Y220" s="491" t="e">
        <f>+VLOOKUP(A220,#REF!,1,FALSE)</f>
        <v>#REF!</v>
      </c>
    </row>
    <row r="221" spans="1:25" ht="17.899999999999999" hidden="1" customHeight="1">
      <c r="A221" t="str">
        <f>+Table1[[#This Row],[Tabela]]&amp;Table1[[#This Row],[Campo]]</f>
        <v>PROPERTY_ENERGY_CERTIFICATEEPC_EXPIRATION_DATE</v>
      </c>
      <c r="B221" s="2" t="s">
        <v>26</v>
      </c>
      <c r="C221" s="2" t="s">
        <v>54</v>
      </c>
      <c r="D221" s="2" t="s">
        <v>124</v>
      </c>
      <c r="E221" s="2" t="s">
        <v>38</v>
      </c>
      <c r="F221" s="2" t="s">
        <v>123</v>
      </c>
      <c r="G221" s="2" t="s">
        <v>129</v>
      </c>
      <c r="H221" s="56" t="str">
        <f>Table1[[#This Row],[Tabela]]&amp;Table1[[#This Row],[Campo]]</f>
        <v>PROPERTY_ENERGY_CERTIFICATEEPC_EXPIRATION_DATE</v>
      </c>
      <c r="I221" s="2" t="s">
        <v>612</v>
      </c>
      <c r="J221" s="42">
        <f>VLOOKUP(Table1[[#This Row],[Status]],Auxiliar!$B$16:$C$24,2,0)</f>
        <v>1</v>
      </c>
      <c r="K221" s="2" t="s">
        <v>1168</v>
      </c>
      <c r="L221" s="28" t="s">
        <v>1166</v>
      </c>
      <c r="M221" s="20" t="s">
        <v>1175</v>
      </c>
      <c r="N221" s="47">
        <v>45612</v>
      </c>
      <c r="O221" s="20">
        <f>INDEX(Auxiliar!$D$5:$F$13,MATCH(Table1[[#This Row],[Tipologia_Testes]],Auxiliar!$B$5:$B$13,0),MATCH(Table1[[#This Row],[Complexidade]],Auxiliar!$D$4:$F$4,0))</f>
        <v>2</v>
      </c>
      <c r="P221" s="2"/>
      <c r="Q221" s="2"/>
      <c r="R221" s="151">
        <v>45616</v>
      </c>
      <c r="S221" s="151"/>
      <c r="T221" s="151"/>
      <c r="U221" s="151"/>
      <c r="V221" s="151">
        <v>45639</v>
      </c>
      <c r="W221" s="2">
        <f>VLOOKUP(Table1[[#This Row],[Status]],Auxiliar!$B$16:$D$24,3,0)*Table1[[#This Row],[Estimação (horas)]]</f>
        <v>2</v>
      </c>
      <c r="X221" s="165">
        <f>+VLOOKUP(CONCATENATE(Table1[[#This Row],[Tabela]],Table1[[#This Row],[Campo]]),'2. Status Detalhe Campos FY24'!A:J,9,FALSE)</f>
        <v>0</v>
      </c>
      <c r="Y221" s="491" t="e">
        <f>+VLOOKUP(A221,#REF!,1,FALSE)</f>
        <v>#REF!</v>
      </c>
    </row>
    <row r="222" spans="1:25" ht="17.899999999999999" hidden="1" customHeight="1">
      <c r="A222" t="str">
        <f>+Table1[[#This Row],[Tabela]]&amp;Table1[[#This Row],[Campo]]</f>
        <v>PROPERTY_ENERGY_CERTIFICATEEPC_EXPIRATION_DATE</v>
      </c>
      <c r="B222" s="2" t="s">
        <v>26</v>
      </c>
      <c r="C222" s="2" t="s">
        <v>54</v>
      </c>
      <c r="D222" s="2" t="s">
        <v>124</v>
      </c>
      <c r="E222" s="2" t="s">
        <v>38</v>
      </c>
      <c r="F222" s="2" t="s">
        <v>123</v>
      </c>
      <c r="G222" s="2" t="s">
        <v>129</v>
      </c>
      <c r="H222" s="56" t="str">
        <f>Table1[[#This Row],[Tabela]]&amp;Table1[[#This Row],[Campo]]</f>
        <v>PROPERTY_ENERGY_CERTIFICATEEPC_EXPIRATION_DATE</v>
      </c>
      <c r="I222" s="2" t="s">
        <v>612</v>
      </c>
      <c r="J222" s="42">
        <f>VLOOKUP(Table1[[#This Row],[Status]],Auxiliar!$B$16:$C$24,2,0)</f>
        <v>1</v>
      </c>
      <c r="K222" s="2" t="s">
        <v>1169</v>
      </c>
      <c r="L222" s="28" t="s">
        <v>1166</v>
      </c>
      <c r="M222" s="20" t="s">
        <v>1175</v>
      </c>
      <c r="N222" s="47">
        <v>45612</v>
      </c>
      <c r="O222" s="20">
        <f>INDEX(Auxiliar!$D$5:$F$13,MATCH(Table1[[#This Row],[Tipologia_Testes]],Auxiliar!$B$5:$B$13,0),MATCH(Table1[[#This Row],[Complexidade]],Auxiliar!$D$4:$F$4,0))</f>
        <v>2</v>
      </c>
      <c r="P222" s="2"/>
      <c r="Q222" s="2"/>
      <c r="R222" s="151">
        <v>45616</v>
      </c>
      <c r="S222" s="151"/>
      <c r="T222" s="151"/>
      <c r="U222" s="151"/>
      <c r="V222" s="151">
        <v>45639</v>
      </c>
      <c r="W222" s="2">
        <f>VLOOKUP(Table1[[#This Row],[Status]],Auxiliar!$B$16:$D$24,3,0)*Table1[[#This Row],[Estimação (horas)]]</f>
        <v>2</v>
      </c>
      <c r="X222" s="165">
        <f>+VLOOKUP(CONCATENATE(Table1[[#This Row],[Tabela]],Table1[[#This Row],[Campo]]),'2. Status Detalhe Campos FY24'!A:J,9,FALSE)</f>
        <v>0</v>
      </c>
      <c r="Y222" s="491" t="e">
        <f>+VLOOKUP(A222,#REF!,1,FALSE)</f>
        <v>#REF!</v>
      </c>
    </row>
    <row r="223" spans="1:25" ht="17.899999999999999" hidden="1" customHeight="1">
      <c r="A223" t="str">
        <f>+Table1[[#This Row],[Tabela]]&amp;Table1[[#This Row],[Campo]]</f>
        <v>PROPERTY_ENERGY_CERTIFICATEEPC_EXPIRATION_DATE</v>
      </c>
      <c r="B223" s="2" t="s">
        <v>26</v>
      </c>
      <c r="C223" s="2" t="s">
        <v>54</v>
      </c>
      <c r="D223" s="2" t="s">
        <v>124</v>
      </c>
      <c r="E223" s="2" t="s">
        <v>38</v>
      </c>
      <c r="F223" s="2" t="s">
        <v>123</v>
      </c>
      <c r="G223" s="2" t="s">
        <v>129</v>
      </c>
      <c r="H223" s="56" t="str">
        <f>Table1[[#This Row],[Tabela]]&amp;Table1[[#This Row],[Campo]]</f>
        <v>PROPERTY_ENERGY_CERTIFICATEEPC_EXPIRATION_DATE</v>
      </c>
      <c r="I223" s="2" t="s">
        <v>612</v>
      </c>
      <c r="J223" s="42">
        <f>VLOOKUP(Table1[[#This Row],[Status]],Auxiliar!$B$16:$C$24,2,0)</f>
        <v>1</v>
      </c>
      <c r="K223" s="2" t="s">
        <v>1171</v>
      </c>
      <c r="L223" s="28" t="s">
        <v>1166</v>
      </c>
      <c r="M223" s="20" t="s">
        <v>1175</v>
      </c>
      <c r="N223" s="47">
        <v>45612</v>
      </c>
      <c r="O223" s="20">
        <f>INDEX(Auxiliar!$D$5:$F$13,MATCH(Table1[[#This Row],[Tipologia_Testes]],Auxiliar!$B$5:$B$13,0),MATCH(Table1[[#This Row],[Complexidade]],Auxiliar!$D$4:$F$4,0))</f>
        <v>0.1</v>
      </c>
      <c r="P223" s="2"/>
      <c r="Q223" s="2"/>
      <c r="R223" s="151">
        <v>45616</v>
      </c>
      <c r="S223" s="151"/>
      <c r="T223" s="151"/>
      <c r="U223" s="151"/>
      <c r="V223" s="151">
        <v>45639</v>
      </c>
      <c r="W223" s="2">
        <f>VLOOKUP(Table1[[#This Row],[Status]],Auxiliar!$B$16:$D$24,3,0)*Table1[[#This Row],[Estimação (horas)]]</f>
        <v>0.1</v>
      </c>
      <c r="X223" s="165">
        <f>+VLOOKUP(CONCATENATE(Table1[[#This Row],[Tabela]],Table1[[#This Row],[Campo]]),'2. Status Detalhe Campos FY24'!A:J,9,FALSE)</f>
        <v>0</v>
      </c>
      <c r="Y223" s="491" t="e">
        <f>+VLOOKUP(A223,#REF!,1,FALSE)</f>
        <v>#REF!</v>
      </c>
    </row>
    <row r="224" spans="1:25" ht="17.899999999999999" hidden="1" customHeight="1">
      <c r="A224" t="str">
        <f>+Table1[[#This Row],[Tabela]]&amp;Table1[[#This Row],[Campo]]</f>
        <v>PROPERTY_ENERGY_CERTIFICATEEPC</v>
      </c>
      <c r="B224" s="2" t="s">
        <v>26</v>
      </c>
      <c r="C224" s="2" t="s">
        <v>54</v>
      </c>
      <c r="D224" s="2" t="s">
        <v>124</v>
      </c>
      <c r="E224" s="2" t="s">
        <v>38</v>
      </c>
      <c r="F224" s="2" t="s">
        <v>123</v>
      </c>
      <c r="G224" s="2" t="s">
        <v>47</v>
      </c>
      <c r="H224" s="56" t="str">
        <f>Table1[[#This Row],[Tabela]]&amp;Table1[[#This Row],[Campo]]</f>
        <v>PROPERTY_ENERGY_CERTIFICATEEPC</v>
      </c>
      <c r="I224" s="2" t="s">
        <v>612</v>
      </c>
      <c r="J224" s="42">
        <f>VLOOKUP(Table1[[#This Row],[Status]],Auxiliar!$B$16:$C$24,2,0)</f>
        <v>1</v>
      </c>
      <c r="K224" s="2" t="s">
        <v>1168</v>
      </c>
      <c r="L224" s="28" t="s">
        <v>1166</v>
      </c>
      <c r="M224" s="20" t="s">
        <v>1175</v>
      </c>
      <c r="N224" s="47">
        <v>45723</v>
      </c>
      <c r="O224" s="20">
        <f>INDEX(Auxiliar!$D$5:$F$13,MATCH(Table1[[#This Row],[Tipologia_Testes]],Auxiliar!$B$5:$B$13,0),MATCH(Table1[[#This Row],[Complexidade]],Auxiliar!$D$4:$F$4,0))</f>
        <v>2</v>
      </c>
      <c r="P224" s="2"/>
      <c r="Q224" s="2"/>
      <c r="R224" s="151">
        <v>45616</v>
      </c>
      <c r="S224" s="151"/>
      <c r="T224" s="151"/>
      <c r="U224" s="151"/>
      <c r="V224" s="151">
        <v>45639</v>
      </c>
      <c r="W224" s="2">
        <f>VLOOKUP(Table1[[#This Row],[Status]],Auxiliar!$B$16:$D$24,3,0)*Table1[[#This Row],[Estimação (horas)]]</f>
        <v>2</v>
      </c>
      <c r="X224" s="165">
        <f>+VLOOKUP(CONCATENATE(Table1[[#This Row],[Tabela]],Table1[[#This Row],[Campo]]),'2. Status Detalhe Campos FY24'!A:J,9,FALSE)</f>
        <v>0</v>
      </c>
      <c r="Y224" s="491" t="e">
        <f>+VLOOKUP(A224,#REF!,1,FALSE)</f>
        <v>#REF!</v>
      </c>
    </row>
    <row r="225" spans="1:25" ht="17.899999999999999" hidden="1" customHeight="1">
      <c r="A225" t="str">
        <f>+Table1[[#This Row],[Tabela]]&amp;Table1[[#This Row],[Campo]]</f>
        <v>PROPERTY_ENERGY_CERTIFICATEEPC</v>
      </c>
      <c r="B225" s="2" t="s">
        <v>26</v>
      </c>
      <c r="C225" s="2" t="s">
        <v>54</v>
      </c>
      <c r="D225" s="2" t="s">
        <v>124</v>
      </c>
      <c r="E225" s="2" t="s">
        <v>38</v>
      </c>
      <c r="F225" s="2" t="s">
        <v>123</v>
      </c>
      <c r="G225" s="2" t="s">
        <v>47</v>
      </c>
      <c r="H225" s="56" t="str">
        <f>Table1[[#This Row],[Tabela]]&amp;Table1[[#This Row],[Campo]]</f>
        <v>PROPERTY_ENERGY_CERTIFICATEEPC</v>
      </c>
      <c r="I225" s="2" t="s">
        <v>612</v>
      </c>
      <c r="J225" s="42">
        <f>VLOOKUP(Table1[[#This Row],[Status]],Auxiliar!$B$16:$C$24,2,0)</f>
        <v>1</v>
      </c>
      <c r="K225" s="2" t="s">
        <v>1169</v>
      </c>
      <c r="L225" s="28" t="s">
        <v>1166</v>
      </c>
      <c r="M225" s="20" t="s">
        <v>1175</v>
      </c>
      <c r="N225" s="47">
        <v>45723</v>
      </c>
      <c r="O225" s="20">
        <f>INDEX(Auxiliar!$D$5:$F$13,MATCH(Table1[[#This Row],[Tipologia_Testes]],Auxiliar!$B$5:$B$13,0),MATCH(Table1[[#This Row],[Complexidade]],Auxiliar!$D$4:$F$4,0))</f>
        <v>2</v>
      </c>
      <c r="P225" s="2"/>
      <c r="Q225" s="2"/>
      <c r="R225" s="151">
        <v>45616</v>
      </c>
      <c r="S225" s="151"/>
      <c r="T225" s="151"/>
      <c r="U225" s="151"/>
      <c r="V225" s="151">
        <v>45639</v>
      </c>
      <c r="W225" s="2">
        <f>VLOOKUP(Table1[[#This Row],[Status]],Auxiliar!$B$16:$D$24,3,0)*Table1[[#This Row],[Estimação (horas)]]</f>
        <v>2</v>
      </c>
      <c r="X225" s="165">
        <f>+VLOOKUP(CONCATENATE(Table1[[#This Row],[Tabela]],Table1[[#This Row],[Campo]]),'2. Status Detalhe Campos FY24'!A:J,9,FALSE)</f>
        <v>0</v>
      </c>
      <c r="Y225" s="491" t="e">
        <f>+VLOOKUP(A225,#REF!,1,FALSE)</f>
        <v>#REF!</v>
      </c>
    </row>
    <row r="226" spans="1:25" ht="17.899999999999999" hidden="1" customHeight="1">
      <c r="A226" t="str">
        <f>+Table1[[#This Row],[Tabela]]&amp;Table1[[#This Row],[Campo]]</f>
        <v>PROPERTY_ENERGY_CERTIFICATEEPC</v>
      </c>
      <c r="B226" s="2" t="s">
        <v>26</v>
      </c>
      <c r="C226" s="2" t="s">
        <v>54</v>
      </c>
      <c r="D226" s="2" t="s">
        <v>124</v>
      </c>
      <c r="E226" s="2" t="s">
        <v>38</v>
      </c>
      <c r="F226" s="2" t="s">
        <v>123</v>
      </c>
      <c r="G226" s="2" t="s">
        <v>47</v>
      </c>
      <c r="H226" s="56" t="str">
        <f>Table1[[#This Row],[Tabela]]&amp;Table1[[#This Row],[Campo]]</f>
        <v>PROPERTY_ENERGY_CERTIFICATEEPC</v>
      </c>
      <c r="I226" s="2" t="s">
        <v>612</v>
      </c>
      <c r="J226" s="42">
        <f>VLOOKUP(Table1[[#This Row],[Status]],Auxiliar!$B$16:$C$24,2,0)</f>
        <v>1</v>
      </c>
      <c r="K226" s="2" t="s">
        <v>1171</v>
      </c>
      <c r="L226" s="28" t="s">
        <v>1166</v>
      </c>
      <c r="M226" s="20" t="s">
        <v>1175</v>
      </c>
      <c r="N226" s="47">
        <v>45723</v>
      </c>
      <c r="O226" s="20">
        <f>INDEX(Auxiliar!$D$5:$F$13,MATCH(Table1[[#This Row],[Tipologia_Testes]],Auxiliar!$B$5:$B$13,0),MATCH(Table1[[#This Row],[Complexidade]],Auxiliar!$D$4:$F$4,0))</f>
        <v>0.1</v>
      </c>
      <c r="P226" s="2"/>
      <c r="Q226" s="2"/>
      <c r="R226" s="151">
        <v>45616</v>
      </c>
      <c r="S226" s="151"/>
      <c r="T226" s="151"/>
      <c r="U226" s="151"/>
      <c r="V226" s="151">
        <v>45639</v>
      </c>
      <c r="W226" s="2">
        <f>VLOOKUP(Table1[[#This Row],[Status]],Auxiliar!$B$16:$D$24,3,0)*Table1[[#This Row],[Estimação (horas)]]</f>
        <v>0.1</v>
      </c>
      <c r="X226" s="165">
        <f>+VLOOKUP(CONCATENATE(Table1[[#This Row],[Tabela]],Table1[[#This Row],[Campo]]),'2. Status Detalhe Campos FY24'!A:J,9,FALSE)</f>
        <v>0</v>
      </c>
      <c r="Y226" s="491" t="e">
        <f>+VLOOKUP(A226,#REF!,1,FALSE)</f>
        <v>#REF!</v>
      </c>
    </row>
    <row r="227" spans="1:25" ht="17.899999999999999" hidden="1" customHeight="1">
      <c r="A227" t="str">
        <f>+Table1[[#This Row],[Tabela]]&amp;Table1[[#This Row],[Campo]]</f>
        <v>PROPERTY_ENERGY_CERTIFICATEENERGY_CONSUMPTION_TYPE_S_IND</v>
      </c>
      <c r="B227" s="2" t="s">
        <v>26</v>
      </c>
      <c r="C227" s="2" t="s">
        <v>54</v>
      </c>
      <c r="D227" s="2" t="s">
        <v>124</v>
      </c>
      <c r="E227" s="2" t="s">
        <v>38</v>
      </c>
      <c r="F227" s="2" t="s">
        <v>123</v>
      </c>
      <c r="G227" s="2" t="s">
        <v>130</v>
      </c>
      <c r="H227" s="56" t="str">
        <f>Table1[[#This Row],[Tabela]]&amp;Table1[[#This Row],[Campo]]</f>
        <v>PROPERTY_ENERGY_CERTIFICATEENERGY_CONSUMPTION_TYPE_S_IND</v>
      </c>
      <c r="I227" s="2" t="s">
        <v>612</v>
      </c>
      <c r="J227" s="42">
        <f>VLOOKUP(Table1[[#This Row],[Status]],Auxiliar!$B$16:$C$24,2,0)</f>
        <v>1</v>
      </c>
      <c r="K227" s="2" t="s">
        <v>1168</v>
      </c>
      <c r="L227" s="28" t="s">
        <v>1166</v>
      </c>
      <c r="M227" s="20" t="s">
        <v>1175</v>
      </c>
      <c r="N227" s="47">
        <v>45485</v>
      </c>
      <c r="O227" s="20">
        <f>INDEX(Auxiliar!$D$5:$F$13,MATCH(Table1[[#This Row],[Tipologia_Testes]],Auxiliar!$B$5:$B$13,0),MATCH(Table1[[#This Row],[Complexidade]],Auxiliar!$D$4:$F$4,0))</f>
        <v>2</v>
      </c>
      <c r="P227" s="2" t="s">
        <v>1192</v>
      </c>
      <c r="Q227" s="2"/>
      <c r="R227" s="151">
        <v>45261</v>
      </c>
      <c r="S227" s="151"/>
      <c r="T227" s="151"/>
      <c r="U227" s="151"/>
      <c r="V227" s="151"/>
      <c r="W227" s="2">
        <f>VLOOKUP(Table1[[#This Row],[Status]],Auxiliar!$B$16:$D$24,3,0)*Table1[[#This Row],[Estimação (horas)]]</f>
        <v>2</v>
      </c>
      <c r="X227" s="165">
        <f>+VLOOKUP(CONCATENATE(Table1[[#This Row],[Tabela]],Table1[[#This Row],[Campo]]),'2. Status Detalhe Campos FY24'!A:J,9,FALSE)</f>
        <v>0</v>
      </c>
      <c r="Y227" s="491" t="e">
        <f>+VLOOKUP(A227,#REF!,1,FALSE)</f>
        <v>#REF!</v>
      </c>
    </row>
    <row r="228" spans="1:25" ht="17.899999999999999" hidden="1" customHeight="1">
      <c r="A228" t="str">
        <f>+Table1[[#This Row],[Tabela]]&amp;Table1[[#This Row],[Campo]]</f>
        <v>PROPERTY_ENERGY_CERTIFICATEENERGY_CONSUMPTION_TYPE_S_IND</v>
      </c>
      <c r="B228" s="2" t="s">
        <v>26</v>
      </c>
      <c r="C228" s="2" t="s">
        <v>54</v>
      </c>
      <c r="D228" s="2" t="s">
        <v>124</v>
      </c>
      <c r="E228" s="2" t="s">
        <v>38</v>
      </c>
      <c r="F228" s="2" t="s">
        <v>123</v>
      </c>
      <c r="G228" s="2" t="s">
        <v>130</v>
      </c>
      <c r="H228" s="56" t="str">
        <f>Table1[[#This Row],[Tabela]]&amp;Table1[[#This Row],[Campo]]</f>
        <v>PROPERTY_ENERGY_CERTIFICATEENERGY_CONSUMPTION_TYPE_S_IND</v>
      </c>
      <c r="I228" s="2" t="s">
        <v>612</v>
      </c>
      <c r="J228" s="42">
        <f>VLOOKUP(Table1[[#This Row],[Status]],Auxiliar!$B$16:$C$24,2,0)</f>
        <v>1</v>
      </c>
      <c r="K228" s="2" t="s">
        <v>1169</v>
      </c>
      <c r="L228" s="28" t="s">
        <v>1166</v>
      </c>
      <c r="M228" s="20" t="s">
        <v>1175</v>
      </c>
      <c r="N228" s="47">
        <v>45485</v>
      </c>
      <c r="O228" s="20">
        <f>INDEX(Auxiliar!$D$5:$F$13,MATCH(Table1[[#This Row],[Tipologia_Testes]],Auxiliar!$B$5:$B$13,0),MATCH(Table1[[#This Row],[Complexidade]],Auxiliar!$D$4:$F$4,0))</f>
        <v>2</v>
      </c>
      <c r="P228" s="2" t="s">
        <v>1192</v>
      </c>
      <c r="Q228" s="2"/>
      <c r="R228" s="151">
        <v>45261</v>
      </c>
      <c r="S228" s="151"/>
      <c r="T228" s="151"/>
      <c r="U228" s="151"/>
      <c r="V228" s="151"/>
      <c r="W228" s="2">
        <f>VLOOKUP(Table1[[#This Row],[Status]],Auxiliar!$B$16:$D$24,3,0)*Table1[[#This Row],[Estimação (horas)]]</f>
        <v>2</v>
      </c>
      <c r="X228" s="165">
        <f>+VLOOKUP(CONCATENATE(Table1[[#This Row],[Tabela]],Table1[[#This Row],[Campo]]),'2. Status Detalhe Campos FY24'!A:J,9,FALSE)</f>
        <v>0</v>
      </c>
      <c r="Y228" s="491" t="e">
        <f>+VLOOKUP(A228,#REF!,1,FALSE)</f>
        <v>#REF!</v>
      </c>
    </row>
    <row r="229" spans="1:25" ht="17.899999999999999" hidden="1" customHeight="1">
      <c r="A229" t="str">
        <f>+Table1[[#This Row],[Tabela]]&amp;Table1[[#This Row],[Campo]]</f>
        <v>PROPERTY_ENERGY_CERTIFICATEENERGY_CONSUMPTION_TYPE_S_IND</v>
      </c>
      <c r="B229" s="2" t="s">
        <v>26</v>
      </c>
      <c r="C229" s="2" t="s">
        <v>54</v>
      </c>
      <c r="D229" s="2" t="s">
        <v>124</v>
      </c>
      <c r="E229" s="2" t="s">
        <v>38</v>
      </c>
      <c r="F229" s="2" t="s">
        <v>123</v>
      </c>
      <c r="G229" s="2" t="s">
        <v>130</v>
      </c>
      <c r="H229" s="56" t="str">
        <f>Table1[[#This Row],[Tabela]]&amp;Table1[[#This Row],[Campo]]</f>
        <v>PROPERTY_ENERGY_CERTIFICATEENERGY_CONSUMPTION_TYPE_S_IND</v>
      </c>
      <c r="I229" s="2" t="s">
        <v>612</v>
      </c>
      <c r="J229" s="42">
        <f>VLOOKUP(Table1[[#This Row],[Status]],Auxiliar!$B$16:$C$24,2,0)</f>
        <v>1</v>
      </c>
      <c r="K229" s="2" t="s">
        <v>1171</v>
      </c>
      <c r="L229" s="28" t="s">
        <v>1166</v>
      </c>
      <c r="M229" s="20" t="s">
        <v>1175</v>
      </c>
      <c r="N229" s="47">
        <v>45485</v>
      </c>
      <c r="O229" s="20">
        <f>INDEX(Auxiliar!$D$5:$F$13,MATCH(Table1[[#This Row],[Tipologia_Testes]],Auxiliar!$B$5:$B$13,0),MATCH(Table1[[#This Row],[Complexidade]],Auxiliar!$D$4:$F$4,0))</f>
        <v>0.1</v>
      </c>
      <c r="P229" s="2" t="s">
        <v>1192</v>
      </c>
      <c r="Q229" s="2"/>
      <c r="R229" s="151">
        <v>45261</v>
      </c>
      <c r="S229" s="151"/>
      <c r="T229" s="151"/>
      <c r="U229" s="151"/>
      <c r="V229" s="151"/>
      <c r="W229" s="2">
        <f>VLOOKUP(Table1[[#This Row],[Status]],Auxiliar!$B$16:$D$24,3,0)*Table1[[#This Row],[Estimação (horas)]]</f>
        <v>0.1</v>
      </c>
      <c r="X229" s="165">
        <f>+VLOOKUP(CONCATENATE(Table1[[#This Row],[Tabela]],Table1[[#This Row],[Campo]]),'2. Status Detalhe Campos FY24'!A:J,9,FALSE)</f>
        <v>0</v>
      </c>
      <c r="Y229" s="491" t="e">
        <f>+VLOOKUP(A229,#REF!,1,FALSE)</f>
        <v>#REF!</v>
      </c>
    </row>
    <row r="230" spans="1:25" ht="17.899999999999999" hidden="1" customHeight="1">
      <c r="A230" t="str">
        <f>+Table1[[#This Row],[Tabela]]&amp;Table1[[#This Row],[Campo]]</f>
        <v>PROPERTY_ENERGY_CERTIFICATEENERGY_CONSUMPTION_TYPE_T_IND</v>
      </c>
      <c r="B230" s="2" t="s">
        <v>26</v>
      </c>
      <c r="C230" s="2" t="s">
        <v>54</v>
      </c>
      <c r="D230" s="2" t="s">
        <v>124</v>
      </c>
      <c r="E230" s="2" t="s">
        <v>38</v>
      </c>
      <c r="F230" s="2" t="s">
        <v>123</v>
      </c>
      <c r="G230" s="2" t="s">
        <v>131</v>
      </c>
      <c r="H230" s="56" t="str">
        <f>Table1[[#This Row],[Tabela]]&amp;Table1[[#This Row],[Campo]]</f>
        <v>PROPERTY_ENERGY_CERTIFICATEENERGY_CONSUMPTION_TYPE_T_IND</v>
      </c>
      <c r="I230" s="2" t="s">
        <v>612</v>
      </c>
      <c r="J230" s="42">
        <f>VLOOKUP(Table1[[#This Row],[Status]],Auxiliar!$B$16:$C$24,2,0)</f>
        <v>1</v>
      </c>
      <c r="K230" s="2" t="s">
        <v>1168</v>
      </c>
      <c r="L230" s="28" t="s">
        <v>1166</v>
      </c>
      <c r="M230" s="20" t="s">
        <v>1175</v>
      </c>
      <c r="N230" s="47">
        <v>45485</v>
      </c>
      <c r="O230" s="20">
        <f>INDEX(Auxiliar!$D$5:$F$13,MATCH(Table1[[#This Row],[Tipologia_Testes]],Auxiliar!$B$5:$B$13,0),MATCH(Table1[[#This Row],[Complexidade]],Auxiliar!$D$4:$F$4,0))</f>
        <v>2</v>
      </c>
      <c r="P230" s="2" t="s">
        <v>1192</v>
      </c>
      <c r="Q230" s="2"/>
      <c r="R230" s="151">
        <v>45261</v>
      </c>
      <c r="S230" s="151"/>
      <c r="T230" s="151"/>
      <c r="U230" s="151"/>
      <c r="V230" s="151"/>
      <c r="W230" s="2">
        <f>VLOOKUP(Table1[[#This Row],[Status]],Auxiliar!$B$16:$D$24,3,0)*Table1[[#This Row],[Estimação (horas)]]</f>
        <v>2</v>
      </c>
      <c r="X230" s="165">
        <f>+VLOOKUP(CONCATENATE(Table1[[#This Row],[Tabela]],Table1[[#This Row],[Campo]]),'2. Status Detalhe Campos FY24'!A:J,9,FALSE)</f>
        <v>0</v>
      </c>
      <c r="Y230" s="491" t="e">
        <f>+VLOOKUP(A230,#REF!,1,FALSE)</f>
        <v>#REF!</v>
      </c>
    </row>
    <row r="231" spans="1:25" ht="17.899999999999999" hidden="1" customHeight="1">
      <c r="A231" t="str">
        <f>+Table1[[#This Row],[Tabela]]&amp;Table1[[#This Row],[Campo]]</f>
        <v>PROPERTY_ENERGY_CERTIFICATEENERGY_CONSUMPTION_TYPE_T_IND</v>
      </c>
      <c r="B231" s="2" t="s">
        <v>26</v>
      </c>
      <c r="C231" s="2" t="s">
        <v>54</v>
      </c>
      <c r="D231" s="2" t="s">
        <v>124</v>
      </c>
      <c r="E231" s="2" t="s">
        <v>38</v>
      </c>
      <c r="F231" s="2" t="s">
        <v>123</v>
      </c>
      <c r="G231" s="2" t="s">
        <v>131</v>
      </c>
      <c r="H231" s="56" t="str">
        <f>Table1[[#This Row],[Tabela]]&amp;Table1[[#This Row],[Campo]]</f>
        <v>PROPERTY_ENERGY_CERTIFICATEENERGY_CONSUMPTION_TYPE_T_IND</v>
      </c>
      <c r="I231" s="2" t="s">
        <v>612</v>
      </c>
      <c r="J231" s="42">
        <f>VLOOKUP(Table1[[#This Row],[Status]],Auxiliar!$B$16:$C$24,2,0)</f>
        <v>1</v>
      </c>
      <c r="K231" s="2" t="s">
        <v>1169</v>
      </c>
      <c r="L231" s="28" t="s">
        <v>1166</v>
      </c>
      <c r="M231" s="20" t="s">
        <v>1175</v>
      </c>
      <c r="N231" s="47">
        <v>45485</v>
      </c>
      <c r="O231" s="20">
        <f>INDEX(Auxiliar!$D$5:$F$13,MATCH(Table1[[#This Row],[Tipologia_Testes]],Auxiliar!$B$5:$B$13,0),MATCH(Table1[[#This Row],[Complexidade]],Auxiliar!$D$4:$F$4,0))</f>
        <v>2</v>
      </c>
      <c r="P231" s="2" t="s">
        <v>1192</v>
      </c>
      <c r="Q231" s="2"/>
      <c r="R231" s="151">
        <v>45261</v>
      </c>
      <c r="S231" s="151"/>
      <c r="T231" s="151"/>
      <c r="U231" s="151"/>
      <c r="V231" s="151"/>
      <c r="W231" s="2">
        <f>VLOOKUP(Table1[[#This Row],[Status]],Auxiliar!$B$16:$D$24,3,0)*Table1[[#This Row],[Estimação (horas)]]</f>
        <v>2</v>
      </c>
      <c r="X231" s="165">
        <f>+VLOOKUP(CONCATENATE(Table1[[#This Row],[Tabela]],Table1[[#This Row],[Campo]]),'2. Status Detalhe Campos FY24'!A:J,9,FALSE)</f>
        <v>0</v>
      </c>
      <c r="Y231" s="491" t="e">
        <f>+VLOOKUP(A231,#REF!,1,FALSE)</f>
        <v>#REF!</v>
      </c>
    </row>
    <row r="232" spans="1:25" ht="17.899999999999999" hidden="1" customHeight="1">
      <c r="A232" t="str">
        <f>+Table1[[#This Row],[Tabela]]&amp;Table1[[#This Row],[Campo]]</f>
        <v>PROPERTY_ENERGY_CERTIFICATEENERGY_CONSUMPTION_TYPE_T_IND</v>
      </c>
      <c r="B232" s="2" t="s">
        <v>26</v>
      </c>
      <c r="C232" s="2" t="s">
        <v>54</v>
      </c>
      <c r="D232" s="2" t="s">
        <v>124</v>
      </c>
      <c r="E232" s="2" t="s">
        <v>38</v>
      </c>
      <c r="F232" s="2" t="s">
        <v>123</v>
      </c>
      <c r="G232" s="2" t="s">
        <v>131</v>
      </c>
      <c r="H232" s="56" t="str">
        <f>Table1[[#This Row],[Tabela]]&amp;Table1[[#This Row],[Campo]]</f>
        <v>PROPERTY_ENERGY_CERTIFICATEENERGY_CONSUMPTION_TYPE_T_IND</v>
      </c>
      <c r="I232" s="2" t="s">
        <v>612</v>
      </c>
      <c r="J232" s="42">
        <f>VLOOKUP(Table1[[#This Row],[Status]],Auxiliar!$B$16:$C$24,2,0)</f>
        <v>1</v>
      </c>
      <c r="K232" s="2" t="s">
        <v>1171</v>
      </c>
      <c r="L232" s="28" t="s">
        <v>1166</v>
      </c>
      <c r="M232" s="20" t="s">
        <v>1175</v>
      </c>
      <c r="N232" s="47">
        <v>45485</v>
      </c>
      <c r="O232" s="20">
        <f>INDEX(Auxiliar!$D$5:$F$13,MATCH(Table1[[#This Row],[Tipologia_Testes]],Auxiliar!$B$5:$B$13,0),MATCH(Table1[[#This Row],[Complexidade]],Auxiliar!$D$4:$F$4,0))</f>
        <v>0.1</v>
      </c>
      <c r="P232" s="2" t="s">
        <v>1192</v>
      </c>
      <c r="Q232" s="2"/>
      <c r="R232" s="151">
        <v>45261</v>
      </c>
      <c r="S232" s="151"/>
      <c r="T232" s="151"/>
      <c r="U232" s="151"/>
      <c r="V232" s="151"/>
      <c r="W232" s="2">
        <f>VLOOKUP(Table1[[#This Row],[Status]],Auxiliar!$B$16:$D$24,3,0)*Table1[[#This Row],[Estimação (horas)]]</f>
        <v>0.1</v>
      </c>
      <c r="X232" s="165">
        <f>+VLOOKUP(CONCATENATE(Table1[[#This Row],[Tabela]],Table1[[#This Row],[Campo]]),'2. Status Detalhe Campos FY24'!A:J,9,FALSE)</f>
        <v>0</v>
      </c>
      <c r="Y232" s="491" t="e">
        <f>+VLOOKUP(A232,#REF!,1,FALSE)</f>
        <v>#REF!</v>
      </c>
    </row>
    <row r="233" spans="1:25" ht="17.899999999999999" hidden="1" customHeight="1">
      <c r="A233" t="str">
        <f>+Table1[[#This Row],[Tabela]]&amp;Table1[[#This Row],[Campo]]</f>
        <v>PROPERTY_ENERGY_CERTIFICATEENERGY_EFFICIENCY_IND</v>
      </c>
      <c r="B233" s="2" t="s">
        <v>26</v>
      </c>
      <c r="C233" s="2" t="s">
        <v>54</v>
      </c>
      <c r="D233" s="2" t="s">
        <v>124</v>
      </c>
      <c r="E233" s="2" t="s">
        <v>38</v>
      </c>
      <c r="F233" s="2" t="s">
        <v>123</v>
      </c>
      <c r="G233" s="2" t="s">
        <v>132</v>
      </c>
      <c r="H233" s="56" t="str">
        <f>Table1[[#This Row],[Tabela]]&amp;Table1[[#This Row],[Campo]]</f>
        <v>PROPERTY_ENERGY_CERTIFICATEENERGY_EFFICIENCY_IND</v>
      </c>
      <c r="I233" s="2" t="s">
        <v>612</v>
      </c>
      <c r="J233" s="42">
        <f>VLOOKUP(Table1[[#This Row],[Status]],Auxiliar!$B$16:$C$24,2,0)</f>
        <v>1</v>
      </c>
      <c r="K233" s="2" t="s">
        <v>1168</v>
      </c>
      <c r="L233" s="28" t="s">
        <v>1166</v>
      </c>
      <c r="M233" s="20" t="s">
        <v>1175</v>
      </c>
      <c r="N233" s="47">
        <v>45612</v>
      </c>
      <c r="O233" s="20">
        <f>INDEX(Auxiliar!$D$5:$F$13,MATCH(Table1[[#This Row],[Tipologia_Testes]],Auxiliar!$B$5:$B$13,0),MATCH(Table1[[#This Row],[Complexidade]],Auxiliar!$D$4:$F$4,0))</f>
        <v>2</v>
      </c>
      <c r="P233" s="2"/>
      <c r="Q233" s="2"/>
      <c r="R233" s="151">
        <v>45616</v>
      </c>
      <c r="S233" s="151"/>
      <c r="T233" s="151"/>
      <c r="U233" s="151"/>
      <c r="V233" s="151">
        <v>45639</v>
      </c>
      <c r="W233" s="2">
        <f>VLOOKUP(Table1[[#This Row],[Status]],Auxiliar!$B$16:$D$24,3,0)*Table1[[#This Row],[Estimação (horas)]]</f>
        <v>2</v>
      </c>
      <c r="X233" s="165">
        <f>+VLOOKUP(CONCATENATE(Table1[[#This Row],[Tabela]],Table1[[#This Row],[Campo]]),'2. Status Detalhe Campos FY24'!A:J,9,FALSE)</f>
        <v>0</v>
      </c>
      <c r="Y233" s="491" t="e">
        <f>+VLOOKUP(A233,#REF!,1,FALSE)</f>
        <v>#REF!</v>
      </c>
    </row>
    <row r="234" spans="1:25" ht="17.899999999999999" hidden="1" customHeight="1">
      <c r="A234" t="str">
        <f>+Table1[[#This Row],[Tabela]]&amp;Table1[[#This Row],[Campo]]</f>
        <v>PROPERTY_ENERGY_CERTIFICATEENERGY_EFFICIENCY_IND</v>
      </c>
      <c r="B234" s="2" t="s">
        <v>26</v>
      </c>
      <c r="C234" s="2" t="s">
        <v>54</v>
      </c>
      <c r="D234" s="2" t="s">
        <v>124</v>
      </c>
      <c r="E234" s="2" t="s">
        <v>38</v>
      </c>
      <c r="F234" s="2" t="s">
        <v>123</v>
      </c>
      <c r="G234" s="2" t="s">
        <v>132</v>
      </c>
      <c r="H234" s="56" t="str">
        <f>Table1[[#This Row],[Tabela]]&amp;Table1[[#This Row],[Campo]]</f>
        <v>PROPERTY_ENERGY_CERTIFICATEENERGY_EFFICIENCY_IND</v>
      </c>
      <c r="I234" s="2" t="s">
        <v>612</v>
      </c>
      <c r="J234" s="42">
        <f>VLOOKUP(Table1[[#This Row],[Status]],Auxiliar!$B$16:$C$24,2,0)</f>
        <v>1</v>
      </c>
      <c r="K234" s="2" t="s">
        <v>1169</v>
      </c>
      <c r="L234" s="28" t="s">
        <v>1166</v>
      </c>
      <c r="M234" s="20" t="s">
        <v>1175</v>
      </c>
      <c r="N234" s="47">
        <v>45612</v>
      </c>
      <c r="O234" s="20">
        <f>INDEX(Auxiliar!$D$5:$F$13,MATCH(Table1[[#This Row],[Tipologia_Testes]],Auxiliar!$B$5:$B$13,0),MATCH(Table1[[#This Row],[Complexidade]],Auxiliar!$D$4:$F$4,0))</f>
        <v>2</v>
      </c>
      <c r="P234" s="2"/>
      <c r="Q234" s="2"/>
      <c r="R234" s="151">
        <v>45616</v>
      </c>
      <c r="S234" s="151"/>
      <c r="T234" s="151"/>
      <c r="U234" s="151"/>
      <c r="V234" s="151">
        <v>45639</v>
      </c>
      <c r="W234" s="2">
        <f>VLOOKUP(Table1[[#This Row],[Status]],Auxiliar!$B$16:$D$24,3,0)*Table1[[#This Row],[Estimação (horas)]]</f>
        <v>2</v>
      </c>
      <c r="X234" s="165">
        <f>+VLOOKUP(CONCATENATE(Table1[[#This Row],[Tabela]],Table1[[#This Row],[Campo]]),'2. Status Detalhe Campos FY24'!A:J,9,FALSE)</f>
        <v>0</v>
      </c>
      <c r="Y234" s="491" t="e">
        <f>+VLOOKUP(A234,#REF!,1,FALSE)</f>
        <v>#REF!</v>
      </c>
    </row>
    <row r="235" spans="1:25" ht="17.899999999999999" hidden="1" customHeight="1">
      <c r="A235" t="str">
        <f>+Table1[[#This Row],[Tabela]]&amp;Table1[[#This Row],[Campo]]</f>
        <v>PROPERTY_ENERGY_CERTIFICATEENERGY_EFFICIENCY_IND</v>
      </c>
      <c r="B235" s="2" t="s">
        <v>26</v>
      </c>
      <c r="C235" s="2" t="s">
        <v>54</v>
      </c>
      <c r="D235" s="2" t="s">
        <v>124</v>
      </c>
      <c r="E235" s="2" t="s">
        <v>38</v>
      </c>
      <c r="F235" s="2" t="s">
        <v>123</v>
      </c>
      <c r="G235" s="2" t="s">
        <v>132</v>
      </c>
      <c r="H235" s="56" t="str">
        <f>Table1[[#This Row],[Tabela]]&amp;Table1[[#This Row],[Campo]]</f>
        <v>PROPERTY_ENERGY_CERTIFICATEENERGY_EFFICIENCY_IND</v>
      </c>
      <c r="I235" s="2" t="s">
        <v>612</v>
      </c>
      <c r="J235" s="42">
        <f>VLOOKUP(Table1[[#This Row],[Status]],Auxiliar!$B$16:$C$24,2,0)</f>
        <v>1</v>
      </c>
      <c r="K235" s="2" t="s">
        <v>1171</v>
      </c>
      <c r="L235" s="28" t="s">
        <v>1166</v>
      </c>
      <c r="M235" s="20" t="s">
        <v>1175</v>
      </c>
      <c r="N235" s="47">
        <v>45612</v>
      </c>
      <c r="O235" s="20">
        <f>INDEX(Auxiliar!$D$5:$F$13,MATCH(Table1[[#This Row],[Tipologia_Testes]],Auxiliar!$B$5:$B$13,0),MATCH(Table1[[#This Row],[Complexidade]],Auxiliar!$D$4:$F$4,0))</f>
        <v>0.1</v>
      </c>
      <c r="P235" s="2"/>
      <c r="Q235" s="2"/>
      <c r="R235" s="151">
        <v>45616</v>
      </c>
      <c r="S235" s="151"/>
      <c r="T235" s="151"/>
      <c r="U235" s="151"/>
      <c r="V235" s="151">
        <v>45639</v>
      </c>
      <c r="W235" s="2">
        <f>VLOOKUP(Table1[[#This Row],[Status]],Auxiliar!$B$16:$D$24,3,0)*Table1[[#This Row],[Estimação (horas)]]</f>
        <v>0.1</v>
      </c>
      <c r="X235" s="165">
        <f>+VLOOKUP(CONCATENATE(Table1[[#This Row],[Tabela]],Table1[[#This Row],[Campo]]),'2. Status Detalhe Campos FY24'!A:J,9,FALSE)</f>
        <v>0</v>
      </c>
      <c r="Y235" s="491" t="e">
        <f>+VLOOKUP(A235,#REF!,1,FALSE)</f>
        <v>#REF!</v>
      </c>
    </row>
    <row r="236" spans="1:25" ht="17.899999999999999" hidden="1" customHeight="1">
      <c r="A236" t="str">
        <f>+Table1[[#This Row],[Tabela]]&amp;Table1[[#This Row],[Campo]]</f>
        <v>PROPERTY_ENERGY_CERTIFICATEREN_ENERGY_EFFICIENCY_IND</v>
      </c>
      <c r="B236" s="2" t="s">
        <v>26</v>
      </c>
      <c r="C236" s="2" t="s">
        <v>54</v>
      </c>
      <c r="D236" s="2" t="s">
        <v>124</v>
      </c>
      <c r="E236" s="2" t="s">
        <v>38</v>
      </c>
      <c r="F236" s="2" t="s">
        <v>123</v>
      </c>
      <c r="G236" s="2" t="s">
        <v>133</v>
      </c>
      <c r="H236" s="56" t="str">
        <f>Table1[[#This Row],[Tabela]]&amp;Table1[[#This Row],[Campo]]</f>
        <v>PROPERTY_ENERGY_CERTIFICATEREN_ENERGY_EFFICIENCY_IND</v>
      </c>
      <c r="I236" s="2" t="s">
        <v>612</v>
      </c>
      <c r="J236" s="42">
        <f>VLOOKUP(Table1[[#This Row],[Status]],Auxiliar!$B$16:$C$24,2,0)</f>
        <v>1</v>
      </c>
      <c r="K236" s="2" t="s">
        <v>1168</v>
      </c>
      <c r="L236" s="28" t="s">
        <v>1166</v>
      </c>
      <c r="M236" s="20" t="s">
        <v>1175</v>
      </c>
      <c r="N236" s="47">
        <v>45485</v>
      </c>
      <c r="O236" s="20">
        <f>INDEX(Auxiliar!$D$5:$F$13,MATCH(Table1[[#This Row],[Tipologia_Testes]],Auxiliar!$B$5:$B$13,0),MATCH(Table1[[#This Row],[Complexidade]],Auxiliar!$D$4:$F$4,0))</f>
        <v>2</v>
      </c>
      <c r="P236" s="2" t="s">
        <v>1192</v>
      </c>
      <c r="Q236" s="2"/>
      <c r="R236" s="151">
        <v>45261</v>
      </c>
      <c r="S236" s="151"/>
      <c r="T236" s="151"/>
      <c r="U236" s="151"/>
      <c r="V236" s="151"/>
      <c r="W236" s="2">
        <f>VLOOKUP(Table1[[#This Row],[Status]],Auxiliar!$B$16:$D$24,3,0)*Table1[[#This Row],[Estimação (horas)]]</f>
        <v>2</v>
      </c>
      <c r="X236" s="165">
        <f>+VLOOKUP(CONCATENATE(Table1[[#This Row],[Tabela]],Table1[[#This Row],[Campo]]),'2. Status Detalhe Campos FY24'!A:J,9,FALSE)</f>
        <v>0</v>
      </c>
      <c r="Y236" s="491" t="e">
        <f>+VLOOKUP(A236,#REF!,1,FALSE)</f>
        <v>#REF!</v>
      </c>
    </row>
    <row r="237" spans="1:25" ht="17.899999999999999" hidden="1" customHeight="1">
      <c r="A237" t="str">
        <f>+Table1[[#This Row],[Tabela]]&amp;Table1[[#This Row],[Campo]]</f>
        <v>PROPERTY_ENERGY_CERTIFICATEREN_ENERGY_EFFICIENCY_IND</v>
      </c>
      <c r="B237" s="2" t="s">
        <v>26</v>
      </c>
      <c r="C237" s="2" t="s">
        <v>54</v>
      </c>
      <c r="D237" s="2" t="s">
        <v>124</v>
      </c>
      <c r="E237" s="2" t="s">
        <v>38</v>
      </c>
      <c r="F237" s="2" t="s">
        <v>123</v>
      </c>
      <c r="G237" s="2" t="s">
        <v>133</v>
      </c>
      <c r="H237" s="56" t="str">
        <f>Table1[[#This Row],[Tabela]]&amp;Table1[[#This Row],[Campo]]</f>
        <v>PROPERTY_ENERGY_CERTIFICATEREN_ENERGY_EFFICIENCY_IND</v>
      </c>
      <c r="I237" s="2" t="s">
        <v>612</v>
      </c>
      <c r="J237" s="42">
        <f>VLOOKUP(Table1[[#This Row],[Status]],Auxiliar!$B$16:$C$24,2,0)</f>
        <v>1</v>
      </c>
      <c r="K237" s="2" t="s">
        <v>1169</v>
      </c>
      <c r="L237" s="28" t="s">
        <v>1166</v>
      </c>
      <c r="M237" s="20" t="s">
        <v>1175</v>
      </c>
      <c r="N237" s="47">
        <v>45485</v>
      </c>
      <c r="O237" s="20">
        <f>INDEX(Auxiliar!$D$5:$F$13,MATCH(Table1[[#This Row],[Tipologia_Testes]],Auxiliar!$B$5:$B$13,0),MATCH(Table1[[#This Row],[Complexidade]],Auxiliar!$D$4:$F$4,0))</f>
        <v>2</v>
      </c>
      <c r="P237" s="2" t="s">
        <v>1192</v>
      </c>
      <c r="Q237" s="2"/>
      <c r="R237" s="151">
        <v>45261</v>
      </c>
      <c r="S237" s="151"/>
      <c r="T237" s="151"/>
      <c r="U237" s="151"/>
      <c r="V237" s="151"/>
      <c r="W237" s="2">
        <f>VLOOKUP(Table1[[#This Row],[Status]],Auxiliar!$B$16:$D$24,3,0)*Table1[[#This Row],[Estimação (horas)]]</f>
        <v>2</v>
      </c>
      <c r="X237" s="165">
        <f>+VLOOKUP(CONCATENATE(Table1[[#This Row],[Tabela]],Table1[[#This Row],[Campo]]),'2. Status Detalhe Campos FY24'!A:J,9,FALSE)</f>
        <v>0</v>
      </c>
      <c r="Y237" s="491" t="e">
        <f>+VLOOKUP(A237,#REF!,1,FALSE)</f>
        <v>#REF!</v>
      </c>
    </row>
    <row r="238" spans="1:25" ht="17.899999999999999" hidden="1" customHeight="1">
      <c r="A238" t="str">
        <f>+Table1[[#This Row],[Tabela]]&amp;Table1[[#This Row],[Campo]]</f>
        <v>PROPERTY_ENERGY_CERTIFICATEREN_ENERGY_EFFICIENCY_IND</v>
      </c>
      <c r="B238" s="2" t="s">
        <v>26</v>
      </c>
      <c r="C238" s="2" t="s">
        <v>54</v>
      </c>
      <c r="D238" s="2" t="s">
        <v>124</v>
      </c>
      <c r="E238" s="2" t="s">
        <v>38</v>
      </c>
      <c r="F238" s="2" t="s">
        <v>123</v>
      </c>
      <c r="G238" s="2" t="s">
        <v>133</v>
      </c>
      <c r="H238" s="56" t="str">
        <f>Table1[[#This Row],[Tabela]]&amp;Table1[[#This Row],[Campo]]</f>
        <v>PROPERTY_ENERGY_CERTIFICATEREN_ENERGY_EFFICIENCY_IND</v>
      </c>
      <c r="I238" s="2" t="s">
        <v>612</v>
      </c>
      <c r="J238" s="42">
        <f>VLOOKUP(Table1[[#This Row],[Status]],Auxiliar!$B$16:$C$24,2,0)</f>
        <v>1</v>
      </c>
      <c r="K238" s="2" t="s">
        <v>1171</v>
      </c>
      <c r="L238" s="28" t="s">
        <v>1166</v>
      </c>
      <c r="M238" s="20" t="s">
        <v>1175</v>
      </c>
      <c r="N238" s="47">
        <v>45485</v>
      </c>
      <c r="O238" s="20">
        <f>INDEX(Auxiliar!$D$5:$F$13,MATCH(Table1[[#This Row],[Tipologia_Testes]],Auxiliar!$B$5:$B$13,0),MATCH(Table1[[#This Row],[Complexidade]],Auxiliar!$D$4:$F$4,0))</f>
        <v>0.1</v>
      </c>
      <c r="P238" s="2" t="s">
        <v>1192</v>
      </c>
      <c r="Q238" s="2"/>
      <c r="R238" s="151">
        <v>45261</v>
      </c>
      <c r="S238" s="151"/>
      <c r="T238" s="151"/>
      <c r="U238" s="151"/>
      <c r="V238" s="151"/>
      <c r="W238" s="2">
        <f>VLOOKUP(Table1[[#This Row],[Status]],Auxiliar!$B$16:$D$24,3,0)*Table1[[#This Row],[Estimação (horas)]]</f>
        <v>0.1</v>
      </c>
      <c r="X238" s="165">
        <f>+VLOOKUP(CONCATENATE(Table1[[#This Row],[Tabela]],Table1[[#This Row],[Campo]]),'2. Status Detalhe Campos FY24'!A:J,9,FALSE)</f>
        <v>0</v>
      </c>
      <c r="Y238" s="491" t="e">
        <f>+VLOOKUP(A238,#REF!,1,FALSE)</f>
        <v>#REF!</v>
      </c>
    </row>
    <row r="239" spans="1:25" ht="17.899999999999999" hidden="1" customHeight="1">
      <c r="A239" t="str">
        <f>+Table1[[#This Row],[Tabela]]&amp;Table1[[#This Row],[Campo]]</f>
        <v>PROPERTY_ENERGY_CERTIFICATENZEB_IND</v>
      </c>
      <c r="B239" s="2" t="s">
        <v>26</v>
      </c>
      <c r="C239" s="2" t="s">
        <v>54</v>
      </c>
      <c r="D239" s="2" t="s">
        <v>124</v>
      </c>
      <c r="E239" s="2" t="s">
        <v>38</v>
      </c>
      <c r="F239" s="2" t="s">
        <v>123</v>
      </c>
      <c r="G239" s="2" t="s">
        <v>134</v>
      </c>
      <c r="H239" s="56" t="str">
        <f>Table1[[#This Row],[Tabela]]&amp;Table1[[#This Row],[Campo]]</f>
        <v>PROPERTY_ENERGY_CERTIFICATENZEB_IND</v>
      </c>
      <c r="I239" s="2" t="s">
        <v>612</v>
      </c>
      <c r="J239" s="42">
        <f>VLOOKUP(Table1[[#This Row],[Status]],Auxiliar!$B$16:$C$24,2,0)</f>
        <v>1</v>
      </c>
      <c r="K239" s="2" t="s">
        <v>1168</v>
      </c>
      <c r="L239" s="28" t="s">
        <v>1166</v>
      </c>
      <c r="M239" s="20" t="s">
        <v>1175</v>
      </c>
      <c r="N239" s="47">
        <v>45612</v>
      </c>
      <c r="O239" s="20">
        <f>INDEX(Auxiliar!$D$5:$F$13,MATCH(Table1[[#This Row],[Tipologia_Testes]],Auxiliar!$B$5:$B$13,0),MATCH(Table1[[#This Row],[Complexidade]],Auxiliar!$D$4:$F$4,0))</f>
        <v>2</v>
      </c>
      <c r="P239" s="2"/>
      <c r="Q239" s="2"/>
      <c r="R239" s="151">
        <v>45616</v>
      </c>
      <c r="S239" s="151"/>
      <c r="T239" s="151"/>
      <c r="U239" s="151"/>
      <c r="V239" s="151">
        <v>45639</v>
      </c>
      <c r="W239" s="2">
        <f>VLOOKUP(Table1[[#This Row],[Status]],Auxiliar!$B$16:$D$24,3,0)*Table1[[#This Row],[Estimação (horas)]]</f>
        <v>2</v>
      </c>
      <c r="X239" s="165">
        <f>+VLOOKUP(CONCATENATE(Table1[[#This Row],[Tabela]],Table1[[#This Row],[Campo]]),'2. Status Detalhe Campos FY24'!A:J,9,FALSE)</f>
        <v>0</v>
      </c>
      <c r="Y239" s="491" t="e">
        <f>+VLOOKUP(A239,#REF!,1,FALSE)</f>
        <v>#REF!</v>
      </c>
    </row>
    <row r="240" spans="1:25" ht="17.899999999999999" hidden="1" customHeight="1">
      <c r="A240" t="str">
        <f>+Table1[[#This Row],[Tabela]]&amp;Table1[[#This Row],[Campo]]</f>
        <v>PROPERTY_ENERGY_CERTIFICATENZEB_IND</v>
      </c>
      <c r="B240" s="2" t="s">
        <v>26</v>
      </c>
      <c r="C240" s="2" t="s">
        <v>54</v>
      </c>
      <c r="D240" s="2" t="s">
        <v>124</v>
      </c>
      <c r="E240" s="2" t="s">
        <v>38</v>
      </c>
      <c r="F240" s="2" t="s">
        <v>123</v>
      </c>
      <c r="G240" s="2" t="s">
        <v>134</v>
      </c>
      <c r="H240" s="56" t="str">
        <f>Table1[[#This Row],[Tabela]]&amp;Table1[[#This Row],[Campo]]</f>
        <v>PROPERTY_ENERGY_CERTIFICATENZEB_IND</v>
      </c>
      <c r="I240" s="2" t="s">
        <v>612</v>
      </c>
      <c r="J240" s="42">
        <f>VLOOKUP(Table1[[#This Row],[Status]],Auxiliar!$B$16:$C$24,2,0)</f>
        <v>1</v>
      </c>
      <c r="K240" s="2" t="s">
        <v>1169</v>
      </c>
      <c r="L240" s="28" t="s">
        <v>1166</v>
      </c>
      <c r="M240" s="20" t="s">
        <v>1175</v>
      </c>
      <c r="N240" s="47">
        <v>45612</v>
      </c>
      <c r="O240" s="20">
        <f>INDEX(Auxiliar!$D$5:$F$13,MATCH(Table1[[#This Row],[Tipologia_Testes]],Auxiliar!$B$5:$B$13,0),MATCH(Table1[[#This Row],[Complexidade]],Auxiliar!$D$4:$F$4,0))</f>
        <v>2</v>
      </c>
      <c r="P240" s="2"/>
      <c r="Q240" s="2"/>
      <c r="R240" s="151">
        <v>45616</v>
      </c>
      <c r="S240" s="151"/>
      <c r="T240" s="151"/>
      <c r="U240" s="151"/>
      <c r="V240" s="151">
        <v>45639</v>
      </c>
      <c r="W240" s="2">
        <f>VLOOKUP(Table1[[#This Row],[Status]],Auxiliar!$B$16:$D$24,3,0)*Table1[[#This Row],[Estimação (horas)]]</f>
        <v>2</v>
      </c>
      <c r="X240" s="165">
        <f>+VLOOKUP(CONCATENATE(Table1[[#This Row],[Tabela]],Table1[[#This Row],[Campo]]),'2. Status Detalhe Campos FY24'!A:J,9,FALSE)</f>
        <v>0</v>
      </c>
      <c r="Y240" s="491" t="e">
        <f>+VLOOKUP(A240,#REF!,1,FALSE)</f>
        <v>#REF!</v>
      </c>
    </row>
    <row r="241" spans="1:25" ht="17.899999999999999" hidden="1" customHeight="1">
      <c r="A241" t="str">
        <f>+Table1[[#This Row],[Tabela]]&amp;Table1[[#This Row],[Campo]]</f>
        <v>PROPERTY_ENERGY_CERTIFICATENZEB_IND</v>
      </c>
      <c r="B241" s="2" t="s">
        <v>26</v>
      </c>
      <c r="C241" s="2" t="s">
        <v>54</v>
      </c>
      <c r="D241" s="2" t="s">
        <v>124</v>
      </c>
      <c r="E241" s="2" t="s">
        <v>38</v>
      </c>
      <c r="F241" s="2" t="s">
        <v>123</v>
      </c>
      <c r="G241" s="2" t="s">
        <v>134</v>
      </c>
      <c r="H241" s="56" t="str">
        <f>Table1[[#This Row],[Tabela]]&amp;Table1[[#This Row],[Campo]]</f>
        <v>PROPERTY_ENERGY_CERTIFICATENZEB_IND</v>
      </c>
      <c r="I241" s="2" t="s">
        <v>612</v>
      </c>
      <c r="J241" s="42">
        <f>VLOOKUP(Table1[[#This Row],[Status]],Auxiliar!$B$16:$C$24,2,0)</f>
        <v>1</v>
      </c>
      <c r="K241" s="2" t="s">
        <v>1171</v>
      </c>
      <c r="L241" s="28" t="s">
        <v>1166</v>
      </c>
      <c r="M241" s="20" t="s">
        <v>1175</v>
      </c>
      <c r="N241" s="47">
        <v>45612</v>
      </c>
      <c r="O241" s="20">
        <f>INDEX(Auxiliar!$D$5:$F$13,MATCH(Table1[[#This Row],[Tipologia_Testes]],Auxiliar!$B$5:$B$13,0),MATCH(Table1[[#This Row],[Complexidade]],Auxiliar!$D$4:$F$4,0))</f>
        <v>0.1</v>
      </c>
      <c r="P241" s="2"/>
      <c r="Q241" s="2"/>
      <c r="R241" s="151">
        <v>45616</v>
      </c>
      <c r="S241" s="151"/>
      <c r="T241" s="151"/>
      <c r="U241" s="151"/>
      <c r="V241" s="151">
        <v>45639</v>
      </c>
      <c r="W241" s="2">
        <f>VLOOKUP(Table1[[#This Row],[Status]],Auxiliar!$B$16:$D$24,3,0)*Table1[[#This Row],[Estimação (horas)]]</f>
        <v>0.1</v>
      </c>
      <c r="X241" s="165">
        <f>+VLOOKUP(CONCATENATE(Table1[[#This Row],[Tabela]],Table1[[#This Row],[Campo]]),'2. Status Detalhe Campos FY24'!A:J,9,FALSE)</f>
        <v>0</v>
      </c>
      <c r="Y241" s="491" t="e">
        <f>+VLOOKUP(A241,#REF!,1,FALSE)</f>
        <v>#REF!</v>
      </c>
    </row>
    <row r="242" spans="1:25" ht="17.899999999999999" hidden="1" customHeight="1">
      <c r="A242" t="str">
        <f>+Table1[[#This Row],[Tabela]]&amp;Table1[[#This Row],[Campo]]</f>
        <v>PROPERTY_ENERGY_CERTIFICATEQUALITY_SCORE</v>
      </c>
      <c r="B242" s="2" t="s">
        <v>26</v>
      </c>
      <c r="C242" s="2" t="s">
        <v>54</v>
      </c>
      <c r="D242" s="2" t="s">
        <v>124</v>
      </c>
      <c r="E242" s="2" t="s">
        <v>38</v>
      </c>
      <c r="F242" s="2" t="s">
        <v>123</v>
      </c>
      <c r="G242" s="2" t="s">
        <v>50</v>
      </c>
      <c r="H242" s="56" t="str">
        <f>Table1[[#This Row],[Tabela]]&amp;Table1[[#This Row],[Campo]]</f>
        <v>PROPERTY_ENERGY_CERTIFICATEQUALITY_SCORE</v>
      </c>
      <c r="I242" s="2" t="s">
        <v>612</v>
      </c>
      <c r="J242" s="42">
        <f>VLOOKUP(Table1[[#This Row],[Status]],Auxiliar!$B$16:$C$24,2,0)</f>
        <v>1</v>
      </c>
      <c r="K242" s="2" t="s">
        <v>1168</v>
      </c>
      <c r="L242" s="28" t="s">
        <v>1166</v>
      </c>
      <c r="M242" s="20" t="s">
        <v>1175</v>
      </c>
      <c r="N242" s="47">
        <v>45612</v>
      </c>
      <c r="O242" s="20">
        <f>INDEX(Auxiliar!$D$5:$F$13,MATCH(Table1[[#This Row],[Tipologia_Testes]],Auxiliar!$B$5:$B$13,0),MATCH(Table1[[#This Row],[Complexidade]],Auxiliar!$D$4:$F$4,0))</f>
        <v>2</v>
      </c>
      <c r="P242" s="2"/>
      <c r="Q242" s="2"/>
      <c r="R242" s="151">
        <v>45616</v>
      </c>
      <c r="S242" s="151"/>
      <c r="T242" s="151"/>
      <c r="U242" s="151"/>
      <c r="V242" s="151">
        <v>45639</v>
      </c>
      <c r="W242" s="2">
        <f>VLOOKUP(Table1[[#This Row],[Status]],Auxiliar!$B$16:$D$24,3,0)*Table1[[#This Row],[Estimação (horas)]]</f>
        <v>2</v>
      </c>
      <c r="X242" s="165">
        <f>+VLOOKUP(CONCATENATE(Table1[[#This Row],[Tabela]],Table1[[#This Row],[Campo]]),'2. Status Detalhe Campos FY24'!A:J,9,FALSE)</f>
        <v>0</v>
      </c>
      <c r="Y242" s="491" t="e">
        <f>+VLOOKUP(A242,#REF!,1,FALSE)</f>
        <v>#REF!</v>
      </c>
    </row>
    <row r="243" spans="1:25" ht="17.899999999999999" hidden="1" customHeight="1">
      <c r="A243" t="str">
        <f>+Table1[[#This Row],[Tabela]]&amp;Table1[[#This Row],[Campo]]</f>
        <v>PROPERTY_ENERGY_CERTIFICATEQUALITY_SCORE</v>
      </c>
      <c r="B243" s="2" t="s">
        <v>26</v>
      </c>
      <c r="C243" s="2" t="s">
        <v>54</v>
      </c>
      <c r="D243" s="2" t="s">
        <v>124</v>
      </c>
      <c r="E243" s="2" t="s">
        <v>38</v>
      </c>
      <c r="F243" s="2" t="s">
        <v>123</v>
      </c>
      <c r="G243" s="2" t="s">
        <v>50</v>
      </c>
      <c r="H243" s="56" t="str">
        <f>Table1[[#This Row],[Tabela]]&amp;Table1[[#This Row],[Campo]]</f>
        <v>PROPERTY_ENERGY_CERTIFICATEQUALITY_SCORE</v>
      </c>
      <c r="I243" s="2" t="s">
        <v>612</v>
      </c>
      <c r="J243" s="42">
        <f>VLOOKUP(Table1[[#This Row],[Status]],Auxiliar!$B$16:$C$24,2,0)</f>
        <v>1</v>
      </c>
      <c r="K243" s="2" t="s">
        <v>1169</v>
      </c>
      <c r="L243" s="28" t="s">
        <v>1166</v>
      </c>
      <c r="M243" s="20" t="s">
        <v>1175</v>
      </c>
      <c r="N243" s="47">
        <v>45612</v>
      </c>
      <c r="O243" s="20">
        <f>INDEX(Auxiliar!$D$5:$F$13,MATCH(Table1[[#This Row],[Tipologia_Testes]],Auxiliar!$B$5:$B$13,0),MATCH(Table1[[#This Row],[Complexidade]],Auxiliar!$D$4:$F$4,0))</f>
        <v>2</v>
      </c>
      <c r="P243" s="2"/>
      <c r="Q243" s="2"/>
      <c r="R243" s="151">
        <v>45616</v>
      </c>
      <c r="S243" s="151"/>
      <c r="T243" s="151"/>
      <c r="U243" s="151"/>
      <c r="V243" s="151">
        <v>45639</v>
      </c>
      <c r="W243" s="2">
        <f>VLOOKUP(Table1[[#This Row],[Status]],Auxiliar!$B$16:$D$24,3,0)*Table1[[#This Row],[Estimação (horas)]]</f>
        <v>2</v>
      </c>
      <c r="X243" s="165">
        <f>+VLOOKUP(CONCATENATE(Table1[[#This Row],[Tabela]],Table1[[#This Row],[Campo]]),'2. Status Detalhe Campos FY24'!A:J,9,FALSE)</f>
        <v>0</v>
      </c>
      <c r="Y243" s="491" t="e">
        <f>+VLOOKUP(A243,#REF!,1,FALSE)</f>
        <v>#REF!</v>
      </c>
    </row>
    <row r="244" spans="1:25" ht="17.899999999999999" hidden="1" customHeight="1">
      <c r="A244" t="str">
        <f>+Table1[[#This Row],[Tabela]]&amp;Table1[[#This Row],[Campo]]</f>
        <v>PROPERTY_ENERGY_CERTIFICATEQUALITY_SCORE</v>
      </c>
      <c r="B244" s="2" t="s">
        <v>26</v>
      </c>
      <c r="C244" s="2" t="s">
        <v>54</v>
      </c>
      <c r="D244" s="2" t="s">
        <v>124</v>
      </c>
      <c r="E244" s="2" t="s">
        <v>38</v>
      </c>
      <c r="F244" s="2" t="s">
        <v>123</v>
      </c>
      <c r="G244" s="2" t="s">
        <v>50</v>
      </c>
      <c r="H244" s="56" t="str">
        <f>Table1[[#This Row],[Tabela]]&amp;Table1[[#This Row],[Campo]]</f>
        <v>PROPERTY_ENERGY_CERTIFICATEQUALITY_SCORE</v>
      </c>
      <c r="I244" s="2" t="s">
        <v>612</v>
      </c>
      <c r="J244" s="42">
        <f>VLOOKUP(Table1[[#This Row],[Status]],Auxiliar!$B$16:$C$24,2,0)</f>
        <v>1</v>
      </c>
      <c r="K244" s="2" t="s">
        <v>1171</v>
      </c>
      <c r="L244" s="28" t="s">
        <v>1166</v>
      </c>
      <c r="M244" s="20" t="s">
        <v>1175</v>
      </c>
      <c r="N244" s="47">
        <v>45612</v>
      </c>
      <c r="O244" s="20">
        <f>INDEX(Auxiliar!$D$5:$F$13,MATCH(Table1[[#This Row],[Tipologia_Testes]],Auxiliar!$B$5:$B$13,0),MATCH(Table1[[#This Row],[Complexidade]],Auxiliar!$D$4:$F$4,0))</f>
        <v>0.1</v>
      </c>
      <c r="P244" s="2"/>
      <c r="Q244" s="2"/>
      <c r="R244" s="151">
        <v>45616</v>
      </c>
      <c r="S244" s="151"/>
      <c r="T244" s="151"/>
      <c r="U244" s="151"/>
      <c r="V244" s="151">
        <v>45639</v>
      </c>
      <c r="W244" s="2">
        <f>VLOOKUP(Table1[[#This Row],[Status]],Auxiliar!$B$16:$D$24,3,0)*Table1[[#This Row],[Estimação (horas)]]</f>
        <v>0.1</v>
      </c>
      <c r="X244" s="165">
        <f>+VLOOKUP(CONCATENATE(Table1[[#This Row],[Tabela]],Table1[[#This Row],[Campo]]),'2. Status Detalhe Campos FY24'!A:J,9,FALSE)</f>
        <v>0</v>
      </c>
      <c r="Y244" s="491" t="e">
        <f>+VLOOKUP(A244,#REF!,1,FALSE)</f>
        <v>#REF!</v>
      </c>
    </row>
    <row r="245" spans="1:25" ht="17.899999999999999" hidden="1" customHeight="1">
      <c r="A245" t="str">
        <f>+Table1[[#This Row],[Tabela]]&amp;Table1[[#This Row],[Campo]]</f>
        <v>PROPERTY_ENERGY_CERTIFICATEEP_SCORE</v>
      </c>
      <c r="B245" s="2" t="s">
        <v>26</v>
      </c>
      <c r="C245" s="2" t="s">
        <v>54</v>
      </c>
      <c r="D245" s="2" t="s">
        <v>124</v>
      </c>
      <c r="E245" s="2" t="s">
        <v>38</v>
      </c>
      <c r="F245" s="2" t="s">
        <v>123</v>
      </c>
      <c r="G245" s="2" t="s">
        <v>135</v>
      </c>
      <c r="H245" s="56" t="str">
        <f>Table1[[#This Row],[Tabela]]&amp;Table1[[#This Row],[Campo]]</f>
        <v>PROPERTY_ENERGY_CERTIFICATEEP_SCORE</v>
      </c>
      <c r="I245" s="2" t="s">
        <v>612</v>
      </c>
      <c r="J245" s="42">
        <f>VLOOKUP(Table1[[#This Row],[Status]],Auxiliar!$B$16:$C$24,2,0)</f>
        <v>1</v>
      </c>
      <c r="K245" s="2" t="s">
        <v>1168</v>
      </c>
      <c r="L245" s="28" t="s">
        <v>1166</v>
      </c>
      <c r="M245" s="20" t="s">
        <v>1175</v>
      </c>
      <c r="N245" s="47">
        <v>45737</v>
      </c>
      <c r="O245" s="20">
        <f>INDEX(Auxiliar!$D$5:$F$13,MATCH(Table1[[#This Row],[Tipologia_Testes]],Auxiliar!$B$5:$B$13,0),MATCH(Table1[[#This Row],[Complexidade]],Auxiliar!$D$4:$F$4,0))</f>
        <v>2</v>
      </c>
      <c r="P245" s="2"/>
      <c r="Q245" s="2"/>
      <c r="R245" s="151">
        <v>45261</v>
      </c>
      <c r="S245" s="151"/>
      <c r="T245" s="151"/>
      <c r="U245" s="151"/>
      <c r="V245" s="151"/>
      <c r="W245" s="2">
        <f>VLOOKUP(Table1[[#This Row],[Status]],Auxiliar!$B$16:$D$24,3,0)*Table1[[#This Row],[Estimação (horas)]]</f>
        <v>2</v>
      </c>
      <c r="X245" s="165">
        <f>+VLOOKUP(CONCATENATE(Table1[[#This Row],[Tabela]],Table1[[#This Row],[Campo]]),'2. Status Detalhe Campos FY24'!A:J,9,FALSE)</f>
        <v>0</v>
      </c>
      <c r="Y245" s="491" t="e">
        <f>+VLOOKUP(A245,#REF!,1,FALSE)</f>
        <v>#REF!</v>
      </c>
    </row>
    <row r="246" spans="1:25" ht="17.899999999999999" hidden="1" customHeight="1">
      <c r="A246" t="str">
        <f>+Table1[[#This Row],[Tabela]]&amp;Table1[[#This Row],[Campo]]</f>
        <v>PROPERTY_ENERGY_CERTIFICATEEP_SCORE</v>
      </c>
      <c r="B246" s="2" t="s">
        <v>26</v>
      </c>
      <c r="C246" s="2" t="s">
        <v>54</v>
      </c>
      <c r="D246" s="2" t="s">
        <v>124</v>
      </c>
      <c r="E246" s="2" t="s">
        <v>38</v>
      </c>
      <c r="F246" s="2" t="s">
        <v>123</v>
      </c>
      <c r="G246" s="2" t="s">
        <v>135</v>
      </c>
      <c r="H246" s="56" t="str">
        <f>Table1[[#This Row],[Tabela]]&amp;Table1[[#This Row],[Campo]]</f>
        <v>PROPERTY_ENERGY_CERTIFICATEEP_SCORE</v>
      </c>
      <c r="I246" s="2" t="s">
        <v>612</v>
      </c>
      <c r="J246" s="42">
        <f>VLOOKUP(Table1[[#This Row],[Status]],Auxiliar!$B$16:$C$24,2,0)</f>
        <v>1</v>
      </c>
      <c r="K246" s="2" t="s">
        <v>1169</v>
      </c>
      <c r="L246" s="28" t="s">
        <v>1166</v>
      </c>
      <c r="M246" s="20" t="s">
        <v>1175</v>
      </c>
      <c r="N246" s="47">
        <v>45737</v>
      </c>
      <c r="O246" s="20">
        <f>INDEX(Auxiliar!$D$5:$F$13,MATCH(Table1[[#This Row],[Tipologia_Testes]],Auxiliar!$B$5:$B$13,0),MATCH(Table1[[#This Row],[Complexidade]],Auxiliar!$D$4:$F$4,0))</f>
        <v>2</v>
      </c>
      <c r="P246" s="2"/>
      <c r="Q246" s="2"/>
      <c r="R246" s="151">
        <v>45261</v>
      </c>
      <c r="S246" s="151"/>
      <c r="T246" s="151"/>
      <c r="U246" s="151"/>
      <c r="V246" s="151"/>
      <c r="W246" s="2">
        <f>VLOOKUP(Table1[[#This Row],[Status]],Auxiliar!$B$16:$D$24,3,0)*Table1[[#This Row],[Estimação (horas)]]</f>
        <v>2</v>
      </c>
      <c r="X246" s="165">
        <f>+VLOOKUP(CONCATENATE(Table1[[#This Row],[Tabela]],Table1[[#This Row],[Campo]]),'2. Status Detalhe Campos FY24'!A:J,9,FALSE)</f>
        <v>0</v>
      </c>
      <c r="Y246" s="491" t="e">
        <f>+VLOOKUP(A246,#REF!,1,FALSE)</f>
        <v>#REF!</v>
      </c>
    </row>
    <row r="247" spans="1:25" ht="17.899999999999999" hidden="1" customHeight="1">
      <c r="A247" t="str">
        <f>+Table1[[#This Row],[Tabela]]&amp;Table1[[#This Row],[Campo]]</f>
        <v>PROPERTY_ENERGY_CERTIFICATEEP_SCORE</v>
      </c>
      <c r="B247" s="2" t="s">
        <v>26</v>
      </c>
      <c r="C247" s="2" t="s">
        <v>54</v>
      </c>
      <c r="D247" s="2" t="s">
        <v>124</v>
      </c>
      <c r="E247" s="2" t="s">
        <v>38</v>
      </c>
      <c r="F247" s="2" t="s">
        <v>123</v>
      </c>
      <c r="G247" s="2" t="s">
        <v>135</v>
      </c>
      <c r="H247" s="56" t="str">
        <f>Table1[[#This Row],[Tabela]]&amp;Table1[[#This Row],[Campo]]</f>
        <v>PROPERTY_ENERGY_CERTIFICATEEP_SCORE</v>
      </c>
      <c r="I247" s="2" t="s">
        <v>612</v>
      </c>
      <c r="J247" s="42">
        <f>VLOOKUP(Table1[[#This Row],[Status]],Auxiliar!$B$16:$C$24,2,0)</f>
        <v>1</v>
      </c>
      <c r="K247" s="2" t="s">
        <v>1171</v>
      </c>
      <c r="L247" s="28" t="s">
        <v>1166</v>
      </c>
      <c r="M247" s="20" t="s">
        <v>1175</v>
      </c>
      <c r="N247" s="47">
        <v>45737</v>
      </c>
      <c r="O247" s="20">
        <f>INDEX(Auxiliar!$D$5:$F$13,MATCH(Table1[[#This Row],[Tipologia_Testes]],Auxiliar!$B$5:$B$13,0),MATCH(Table1[[#This Row],[Complexidade]],Auxiliar!$D$4:$F$4,0))</f>
        <v>0.1</v>
      </c>
      <c r="P247" s="2"/>
      <c r="Q247" s="2"/>
      <c r="R247" s="151">
        <v>45261</v>
      </c>
      <c r="S247" s="151"/>
      <c r="T247" s="151"/>
      <c r="U247" s="151"/>
      <c r="V247" s="151"/>
      <c r="W247" s="2">
        <f>VLOOKUP(Table1[[#This Row],[Status]],Auxiliar!$B$16:$D$24,3,0)*Table1[[#This Row],[Estimação (horas)]]</f>
        <v>0.1</v>
      </c>
      <c r="X247" s="165">
        <f>+VLOOKUP(CONCATENATE(Table1[[#This Row],[Tabela]],Table1[[#This Row],[Campo]]),'2. Status Detalhe Campos FY24'!A:J,9,FALSE)</f>
        <v>0</v>
      </c>
      <c r="Y247" s="491" t="e">
        <f>+VLOOKUP(A247,#REF!,1,FALSE)</f>
        <v>#REF!</v>
      </c>
    </row>
    <row r="248" spans="1:25" ht="17.899999999999999" hidden="1" customHeight="1">
      <c r="A248" t="str">
        <f>+Table1[[#This Row],[Tabela]]&amp;Table1[[#This Row],[Campo]]</f>
        <v>PROPERTY_ENERGY_CERTIFICATESOURCE_CODE</v>
      </c>
      <c r="B248" s="2" t="s">
        <v>26</v>
      </c>
      <c r="C248" s="2" t="s">
        <v>54</v>
      </c>
      <c r="D248" s="2" t="s">
        <v>124</v>
      </c>
      <c r="E248" s="2" t="s">
        <v>38</v>
      </c>
      <c r="F248" s="2" t="s">
        <v>123</v>
      </c>
      <c r="G248" s="2" t="s">
        <v>87</v>
      </c>
      <c r="H248" s="56" t="str">
        <f>Table1[[#This Row],[Tabela]]&amp;Table1[[#This Row],[Campo]]</f>
        <v>PROPERTY_ENERGY_CERTIFICATESOURCE_CODE</v>
      </c>
      <c r="I248" s="2" t="s">
        <v>612</v>
      </c>
      <c r="J248" s="42">
        <f>VLOOKUP(Table1[[#This Row],[Status]],Auxiliar!$B$16:$C$24,2,0)</f>
        <v>1</v>
      </c>
      <c r="K248" s="2" t="s">
        <v>1168</v>
      </c>
      <c r="L248" s="28" t="s">
        <v>1166</v>
      </c>
      <c r="M248" s="20" t="s">
        <v>1175</v>
      </c>
      <c r="N248" s="47">
        <v>45612</v>
      </c>
      <c r="O248" s="20">
        <f>INDEX(Auxiliar!$D$5:$F$13,MATCH(Table1[[#This Row],[Tipologia_Testes]],Auxiliar!$B$5:$B$13,0),MATCH(Table1[[#This Row],[Complexidade]],Auxiliar!$D$4:$F$4,0))</f>
        <v>2</v>
      </c>
      <c r="P248" s="2"/>
      <c r="Q248" s="2"/>
      <c r="R248" s="151">
        <v>45616</v>
      </c>
      <c r="S248" s="151"/>
      <c r="T248" s="151"/>
      <c r="U248" s="151"/>
      <c r="V248" s="151">
        <v>45639</v>
      </c>
      <c r="W248" s="2">
        <f>VLOOKUP(Table1[[#This Row],[Status]],Auxiliar!$B$16:$D$24,3,0)*Table1[[#This Row],[Estimação (horas)]]</f>
        <v>2</v>
      </c>
      <c r="X248" s="165">
        <f>+VLOOKUP(CONCATENATE(Table1[[#This Row],[Tabela]],Table1[[#This Row],[Campo]]),'2. Status Detalhe Campos FY24'!A:J,9,FALSE)</f>
        <v>0</v>
      </c>
      <c r="Y248" s="491" t="e">
        <f>+VLOOKUP(A248,#REF!,1,FALSE)</f>
        <v>#REF!</v>
      </c>
    </row>
    <row r="249" spans="1:25" ht="17.899999999999999" hidden="1" customHeight="1">
      <c r="A249" t="str">
        <f>+Table1[[#This Row],[Tabela]]&amp;Table1[[#This Row],[Campo]]</f>
        <v>PROPERTY_ENERGY_CERTIFICATESOURCE_CODE</v>
      </c>
      <c r="B249" s="2" t="s">
        <v>26</v>
      </c>
      <c r="C249" s="2" t="s">
        <v>54</v>
      </c>
      <c r="D249" s="2" t="s">
        <v>124</v>
      </c>
      <c r="E249" s="2" t="s">
        <v>38</v>
      </c>
      <c r="F249" s="2" t="s">
        <v>123</v>
      </c>
      <c r="G249" s="2" t="s">
        <v>87</v>
      </c>
      <c r="H249" s="56" t="str">
        <f>Table1[[#This Row],[Tabela]]&amp;Table1[[#This Row],[Campo]]</f>
        <v>PROPERTY_ENERGY_CERTIFICATESOURCE_CODE</v>
      </c>
      <c r="I249" s="2" t="s">
        <v>612</v>
      </c>
      <c r="J249" s="42">
        <f>VLOOKUP(Table1[[#This Row],[Status]],Auxiliar!$B$16:$C$24,2,0)</f>
        <v>1</v>
      </c>
      <c r="K249" s="2" t="s">
        <v>1169</v>
      </c>
      <c r="L249" s="28" t="s">
        <v>1166</v>
      </c>
      <c r="M249" s="20" t="s">
        <v>1175</v>
      </c>
      <c r="N249" s="47">
        <v>45612</v>
      </c>
      <c r="O249" s="20">
        <f>INDEX(Auxiliar!$D$5:$F$13,MATCH(Table1[[#This Row],[Tipologia_Testes]],Auxiliar!$B$5:$B$13,0),MATCH(Table1[[#This Row],[Complexidade]],Auxiliar!$D$4:$F$4,0))</f>
        <v>2</v>
      </c>
      <c r="P249" s="2"/>
      <c r="Q249" s="2"/>
      <c r="R249" s="151">
        <v>45616</v>
      </c>
      <c r="S249" s="151"/>
      <c r="T249" s="151"/>
      <c r="U249" s="151"/>
      <c r="V249" s="151">
        <v>45639</v>
      </c>
      <c r="W249" s="2">
        <f>VLOOKUP(Table1[[#This Row],[Status]],Auxiliar!$B$16:$D$24,3,0)*Table1[[#This Row],[Estimação (horas)]]</f>
        <v>2</v>
      </c>
      <c r="X249" s="165">
        <f>+VLOOKUP(CONCATENATE(Table1[[#This Row],[Tabela]],Table1[[#This Row],[Campo]]),'2. Status Detalhe Campos FY24'!A:J,9,FALSE)</f>
        <v>0</v>
      </c>
      <c r="Y249" s="491" t="e">
        <f>+VLOOKUP(A249,#REF!,1,FALSE)</f>
        <v>#REF!</v>
      </c>
    </row>
    <row r="250" spans="1:25" ht="17.899999999999999" hidden="1" customHeight="1">
      <c r="A250" t="str">
        <f>+Table1[[#This Row],[Tabela]]&amp;Table1[[#This Row],[Campo]]</f>
        <v>PROPERTY_ENERGY_CERTIFICATESOURCE_CODE</v>
      </c>
      <c r="B250" s="2" t="s">
        <v>26</v>
      </c>
      <c r="C250" s="2" t="s">
        <v>54</v>
      </c>
      <c r="D250" s="2" t="s">
        <v>124</v>
      </c>
      <c r="E250" s="2" t="s">
        <v>38</v>
      </c>
      <c r="F250" s="2" t="s">
        <v>123</v>
      </c>
      <c r="G250" s="2" t="s">
        <v>87</v>
      </c>
      <c r="H250" s="56" t="str">
        <f>Table1[[#This Row],[Tabela]]&amp;Table1[[#This Row],[Campo]]</f>
        <v>PROPERTY_ENERGY_CERTIFICATESOURCE_CODE</v>
      </c>
      <c r="I250" s="2" t="s">
        <v>612</v>
      </c>
      <c r="J250" s="42">
        <f>VLOOKUP(Table1[[#This Row],[Status]],Auxiliar!$B$16:$C$24,2,0)</f>
        <v>1</v>
      </c>
      <c r="K250" s="2" t="s">
        <v>1171</v>
      </c>
      <c r="L250" s="28" t="s">
        <v>1166</v>
      </c>
      <c r="M250" s="20" t="s">
        <v>1175</v>
      </c>
      <c r="N250" s="47">
        <v>45612</v>
      </c>
      <c r="O250" s="20">
        <f>INDEX(Auxiliar!$D$5:$F$13,MATCH(Table1[[#This Row],[Tipologia_Testes]],Auxiliar!$B$5:$B$13,0),MATCH(Table1[[#This Row],[Complexidade]],Auxiliar!$D$4:$F$4,0))</f>
        <v>0.1</v>
      </c>
      <c r="P250" s="2"/>
      <c r="Q250" s="2"/>
      <c r="R250" s="151">
        <v>45616</v>
      </c>
      <c r="S250" s="151"/>
      <c r="T250" s="151"/>
      <c r="U250" s="151"/>
      <c r="V250" s="151">
        <v>45639</v>
      </c>
      <c r="W250" s="2">
        <f>VLOOKUP(Table1[[#This Row],[Status]],Auxiliar!$B$16:$D$24,3,0)*Table1[[#This Row],[Estimação (horas)]]</f>
        <v>0.1</v>
      </c>
      <c r="X250" s="165">
        <f>+VLOOKUP(CONCATENATE(Table1[[#This Row],[Tabela]],Table1[[#This Row],[Campo]]),'2. Status Detalhe Campos FY24'!A:J,9,FALSE)</f>
        <v>0</v>
      </c>
      <c r="Y250" s="491" t="e">
        <f>+VLOOKUP(A250,#REF!,1,FALSE)</f>
        <v>#REF!</v>
      </c>
    </row>
    <row r="251" spans="1:25" ht="17.899999999999999" hidden="1" customHeight="1">
      <c r="A251" t="str">
        <f>+Table1[[#This Row],[Tabela]]&amp;Table1[[#This Row],[Campo]]</f>
        <v>PROPERTY_ENERGY_CERTIFICATEDATA_DATE_PART</v>
      </c>
      <c r="B251" s="2" t="s">
        <v>26</v>
      </c>
      <c r="C251" s="2" t="s">
        <v>54</v>
      </c>
      <c r="D251" s="2" t="s">
        <v>124</v>
      </c>
      <c r="E251" s="2" t="s">
        <v>38</v>
      </c>
      <c r="F251" s="2" t="s">
        <v>123</v>
      </c>
      <c r="G251" s="2" t="s">
        <v>73</v>
      </c>
      <c r="H251" s="56" t="str">
        <f>Table1[[#This Row],[Tabela]]&amp;Table1[[#This Row],[Campo]]</f>
        <v>PROPERTY_ENERGY_CERTIFICATEDATA_DATE_PART</v>
      </c>
      <c r="I251" s="2" t="s">
        <v>612</v>
      </c>
      <c r="J251" s="42">
        <f>VLOOKUP(Table1[[#This Row],[Status]],Auxiliar!$B$16:$C$24,2,0)</f>
        <v>1</v>
      </c>
      <c r="K251" s="2" t="s">
        <v>1168</v>
      </c>
      <c r="L251" s="28" t="s">
        <v>1166</v>
      </c>
      <c r="M251" s="20" t="s">
        <v>1175</v>
      </c>
      <c r="N251" s="47">
        <v>45485</v>
      </c>
      <c r="O251" s="20">
        <f>INDEX(Auxiliar!$D$5:$F$13,MATCH(Table1[[#This Row],[Tipologia_Testes]],Auxiliar!$B$5:$B$13,0),MATCH(Table1[[#This Row],[Complexidade]],Auxiliar!$D$4:$F$4,0))</f>
        <v>2</v>
      </c>
      <c r="P251" s="2" t="s">
        <v>1192</v>
      </c>
      <c r="Q251" s="2"/>
      <c r="R251" s="151">
        <v>45261</v>
      </c>
      <c r="S251" s="151"/>
      <c r="T251" s="151"/>
      <c r="U251" s="151"/>
      <c r="V251" s="151"/>
      <c r="W251" s="2">
        <f>VLOOKUP(Table1[[#This Row],[Status]],Auxiliar!$B$16:$D$24,3,0)*Table1[[#This Row],[Estimação (horas)]]</f>
        <v>2</v>
      </c>
      <c r="X251" s="165">
        <f>+VLOOKUP(CONCATENATE(Table1[[#This Row],[Tabela]],Table1[[#This Row],[Campo]]),'2. Status Detalhe Campos FY24'!A:J,9,FALSE)</f>
        <v>0</v>
      </c>
      <c r="Y251" s="491" t="e">
        <f>+VLOOKUP(A251,#REF!,1,FALSE)</f>
        <v>#REF!</v>
      </c>
    </row>
    <row r="252" spans="1:25" ht="17.899999999999999" hidden="1" customHeight="1">
      <c r="A252" t="str">
        <f>+Table1[[#This Row],[Tabela]]&amp;Table1[[#This Row],[Campo]]</f>
        <v>PROPERTY_ENERGY_CERTIFICATEDATA_DATE_PART</v>
      </c>
      <c r="B252" s="2" t="s">
        <v>26</v>
      </c>
      <c r="C252" s="2" t="s">
        <v>54</v>
      </c>
      <c r="D252" s="2" t="s">
        <v>124</v>
      </c>
      <c r="E252" s="2" t="s">
        <v>38</v>
      </c>
      <c r="F252" s="2" t="s">
        <v>123</v>
      </c>
      <c r="G252" s="2" t="s">
        <v>73</v>
      </c>
      <c r="H252" s="56" t="str">
        <f>Table1[[#This Row],[Tabela]]&amp;Table1[[#This Row],[Campo]]</f>
        <v>PROPERTY_ENERGY_CERTIFICATEDATA_DATE_PART</v>
      </c>
      <c r="I252" s="2" t="s">
        <v>612</v>
      </c>
      <c r="J252" s="42">
        <f>VLOOKUP(Table1[[#This Row],[Status]],Auxiliar!$B$16:$C$24,2,0)</f>
        <v>1</v>
      </c>
      <c r="K252" s="2" t="s">
        <v>1169</v>
      </c>
      <c r="L252" s="28" t="s">
        <v>1166</v>
      </c>
      <c r="M252" s="20" t="s">
        <v>1175</v>
      </c>
      <c r="N252" s="47">
        <v>45485</v>
      </c>
      <c r="O252" s="20">
        <f>INDEX(Auxiliar!$D$5:$F$13,MATCH(Table1[[#This Row],[Tipologia_Testes]],Auxiliar!$B$5:$B$13,0),MATCH(Table1[[#This Row],[Complexidade]],Auxiliar!$D$4:$F$4,0))</f>
        <v>2</v>
      </c>
      <c r="P252" s="2" t="s">
        <v>1192</v>
      </c>
      <c r="Q252" s="2"/>
      <c r="R252" s="151">
        <v>45261</v>
      </c>
      <c r="S252" s="151"/>
      <c r="T252" s="151"/>
      <c r="U252" s="151"/>
      <c r="V252" s="151"/>
      <c r="W252" s="2">
        <f>VLOOKUP(Table1[[#This Row],[Status]],Auxiliar!$B$16:$D$24,3,0)*Table1[[#This Row],[Estimação (horas)]]</f>
        <v>2</v>
      </c>
      <c r="X252" s="165">
        <f>+VLOOKUP(CONCATENATE(Table1[[#This Row],[Tabela]],Table1[[#This Row],[Campo]]),'2. Status Detalhe Campos FY24'!A:J,9,FALSE)</f>
        <v>0</v>
      </c>
      <c r="Y252" s="491" t="e">
        <f>+VLOOKUP(A252,#REF!,1,FALSE)</f>
        <v>#REF!</v>
      </c>
    </row>
    <row r="253" spans="1:25" ht="17.899999999999999" hidden="1" customHeight="1">
      <c r="A253" t="str">
        <f>+Table1[[#This Row],[Tabela]]&amp;Table1[[#This Row],[Campo]]</f>
        <v>PROPERTY_ENERGY_CERTIFICATEDATA_DATE_PART</v>
      </c>
      <c r="B253" s="2" t="s">
        <v>26</v>
      </c>
      <c r="C253" s="2" t="s">
        <v>54</v>
      </c>
      <c r="D253" s="2" t="s">
        <v>124</v>
      </c>
      <c r="E253" s="2" t="s">
        <v>38</v>
      </c>
      <c r="F253" s="2" t="s">
        <v>123</v>
      </c>
      <c r="G253" s="2" t="s">
        <v>73</v>
      </c>
      <c r="H253" s="56" t="str">
        <f>Table1[[#This Row],[Tabela]]&amp;Table1[[#This Row],[Campo]]</f>
        <v>PROPERTY_ENERGY_CERTIFICATEDATA_DATE_PART</v>
      </c>
      <c r="I253" s="2" t="s">
        <v>612</v>
      </c>
      <c r="J253" s="42">
        <f>VLOOKUP(Table1[[#This Row],[Status]],Auxiliar!$B$16:$C$24,2,0)</f>
        <v>1</v>
      </c>
      <c r="K253" s="2" t="s">
        <v>1171</v>
      </c>
      <c r="L253" s="28" t="s">
        <v>1166</v>
      </c>
      <c r="M253" s="20" t="s">
        <v>1175</v>
      </c>
      <c r="N253" s="47">
        <v>45485</v>
      </c>
      <c r="O253" s="20">
        <f>INDEX(Auxiliar!$D$5:$F$13,MATCH(Table1[[#This Row],[Tipologia_Testes]],Auxiliar!$B$5:$B$13,0),MATCH(Table1[[#This Row],[Complexidade]],Auxiliar!$D$4:$F$4,0))</f>
        <v>0.1</v>
      </c>
      <c r="P253" s="2" t="s">
        <v>1192</v>
      </c>
      <c r="Q253" s="2"/>
      <c r="R253" s="151">
        <v>45261</v>
      </c>
      <c r="S253" s="151"/>
      <c r="T253" s="151"/>
      <c r="U253" s="151"/>
      <c r="V253" s="151"/>
      <c r="W253" s="2">
        <f>VLOOKUP(Table1[[#This Row],[Status]],Auxiliar!$B$16:$D$24,3,0)*Table1[[#This Row],[Estimação (horas)]]</f>
        <v>0.1</v>
      </c>
      <c r="X253" s="165">
        <f>+VLOOKUP(CONCATENATE(Table1[[#This Row],[Tabela]],Table1[[#This Row],[Campo]]),'2. Status Detalhe Campos FY24'!A:J,9,FALSE)</f>
        <v>0</v>
      </c>
      <c r="Y253" s="491" t="e">
        <f>+VLOOKUP(A253,#REF!,1,FALSE)</f>
        <v>#REF!</v>
      </c>
    </row>
    <row r="254" spans="1:25" ht="17.899999999999999" hidden="1" customHeight="1">
      <c r="A254" t="str">
        <f>+Table1[[#This Row],[Tabela]]&amp;Table1[[#This Row],[Campo]]</f>
        <v>PROPERTY_ENERGY_CERTIFICATECERTIFICATE_TYPE</v>
      </c>
      <c r="B254" s="2" t="s">
        <v>26</v>
      </c>
      <c r="C254" s="2" t="s">
        <v>54</v>
      </c>
      <c r="D254" s="2" t="s">
        <v>124</v>
      </c>
      <c r="E254" s="2" t="s">
        <v>38</v>
      </c>
      <c r="F254" s="2" t="s">
        <v>123</v>
      </c>
      <c r="G254" s="2" t="s">
        <v>136</v>
      </c>
      <c r="H254" s="56" t="str">
        <f>Table1[[#This Row],[Tabela]]&amp;Table1[[#This Row],[Campo]]</f>
        <v>PROPERTY_ENERGY_CERTIFICATECERTIFICATE_TYPE</v>
      </c>
      <c r="I254" s="2" t="s">
        <v>612</v>
      </c>
      <c r="J254" s="42">
        <f>VLOOKUP(Table1[[#This Row],[Status]],Auxiliar!$B$16:$C$24,2,0)</f>
        <v>1</v>
      </c>
      <c r="K254" s="2" t="s">
        <v>1168</v>
      </c>
      <c r="L254" s="28" t="s">
        <v>1166</v>
      </c>
      <c r="M254" s="20" t="s">
        <v>1175</v>
      </c>
      <c r="N254" s="47">
        <v>45612</v>
      </c>
      <c r="O254" s="20">
        <f>INDEX(Auxiliar!$D$5:$F$13,MATCH(Table1[[#This Row],[Tipologia_Testes]],Auxiliar!$B$5:$B$13,0),MATCH(Table1[[#This Row],[Complexidade]],Auxiliar!$D$4:$F$4,0))</f>
        <v>2</v>
      </c>
      <c r="P254" s="2"/>
      <c r="Q254" s="2"/>
      <c r="R254" s="151">
        <v>45616</v>
      </c>
      <c r="S254" s="151"/>
      <c r="T254" s="151"/>
      <c r="U254" s="151"/>
      <c r="V254" s="151">
        <v>45639</v>
      </c>
      <c r="W254" s="2">
        <f>VLOOKUP(Table1[[#This Row],[Status]],Auxiliar!$B$16:$D$24,3,0)*Table1[[#This Row],[Estimação (horas)]]</f>
        <v>2</v>
      </c>
      <c r="X254" s="165">
        <f>+VLOOKUP(CONCATENATE(Table1[[#This Row],[Tabela]],Table1[[#This Row],[Campo]]),'2. Status Detalhe Campos FY24'!A:J,9,FALSE)</f>
        <v>0</v>
      </c>
      <c r="Y254" s="491" t="e">
        <f>+VLOOKUP(A254,#REF!,1,FALSE)</f>
        <v>#REF!</v>
      </c>
    </row>
    <row r="255" spans="1:25" ht="17.899999999999999" hidden="1" customHeight="1">
      <c r="A255" t="str">
        <f>+Table1[[#This Row],[Tabela]]&amp;Table1[[#This Row],[Campo]]</f>
        <v>PROPERTY_ENERGY_CERTIFICATECERTIFICATE_TYPE</v>
      </c>
      <c r="B255" s="2" t="s">
        <v>26</v>
      </c>
      <c r="C255" s="2" t="s">
        <v>54</v>
      </c>
      <c r="D255" s="2" t="s">
        <v>124</v>
      </c>
      <c r="E255" s="2" t="s">
        <v>38</v>
      </c>
      <c r="F255" s="2" t="s">
        <v>123</v>
      </c>
      <c r="G255" s="2" t="s">
        <v>136</v>
      </c>
      <c r="H255" s="56" t="str">
        <f>Table1[[#This Row],[Tabela]]&amp;Table1[[#This Row],[Campo]]</f>
        <v>PROPERTY_ENERGY_CERTIFICATECERTIFICATE_TYPE</v>
      </c>
      <c r="I255" s="2" t="s">
        <v>612</v>
      </c>
      <c r="J255" s="42">
        <f>VLOOKUP(Table1[[#This Row],[Status]],Auxiliar!$B$16:$C$24,2,0)</f>
        <v>1</v>
      </c>
      <c r="K255" s="2" t="s">
        <v>1169</v>
      </c>
      <c r="L255" s="28" t="s">
        <v>1166</v>
      </c>
      <c r="M255" s="20" t="s">
        <v>1175</v>
      </c>
      <c r="N255" s="47">
        <v>45612</v>
      </c>
      <c r="O255" s="20">
        <f>INDEX(Auxiliar!$D$5:$F$13,MATCH(Table1[[#This Row],[Tipologia_Testes]],Auxiliar!$B$5:$B$13,0),MATCH(Table1[[#This Row],[Complexidade]],Auxiliar!$D$4:$F$4,0))</f>
        <v>2</v>
      </c>
      <c r="P255" s="2"/>
      <c r="Q255" s="2"/>
      <c r="R255" s="151">
        <v>45616</v>
      </c>
      <c r="S255" s="151"/>
      <c r="T255" s="151"/>
      <c r="U255" s="151"/>
      <c r="V255" s="151">
        <v>45639</v>
      </c>
      <c r="W255" s="2">
        <f>VLOOKUP(Table1[[#This Row],[Status]],Auxiliar!$B$16:$D$24,3,0)*Table1[[#This Row],[Estimação (horas)]]</f>
        <v>2</v>
      </c>
      <c r="X255" s="165">
        <f>+VLOOKUP(CONCATENATE(Table1[[#This Row],[Tabela]],Table1[[#This Row],[Campo]]),'2. Status Detalhe Campos FY24'!A:J,9,FALSE)</f>
        <v>0</v>
      </c>
      <c r="Y255" s="491" t="e">
        <f>+VLOOKUP(A255,#REF!,1,FALSE)</f>
        <v>#REF!</v>
      </c>
    </row>
    <row r="256" spans="1:25" ht="17.899999999999999" hidden="1" customHeight="1">
      <c r="A256" t="str">
        <f>+Table1[[#This Row],[Tabela]]&amp;Table1[[#This Row],[Campo]]</f>
        <v>PROPERTY_ENERGY_CERTIFICATECERTIFICATE_TYPE</v>
      </c>
      <c r="B256" s="2" t="s">
        <v>26</v>
      </c>
      <c r="C256" s="2" t="s">
        <v>54</v>
      </c>
      <c r="D256" s="2" t="s">
        <v>124</v>
      </c>
      <c r="E256" s="2" t="s">
        <v>38</v>
      </c>
      <c r="F256" s="2" t="s">
        <v>123</v>
      </c>
      <c r="G256" s="2" t="s">
        <v>136</v>
      </c>
      <c r="H256" s="56" t="str">
        <f>Table1[[#This Row],[Tabela]]&amp;Table1[[#This Row],[Campo]]</f>
        <v>PROPERTY_ENERGY_CERTIFICATECERTIFICATE_TYPE</v>
      </c>
      <c r="I256" s="2" t="s">
        <v>612</v>
      </c>
      <c r="J256" s="42">
        <f>VLOOKUP(Table1[[#This Row],[Status]],Auxiliar!$B$16:$C$24,2,0)</f>
        <v>1</v>
      </c>
      <c r="K256" s="2" t="s">
        <v>1171</v>
      </c>
      <c r="L256" s="28" t="s">
        <v>1166</v>
      </c>
      <c r="M256" s="20" t="s">
        <v>1175</v>
      </c>
      <c r="N256" s="47">
        <v>45612</v>
      </c>
      <c r="O256" s="20">
        <f>INDEX(Auxiliar!$D$5:$F$13,MATCH(Table1[[#This Row],[Tipologia_Testes]],Auxiliar!$B$5:$B$13,0),MATCH(Table1[[#This Row],[Complexidade]],Auxiliar!$D$4:$F$4,0))</f>
        <v>0.1</v>
      </c>
      <c r="P256" s="2"/>
      <c r="Q256" s="2"/>
      <c r="R256" s="151">
        <v>45616</v>
      </c>
      <c r="S256" s="151"/>
      <c r="T256" s="151"/>
      <c r="U256" s="151"/>
      <c r="V256" s="151">
        <v>45639</v>
      </c>
      <c r="W256" s="2">
        <f>VLOOKUP(Table1[[#This Row],[Status]],Auxiliar!$B$16:$D$24,3,0)*Table1[[#This Row],[Estimação (horas)]]</f>
        <v>0.1</v>
      </c>
      <c r="X256" s="165">
        <f>+VLOOKUP(CONCATENATE(Table1[[#This Row],[Tabela]],Table1[[#This Row],[Campo]]),'2. Status Detalhe Campos FY24'!A:J,9,FALSE)</f>
        <v>0</v>
      </c>
      <c r="Y256" s="491" t="e">
        <f>+VLOOKUP(A256,#REF!,1,FALSE)</f>
        <v>#REF!</v>
      </c>
    </row>
    <row r="257" spans="1:25" ht="17.899999999999999" hidden="1" customHeight="1">
      <c r="A257" t="str">
        <f>+Table1[[#This Row],[Tabela]]&amp;Table1[[#This Row],[Campo]]</f>
        <v>PROPERTY_ENERGY_CERTIFICATEBUILDING_DOMEST_HOTWATER_VALUE</v>
      </c>
      <c r="B257" s="2" t="s">
        <v>26</v>
      </c>
      <c r="C257" s="2" t="s">
        <v>54</v>
      </c>
      <c r="D257" s="2" t="s">
        <v>124</v>
      </c>
      <c r="E257" s="2" t="s">
        <v>38</v>
      </c>
      <c r="F257" s="2" t="s">
        <v>123</v>
      </c>
      <c r="G257" s="2" t="s">
        <v>137</v>
      </c>
      <c r="H257" s="56" t="str">
        <f>Table1[[#This Row],[Tabela]]&amp;Table1[[#This Row],[Campo]]</f>
        <v>PROPERTY_ENERGY_CERTIFICATEBUILDING_DOMEST_HOTWATER_VALUE</v>
      </c>
      <c r="I257" s="2" t="s">
        <v>612</v>
      </c>
      <c r="J257" s="42">
        <f>VLOOKUP(Table1[[#This Row],[Status]],Auxiliar!$B$16:$C$24,2,0)</f>
        <v>1</v>
      </c>
      <c r="K257" s="2" t="s">
        <v>1168</v>
      </c>
      <c r="L257" s="28" t="s">
        <v>1166</v>
      </c>
      <c r="M257" s="20" t="s">
        <v>1175</v>
      </c>
      <c r="N257" s="47">
        <v>45485</v>
      </c>
      <c r="O257" s="20">
        <f>INDEX(Auxiliar!$D$5:$F$13,MATCH(Table1[[#This Row],[Tipologia_Testes]],Auxiliar!$B$5:$B$13,0),MATCH(Table1[[#This Row],[Complexidade]],Auxiliar!$D$4:$F$4,0))</f>
        <v>2</v>
      </c>
      <c r="P257" s="2" t="s">
        <v>1192</v>
      </c>
      <c r="Q257" s="2"/>
      <c r="R257" s="151">
        <v>45261</v>
      </c>
      <c r="S257" s="151"/>
      <c r="T257" s="151"/>
      <c r="U257" s="151"/>
      <c r="V257" s="151"/>
      <c r="W257" s="2">
        <f>VLOOKUP(Table1[[#This Row],[Status]],Auxiliar!$B$16:$D$24,3,0)*Table1[[#This Row],[Estimação (horas)]]</f>
        <v>2</v>
      </c>
      <c r="X257" s="165">
        <f>+VLOOKUP(CONCATENATE(Table1[[#This Row],[Tabela]],Table1[[#This Row],[Campo]]),'2. Status Detalhe Campos FY24'!A:J,9,FALSE)</f>
        <v>0</v>
      </c>
      <c r="Y257" s="491" t="e">
        <f>+VLOOKUP(A257,#REF!,1,FALSE)</f>
        <v>#REF!</v>
      </c>
    </row>
    <row r="258" spans="1:25" ht="17.899999999999999" hidden="1" customHeight="1">
      <c r="A258" t="str">
        <f>+Table1[[#This Row],[Tabela]]&amp;Table1[[#This Row],[Campo]]</f>
        <v>PROPERTY_ENERGY_CERTIFICATEBUILDING_DOMEST_HOTWATER_VALUE</v>
      </c>
      <c r="B258" s="2" t="s">
        <v>26</v>
      </c>
      <c r="C258" s="2" t="s">
        <v>54</v>
      </c>
      <c r="D258" s="2" t="s">
        <v>124</v>
      </c>
      <c r="E258" s="2" t="s">
        <v>38</v>
      </c>
      <c r="F258" s="2" t="s">
        <v>123</v>
      </c>
      <c r="G258" s="2" t="s">
        <v>137</v>
      </c>
      <c r="H258" s="56" t="str">
        <f>Table1[[#This Row],[Tabela]]&amp;Table1[[#This Row],[Campo]]</f>
        <v>PROPERTY_ENERGY_CERTIFICATEBUILDING_DOMEST_HOTWATER_VALUE</v>
      </c>
      <c r="I258" s="2" t="s">
        <v>612</v>
      </c>
      <c r="J258" s="42">
        <f>VLOOKUP(Table1[[#This Row],[Status]],Auxiliar!$B$16:$C$24,2,0)</f>
        <v>1</v>
      </c>
      <c r="K258" s="2" t="s">
        <v>1169</v>
      </c>
      <c r="L258" s="28" t="s">
        <v>1166</v>
      </c>
      <c r="M258" s="20" t="s">
        <v>1175</v>
      </c>
      <c r="N258" s="47">
        <v>45485</v>
      </c>
      <c r="O258" s="20">
        <f>INDEX(Auxiliar!$D$5:$F$13,MATCH(Table1[[#This Row],[Tipologia_Testes]],Auxiliar!$B$5:$B$13,0),MATCH(Table1[[#This Row],[Complexidade]],Auxiliar!$D$4:$F$4,0))</f>
        <v>2</v>
      </c>
      <c r="P258" s="2" t="s">
        <v>1192</v>
      </c>
      <c r="Q258" s="2"/>
      <c r="R258" s="151">
        <v>45261</v>
      </c>
      <c r="S258" s="151"/>
      <c r="T258" s="151"/>
      <c r="U258" s="151"/>
      <c r="V258" s="151"/>
      <c r="W258" s="2">
        <f>VLOOKUP(Table1[[#This Row],[Status]],Auxiliar!$B$16:$D$24,3,0)*Table1[[#This Row],[Estimação (horas)]]</f>
        <v>2</v>
      </c>
      <c r="X258" s="165">
        <f>+VLOOKUP(CONCATENATE(Table1[[#This Row],[Tabela]],Table1[[#This Row],[Campo]]),'2. Status Detalhe Campos FY24'!A:J,9,FALSE)</f>
        <v>0</v>
      </c>
      <c r="Y258" s="491" t="e">
        <f>+VLOOKUP(A258,#REF!,1,FALSE)</f>
        <v>#REF!</v>
      </c>
    </row>
    <row r="259" spans="1:25" ht="17.899999999999999" hidden="1" customHeight="1">
      <c r="A259" t="str">
        <f>+Table1[[#This Row],[Tabela]]&amp;Table1[[#This Row],[Campo]]</f>
        <v>PROPERTY_ENERGY_CERTIFICATEBUILDING_DOMEST_HOTWATER_VALUE</v>
      </c>
      <c r="B259" s="2" t="s">
        <v>26</v>
      </c>
      <c r="C259" s="2" t="s">
        <v>54</v>
      </c>
      <c r="D259" s="2" t="s">
        <v>124</v>
      </c>
      <c r="E259" s="2" t="s">
        <v>38</v>
      </c>
      <c r="F259" s="2" t="s">
        <v>123</v>
      </c>
      <c r="G259" s="2" t="s">
        <v>137</v>
      </c>
      <c r="H259" s="56" t="str">
        <f>Table1[[#This Row],[Tabela]]&amp;Table1[[#This Row],[Campo]]</f>
        <v>PROPERTY_ENERGY_CERTIFICATEBUILDING_DOMEST_HOTWATER_VALUE</v>
      </c>
      <c r="I259" s="2" t="s">
        <v>612</v>
      </c>
      <c r="J259" s="42">
        <f>VLOOKUP(Table1[[#This Row],[Status]],Auxiliar!$B$16:$C$24,2,0)</f>
        <v>1</v>
      </c>
      <c r="K259" s="2" t="s">
        <v>1171</v>
      </c>
      <c r="L259" s="28" t="s">
        <v>1166</v>
      </c>
      <c r="M259" s="20" t="s">
        <v>1175</v>
      </c>
      <c r="N259" s="47">
        <v>45485</v>
      </c>
      <c r="O259" s="20">
        <f>INDEX(Auxiliar!$D$5:$F$13,MATCH(Table1[[#This Row],[Tipologia_Testes]],Auxiliar!$B$5:$B$13,0),MATCH(Table1[[#This Row],[Complexidade]],Auxiliar!$D$4:$F$4,0))</f>
        <v>0.1</v>
      </c>
      <c r="P259" s="2" t="s">
        <v>1192</v>
      </c>
      <c r="Q259" s="2"/>
      <c r="R259" s="151">
        <v>45261</v>
      </c>
      <c r="S259" s="151"/>
      <c r="T259" s="151"/>
      <c r="U259" s="151"/>
      <c r="V259" s="151"/>
      <c r="W259" s="2">
        <f>VLOOKUP(Table1[[#This Row],[Status]],Auxiliar!$B$16:$D$24,3,0)*Table1[[#This Row],[Estimação (horas)]]</f>
        <v>0.1</v>
      </c>
      <c r="X259" s="165">
        <f>+VLOOKUP(CONCATENATE(Table1[[#This Row],[Tabela]],Table1[[#This Row],[Campo]]),'2. Status Detalhe Campos FY24'!A:J,9,FALSE)</f>
        <v>0</v>
      </c>
      <c r="Y259" s="491" t="e">
        <f>+VLOOKUP(A259,#REF!,1,FALSE)</f>
        <v>#REF!</v>
      </c>
    </row>
    <row r="260" spans="1:25" ht="17.899999999999999" hidden="1" customHeight="1">
      <c r="A260" t="str">
        <f>+Table1[[#This Row],[Tabela]]&amp;Table1[[#This Row],[Campo]]</f>
        <v>PROPERTY_ENERGY_CERTIFICATERENEWABLE_DOMEST_HOTWATER_VALUE</v>
      </c>
      <c r="B260" s="2" t="s">
        <v>26</v>
      </c>
      <c r="C260" s="2" t="s">
        <v>54</v>
      </c>
      <c r="D260" s="2" t="s">
        <v>124</v>
      </c>
      <c r="E260" s="2" t="s">
        <v>38</v>
      </c>
      <c r="F260" s="2" t="s">
        <v>123</v>
      </c>
      <c r="G260" s="2" t="s">
        <v>138</v>
      </c>
      <c r="H260" s="56" t="str">
        <f>Table1[[#This Row],[Tabela]]&amp;Table1[[#This Row],[Campo]]</f>
        <v>PROPERTY_ENERGY_CERTIFICATERENEWABLE_DOMEST_HOTWATER_VALUE</v>
      </c>
      <c r="I260" s="2" t="s">
        <v>612</v>
      </c>
      <c r="J260" s="42">
        <f>VLOOKUP(Table1[[#This Row],[Status]],Auxiliar!$B$16:$C$24,2,0)</f>
        <v>1</v>
      </c>
      <c r="K260" s="2" t="s">
        <v>1168</v>
      </c>
      <c r="L260" s="28" t="s">
        <v>1166</v>
      </c>
      <c r="M260" s="20" t="s">
        <v>1175</v>
      </c>
      <c r="N260" s="47">
        <v>45485</v>
      </c>
      <c r="O260" s="20">
        <f>INDEX(Auxiliar!$D$5:$F$13,MATCH(Table1[[#This Row],[Tipologia_Testes]],Auxiliar!$B$5:$B$13,0),MATCH(Table1[[#This Row],[Complexidade]],Auxiliar!$D$4:$F$4,0))</f>
        <v>2</v>
      </c>
      <c r="P260" s="2" t="s">
        <v>1192</v>
      </c>
      <c r="Q260" s="2"/>
      <c r="R260" s="151">
        <v>45261</v>
      </c>
      <c r="S260" s="151"/>
      <c r="T260" s="151"/>
      <c r="U260" s="151"/>
      <c r="V260" s="151"/>
      <c r="W260" s="2">
        <f>VLOOKUP(Table1[[#This Row],[Status]],Auxiliar!$B$16:$D$24,3,0)*Table1[[#This Row],[Estimação (horas)]]</f>
        <v>2</v>
      </c>
      <c r="X260" s="165">
        <f>+VLOOKUP(CONCATENATE(Table1[[#This Row],[Tabela]],Table1[[#This Row],[Campo]]),'2. Status Detalhe Campos FY24'!A:J,9,FALSE)</f>
        <v>0</v>
      </c>
      <c r="Y260" s="491" t="e">
        <f>+VLOOKUP(A260,#REF!,1,FALSE)</f>
        <v>#REF!</v>
      </c>
    </row>
    <row r="261" spans="1:25" ht="17.899999999999999" hidden="1" customHeight="1">
      <c r="A261" t="str">
        <f>+Table1[[#This Row],[Tabela]]&amp;Table1[[#This Row],[Campo]]</f>
        <v>PROPERTY_ENERGY_CERTIFICATERENEWABLE_DOMEST_HOTWATER_VALUE</v>
      </c>
      <c r="B261" s="2" t="s">
        <v>26</v>
      </c>
      <c r="C261" s="2" t="s">
        <v>54</v>
      </c>
      <c r="D261" s="2" t="s">
        <v>124</v>
      </c>
      <c r="E261" s="2" t="s">
        <v>38</v>
      </c>
      <c r="F261" s="2" t="s">
        <v>123</v>
      </c>
      <c r="G261" s="2" t="s">
        <v>138</v>
      </c>
      <c r="H261" s="56" t="str">
        <f>Table1[[#This Row],[Tabela]]&amp;Table1[[#This Row],[Campo]]</f>
        <v>PROPERTY_ENERGY_CERTIFICATERENEWABLE_DOMEST_HOTWATER_VALUE</v>
      </c>
      <c r="I261" s="2" t="s">
        <v>612</v>
      </c>
      <c r="J261" s="42">
        <f>VLOOKUP(Table1[[#This Row],[Status]],Auxiliar!$B$16:$C$24,2,0)</f>
        <v>1</v>
      </c>
      <c r="K261" s="2" t="s">
        <v>1169</v>
      </c>
      <c r="L261" s="28" t="s">
        <v>1166</v>
      </c>
      <c r="M261" s="20" t="s">
        <v>1175</v>
      </c>
      <c r="N261" s="47">
        <v>45485</v>
      </c>
      <c r="O261" s="20">
        <f>INDEX(Auxiliar!$D$5:$F$13,MATCH(Table1[[#This Row],[Tipologia_Testes]],Auxiliar!$B$5:$B$13,0),MATCH(Table1[[#This Row],[Complexidade]],Auxiliar!$D$4:$F$4,0))</f>
        <v>2</v>
      </c>
      <c r="P261" s="2" t="s">
        <v>1192</v>
      </c>
      <c r="Q261" s="2"/>
      <c r="R261" s="151">
        <v>45261</v>
      </c>
      <c r="S261" s="151"/>
      <c r="T261" s="151"/>
      <c r="U261" s="151"/>
      <c r="V261" s="151"/>
      <c r="W261" s="2">
        <f>VLOOKUP(Table1[[#This Row],[Status]],Auxiliar!$B$16:$D$24,3,0)*Table1[[#This Row],[Estimação (horas)]]</f>
        <v>2</v>
      </c>
      <c r="X261" s="165">
        <f>+VLOOKUP(CONCATENATE(Table1[[#This Row],[Tabela]],Table1[[#This Row],[Campo]]),'2. Status Detalhe Campos FY24'!A:J,9,FALSE)</f>
        <v>0</v>
      </c>
      <c r="Y261" s="491" t="e">
        <f>+VLOOKUP(A261,#REF!,1,FALSE)</f>
        <v>#REF!</v>
      </c>
    </row>
    <row r="262" spans="1:25" ht="17.899999999999999" hidden="1" customHeight="1">
      <c r="A262" t="str">
        <f>+Table1[[#This Row],[Tabela]]&amp;Table1[[#This Row],[Campo]]</f>
        <v>PROPERTY_ENERGY_CERTIFICATERENEWABLE_DOMEST_HOTWATER_VALUE</v>
      </c>
      <c r="B262" s="2" t="s">
        <v>26</v>
      </c>
      <c r="C262" s="2" t="s">
        <v>54</v>
      </c>
      <c r="D262" s="2" t="s">
        <v>124</v>
      </c>
      <c r="E262" s="2" t="s">
        <v>38</v>
      </c>
      <c r="F262" s="2" t="s">
        <v>123</v>
      </c>
      <c r="G262" s="2" t="s">
        <v>138</v>
      </c>
      <c r="H262" s="56" t="str">
        <f>Table1[[#This Row],[Tabela]]&amp;Table1[[#This Row],[Campo]]</f>
        <v>PROPERTY_ENERGY_CERTIFICATERENEWABLE_DOMEST_HOTWATER_VALUE</v>
      </c>
      <c r="I262" s="2" t="s">
        <v>612</v>
      </c>
      <c r="J262" s="42">
        <f>VLOOKUP(Table1[[#This Row],[Status]],Auxiliar!$B$16:$C$24,2,0)</f>
        <v>1</v>
      </c>
      <c r="K262" s="2" t="s">
        <v>1171</v>
      </c>
      <c r="L262" s="28" t="s">
        <v>1166</v>
      </c>
      <c r="M262" s="20" t="s">
        <v>1175</v>
      </c>
      <c r="N262" s="47">
        <v>45485</v>
      </c>
      <c r="O262" s="20">
        <f>INDEX(Auxiliar!$D$5:$F$13,MATCH(Table1[[#This Row],[Tipologia_Testes]],Auxiliar!$B$5:$B$13,0),MATCH(Table1[[#This Row],[Complexidade]],Auxiliar!$D$4:$F$4,0))</f>
        <v>0.1</v>
      </c>
      <c r="P262" s="2" t="s">
        <v>1192</v>
      </c>
      <c r="Q262" s="2"/>
      <c r="R262" s="151">
        <v>45261</v>
      </c>
      <c r="S262" s="151"/>
      <c r="T262" s="151"/>
      <c r="U262" s="151"/>
      <c r="V262" s="151"/>
      <c r="W262" s="2">
        <f>VLOOKUP(Table1[[#This Row],[Status]],Auxiliar!$B$16:$D$24,3,0)*Table1[[#This Row],[Estimação (horas)]]</f>
        <v>0.1</v>
      </c>
      <c r="X262" s="165">
        <f>+VLOOKUP(CONCATENATE(Table1[[#This Row],[Tabela]],Table1[[#This Row],[Campo]]),'2. Status Detalhe Campos FY24'!A:J,9,FALSE)</f>
        <v>0</v>
      </c>
      <c r="Y262" s="491" t="e">
        <f>+VLOOKUP(A262,#REF!,1,FALSE)</f>
        <v>#REF!</v>
      </c>
    </row>
    <row r="263" spans="1:25" ht="17.899999999999999" hidden="1" customHeight="1">
      <c r="A263" t="str">
        <f>+Table1[[#This Row],[Tabela]]&amp;Table1[[#This Row],[Campo]]</f>
        <v>PROPERTY_ENERGY_CERTIFICATEDOMEST_HOTWATER_REF_VALUE</v>
      </c>
      <c r="B263" s="2" t="s">
        <v>26</v>
      </c>
      <c r="C263" s="2" t="s">
        <v>54</v>
      </c>
      <c r="D263" s="2" t="s">
        <v>124</v>
      </c>
      <c r="E263" s="2" t="s">
        <v>38</v>
      </c>
      <c r="F263" s="2" t="s">
        <v>123</v>
      </c>
      <c r="G263" s="2" t="s">
        <v>139</v>
      </c>
      <c r="H263" s="56" t="str">
        <f>Table1[[#This Row],[Tabela]]&amp;Table1[[#This Row],[Campo]]</f>
        <v>PROPERTY_ENERGY_CERTIFICATEDOMEST_HOTWATER_REF_VALUE</v>
      </c>
      <c r="I263" s="2" t="s">
        <v>612</v>
      </c>
      <c r="J263" s="42">
        <f>VLOOKUP(Table1[[#This Row],[Status]],Auxiliar!$B$16:$C$24,2,0)</f>
        <v>1</v>
      </c>
      <c r="K263" s="2" t="s">
        <v>1168</v>
      </c>
      <c r="L263" s="28" t="s">
        <v>1166</v>
      </c>
      <c r="M263" s="20" t="s">
        <v>1175</v>
      </c>
      <c r="N263" s="47">
        <v>45485</v>
      </c>
      <c r="O263" s="20">
        <f>INDEX(Auxiliar!$D$5:$F$13,MATCH(Table1[[#This Row],[Tipologia_Testes]],Auxiliar!$B$5:$B$13,0),MATCH(Table1[[#This Row],[Complexidade]],Auxiliar!$D$4:$F$4,0))</f>
        <v>2</v>
      </c>
      <c r="P263" s="2" t="s">
        <v>1192</v>
      </c>
      <c r="Q263" s="2"/>
      <c r="R263" s="151">
        <v>45261</v>
      </c>
      <c r="S263" s="151"/>
      <c r="T263" s="151"/>
      <c r="U263" s="151"/>
      <c r="V263" s="151"/>
      <c r="W263" s="2">
        <f>VLOOKUP(Table1[[#This Row],[Status]],Auxiliar!$B$16:$D$24,3,0)*Table1[[#This Row],[Estimação (horas)]]</f>
        <v>2</v>
      </c>
      <c r="X263" s="165">
        <f>+VLOOKUP(CONCATENATE(Table1[[#This Row],[Tabela]],Table1[[#This Row],[Campo]]),'2. Status Detalhe Campos FY24'!A:J,9,FALSE)</f>
        <v>0</v>
      </c>
      <c r="Y263" s="491" t="e">
        <f>+VLOOKUP(A263,#REF!,1,FALSE)</f>
        <v>#REF!</v>
      </c>
    </row>
    <row r="264" spans="1:25" ht="17.899999999999999" hidden="1" customHeight="1">
      <c r="A264" t="str">
        <f>+Table1[[#This Row],[Tabela]]&amp;Table1[[#This Row],[Campo]]</f>
        <v>PROPERTY_ENERGY_CERTIFICATEDOMEST_HOTWATER_REF_VALUE</v>
      </c>
      <c r="B264" s="2" t="s">
        <v>26</v>
      </c>
      <c r="C264" s="2" t="s">
        <v>54</v>
      </c>
      <c r="D264" s="2" t="s">
        <v>124</v>
      </c>
      <c r="E264" s="2" t="s">
        <v>38</v>
      </c>
      <c r="F264" s="2" t="s">
        <v>123</v>
      </c>
      <c r="G264" s="2" t="s">
        <v>139</v>
      </c>
      <c r="H264" s="56" t="str">
        <f>Table1[[#This Row],[Tabela]]&amp;Table1[[#This Row],[Campo]]</f>
        <v>PROPERTY_ENERGY_CERTIFICATEDOMEST_HOTWATER_REF_VALUE</v>
      </c>
      <c r="I264" s="2" t="s">
        <v>612</v>
      </c>
      <c r="J264" s="42">
        <f>VLOOKUP(Table1[[#This Row],[Status]],Auxiliar!$B$16:$C$24,2,0)</f>
        <v>1</v>
      </c>
      <c r="K264" s="2" t="s">
        <v>1169</v>
      </c>
      <c r="L264" s="28" t="s">
        <v>1166</v>
      </c>
      <c r="M264" s="20" t="s">
        <v>1175</v>
      </c>
      <c r="N264" s="47">
        <v>45485</v>
      </c>
      <c r="O264" s="20">
        <f>INDEX(Auxiliar!$D$5:$F$13,MATCH(Table1[[#This Row],[Tipologia_Testes]],Auxiliar!$B$5:$B$13,0),MATCH(Table1[[#This Row],[Complexidade]],Auxiliar!$D$4:$F$4,0))</f>
        <v>2</v>
      </c>
      <c r="P264" s="2" t="s">
        <v>1192</v>
      </c>
      <c r="Q264" s="2"/>
      <c r="R264" s="151">
        <v>45261</v>
      </c>
      <c r="S264" s="151"/>
      <c r="T264" s="151"/>
      <c r="U264" s="151"/>
      <c r="V264" s="151"/>
      <c r="W264" s="2">
        <f>VLOOKUP(Table1[[#This Row],[Status]],Auxiliar!$B$16:$D$24,3,0)*Table1[[#This Row],[Estimação (horas)]]</f>
        <v>2</v>
      </c>
      <c r="X264" s="165">
        <f>+VLOOKUP(CONCATENATE(Table1[[#This Row],[Tabela]],Table1[[#This Row],[Campo]]),'2. Status Detalhe Campos FY24'!A:J,9,FALSE)</f>
        <v>0</v>
      </c>
      <c r="Y264" s="491" t="e">
        <f>+VLOOKUP(A264,#REF!,1,FALSE)</f>
        <v>#REF!</v>
      </c>
    </row>
    <row r="265" spans="1:25" ht="17.899999999999999" hidden="1" customHeight="1">
      <c r="A265" t="str">
        <f>+Table1[[#This Row],[Tabela]]&amp;Table1[[#This Row],[Campo]]</f>
        <v>PROPERTY_ENERGY_CERTIFICATEDOMEST_HOTWATER_REF_VALUE</v>
      </c>
      <c r="B265" s="2" t="s">
        <v>26</v>
      </c>
      <c r="C265" s="2" t="s">
        <v>54</v>
      </c>
      <c r="D265" s="2" t="s">
        <v>124</v>
      </c>
      <c r="E265" s="2" t="s">
        <v>38</v>
      </c>
      <c r="F265" s="2" t="s">
        <v>123</v>
      </c>
      <c r="G265" s="2" t="s">
        <v>139</v>
      </c>
      <c r="H265" s="56" t="str">
        <f>Table1[[#This Row],[Tabela]]&amp;Table1[[#This Row],[Campo]]</f>
        <v>PROPERTY_ENERGY_CERTIFICATEDOMEST_HOTWATER_REF_VALUE</v>
      </c>
      <c r="I265" s="2" t="s">
        <v>612</v>
      </c>
      <c r="J265" s="42">
        <f>VLOOKUP(Table1[[#This Row],[Status]],Auxiliar!$B$16:$C$24,2,0)</f>
        <v>1</v>
      </c>
      <c r="K265" s="2" t="s">
        <v>1171</v>
      </c>
      <c r="L265" s="28" t="s">
        <v>1166</v>
      </c>
      <c r="M265" s="20" t="s">
        <v>1175</v>
      </c>
      <c r="N265" s="47">
        <v>45485</v>
      </c>
      <c r="O265" s="20">
        <f>INDEX(Auxiliar!$D$5:$F$13,MATCH(Table1[[#This Row],[Tipologia_Testes]],Auxiliar!$B$5:$B$13,0),MATCH(Table1[[#This Row],[Complexidade]],Auxiliar!$D$4:$F$4,0))</f>
        <v>0.1</v>
      </c>
      <c r="P265" s="2" t="s">
        <v>1192</v>
      </c>
      <c r="Q265" s="2"/>
      <c r="R265" s="151">
        <v>45261</v>
      </c>
      <c r="S265" s="151"/>
      <c r="T265" s="151"/>
      <c r="U265" s="151"/>
      <c r="V265" s="151"/>
      <c r="W265" s="2">
        <f>VLOOKUP(Table1[[#This Row],[Status]],Auxiliar!$B$16:$D$24,3,0)*Table1[[#This Row],[Estimação (horas)]]</f>
        <v>0.1</v>
      </c>
      <c r="X265" s="165">
        <f>+VLOOKUP(CONCATENATE(Table1[[#This Row],[Tabela]],Table1[[#This Row],[Campo]]),'2. Status Detalhe Campos FY24'!A:J,9,FALSE)</f>
        <v>0</v>
      </c>
      <c r="Y265" s="491" t="e">
        <f>+VLOOKUP(A265,#REF!,1,FALSE)</f>
        <v>#REF!</v>
      </c>
    </row>
    <row r="266" spans="1:25" ht="17.899999999999999" hidden="1" customHeight="1">
      <c r="A266" t="str">
        <f>+Table1[[#This Row],[Tabela]]&amp;Table1[[#This Row],[Campo]]</f>
        <v>PROPERTY_ENERGY_CERTIFICATEPRMRY_ENRGY_DMND_RFRNC_VL</v>
      </c>
      <c r="B266" s="2" t="s">
        <v>26</v>
      </c>
      <c r="C266" s="2" t="s">
        <v>54</v>
      </c>
      <c r="D266" s="2" t="s">
        <v>124</v>
      </c>
      <c r="E266" s="2" t="s">
        <v>38</v>
      </c>
      <c r="F266" s="2" t="s">
        <v>123</v>
      </c>
      <c r="G266" s="2" t="s">
        <v>2264</v>
      </c>
      <c r="H266" s="56" t="str">
        <f>Table1[[#This Row],[Tabela]]&amp;Table1[[#This Row],[Campo]]</f>
        <v>PROPERTY_ENERGY_CERTIFICATEPRMRY_ENRGY_DMND_RFRNC_VL</v>
      </c>
      <c r="I266" s="2" t="s">
        <v>612</v>
      </c>
      <c r="J266" s="42">
        <f>VLOOKUP(Table1[[#This Row],[Status]],Auxiliar!$B$16:$C$24,2,0)</f>
        <v>1</v>
      </c>
      <c r="K266" s="2"/>
      <c r="L266" s="28"/>
      <c r="M266" s="20"/>
      <c r="N266" s="47"/>
      <c r="O266" s="20" t="e">
        <f>INDEX(Auxiliar!$D$5:$F$11,MATCH(Table1[[#This Row],[Tipologia_Testes]],Auxiliar!$B$5:$B$11,0),MATCH(Table1[[#This Row],[Complexidade]],Auxiliar!$D$4:$F$4,0))</f>
        <v>#N/A</v>
      </c>
      <c r="P266" s="2"/>
      <c r="Q266" s="2"/>
      <c r="R266" s="151"/>
      <c r="S266" s="151"/>
      <c r="T266" s="151"/>
      <c r="U266" s="151"/>
      <c r="V266" s="151"/>
      <c r="W266" s="2" t="e">
        <f>VLOOKUP(Table1[[#This Row],[Status]],Auxiliar!$B$16:$D$24,3,0)*Table1[[#This Row],[Estimação (horas)]]</f>
        <v>#N/A</v>
      </c>
      <c r="X266" s="165">
        <f>+VLOOKUP(CONCATENATE(Table1[[#This Row],[Tabela]],Table1[[#This Row],[Campo]]),'2. Status Detalhe Campos FY24'!A:J,9,FALSE)</f>
        <v>0</v>
      </c>
      <c r="Y266" s="491" t="e">
        <f>+VLOOKUP(A266,#REF!,1,FALSE)</f>
        <v>#REF!</v>
      </c>
    </row>
    <row r="267" spans="1:25" ht="17.899999999999999" hidden="1" customHeight="1">
      <c r="A267" t="str">
        <f>+Table1[[#This Row],[Tabela]]&amp;Table1[[#This Row],[Campo]]</f>
        <v>PROPERTY_ENERGY_CERTIFICATEHEIGHT</v>
      </c>
      <c r="B267" s="2" t="s">
        <v>26</v>
      </c>
      <c r="C267" s="2" t="s">
        <v>54</v>
      </c>
      <c r="D267" s="2" t="s">
        <v>124</v>
      </c>
      <c r="E267" s="2" t="s">
        <v>38</v>
      </c>
      <c r="F267" s="2" t="s">
        <v>123</v>
      </c>
      <c r="G267" s="2" t="s">
        <v>140</v>
      </c>
      <c r="H267" s="56" t="str">
        <f>Table1[[#This Row],[Tabela]]&amp;Table1[[#This Row],[Campo]]</f>
        <v>PROPERTY_ENERGY_CERTIFICATEHEIGHT</v>
      </c>
      <c r="I267" s="2" t="s">
        <v>612</v>
      </c>
      <c r="J267" s="42">
        <f>VLOOKUP(Table1[[#This Row],[Status]],Auxiliar!$B$16:$C$24,2,0)</f>
        <v>1</v>
      </c>
      <c r="K267" s="2" t="s">
        <v>1168</v>
      </c>
      <c r="L267" s="28" t="s">
        <v>1166</v>
      </c>
      <c r="M267" s="20" t="s">
        <v>1175</v>
      </c>
      <c r="N267" s="47">
        <v>45485</v>
      </c>
      <c r="O267" s="20">
        <f>INDEX(Auxiliar!$D$5:$F$13,MATCH(Table1[[#This Row],[Tipologia_Testes]],Auxiliar!$B$5:$B$13,0),MATCH(Table1[[#This Row],[Complexidade]],Auxiliar!$D$4:$F$4,0))</f>
        <v>2</v>
      </c>
      <c r="P267" s="2" t="s">
        <v>1192</v>
      </c>
      <c r="Q267" s="2"/>
      <c r="R267" s="151">
        <v>45261</v>
      </c>
      <c r="S267" s="151"/>
      <c r="T267" s="151"/>
      <c r="U267" s="151"/>
      <c r="V267" s="151"/>
      <c r="W267" s="2">
        <f>VLOOKUP(Table1[[#This Row],[Status]],Auxiliar!$B$16:$D$24,3,0)*Table1[[#This Row],[Estimação (horas)]]</f>
        <v>2</v>
      </c>
      <c r="X267" s="165">
        <f>+VLOOKUP(CONCATENATE(Table1[[#This Row],[Tabela]],Table1[[#This Row],[Campo]]),'2. Status Detalhe Campos FY24'!A:J,9,FALSE)</f>
        <v>0</v>
      </c>
      <c r="Y267" s="491" t="e">
        <f>+VLOOKUP(A267,#REF!,1,FALSE)</f>
        <v>#REF!</v>
      </c>
    </row>
    <row r="268" spans="1:25" ht="17.899999999999999" hidden="1" customHeight="1">
      <c r="A268" t="str">
        <f>+Table1[[#This Row],[Tabela]]&amp;Table1[[#This Row],[Campo]]</f>
        <v>PROPERTY_ENERGY_CERTIFICATEHEIGHT</v>
      </c>
      <c r="B268" s="2" t="s">
        <v>26</v>
      </c>
      <c r="C268" s="2" t="s">
        <v>54</v>
      </c>
      <c r="D268" s="2" t="s">
        <v>124</v>
      </c>
      <c r="E268" s="2" t="s">
        <v>38</v>
      </c>
      <c r="F268" s="2" t="s">
        <v>123</v>
      </c>
      <c r="G268" s="2" t="s">
        <v>140</v>
      </c>
      <c r="H268" s="56" t="str">
        <f>Table1[[#This Row],[Tabela]]&amp;Table1[[#This Row],[Campo]]</f>
        <v>PROPERTY_ENERGY_CERTIFICATEHEIGHT</v>
      </c>
      <c r="I268" s="2" t="s">
        <v>612</v>
      </c>
      <c r="J268" s="42">
        <f>VLOOKUP(Table1[[#This Row],[Status]],Auxiliar!$B$16:$C$24,2,0)</f>
        <v>1</v>
      </c>
      <c r="K268" s="2" t="s">
        <v>1169</v>
      </c>
      <c r="L268" s="28" t="s">
        <v>1166</v>
      </c>
      <c r="M268" s="20" t="s">
        <v>1175</v>
      </c>
      <c r="N268" s="47">
        <v>45485</v>
      </c>
      <c r="O268" s="20">
        <f>INDEX(Auxiliar!$D$5:$F$13,MATCH(Table1[[#This Row],[Tipologia_Testes]],Auxiliar!$B$5:$B$13,0),MATCH(Table1[[#This Row],[Complexidade]],Auxiliar!$D$4:$F$4,0))</f>
        <v>2</v>
      </c>
      <c r="P268" s="2" t="s">
        <v>1192</v>
      </c>
      <c r="Q268" s="2"/>
      <c r="R268" s="151">
        <v>45261</v>
      </c>
      <c r="S268" s="151"/>
      <c r="T268" s="151"/>
      <c r="U268" s="151"/>
      <c r="V268" s="151"/>
      <c r="W268" s="2">
        <f>VLOOKUP(Table1[[#This Row],[Status]],Auxiliar!$B$16:$D$24,3,0)*Table1[[#This Row],[Estimação (horas)]]</f>
        <v>2</v>
      </c>
      <c r="X268" s="165">
        <f>+VLOOKUP(CONCATENATE(Table1[[#This Row],[Tabela]],Table1[[#This Row],[Campo]]),'2. Status Detalhe Campos FY24'!A:J,9,FALSE)</f>
        <v>0</v>
      </c>
      <c r="Y268" s="491" t="e">
        <f>+VLOOKUP(A268,#REF!,1,FALSE)</f>
        <v>#REF!</v>
      </c>
    </row>
    <row r="269" spans="1:25" ht="17.899999999999999" hidden="1" customHeight="1">
      <c r="A269" t="str">
        <f>+Table1[[#This Row],[Tabela]]&amp;Table1[[#This Row],[Campo]]</f>
        <v>PROPERTY_ENERGY_CERTIFICATEHEIGHT</v>
      </c>
      <c r="B269" s="2" t="s">
        <v>26</v>
      </c>
      <c r="C269" s="2" t="s">
        <v>54</v>
      </c>
      <c r="D269" s="2" t="s">
        <v>124</v>
      </c>
      <c r="E269" s="2" t="s">
        <v>38</v>
      </c>
      <c r="F269" s="2" t="s">
        <v>123</v>
      </c>
      <c r="G269" s="2" t="s">
        <v>140</v>
      </c>
      <c r="H269" s="56" t="str">
        <f>Table1[[#This Row],[Tabela]]&amp;Table1[[#This Row],[Campo]]</f>
        <v>PROPERTY_ENERGY_CERTIFICATEHEIGHT</v>
      </c>
      <c r="I269" s="2" t="s">
        <v>612</v>
      </c>
      <c r="J269" s="42">
        <f>VLOOKUP(Table1[[#This Row],[Status]],Auxiliar!$B$16:$C$24,2,0)</f>
        <v>1</v>
      </c>
      <c r="K269" s="2" t="s">
        <v>1171</v>
      </c>
      <c r="L269" s="28" t="s">
        <v>1166</v>
      </c>
      <c r="M269" s="20" t="s">
        <v>1175</v>
      </c>
      <c r="N269" s="47">
        <v>45485</v>
      </c>
      <c r="O269" s="20">
        <f>INDEX(Auxiliar!$D$5:$F$13,MATCH(Table1[[#This Row],[Tipologia_Testes]],Auxiliar!$B$5:$B$13,0),MATCH(Table1[[#This Row],[Complexidade]],Auxiliar!$D$4:$F$4,0))</f>
        <v>0.1</v>
      </c>
      <c r="P269" s="2" t="s">
        <v>1192</v>
      </c>
      <c r="Q269" s="2"/>
      <c r="R269" s="151">
        <v>45261</v>
      </c>
      <c r="S269" s="151"/>
      <c r="T269" s="151"/>
      <c r="U269" s="151"/>
      <c r="V269" s="151"/>
      <c r="W269" s="2">
        <f>VLOOKUP(Table1[[#This Row],[Status]],Auxiliar!$B$16:$D$24,3,0)*Table1[[#This Row],[Estimação (horas)]]</f>
        <v>0.1</v>
      </c>
      <c r="X269" s="165">
        <f>+VLOOKUP(CONCATENATE(Table1[[#This Row],[Tabela]],Table1[[#This Row],[Campo]]),'2. Status Detalhe Campos FY24'!A:J,9,FALSE)</f>
        <v>0</v>
      </c>
      <c r="Y269" s="491" t="e">
        <f>+VLOOKUP(A269,#REF!,1,FALSE)</f>
        <v>#REF!</v>
      </c>
    </row>
    <row r="270" spans="1:25" ht="17.899999999999999" hidden="1" customHeight="1">
      <c r="A270" t="str">
        <f>+Table1[[#This Row],[Tabela]]&amp;Table1[[#This Row],[Campo]]</f>
        <v>PROPERTY_ENERGY_CERTIFICATEBUILDING_SPACE_HEATING_VALUE</v>
      </c>
      <c r="B270" s="2" t="s">
        <v>26</v>
      </c>
      <c r="C270" s="2" t="s">
        <v>54</v>
      </c>
      <c r="D270" s="2" t="s">
        <v>124</v>
      </c>
      <c r="E270" s="2" t="s">
        <v>38</v>
      </c>
      <c r="F270" s="2" t="s">
        <v>123</v>
      </c>
      <c r="G270" s="2" t="s">
        <v>141</v>
      </c>
      <c r="H270" s="56" t="str">
        <f>Table1[[#This Row],[Tabela]]&amp;Table1[[#This Row],[Campo]]</f>
        <v>PROPERTY_ENERGY_CERTIFICATEBUILDING_SPACE_HEATING_VALUE</v>
      </c>
      <c r="I270" s="2" t="s">
        <v>612</v>
      </c>
      <c r="J270" s="42">
        <f>VLOOKUP(Table1[[#This Row],[Status]],Auxiliar!$B$16:$C$24,2,0)</f>
        <v>1</v>
      </c>
      <c r="K270" s="2" t="s">
        <v>1168</v>
      </c>
      <c r="L270" s="28" t="s">
        <v>1166</v>
      </c>
      <c r="M270" s="20" t="s">
        <v>1175</v>
      </c>
      <c r="N270" s="47">
        <v>45485</v>
      </c>
      <c r="O270" s="20">
        <f>INDEX(Auxiliar!$D$5:$F$13,MATCH(Table1[[#This Row],[Tipologia_Testes]],Auxiliar!$B$5:$B$13,0),MATCH(Table1[[#This Row],[Complexidade]],Auxiliar!$D$4:$F$4,0))</f>
        <v>2</v>
      </c>
      <c r="P270" s="2" t="s">
        <v>1192</v>
      </c>
      <c r="Q270" s="2"/>
      <c r="R270" s="151">
        <v>45261</v>
      </c>
      <c r="S270" s="151"/>
      <c r="T270" s="151"/>
      <c r="U270" s="151"/>
      <c r="V270" s="151"/>
      <c r="W270" s="2">
        <f>VLOOKUP(Table1[[#This Row],[Status]],Auxiliar!$B$16:$D$24,3,0)*Table1[[#This Row],[Estimação (horas)]]</f>
        <v>2</v>
      </c>
      <c r="X270" s="165">
        <f>+VLOOKUP(CONCATENATE(Table1[[#This Row],[Tabela]],Table1[[#This Row],[Campo]]),'2. Status Detalhe Campos FY24'!A:J,9,FALSE)</f>
        <v>0</v>
      </c>
      <c r="Y270" s="491" t="e">
        <f>+VLOOKUP(A270,#REF!,1,FALSE)</f>
        <v>#REF!</v>
      </c>
    </row>
    <row r="271" spans="1:25" ht="17.899999999999999" hidden="1" customHeight="1">
      <c r="A271" t="str">
        <f>+Table1[[#This Row],[Tabela]]&amp;Table1[[#This Row],[Campo]]</f>
        <v>PROPERTY_ENERGY_CERTIFICATEBUILDING_SPACE_HEATING_VALUE</v>
      </c>
      <c r="B271" s="2" t="s">
        <v>26</v>
      </c>
      <c r="C271" s="2" t="s">
        <v>54</v>
      </c>
      <c r="D271" s="2" t="s">
        <v>124</v>
      </c>
      <c r="E271" s="2" t="s">
        <v>38</v>
      </c>
      <c r="F271" s="2" t="s">
        <v>123</v>
      </c>
      <c r="G271" s="2" t="s">
        <v>141</v>
      </c>
      <c r="H271" s="56" t="str">
        <f>Table1[[#This Row],[Tabela]]&amp;Table1[[#This Row],[Campo]]</f>
        <v>PROPERTY_ENERGY_CERTIFICATEBUILDING_SPACE_HEATING_VALUE</v>
      </c>
      <c r="I271" s="2" t="s">
        <v>612</v>
      </c>
      <c r="J271" s="42">
        <f>VLOOKUP(Table1[[#This Row],[Status]],Auxiliar!$B$16:$C$24,2,0)</f>
        <v>1</v>
      </c>
      <c r="K271" s="2" t="s">
        <v>1169</v>
      </c>
      <c r="L271" s="28" t="s">
        <v>1166</v>
      </c>
      <c r="M271" s="20" t="s">
        <v>1175</v>
      </c>
      <c r="N271" s="47">
        <v>45485</v>
      </c>
      <c r="O271" s="20">
        <f>INDEX(Auxiliar!$D$5:$F$13,MATCH(Table1[[#This Row],[Tipologia_Testes]],Auxiliar!$B$5:$B$13,0),MATCH(Table1[[#This Row],[Complexidade]],Auxiliar!$D$4:$F$4,0))</f>
        <v>2</v>
      </c>
      <c r="P271" s="2" t="s">
        <v>1192</v>
      </c>
      <c r="Q271" s="2"/>
      <c r="R271" s="151">
        <v>45261</v>
      </c>
      <c r="S271" s="151"/>
      <c r="T271" s="151"/>
      <c r="U271" s="151"/>
      <c r="V271" s="151"/>
      <c r="W271" s="2">
        <f>VLOOKUP(Table1[[#This Row],[Status]],Auxiliar!$B$16:$D$24,3,0)*Table1[[#This Row],[Estimação (horas)]]</f>
        <v>2</v>
      </c>
      <c r="X271" s="165">
        <f>+VLOOKUP(CONCATENATE(Table1[[#This Row],[Tabela]],Table1[[#This Row],[Campo]]),'2. Status Detalhe Campos FY24'!A:J,9,FALSE)</f>
        <v>0</v>
      </c>
      <c r="Y271" s="491" t="e">
        <f>+VLOOKUP(A271,#REF!,1,FALSE)</f>
        <v>#REF!</v>
      </c>
    </row>
    <row r="272" spans="1:25" ht="17.899999999999999" hidden="1" customHeight="1">
      <c r="A272" t="str">
        <f>+Table1[[#This Row],[Tabela]]&amp;Table1[[#This Row],[Campo]]</f>
        <v>PROPERTY_ENERGY_CERTIFICATEBUILDING_SPACE_HEATING_VALUE</v>
      </c>
      <c r="B272" s="2" t="s">
        <v>26</v>
      </c>
      <c r="C272" s="2" t="s">
        <v>54</v>
      </c>
      <c r="D272" s="2" t="s">
        <v>124</v>
      </c>
      <c r="E272" s="2" t="s">
        <v>38</v>
      </c>
      <c r="F272" s="2" t="s">
        <v>123</v>
      </c>
      <c r="G272" s="2" t="s">
        <v>141</v>
      </c>
      <c r="H272" s="56" t="str">
        <f>Table1[[#This Row],[Tabela]]&amp;Table1[[#This Row],[Campo]]</f>
        <v>PROPERTY_ENERGY_CERTIFICATEBUILDING_SPACE_HEATING_VALUE</v>
      </c>
      <c r="I272" s="2" t="s">
        <v>612</v>
      </c>
      <c r="J272" s="42">
        <f>VLOOKUP(Table1[[#This Row],[Status]],Auxiliar!$B$16:$C$24,2,0)</f>
        <v>1</v>
      </c>
      <c r="K272" s="2" t="s">
        <v>1171</v>
      </c>
      <c r="L272" s="28" t="s">
        <v>1166</v>
      </c>
      <c r="M272" s="20" t="s">
        <v>1175</v>
      </c>
      <c r="N272" s="47">
        <v>45485</v>
      </c>
      <c r="O272" s="20">
        <f>INDEX(Auxiliar!$D$5:$F$13,MATCH(Table1[[#This Row],[Tipologia_Testes]],Auxiliar!$B$5:$B$13,0),MATCH(Table1[[#This Row],[Complexidade]],Auxiliar!$D$4:$F$4,0))</f>
        <v>0.1</v>
      </c>
      <c r="P272" s="2" t="s">
        <v>1192</v>
      </c>
      <c r="Q272" s="2"/>
      <c r="R272" s="151">
        <v>45261</v>
      </c>
      <c r="S272" s="151"/>
      <c r="T272" s="151"/>
      <c r="U272" s="151"/>
      <c r="V272" s="151"/>
      <c r="W272" s="2">
        <f>VLOOKUP(Table1[[#This Row],[Status]],Auxiliar!$B$16:$D$24,3,0)*Table1[[#This Row],[Estimação (horas)]]</f>
        <v>0.1</v>
      </c>
      <c r="X272" s="165">
        <f>+VLOOKUP(CONCATENATE(Table1[[#This Row],[Tabela]],Table1[[#This Row],[Campo]]),'2. Status Detalhe Campos FY24'!A:J,9,FALSE)</f>
        <v>0</v>
      </c>
      <c r="Y272" s="491" t="e">
        <f>+VLOOKUP(A272,#REF!,1,FALSE)</f>
        <v>#REF!</v>
      </c>
    </row>
    <row r="273" spans="1:25" ht="17.899999999999999" hidden="1" customHeight="1">
      <c r="A273" t="str">
        <f>+Table1[[#This Row],[Tabela]]&amp;Table1[[#This Row],[Campo]]</f>
        <v>PROPERTY_ENERGY_CERTIFICATESPACE_HEATING_REF_VALUE</v>
      </c>
      <c r="B273" s="2" t="s">
        <v>26</v>
      </c>
      <c r="C273" s="2" t="s">
        <v>54</v>
      </c>
      <c r="D273" s="2" t="s">
        <v>124</v>
      </c>
      <c r="E273" s="2" t="s">
        <v>38</v>
      </c>
      <c r="F273" s="2" t="s">
        <v>123</v>
      </c>
      <c r="G273" s="2" t="s">
        <v>142</v>
      </c>
      <c r="H273" s="56" t="str">
        <f>Table1[[#This Row],[Tabela]]&amp;Table1[[#This Row],[Campo]]</f>
        <v>PROPERTY_ENERGY_CERTIFICATESPACE_HEATING_REF_VALUE</v>
      </c>
      <c r="I273" s="2" t="s">
        <v>612</v>
      </c>
      <c r="J273" s="42">
        <f>VLOOKUP(Table1[[#This Row],[Status]],Auxiliar!$B$16:$C$24,2,0)</f>
        <v>1</v>
      </c>
      <c r="K273" s="2" t="s">
        <v>1168</v>
      </c>
      <c r="L273" s="28" t="s">
        <v>1166</v>
      </c>
      <c r="M273" s="20" t="s">
        <v>1175</v>
      </c>
      <c r="N273" s="47">
        <v>45485</v>
      </c>
      <c r="O273" s="20">
        <f>INDEX(Auxiliar!$D$5:$F$13,MATCH(Table1[[#This Row],[Tipologia_Testes]],Auxiliar!$B$5:$B$13,0),MATCH(Table1[[#This Row],[Complexidade]],Auxiliar!$D$4:$F$4,0))</f>
        <v>2</v>
      </c>
      <c r="P273" s="2" t="s">
        <v>1192</v>
      </c>
      <c r="Q273" s="2"/>
      <c r="R273" s="151">
        <v>45261</v>
      </c>
      <c r="S273" s="151"/>
      <c r="T273" s="151"/>
      <c r="U273" s="151"/>
      <c r="V273" s="151"/>
      <c r="W273" s="2">
        <f>VLOOKUP(Table1[[#This Row],[Status]],Auxiliar!$B$16:$D$24,3,0)*Table1[[#This Row],[Estimação (horas)]]</f>
        <v>2</v>
      </c>
      <c r="X273" s="165">
        <f>+VLOOKUP(CONCATENATE(Table1[[#This Row],[Tabela]],Table1[[#This Row],[Campo]]),'2. Status Detalhe Campos FY24'!A:J,9,FALSE)</f>
        <v>0</v>
      </c>
      <c r="Y273" s="491" t="e">
        <f>+VLOOKUP(A273,#REF!,1,FALSE)</f>
        <v>#REF!</v>
      </c>
    </row>
    <row r="274" spans="1:25" ht="17.899999999999999" hidden="1" customHeight="1">
      <c r="A274" t="str">
        <f>+Table1[[#This Row],[Tabela]]&amp;Table1[[#This Row],[Campo]]</f>
        <v>PROPERTY_ENERGY_CERTIFICATESPACE_HEATING_REF_VALUE</v>
      </c>
      <c r="B274" s="2" t="s">
        <v>26</v>
      </c>
      <c r="C274" s="2" t="s">
        <v>54</v>
      </c>
      <c r="D274" s="2" t="s">
        <v>124</v>
      </c>
      <c r="E274" s="2" t="s">
        <v>38</v>
      </c>
      <c r="F274" s="2" t="s">
        <v>123</v>
      </c>
      <c r="G274" s="2" t="s">
        <v>142</v>
      </c>
      <c r="H274" s="56" t="str">
        <f>Table1[[#This Row],[Tabela]]&amp;Table1[[#This Row],[Campo]]</f>
        <v>PROPERTY_ENERGY_CERTIFICATESPACE_HEATING_REF_VALUE</v>
      </c>
      <c r="I274" s="2" t="s">
        <v>612</v>
      </c>
      <c r="J274" s="42">
        <f>VLOOKUP(Table1[[#This Row],[Status]],Auxiliar!$B$16:$C$24,2,0)</f>
        <v>1</v>
      </c>
      <c r="K274" s="2" t="s">
        <v>1169</v>
      </c>
      <c r="L274" s="28" t="s">
        <v>1166</v>
      </c>
      <c r="M274" s="20" t="s">
        <v>1175</v>
      </c>
      <c r="N274" s="47">
        <v>45485</v>
      </c>
      <c r="O274" s="20">
        <f>INDEX(Auxiliar!$D$5:$F$13,MATCH(Table1[[#This Row],[Tipologia_Testes]],Auxiliar!$B$5:$B$13,0),MATCH(Table1[[#This Row],[Complexidade]],Auxiliar!$D$4:$F$4,0))</f>
        <v>2</v>
      </c>
      <c r="P274" s="2" t="s">
        <v>1192</v>
      </c>
      <c r="Q274" s="2"/>
      <c r="R274" s="151">
        <v>45261</v>
      </c>
      <c r="S274" s="151"/>
      <c r="T274" s="151"/>
      <c r="U274" s="151"/>
      <c r="V274" s="151"/>
      <c r="W274" s="2">
        <f>VLOOKUP(Table1[[#This Row],[Status]],Auxiliar!$B$16:$D$24,3,0)*Table1[[#This Row],[Estimação (horas)]]</f>
        <v>2</v>
      </c>
      <c r="X274" s="165">
        <f>+VLOOKUP(CONCATENATE(Table1[[#This Row],[Tabela]],Table1[[#This Row],[Campo]]),'2. Status Detalhe Campos FY24'!A:J,9,FALSE)</f>
        <v>0</v>
      </c>
      <c r="Y274" s="491" t="e">
        <f>+VLOOKUP(A274,#REF!,1,FALSE)</f>
        <v>#REF!</v>
      </c>
    </row>
    <row r="275" spans="1:25" ht="17.899999999999999" hidden="1" customHeight="1">
      <c r="A275" t="str">
        <f>+Table1[[#This Row],[Tabela]]&amp;Table1[[#This Row],[Campo]]</f>
        <v>PROPERTY_ENERGY_CERTIFICATESPACE_HEATING_REF_VALUE</v>
      </c>
      <c r="B275" s="2" t="s">
        <v>26</v>
      </c>
      <c r="C275" s="2" t="s">
        <v>54</v>
      </c>
      <c r="D275" s="2" t="s">
        <v>124</v>
      </c>
      <c r="E275" s="2" t="s">
        <v>38</v>
      </c>
      <c r="F275" s="2" t="s">
        <v>123</v>
      </c>
      <c r="G275" s="2" t="s">
        <v>142</v>
      </c>
      <c r="H275" s="56" t="str">
        <f>Table1[[#This Row],[Tabela]]&amp;Table1[[#This Row],[Campo]]</f>
        <v>PROPERTY_ENERGY_CERTIFICATESPACE_HEATING_REF_VALUE</v>
      </c>
      <c r="I275" s="2" t="s">
        <v>612</v>
      </c>
      <c r="J275" s="42">
        <f>VLOOKUP(Table1[[#This Row],[Status]],Auxiliar!$B$16:$C$24,2,0)</f>
        <v>1</v>
      </c>
      <c r="K275" s="2" t="s">
        <v>1171</v>
      </c>
      <c r="L275" s="28" t="s">
        <v>1166</v>
      </c>
      <c r="M275" s="20" t="s">
        <v>1175</v>
      </c>
      <c r="N275" s="47">
        <v>45485</v>
      </c>
      <c r="O275" s="20">
        <f>INDEX(Auxiliar!$D$5:$F$13,MATCH(Table1[[#This Row],[Tipologia_Testes]],Auxiliar!$B$5:$B$13,0),MATCH(Table1[[#This Row],[Complexidade]],Auxiliar!$D$4:$F$4,0))</f>
        <v>0.1</v>
      </c>
      <c r="P275" s="2" t="s">
        <v>1192</v>
      </c>
      <c r="Q275" s="2"/>
      <c r="R275" s="151">
        <v>45261</v>
      </c>
      <c r="S275" s="151"/>
      <c r="T275" s="151"/>
      <c r="U275" s="151"/>
      <c r="V275" s="151"/>
      <c r="W275" s="2">
        <f>VLOOKUP(Table1[[#This Row],[Status]],Auxiliar!$B$16:$D$24,3,0)*Table1[[#This Row],[Estimação (horas)]]</f>
        <v>0.1</v>
      </c>
      <c r="X275" s="165">
        <f>+VLOOKUP(CONCATENATE(Table1[[#This Row],[Tabela]],Table1[[#This Row],[Campo]]),'2. Status Detalhe Campos FY24'!A:J,9,FALSE)</f>
        <v>0</v>
      </c>
      <c r="Y275" s="491" t="e">
        <f>+VLOOKUP(A275,#REF!,1,FALSE)</f>
        <v>#REF!</v>
      </c>
    </row>
    <row r="276" spans="1:25" ht="17.899999999999999" hidden="1" customHeight="1">
      <c r="A276" t="str">
        <f>+Table1[[#This Row],[Tabela]]&amp;Table1[[#This Row],[Campo]]</f>
        <v>PROPERTY_ENERGY_CERTIFICATERENEWABLE_SPACE_HEATING_VALUE</v>
      </c>
      <c r="B276" s="2" t="s">
        <v>26</v>
      </c>
      <c r="C276" s="2" t="s">
        <v>54</v>
      </c>
      <c r="D276" s="2" t="s">
        <v>124</v>
      </c>
      <c r="E276" s="2" t="s">
        <v>38</v>
      </c>
      <c r="F276" s="2" t="s">
        <v>123</v>
      </c>
      <c r="G276" s="2" t="s">
        <v>143</v>
      </c>
      <c r="H276" s="56" t="str">
        <f>Table1[[#This Row],[Tabela]]&amp;Table1[[#This Row],[Campo]]</f>
        <v>PROPERTY_ENERGY_CERTIFICATERENEWABLE_SPACE_HEATING_VALUE</v>
      </c>
      <c r="I276" s="2" t="s">
        <v>612</v>
      </c>
      <c r="J276" s="42">
        <f>VLOOKUP(Table1[[#This Row],[Status]],Auxiliar!$B$16:$C$24,2,0)</f>
        <v>1</v>
      </c>
      <c r="K276" s="2" t="s">
        <v>1168</v>
      </c>
      <c r="L276" s="28" t="s">
        <v>1166</v>
      </c>
      <c r="M276" s="20" t="s">
        <v>1175</v>
      </c>
      <c r="N276" s="47">
        <v>45485</v>
      </c>
      <c r="O276" s="20">
        <f>INDEX(Auxiliar!$D$5:$F$13,MATCH(Table1[[#This Row],[Tipologia_Testes]],Auxiliar!$B$5:$B$13,0),MATCH(Table1[[#This Row],[Complexidade]],Auxiliar!$D$4:$F$4,0))</f>
        <v>2</v>
      </c>
      <c r="P276" s="2" t="s">
        <v>1192</v>
      </c>
      <c r="Q276" s="2"/>
      <c r="R276" s="151">
        <v>45261</v>
      </c>
      <c r="S276" s="151"/>
      <c r="T276" s="151"/>
      <c r="U276" s="151"/>
      <c r="V276" s="151"/>
      <c r="W276" s="2">
        <f>VLOOKUP(Table1[[#This Row],[Status]],Auxiliar!$B$16:$D$24,3,0)*Table1[[#This Row],[Estimação (horas)]]</f>
        <v>2</v>
      </c>
      <c r="X276" s="165">
        <f>+VLOOKUP(CONCATENATE(Table1[[#This Row],[Tabela]],Table1[[#This Row],[Campo]]),'2. Status Detalhe Campos FY24'!A:J,9,FALSE)</f>
        <v>0</v>
      </c>
      <c r="Y276" s="491" t="e">
        <f>+VLOOKUP(A276,#REF!,1,FALSE)</f>
        <v>#REF!</v>
      </c>
    </row>
    <row r="277" spans="1:25" ht="17.899999999999999" hidden="1" customHeight="1">
      <c r="A277" t="str">
        <f>+Table1[[#This Row],[Tabela]]&amp;Table1[[#This Row],[Campo]]</f>
        <v>PROPERTY_ENERGY_CERTIFICATERENEWABLE_SPACE_HEATING_VALUE</v>
      </c>
      <c r="B277" s="2" t="s">
        <v>26</v>
      </c>
      <c r="C277" s="2" t="s">
        <v>54</v>
      </c>
      <c r="D277" s="2" t="s">
        <v>124</v>
      </c>
      <c r="E277" s="2" t="s">
        <v>38</v>
      </c>
      <c r="F277" s="2" t="s">
        <v>123</v>
      </c>
      <c r="G277" s="2" t="s">
        <v>143</v>
      </c>
      <c r="H277" s="56" t="str">
        <f>Table1[[#This Row],[Tabela]]&amp;Table1[[#This Row],[Campo]]</f>
        <v>PROPERTY_ENERGY_CERTIFICATERENEWABLE_SPACE_HEATING_VALUE</v>
      </c>
      <c r="I277" s="2" t="s">
        <v>612</v>
      </c>
      <c r="J277" s="42">
        <f>VLOOKUP(Table1[[#This Row],[Status]],Auxiliar!$B$16:$C$24,2,0)</f>
        <v>1</v>
      </c>
      <c r="K277" s="2" t="s">
        <v>1169</v>
      </c>
      <c r="L277" s="28" t="s">
        <v>1166</v>
      </c>
      <c r="M277" s="20" t="s">
        <v>1175</v>
      </c>
      <c r="N277" s="47">
        <v>45485</v>
      </c>
      <c r="O277" s="20">
        <f>INDEX(Auxiliar!$D$5:$F$13,MATCH(Table1[[#This Row],[Tipologia_Testes]],Auxiliar!$B$5:$B$13,0),MATCH(Table1[[#This Row],[Complexidade]],Auxiliar!$D$4:$F$4,0))</f>
        <v>2</v>
      </c>
      <c r="P277" s="2" t="s">
        <v>1192</v>
      </c>
      <c r="Q277" s="2"/>
      <c r="R277" s="151">
        <v>45261</v>
      </c>
      <c r="S277" s="151"/>
      <c r="T277" s="151"/>
      <c r="U277" s="151"/>
      <c r="V277" s="151"/>
      <c r="W277" s="2">
        <f>VLOOKUP(Table1[[#This Row],[Status]],Auxiliar!$B$16:$D$24,3,0)*Table1[[#This Row],[Estimação (horas)]]</f>
        <v>2</v>
      </c>
      <c r="X277" s="165">
        <f>+VLOOKUP(CONCATENATE(Table1[[#This Row],[Tabela]],Table1[[#This Row],[Campo]]),'2. Status Detalhe Campos FY24'!A:J,9,FALSE)</f>
        <v>0</v>
      </c>
      <c r="Y277" s="491" t="e">
        <f>+VLOOKUP(A277,#REF!,1,FALSE)</f>
        <v>#REF!</v>
      </c>
    </row>
    <row r="278" spans="1:25" ht="17.899999999999999" hidden="1" customHeight="1">
      <c r="A278" t="str">
        <f>+Table1[[#This Row],[Tabela]]&amp;Table1[[#This Row],[Campo]]</f>
        <v>PROPERTY_ENERGY_CERTIFICATERENEWABLE_SPACE_HEATING_VALUE</v>
      </c>
      <c r="B278" s="2" t="s">
        <v>26</v>
      </c>
      <c r="C278" s="2" t="s">
        <v>54</v>
      </c>
      <c r="D278" s="2" t="s">
        <v>124</v>
      </c>
      <c r="E278" s="2" t="s">
        <v>38</v>
      </c>
      <c r="F278" s="2" t="s">
        <v>123</v>
      </c>
      <c r="G278" s="2" t="s">
        <v>143</v>
      </c>
      <c r="H278" s="56" t="str">
        <f>Table1[[#This Row],[Tabela]]&amp;Table1[[#This Row],[Campo]]</f>
        <v>PROPERTY_ENERGY_CERTIFICATERENEWABLE_SPACE_HEATING_VALUE</v>
      </c>
      <c r="I278" s="2" t="s">
        <v>612</v>
      </c>
      <c r="J278" s="42">
        <f>VLOOKUP(Table1[[#This Row],[Status]],Auxiliar!$B$16:$C$24,2,0)</f>
        <v>1</v>
      </c>
      <c r="K278" s="2" t="s">
        <v>1171</v>
      </c>
      <c r="L278" s="28" t="s">
        <v>1166</v>
      </c>
      <c r="M278" s="20" t="s">
        <v>1175</v>
      </c>
      <c r="N278" s="47">
        <v>45485</v>
      </c>
      <c r="O278" s="20">
        <f>INDEX(Auxiliar!$D$5:$F$13,MATCH(Table1[[#This Row],[Tipologia_Testes]],Auxiliar!$B$5:$B$13,0),MATCH(Table1[[#This Row],[Complexidade]],Auxiliar!$D$4:$F$4,0))</f>
        <v>0.1</v>
      </c>
      <c r="P278" s="2" t="s">
        <v>1192</v>
      </c>
      <c r="Q278" s="2"/>
      <c r="R278" s="151">
        <v>45261</v>
      </c>
      <c r="S278" s="151"/>
      <c r="T278" s="151"/>
      <c r="U278" s="151"/>
      <c r="V278" s="151"/>
      <c r="W278" s="2">
        <f>VLOOKUP(Table1[[#This Row],[Status]],Auxiliar!$B$16:$D$24,3,0)*Table1[[#This Row],[Estimação (horas)]]</f>
        <v>0.1</v>
      </c>
      <c r="X278" s="165">
        <f>+VLOOKUP(CONCATENATE(Table1[[#This Row],[Tabela]],Table1[[#This Row],[Campo]]),'2. Status Detalhe Campos FY24'!A:J,9,FALSE)</f>
        <v>0</v>
      </c>
      <c r="Y278" s="491" t="e">
        <f>+VLOOKUP(A278,#REF!,1,FALSE)</f>
        <v>#REF!</v>
      </c>
    </row>
    <row r="279" spans="1:25" ht="17.899999999999999" hidden="1" customHeight="1">
      <c r="A279" t="str">
        <f>+Table1[[#This Row],[Tabela]]&amp;Table1[[#This Row],[Campo]]</f>
        <v>PROPERTY_ENERGY_CERTIFICATEBUILDING_SPACE_COOLING_VALUE</v>
      </c>
      <c r="B279" s="2" t="s">
        <v>26</v>
      </c>
      <c r="C279" s="2" t="s">
        <v>54</v>
      </c>
      <c r="D279" s="2" t="s">
        <v>124</v>
      </c>
      <c r="E279" s="2" t="s">
        <v>38</v>
      </c>
      <c r="F279" s="2" t="s">
        <v>123</v>
      </c>
      <c r="G279" s="2" t="s">
        <v>144</v>
      </c>
      <c r="H279" s="56" t="str">
        <f>Table1[[#This Row],[Tabela]]&amp;Table1[[#This Row],[Campo]]</f>
        <v>PROPERTY_ENERGY_CERTIFICATEBUILDING_SPACE_COOLING_VALUE</v>
      </c>
      <c r="I279" s="2" t="s">
        <v>612</v>
      </c>
      <c r="J279" s="42">
        <f>VLOOKUP(Table1[[#This Row],[Status]],Auxiliar!$B$16:$C$24,2,0)</f>
        <v>1</v>
      </c>
      <c r="K279" s="2" t="s">
        <v>1168</v>
      </c>
      <c r="L279" s="28" t="s">
        <v>1166</v>
      </c>
      <c r="M279" s="20" t="s">
        <v>1175</v>
      </c>
      <c r="N279" s="47">
        <v>45485</v>
      </c>
      <c r="O279" s="20">
        <f>INDEX(Auxiliar!$D$5:$F$13,MATCH(Table1[[#This Row],[Tipologia_Testes]],Auxiliar!$B$5:$B$13,0),MATCH(Table1[[#This Row],[Complexidade]],Auxiliar!$D$4:$F$4,0))</f>
        <v>2</v>
      </c>
      <c r="P279" s="2" t="s">
        <v>1192</v>
      </c>
      <c r="Q279" s="2"/>
      <c r="R279" s="151">
        <v>45261</v>
      </c>
      <c r="S279" s="151"/>
      <c r="T279" s="151"/>
      <c r="U279" s="151"/>
      <c r="V279" s="151"/>
      <c r="W279" s="2">
        <f>VLOOKUP(Table1[[#This Row],[Status]],Auxiliar!$B$16:$D$24,3,0)*Table1[[#This Row],[Estimação (horas)]]</f>
        <v>2</v>
      </c>
      <c r="X279" s="165">
        <f>+VLOOKUP(CONCATENATE(Table1[[#This Row],[Tabela]],Table1[[#This Row],[Campo]]),'2. Status Detalhe Campos FY24'!A:J,9,FALSE)</f>
        <v>0</v>
      </c>
      <c r="Y279" s="491" t="e">
        <f>+VLOOKUP(A279,#REF!,1,FALSE)</f>
        <v>#REF!</v>
      </c>
    </row>
    <row r="280" spans="1:25" ht="17.899999999999999" hidden="1" customHeight="1">
      <c r="A280" t="str">
        <f>+Table1[[#This Row],[Tabela]]&amp;Table1[[#This Row],[Campo]]</f>
        <v>PROPERTY_ENERGY_CERTIFICATEBUILDING_SPACE_COOLING_VALUE</v>
      </c>
      <c r="B280" s="2" t="s">
        <v>26</v>
      </c>
      <c r="C280" s="2" t="s">
        <v>54</v>
      </c>
      <c r="D280" s="2" t="s">
        <v>124</v>
      </c>
      <c r="E280" s="2" t="s">
        <v>38</v>
      </c>
      <c r="F280" s="2" t="s">
        <v>123</v>
      </c>
      <c r="G280" s="2" t="s">
        <v>144</v>
      </c>
      <c r="H280" s="56" t="str">
        <f>Table1[[#This Row],[Tabela]]&amp;Table1[[#This Row],[Campo]]</f>
        <v>PROPERTY_ENERGY_CERTIFICATEBUILDING_SPACE_COOLING_VALUE</v>
      </c>
      <c r="I280" s="2" t="s">
        <v>612</v>
      </c>
      <c r="J280" s="42">
        <f>VLOOKUP(Table1[[#This Row],[Status]],Auxiliar!$B$16:$C$24,2,0)</f>
        <v>1</v>
      </c>
      <c r="K280" s="2" t="s">
        <v>1169</v>
      </c>
      <c r="L280" s="28" t="s">
        <v>1166</v>
      </c>
      <c r="M280" s="20" t="s">
        <v>1175</v>
      </c>
      <c r="N280" s="47">
        <v>45485</v>
      </c>
      <c r="O280" s="20">
        <f>INDEX(Auxiliar!$D$5:$F$13,MATCH(Table1[[#This Row],[Tipologia_Testes]],Auxiliar!$B$5:$B$13,0),MATCH(Table1[[#This Row],[Complexidade]],Auxiliar!$D$4:$F$4,0))</f>
        <v>2</v>
      </c>
      <c r="P280" s="2" t="s">
        <v>1192</v>
      </c>
      <c r="Q280" s="2"/>
      <c r="R280" s="151">
        <v>45261</v>
      </c>
      <c r="S280" s="151"/>
      <c r="T280" s="151"/>
      <c r="U280" s="151"/>
      <c r="V280" s="151"/>
      <c r="W280" s="2">
        <f>VLOOKUP(Table1[[#This Row],[Status]],Auxiliar!$B$16:$D$24,3,0)*Table1[[#This Row],[Estimação (horas)]]</f>
        <v>2</v>
      </c>
      <c r="X280" s="165">
        <f>+VLOOKUP(CONCATENATE(Table1[[#This Row],[Tabela]],Table1[[#This Row],[Campo]]),'2. Status Detalhe Campos FY24'!A:J,9,FALSE)</f>
        <v>0</v>
      </c>
      <c r="Y280" s="491" t="e">
        <f>+VLOOKUP(A280,#REF!,1,FALSE)</f>
        <v>#REF!</v>
      </c>
    </row>
    <row r="281" spans="1:25" ht="17.899999999999999" hidden="1" customHeight="1">
      <c r="A281" t="str">
        <f>+Table1[[#This Row],[Tabela]]&amp;Table1[[#This Row],[Campo]]</f>
        <v>PROPERTY_ENERGY_CERTIFICATEBUILDING_SPACE_COOLING_VALUE</v>
      </c>
      <c r="B281" s="2" t="s">
        <v>26</v>
      </c>
      <c r="C281" s="2" t="s">
        <v>54</v>
      </c>
      <c r="D281" s="2" t="s">
        <v>124</v>
      </c>
      <c r="E281" s="2" t="s">
        <v>38</v>
      </c>
      <c r="F281" s="2" t="s">
        <v>123</v>
      </c>
      <c r="G281" s="2" t="s">
        <v>144</v>
      </c>
      <c r="H281" s="56" t="str">
        <f>Table1[[#This Row],[Tabela]]&amp;Table1[[#This Row],[Campo]]</f>
        <v>PROPERTY_ENERGY_CERTIFICATEBUILDING_SPACE_COOLING_VALUE</v>
      </c>
      <c r="I281" s="2" t="s">
        <v>612</v>
      </c>
      <c r="J281" s="42">
        <f>VLOOKUP(Table1[[#This Row],[Status]],Auxiliar!$B$16:$C$24,2,0)</f>
        <v>1</v>
      </c>
      <c r="K281" s="2" t="s">
        <v>1171</v>
      </c>
      <c r="L281" s="28" t="s">
        <v>1166</v>
      </c>
      <c r="M281" s="20" t="s">
        <v>1175</v>
      </c>
      <c r="N281" s="47">
        <v>45485</v>
      </c>
      <c r="O281" s="20">
        <f>INDEX(Auxiliar!$D$5:$F$13,MATCH(Table1[[#This Row],[Tipologia_Testes]],Auxiliar!$B$5:$B$13,0),MATCH(Table1[[#This Row],[Complexidade]],Auxiliar!$D$4:$F$4,0))</f>
        <v>0.1</v>
      </c>
      <c r="P281" s="2" t="s">
        <v>1192</v>
      </c>
      <c r="Q281" s="2"/>
      <c r="R281" s="151">
        <v>45261</v>
      </c>
      <c r="S281" s="151"/>
      <c r="T281" s="151"/>
      <c r="U281" s="151"/>
      <c r="V281" s="151"/>
      <c r="W281" s="2">
        <f>VLOOKUP(Table1[[#This Row],[Status]],Auxiliar!$B$16:$D$24,3,0)*Table1[[#This Row],[Estimação (horas)]]</f>
        <v>0.1</v>
      </c>
      <c r="X281" s="165">
        <f>+VLOOKUP(CONCATENATE(Table1[[#This Row],[Tabela]],Table1[[#This Row],[Campo]]),'2. Status Detalhe Campos FY24'!A:J,9,FALSE)</f>
        <v>0</v>
      </c>
      <c r="Y281" s="491" t="e">
        <f>+VLOOKUP(A281,#REF!,1,FALSE)</f>
        <v>#REF!</v>
      </c>
    </row>
    <row r="282" spans="1:25" ht="17.899999999999999" hidden="1" customHeight="1">
      <c r="A282" t="str">
        <f>+Table1[[#This Row],[Tabela]]&amp;Table1[[#This Row],[Campo]]</f>
        <v>PROPERTY_ENERGY_CERTIFICATERENEWABLE_SPACE_COOLING_VALUE</v>
      </c>
      <c r="B282" s="2" t="s">
        <v>26</v>
      </c>
      <c r="C282" s="2" t="s">
        <v>54</v>
      </c>
      <c r="D282" s="2" t="s">
        <v>124</v>
      </c>
      <c r="E282" s="2" t="s">
        <v>38</v>
      </c>
      <c r="F282" s="2" t="s">
        <v>123</v>
      </c>
      <c r="G282" s="2" t="s">
        <v>145</v>
      </c>
      <c r="H282" s="56" t="str">
        <f>Table1[[#This Row],[Tabela]]&amp;Table1[[#This Row],[Campo]]</f>
        <v>PROPERTY_ENERGY_CERTIFICATERENEWABLE_SPACE_COOLING_VALUE</v>
      </c>
      <c r="I282" s="2" t="s">
        <v>612</v>
      </c>
      <c r="J282" s="42">
        <f>VLOOKUP(Table1[[#This Row],[Status]],Auxiliar!$B$16:$C$24,2,0)</f>
        <v>1</v>
      </c>
      <c r="K282" s="2" t="s">
        <v>1168</v>
      </c>
      <c r="L282" s="28" t="s">
        <v>1166</v>
      </c>
      <c r="M282" s="20" t="s">
        <v>1175</v>
      </c>
      <c r="N282" s="47">
        <v>45485</v>
      </c>
      <c r="O282" s="20">
        <f>INDEX(Auxiliar!$D$5:$F$13,MATCH(Table1[[#This Row],[Tipologia_Testes]],Auxiliar!$B$5:$B$13,0),MATCH(Table1[[#This Row],[Complexidade]],Auxiliar!$D$4:$F$4,0))</f>
        <v>2</v>
      </c>
      <c r="P282" s="2" t="s">
        <v>1192</v>
      </c>
      <c r="Q282" s="2"/>
      <c r="R282" s="151">
        <v>45261</v>
      </c>
      <c r="S282" s="151"/>
      <c r="T282" s="151"/>
      <c r="U282" s="151"/>
      <c r="V282" s="151"/>
      <c r="W282" s="2">
        <f>VLOOKUP(Table1[[#This Row],[Status]],Auxiliar!$B$16:$D$24,3,0)*Table1[[#This Row],[Estimação (horas)]]</f>
        <v>2</v>
      </c>
      <c r="X282" s="165">
        <f>+VLOOKUP(CONCATENATE(Table1[[#This Row],[Tabela]],Table1[[#This Row],[Campo]]),'2. Status Detalhe Campos FY24'!A:J,9,FALSE)</f>
        <v>0</v>
      </c>
      <c r="Y282" s="491" t="e">
        <f>+VLOOKUP(A282,#REF!,1,FALSE)</f>
        <v>#REF!</v>
      </c>
    </row>
    <row r="283" spans="1:25" ht="17.899999999999999" hidden="1" customHeight="1">
      <c r="A283" t="str">
        <f>+Table1[[#This Row],[Tabela]]&amp;Table1[[#This Row],[Campo]]</f>
        <v>PROPERTY_ENERGY_CERTIFICATERENEWABLE_SPACE_COOLING_VALUE</v>
      </c>
      <c r="B283" s="2" t="s">
        <v>26</v>
      </c>
      <c r="C283" s="2" t="s">
        <v>54</v>
      </c>
      <c r="D283" s="2" t="s">
        <v>124</v>
      </c>
      <c r="E283" s="2" t="s">
        <v>38</v>
      </c>
      <c r="F283" s="2" t="s">
        <v>123</v>
      </c>
      <c r="G283" s="2" t="s">
        <v>145</v>
      </c>
      <c r="H283" s="56" t="str">
        <f>Table1[[#This Row],[Tabela]]&amp;Table1[[#This Row],[Campo]]</f>
        <v>PROPERTY_ENERGY_CERTIFICATERENEWABLE_SPACE_COOLING_VALUE</v>
      </c>
      <c r="I283" s="2" t="s">
        <v>612</v>
      </c>
      <c r="J283" s="42">
        <f>VLOOKUP(Table1[[#This Row],[Status]],Auxiliar!$B$16:$C$24,2,0)</f>
        <v>1</v>
      </c>
      <c r="K283" s="2" t="s">
        <v>1169</v>
      </c>
      <c r="L283" s="28" t="s">
        <v>1166</v>
      </c>
      <c r="M283" s="20" t="s">
        <v>1175</v>
      </c>
      <c r="N283" s="47">
        <v>45485</v>
      </c>
      <c r="O283" s="20">
        <f>INDEX(Auxiliar!$D$5:$F$13,MATCH(Table1[[#This Row],[Tipologia_Testes]],Auxiliar!$B$5:$B$13,0),MATCH(Table1[[#This Row],[Complexidade]],Auxiliar!$D$4:$F$4,0))</f>
        <v>2</v>
      </c>
      <c r="P283" s="2" t="s">
        <v>1192</v>
      </c>
      <c r="Q283" s="2"/>
      <c r="R283" s="151">
        <v>45261</v>
      </c>
      <c r="S283" s="151"/>
      <c r="T283" s="151"/>
      <c r="U283" s="151"/>
      <c r="V283" s="151"/>
      <c r="W283" s="2">
        <f>VLOOKUP(Table1[[#This Row],[Status]],Auxiliar!$B$16:$D$24,3,0)*Table1[[#This Row],[Estimação (horas)]]</f>
        <v>2</v>
      </c>
      <c r="X283" s="165">
        <f>+VLOOKUP(CONCATENATE(Table1[[#This Row],[Tabela]],Table1[[#This Row],[Campo]]),'2. Status Detalhe Campos FY24'!A:J,9,FALSE)</f>
        <v>0</v>
      </c>
      <c r="Y283" s="491" t="e">
        <f>+VLOOKUP(A283,#REF!,1,FALSE)</f>
        <v>#REF!</v>
      </c>
    </row>
    <row r="284" spans="1:25" ht="17.899999999999999" hidden="1" customHeight="1">
      <c r="A284" t="str">
        <f>+Table1[[#This Row],[Tabela]]&amp;Table1[[#This Row],[Campo]]</f>
        <v>PROPERTY_ENERGY_CERTIFICATERENEWABLE_SPACE_COOLING_VALUE</v>
      </c>
      <c r="B284" s="2" t="s">
        <v>26</v>
      </c>
      <c r="C284" s="2" t="s">
        <v>54</v>
      </c>
      <c r="D284" s="2" t="s">
        <v>124</v>
      </c>
      <c r="E284" s="2" t="s">
        <v>38</v>
      </c>
      <c r="F284" s="2" t="s">
        <v>123</v>
      </c>
      <c r="G284" s="2" t="s">
        <v>145</v>
      </c>
      <c r="H284" s="56" t="str">
        <f>Table1[[#This Row],[Tabela]]&amp;Table1[[#This Row],[Campo]]</f>
        <v>PROPERTY_ENERGY_CERTIFICATERENEWABLE_SPACE_COOLING_VALUE</v>
      </c>
      <c r="I284" s="2" t="s">
        <v>612</v>
      </c>
      <c r="J284" s="42">
        <f>VLOOKUP(Table1[[#This Row],[Status]],Auxiliar!$B$16:$C$24,2,0)</f>
        <v>1</v>
      </c>
      <c r="K284" s="2" t="s">
        <v>1171</v>
      </c>
      <c r="L284" s="28" t="s">
        <v>1166</v>
      </c>
      <c r="M284" s="20" t="s">
        <v>1175</v>
      </c>
      <c r="N284" s="47">
        <v>45485</v>
      </c>
      <c r="O284" s="20">
        <f>INDEX(Auxiliar!$D$5:$F$13,MATCH(Table1[[#This Row],[Tipologia_Testes]],Auxiliar!$B$5:$B$13,0),MATCH(Table1[[#This Row],[Complexidade]],Auxiliar!$D$4:$F$4,0))</f>
        <v>0.1</v>
      </c>
      <c r="P284" s="2" t="s">
        <v>1192</v>
      </c>
      <c r="Q284" s="2"/>
      <c r="R284" s="151">
        <v>45261</v>
      </c>
      <c r="S284" s="151"/>
      <c r="T284" s="151"/>
      <c r="U284" s="151"/>
      <c r="V284" s="151"/>
      <c r="W284" s="2">
        <f>VLOOKUP(Table1[[#This Row],[Status]],Auxiliar!$B$16:$D$24,3,0)*Table1[[#This Row],[Estimação (horas)]]</f>
        <v>0.1</v>
      </c>
      <c r="X284" s="165">
        <f>+VLOOKUP(CONCATENATE(Table1[[#This Row],[Tabela]],Table1[[#This Row],[Campo]]),'2. Status Detalhe Campos FY24'!A:J,9,FALSE)</f>
        <v>0</v>
      </c>
      <c r="Y284" s="491" t="e">
        <f>+VLOOKUP(A284,#REF!,1,FALSE)</f>
        <v>#REF!</v>
      </c>
    </row>
    <row r="285" spans="1:25" ht="17.899999999999999" hidden="1" customHeight="1">
      <c r="A285" t="str">
        <f>+Table1[[#This Row],[Tabela]]&amp;Table1[[#This Row],[Campo]]</f>
        <v>PROPERTY_ENERGY_CERTIFICATESPACE_COOLING_REF_VALUE</v>
      </c>
      <c r="B285" s="2" t="s">
        <v>26</v>
      </c>
      <c r="C285" s="2" t="s">
        <v>54</v>
      </c>
      <c r="D285" s="2" t="s">
        <v>124</v>
      </c>
      <c r="E285" s="2" t="s">
        <v>38</v>
      </c>
      <c r="F285" s="2" t="s">
        <v>123</v>
      </c>
      <c r="G285" s="2" t="s">
        <v>146</v>
      </c>
      <c r="H285" s="56" t="str">
        <f>Table1[[#This Row],[Tabela]]&amp;Table1[[#This Row],[Campo]]</f>
        <v>PROPERTY_ENERGY_CERTIFICATESPACE_COOLING_REF_VALUE</v>
      </c>
      <c r="I285" s="2" t="s">
        <v>612</v>
      </c>
      <c r="J285" s="42">
        <f>VLOOKUP(Table1[[#This Row],[Status]],Auxiliar!$B$16:$C$24,2,0)</f>
        <v>1</v>
      </c>
      <c r="K285" s="2" t="s">
        <v>1168</v>
      </c>
      <c r="L285" s="28" t="s">
        <v>1166</v>
      </c>
      <c r="M285" s="20" t="s">
        <v>1175</v>
      </c>
      <c r="N285" s="47">
        <v>45485</v>
      </c>
      <c r="O285" s="20">
        <f>INDEX(Auxiliar!$D$5:$F$13,MATCH(Table1[[#This Row],[Tipologia_Testes]],Auxiliar!$B$5:$B$13,0),MATCH(Table1[[#This Row],[Complexidade]],Auxiliar!$D$4:$F$4,0))</f>
        <v>2</v>
      </c>
      <c r="P285" s="2" t="s">
        <v>1192</v>
      </c>
      <c r="Q285" s="2"/>
      <c r="R285" s="151">
        <v>45261</v>
      </c>
      <c r="S285" s="151"/>
      <c r="T285" s="151"/>
      <c r="U285" s="151"/>
      <c r="V285" s="151"/>
      <c r="W285" s="2">
        <f>VLOOKUP(Table1[[#This Row],[Status]],Auxiliar!$B$16:$D$24,3,0)*Table1[[#This Row],[Estimação (horas)]]</f>
        <v>2</v>
      </c>
      <c r="X285" s="165">
        <f>+VLOOKUP(CONCATENATE(Table1[[#This Row],[Tabela]],Table1[[#This Row],[Campo]]),'2. Status Detalhe Campos FY24'!A:J,9,FALSE)</f>
        <v>0</v>
      </c>
      <c r="Y285" s="491" t="e">
        <f>+VLOOKUP(A285,#REF!,1,FALSE)</f>
        <v>#REF!</v>
      </c>
    </row>
    <row r="286" spans="1:25" ht="17.899999999999999" hidden="1" customHeight="1">
      <c r="A286" t="str">
        <f>+Table1[[#This Row],[Tabela]]&amp;Table1[[#This Row],[Campo]]</f>
        <v>PROPERTY_ENERGY_CERTIFICATESPACE_COOLING_REF_VALUE</v>
      </c>
      <c r="B286" s="2" t="s">
        <v>26</v>
      </c>
      <c r="C286" s="2" t="s">
        <v>54</v>
      </c>
      <c r="D286" s="2" t="s">
        <v>124</v>
      </c>
      <c r="E286" s="2" t="s">
        <v>38</v>
      </c>
      <c r="F286" s="2" t="s">
        <v>123</v>
      </c>
      <c r="G286" s="2" t="s">
        <v>146</v>
      </c>
      <c r="H286" s="56" t="str">
        <f>Table1[[#This Row],[Tabela]]&amp;Table1[[#This Row],[Campo]]</f>
        <v>PROPERTY_ENERGY_CERTIFICATESPACE_COOLING_REF_VALUE</v>
      </c>
      <c r="I286" s="2" t="s">
        <v>612</v>
      </c>
      <c r="J286" s="42">
        <f>VLOOKUP(Table1[[#This Row],[Status]],Auxiliar!$B$16:$C$24,2,0)</f>
        <v>1</v>
      </c>
      <c r="K286" s="2" t="s">
        <v>1169</v>
      </c>
      <c r="L286" s="28" t="s">
        <v>1166</v>
      </c>
      <c r="M286" s="20" t="s">
        <v>1175</v>
      </c>
      <c r="N286" s="47">
        <v>45485</v>
      </c>
      <c r="O286" s="20">
        <f>INDEX(Auxiliar!$D$5:$F$13,MATCH(Table1[[#This Row],[Tipologia_Testes]],Auxiliar!$B$5:$B$13,0),MATCH(Table1[[#This Row],[Complexidade]],Auxiliar!$D$4:$F$4,0))</f>
        <v>2</v>
      </c>
      <c r="P286" s="2" t="s">
        <v>1192</v>
      </c>
      <c r="Q286" s="2"/>
      <c r="R286" s="151">
        <v>45261</v>
      </c>
      <c r="S286" s="151"/>
      <c r="T286" s="151"/>
      <c r="U286" s="151"/>
      <c r="V286" s="151"/>
      <c r="W286" s="2">
        <f>VLOOKUP(Table1[[#This Row],[Status]],Auxiliar!$B$16:$D$24,3,0)*Table1[[#This Row],[Estimação (horas)]]</f>
        <v>2</v>
      </c>
      <c r="X286" s="165">
        <f>+VLOOKUP(CONCATENATE(Table1[[#This Row],[Tabela]],Table1[[#This Row],[Campo]]),'2. Status Detalhe Campos FY24'!A:J,9,FALSE)</f>
        <v>0</v>
      </c>
      <c r="Y286" s="491" t="e">
        <f>+VLOOKUP(A286,#REF!,1,FALSE)</f>
        <v>#REF!</v>
      </c>
    </row>
    <row r="287" spans="1:25" ht="17.899999999999999" hidden="1" customHeight="1">
      <c r="A287" t="str">
        <f>+Table1[[#This Row],[Tabela]]&amp;Table1[[#This Row],[Campo]]</f>
        <v>PROPERTY_ENERGY_CERTIFICATESPACE_COOLING_REF_VALUE</v>
      </c>
      <c r="B287" s="2" t="s">
        <v>26</v>
      </c>
      <c r="C287" s="2" t="s">
        <v>54</v>
      </c>
      <c r="D287" s="2" t="s">
        <v>124</v>
      </c>
      <c r="E287" s="2" t="s">
        <v>38</v>
      </c>
      <c r="F287" s="2" t="s">
        <v>123</v>
      </c>
      <c r="G287" s="2" t="s">
        <v>146</v>
      </c>
      <c r="H287" s="56" t="str">
        <f>Table1[[#This Row],[Tabela]]&amp;Table1[[#This Row],[Campo]]</f>
        <v>PROPERTY_ENERGY_CERTIFICATESPACE_COOLING_REF_VALUE</v>
      </c>
      <c r="I287" s="2" t="s">
        <v>612</v>
      </c>
      <c r="J287" s="42">
        <f>VLOOKUP(Table1[[#This Row],[Status]],Auxiliar!$B$16:$C$24,2,0)</f>
        <v>1</v>
      </c>
      <c r="K287" s="2" t="s">
        <v>1171</v>
      </c>
      <c r="L287" s="28" t="s">
        <v>1166</v>
      </c>
      <c r="M287" s="20" t="s">
        <v>1175</v>
      </c>
      <c r="N287" s="47">
        <v>45485</v>
      </c>
      <c r="O287" s="20">
        <f>INDEX(Auxiliar!$D$5:$F$13,MATCH(Table1[[#This Row],[Tipologia_Testes]],Auxiliar!$B$5:$B$13,0),MATCH(Table1[[#This Row],[Complexidade]],Auxiliar!$D$4:$F$4,0))</f>
        <v>0.1</v>
      </c>
      <c r="P287" s="2" t="s">
        <v>1192</v>
      </c>
      <c r="Q287" s="2"/>
      <c r="R287" s="151">
        <v>45261</v>
      </c>
      <c r="S287" s="151"/>
      <c r="T287" s="151"/>
      <c r="U287" s="151"/>
      <c r="V287" s="151"/>
      <c r="W287" s="2">
        <f>VLOOKUP(Table1[[#This Row],[Status]],Auxiliar!$B$16:$D$24,3,0)*Table1[[#This Row],[Estimação (horas)]]</f>
        <v>0.1</v>
      </c>
      <c r="X287" s="165">
        <f>+VLOOKUP(CONCATENATE(Table1[[#This Row],[Tabela]],Table1[[#This Row],[Campo]]),'2. Status Detalhe Campos FY24'!A:J,9,FALSE)</f>
        <v>0</v>
      </c>
      <c r="Y287" s="491" t="e">
        <f>+VLOOKUP(A287,#REF!,1,FALSE)</f>
        <v>#REF!</v>
      </c>
    </row>
    <row r="288" spans="1:25" ht="17.899999999999999" hidden="1" customHeight="1">
      <c r="A288" t="str">
        <f>+Table1[[#This Row],[Tabela]]&amp;Table1[[#This Row],[Campo]]</f>
        <v>PROPERTY_ENERGY_CERTIFICATEENERGY_CLASS_AFTER_MEASUREMENT</v>
      </c>
      <c r="B288" s="2" t="s">
        <v>26</v>
      </c>
      <c r="C288" s="2" t="s">
        <v>54</v>
      </c>
      <c r="D288" s="2" t="s">
        <v>124</v>
      </c>
      <c r="E288" s="2" t="s">
        <v>38</v>
      </c>
      <c r="F288" s="2" t="s">
        <v>123</v>
      </c>
      <c r="G288" s="2" t="s">
        <v>147</v>
      </c>
      <c r="H288" s="56" t="str">
        <f>Table1[[#This Row],[Tabela]]&amp;Table1[[#This Row],[Campo]]</f>
        <v>PROPERTY_ENERGY_CERTIFICATEENERGY_CLASS_AFTER_MEASUREMENT</v>
      </c>
      <c r="I288" s="2" t="s">
        <v>612</v>
      </c>
      <c r="J288" s="42">
        <f>VLOOKUP(Table1[[#This Row],[Status]],Auxiliar!$B$16:$C$24,2,0)</f>
        <v>1</v>
      </c>
      <c r="K288" s="2" t="s">
        <v>1168</v>
      </c>
      <c r="L288" s="28" t="s">
        <v>1166</v>
      </c>
      <c r="M288" s="20" t="s">
        <v>1175</v>
      </c>
      <c r="N288" s="47">
        <v>45485</v>
      </c>
      <c r="O288" s="20">
        <f>INDEX(Auxiliar!$D$5:$F$13,MATCH(Table1[[#This Row],[Tipologia_Testes]],Auxiliar!$B$5:$B$13,0),MATCH(Table1[[#This Row],[Complexidade]],Auxiliar!$D$4:$F$4,0))</f>
        <v>2</v>
      </c>
      <c r="P288" s="2" t="s">
        <v>1192</v>
      </c>
      <c r="Q288" s="2"/>
      <c r="R288" s="151">
        <v>45261</v>
      </c>
      <c r="S288" s="151"/>
      <c r="T288" s="151"/>
      <c r="U288" s="151"/>
      <c r="V288" s="151"/>
      <c r="W288" s="2">
        <f>VLOOKUP(Table1[[#This Row],[Status]],Auxiliar!$B$16:$D$24,3,0)*Table1[[#This Row],[Estimação (horas)]]</f>
        <v>2</v>
      </c>
      <c r="X288" s="165">
        <f>+VLOOKUP(CONCATENATE(Table1[[#This Row],[Tabela]],Table1[[#This Row],[Campo]]),'2. Status Detalhe Campos FY24'!A:J,9,FALSE)</f>
        <v>0</v>
      </c>
      <c r="Y288" s="491" t="e">
        <f>+VLOOKUP(A288,#REF!,1,FALSE)</f>
        <v>#REF!</v>
      </c>
    </row>
    <row r="289" spans="1:25" ht="17.899999999999999" hidden="1" customHeight="1">
      <c r="A289" t="str">
        <f>+Table1[[#This Row],[Tabela]]&amp;Table1[[#This Row],[Campo]]</f>
        <v>PROPERTY_ENERGY_CERTIFICATEENERGY_CLASS_AFTER_MEASUREMENT</v>
      </c>
      <c r="B289" s="2" t="s">
        <v>26</v>
      </c>
      <c r="C289" s="2" t="s">
        <v>54</v>
      </c>
      <c r="D289" s="2" t="s">
        <v>124</v>
      </c>
      <c r="E289" s="2" t="s">
        <v>38</v>
      </c>
      <c r="F289" s="2" t="s">
        <v>123</v>
      </c>
      <c r="G289" s="2" t="s">
        <v>147</v>
      </c>
      <c r="H289" s="56" t="str">
        <f>Table1[[#This Row],[Tabela]]&amp;Table1[[#This Row],[Campo]]</f>
        <v>PROPERTY_ENERGY_CERTIFICATEENERGY_CLASS_AFTER_MEASUREMENT</v>
      </c>
      <c r="I289" s="2" t="s">
        <v>612</v>
      </c>
      <c r="J289" s="42">
        <f>VLOOKUP(Table1[[#This Row],[Status]],Auxiliar!$B$16:$C$24,2,0)</f>
        <v>1</v>
      </c>
      <c r="K289" s="2" t="s">
        <v>1169</v>
      </c>
      <c r="L289" s="28" t="s">
        <v>1166</v>
      </c>
      <c r="M289" s="20" t="s">
        <v>1175</v>
      </c>
      <c r="N289" s="47">
        <v>45485</v>
      </c>
      <c r="O289" s="20">
        <f>INDEX(Auxiliar!$D$5:$F$13,MATCH(Table1[[#This Row],[Tipologia_Testes]],Auxiliar!$B$5:$B$13,0),MATCH(Table1[[#This Row],[Complexidade]],Auxiliar!$D$4:$F$4,0))</f>
        <v>2</v>
      </c>
      <c r="P289" s="2" t="s">
        <v>1192</v>
      </c>
      <c r="Q289" s="2"/>
      <c r="R289" s="151">
        <v>45261</v>
      </c>
      <c r="S289" s="151"/>
      <c r="T289" s="151"/>
      <c r="U289" s="151"/>
      <c r="V289" s="151"/>
      <c r="W289" s="2">
        <f>VLOOKUP(Table1[[#This Row],[Status]],Auxiliar!$B$16:$D$24,3,0)*Table1[[#This Row],[Estimação (horas)]]</f>
        <v>2</v>
      </c>
      <c r="X289" s="165">
        <f>+VLOOKUP(CONCATENATE(Table1[[#This Row],[Tabela]],Table1[[#This Row],[Campo]]),'2. Status Detalhe Campos FY24'!A:J,9,FALSE)</f>
        <v>0</v>
      </c>
      <c r="Y289" s="491" t="e">
        <f>+VLOOKUP(A289,#REF!,1,FALSE)</f>
        <v>#REF!</v>
      </c>
    </row>
    <row r="290" spans="1:25" ht="17.899999999999999" hidden="1" customHeight="1">
      <c r="A290" t="str">
        <f>+Table1[[#This Row],[Tabela]]&amp;Table1[[#This Row],[Campo]]</f>
        <v>PROPERTY_ENERGY_CERTIFICATEENERGY_CLASS_AFTER_MEASUREMENT</v>
      </c>
      <c r="B290" s="2" t="s">
        <v>26</v>
      </c>
      <c r="C290" s="2" t="s">
        <v>54</v>
      </c>
      <c r="D290" s="2" t="s">
        <v>124</v>
      </c>
      <c r="E290" s="2" t="s">
        <v>38</v>
      </c>
      <c r="F290" s="2" t="s">
        <v>123</v>
      </c>
      <c r="G290" s="2" t="s">
        <v>147</v>
      </c>
      <c r="H290" s="56" t="str">
        <f>Table1[[#This Row],[Tabela]]&amp;Table1[[#This Row],[Campo]]</f>
        <v>PROPERTY_ENERGY_CERTIFICATEENERGY_CLASS_AFTER_MEASUREMENT</v>
      </c>
      <c r="I290" s="2" t="s">
        <v>612</v>
      </c>
      <c r="J290" s="42">
        <f>VLOOKUP(Table1[[#This Row],[Status]],Auxiliar!$B$16:$C$24,2,0)</f>
        <v>1</v>
      </c>
      <c r="K290" s="2" t="s">
        <v>1171</v>
      </c>
      <c r="L290" s="28" t="s">
        <v>1166</v>
      </c>
      <c r="M290" s="20" t="s">
        <v>1175</v>
      </c>
      <c r="N290" s="47">
        <v>45485</v>
      </c>
      <c r="O290" s="20">
        <f>INDEX(Auxiliar!$D$5:$F$13,MATCH(Table1[[#This Row],[Tipologia_Testes]],Auxiliar!$B$5:$B$13,0),MATCH(Table1[[#This Row],[Complexidade]],Auxiliar!$D$4:$F$4,0))</f>
        <v>0.1</v>
      </c>
      <c r="P290" s="2" t="s">
        <v>1192</v>
      </c>
      <c r="Q290" s="2"/>
      <c r="R290" s="151">
        <v>45261</v>
      </c>
      <c r="S290" s="151"/>
      <c r="T290" s="151"/>
      <c r="U290" s="151"/>
      <c r="V290" s="151"/>
      <c r="W290" s="2">
        <f>VLOOKUP(Table1[[#This Row],[Status]],Auxiliar!$B$16:$D$24,3,0)*Table1[[#This Row],[Estimação (horas)]]</f>
        <v>0.1</v>
      </c>
      <c r="X290" s="165">
        <f>+VLOOKUP(CONCATENATE(Table1[[#This Row],[Tabela]],Table1[[#This Row],[Campo]]),'2. Status Detalhe Campos FY24'!A:J,9,FALSE)</f>
        <v>0</v>
      </c>
      <c r="Y290" s="491" t="e">
        <f>+VLOOKUP(A290,#REF!,1,FALSE)</f>
        <v>#REF!</v>
      </c>
    </row>
    <row r="291" spans="1:25" ht="17.899999999999999" hidden="1" customHeight="1">
      <c r="A291" t="str">
        <f>+Table1[[#This Row],[Tabela]]&amp;Table1[[#This Row],[Campo]]</f>
        <v>PROPERTY_ENERGY_CERTIFICATEENERGY_CONSUMPTION_VALUE_YEAR</v>
      </c>
      <c r="B291" s="2" t="s">
        <v>26</v>
      </c>
      <c r="C291" s="2" t="s">
        <v>54</v>
      </c>
      <c r="D291" s="2" t="s">
        <v>124</v>
      </c>
      <c r="E291" s="2" t="s">
        <v>38</v>
      </c>
      <c r="F291" s="2" t="s">
        <v>123</v>
      </c>
      <c r="G291" s="2" t="s">
        <v>51</v>
      </c>
      <c r="H291" s="56" t="str">
        <f>Table1[[#This Row],[Tabela]]&amp;Table1[[#This Row],[Campo]]</f>
        <v>PROPERTY_ENERGY_CERTIFICATEENERGY_CONSUMPTION_VALUE_YEAR</v>
      </c>
      <c r="I291" s="2" t="s">
        <v>612</v>
      </c>
      <c r="J291" s="42">
        <f>VLOOKUP(Table1[[#This Row],[Status]],Auxiliar!$B$16:$C$24,2,0)</f>
        <v>1</v>
      </c>
      <c r="K291" s="2" t="s">
        <v>1168</v>
      </c>
      <c r="L291" s="28" t="s">
        <v>1166</v>
      </c>
      <c r="M291" s="20" t="s">
        <v>1175</v>
      </c>
      <c r="N291" s="47">
        <v>45737</v>
      </c>
      <c r="O291" s="20">
        <f>INDEX(Auxiliar!$D$5:$F$13,MATCH(Table1[[#This Row],[Tipologia_Testes]],Auxiliar!$B$5:$B$13,0),MATCH(Table1[[#This Row],[Complexidade]],Auxiliar!$D$4:$F$4,0))</f>
        <v>2</v>
      </c>
      <c r="P291" s="2"/>
      <c r="Q291" s="2"/>
      <c r="R291" s="151">
        <v>45616</v>
      </c>
      <c r="S291" s="151"/>
      <c r="T291" s="151"/>
      <c r="U291" s="151"/>
      <c r="V291" s="151">
        <v>45639</v>
      </c>
      <c r="W291" s="2">
        <f>VLOOKUP(Table1[[#This Row],[Status]],Auxiliar!$B$16:$D$24,3,0)*Table1[[#This Row],[Estimação (horas)]]</f>
        <v>2</v>
      </c>
      <c r="X291" s="165">
        <f>+VLOOKUP(CONCATENATE(Table1[[#This Row],[Tabela]],Table1[[#This Row],[Campo]]),'2. Status Detalhe Campos FY24'!A:J,9,FALSE)</f>
        <v>0</v>
      </c>
      <c r="Y291" s="491" t="e">
        <f>+VLOOKUP(A291,#REF!,1,FALSE)</f>
        <v>#REF!</v>
      </c>
    </row>
    <row r="292" spans="1:25" ht="17.899999999999999" hidden="1" customHeight="1">
      <c r="A292" t="str">
        <f>+Table1[[#This Row],[Tabela]]&amp;Table1[[#This Row],[Campo]]</f>
        <v>PROPERTY_ENERGY_CERTIFICATEENERGY_CONSUMPTION_VALUE_YEAR</v>
      </c>
      <c r="B292" s="2" t="s">
        <v>26</v>
      </c>
      <c r="C292" s="2" t="s">
        <v>54</v>
      </c>
      <c r="D292" s="2" t="s">
        <v>124</v>
      </c>
      <c r="E292" s="2" t="s">
        <v>38</v>
      </c>
      <c r="F292" s="2" t="s">
        <v>123</v>
      </c>
      <c r="G292" s="2" t="s">
        <v>51</v>
      </c>
      <c r="H292" s="56" t="str">
        <f>Table1[[#This Row],[Tabela]]&amp;Table1[[#This Row],[Campo]]</f>
        <v>PROPERTY_ENERGY_CERTIFICATEENERGY_CONSUMPTION_VALUE_YEAR</v>
      </c>
      <c r="I292" s="2" t="s">
        <v>612</v>
      </c>
      <c r="J292" s="42">
        <f>VLOOKUP(Table1[[#This Row],[Status]],Auxiliar!$B$16:$C$24,2,0)</f>
        <v>1</v>
      </c>
      <c r="K292" s="2" t="s">
        <v>1169</v>
      </c>
      <c r="L292" s="28" t="s">
        <v>1166</v>
      </c>
      <c r="M292" s="20" t="s">
        <v>1175</v>
      </c>
      <c r="N292" s="47">
        <v>45737</v>
      </c>
      <c r="O292" s="20">
        <f>INDEX(Auxiliar!$D$5:$F$13,MATCH(Table1[[#This Row],[Tipologia_Testes]],Auxiliar!$B$5:$B$13,0),MATCH(Table1[[#This Row],[Complexidade]],Auxiliar!$D$4:$F$4,0))</f>
        <v>2</v>
      </c>
      <c r="P292" s="2"/>
      <c r="Q292" s="2"/>
      <c r="R292" s="151">
        <v>45616</v>
      </c>
      <c r="S292" s="151"/>
      <c r="T292" s="151"/>
      <c r="U292" s="151"/>
      <c r="V292" s="151">
        <v>45639</v>
      </c>
      <c r="W292" s="2">
        <f>VLOOKUP(Table1[[#This Row],[Status]],Auxiliar!$B$16:$D$24,3,0)*Table1[[#This Row],[Estimação (horas)]]</f>
        <v>2</v>
      </c>
      <c r="X292" s="165">
        <f>+VLOOKUP(CONCATENATE(Table1[[#This Row],[Tabela]],Table1[[#This Row],[Campo]]),'2. Status Detalhe Campos FY24'!A:J,9,FALSE)</f>
        <v>0</v>
      </c>
      <c r="Y292" s="491" t="e">
        <f>+VLOOKUP(A292,#REF!,1,FALSE)</f>
        <v>#REF!</v>
      </c>
    </row>
    <row r="293" spans="1:25" ht="17.899999999999999" hidden="1" customHeight="1">
      <c r="A293" t="str">
        <f>+Table1[[#This Row],[Tabela]]&amp;Table1[[#This Row],[Campo]]</f>
        <v>PROPERTY_ENERGY_CERTIFICATEENERGY_CONSUMPTION_VALUE_YEAR</v>
      </c>
      <c r="B293" s="2" t="s">
        <v>26</v>
      </c>
      <c r="C293" s="2" t="s">
        <v>54</v>
      </c>
      <c r="D293" s="2" t="s">
        <v>124</v>
      </c>
      <c r="E293" s="2" t="s">
        <v>38</v>
      </c>
      <c r="F293" s="2" t="s">
        <v>123</v>
      </c>
      <c r="G293" s="2" t="s">
        <v>51</v>
      </c>
      <c r="H293" s="56" t="str">
        <f>Table1[[#This Row],[Tabela]]&amp;Table1[[#This Row],[Campo]]</f>
        <v>PROPERTY_ENERGY_CERTIFICATEENERGY_CONSUMPTION_VALUE_YEAR</v>
      </c>
      <c r="I293" s="2" t="s">
        <v>612</v>
      </c>
      <c r="J293" s="42">
        <f>VLOOKUP(Table1[[#This Row],[Status]],Auxiliar!$B$16:$C$24,2,0)</f>
        <v>1</v>
      </c>
      <c r="K293" s="2" t="s">
        <v>1171</v>
      </c>
      <c r="L293" s="28" t="s">
        <v>1166</v>
      </c>
      <c r="M293" s="20" t="s">
        <v>1175</v>
      </c>
      <c r="N293" s="47">
        <v>45737</v>
      </c>
      <c r="O293" s="20">
        <f>INDEX(Auxiliar!$D$5:$F$13,MATCH(Table1[[#This Row],[Tipologia_Testes]],Auxiliar!$B$5:$B$13,0),MATCH(Table1[[#This Row],[Complexidade]],Auxiliar!$D$4:$F$4,0))</f>
        <v>0.1</v>
      </c>
      <c r="P293" s="2"/>
      <c r="Q293" s="2"/>
      <c r="R293" s="151">
        <v>45616</v>
      </c>
      <c r="S293" s="151"/>
      <c r="T293" s="151"/>
      <c r="U293" s="151"/>
      <c r="V293" s="151">
        <v>45639</v>
      </c>
      <c r="W293" s="2">
        <f>VLOOKUP(Table1[[#This Row],[Status]],Auxiliar!$B$16:$D$24,3,0)*Table1[[#This Row],[Estimação (horas)]]</f>
        <v>0.1</v>
      </c>
      <c r="X293" s="165">
        <f>+VLOOKUP(CONCATENATE(Table1[[#This Row],[Tabela]],Table1[[#This Row],[Campo]]),'2. Status Detalhe Campos FY24'!A:J,9,FALSE)</f>
        <v>0</v>
      </c>
      <c r="Y293" s="491" t="e">
        <f>+VLOOKUP(A293,#REF!,1,FALSE)</f>
        <v>#REF!</v>
      </c>
    </row>
    <row r="294" spans="1:25" ht="17.899999999999999" hidden="1" customHeight="1">
      <c r="A294" t="str">
        <f>+Table1[[#This Row],[Tabela]]&amp;Table1[[#This Row],[Campo]]</f>
        <v>PROPERTY_ENERGY_CERTIFICATETHERMAL_BEHAVIOUR_ROOF</v>
      </c>
      <c r="B294" s="2" t="s">
        <v>26</v>
      </c>
      <c r="C294" s="2" t="s">
        <v>54</v>
      </c>
      <c r="D294" s="2" t="s">
        <v>124</v>
      </c>
      <c r="E294" s="2" t="s">
        <v>38</v>
      </c>
      <c r="F294" s="2" t="s">
        <v>123</v>
      </c>
      <c r="G294" s="2" t="s">
        <v>148</v>
      </c>
      <c r="H294" s="56" t="str">
        <f>Table1[[#This Row],[Tabela]]&amp;Table1[[#This Row],[Campo]]</f>
        <v>PROPERTY_ENERGY_CERTIFICATETHERMAL_BEHAVIOUR_ROOF</v>
      </c>
      <c r="I294" s="2" t="s">
        <v>611</v>
      </c>
      <c r="J294" s="42">
        <f>VLOOKUP(Table1[[#This Row],[Status]],Auxiliar!$B$16:$C$24,2,0)</f>
        <v>0</v>
      </c>
      <c r="K294" s="2" t="s">
        <v>1168</v>
      </c>
      <c r="L294" s="28" t="s">
        <v>1166</v>
      </c>
      <c r="M294" s="20" t="s">
        <v>1175</v>
      </c>
      <c r="N294" s="47">
        <v>45485</v>
      </c>
      <c r="O294" s="20">
        <f>INDEX(Auxiliar!$D$5:$F$13,MATCH(Table1[[#This Row],[Tipologia_Testes]],Auxiliar!$B$5:$B$13,0),MATCH(Table1[[#This Row],[Complexidade]],Auxiliar!$D$4:$F$4,0))</f>
        <v>2</v>
      </c>
      <c r="P294" s="2" t="s">
        <v>1192</v>
      </c>
      <c r="Q294" s="2"/>
      <c r="R294" s="151">
        <v>45261</v>
      </c>
      <c r="S294" s="151"/>
      <c r="T294" s="151"/>
      <c r="U294" s="151"/>
      <c r="V294" s="151"/>
      <c r="W294" s="2">
        <f>VLOOKUP(Table1[[#This Row],[Status]],Auxiliar!$B$16:$D$24,3,0)*Table1[[#This Row],[Estimação (horas)]]</f>
        <v>0</v>
      </c>
      <c r="X294" s="165">
        <f>+VLOOKUP(CONCATENATE(Table1[[#This Row],[Tabela]],Table1[[#This Row],[Campo]]),'2. Status Detalhe Campos FY24'!A:J,9,FALSE)</f>
        <v>0</v>
      </c>
      <c r="Y294" s="491" t="e">
        <f>+VLOOKUP(A294,#REF!,1,FALSE)</f>
        <v>#REF!</v>
      </c>
    </row>
    <row r="295" spans="1:25" ht="17.899999999999999" hidden="1" customHeight="1">
      <c r="A295" t="str">
        <f>+Table1[[#This Row],[Tabela]]&amp;Table1[[#This Row],[Campo]]</f>
        <v>PROPERTY_ENERGY_CERTIFICATETHERMAL_BEHAVIOUR_ROOF</v>
      </c>
      <c r="B295" s="2" t="s">
        <v>26</v>
      </c>
      <c r="C295" s="2" t="s">
        <v>54</v>
      </c>
      <c r="D295" s="2" t="s">
        <v>124</v>
      </c>
      <c r="E295" s="2" t="s">
        <v>38</v>
      </c>
      <c r="F295" s="2" t="s">
        <v>123</v>
      </c>
      <c r="G295" s="2" t="s">
        <v>148</v>
      </c>
      <c r="H295" s="56" t="str">
        <f>Table1[[#This Row],[Tabela]]&amp;Table1[[#This Row],[Campo]]</f>
        <v>PROPERTY_ENERGY_CERTIFICATETHERMAL_BEHAVIOUR_ROOF</v>
      </c>
      <c r="I295" s="2" t="s">
        <v>612</v>
      </c>
      <c r="J295" s="42">
        <f>VLOOKUP(Table1[[#This Row],[Status]],Auxiliar!$B$16:$C$24,2,0)</f>
        <v>1</v>
      </c>
      <c r="K295" s="2" t="s">
        <v>1169</v>
      </c>
      <c r="L295" s="28" t="s">
        <v>1166</v>
      </c>
      <c r="M295" s="20" t="s">
        <v>1175</v>
      </c>
      <c r="N295" s="47">
        <v>45485</v>
      </c>
      <c r="O295" s="20">
        <f>INDEX(Auxiliar!$D$5:$F$13,MATCH(Table1[[#This Row],[Tipologia_Testes]],Auxiliar!$B$5:$B$13,0),MATCH(Table1[[#This Row],[Complexidade]],Auxiliar!$D$4:$F$4,0))</f>
        <v>2</v>
      </c>
      <c r="P295" s="2" t="s">
        <v>1192</v>
      </c>
      <c r="Q295" s="2"/>
      <c r="R295" s="151">
        <v>45261</v>
      </c>
      <c r="S295" s="151"/>
      <c r="T295" s="151"/>
      <c r="U295" s="151"/>
      <c r="V295" s="151"/>
      <c r="W295" s="2">
        <f>VLOOKUP(Table1[[#This Row],[Status]],Auxiliar!$B$16:$D$24,3,0)*Table1[[#This Row],[Estimação (horas)]]</f>
        <v>2</v>
      </c>
      <c r="X295" s="165">
        <f>+VLOOKUP(CONCATENATE(Table1[[#This Row],[Tabela]],Table1[[#This Row],[Campo]]),'2. Status Detalhe Campos FY24'!A:J,9,FALSE)</f>
        <v>0</v>
      </c>
      <c r="Y295" s="491" t="e">
        <f>+VLOOKUP(A295,#REF!,1,FALSE)</f>
        <v>#REF!</v>
      </c>
    </row>
    <row r="296" spans="1:25" ht="17.899999999999999" hidden="1" customHeight="1">
      <c r="A296" t="str">
        <f>+Table1[[#This Row],[Tabela]]&amp;Table1[[#This Row],[Campo]]</f>
        <v>PROPERTY_ENERGY_CERTIFICATETHERMAL_BEHAVIOUR_ROOF</v>
      </c>
      <c r="B296" s="2" t="s">
        <v>26</v>
      </c>
      <c r="C296" s="2" t="s">
        <v>54</v>
      </c>
      <c r="D296" s="2" t="s">
        <v>124</v>
      </c>
      <c r="E296" s="2" t="s">
        <v>38</v>
      </c>
      <c r="F296" s="2" t="s">
        <v>123</v>
      </c>
      <c r="G296" s="2" t="s">
        <v>148</v>
      </c>
      <c r="H296" s="56" t="str">
        <f>Table1[[#This Row],[Tabela]]&amp;Table1[[#This Row],[Campo]]</f>
        <v>PROPERTY_ENERGY_CERTIFICATETHERMAL_BEHAVIOUR_ROOF</v>
      </c>
      <c r="I296" s="2" t="s">
        <v>612</v>
      </c>
      <c r="J296" s="42">
        <f>VLOOKUP(Table1[[#This Row],[Status]],Auxiliar!$B$16:$C$24,2,0)</f>
        <v>1</v>
      </c>
      <c r="K296" s="2" t="s">
        <v>1171</v>
      </c>
      <c r="L296" s="28" t="s">
        <v>1166</v>
      </c>
      <c r="M296" s="20" t="s">
        <v>1175</v>
      </c>
      <c r="N296" s="47">
        <v>45485</v>
      </c>
      <c r="O296" s="20">
        <f>INDEX(Auxiliar!$D$5:$F$13,MATCH(Table1[[#This Row],[Tipologia_Testes]],Auxiliar!$B$5:$B$13,0),MATCH(Table1[[#This Row],[Complexidade]],Auxiliar!$D$4:$F$4,0))</f>
        <v>0.1</v>
      </c>
      <c r="P296" s="2" t="s">
        <v>1192</v>
      </c>
      <c r="Q296" s="2"/>
      <c r="R296" s="151">
        <v>45261</v>
      </c>
      <c r="S296" s="151"/>
      <c r="T296" s="151"/>
      <c r="U296" s="151"/>
      <c r="V296" s="151"/>
      <c r="W296" s="2">
        <f>VLOOKUP(Table1[[#This Row],[Status]],Auxiliar!$B$16:$D$24,3,0)*Table1[[#This Row],[Estimação (horas)]]</f>
        <v>0.1</v>
      </c>
      <c r="X296" s="165">
        <f>+VLOOKUP(CONCATENATE(Table1[[#This Row],[Tabela]],Table1[[#This Row],[Campo]]),'2. Status Detalhe Campos FY24'!A:J,9,FALSE)</f>
        <v>0</v>
      </c>
      <c r="Y296" s="491" t="e">
        <f>+VLOOKUP(A296,#REF!,1,FALSE)</f>
        <v>#REF!</v>
      </c>
    </row>
    <row r="297" spans="1:25" ht="17.899999999999999" hidden="1" customHeight="1">
      <c r="A297" t="str">
        <f>+Table1[[#This Row],[Tabela]]&amp;Table1[[#This Row],[Campo]]</f>
        <v>PROPERTY_ENERGY_CERTIFICATETHERMAL_BEHAVIOUR_WINDOWS</v>
      </c>
      <c r="B297" s="2" t="s">
        <v>26</v>
      </c>
      <c r="C297" s="2" t="s">
        <v>54</v>
      </c>
      <c r="D297" s="2" t="s">
        <v>124</v>
      </c>
      <c r="E297" s="2" t="s">
        <v>38</v>
      </c>
      <c r="F297" s="2" t="s">
        <v>123</v>
      </c>
      <c r="G297" s="2" t="s">
        <v>149</v>
      </c>
      <c r="H297" s="56" t="str">
        <f>Table1[[#This Row],[Tabela]]&amp;Table1[[#This Row],[Campo]]</f>
        <v>PROPERTY_ENERGY_CERTIFICATETHERMAL_BEHAVIOUR_WINDOWS</v>
      </c>
      <c r="I297" s="2" t="s">
        <v>612</v>
      </c>
      <c r="J297" s="42">
        <f>VLOOKUP(Table1[[#This Row],[Status]],Auxiliar!$B$16:$C$24,2,0)</f>
        <v>1</v>
      </c>
      <c r="K297" s="2" t="s">
        <v>1168</v>
      </c>
      <c r="L297" s="28" t="s">
        <v>1166</v>
      </c>
      <c r="M297" s="20" t="s">
        <v>1175</v>
      </c>
      <c r="N297" s="47">
        <v>45485</v>
      </c>
      <c r="O297" s="20">
        <f>INDEX(Auxiliar!$D$5:$F$13,MATCH(Table1[[#This Row],[Tipologia_Testes]],Auxiliar!$B$5:$B$13,0),MATCH(Table1[[#This Row],[Complexidade]],Auxiliar!$D$4:$F$4,0))</f>
        <v>2</v>
      </c>
      <c r="P297" s="2" t="s">
        <v>1192</v>
      </c>
      <c r="Q297" s="2"/>
      <c r="R297" s="151">
        <v>45261</v>
      </c>
      <c r="S297" s="151"/>
      <c r="T297" s="151"/>
      <c r="U297" s="151"/>
      <c r="V297" s="151"/>
      <c r="W297" s="2">
        <f>VLOOKUP(Table1[[#This Row],[Status]],Auxiliar!$B$16:$D$24,3,0)*Table1[[#This Row],[Estimação (horas)]]</f>
        <v>2</v>
      </c>
      <c r="X297" s="165">
        <f>+VLOOKUP(CONCATENATE(Table1[[#This Row],[Tabela]],Table1[[#This Row],[Campo]]),'2. Status Detalhe Campos FY24'!A:J,9,FALSE)</f>
        <v>0</v>
      </c>
      <c r="Y297" s="491" t="e">
        <f>+VLOOKUP(A297,#REF!,1,FALSE)</f>
        <v>#REF!</v>
      </c>
    </row>
    <row r="298" spans="1:25" ht="17.899999999999999" hidden="1" customHeight="1">
      <c r="A298" t="str">
        <f>+Table1[[#This Row],[Tabela]]&amp;Table1[[#This Row],[Campo]]</f>
        <v>PROPERTY_ENERGY_CERTIFICATETHERMAL_BEHAVIOUR_WINDOWS</v>
      </c>
      <c r="B298" s="2" t="s">
        <v>26</v>
      </c>
      <c r="C298" s="2" t="s">
        <v>54</v>
      </c>
      <c r="D298" s="2" t="s">
        <v>124</v>
      </c>
      <c r="E298" s="2" t="s">
        <v>38</v>
      </c>
      <c r="F298" s="2" t="s">
        <v>123</v>
      </c>
      <c r="G298" s="2" t="s">
        <v>149</v>
      </c>
      <c r="H298" s="56" t="str">
        <f>Table1[[#This Row],[Tabela]]&amp;Table1[[#This Row],[Campo]]</f>
        <v>PROPERTY_ENERGY_CERTIFICATETHERMAL_BEHAVIOUR_WINDOWS</v>
      </c>
      <c r="I298" s="2" t="s">
        <v>612</v>
      </c>
      <c r="J298" s="42">
        <f>VLOOKUP(Table1[[#This Row],[Status]],Auxiliar!$B$16:$C$24,2,0)</f>
        <v>1</v>
      </c>
      <c r="K298" s="2" t="s">
        <v>1169</v>
      </c>
      <c r="L298" s="28" t="s">
        <v>1166</v>
      </c>
      <c r="M298" s="20" t="s">
        <v>1175</v>
      </c>
      <c r="N298" s="47">
        <v>45485</v>
      </c>
      <c r="O298" s="20">
        <f>INDEX(Auxiliar!$D$5:$F$13,MATCH(Table1[[#This Row],[Tipologia_Testes]],Auxiliar!$B$5:$B$13,0),MATCH(Table1[[#This Row],[Complexidade]],Auxiliar!$D$4:$F$4,0))</f>
        <v>2</v>
      </c>
      <c r="P298" s="2" t="s">
        <v>1192</v>
      </c>
      <c r="Q298" s="2"/>
      <c r="R298" s="151">
        <v>45261</v>
      </c>
      <c r="S298" s="151"/>
      <c r="T298" s="151"/>
      <c r="U298" s="151"/>
      <c r="V298" s="151"/>
      <c r="W298" s="2">
        <f>VLOOKUP(Table1[[#This Row],[Status]],Auxiliar!$B$16:$D$24,3,0)*Table1[[#This Row],[Estimação (horas)]]</f>
        <v>2</v>
      </c>
      <c r="X298" s="165">
        <f>+VLOOKUP(CONCATENATE(Table1[[#This Row],[Tabela]],Table1[[#This Row],[Campo]]),'2. Status Detalhe Campos FY24'!A:J,9,FALSE)</f>
        <v>0</v>
      </c>
      <c r="Y298" s="491" t="e">
        <f>+VLOOKUP(A298,#REF!,1,FALSE)</f>
        <v>#REF!</v>
      </c>
    </row>
    <row r="299" spans="1:25" ht="17.899999999999999" hidden="1" customHeight="1">
      <c r="A299" t="str">
        <f>+Table1[[#This Row],[Tabela]]&amp;Table1[[#This Row],[Campo]]</f>
        <v>PROPERTY_ENERGY_CERTIFICATETHERMAL_BEHAVIOUR_WINDOWS</v>
      </c>
      <c r="B299" s="2" t="s">
        <v>26</v>
      </c>
      <c r="C299" s="2" t="s">
        <v>54</v>
      </c>
      <c r="D299" s="2" t="s">
        <v>124</v>
      </c>
      <c r="E299" s="2" t="s">
        <v>38</v>
      </c>
      <c r="F299" s="2" t="s">
        <v>123</v>
      </c>
      <c r="G299" s="2" t="s">
        <v>149</v>
      </c>
      <c r="H299" s="56" t="str">
        <f>Table1[[#This Row],[Tabela]]&amp;Table1[[#This Row],[Campo]]</f>
        <v>PROPERTY_ENERGY_CERTIFICATETHERMAL_BEHAVIOUR_WINDOWS</v>
      </c>
      <c r="I299" s="2" t="s">
        <v>612</v>
      </c>
      <c r="J299" s="42">
        <f>VLOOKUP(Table1[[#This Row],[Status]],Auxiliar!$B$16:$C$24,2,0)</f>
        <v>1</v>
      </c>
      <c r="K299" s="2" t="s">
        <v>1171</v>
      </c>
      <c r="L299" s="28" t="s">
        <v>1166</v>
      </c>
      <c r="M299" s="20" t="s">
        <v>1175</v>
      </c>
      <c r="N299" s="47">
        <v>45485</v>
      </c>
      <c r="O299" s="20">
        <f>INDEX(Auxiliar!$D$5:$F$13,MATCH(Table1[[#This Row],[Tipologia_Testes]],Auxiliar!$B$5:$B$13,0),MATCH(Table1[[#This Row],[Complexidade]],Auxiliar!$D$4:$F$4,0))</f>
        <v>0.1</v>
      </c>
      <c r="P299" s="2" t="s">
        <v>1192</v>
      </c>
      <c r="Q299" s="2"/>
      <c r="R299" s="151">
        <v>45261</v>
      </c>
      <c r="S299" s="151"/>
      <c r="T299" s="151"/>
      <c r="U299" s="151"/>
      <c r="V299" s="151"/>
      <c r="W299" s="2">
        <f>VLOOKUP(Table1[[#This Row],[Status]],Auxiliar!$B$16:$D$24,3,0)*Table1[[#This Row],[Estimação (horas)]]</f>
        <v>0.1</v>
      </c>
      <c r="X299" s="165">
        <f>+VLOOKUP(CONCATENATE(Table1[[#This Row],[Tabela]],Table1[[#This Row],[Campo]]),'2. Status Detalhe Campos FY24'!A:J,9,FALSE)</f>
        <v>0</v>
      </c>
      <c r="Y299" s="491" t="e">
        <f>+VLOOKUP(A299,#REF!,1,FALSE)</f>
        <v>#REF!</v>
      </c>
    </row>
    <row r="300" spans="1:25" ht="17.899999999999999" hidden="1" customHeight="1">
      <c r="A300" t="str">
        <f>+Table1[[#This Row],[Tabela]]&amp;Table1[[#This Row],[Campo]]</f>
        <v>PROPERTY_ENERGY_CERTIFICATETHERMAL_BEHAVIOUR_WALL</v>
      </c>
      <c r="B300" s="2" t="s">
        <v>26</v>
      </c>
      <c r="C300" s="2" t="s">
        <v>54</v>
      </c>
      <c r="D300" s="2" t="s">
        <v>124</v>
      </c>
      <c r="E300" s="2" t="s">
        <v>38</v>
      </c>
      <c r="F300" s="2" t="s">
        <v>123</v>
      </c>
      <c r="G300" s="2" t="s">
        <v>150</v>
      </c>
      <c r="H300" s="56" t="str">
        <f>Table1[[#This Row],[Tabela]]&amp;Table1[[#This Row],[Campo]]</f>
        <v>PROPERTY_ENERGY_CERTIFICATETHERMAL_BEHAVIOUR_WALL</v>
      </c>
      <c r="I300" s="2" t="s">
        <v>612</v>
      </c>
      <c r="J300" s="42">
        <f>VLOOKUP(Table1[[#This Row],[Status]],Auxiliar!$B$16:$C$24,2,0)</f>
        <v>1</v>
      </c>
      <c r="K300" s="2" t="s">
        <v>1168</v>
      </c>
      <c r="L300" s="28" t="s">
        <v>1166</v>
      </c>
      <c r="M300" s="20" t="s">
        <v>1175</v>
      </c>
      <c r="N300" s="47">
        <v>45485</v>
      </c>
      <c r="O300" s="20">
        <f>INDEX(Auxiliar!$D$5:$F$13,MATCH(Table1[[#This Row],[Tipologia_Testes]],Auxiliar!$B$5:$B$13,0),MATCH(Table1[[#This Row],[Complexidade]],Auxiliar!$D$4:$F$4,0))</f>
        <v>2</v>
      </c>
      <c r="P300" s="2" t="s">
        <v>1192</v>
      </c>
      <c r="Q300" s="2"/>
      <c r="R300" s="151">
        <v>45261</v>
      </c>
      <c r="S300" s="151"/>
      <c r="T300" s="151"/>
      <c r="U300" s="151"/>
      <c r="V300" s="151"/>
      <c r="W300" s="2">
        <f>VLOOKUP(Table1[[#This Row],[Status]],Auxiliar!$B$16:$D$24,3,0)*Table1[[#This Row],[Estimação (horas)]]</f>
        <v>2</v>
      </c>
      <c r="X300" s="165">
        <f>+VLOOKUP(CONCATENATE(Table1[[#This Row],[Tabela]],Table1[[#This Row],[Campo]]),'2. Status Detalhe Campos FY24'!A:J,9,FALSE)</f>
        <v>0</v>
      </c>
      <c r="Y300" s="491" t="e">
        <f>+VLOOKUP(A300,#REF!,1,FALSE)</f>
        <v>#REF!</v>
      </c>
    </row>
    <row r="301" spans="1:25" ht="17.899999999999999" hidden="1" customHeight="1">
      <c r="A301" t="str">
        <f>+Table1[[#This Row],[Tabela]]&amp;Table1[[#This Row],[Campo]]</f>
        <v>PROPERTY_ENERGY_CERTIFICATETHERMAL_BEHAVIOUR_WALL</v>
      </c>
      <c r="B301" s="2" t="s">
        <v>26</v>
      </c>
      <c r="C301" s="2" t="s">
        <v>54</v>
      </c>
      <c r="D301" s="2" t="s">
        <v>124</v>
      </c>
      <c r="E301" s="2" t="s">
        <v>38</v>
      </c>
      <c r="F301" s="2" t="s">
        <v>123</v>
      </c>
      <c r="G301" s="2" t="s">
        <v>150</v>
      </c>
      <c r="H301" s="56" t="str">
        <f>Table1[[#This Row],[Tabela]]&amp;Table1[[#This Row],[Campo]]</f>
        <v>PROPERTY_ENERGY_CERTIFICATETHERMAL_BEHAVIOUR_WALL</v>
      </c>
      <c r="I301" s="2" t="s">
        <v>612</v>
      </c>
      <c r="J301" s="42">
        <f>VLOOKUP(Table1[[#This Row],[Status]],Auxiliar!$B$16:$C$24,2,0)</f>
        <v>1</v>
      </c>
      <c r="K301" s="2" t="s">
        <v>1169</v>
      </c>
      <c r="L301" s="28" t="s">
        <v>1166</v>
      </c>
      <c r="M301" s="20" t="s">
        <v>1175</v>
      </c>
      <c r="N301" s="47">
        <v>45485</v>
      </c>
      <c r="O301" s="20">
        <f>INDEX(Auxiliar!$D$5:$F$13,MATCH(Table1[[#This Row],[Tipologia_Testes]],Auxiliar!$B$5:$B$13,0),MATCH(Table1[[#This Row],[Complexidade]],Auxiliar!$D$4:$F$4,0))</f>
        <v>2</v>
      </c>
      <c r="P301" s="2" t="s">
        <v>1192</v>
      </c>
      <c r="Q301" s="2"/>
      <c r="R301" s="151">
        <v>45261</v>
      </c>
      <c r="S301" s="151"/>
      <c r="T301" s="151"/>
      <c r="U301" s="151"/>
      <c r="V301" s="151"/>
      <c r="W301" s="2">
        <f>VLOOKUP(Table1[[#This Row],[Status]],Auxiliar!$B$16:$D$24,3,0)*Table1[[#This Row],[Estimação (horas)]]</f>
        <v>2</v>
      </c>
      <c r="X301" s="165">
        <f>+VLOOKUP(CONCATENATE(Table1[[#This Row],[Tabela]],Table1[[#This Row],[Campo]]),'2. Status Detalhe Campos FY24'!A:J,9,FALSE)</f>
        <v>0</v>
      </c>
      <c r="Y301" s="491" t="e">
        <f>+VLOOKUP(A301,#REF!,1,FALSE)</f>
        <v>#REF!</v>
      </c>
    </row>
    <row r="302" spans="1:25" ht="17.899999999999999" hidden="1" customHeight="1">
      <c r="A302" t="str">
        <f>+Table1[[#This Row],[Tabela]]&amp;Table1[[#This Row],[Campo]]</f>
        <v>PROPERTY_ENERGY_CERTIFICATETHERMAL_BEHAVIOUR_WALL</v>
      </c>
      <c r="B302" s="2" t="s">
        <v>26</v>
      </c>
      <c r="C302" s="2" t="s">
        <v>54</v>
      </c>
      <c r="D302" s="2" t="s">
        <v>124</v>
      </c>
      <c r="E302" s="2" t="s">
        <v>38</v>
      </c>
      <c r="F302" s="2" t="s">
        <v>123</v>
      </c>
      <c r="G302" s="2" t="s">
        <v>150</v>
      </c>
      <c r="H302" s="56" t="str">
        <f>Table1[[#This Row],[Tabela]]&amp;Table1[[#This Row],[Campo]]</f>
        <v>PROPERTY_ENERGY_CERTIFICATETHERMAL_BEHAVIOUR_WALL</v>
      </c>
      <c r="I302" s="2" t="s">
        <v>612</v>
      </c>
      <c r="J302" s="42">
        <f>VLOOKUP(Table1[[#This Row],[Status]],Auxiliar!$B$16:$C$24,2,0)</f>
        <v>1</v>
      </c>
      <c r="K302" s="2" t="s">
        <v>1171</v>
      </c>
      <c r="L302" s="28" t="s">
        <v>1166</v>
      </c>
      <c r="M302" s="20" t="s">
        <v>1175</v>
      </c>
      <c r="N302" s="47">
        <v>45485</v>
      </c>
      <c r="O302" s="20">
        <f>INDEX(Auxiliar!$D$5:$F$13,MATCH(Table1[[#This Row],[Tipologia_Testes]],Auxiliar!$B$5:$B$13,0),MATCH(Table1[[#This Row],[Complexidade]],Auxiliar!$D$4:$F$4,0))</f>
        <v>0.1</v>
      </c>
      <c r="P302" s="2" t="s">
        <v>1192</v>
      </c>
      <c r="Q302" s="2"/>
      <c r="R302" s="151">
        <v>45261</v>
      </c>
      <c r="S302" s="151"/>
      <c r="T302" s="151"/>
      <c r="U302" s="151"/>
      <c r="V302" s="151"/>
      <c r="W302" s="2">
        <f>VLOOKUP(Table1[[#This Row],[Status]],Auxiliar!$B$16:$D$24,3,0)*Table1[[#This Row],[Estimação (horas)]]</f>
        <v>0.1</v>
      </c>
      <c r="X302" s="165">
        <f>+VLOOKUP(CONCATENATE(Table1[[#This Row],[Tabela]],Table1[[#This Row],[Campo]]),'2. Status Detalhe Campos FY24'!A:J,9,FALSE)</f>
        <v>0</v>
      </c>
      <c r="Y302" s="491" t="e">
        <f>+VLOOKUP(A302,#REF!,1,FALSE)</f>
        <v>#REF!</v>
      </c>
    </row>
    <row r="303" spans="1:25" ht="17.899999999999999" hidden="1" customHeight="1">
      <c r="A303" t="str">
        <f>+Table1[[#This Row],[Tabela]]&amp;Table1[[#This Row],[Campo]]</f>
        <v>PROPERTY_ENERGY_CERTIFICATETHERMAL_BEHAVIOUR_FLOORS</v>
      </c>
      <c r="B303" s="2" t="s">
        <v>26</v>
      </c>
      <c r="C303" s="2" t="s">
        <v>54</v>
      </c>
      <c r="D303" s="2" t="s">
        <v>124</v>
      </c>
      <c r="E303" s="2" t="s">
        <v>38</v>
      </c>
      <c r="F303" s="2" t="s">
        <v>123</v>
      </c>
      <c r="G303" s="2" t="s">
        <v>151</v>
      </c>
      <c r="H303" s="56" t="str">
        <f>Table1[[#This Row],[Tabela]]&amp;Table1[[#This Row],[Campo]]</f>
        <v>PROPERTY_ENERGY_CERTIFICATETHERMAL_BEHAVIOUR_FLOORS</v>
      </c>
      <c r="I303" s="2" t="s">
        <v>612</v>
      </c>
      <c r="J303" s="42">
        <f>VLOOKUP(Table1[[#This Row],[Status]],Auxiliar!$B$16:$C$24,2,0)</f>
        <v>1</v>
      </c>
      <c r="K303" s="2" t="s">
        <v>1168</v>
      </c>
      <c r="L303" s="28" t="s">
        <v>1166</v>
      </c>
      <c r="M303" s="20" t="s">
        <v>1175</v>
      </c>
      <c r="N303" s="47">
        <v>45485</v>
      </c>
      <c r="O303" s="20">
        <f>INDEX(Auxiliar!$D$5:$F$13,MATCH(Table1[[#This Row],[Tipologia_Testes]],Auxiliar!$B$5:$B$13,0),MATCH(Table1[[#This Row],[Complexidade]],Auxiliar!$D$4:$F$4,0))</f>
        <v>2</v>
      </c>
      <c r="P303" s="2" t="s">
        <v>1192</v>
      </c>
      <c r="Q303" s="2"/>
      <c r="R303" s="151">
        <v>45261</v>
      </c>
      <c r="S303" s="151"/>
      <c r="T303" s="151"/>
      <c r="U303" s="151"/>
      <c r="V303" s="151"/>
      <c r="W303" s="2">
        <f>VLOOKUP(Table1[[#This Row],[Status]],Auxiliar!$B$16:$D$24,3,0)*Table1[[#This Row],[Estimação (horas)]]</f>
        <v>2</v>
      </c>
      <c r="X303" s="165">
        <f>+VLOOKUP(CONCATENATE(Table1[[#This Row],[Tabela]],Table1[[#This Row],[Campo]]),'2. Status Detalhe Campos FY24'!A:J,9,FALSE)</f>
        <v>0</v>
      </c>
      <c r="Y303" s="491" t="e">
        <f>+VLOOKUP(A303,#REF!,1,FALSE)</f>
        <v>#REF!</v>
      </c>
    </row>
    <row r="304" spans="1:25" ht="17.899999999999999" hidden="1" customHeight="1">
      <c r="A304" t="str">
        <f>+Table1[[#This Row],[Tabela]]&amp;Table1[[#This Row],[Campo]]</f>
        <v>PROPERTY_ENERGY_CERTIFICATETHERMAL_BEHAVIOUR_FLOORS</v>
      </c>
      <c r="B304" s="2" t="s">
        <v>26</v>
      </c>
      <c r="C304" s="2" t="s">
        <v>54</v>
      </c>
      <c r="D304" s="2" t="s">
        <v>124</v>
      </c>
      <c r="E304" s="2" t="s">
        <v>38</v>
      </c>
      <c r="F304" s="2" t="s">
        <v>123</v>
      </c>
      <c r="G304" s="2" t="s">
        <v>151</v>
      </c>
      <c r="H304" s="56" t="str">
        <f>Table1[[#This Row],[Tabela]]&amp;Table1[[#This Row],[Campo]]</f>
        <v>PROPERTY_ENERGY_CERTIFICATETHERMAL_BEHAVIOUR_FLOORS</v>
      </c>
      <c r="I304" s="2" t="s">
        <v>612</v>
      </c>
      <c r="J304" s="42">
        <f>VLOOKUP(Table1[[#This Row],[Status]],Auxiliar!$B$16:$C$24,2,0)</f>
        <v>1</v>
      </c>
      <c r="K304" s="2" t="s">
        <v>1169</v>
      </c>
      <c r="L304" s="28" t="s">
        <v>1166</v>
      </c>
      <c r="M304" s="20" t="s">
        <v>1175</v>
      </c>
      <c r="N304" s="47">
        <v>45485</v>
      </c>
      <c r="O304" s="20">
        <f>INDEX(Auxiliar!$D$5:$F$13,MATCH(Table1[[#This Row],[Tipologia_Testes]],Auxiliar!$B$5:$B$13,0),MATCH(Table1[[#This Row],[Complexidade]],Auxiliar!$D$4:$F$4,0))</f>
        <v>2</v>
      </c>
      <c r="P304" s="2" t="s">
        <v>1192</v>
      </c>
      <c r="Q304" s="2"/>
      <c r="R304" s="151">
        <v>45261</v>
      </c>
      <c r="S304" s="151"/>
      <c r="T304" s="151"/>
      <c r="U304" s="151"/>
      <c r="V304" s="151"/>
      <c r="W304" s="2">
        <f>VLOOKUP(Table1[[#This Row],[Status]],Auxiliar!$B$16:$D$24,3,0)*Table1[[#This Row],[Estimação (horas)]]</f>
        <v>2</v>
      </c>
      <c r="X304" s="165">
        <f>+VLOOKUP(CONCATENATE(Table1[[#This Row],[Tabela]],Table1[[#This Row],[Campo]]),'2. Status Detalhe Campos FY24'!A:J,9,FALSE)</f>
        <v>0</v>
      </c>
      <c r="Y304" s="491" t="e">
        <f>+VLOOKUP(A304,#REF!,1,FALSE)</f>
        <v>#REF!</v>
      </c>
    </row>
    <row r="305" spans="1:25" ht="17.899999999999999" hidden="1" customHeight="1">
      <c r="A305" t="str">
        <f>+Table1[[#This Row],[Tabela]]&amp;Table1[[#This Row],[Campo]]</f>
        <v>PROPERTY_ENERGY_CERTIFICATETHERMAL_BEHAVIOUR_FLOORS</v>
      </c>
      <c r="B305" s="2" t="s">
        <v>26</v>
      </c>
      <c r="C305" s="2" t="s">
        <v>54</v>
      </c>
      <c r="D305" s="2" t="s">
        <v>124</v>
      </c>
      <c r="E305" s="2" t="s">
        <v>38</v>
      </c>
      <c r="F305" s="2" t="s">
        <v>123</v>
      </c>
      <c r="G305" s="2" t="s">
        <v>151</v>
      </c>
      <c r="H305" s="56" t="str">
        <f>Table1[[#This Row],[Tabela]]&amp;Table1[[#This Row],[Campo]]</f>
        <v>PROPERTY_ENERGY_CERTIFICATETHERMAL_BEHAVIOUR_FLOORS</v>
      </c>
      <c r="I305" s="2" t="s">
        <v>612</v>
      </c>
      <c r="J305" s="42">
        <f>VLOOKUP(Table1[[#This Row],[Status]],Auxiliar!$B$16:$C$24,2,0)</f>
        <v>1</v>
      </c>
      <c r="K305" s="2" t="s">
        <v>1171</v>
      </c>
      <c r="L305" s="28" t="s">
        <v>1166</v>
      </c>
      <c r="M305" s="20" t="s">
        <v>1175</v>
      </c>
      <c r="N305" s="47">
        <v>45485</v>
      </c>
      <c r="O305" s="20">
        <f>INDEX(Auxiliar!$D$5:$F$13,MATCH(Table1[[#This Row],[Tipologia_Testes]],Auxiliar!$B$5:$B$13,0),MATCH(Table1[[#This Row],[Complexidade]],Auxiliar!$D$4:$F$4,0))</f>
        <v>0.1</v>
      </c>
      <c r="P305" s="2" t="s">
        <v>1192</v>
      </c>
      <c r="Q305" s="2"/>
      <c r="R305" s="151">
        <v>45261</v>
      </c>
      <c r="S305" s="151"/>
      <c r="T305" s="151"/>
      <c r="U305" s="151"/>
      <c r="V305" s="151"/>
      <c r="W305" s="2">
        <f>VLOOKUP(Table1[[#This Row],[Status]],Auxiliar!$B$16:$D$24,3,0)*Table1[[#This Row],[Estimação (horas)]]</f>
        <v>0.1</v>
      </c>
      <c r="X305" s="165">
        <f>+VLOOKUP(CONCATENATE(Table1[[#This Row],[Tabela]],Table1[[#This Row],[Campo]]),'2. Status Detalhe Campos FY24'!A:J,9,FALSE)</f>
        <v>0</v>
      </c>
      <c r="Y305" s="491" t="e">
        <f>+VLOOKUP(A305,#REF!,1,FALSE)</f>
        <v>#REF!</v>
      </c>
    </row>
    <row r="306" spans="1:25" ht="17.899999999999999" hidden="1" customHeight="1">
      <c r="A306" t="str">
        <f>+Table1[[#This Row],[Tabela]]&amp;Table1[[#This Row],[Campo]]</f>
        <v>PROPERTY_ENERGY_CERTIFICATETHERMAL_BEHAVIOUR_TECH_SYS_VENT</v>
      </c>
      <c r="B306" s="2" t="s">
        <v>26</v>
      </c>
      <c r="C306" s="2" t="s">
        <v>54</v>
      </c>
      <c r="D306" s="2" t="s">
        <v>124</v>
      </c>
      <c r="E306" s="2" t="s">
        <v>38</v>
      </c>
      <c r="F306" s="2" t="s">
        <v>123</v>
      </c>
      <c r="G306" s="2" t="s">
        <v>152</v>
      </c>
      <c r="H306" s="56" t="str">
        <f>Table1[[#This Row],[Tabela]]&amp;Table1[[#This Row],[Campo]]</f>
        <v>PROPERTY_ENERGY_CERTIFICATETHERMAL_BEHAVIOUR_TECH_SYS_VENT</v>
      </c>
      <c r="I306" s="2" t="s">
        <v>612</v>
      </c>
      <c r="J306" s="42">
        <f>VLOOKUP(Table1[[#This Row],[Status]],Auxiliar!$B$16:$C$24,2,0)</f>
        <v>1</v>
      </c>
      <c r="K306" s="2" t="s">
        <v>1168</v>
      </c>
      <c r="L306" s="28" t="s">
        <v>1166</v>
      </c>
      <c r="M306" s="20" t="s">
        <v>1175</v>
      </c>
      <c r="N306" s="47">
        <v>45485</v>
      </c>
      <c r="O306" s="20">
        <f>INDEX(Auxiliar!$D$5:$F$13,MATCH(Table1[[#This Row],[Tipologia_Testes]],Auxiliar!$B$5:$B$13,0),MATCH(Table1[[#This Row],[Complexidade]],Auxiliar!$D$4:$F$4,0))</f>
        <v>2</v>
      </c>
      <c r="P306" s="2" t="s">
        <v>1192</v>
      </c>
      <c r="Q306" s="2"/>
      <c r="R306" s="151">
        <v>45261</v>
      </c>
      <c r="S306" s="151"/>
      <c r="T306" s="151"/>
      <c r="U306" s="151"/>
      <c r="V306" s="151"/>
      <c r="W306" s="2">
        <f>VLOOKUP(Table1[[#This Row],[Status]],Auxiliar!$B$16:$D$24,3,0)*Table1[[#This Row],[Estimação (horas)]]</f>
        <v>2</v>
      </c>
      <c r="X306" s="165">
        <f>+VLOOKUP(CONCATENATE(Table1[[#This Row],[Tabela]],Table1[[#This Row],[Campo]]),'2. Status Detalhe Campos FY24'!A:J,9,FALSE)</f>
        <v>0</v>
      </c>
      <c r="Y306" s="491" t="e">
        <f>+VLOOKUP(A306,#REF!,1,FALSE)</f>
        <v>#REF!</v>
      </c>
    </row>
    <row r="307" spans="1:25" ht="17.899999999999999" hidden="1" customHeight="1">
      <c r="A307" t="str">
        <f>+Table1[[#This Row],[Tabela]]&amp;Table1[[#This Row],[Campo]]</f>
        <v>PROPERTY_ENERGY_CERTIFICATETHERMAL_BEHAVIOUR_TECH_SYS_VENT</v>
      </c>
      <c r="B307" s="2" t="s">
        <v>26</v>
      </c>
      <c r="C307" s="2" t="s">
        <v>54</v>
      </c>
      <c r="D307" s="2" t="s">
        <v>124</v>
      </c>
      <c r="E307" s="2" t="s">
        <v>38</v>
      </c>
      <c r="F307" s="2" t="s">
        <v>123</v>
      </c>
      <c r="G307" s="2" t="s">
        <v>152</v>
      </c>
      <c r="H307" s="56" t="str">
        <f>Table1[[#This Row],[Tabela]]&amp;Table1[[#This Row],[Campo]]</f>
        <v>PROPERTY_ENERGY_CERTIFICATETHERMAL_BEHAVIOUR_TECH_SYS_VENT</v>
      </c>
      <c r="I307" s="2" t="s">
        <v>612</v>
      </c>
      <c r="J307" s="42">
        <f>VLOOKUP(Table1[[#This Row],[Status]],Auxiliar!$B$16:$C$24,2,0)</f>
        <v>1</v>
      </c>
      <c r="K307" s="2" t="s">
        <v>1169</v>
      </c>
      <c r="L307" s="28" t="s">
        <v>1166</v>
      </c>
      <c r="M307" s="20" t="s">
        <v>1175</v>
      </c>
      <c r="N307" s="47">
        <v>45485</v>
      </c>
      <c r="O307" s="20">
        <f>INDEX(Auxiliar!$D$5:$F$13,MATCH(Table1[[#This Row],[Tipologia_Testes]],Auxiliar!$B$5:$B$13,0),MATCH(Table1[[#This Row],[Complexidade]],Auxiliar!$D$4:$F$4,0))</f>
        <v>2</v>
      </c>
      <c r="P307" s="2" t="s">
        <v>1192</v>
      </c>
      <c r="Q307" s="2"/>
      <c r="R307" s="151">
        <v>45261</v>
      </c>
      <c r="S307" s="151"/>
      <c r="T307" s="151"/>
      <c r="U307" s="151"/>
      <c r="V307" s="151"/>
      <c r="W307" s="2">
        <f>VLOOKUP(Table1[[#This Row],[Status]],Auxiliar!$B$16:$D$24,3,0)*Table1[[#This Row],[Estimação (horas)]]</f>
        <v>2</v>
      </c>
      <c r="X307" s="165">
        <f>+VLOOKUP(CONCATENATE(Table1[[#This Row],[Tabela]],Table1[[#This Row],[Campo]]),'2. Status Detalhe Campos FY24'!A:J,9,FALSE)</f>
        <v>0</v>
      </c>
      <c r="Y307" s="491" t="e">
        <f>+VLOOKUP(A307,#REF!,1,FALSE)</f>
        <v>#REF!</v>
      </c>
    </row>
    <row r="308" spans="1:25" ht="17.899999999999999" hidden="1" customHeight="1">
      <c r="A308" t="str">
        <f>+Table1[[#This Row],[Tabela]]&amp;Table1[[#This Row],[Campo]]</f>
        <v>PROPERTY_ENERGY_CERTIFICATETHERMAL_BEHAVIOUR_TECH_SYS_VENT</v>
      </c>
      <c r="B308" s="2" t="s">
        <v>26</v>
      </c>
      <c r="C308" s="2" t="s">
        <v>54</v>
      </c>
      <c r="D308" s="2" t="s">
        <v>124</v>
      </c>
      <c r="E308" s="2" t="s">
        <v>38</v>
      </c>
      <c r="F308" s="2" t="s">
        <v>123</v>
      </c>
      <c r="G308" s="2" t="s">
        <v>152</v>
      </c>
      <c r="H308" s="56" t="str">
        <f>Table1[[#This Row],[Tabela]]&amp;Table1[[#This Row],[Campo]]</f>
        <v>PROPERTY_ENERGY_CERTIFICATETHERMAL_BEHAVIOUR_TECH_SYS_VENT</v>
      </c>
      <c r="I308" s="2" t="s">
        <v>612</v>
      </c>
      <c r="J308" s="42">
        <f>VLOOKUP(Table1[[#This Row],[Status]],Auxiliar!$B$16:$C$24,2,0)</f>
        <v>1</v>
      </c>
      <c r="K308" s="2" t="s">
        <v>1171</v>
      </c>
      <c r="L308" s="28" t="s">
        <v>1166</v>
      </c>
      <c r="M308" s="20" t="s">
        <v>1175</v>
      </c>
      <c r="N308" s="47">
        <v>45485</v>
      </c>
      <c r="O308" s="20">
        <f>INDEX(Auxiliar!$D$5:$F$13,MATCH(Table1[[#This Row],[Tipologia_Testes]],Auxiliar!$B$5:$B$13,0),MATCH(Table1[[#This Row],[Complexidade]],Auxiliar!$D$4:$F$4,0))</f>
        <v>0.1</v>
      </c>
      <c r="P308" s="2" t="s">
        <v>1192</v>
      </c>
      <c r="Q308" s="2"/>
      <c r="R308" s="151">
        <v>45261</v>
      </c>
      <c r="S308" s="151"/>
      <c r="T308" s="151"/>
      <c r="U308" s="151"/>
      <c r="V308" s="151"/>
      <c r="W308" s="2">
        <f>VLOOKUP(Table1[[#This Row],[Status]],Auxiliar!$B$16:$D$24,3,0)*Table1[[#This Row],[Estimação (horas)]]</f>
        <v>0.1</v>
      </c>
      <c r="X308" s="165">
        <f>+VLOOKUP(CONCATENATE(Table1[[#This Row],[Tabela]],Table1[[#This Row],[Campo]]),'2. Status Detalhe Campos FY24'!A:J,9,FALSE)</f>
        <v>0</v>
      </c>
      <c r="Y308" s="491" t="e">
        <f>+VLOOKUP(A308,#REF!,1,FALSE)</f>
        <v>#REF!</v>
      </c>
    </row>
    <row r="309" spans="1:25" ht="17.899999999999999" hidden="1" customHeight="1">
      <c r="A309" t="str">
        <f>+Table1[[#This Row],[Tabela]]&amp;Table1[[#This Row],[Campo]]</f>
        <v>PROPERTY_ENERGY_CERTIFICATETOTAL_INVSTMNT_ESTMTD_VALUE</v>
      </c>
      <c r="B309" s="2" t="s">
        <v>26</v>
      </c>
      <c r="C309" s="2" t="s">
        <v>54</v>
      </c>
      <c r="D309" s="2" t="s">
        <v>124</v>
      </c>
      <c r="E309" s="2" t="s">
        <v>38</v>
      </c>
      <c r="F309" s="2" t="s">
        <v>123</v>
      </c>
      <c r="G309" s="2" t="s">
        <v>153</v>
      </c>
      <c r="H309" s="56" t="str">
        <f>Table1[[#This Row],[Tabela]]&amp;Table1[[#This Row],[Campo]]</f>
        <v>PROPERTY_ENERGY_CERTIFICATETOTAL_INVSTMNT_ESTMTD_VALUE</v>
      </c>
      <c r="I309" s="2" t="s">
        <v>612</v>
      </c>
      <c r="J309" s="42">
        <f>VLOOKUP(Table1[[#This Row],[Status]],Auxiliar!$B$16:$C$24,2,0)</f>
        <v>1</v>
      </c>
      <c r="K309" s="2" t="s">
        <v>1168</v>
      </c>
      <c r="L309" s="28" t="s">
        <v>1166</v>
      </c>
      <c r="M309" s="20" t="s">
        <v>1175</v>
      </c>
      <c r="N309" s="47">
        <v>45485</v>
      </c>
      <c r="O309" s="20">
        <f>INDEX(Auxiliar!$D$5:$F$13,MATCH(Table1[[#This Row],[Tipologia_Testes]],Auxiliar!$B$5:$B$13,0),MATCH(Table1[[#This Row],[Complexidade]],Auxiliar!$D$4:$F$4,0))</f>
        <v>2</v>
      </c>
      <c r="P309" s="2" t="s">
        <v>1192</v>
      </c>
      <c r="Q309" s="2"/>
      <c r="R309" s="151">
        <v>45261</v>
      </c>
      <c r="S309" s="151"/>
      <c r="T309" s="151"/>
      <c r="U309" s="151"/>
      <c r="V309" s="151"/>
      <c r="W309" s="2">
        <f>VLOOKUP(Table1[[#This Row],[Status]],Auxiliar!$B$16:$D$24,3,0)*Table1[[#This Row],[Estimação (horas)]]</f>
        <v>2</v>
      </c>
      <c r="X309" s="165">
        <f>+VLOOKUP(CONCATENATE(Table1[[#This Row],[Tabela]],Table1[[#This Row],[Campo]]),'2. Status Detalhe Campos FY24'!A:J,9,FALSE)</f>
        <v>0</v>
      </c>
      <c r="Y309" s="491" t="e">
        <f>+VLOOKUP(A309,#REF!,1,FALSE)</f>
        <v>#REF!</v>
      </c>
    </row>
    <row r="310" spans="1:25" ht="17.899999999999999" hidden="1" customHeight="1">
      <c r="A310" t="str">
        <f>+Table1[[#This Row],[Tabela]]&amp;Table1[[#This Row],[Campo]]</f>
        <v>PROPERTY_ENERGY_CERTIFICATETOTAL_INVSTMNT_ESTMTD_VALUE</v>
      </c>
      <c r="B310" s="2" t="s">
        <v>26</v>
      </c>
      <c r="C310" s="2" t="s">
        <v>54</v>
      </c>
      <c r="D310" s="2" t="s">
        <v>124</v>
      </c>
      <c r="E310" s="2" t="s">
        <v>38</v>
      </c>
      <c r="F310" s="2" t="s">
        <v>123</v>
      </c>
      <c r="G310" s="2" t="s">
        <v>153</v>
      </c>
      <c r="H310" s="56" t="str">
        <f>Table1[[#This Row],[Tabela]]&amp;Table1[[#This Row],[Campo]]</f>
        <v>PROPERTY_ENERGY_CERTIFICATETOTAL_INVSTMNT_ESTMTD_VALUE</v>
      </c>
      <c r="I310" s="2" t="s">
        <v>612</v>
      </c>
      <c r="J310" s="42">
        <f>VLOOKUP(Table1[[#This Row],[Status]],Auxiliar!$B$16:$C$24,2,0)</f>
        <v>1</v>
      </c>
      <c r="K310" s="2" t="s">
        <v>1169</v>
      </c>
      <c r="L310" s="28" t="s">
        <v>1166</v>
      </c>
      <c r="M310" s="20" t="s">
        <v>1175</v>
      </c>
      <c r="N310" s="47">
        <v>45485</v>
      </c>
      <c r="O310" s="20">
        <f>INDEX(Auxiliar!$D$5:$F$13,MATCH(Table1[[#This Row],[Tipologia_Testes]],Auxiliar!$B$5:$B$13,0),MATCH(Table1[[#This Row],[Complexidade]],Auxiliar!$D$4:$F$4,0))</f>
        <v>2</v>
      </c>
      <c r="P310" s="2" t="s">
        <v>1192</v>
      </c>
      <c r="Q310" s="2"/>
      <c r="R310" s="151">
        <v>45261</v>
      </c>
      <c r="S310" s="151"/>
      <c r="T310" s="151"/>
      <c r="U310" s="151"/>
      <c r="V310" s="151"/>
      <c r="W310" s="2">
        <f>VLOOKUP(Table1[[#This Row],[Status]],Auxiliar!$B$16:$D$24,3,0)*Table1[[#This Row],[Estimação (horas)]]</f>
        <v>2</v>
      </c>
      <c r="X310" s="165">
        <f>+VLOOKUP(CONCATENATE(Table1[[#This Row],[Tabela]],Table1[[#This Row],[Campo]]),'2. Status Detalhe Campos FY24'!A:J,9,FALSE)</f>
        <v>0</v>
      </c>
      <c r="Y310" s="491" t="e">
        <f>+VLOOKUP(A310,#REF!,1,FALSE)</f>
        <v>#REF!</v>
      </c>
    </row>
    <row r="311" spans="1:25" ht="17.899999999999999" hidden="1" customHeight="1">
      <c r="A311" t="str">
        <f>+Table1[[#This Row],[Tabela]]&amp;Table1[[#This Row],[Campo]]</f>
        <v>PROPERTY_ENERGY_CERTIFICATETOTAL_INVSTMNT_ESTMTD_VALUE</v>
      </c>
      <c r="B311" s="2" t="s">
        <v>26</v>
      </c>
      <c r="C311" s="2" t="s">
        <v>54</v>
      </c>
      <c r="D311" s="2" t="s">
        <v>124</v>
      </c>
      <c r="E311" s="2" t="s">
        <v>38</v>
      </c>
      <c r="F311" s="2" t="s">
        <v>123</v>
      </c>
      <c r="G311" s="2" t="s">
        <v>153</v>
      </c>
      <c r="H311" s="56" t="str">
        <f>Table1[[#This Row],[Tabela]]&amp;Table1[[#This Row],[Campo]]</f>
        <v>PROPERTY_ENERGY_CERTIFICATETOTAL_INVSTMNT_ESTMTD_VALUE</v>
      </c>
      <c r="I311" s="2" t="s">
        <v>612</v>
      </c>
      <c r="J311" s="42">
        <f>VLOOKUP(Table1[[#This Row],[Status]],Auxiliar!$B$16:$C$24,2,0)</f>
        <v>1</v>
      </c>
      <c r="K311" s="2" t="s">
        <v>1171</v>
      </c>
      <c r="L311" s="28" t="s">
        <v>1166</v>
      </c>
      <c r="M311" s="20" t="s">
        <v>1175</v>
      </c>
      <c r="N311" s="47">
        <v>45485</v>
      </c>
      <c r="O311" s="20">
        <f>INDEX(Auxiliar!$D$5:$F$13,MATCH(Table1[[#This Row],[Tipologia_Testes]],Auxiliar!$B$5:$B$13,0),MATCH(Table1[[#This Row],[Complexidade]],Auxiliar!$D$4:$F$4,0))</f>
        <v>0.1</v>
      </c>
      <c r="P311" s="2" t="s">
        <v>1192</v>
      </c>
      <c r="Q311" s="2"/>
      <c r="R311" s="151">
        <v>45261</v>
      </c>
      <c r="S311" s="151"/>
      <c r="T311" s="151"/>
      <c r="U311" s="151"/>
      <c r="V311" s="151"/>
      <c r="W311" s="2">
        <f>VLOOKUP(Table1[[#This Row],[Status]],Auxiliar!$B$16:$D$24,3,0)*Table1[[#This Row],[Estimação (horas)]]</f>
        <v>0.1</v>
      </c>
      <c r="X311" s="165">
        <f>+VLOOKUP(CONCATENATE(Table1[[#This Row],[Tabela]],Table1[[#This Row],[Campo]]),'2. Status Detalhe Campos FY24'!A:J,9,FALSE)</f>
        <v>0</v>
      </c>
      <c r="Y311" s="491" t="e">
        <f>+VLOOKUP(A311,#REF!,1,FALSE)</f>
        <v>#REF!</v>
      </c>
    </row>
    <row r="312" spans="1:25" ht="17.899999999999999" hidden="1" customHeight="1">
      <c r="A312" t="str">
        <f>+Table1[[#This Row],[Tabela]]&amp;Table1[[#This Row],[Campo]]</f>
        <v>PROPERTY_ENERGY_CERTIFICATEDURATION_SUMMER</v>
      </c>
      <c r="B312" s="2" t="s">
        <v>26</v>
      </c>
      <c r="C312" s="2" t="s">
        <v>54</v>
      </c>
      <c r="D312" s="2" t="s">
        <v>124</v>
      </c>
      <c r="E312" s="2" t="s">
        <v>38</v>
      </c>
      <c r="F312" s="2" t="s">
        <v>123</v>
      </c>
      <c r="G312" s="2" t="s">
        <v>154</v>
      </c>
      <c r="H312" s="56" t="str">
        <f>Table1[[#This Row],[Tabela]]&amp;Table1[[#This Row],[Campo]]</f>
        <v>PROPERTY_ENERGY_CERTIFICATEDURATION_SUMMER</v>
      </c>
      <c r="I312" s="2" t="s">
        <v>612</v>
      </c>
      <c r="J312" s="42">
        <f>VLOOKUP(Table1[[#This Row],[Status]],Auxiliar!$B$16:$C$24,2,0)</f>
        <v>1</v>
      </c>
      <c r="K312" s="2" t="s">
        <v>1168</v>
      </c>
      <c r="L312" s="28" t="s">
        <v>1166</v>
      </c>
      <c r="M312" s="20" t="s">
        <v>1175</v>
      </c>
      <c r="N312" s="47">
        <v>45485</v>
      </c>
      <c r="O312" s="20">
        <f>INDEX(Auxiliar!$D$5:$F$13,MATCH(Table1[[#This Row],[Tipologia_Testes]],Auxiliar!$B$5:$B$13,0),MATCH(Table1[[#This Row],[Complexidade]],Auxiliar!$D$4:$F$4,0))</f>
        <v>2</v>
      </c>
      <c r="P312" s="2" t="s">
        <v>1192</v>
      </c>
      <c r="Q312" s="2"/>
      <c r="R312" s="151">
        <v>45261</v>
      </c>
      <c r="S312" s="151"/>
      <c r="T312" s="151"/>
      <c r="U312" s="151"/>
      <c r="V312" s="151"/>
      <c r="W312" s="2">
        <f>VLOOKUP(Table1[[#This Row],[Status]],Auxiliar!$B$16:$D$24,3,0)*Table1[[#This Row],[Estimação (horas)]]</f>
        <v>2</v>
      </c>
      <c r="X312" s="165">
        <f>+VLOOKUP(CONCATENATE(Table1[[#This Row],[Tabela]],Table1[[#This Row],[Campo]]),'2. Status Detalhe Campos FY24'!A:J,9,FALSE)</f>
        <v>0</v>
      </c>
      <c r="Y312" s="491" t="e">
        <f>+VLOOKUP(A312,#REF!,1,FALSE)</f>
        <v>#REF!</v>
      </c>
    </row>
    <row r="313" spans="1:25" ht="17.899999999999999" hidden="1" customHeight="1">
      <c r="A313" t="str">
        <f>+Table1[[#This Row],[Tabela]]&amp;Table1[[#This Row],[Campo]]</f>
        <v>PROPERTY_ENERGY_CERTIFICATEDURATION_SUMMER</v>
      </c>
      <c r="B313" s="2" t="s">
        <v>26</v>
      </c>
      <c r="C313" s="2" t="s">
        <v>54</v>
      </c>
      <c r="D313" s="2" t="s">
        <v>124</v>
      </c>
      <c r="E313" s="2" t="s">
        <v>38</v>
      </c>
      <c r="F313" s="2" t="s">
        <v>123</v>
      </c>
      <c r="G313" s="2" t="s">
        <v>154</v>
      </c>
      <c r="H313" s="56" t="str">
        <f>Table1[[#This Row],[Tabela]]&amp;Table1[[#This Row],[Campo]]</f>
        <v>PROPERTY_ENERGY_CERTIFICATEDURATION_SUMMER</v>
      </c>
      <c r="I313" s="2" t="s">
        <v>612</v>
      </c>
      <c r="J313" s="42">
        <f>VLOOKUP(Table1[[#This Row],[Status]],Auxiliar!$B$16:$C$24,2,0)</f>
        <v>1</v>
      </c>
      <c r="K313" s="2" t="s">
        <v>1169</v>
      </c>
      <c r="L313" s="28" t="s">
        <v>1166</v>
      </c>
      <c r="M313" s="20" t="s">
        <v>1175</v>
      </c>
      <c r="N313" s="47">
        <v>45485</v>
      </c>
      <c r="O313" s="20">
        <f>INDEX(Auxiliar!$D$5:$F$13,MATCH(Table1[[#This Row],[Tipologia_Testes]],Auxiliar!$B$5:$B$13,0),MATCH(Table1[[#This Row],[Complexidade]],Auxiliar!$D$4:$F$4,0))</f>
        <v>2</v>
      </c>
      <c r="P313" s="2" t="s">
        <v>1192</v>
      </c>
      <c r="Q313" s="2"/>
      <c r="R313" s="151">
        <v>45261</v>
      </c>
      <c r="S313" s="151"/>
      <c r="T313" s="151"/>
      <c r="U313" s="151"/>
      <c r="V313" s="151"/>
      <c r="W313" s="2">
        <f>VLOOKUP(Table1[[#This Row],[Status]],Auxiliar!$B$16:$D$24,3,0)*Table1[[#This Row],[Estimação (horas)]]</f>
        <v>2</v>
      </c>
      <c r="X313" s="165">
        <f>+VLOOKUP(CONCATENATE(Table1[[#This Row],[Tabela]],Table1[[#This Row],[Campo]]),'2. Status Detalhe Campos FY24'!A:J,9,FALSE)</f>
        <v>0</v>
      </c>
      <c r="Y313" s="491" t="e">
        <f>+VLOOKUP(A313,#REF!,1,FALSE)</f>
        <v>#REF!</v>
      </c>
    </row>
    <row r="314" spans="1:25" ht="17.899999999999999" hidden="1" customHeight="1">
      <c r="A314" t="str">
        <f>+Table1[[#This Row],[Tabela]]&amp;Table1[[#This Row],[Campo]]</f>
        <v>PROPERTY_ENERGY_CERTIFICATEDURATION_SUMMER</v>
      </c>
      <c r="B314" s="2" t="s">
        <v>26</v>
      </c>
      <c r="C314" s="2" t="s">
        <v>54</v>
      </c>
      <c r="D314" s="2" t="s">
        <v>124</v>
      </c>
      <c r="E314" s="2" t="s">
        <v>38</v>
      </c>
      <c r="F314" s="2" t="s">
        <v>123</v>
      </c>
      <c r="G314" s="2" t="s">
        <v>154</v>
      </c>
      <c r="H314" s="56" t="str">
        <f>Table1[[#This Row],[Tabela]]&amp;Table1[[#This Row],[Campo]]</f>
        <v>PROPERTY_ENERGY_CERTIFICATEDURATION_SUMMER</v>
      </c>
      <c r="I314" s="2" t="s">
        <v>612</v>
      </c>
      <c r="J314" s="42">
        <f>VLOOKUP(Table1[[#This Row],[Status]],Auxiliar!$B$16:$C$24,2,0)</f>
        <v>1</v>
      </c>
      <c r="K314" s="2" t="s">
        <v>1171</v>
      </c>
      <c r="L314" s="28" t="s">
        <v>1166</v>
      </c>
      <c r="M314" s="20" t="s">
        <v>1175</v>
      </c>
      <c r="N314" s="47">
        <v>45485</v>
      </c>
      <c r="O314" s="20">
        <f>INDEX(Auxiliar!$D$5:$F$13,MATCH(Table1[[#This Row],[Tipologia_Testes]],Auxiliar!$B$5:$B$13,0),MATCH(Table1[[#This Row],[Complexidade]],Auxiliar!$D$4:$F$4,0))</f>
        <v>0.1</v>
      </c>
      <c r="P314" s="2" t="s">
        <v>1192</v>
      </c>
      <c r="Q314" s="2"/>
      <c r="R314" s="151">
        <v>45261</v>
      </c>
      <c r="S314" s="151"/>
      <c r="T314" s="151"/>
      <c r="U314" s="151"/>
      <c r="V314" s="151"/>
      <c r="W314" s="2">
        <f>VLOOKUP(Table1[[#This Row],[Status]],Auxiliar!$B$16:$D$24,3,0)*Table1[[#This Row],[Estimação (horas)]]</f>
        <v>0.1</v>
      </c>
      <c r="X314" s="165">
        <f>+VLOOKUP(CONCATENATE(Table1[[#This Row],[Tabela]],Table1[[#This Row],[Campo]]),'2. Status Detalhe Campos FY24'!A:J,9,FALSE)</f>
        <v>0</v>
      </c>
      <c r="Y314" s="491" t="e">
        <f>+VLOOKUP(A314,#REF!,1,FALSE)</f>
        <v>#REF!</v>
      </c>
    </row>
    <row r="315" spans="1:25" ht="17.899999999999999" hidden="1" customHeight="1">
      <c r="A315" t="str">
        <f>+Table1[[#This Row],[Tabela]]&amp;Table1[[#This Row],[Campo]]</f>
        <v>PROPERTY_ENERGY_CERTIFICATEDURATION_WINTER</v>
      </c>
      <c r="B315" s="2" t="s">
        <v>26</v>
      </c>
      <c r="C315" s="2" t="s">
        <v>54</v>
      </c>
      <c r="D315" s="2" t="s">
        <v>124</v>
      </c>
      <c r="E315" s="2" t="s">
        <v>38</v>
      </c>
      <c r="F315" s="2" t="s">
        <v>123</v>
      </c>
      <c r="G315" s="2" t="s">
        <v>155</v>
      </c>
      <c r="H315" s="56" t="str">
        <f>Table1[[#This Row],[Tabela]]&amp;Table1[[#This Row],[Campo]]</f>
        <v>PROPERTY_ENERGY_CERTIFICATEDURATION_WINTER</v>
      </c>
      <c r="I315" s="2" t="s">
        <v>612</v>
      </c>
      <c r="J315" s="42">
        <f>VLOOKUP(Table1[[#This Row],[Status]],Auxiliar!$B$16:$C$24,2,0)</f>
        <v>1</v>
      </c>
      <c r="K315" s="2" t="s">
        <v>1168</v>
      </c>
      <c r="L315" s="28" t="s">
        <v>1166</v>
      </c>
      <c r="M315" s="20" t="s">
        <v>1175</v>
      </c>
      <c r="N315" s="47">
        <v>45485</v>
      </c>
      <c r="O315" s="20">
        <f>INDEX(Auxiliar!$D$5:$F$13,MATCH(Table1[[#This Row],[Tipologia_Testes]],Auxiliar!$B$5:$B$13,0),MATCH(Table1[[#This Row],[Complexidade]],Auxiliar!$D$4:$F$4,0))</f>
        <v>2</v>
      </c>
      <c r="P315" s="2" t="s">
        <v>1192</v>
      </c>
      <c r="Q315" s="2"/>
      <c r="R315" s="151">
        <v>45261</v>
      </c>
      <c r="S315" s="151"/>
      <c r="T315" s="151"/>
      <c r="U315" s="151"/>
      <c r="V315" s="151"/>
      <c r="W315" s="2">
        <f>VLOOKUP(Table1[[#This Row],[Status]],Auxiliar!$B$16:$D$24,3,0)*Table1[[#This Row],[Estimação (horas)]]</f>
        <v>2</v>
      </c>
      <c r="X315" s="165">
        <f>+VLOOKUP(CONCATENATE(Table1[[#This Row],[Tabela]],Table1[[#This Row],[Campo]]),'2. Status Detalhe Campos FY24'!A:J,9,FALSE)</f>
        <v>0</v>
      </c>
      <c r="Y315" s="491" t="e">
        <f>+VLOOKUP(A315,#REF!,1,FALSE)</f>
        <v>#REF!</v>
      </c>
    </row>
    <row r="316" spans="1:25" ht="17.899999999999999" hidden="1" customHeight="1">
      <c r="A316" t="str">
        <f>+Table1[[#This Row],[Tabela]]&amp;Table1[[#This Row],[Campo]]</f>
        <v>PROPERTY_ENERGY_CERTIFICATEDURATION_WINTER</v>
      </c>
      <c r="B316" s="2" t="s">
        <v>26</v>
      </c>
      <c r="C316" s="2" t="s">
        <v>54</v>
      </c>
      <c r="D316" s="2" t="s">
        <v>124</v>
      </c>
      <c r="E316" s="2" t="s">
        <v>38</v>
      </c>
      <c r="F316" s="2" t="s">
        <v>123</v>
      </c>
      <c r="G316" s="2" t="s">
        <v>155</v>
      </c>
      <c r="H316" s="56" t="str">
        <f>Table1[[#This Row],[Tabela]]&amp;Table1[[#This Row],[Campo]]</f>
        <v>PROPERTY_ENERGY_CERTIFICATEDURATION_WINTER</v>
      </c>
      <c r="I316" s="2" t="s">
        <v>612</v>
      </c>
      <c r="J316" s="42">
        <f>VLOOKUP(Table1[[#This Row],[Status]],Auxiliar!$B$16:$C$24,2,0)</f>
        <v>1</v>
      </c>
      <c r="K316" s="2" t="s">
        <v>1169</v>
      </c>
      <c r="L316" s="28" t="s">
        <v>1166</v>
      </c>
      <c r="M316" s="20" t="s">
        <v>1175</v>
      </c>
      <c r="N316" s="47">
        <v>45485</v>
      </c>
      <c r="O316" s="20">
        <f>INDEX(Auxiliar!$D$5:$F$13,MATCH(Table1[[#This Row],[Tipologia_Testes]],Auxiliar!$B$5:$B$13,0),MATCH(Table1[[#This Row],[Complexidade]],Auxiliar!$D$4:$F$4,0))</f>
        <v>2</v>
      </c>
      <c r="P316" s="2" t="s">
        <v>1192</v>
      </c>
      <c r="Q316" s="2"/>
      <c r="R316" s="151">
        <v>45261</v>
      </c>
      <c r="S316" s="151"/>
      <c r="T316" s="151"/>
      <c r="U316" s="151"/>
      <c r="V316" s="151"/>
      <c r="W316" s="2">
        <f>VLOOKUP(Table1[[#This Row],[Status]],Auxiliar!$B$16:$D$24,3,0)*Table1[[#This Row],[Estimação (horas)]]</f>
        <v>2</v>
      </c>
      <c r="X316" s="165">
        <f>+VLOOKUP(CONCATENATE(Table1[[#This Row],[Tabela]],Table1[[#This Row],[Campo]]),'2. Status Detalhe Campos FY24'!A:J,9,FALSE)</f>
        <v>0</v>
      </c>
      <c r="Y316" s="491" t="e">
        <f>+VLOOKUP(A316,#REF!,1,FALSE)</f>
        <v>#REF!</v>
      </c>
    </row>
    <row r="317" spans="1:25" ht="17.899999999999999" hidden="1" customHeight="1">
      <c r="A317" t="str">
        <f>+Table1[[#This Row],[Tabela]]&amp;Table1[[#This Row],[Campo]]</f>
        <v>PROPERTY_ENERGY_CERTIFICATEDURATION_WINTER</v>
      </c>
      <c r="B317" s="2" t="s">
        <v>26</v>
      </c>
      <c r="C317" s="2" t="s">
        <v>54</v>
      </c>
      <c r="D317" s="2" t="s">
        <v>124</v>
      </c>
      <c r="E317" s="2" t="s">
        <v>38</v>
      </c>
      <c r="F317" s="2" t="s">
        <v>123</v>
      </c>
      <c r="G317" s="2" t="s">
        <v>155</v>
      </c>
      <c r="H317" s="56" t="str">
        <f>Table1[[#This Row],[Tabela]]&amp;Table1[[#This Row],[Campo]]</f>
        <v>PROPERTY_ENERGY_CERTIFICATEDURATION_WINTER</v>
      </c>
      <c r="I317" s="2" t="s">
        <v>612</v>
      </c>
      <c r="J317" s="42">
        <f>VLOOKUP(Table1[[#This Row],[Status]],Auxiliar!$B$16:$C$24,2,0)</f>
        <v>1</v>
      </c>
      <c r="K317" s="2" t="s">
        <v>1171</v>
      </c>
      <c r="L317" s="28" t="s">
        <v>1166</v>
      </c>
      <c r="M317" s="20" t="s">
        <v>1175</v>
      </c>
      <c r="N317" s="47">
        <v>45485</v>
      </c>
      <c r="O317" s="20">
        <f>INDEX(Auxiliar!$D$5:$F$13,MATCH(Table1[[#This Row],[Tipologia_Testes]],Auxiliar!$B$5:$B$13,0),MATCH(Table1[[#This Row],[Complexidade]],Auxiliar!$D$4:$F$4,0))</f>
        <v>0.1</v>
      </c>
      <c r="P317" s="2" t="s">
        <v>1192</v>
      </c>
      <c r="Q317" s="2"/>
      <c r="R317" s="151">
        <v>45261</v>
      </c>
      <c r="S317" s="151"/>
      <c r="T317" s="151"/>
      <c r="U317" s="151"/>
      <c r="V317" s="151"/>
      <c r="W317" s="2">
        <f>VLOOKUP(Table1[[#This Row],[Status]],Auxiliar!$B$16:$D$24,3,0)*Table1[[#This Row],[Estimação (horas)]]</f>
        <v>0.1</v>
      </c>
      <c r="X317" s="165">
        <f>+VLOOKUP(CONCATENATE(Table1[[#This Row],[Tabela]],Table1[[#This Row],[Campo]]),'2. Status Detalhe Campos FY24'!A:J,9,FALSE)</f>
        <v>0</v>
      </c>
      <c r="Y317" s="491" t="e">
        <f>+VLOOKUP(A317,#REF!,1,FALSE)</f>
        <v>#REF!</v>
      </c>
    </row>
    <row r="318" spans="1:25" ht="17.899999999999999" hidden="1" customHeight="1">
      <c r="A318" t="str">
        <f>+Table1[[#This Row],[Tabela]]&amp;Table1[[#This Row],[Campo]]</f>
        <v>PROPERTY_ENERGY_CERTIFICATECARBON_EMISSION_VALUE_YEAR</v>
      </c>
      <c r="B318" s="2" t="s">
        <v>26</v>
      </c>
      <c r="C318" s="2" t="s">
        <v>54</v>
      </c>
      <c r="D318" s="2" t="s">
        <v>124</v>
      </c>
      <c r="E318" s="2" t="s">
        <v>38</v>
      </c>
      <c r="F318" s="2" t="s">
        <v>123</v>
      </c>
      <c r="G318" s="2" t="s">
        <v>52</v>
      </c>
      <c r="H318" s="56" t="str">
        <f>Table1[[#This Row],[Tabela]]&amp;Table1[[#This Row],[Campo]]</f>
        <v>PROPERTY_ENERGY_CERTIFICATECARBON_EMISSION_VALUE_YEAR</v>
      </c>
      <c r="I318" s="2" t="s">
        <v>612</v>
      </c>
      <c r="J318" s="42">
        <f>VLOOKUP(Table1[[#This Row],[Status]],Auxiliar!$B$16:$C$24,2,0)</f>
        <v>1</v>
      </c>
      <c r="K318" s="2" t="s">
        <v>1168</v>
      </c>
      <c r="L318" s="28" t="s">
        <v>1166</v>
      </c>
      <c r="M318" s="20" t="s">
        <v>1175</v>
      </c>
      <c r="N318" s="47">
        <v>45737</v>
      </c>
      <c r="O318" s="20">
        <f>INDEX(Auxiliar!$D$5:$F$13,MATCH(Table1[[#This Row],[Tipologia_Testes]],Auxiliar!$B$5:$B$13,0),MATCH(Table1[[#This Row],[Complexidade]],Auxiliar!$D$4:$F$4,0))</f>
        <v>2</v>
      </c>
      <c r="P318" s="2"/>
      <c r="Q318" s="2"/>
      <c r="R318" s="151">
        <v>45616</v>
      </c>
      <c r="S318" s="151"/>
      <c r="T318" s="151"/>
      <c r="U318" s="151"/>
      <c r="V318" s="151">
        <v>45639</v>
      </c>
      <c r="W318" s="2">
        <f>VLOOKUP(Table1[[#This Row],[Status]],Auxiliar!$B$16:$D$24,3,0)*Table1[[#This Row],[Estimação (horas)]]</f>
        <v>2</v>
      </c>
      <c r="X318" s="165">
        <f>+VLOOKUP(CONCATENATE(Table1[[#This Row],[Tabela]],Table1[[#This Row],[Campo]]),'2. Status Detalhe Campos FY24'!A:J,9,FALSE)</f>
        <v>0</v>
      </c>
      <c r="Y318" s="491" t="e">
        <f>+VLOOKUP(A318,#REF!,1,FALSE)</f>
        <v>#REF!</v>
      </c>
    </row>
    <row r="319" spans="1:25" ht="17.899999999999999" hidden="1" customHeight="1">
      <c r="A319" t="str">
        <f>+Table1[[#This Row],[Tabela]]&amp;Table1[[#This Row],[Campo]]</f>
        <v>PROPERTY_ENERGY_CERTIFICATECARBON_EMISSION_VALUE_YEAR</v>
      </c>
      <c r="B319" s="2" t="s">
        <v>26</v>
      </c>
      <c r="C319" s="2" t="s">
        <v>54</v>
      </c>
      <c r="D319" s="2" t="s">
        <v>124</v>
      </c>
      <c r="E319" s="2" t="s">
        <v>38</v>
      </c>
      <c r="F319" s="2" t="s">
        <v>123</v>
      </c>
      <c r="G319" s="2" t="s">
        <v>52</v>
      </c>
      <c r="H319" s="56" t="str">
        <f>Table1[[#This Row],[Tabela]]&amp;Table1[[#This Row],[Campo]]</f>
        <v>PROPERTY_ENERGY_CERTIFICATECARBON_EMISSION_VALUE_YEAR</v>
      </c>
      <c r="I319" s="2" t="s">
        <v>612</v>
      </c>
      <c r="J319" s="42">
        <f>VLOOKUP(Table1[[#This Row],[Status]],Auxiliar!$B$16:$C$24,2,0)</f>
        <v>1</v>
      </c>
      <c r="K319" s="2" t="s">
        <v>1169</v>
      </c>
      <c r="L319" s="28" t="s">
        <v>1166</v>
      </c>
      <c r="M319" s="20" t="s">
        <v>1175</v>
      </c>
      <c r="N319" s="47">
        <v>45737</v>
      </c>
      <c r="O319" s="20">
        <f>INDEX(Auxiliar!$D$5:$F$13,MATCH(Table1[[#This Row],[Tipologia_Testes]],Auxiliar!$B$5:$B$13,0),MATCH(Table1[[#This Row],[Complexidade]],Auxiliar!$D$4:$F$4,0))</f>
        <v>2</v>
      </c>
      <c r="P319" s="2"/>
      <c r="Q319" s="2"/>
      <c r="R319" s="151">
        <v>45616</v>
      </c>
      <c r="S319" s="151"/>
      <c r="T319" s="151"/>
      <c r="U319" s="151"/>
      <c r="V319" s="151">
        <v>45639</v>
      </c>
      <c r="W319" s="2">
        <f>VLOOKUP(Table1[[#This Row],[Status]],Auxiliar!$B$16:$D$24,3,0)*Table1[[#This Row],[Estimação (horas)]]</f>
        <v>2</v>
      </c>
      <c r="X319" s="165">
        <f>+VLOOKUP(CONCATENATE(Table1[[#This Row],[Tabela]],Table1[[#This Row],[Campo]]),'2. Status Detalhe Campos FY24'!A:J,9,FALSE)</f>
        <v>0</v>
      </c>
      <c r="Y319" s="491" t="e">
        <f>+VLOOKUP(A319,#REF!,1,FALSE)</f>
        <v>#REF!</v>
      </c>
    </row>
    <row r="320" spans="1:25" ht="17.899999999999999" hidden="1" customHeight="1">
      <c r="A320" t="str">
        <f>+Table1[[#This Row],[Tabela]]&amp;Table1[[#This Row],[Campo]]</f>
        <v>PROPERTY_ENERGY_CERTIFICATECARBON_EMISSION_VALUE_YEAR</v>
      </c>
      <c r="B320" s="2" t="s">
        <v>26</v>
      </c>
      <c r="C320" s="2" t="s">
        <v>54</v>
      </c>
      <c r="D320" s="2" t="s">
        <v>124</v>
      </c>
      <c r="E320" s="2" t="s">
        <v>38</v>
      </c>
      <c r="F320" s="2" t="s">
        <v>123</v>
      </c>
      <c r="G320" s="2" t="s">
        <v>52</v>
      </c>
      <c r="H320" s="56" t="str">
        <f>Table1[[#This Row],[Tabela]]&amp;Table1[[#This Row],[Campo]]</f>
        <v>PROPERTY_ENERGY_CERTIFICATECARBON_EMISSION_VALUE_YEAR</v>
      </c>
      <c r="I320" s="2" t="s">
        <v>612</v>
      </c>
      <c r="J320" s="42">
        <f>VLOOKUP(Table1[[#This Row],[Status]],Auxiliar!$B$16:$C$24,2,0)</f>
        <v>1</v>
      </c>
      <c r="K320" s="2" t="s">
        <v>1171</v>
      </c>
      <c r="L320" s="28" t="s">
        <v>1166</v>
      </c>
      <c r="M320" s="20" t="s">
        <v>1175</v>
      </c>
      <c r="N320" s="47">
        <v>45737</v>
      </c>
      <c r="O320" s="20">
        <f>INDEX(Auxiliar!$D$5:$F$13,MATCH(Table1[[#This Row],[Tipologia_Testes]],Auxiliar!$B$5:$B$13,0),MATCH(Table1[[#This Row],[Complexidade]],Auxiliar!$D$4:$F$4,0))</f>
        <v>0.1</v>
      </c>
      <c r="P320" s="2"/>
      <c r="Q320" s="2"/>
      <c r="R320" s="151">
        <v>45616</v>
      </c>
      <c r="S320" s="151"/>
      <c r="T320" s="151"/>
      <c r="U320" s="151"/>
      <c r="V320" s="151">
        <v>45639</v>
      </c>
      <c r="W320" s="2">
        <f>VLOOKUP(Table1[[#This Row],[Status]],Auxiliar!$B$16:$D$24,3,0)*Table1[[#This Row],[Estimação (horas)]]</f>
        <v>0.1</v>
      </c>
      <c r="X320" s="165">
        <f>+VLOOKUP(CONCATENATE(Table1[[#This Row],[Tabela]],Table1[[#This Row],[Campo]]),'2. Status Detalhe Campos FY24'!A:J,9,FALSE)</f>
        <v>0</v>
      </c>
      <c r="Y320" s="491" t="e">
        <f>+VLOOKUP(A320,#REF!,1,FALSE)</f>
        <v>#REF!</v>
      </c>
    </row>
    <row r="321" spans="1:25" ht="17.899999999999999" hidden="1" customHeight="1">
      <c r="A321" t="str">
        <f>+Table1[[#This Row],[Tabela]]&amp;Table1[[#This Row],[Campo]]</f>
        <v>PROPERTY_ENERGY_CERTIFICATECARBON_EMISSION_VALUE</v>
      </c>
      <c r="B321" s="2" t="s">
        <v>26</v>
      </c>
      <c r="C321" s="2" t="s">
        <v>54</v>
      </c>
      <c r="D321" s="2" t="s">
        <v>124</v>
      </c>
      <c r="E321" s="2" t="s">
        <v>38</v>
      </c>
      <c r="F321" s="2" t="s">
        <v>123</v>
      </c>
      <c r="G321" s="2" t="s">
        <v>156</v>
      </c>
      <c r="H321" s="56" t="str">
        <f>Table1[[#This Row],[Tabela]]&amp;Table1[[#This Row],[Campo]]</f>
        <v>PROPERTY_ENERGY_CERTIFICATECARBON_EMISSION_VALUE</v>
      </c>
      <c r="I321" s="2" t="s">
        <v>612</v>
      </c>
      <c r="J321" s="42">
        <f>VLOOKUP(Table1[[#This Row],[Status]],Auxiliar!$B$16:$C$24,2,0)</f>
        <v>1</v>
      </c>
      <c r="K321" s="2" t="s">
        <v>1168</v>
      </c>
      <c r="L321" s="28" t="s">
        <v>1166</v>
      </c>
      <c r="M321" s="20" t="s">
        <v>1175</v>
      </c>
      <c r="N321" s="47">
        <v>45485</v>
      </c>
      <c r="O321" s="20">
        <f>INDEX(Auxiliar!$D$5:$F$13,MATCH(Table1[[#This Row],[Tipologia_Testes]],Auxiliar!$B$5:$B$13,0),MATCH(Table1[[#This Row],[Complexidade]],Auxiliar!$D$4:$F$4,0))</f>
        <v>2</v>
      </c>
      <c r="P321" s="2" t="s">
        <v>1192</v>
      </c>
      <c r="Q321" s="2"/>
      <c r="R321" s="151">
        <v>45261</v>
      </c>
      <c r="S321" s="151"/>
      <c r="T321" s="151"/>
      <c r="U321" s="151"/>
      <c r="V321" s="151"/>
      <c r="W321" s="2">
        <f>VLOOKUP(Table1[[#This Row],[Status]],Auxiliar!$B$16:$D$24,3,0)*Table1[[#This Row],[Estimação (horas)]]</f>
        <v>2</v>
      </c>
      <c r="X321" s="165">
        <f>+VLOOKUP(CONCATENATE(Table1[[#This Row],[Tabela]],Table1[[#This Row],[Campo]]),'2. Status Detalhe Campos FY24'!A:J,9,FALSE)</f>
        <v>0</v>
      </c>
      <c r="Y321" s="491" t="e">
        <f>+VLOOKUP(A321,#REF!,1,FALSE)</f>
        <v>#REF!</v>
      </c>
    </row>
    <row r="322" spans="1:25" ht="17.899999999999999" hidden="1" customHeight="1">
      <c r="A322" t="str">
        <f>+Table1[[#This Row],[Tabela]]&amp;Table1[[#This Row],[Campo]]</f>
        <v>PROPERTY_ENERGY_CERTIFICATECARBON_EMISSION_VALUE</v>
      </c>
      <c r="B322" s="2" t="s">
        <v>26</v>
      </c>
      <c r="C322" s="2" t="s">
        <v>54</v>
      </c>
      <c r="D322" s="2" t="s">
        <v>124</v>
      </c>
      <c r="E322" s="2" t="s">
        <v>38</v>
      </c>
      <c r="F322" s="2" t="s">
        <v>123</v>
      </c>
      <c r="G322" s="2" t="s">
        <v>156</v>
      </c>
      <c r="H322" s="56" t="str">
        <f>Table1[[#This Row],[Tabela]]&amp;Table1[[#This Row],[Campo]]</f>
        <v>PROPERTY_ENERGY_CERTIFICATECARBON_EMISSION_VALUE</v>
      </c>
      <c r="I322" s="2" t="s">
        <v>612</v>
      </c>
      <c r="J322" s="42">
        <f>VLOOKUP(Table1[[#This Row],[Status]],Auxiliar!$B$16:$C$24,2,0)</f>
        <v>1</v>
      </c>
      <c r="K322" s="2" t="s">
        <v>1169</v>
      </c>
      <c r="L322" s="28" t="s">
        <v>1166</v>
      </c>
      <c r="M322" s="20" t="s">
        <v>1175</v>
      </c>
      <c r="N322" s="47">
        <v>45485</v>
      </c>
      <c r="O322" s="20">
        <f>INDEX(Auxiliar!$D$5:$F$13,MATCH(Table1[[#This Row],[Tipologia_Testes]],Auxiliar!$B$5:$B$13,0),MATCH(Table1[[#This Row],[Complexidade]],Auxiliar!$D$4:$F$4,0))</f>
        <v>2</v>
      </c>
      <c r="P322" s="2" t="s">
        <v>1192</v>
      </c>
      <c r="Q322" s="2"/>
      <c r="R322" s="151">
        <v>45261</v>
      </c>
      <c r="S322" s="151"/>
      <c r="T322" s="151"/>
      <c r="U322" s="151"/>
      <c r="V322" s="151"/>
      <c r="W322" s="2">
        <f>VLOOKUP(Table1[[#This Row],[Status]],Auxiliar!$B$16:$D$24,3,0)*Table1[[#This Row],[Estimação (horas)]]</f>
        <v>2</v>
      </c>
      <c r="X322" s="165">
        <f>+VLOOKUP(CONCATENATE(Table1[[#This Row],[Tabela]],Table1[[#This Row],[Campo]]),'2. Status Detalhe Campos FY24'!A:J,9,FALSE)</f>
        <v>0</v>
      </c>
      <c r="Y322" s="491" t="e">
        <f>+VLOOKUP(A322,#REF!,1,FALSE)</f>
        <v>#REF!</v>
      </c>
    </row>
    <row r="323" spans="1:25" ht="17.899999999999999" hidden="1" customHeight="1">
      <c r="A323" t="str">
        <f>+Table1[[#This Row],[Tabela]]&amp;Table1[[#This Row],[Campo]]</f>
        <v>PROPERTY_ENERGY_CERTIFICATECARBON_EMISSION_VALUE</v>
      </c>
      <c r="B323" s="2" t="s">
        <v>26</v>
      </c>
      <c r="C323" s="2" t="s">
        <v>54</v>
      </c>
      <c r="D323" s="2" t="s">
        <v>124</v>
      </c>
      <c r="E323" s="2" t="s">
        <v>38</v>
      </c>
      <c r="F323" s="2" t="s">
        <v>123</v>
      </c>
      <c r="G323" s="2" t="s">
        <v>156</v>
      </c>
      <c r="H323" s="56" t="str">
        <f>Table1[[#This Row],[Tabela]]&amp;Table1[[#This Row],[Campo]]</f>
        <v>PROPERTY_ENERGY_CERTIFICATECARBON_EMISSION_VALUE</v>
      </c>
      <c r="I323" s="2" t="s">
        <v>612</v>
      </c>
      <c r="J323" s="42">
        <f>VLOOKUP(Table1[[#This Row],[Status]],Auxiliar!$B$16:$C$24,2,0)</f>
        <v>1</v>
      </c>
      <c r="K323" s="2" t="s">
        <v>1171</v>
      </c>
      <c r="L323" s="28" t="s">
        <v>1166</v>
      </c>
      <c r="M323" s="20" t="s">
        <v>1175</v>
      </c>
      <c r="N323" s="47">
        <v>45485</v>
      </c>
      <c r="O323" s="20">
        <f>INDEX(Auxiliar!$D$5:$F$13,MATCH(Table1[[#This Row],[Tipologia_Testes]],Auxiliar!$B$5:$B$13,0),MATCH(Table1[[#This Row],[Complexidade]],Auxiliar!$D$4:$F$4,0))</f>
        <v>0.1</v>
      </c>
      <c r="P323" s="2" t="s">
        <v>1192</v>
      </c>
      <c r="Q323" s="2"/>
      <c r="R323" s="151">
        <v>45261</v>
      </c>
      <c r="S323" s="151"/>
      <c r="T323" s="151"/>
      <c r="U323" s="151"/>
      <c r="V323" s="151"/>
      <c r="W323" s="2">
        <f>VLOOKUP(Table1[[#This Row],[Status]],Auxiliar!$B$16:$D$24,3,0)*Table1[[#This Row],[Estimação (horas)]]</f>
        <v>0.1</v>
      </c>
      <c r="X323" s="165">
        <f>+VLOOKUP(CONCATENATE(Table1[[#This Row],[Tabela]],Table1[[#This Row],[Campo]]),'2. Status Detalhe Campos FY24'!A:J,9,FALSE)</f>
        <v>0</v>
      </c>
      <c r="Y323" s="491" t="e">
        <f>+VLOOKUP(A323,#REF!,1,FALSE)</f>
        <v>#REF!</v>
      </c>
    </row>
    <row r="324" spans="1:25" ht="17.899999999999999" hidden="1" customHeight="1">
      <c r="A324" t="str">
        <f>+Table1[[#This Row],[Tabela]]&amp;Table1[[#This Row],[Campo]]</f>
        <v>PROPERTY_ENERGY_CERTIFICATEUSEFUL_ENERGY_FANS_REQ_VALUE</v>
      </c>
      <c r="B324" s="2" t="s">
        <v>26</v>
      </c>
      <c r="C324" s="2" t="s">
        <v>54</v>
      </c>
      <c r="D324" s="2" t="s">
        <v>124</v>
      </c>
      <c r="E324" s="2" t="s">
        <v>38</v>
      </c>
      <c r="F324" s="2" t="s">
        <v>123</v>
      </c>
      <c r="G324" s="2" t="s">
        <v>157</v>
      </c>
      <c r="H324" s="56" t="str">
        <f>Table1[[#This Row],[Tabela]]&amp;Table1[[#This Row],[Campo]]</f>
        <v>PROPERTY_ENERGY_CERTIFICATEUSEFUL_ENERGY_FANS_REQ_VALUE</v>
      </c>
      <c r="I324" s="2" t="s">
        <v>612</v>
      </c>
      <c r="J324" s="42">
        <f>VLOOKUP(Table1[[#This Row],[Status]],Auxiliar!$B$16:$C$24,2,0)</f>
        <v>1</v>
      </c>
      <c r="K324" s="2" t="s">
        <v>1168</v>
      </c>
      <c r="L324" s="28" t="s">
        <v>1166</v>
      </c>
      <c r="M324" s="20" t="s">
        <v>1175</v>
      </c>
      <c r="N324" s="47">
        <v>45485</v>
      </c>
      <c r="O324" s="20">
        <f>INDEX(Auxiliar!$D$5:$F$13,MATCH(Table1[[#This Row],[Tipologia_Testes]],Auxiliar!$B$5:$B$13,0),MATCH(Table1[[#This Row],[Complexidade]],Auxiliar!$D$4:$F$4,0))</f>
        <v>2</v>
      </c>
      <c r="P324" s="2" t="s">
        <v>1192</v>
      </c>
      <c r="Q324" s="2"/>
      <c r="R324" s="151">
        <v>45261</v>
      </c>
      <c r="S324" s="151"/>
      <c r="T324" s="151"/>
      <c r="U324" s="151"/>
      <c r="V324" s="151"/>
      <c r="W324" s="2">
        <f>VLOOKUP(Table1[[#This Row],[Status]],Auxiliar!$B$16:$D$24,3,0)*Table1[[#This Row],[Estimação (horas)]]</f>
        <v>2</v>
      </c>
      <c r="X324" s="165">
        <f>+VLOOKUP(CONCATENATE(Table1[[#This Row],[Tabela]],Table1[[#This Row],[Campo]]),'2. Status Detalhe Campos FY24'!A:J,9,FALSE)</f>
        <v>0</v>
      </c>
      <c r="Y324" s="491" t="e">
        <f>+VLOOKUP(A324,#REF!,1,FALSE)</f>
        <v>#REF!</v>
      </c>
    </row>
    <row r="325" spans="1:25" ht="17.899999999999999" hidden="1" customHeight="1">
      <c r="A325" t="str">
        <f>+Table1[[#This Row],[Tabela]]&amp;Table1[[#This Row],[Campo]]</f>
        <v>PROPERTY_ENERGY_CERTIFICATEUSEFUL_ENERGY_FANS_REQ_VALUE</v>
      </c>
      <c r="B325" s="2" t="s">
        <v>26</v>
      </c>
      <c r="C325" s="2" t="s">
        <v>54</v>
      </c>
      <c r="D325" s="2" t="s">
        <v>124</v>
      </c>
      <c r="E325" s="2" t="s">
        <v>38</v>
      </c>
      <c r="F325" s="2" t="s">
        <v>123</v>
      </c>
      <c r="G325" s="2" t="s">
        <v>157</v>
      </c>
      <c r="H325" s="56" t="str">
        <f>Table1[[#This Row],[Tabela]]&amp;Table1[[#This Row],[Campo]]</f>
        <v>PROPERTY_ENERGY_CERTIFICATEUSEFUL_ENERGY_FANS_REQ_VALUE</v>
      </c>
      <c r="I325" s="2" t="s">
        <v>612</v>
      </c>
      <c r="J325" s="42">
        <f>VLOOKUP(Table1[[#This Row],[Status]],Auxiliar!$B$16:$C$24,2,0)</f>
        <v>1</v>
      </c>
      <c r="K325" s="2" t="s">
        <v>1169</v>
      </c>
      <c r="L325" s="28" t="s">
        <v>1166</v>
      </c>
      <c r="M325" s="20" t="s">
        <v>1175</v>
      </c>
      <c r="N325" s="47">
        <v>45485</v>
      </c>
      <c r="O325" s="20">
        <f>INDEX(Auxiliar!$D$5:$F$13,MATCH(Table1[[#This Row],[Tipologia_Testes]],Auxiliar!$B$5:$B$13,0),MATCH(Table1[[#This Row],[Complexidade]],Auxiliar!$D$4:$F$4,0))</f>
        <v>2</v>
      </c>
      <c r="P325" s="2" t="s">
        <v>1192</v>
      </c>
      <c r="Q325" s="2"/>
      <c r="R325" s="151">
        <v>45261</v>
      </c>
      <c r="S325" s="151"/>
      <c r="T325" s="151"/>
      <c r="U325" s="151"/>
      <c r="V325" s="151"/>
      <c r="W325" s="2">
        <f>VLOOKUP(Table1[[#This Row],[Status]],Auxiliar!$B$16:$D$24,3,0)*Table1[[#This Row],[Estimação (horas)]]</f>
        <v>2</v>
      </c>
      <c r="X325" s="165">
        <f>+VLOOKUP(CONCATENATE(Table1[[#This Row],[Tabela]],Table1[[#This Row],[Campo]]),'2. Status Detalhe Campos FY24'!A:J,9,FALSE)</f>
        <v>0</v>
      </c>
      <c r="Y325" s="491" t="e">
        <f>+VLOOKUP(A325,#REF!,1,FALSE)</f>
        <v>#REF!</v>
      </c>
    </row>
    <row r="326" spans="1:25" ht="17.899999999999999" hidden="1" customHeight="1">
      <c r="A326" t="str">
        <f>+Table1[[#This Row],[Tabela]]&amp;Table1[[#This Row],[Campo]]</f>
        <v>PROPERTY_ENERGY_CERTIFICATEUSEFUL_ENERGY_FANS_REQ_VALUE</v>
      </c>
      <c r="B326" s="2" t="s">
        <v>26</v>
      </c>
      <c r="C326" s="2" t="s">
        <v>54</v>
      </c>
      <c r="D326" s="2" t="s">
        <v>124</v>
      </c>
      <c r="E326" s="2" t="s">
        <v>38</v>
      </c>
      <c r="F326" s="2" t="s">
        <v>123</v>
      </c>
      <c r="G326" s="2" t="s">
        <v>157</v>
      </c>
      <c r="H326" s="56" t="str">
        <f>Table1[[#This Row],[Tabela]]&amp;Table1[[#This Row],[Campo]]</f>
        <v>PROPERTY_ENERGY_CERTIFICATEUSEFUL_ENERGY_FANS_REQ_VALUE</v>
      </c>
      <c r="I326" s="2" t="s">
        <v>612</v>
      </c>
      <c r="J326" s="42">
        <f>VLOOKUP(Table1[[#This Row],[Status]],Auxiliar!$B$16:$C$24,2,0)</f>
        <v>1</v>
      </c>
      <c r="K326" s="2" t="s">
        <v>1171</v>
      </c>
      <c r="L326" s="28" t="s">
        <v>1166</v>
      </c>
      <c r="M326" s="20" t="s">
        <v>1175</v>
      </c>
      <c r="N326" s="47">
        <v>45485</v>
      </c>
      <c r="O326" s="20">
        <f>INDEX(Auxiliar!$D$5:$F$13,MATCH(Table1[[#This Row],[Tipologia_Testes]],Auxiliar!$B$5:$B$13,0),MATCH(Table1[[#This Row],[Complexidade]],Auxiliar!$D$4:$F$4,0))</f>
        <v>0.1</v>
      </c>
      <c r="P326" s="2" t="s">
        <v>1192</v>
      </c>
      <c r="Q326" s="2"/>
      <c r="R326" s="151">
        <v>45261</v>
      </c>
      <c r="S326" s="151"/>
      <c r="T326" s="151"/>
      <c r="U326" s="151"/>
      <c r="V326" s="151"/>
      <c r="W326" s="2">
        <f>VLOOKUP(Table1[[#This Row],[Status]],Auxiliar!$B$16:$D$24,3,0)*Table1[[#This Row],[Estimação (horas)]]</f>
        <v>0.1</v>
      </c>
      <c r="X326" s="165">
        <f>+VLOOKUP(CONCATENATE(Table1[[#This Row],[Tabela]],Table1[[#This Row],[Campo]]),'2. Status Detalhe Campos FY24'!A:J,9,FALSE)</f>
        <v>0</v>
      </c>
      <c r="Y326" s="491" t="e">
        <f>+VLOOKUP(A326,#REF!,1,FALSE)</f>
        <v>#REF!</v>
      </c>
    </row>
    <row r="327" spans="1:25" ht="17.899999999999999" hidden="1" customHeight="1">
      <c r="A327" t="str">
        <f>+Table1[[#This Row],[Tabela]]&amp;Table1[[#This Row],[Campo]]</f>
        <v>PROPERTY_ENERGY_CERTIFICATEREN_ENERGY_PRODUCED_OTHER_VALUE</v>
      </c>
      <c r="B327" s="2" t="s">
        <v>26</v>
      </c>
      <c r="C327" s="2" t="s">
        <v>54</v>
      </c>
      <c r="D327" s="2" t="s">
        <v>124</v>
      </c>
      <c r="E327" s="2" t="s">
        <v>38</v>
      </c>
      <c r="F327" s="2" t="s">
        <v>123</v>
      </c>
      <c r="G327" s="2" t="s">
        <v>158</v>
      </c>
      <c r="H327" s="56" t="str">
        <f>Table1[[#This Row],[Tabela]]&amp;Table1[[#This Row],[Campo]]</f>
        <v>PROPERTY_ENERGY_CERTIFICATEREN_ENERGY_PRODUCED_OTHER_VALUE</v>
      </c>
      <c r="I327" s="2" t="s">
        <v>612</v>
      </c>
      <c r="J327" s="42">
        <f>VLOOKUP(Table1[[#This Row],[Status]],Auxiliar!$B$16:$C$24,2,0)</f>
        <v>1</v>
      </c>
      <c r="K327" s="2" t="s">
        <v>1168</v>
      </c>
      <c r="L327" s="28" t="s">
        <v>1166</v>
      </c>
      <c r="M327" s="20" t="s">
        <v>1175</v>
      </c>
      <c r="N327" s="47">
        <v>45485</v>
      </c>
      <c r="O327" s="20">
        <f>INDEX(Auxiliar!$D$5:$F$13,MATCH(Table1[[#This Row],[Tipologia_Testes]],Auxiliar!$B$5:$B$13,0),MATCH(Table1[[#This Row],[Complexidade]],Auxiliar!$D$4:$F$4,0))</f>
        <v>2</v>
      </c>
      <c r="P327" s="2" t="s">
        <v>1192</v>
      </c>
      <c r="Q327" s="2"/>
      <c r="R327" s="151">
        <v>45261</v>
      </c>
      <c r="S327" s="151"/>
      <c r="T327" s="151"/>
      <c r="U327" s="151"/>
      <c r="V327" s="151"/>
      <c r="W327" s="2">
        <f>VLOOKUP(Table1[[#This Row],[Status]],Auxiliar!$B$16:$D$24,3,0)*Table1[[#This Row],[Estimação (horas)]]</f>
        <v>2</v>
      </c>
      <c r="X327" s="165">
        <f>+VLOOKUP(CONCATENATE(Table1[[#This Row],[Tabela]],Table1[[#This Row],[Campo]]),'2. Status Detalhe Campos FY24'!A:J,9,FALSE)</f>
        <v>0</v>
      </c>
      <c r="Y327" s="491" t="e">
        <f>+VLOOKUP(A327,#REF!,1,FALSE)</f>
        <v>#REF!</v>
      </c>
    </row>
    <row r="328" spans="1:25" ht="17.899999999999999" hidden="1" customHeight="1">
      <c r="A328" t="str">
        <f>+Table1[[#This Row],[Tabela]]&amp;Table1[[#This Row],[Campo]]</f>
        <v>PROPERTY_ENERGY_CERTIFICATEREN_ENERGY_PRODUCED_OTHER_VALUE</v>
      </c>
      <c r="B328" s="2" t="s">
        <v>26</v>
      </c>
      <c r="C328" s="2" t="s">
        <v>54</v>
      </c>
      <c r="D328" s="2" t="s">
        <v>124</v>
      </c>
      <c r="E328" s="2" t="s">
        <v>38</v>
      </c>
      <c r="F328" s="2" t="s">
        <v>123</v>
      </c>
      <c r="G328" s="2" t="s">
        <v>158</v>
      </c>
      <c r="H328" s="56" t="str">
        <f>Table1[[#This Row],[Tabela]]&amp;Table1[[#This Row],[Campo]]</f>
        <v>PROPERTY_ENERGY_CERTIFICATEREN_ENERGY_PRODUCED_OTHER_VALUE</v>
      </c>
      <c r="I328" s="2" t="s">
        <v>612</v>
      </c>
      <c r="J328" s="42">
        <f>VLOOKUP(Table1[[#This Row],[Status]],Auxiliar!$B$16:$C$24,2,0)</f>
        <v>1</v>
      </c>
      <c r="K328" s="2" t="s">
        <v>1169</v>
      </c>
      <c r="L328" s="28" t="s">
        <v>1166</v>
      </c>
      <c r="M328" s="20" t="s">
        <v>1175</v>
      </c>
      <c r="N328" s="47">
        <v>45485</v>
      </c>
      <c r="O328" s="20">
        <f>INDEX(Auxiliar!$D$5:$F$13,MATCH(Table1[[#This Row],[Tipologia_Testes]],Auxiliar!$B$5:$B$13,0),MATCH(Table1[[#This Row],[Complexidade]],Auxiliar!$D$4:$F$4,0))</f>
        <v>2</v>
      </c>
      <c r="P328" s="2" t="s">
        <v>1192</v>
      </c>
      <c r="Q328" s="2"/>
      <c r="R328" s="151">
        <v>45261</v>
      </c>
      <c r="S328" s="151"/>
      <c r="T328" s="151"/>
      <c r="U328" s="151"/>
      <c r="V328" s="151"/>
      <c r="W328" s="2">
        <f>VLOOKUP(Table1[[#This Row],[Status]],Auxiliar!$B$16:$D$24,3,0)*Table1[[#This Row],[Estimação (horas)]]</f>
        <v>2</v>
      </c>
      <c r="X328" s="165">
        <f>+VLOOKUP(CONCATENATE(Table1[[#This Row],[Tabela]],Table1[[#This Row],[Campo]]),'2. Status Detalhe Campos FY24'!A:J,9,FALSE)</f>
        <v>0</v>
      </c>
      <c r="Y328" s="491" t="e">
        <f>+VLOOKUP(A328,#REF!,1,FALSE)</f>
        <v>#REF!</v>
      </c>
    </row>
    <row r="329" spans="1:25" ht="17.899999999999999" hidden="1" customHeight="1">
      <c r="A329" t="str">
        <f>+Table1[[#This Row],[Tabela]]&amp;Table1[[#This Row],[Campo]]</f>
        <v>PROPERTY_ENERGY_CERTIFICATEREN_ENERGY_PRODUCED_OTHER_VALUE</v>
      </c>
      <c r="B329" s="2" t="s">
        <v>26</v>
      </c>
      <c r="C329" s="2" t="s">
        <v>54</v>
      </c>
      <c r="D329" s="2" t="s">
        <v>124</v>
      </c>
      <c r="E329" s="2" t="s">
        <v>38</v>
      </c>
      <c r="F329" s="2" t="s">
        <v>123</v>
      </c>
      <c r="G329" s="2" t="s">
        <v>158</v>
      </c>
      <c r="H329" s="56" t="str">
        <f>Table1[[#This Row],[Tabela]]&amp;Table1[[#This Row],[Campo]]</f>
        <v>PROPERTY_ENERGY_CERTIFICATEREN_ENERGY_PRODUCED_OTHER_VALUE</v>
      </c>
      <c r="I329" s="2" t="s">
        <v>612</v>
      </c>
      <c r="J329" s="42">
        <f>VLOOKUP(Table1[[#This Row],[Status]],Auxiliar!$B$16:$C$24,2,0)</f>
        <v>1</v>
      </c>
      <c r="K329" s="2" t="s">
        <v>1171</v>
      </c>
      <c r="L329" s="28" t="s">
        <v>1166</v>
      </c>
      <c r="M329" s="20" t="s">
        <v>1175</v>
      </c>
      <c r="N329" s="47">
        <v>45485</v>
      </c>
      <c r="O329" s="20">
        <f>INDEX(Auxiliar!$D$5:$F$13,MATCH(Table1[[#This Row],[Tipologia_Testes]],Auxiliar!$B$5:$B$13,0),MATCH(Table1[[#This Row],[Complexidade]],Auxiliar!$D$4:$F$4,0))</f>
        <v>0.1</v>
      </c>
      <c r="P329" s="2" t="s">
        <v>1192</v>
      </c>
      <c r="Q329" s="2"/>
      <c r="R329" s="151">
        <v>45261</v>
      </c>
      <c r="S329" s="151"/>
      <c r="T329" s="151"/>
      <c r="U329" s="151"/>
      <c r="V329" s="151"/>
      <c r="W329" s="2">
        <f>VLOOKUP(Table1[[#This Row],[Status]],Auxiliar!$B$16:$D$24,3,0)*Table1[[#This Row],[Estimação (horas)]]</f>
        <v>0.1</v>
      </c>
      <c r="X329" s="165">
        <f>+VLOOKUP(CONCATENATE(Table1[[#This Row],[Tabela]],Table1[[#This Row],[Campo]]),'2. Status Detalhe Campos FY24'!A:J,9,FALSE)</f>
        <v>0</v>
      </c>
      <c r="Y329" s="491" t="e">
        <f>+VLOOKUP(A329,#REF!,1,FALSE)</f>
        <v>#REF!</v>
      </c>
    </row>
    <row r="330" spans="1:25" ht="17.899999999999999" hidden="1" customHeight="1">
      <c r="A330" t="str">
        <f>+Table1[[#This Row],[Tabela]]&amp;Table1[[#This Row],[Campo]]</f>
        <v>PROPERTY_ENERGY_CERTIFICATEREN_ENERGY_PRODUCED_REG_VALUE</v>
      </c>
      <c r="B330" s="2" t="s">
        <v>26</v>
      </c>
      <c r="C330" s="2" t="s">
        <v>54</v>
      </c>
      <c r="D330" s="2" t="s">
        <v>124</v>
      </c>
      <c r="E330" s="2" t="s">
        <v>38</v>
      </c>
      <c r="F330" s="2" t="s">
        <v>123</v>
      </c>
      <c r="G330" s="2" t="s">
        <v>159</v>
      </c>
      <c r="H330" s="56" t="str">
        <f>Table1[[#This Row],[Tabela]]&amp;Table1[[#This Row],[Campo]]</f>
        <v>PROPERTY_ENERGY_CERTIFICATEREN_ENERGY_PRODUCED_REG_VALUE</v>
      </c>
      <c r="I330" s="2" t="s">
        <v>612</v>
      </c>
      <c r="J330" s="42">
        <f>VLOOKUP(Table1[[#This Row],[Status]],Auxiliar!$B$16:$C$24,2,0)</f>
        <v>1</v>
      </c>
      <c r="K330" s="2" t="s">
        <v>1168</v>
      </c>
      <c r="L330" s="28" t="s">
        <v>1166</v>
      </c>
      <c r="M330" s="20" t="s">
        <v>1175</v>
      </c>
      <c r="N330" s="47">
        <v>45485</v>
      </c>
      <c r="O330" s="20">
        <f>INDEX(Auxiliar!$D$5:$F$13,MATCH(Table1[[#This Row],[Tipologia_Testes]],Auxiliar!$B$5:$B$13,0),MATCH(Table1[[#This Row],[Complexidade]],Auxiliar!$D$4:$F$4,0))</f>
        <v>2</v>
      </c>
      <c r="P330" s="2" t="s">
        <v>1192</v>
      </c>
      <c r="Q330" s="2"/>
      <c r="R330" s="151">
        <v>45261</v>
      </c>
      <c r="S330" s="151"/>
      <c r="T330" s="151"/>
      <c r="U330" s="151"/>
      <c r="V330" s="151"/>
      <c r="W330" s="2">
        <f>VLOOKUP(Table1[[#This Row],[Status]],Auxiliar!$B$16:$D$24,3,0)*Table1[[#This Row],[Estimação (horas)]]</f>
        <v>2</v>
      </c>
      <c r="X330" s="165">
        <f>+VLOOKUP(CONCATENATE(Table1[[#This Row],[Tabela]],Table1[[#This Row],[Campo]]),'2. Status Detalhe Campos FY24'!A:J,9,FALSE)</f>
        <v>0</v>
      </c>
      <c r="Y330" s="491" t="e">
        <f>+VLOOKUP(A330,#REF!,1,FALSE)</f>
        <v>#REF!</v>
      </c>
    </row>
    <row r="331" spans="1:25" ht="17.899999999999999" hidden="1" customHeight="1">
      <c r="A331" t="str">
        <f>+Table1[[#This Row],[Tabela]]&amp;Table1[[#This Row],[Campo]]</f>
        <v>PROPERTY_ENERGY_CERTIFICATEREN_ENERGY_PRODUCED_REG_VALUE</v>
      </c>
      <c r="B331" s="2" t="s">
        <v>26</v>
      </c>
      <c r="C331" s="2" t="s">
        <v>54</v>
      </c>
      <c r="D331" s="2" t="s">
        <v>124</v>
      </c>
      <c r="E331" s="2" t="s">
        <v>38</v>
      </c>
      <c r="F331" s="2" t="s">
        <v>123</v>
      </c>
      <c r="G331" s="2" t="s">
        <v>159</v>
      </c>
      <c r="H331" s="56" t="str">
        <f>Table1[[#This Row],[Tabela]]&amp;Table1[[#This Row],[Campo]]</f>
        <v>PROPERTY_ENERGY_CERTIFICATEREN_ENERGY_PRODUCED_REG_VALUE</v>
      </c>
      <c r="I331" s="2" t="s">
        <v>612</v>
      </c>
      <c r="J331" s="42">
        <f>VLOOKUP(Table1[[#This Row],[Status]],Auxiliar!$B$16:$C$24,2,0)</f>
        <v>1</v>
      </c>
      <c r="K331" s="2" t="s">
        <v>1169</v>
      </c>
      <c r="L331" s="28" t="s">
        <v>1166</v>
      </c>
      <c r="M331" s="20" t="s">
        <v>1175</v>
      </c>
      <c r="N331" s="47">
        <v>45485</v>
      </c>
      <c r="O331" s="20">
        <f>INDEX(Auxiliar!$D$5:$F$13,MATCH(Table1[[#This Row],[Tipologia_Testes]],Auxiliar!$B$5:$B$13,0),MATCH(Table1[[#This Row],[Complexidade]],Auxiliar!$D$4:$F$4,0))</f>
        <v>2</v>
      </c>
      <c r="P331" s="2" t="s">
        <v>1192</v>
      </c>
      <c r="Q331" s="2"/>
      <c r="R331" s="151">
        <v>45261</v>
      </c>
      <c r="S331" s="151"/>
      <c r="T331" s="151"/>
      <c r="U331" s="151"/>
      <c r="V331" s="151"/>
      <c r="W331" s="2">
        <f>VLOOKUP(Table1[[#This Row],[Status]],Auxiliar!$B$16:$D$24,3,0)*Table1[[#This Row],[Estimação (horas)]]</f>
        <v>2</v>
      </c>
      <c r="X331" s="165">
        <f>+VLOOKUP(CONCATENATE(Table1[[#This Row],[Tabela]],Table1[[#This Row],[Campo]]),'2. Status Detalhe Campos FY24'!A:J,9,FALSE)</f>
        <v>0</v>
      </c>
      <c r="Y331" s="491" t="e">
        <f>+VLOOKUP(A331,#REF!,1,FALSE)</f>
        <v>#REF!</v>
      </c>
    </row>
    <row r="332" spans="1:25" ht="17.899999999999999" hidden="1" customHeight="1">
      <c r="A332" t="str">
        <f>+Table1[[#This Row],[Tabela]]&amp;Table1[[#This Row],[Campo]]</f>
        <v>PROPERTY_ENERGY_CERTIFICATEREN_ENERGY_PRODUCED_REG_VALUE</v>
      </c>
      <c r="B332" s="2" t="s">
        <v>26</v>
      </c>
      <c r="C332" s="2" t="s">
        <v>54</v>
      </c>
      <c r="D332" s="2" t="s">
        <v>124</v>
      </c>
      <c r="E332" s="2" t="s">
        <v>38</v>
      </c>
      <c r="F332" s="2" t="s">
        <v>123</v>
      </c>
      <c r="G332" s="2" t="s">
        <v>159</v>
      </c>
      <c r="H332" s="56" t="str">
        <f>Table1[[#This Row],[Tabela]]&amp;Table1[[#This Row],[Campo]]</f>
        <v>PROPERTY_ENERGY_CERTIFICATEREN_ENERGY_PRODUCED_REG_VALUE</v>
      </c>
      <c r="I332" s="2" t="s">
        <v>612</v>
      </c>
      <c r="J332" s="42">
        <f>VLOOKUP(Table1[[#This Row],[Status]],Auxiliar!$B$16:$C$24,2,0)</f>
        <v>1</v>
      </c>
      <c r="K332" s="2" t="s">
        <v>1171</v>
      </c>
      <c r="L332" s="28" t="s">
        <v>1166</v>
      </c>
      <c r="M332" s="20" t="s">
        <v>1175</v>
      </c>
      <c r="N332" s="47">
        <v>45485</v>
      </c>
      <c r="O332" s="20">
        <f>INDEX(Auxiliar!$D$5:$F$13,MATCH(Table1[[#This Row],[Tipologia_Testes]],Auxiliar!$B$5:$B$13,0),MATCH(Table1[[#This Row],[Complexidade]],Auxiliar!$D$4:$F$4,0))</f>
        <v>0.1</v>
      </c>
      <c r="P332" s="2" t="s">
        <v>1192</v>
      </c>
      <c r="Q332" s="2"/>
      <c r="R332" s="151">
        <v>45261</v>
      </c>
      <c r="S332" s="151"/>
      <c r="T332" s="151"/>
      <c r="U332" s="151"/>
      <c r="V332" s="151"/>
      <c r="W332" s="2">
        <f>VLOOKUP(Table1[[#This Row],[Status]],Auxiliar!$B$16:$D$24,3,0)*Table1[[#This Row],[Estimação (horas)]]</f>
        <v>0.1</v>
      </c>
      <c r="X332" s="165">
        <f>+VLOOKUP(CONCATENATE(Table1[[#This Row],[Tabela]],Table1[[#This Row],[Campo]]),'2. Status Detalhe Campos FY24'!A:J,9,FALSE)</f>
        <v>0</v>
      </c>
      <c r="Y332" s="491" t="e">
        <f>+VLOOKUP(A332,#REF!,1,FALSE)</f>
        <v>#REF!</v>
      </c>
    </row>
    <row r="333" spans="1:25" ht="17.899999999999999" hidden="1" customHeight="1">
      <c r="A333" t="str">
        <f>+Table1[[#This Row],[Tabela]]&amp;Table1[[#This Row],[Campo]]</f>
        <v>PROPERTY_ENERGY_CERTIFICATEREN_ENERGY_PRODUCED_VALUE</v>
      </c>
      <c r="B333" s="2" t="s">
        <v>26</v>
      </c>
      <c r="C333" s="2" t="s">
        <v>54</v>
      </c>
      <c r="D333" s="2" t="s">
        <v>124</v>
      </c>
      <c r="E333" s="2" t="s">
        <v>38</v>
      </c>
      <c r="F333" s="2" t="s">
        <v>123</v>
      </c>
      <c r="G333" s="2" t="s">
        <v>160</v>
      </c>
      <c r="H333" s="56" t="str">
        <f>Table1[[#This Row],[Tabela]]&amp;Table1[[#This Row],[Campo]]</f>
        <v>PROPERTY_ENERGY_CERTIFICATEREN_ENERGY_PRODUCED_VALUE</v>
      </c>
      <c r="I333" s="2" t="s">
        <v>612</v>
      </c>
      <c r="J333" s="42">
        <f>VLOOKUP(Table1[[#This Row],[Status]],Auxiliar!$B$16:$C$24,2,0)</f>
        <v>1</v>
      </c>
      <c r="K333" s="2" t="s">
        <v>1168</v>
      </c>
      <c r="L333" s="28" t="s">
        <v>1166</v>
      </c>
      <c r="M333" s="20" t="s">
        <v>1175</v>
      </c>
      <c r="N333" s="47">
        <v>45612</v>
      </c>
      <c r="O333" s="20">
        <f>INDEX(Auxiliar!$D$5:$F$13,MATCH(Table1[[#This Row],[Tipologia_Testes]],Auxiliar!$B$5:$B$13,0),MATCH(Table1[[#This Row],[Complexidade]],Auxiliar!$D$4:$F$4,0))</f>
        <v>2</v>
      </c>
      <c r="P333" s="2"/>
      <c r="Q333" s="2"/>
      <c r="R333" s="151">
        <v>45616</v>
      </c>
      <c r="S333" s="151"/>
      <c r="T333" s="151"/>
      <c r="U333" s="151"/>
      <c r="V333" s="151">
        <v>45639</v>
      </c>
      <c r="W333" s="2">
        <f>VLOOKUP(Table1[[#This Row],[Status]],Auxiliar!$B$16:$D$24,3,0)*Table1[[#This Row],[Estimação (horas)]]</f>
        <v>2</v>
      </c>
      <c r="X333" s="165">
        <f>+VLOOKUP(CONCATENATE(Table1[[#This Row],[Tabela]],Table1[[#This Row],[Campo]]),'2. Status Detalhe Campos FY24'!A:J,9,FALSE)</f>
        <v>0</v>
      </c>
      <c r="Y333" s="491" t="e">
        <f>+VLOOKUP(A333,#REF!,1,FALSE)</f>
        <v>#REF!</v>
      </c>
    </row>
    <row r="334" spans="1:25" ht="17.899999999999999" hidden="1" customHeight="1">
      <c r="A334" t="str">
        <f>+Table1[[#This Row],[Tabela]]&amp;Table1[[#This Row],[Campo]]</f>
        <v>PROPERTY_ENERGY_CERTIFICATEREN_ENERGY_PRODUCED_VALUE</v>
      </c>
      <c r="B334" s="2" t="s">
        <v>26</v>
      </c>
      <c r="C334" s="2" t="s">
        <v>54</v>
      </c>
      <c r="D334" s="2" t="s">
        <v>124</v>
      </c>
      <c r="E334" s="2" t="s">
        <v>38</v>
      </c>
      <c r="F334" s="2" t="s">
        <v>123</v>
      </c>
      <c r="G334" s="2" t="s">
        <v>160</v>
      </c>
      <c r="H334" s="56" t="str">
        <f>Table1[[#This Row],[Tabela]]&amp;Table1[[#This Row],[Campo]]</f>
        <v>PROPERTY_ENERGY_CERTIFICATEREN_ENERGY_PRODUCED_VALUE</v>
      </c>
      <c r="I334" s="2" t="s">
        <v>612</v>
      </c>
      <c r="J334" s="42">
        <f>VLOOKUP(Table1[[#This Row],[Status]],Auxiliar!$B$16:$C$24,2,0)</f>
        <v>1</v>
      </c>
      <c r="K334" s="2" t="s">
        <v>1169</v>
      </c>
      <c r="L334" s="28" t="s">
        <v>1166</v>
      </c>
      <c r="M334" s="20" t="s">
        <v>1175</v>
      </c>
      <c r="N334" s="47">
        <v>45612</v>
      </c>
      <c r="O334" s="20">
        <f>INDEX(Auxiliar!$D$5:$F$13,MATCH(Table1[[#This Row],[Tipologia_Testes]],Auxiliar!$B$5:$B$13,0),MATCH(Table1[[#This Row],[Complexidade]],Auxiliar!$D$4:$F$4,0))</f>
        <v>2</v>
      </c>
      <c r="P334" s="2"/>
      <c r="Q334" s="2"/>
      <c r="R334" s="151">
        <v>45616</v>
      </c>
      <c r="S334" s="151"/>
      <c r="T334" s="151"/>
      <c r="U334" s="151"/>
      <c r="V334" s="151">
        <v>45639</v>
      </c>
      <c r="W334" s="2">
        <f>VLOOKUP(Table1[[#This Row],[Status]],Auxiliar!$B$16:$D$24,3,0)*Table1[[#This Row],[Estimação (horas)]]</f>
        <v>2</v>
      </c>
      <c r="X334" s="165">
        <f>+VLOOKUP(CONCATENATE(Table1[[#This Row],[Tabela]],Table1[[#This Row],[Campo]]),'2. Status Detalhe Campos FY24'!A:J,9,FALSE)</f>
        <v>0</v>
      </c>
      <c r="Y334" s="491" t="e">
        <f>+VLOOKUP(A334,#REF!,1,FALSE)</f>
        <v>#REF!</v>
      </c>
    </row>
    <row r="335" spans="1:25" ht="17.899999999999999" hidden="1" customHeight="1">
      <c r="A335" t="str">
        <f>+Table1[[#This Row],[Tabela]]&amp;Table1[[#This Row],[Campo]]</f>
        <v>PROPERTY_ENERGY_CERTIFICATEREN_ENERGY_PRODUCED_VALUE</v>
      </c>
      <c r="B335" s="2" t="s">
        <v>26</v>
      </c>
      <c r="C335" s="2" t="s">
        <v>54</v>
      </c>
      <c r="D335" s="2" t="s">
        <v>124</v>
      </c>
      <c r="E335" s="2" t="s">
        <v>38</v>
      </c>
      <c r="F335" s="2" t="s">
        <v>123</v>
      </c>
      <c r="G335" s="2" t="s">
        <v>160</v>
      </c>
      <c r="H335" s="56" t="str">
        <f>Table1[[#This Row],[Tabela]]&amp;Table1[[#This Row],[Campo]]</f>
        <v>PROPERTY_ENERGY_CERTIFICATEREN_ENERGY_PRODUCED_VALUE</v>
      </c>
      <c r="I335" s="2" t="s">
        <v>612</v>
      </c>
      <c r="J335" s="42">
        <f>VLOOKUP(Table1[[#This Row],[Status]],Auxiliar!$B$16:$C$24,2,0)</f>
        <v>1</v>
      </c>
      <c r="K335" s="2" t="s">
        <v>1171</v>
      </c>
      <c r="L335" s="28" t="s">
        <v>1166</v>
      </c>
      <c r="M335" s="20" t="s">
        <v>1175</v>
      </c>
      <c r="N335" s="47">
        <v>45612</v>
      </c>
      <c r="O335" s="20">
        <f>INDEX(Auxiliar!$D$5:$F$13,MATCH(Table1[[#This Row],[Tipologia_Testes]],Auxiliar!$B$5:$B$13,0),MATCH(Table1[[#This Row],[Complexidade]],Auxiliar!$D$4:$F$4,0))</f>
        <v>0.1</v>
      </c>
      <c r="P335" s="2"/>
      <c r="Q335" s="2"/>
      <c r="R335" s="151">
        <v>45616</v>
      </c>
      <c r="S335" s="151"/>
      <c r="T335" s="151"/>
      <c r="U335" s="151"/>
      <c r="V335" s="151">
        <v>45639</v>
      </c>
      <c r="W335" s="2">
        <f>VLOOKUP(Table1[[#This Row],[Status]],Auxiliar!$B$16:$D$24,3,0)*Table1[[#This Row],[Estimação (horas)]]</f>
        <v>0.1</v>
      </c>
      <c r="X335" s="165">
        <f>+VLOOKUP(CONCATENATE(Table1[[#This Row],[Tabela]],Table1[[#This Row],[Campo]]),'2. Status Detalhe Campos FY24'!A:J,9,FALSE)</f>
        <v>0</v>
      </c>
      <c r="Y335" s="491" t="e">
        <f>+VLOOKUP(A335,#REF!,1,FALSE)</f>
        <v>#REF!</v>
      </c>
    </row>
    <row r="336" spans="1:25" ht="17.899999999999999" hidden="1" customHeight="1">
      <c r="A336" t="str">
        <f>+Table1[[#This Row],[Tabela]]&amp;Table1[[#This Row],[Campo]]</f>
        <v>PROPERTY_ENERGY_CERTIFICATEUSEFUL_ENERGY_DOM_HOTWATER_VALUE</v>
      </c>
      <c r="B336" s="2" t="s">
        <v>26</v>
      </c>
      <c r="C336" s="2" t="s">
        <v>54</v>
      </c>
      <c r="D336" s="2" t="s">
        <v>124</v>
      </c>
      <c r="E336" s="2" t="s">
        <v>38</v>
      </c>
      <c r="F336" s="2" t="s">
        <v>123</v>
      </c>
      <c r="G336" s="2" t="s">
        <v>161</v>
      </c>
      <c r="H336" s="56" t="str">
        <f>Table1[[#This Row],[Tabela]]&amp;Table1[[#This Row],[Campo]]</f>
        <v>PROPERTY_ENERGY_CERTIFICATEUSEFUL_ENERGY_DOM_HOTWATER_VALUE</v>
      </c>
      <c r="I336" s="2" t="s">
        <v>612</v>
      </c>
      <c r="J336" s="42">
        <f>VLOOKUP(Table1[[#This Row],[Status]],Auxiliar!$B$16:$C$24,2,0)</f>
        <v>1</v>
      </c>
      <c r="K336" s="2" t="s">
        <v>1168</v>
      </c>
      <c r="L336" s="28" t="s">
        <v>1166</v>
      </c>
      <c r="M336" s="20" t="s">
        <v>1175</v>
      </c>
      <c r="N336" s="47">
        <v>45485</v>
      </c>
      <c r="O336" s="20">
        <f>INDEX(Auxiliar!$D$5:$F$13,MATCH(Table1[[#This Row],[Tipologia_Testes]],Auxiliar!$B$5:$B$13,0),MATCH(Table1[[#This Row],[Complexidade]],Auxiliar!$D$4:$F$4,0))</f>
        <v>2</v>
      </c>
      <c r="P336" s="2" t="s">
        <v>1192</v>
      </c>
      <c r="Q336" s="2"/>
      <c r="R336" s="151">
        <v>45261</v>
      </c>
      <c r="S336" s="151"/>
      <c r="T336" s="151"/>
      <c r="U336" s="151"/>
      <c r="V336" s="151"/>
      <c r="W336" s="2">
        <f>VLOOKUP(Table1[[#This Row],[Status]],Auxiliar!$B$16:$D$24,3,0)*Table1[[#This Row],[Estimação (horas)]]</f>
        <v>2</v>
      </c>
      <c r="X336" s="165">
        <f>+VLOOKUP(CONCATENATE(Table1[[#This Row],[Tabela]],Table1[[#This Row],[Campo]]),'2. Status Detalhe Campos FY24'!A:J,9,FALSE)</f>
        <v>0</v>
      </c>
      <c r="Y336" s="491" t="e">
        <f>+VLOOKUP(A336,#REF!,1,FALSE)</f>
        <v>#REF!</v>
      </c>
    </row>
    <row r="337" spans="1:25" ht="17.899999999999999" hidden="1" customHeight="1">
      <c r="A337" t="str">
        <f>+Table1[[#This Row],[Tabela]]&amp;Table1[[#This Row],[Campo]]</f>
        <v>PROPERTY_ENERGY_CERTIFICATEUSEFUL_ENERGY_DOM_HOTWATER_VALUE</v>
      </c>
      <c r="B337" s="2" t="s">
        <v>26</v>
      </c>
      <c r="C337" s="2" t="s">
        <v>54</v>
      </c>
      <c r="D337" s="2" t="s">
        <v>124</v>
      </c>
      <c r="E337" s="2" t="s">
        <v>38</v>
      </c>
      <c r="F337" s="2" t="s">
        <v>123</v>
      </c>
      <c r="G337" s="2" t="s">
        <v>161</v>
      </c>
      <c r="H337" s="56" t="str">
        <f>Table1[[#This Row],[Tabela]]&amp;Table1[[#This Row],[Campo]]</f>
        <v>PROPERTY_ENERGY_CERTIFICATEUSEFUL_ENERGY_DOM_HOTWATER_VALUE</v>
      </c>
      <c r="I337" s="2" t="s">
        <v>612</v>
      </c>
      <c r="J337" s="42">
        <f>VLOOKUP(Table1[[#This Row],[Status]],Auxiliar!$B$16:$C$24,2,0)</f>
        <v>1</v>
      </c>
      <c r="K337" s="2" t="s">
        <v>1169</v>
      </c>
      <c r="L337" s="28" t="s">
        <v>1166</v>
      </c>
      <c r="M337" s="20" t="s">
        <v>1175</v>
      </c>
      <c r="N337" s="47">
        <v>45485</v>
      </c>
      <c r="O337" s="20">
        <f>INDEX(Auxiliar!$D$5:$F$13,MATCH(Table1[[#This Row],[Tipologia_Testes]],Auxiliar!$B$5:$B$13,0),MATCH(Table1[[#This Row],[Complexidade]],Auxiliar!$D$4:$F$4,0))</f>
        <v>2</v>
      </c>
      <c r="P337" s="2" t="s">
        <v>1192</v>
      </c>
      <c r="Q337" s="2"/>
      <c r="R337" s="151">
        <v>45261</v>
      </c>
      <c r="S337" s="151"/>
      <c r="T337" s="151"/>
      <c r="U337" s="151"/>
      <c r="V337" s="151"/>
      <c r="W337" s="2">
        <f>VLOOKUP(Table1[[#This Row],[Status]],Auxiliar!$B$16:$D$24,3,0)*Table1[[#This Row],[Estimação (horas)]]</f>
        <v>2</v>
      </c>
      <c r="X337" s="165">
        <f>+VLOOKUP(CONCATENATE(Table1[[#This Row],[Tabela]],Table1[[#This Row],[Campo]]),'2. Status Detalhe Campos FY24'!A:J,9,FALSE)</f>
        <v>0</v>
      </c>
      <c r="Y337" s="491" t="e">
        <f>+VLOOKUP(A337,#REF!,1,FALSE)</f>
        <v>#REF!</v>
      </c>
    </row>
    <row r="338" spans="1:25" ht="17.899999999999999" hidden="1" customHeight="1">
      <c r="A338" t="str">
        <f>+Table1[[#This Row],[Tabela]]&amp;Table1[[#This Row],[Campo]]</f>
        <v>PROPERTY_ENERGY_CERTIFICATEUSEFUL_ENERGY_DOM_HOTWATER_VALUE</v>
      </c>
      <c r="B338" s="2" t="s">
        <v>26</v>
      </c>
      <c r="C338" s="2" t="s">
        <v>54</v>
      </c>
      <c r="D338" s="2" t="s">
        <v>124</v>
      </c>
      <c r="E338" s="2" t="s">
        <v>38</v>
      </c>
      <c r="F338" s="2" t="s">
        <v>123</v>
      </c>
      <c r="G338" s="2" t="s">
        <v>161</v>
      </c>
      <c r="H338" s="56" t="str">
        <f>Table1[[#This Row],[Tabela]]&amp;Table1[[#This Row],[Campo]]</f>
        <v>PROPERTY_ENERGY_CERTIFICATEUSEFUL_ENERGY_DOM_HOTWATER_VALUE</v>
      </c>
      <c r="I338" s="2" t="s">
        <v>612</v>
      </c>
      <c r="J338" s="42">
        <f>VLOOKUP(Table1[[#This Row],[Status]],Auxiliar!$B$16:$C$24,2,0)</f>
        <v>1</v>
      </c>
      <c r="K338" s="2" t="s">
        <v>1171</v>
      </c>
      <c r="L338" s="28" t="s">
        <v>1166</v>
      </c>
      <c r="M338" s="20" t="s">
        <v>1175</v>
      </c>
      <c r="N338" s="47">
        <v>45485</v>
      </c>
      <c r="O338" s="20">
        <f>INDEX(Auxiliar!$D$5:$F$13,MATCH(Table1[[#This Row],[Tipologia_Testes]],Auxiliar!$B$5:$B$13,0),MATCH(Table1[[#This Row],[Complexidade]],Auxiliar!$D$4:$F$4,0))</f>
        <v>0.1</v>
      </c>
      <c r="P338" s="2" t="s">
        <v>1192</v>
      </c>
      <c r="Q338" s="2"/>
      <c r="R338" s="151">
        <v>45261</v>
      </c>
      <c r="S338" s="151"/>
      <c r="T338" s="151"/>
      <c r="U338" s="151"/>
      <c r="V338" s="151"/>
      <c r="W338" s="2">
        <f>VLOOKUP(Table1[[#This Row],[Status]],Auxiliar!$B$16:$D$24,3,0)*Table1[[#This Row],[Estimação (horas)]]</f>
        <v>0.1</v>
      </c>
      <c r="X338" s="165">
        <f>+VLOOKUP(CONCATENATE(Table1[[#This Row],[Tabela]],Table1[[#This Row],[Campo]]),'2. Status Detalhe Campos FY24'!A:J,9,FALSE)</f>
        <v>0</v>
      </c>
      <c r="Y338" s="491" t="e">
        <f>+VLOOKUP(A338,#REF!,1,FALSE)</f>
        <v>#REF!</v>
      </c>
    </row>
    <row r="339" spans="1:25" ht="17.899999999999999" hidden="1" customHeight="1">
      <c r="A339" t="str">
        <f>+Table1[[#This Row],[Tabela]]&amp;Table1[[#This Row],[Campo]]</f>
        <v>PROPERTY_ENERGY_CERTIFICATEUSEFUL_ENERGY_COOLING_VALUE</v>
      </c>
      <c r="B339" s="2" t="s">
        <v>26</v>
      </c>
      <c r="C339" s="2" t="s">
        <v>54</v>
      </c>
      <c r="D339" s="2" t="s">
        <v>124</v>
      </c>
      <c r="E339" s="2" t="s">
        <v>38</v>
      </c>
      <c r="F339" s="2" t="s">
        <v>123</v>
      </c>
      <c r="G339" s="2" t="s">
        <v>162</v>
      </c>
      <c r="H339" s="56" t="str">
        <f>Table1[[#This Row],[Tabela]]&amp;Table1[[#This Row],[Campo]]</f>
        <v>PROPERTY_ENERGY_CERTIFICATEUSEFUL_ENERGY_COOLING_VALUE</v>
      </c>
      <c r="I339" s="2" t="s">
        <v>612</v>
      </c>
      <c r="J339" s="42">
        <f>VLOOKUP(Table1[[#This Row],[Status]],Auxiliar!$B$16:$C$24,2,0)</f>
        <v>1</v>
      </c>
      <c r="K339" s="2" t="s">
        <v>1168</v>
      </c>
      <c r="L339" s="28" t="s">
        <v>1166</v>
      </c>
      <c r="M339" s="20" t="s">
        <v>1175</v>
      </c>
      <c r="N339" s="47">
        <v>45485</v>
      </c>
      <c r="O339" s="20">
        <f>INDEX(Auxiliar!$D$5:$F$13,MATCH(Table1[[#This Row],[Tipologia_Testes]],Auxiliar!$B$5:$B$13,0),MATCH(Table1[[#This Row],[Complexidade]],Auxiliar!$D$4:$F$4,0))</f>
        <v>2</v>
      </c>
      <c r="P339" s="2" t="s">
        <v>1192</v>
      </c>
      <c r="Q339" s="2"/>
      <c r="R339" s="151">
        <v>45261</v>
      </c>
      <c r="S339" s="151"/>
      <c r="T339" s="151"/>
      <c r="U339" s="151"/>
      <c r="V339" s="151"/>
      <c r="W339" s="2">
        <f>VLOOKUP(Table1[[#This Row],[Status]],Auxiliar!$B$16:$D$24,3,0)*Table1[[#This Row],[Estimação (horas)]]</f>
        <v>2</v>
      </c>
      <c r="X339" s="165">
        <f>+VLOOKUP(CONCATENATE(Table1[[#This Row],[Tabela]],Table1[[#This Row],[Campo]]),'2. Status Detalhe Campos FY24'!A:J,9,FALSE)</f>
        <v>0</v>
      </c>
      <c r="Y339" s="491" t="e">
        <f>+VLOOKUP(A339,#REF!,1,FALSE)</f>
        <v>#REF!</v>
      </c>
    </row>
    <row r="340" spans="1:25" ht="17.899999999999999" hidden="1" customHeight="1">
      <c r="A340" t="str">
        <f>+Table1[[#This Row],[Tabela]]&amp;Table1[[#This Row],[Campo]]</f>
        <v>PROPERTY_ENERGY_CERTIFICATEUSEFUL_ENERGY_COOLING_VALUE</v>
      </c>
      <c r="B340" s="2" t="s">
        <v>26</v>
      </c>
      <c r="C340" s="2" t="s">
        <v>54</v>
      </c>
      <c r="D340" s="2" t="s">
        <v>124</v>
      </c>
      <c r="E340" s="2" t="s">
        <v>38</v>
      </c>
      <c r="F340" s="2" t="s">
        <v>123</v>
      </c>
      <c r="G340" s="2" t="s">
        <v>162</v>
      </c>
      <c r="H340" s="56" t="str">
        <f>Table1[[#This Row],[Tabela]]&amp;Table1[[#This Row],[Campo]]</f>
        <v>PROPERTY_ENERGY_CERTIFICATEUSEFUL_ENERGY_COOLING_VALUE</v>
      </c>
      <c r="I340" s="2" t="s">
        <v>612</v>
      </c>
      <c r="J340" s="42">
        <f>VLOOKUP(Table1[[#This Row],[Status]],Auxiliar!$B$16:$C$24,2,0)</f>
        <v>1</v>
      </c>
      <c r="K340" s="2" t="s">
        <v>1169</v>
      </c>
      <c r="L340" s="28" t="s">
        <v>1166</v>
      </c>
      <c r="M340" s="20" t="s">
        <v>1175</v>
      </c>
      <c r="N340" s="47">
        <v>45485</v>
      </c>
      <c r="O340" s="20">
        <f>INDEX(Auxiliar!$D$5:$F$13,MATCH(Table1[[#This Row],[Tipologia_Testes]],Auxiliar!$B$5:$B$13,0),MATCH(Table1[[#This Row],[Complexidade]],Auxiliar!$D$4:$F$4,0))</f>
        <v>2</v>
      </c>
      <c r="P340" s="2" t="s">
        <v>1192</v>
      </c>
      <c r="Q340" s="2"/>
      <c r="R340" s="151">
        <v>45261</v>
      </c>
      <c r="S340" s="151"/>
      <c r="T340" s="151"/>
      <c r="U340" s="151"/>
      <c r="V340" s="151"/>
      <c r="W340" s="2">
        <f>VLOOKUP(Table1[[#This Row],[Status]],Auxiliar!$B$16:$D$24,3,0)*Table1[[#This Row],[Estimação (horas)]]</f>
        <v>2</v>
      </c>
      <c r="X340" s="165">
        <f>+VLOOKUP(CONCATENATE(Table1[[#This Row],[Tabela]],Table1[[#This Row],[Campo]]),'2. Status Detalhe Campos FY24'!A:J,9,FALSE)</f>
        <v>0</v>
      </c>
      <c r="Y340" s="491" t="e">
        <f>+VLOOKUP(A340,#REF!,1,FALSE)</f>
        <v>#REF!</v>
      </c>
    </row>
    <row r="341" spans="1:25" ht="17.899999999999999" hidden="1" customHeight="1">
      <c r="A341" t="str">
        <f>+Table1[[#This Row],[Tabela]]&amp;Table1[[#This Row],[Campo]]</f>
        <v>PROPERTY_ENERGY_CERTIFICATEUSEFUL_ENERGY_COOLING_VALUE</v>
      </c>
      <c r="B341" s="2" t="s">
        <v>26</v>
      </c>
      <c r="C341" s="2" t="s">
        <v>54</v>
      </c>
      <c r="D341" s="2" t="s">
        <v>124</v>
      </c>
      <c r="E341" s="2" t="s">
        <v>38</v>
      </c>
      <c r="F341" s="2" t="s">
        <v>123</v>
      </c>
      <c r="G341" s="2" t="s">
        <v>162</v>
      </c>
      <c r="H341" s="56" t="str">
        <f>Table1[[#This Row],[Tabela]]&amp;Table1[[#This Row],[Campo]]</f>
        <v>PROPERTY_ENERGY_CERTIFICATEUSEFUL_ENERGY_COOLING_VALUE</v>
      </c>
      <c r="I341" s="2" t="s">
        <v>612</v>
      </c>
      <c r="J341" s="42">
        <f>VLOOKUP(Table1[[#This Row],[Status]],Auxiliar!$B$16:$C$24,2,0)</f>
        <v>1</v>
      </c>
      <c r="K341" s="2" t="s">
        <v>1171</v>
      </c>
      <c r="L341" s="28" t="s">
        <v>1166</v>
      </c>
      <c r="M341" s="20" t="s">
        <v>1175</v>
      </c>
      <c r="N341" s="47">
        <v>45485</v>
      </c>
      <c r="O341" s="20">
        <f>INDEX(Auxiliar!$D$5:$F$13,MATCH(Table1[[#This Row],[Tipologia_Testes]],Auxiliar!$B$5:$B$13,0),MATCH(Table1[[#This Row],[Complexidade]],Auxiliar!$D$4:$F$4,0))</f>
        <v>0.1</v>
      </c>
      <c r="P341" s="2" t="s">
        <v>1192</v>
      </c>
      <c r="Q341" s="2"/>
      <c r="R341" s="151">
        <v>45261</v>
      </c>
      <c r="S341" s="151"/>
      <c r="T341" s="151"/>
      <c r="U341" s="151"/>
      <c r="V341" s="151"/>
      <c r="W341" s="2">
        <f>VLOOKUP(Table1[[#This Row],[Status]],Auxiliar!$B$16:$D$24,3,0)*Table1[[#This Row],[Estimação (horas)]]</f>
        <v>0.1</v>
      </c>
      <c r="X341" s="165">
        <f>+VLOOKUP(CONCATENATE(Table1[[#This Row],[Tabela]],Table1[[#This Row],[Campo]]),'2. Status Detalhe Campos FY24'!A:J,9,FALSE)</f>
        <v>0</v>
      </c>
      <c r="Y341" s="491" t="e">
        <f>+VLOOKUP(A341,#REF!,1,FALSE)</f>
        <v>#REF!</v>
      </c>
    </row>
    <row r="342" spans="1:25" ht="17.899999999999999" hidden="1" customHeight="1">
      <c r="A342" t="str">
        <f>+Table1[[#This Row],[Tabela]]&amp;Table1[[#This Row],[Campo]]</f>
        <v>PROPERTY_ENERGY_CERTIFICATETEMPERATURE_DAY_VALUE</v>
      </c>
      <c r="B342" s="2" t="s">
        <v>26</v>
      </c>
      <c r="C342" s="2" t="s">
        <v>54</v>
      </c>
      <c r="D342" s="2" t="s">
        <v>124</v>
      </c>
      <c r="E342" s="2" t="s">
        <v>38</v>
      </c>
      <c r="F342" s="2" t="s">
        <v>123</v>
      </c>
      <c r="G342" s="2" t="s">
        <v>163</v>
      </c>
      <c r="H342" s="56" t="str">
        <f>Table1[[#This Row],[Tabela]]&amp;Table1[[#This Row],[Campo]]</f>
        <v>PROPERTY_ENERGY_CERTIFICATETEMPERATURE_DAY_VALUE</v>
      </c>
      <c r="I342" s="2" t="s">
        <v>612</v>
      </c>
      <c r="J342" s="42">
        <f>VLOOKUP(Table1[[#This Row],[Status]],Auxiliar!$B$16:$C$24,2,0)</f>
        <v>1</v>
      </c>
      <c r="K342" s="2" t="s">
        <v>1168</v>
      </c>
      <c r="L342" s="28" t="s">
        <v>1166</v>
      </c>
      <c r="M342" s="20" t="s">
        <v>1175</v>
      </c>
      <c r="N342" s="47">
        <v>45485</v>
      </c>
      <c r="O342" s="20">
        <f>INDEX(Auxiliar!$D$5:$F$13,MATCH(Table1[[#This Row],[Tipologia_Testes]],Auxiliar!$B$5:$B$13,0),MATCH(Table1[[#This Row],[Complexidade]],Auxiliar!$D$4:$F$4,0))</f>
        <v>2</v>
      </c>
      <c r="P342" s="2" t="s">
        <v>1192</v>
      </c>
      <c r="Q342" s="2"/>
      <c r="R342" s="151">
        <v>45261</v>
      </c>
      <c r="S342" s="151"/>
      <c r="T342" s="151"/>
      <c r="U342" s="151"/>
      <c r="V342" s="151"/>
      <c r="W342" s="2">
        <f>VLOOKUP(Table1[[#This Row],[Status]],Auxiliar!$B$16:$D$24,3,0)*Table1[[#This Row],[Estimação (horas)]]</f>
        <v>2</v>
      </c>
      <c r="X342" s="165">
        <f>+VLOOKUP(CONCATENATE(Table1[[#This Row],[Tabela]],Table1[[#This Row],[Campo]]),'2. Status Detalhe Campos FY24'!A:J,9,FALSE)</f>
        <v>0</v>
      </c>
      <c r="Y342" s="491" t="e">
        <f>+VLOOKUP(A342,#REF!,1,FALSE)</f>
        <v>#REF!</v>
      </c>
    </row>
    <row r="343" spans="1:25" ht="17.899999999999999" hidden="1" customHeight="1">
      <c r="A343" t="str">
        <f>+Table1[[#This Row],[Tabela]]&amp;Table1[[#This Row],[Campo]]</f>
        <v>PROPERTY_ENERGY_CERTIFICATETEMPERATURE_DAY_VALUE</v>
      </c>
      <c r="B343" s="2" t="s">
        <v>26</v>
      </c>
      <c r="C343" s="2" t="s">
        <v>54</v>
      </c>
      <c r="D343" s="2" t="s">
        <v>124</v>
      </c>
      <c r="E343" s="2" t="s">
        <v>38</v>
      </c>
      <c r="F343" s="2" t="s">
        <v>123</v>
      </c>
      <c r="G343" s="2" t="s">
        <v>163</v>
      </c>
      <c r="H343" s="56" t="str">
        <f>Table1[[#This Row],[Tabela]]&amp;Table1[[#This Row],[Campo]]</f>
        <v>PROPERTY_ENERGY_CERTIFICATETEMPERATURE_DAY_VALUE</v>
      </c>
      <c r="I343" s="2" t="s">
        <v>612</v>
      </c>
      <c r="J343" s="42">
        <f>VLOOKUP(Table1[[#This Row],[Status]],Auxiliar!$B$16:$C$24,2,0)</f>
        <v>1</v>
      </c>
      <c r="K343" s="2" t="s">
        <v>1169</v>
      </c>
      <c r="L343" s="28" t="s">
        <v>1166</v>
      </c>
      <c r="M343" s="20" t="s">
        <v>1175</v>
      </c>
      <c r="N343" s="47">
        <v>45485</v>
      </c>
      <c r="O343" s="20">
        <f>INDEX(Auxiliar!$D$5:$F$13,MATCH(Table1[[#This Row],[Tipologia_Testes]],Auxiliar!$B$5:$B$13,0),MATCH(Table1[[#This Row],[Complexidade]],Auxiliar!$D$4:$F$4,0))</f>
        <v>2</v>
      </c>
      <c r="P343" s="2" t="s">
        <v>1192</v>
      </c>
      <c r="Q343" s="2"/>
      <c r="R343" s="151">
        <v>45261</v>
      </c>
      <c r="S343" s="151"/>
      <c r="T343" s="151"/>
      <c r="U343" s="151"/>
      <c r="V343" s="151"/>
      <c r="W343" s="2">
        <f>VLOOKUP(Table1[[#This Row],[Status]],Auxiliar!$B$16:$D$24,3,0)*Table1[[#This Row],[Estimação (horas)]]</f>
        <v>2</v>
      </c>
      <c r="X343" s="165">
        <f>+VLOOKUP(CONCATENATE(Table1[[#This Row],[Tabela]],Table1[[#This Row],[Campo]]),'2. Status Detalhe Campos FY24'!A:J,9,FALSE)</f>
        <v>0</v>
      </c>
      <c r="Y343" s="491" t="e">
        <f>+VLOOKUP(A343,#REF!,1,FALSE)</f>
        <v>#REF!</v>
      </c>
    </row>
    <row r="344" spans="1:25" ht="17.899999999999999" hidden="1" customHeight="1">
      <c r="A344" t="str">
        <f>+Table1[[#This Row],[Tabela]]&amp;Table1[[#This Row],[Campo]]</f>
        <v>PROPERTY_ENERGY_CERTIFICATETEMPERATURE_DAY_VALUE</v>
      </c>
      <c r="B344" s="2" t="s">
        <v>26</v>
      </c>
      <c r="C344" s="2" t="s">
        <v>54</v>
      </c>
      <c r="D344" s="2" t="s">
        <v>124</v>
      </c>
      <c r="E344" s="2" t="s">
        <v>38</v>
      </c>
      <c r="F344" s="2" t="s">
        <v>123</v>
      </c>
      <c r="G344" s="2" t="s">
        <v>163</v>
      </c>
      <c r="H344" s="56" t="str">
        <f>Table1[[#This Row],[Tabela]]&amp;Table1[[#This Row],[Campo]]</f>
        <v>PROPERTY_ENERGY_CERTIFICATETEMPERATURE_DAY_VALUE</v>
      </c>
      <c r="I344" s="2" t="s">
        <v>612</v>
      </c>
      <c r="J344" s="42">
        <f>VLOOKUP(Table1[[#This Row],[Status]],Auxiliar!$B$16:$C$24,2,0)</f>
        <v>1</v>
      </c>
      <c r="K344" s="2" t="s">
        <v>1171</v>
      </c>
      <c r="L344" s="28" t="s">
        <v>1166</v>
      </c>
      <c r="M344" s="20" t="s">
        <v>1175</v>
      </c>
      <c r="N344" s="47">
        <v>45485</v>
      </c>
      <c r="O344" s="20">
        <f>INDEX(Auxiliar!$D$5:$F$13,MATCH(Table1[[#This Row],[Tipologia_Testes]],Auxiliar!$B$5:$B$13,0),MATCH(Table1[[#This Row],[Complexidade]],Auxiliar!$D$4:$F$4,0))</f>
        <v>0.1</v>
      </c>
      <c r="P344" s="2" t="s">
        <v>1192</v>
      </c>
      <c r="Q344" s="2"/>
      <c r="R344" s="151">
        <v>45261</v>
      </c>
      <c r="S344" s="151"/>
      <c r="T344" s="151"/>
      <c r="U344" s="151"/>
      <c r="V344" s="151"/>
      <c r="W344" s="2">
        <f>VLOOKUP(Table1[[#This Row],[Status]],Auxiliar!$B$16:$D$24,3,0)*Table1[[#This Row],[Estimação (horas)]]</f>
        <v>0.1</v>
      </c>
      <c r="X344" s="165">
        <f>+VLOOKUP(CONCATENATE(Table1[[#This Row],[Tabela]],Table1[[#This Row],[Campo]]),'2. Status Detalhe Campos FY24'!A:J,9,FALSE)</f>
        <v>0</v>
      </c>
      <c r="Y344" s="491" t="e">
        <f>+VLOOKUP(A344,#REF!,1,FALSE)</f>
        <v>#REF!</v>
      </c>
    </row>
    <row r="345" spans="1:25" ht="17.899999999999999" hidden="1" customHeight="1">
      <c r="A345" t="str">
        <f>+Table1[[#This Row],[Tabela]]&amp;Table1[[#This Row],[Campo]]</f>
        <v>PROPERTY_ENERGY_CERTIFICATEPRIMARY_ENERGY_REQ_VALUE</v>
      </c>
      <c r="B345" s="2" t="s">
        <v>26</v>
      </c>
      <c r="C345" s="2" t="s">
        <v>54</v>
      </c>
      <c r="D345" s="2" t="s">
        <v>124</v>
      </c>
      <c r="E345" s="2" t="s">
        <v>38</v>
      </c>
      <c r="F345" s="2" t="s">
        <v>123</v>
      </c>
      <c r="G345" s="2" t="s">
        <v>164</v>
      </c>
      <c r="H345" s="56" t="str">
        <f>Table1[[#This Row],[Tabela]]&amp;Table1[[#This Row],[Campo]]</f>
        <v>PROPERTY_ENERGY_CERTIFICATEPRIMARY_ENERGY_REQ_VALUE</v>
      </c>
      <c r="I345" s="2" t="s">
        <v>612</v>
      </c>
      <c r="J345" s="42">
        <f>VLOOKUP(Table1[[#This Row],[Status]],Auxiliar!$B$16:$C$24,2,0)</f>
        <v>1</v>
      </c>
      <c r="K345" s="2" t="s">
        <v>1168</v>
      </c>
      <c r="L345" s="28" t="s">
        <v>1166</v>
      </c>
      <c r="M345" s="20" t="s">
        <v>1175</v>
      </c>
      <c r="N345" s="47">
        <v>45612</v>
      </c>
      <c r="O345" s="20">
        <f>INDEX(Auxiliar!$D$5:$F$13,MATCH(Table1[[#This Row],[Tipologia_Testes]],Auxiliar!$B$5:$B$13,0),MATCH(Table1[[#This Row],[Complexidade]],Auxiliar!$D$4:$F$4,0))</f>
        <v>2</v>
      </c>
      <c r="P345" s="2"/>
      <c r="Q345" s="2"/>
      <c r="R345" s="151">
        <v>45616</v>
      </c>
      <c r="S345" s="151"/>
      <c r="T345" s="151"/>
      <c r="U345" s="151"/>
      <c r="V345" s="151">
        <v>45639</v>
      </c>
      <c r="W345" s="2">
        <f>VLOOKUP(Table1[[#This Row],[Status]],Auxiliar!$B$16:$D$24,3,0)*Table1[[#This Row],[Estimação (horas)]]</f>
        <v>2</v>
      </c>
      <c r="X345" s="165">
        <f>+VLOOKUP(CONCATENATE(Table1[[#This Row],[Tabela]],Table1[[#This Row],[Campo]]),'2. Status Detalhe Campos FY24'!A:J,9,FALSE)</f>
        <v>0</v>
      </c>
      <c r="Y345" s="491" t="e">
        <f>+VLOOKUP(A345,#REF!,1,FALSE)</f>
        <v>#REF!</v>
      </c>
    </row>
    <row r="346" spans="1:25" ht="17.899999999999999" hidden="1" customHeight="1">
      <c r="A346" t="str">
        <f>+Table1[[#This Row],[Tabela]]&amp;Table1[[#This Row],[Campo]]</f>
        <v>PROPERTY_ENERGY_CERTIFICATEPRIMARY_ENERGY_REQ_VALUE</v>
      </c>
      <c r="B346" s="2" t="s">
        <v>26</v>
      </c>
      <c r="C346" s="2" t="s">
        <v>54</v>
      </c>
      <c r="D346" s="2" t="s">
        <v>124</v>
      </c>
      <c r="E346" s="2" t="s">
        <v>38</v>
      </c>
      <c r="F346" s="2" t="s">
        <v>123</v>
      </c>
      <c r="G346" s="2" t="s">
        <v>164</v>
      </c>
      <c r="H346" s="56" t="str">
        <f>Table1[[#This Row],[Tabela]]&amp;Table1[[#This Row],[Campo]]</f>
        <v>PROPERTY_ENERGY_CERTIFICATEPRIMARY_ENERGY_REQ_VALUE</v>
      </c>
      <c r="I346" s="2" t="s">
        <v>612</v>
      </c>
      <c r="J346" s="42">
        <f>VLOOKUP(Table1[[#This Row],[Status]],Auxiliar!$B$16:$C$24,2,0)</f>
        <v>1</v>
      </c>
      <c r="K346" s="2" t="s">
        <v>1169</v>
      </c>
      <c r="L346" s="28" t="s">
        <v>1166</v>
      </c>
      <c r="M346" s="20" t="s">
        <v>1175</v>
      </c>
      <c r="N346" s="47">
        <v>45612</v>
      </c>
      <c r="O346" s="20">
        <f>INDEX(Auxiliar!$D$5:$F$13,MATCH(Table1[[#This Row],[Tipologia_Testes]],Auxiliar!$B$5:$B$13,0),MATCH(Table1[[#This Row],[Complexidade]],Auxiliar!$D$4:$F$4,0))</f>
        <v>2</v>
      </c>
      <c r="P346" s="2"/>
      <c r="Q346" s="2"/>
      <c r="R346" s="151">
        <v>45616</v>
      </c>
      <c r="S346" s="151"/>
      <c r="T346" s="151"/>
      <c r="U346" s="151"/>
      <c r="V346" s="151">
        <v>45639</v>
      </c>
      <c r="W346" s="2">
        <f>VLOOKUP(Table1[[#This Row],[Status]],Auxiliar!$B$16:$D$24,3,0)*Table1[[#This Row],[Estimação (horas)]]</f>
        <v>2</v>
      </c>
      <c r="X346" s="165">
        <f>+VLOOKUP(CONCATENATE(Table1[[#This Row],[Tabela]],Table1[[#This Row],[Campo]]),'2. Status Detalhe Campos FY24'!A:J,9,FALSE)</f>
        <v>0</v>
      </c>
      <c r="Y346" s="491" t="e">
        <f>+VLOOKUP(A346,#REF!,1,FALSE)</f>
        <v>#REF!</v>
      </c>
    </row>
    <row r="347" spans="1:25" ht="17.899999999999999" hidden="1" customHeight="1">
      <c r="A347" t="str">
        <f>+Table1[[#This Row],[Tabela]]&amp;Table1[[#This Row],[Campo]]</f>
        <v>PROPERTY_ENERGY_CERTIFICATEPRIMARY_ENERGY_REQ_VALUE</v>
      </c>
      <c r="B347" s="2" t="s">
        <v>26</v>
      </c>
      <c r="C347" s="2" t="s">
        <v>54</v>
      </c>
      <c r="D347" s="2" t="s">
        <v>124</v>
      </c>
      <c r="E347" s="2" t="s">
        <v>38</v>
      </c>
      <c r="F347" s="2" t="s">
        <v>123</v>
      </c>
      <c r="G347" s="2" t="s">
        <v>164</v>
      </c>
      <c r="H347" s="56" t="str">
        <f>Table1[[#This Row],[Tabela]]&amp;Table1[[#This Row],[Campo]]</f>
        <v>PROPERTY_ENERGY_CERTIFICATEPRIMARY_ENERGY_REQ_VALUE</v>
      </c>
      <c r="I347" s="2" t="s">
        <v>612</v>
      </c>
      <c r="J347" s="42">
        <f>VLOOKUP(Table1[[#This Row],[Status]],Auxiliar!$B$16:$C$24,2,0)</f>
        <v>1</v>
      </c>
      <c r="K347" s="2" t="s">
        <v>1171</v>
      </c>
      <c r="L347" s="28" t="s">
        <v>1166</v>
      </c>
      <c r="M347" s="20" t="s">
        <v>1175</v>
      </c>
      <c r="N347" s="47">
        <v>45612</v>
      </c>
      <c r="O347" s="20">
        <f>INDEX(Auxiliar!$D$5:$F$13,MATCH(Table1[[#This Row],[Tipologia_Testes]],Auxiliar!$B$5:$B$13,0),MATCH(Table1[[#This Row],[Complexidade]],Auxiliar!$D$4:$F$4,0))</f>
        <v>0.1</v>
      </c>
      <c r="P347" s="2"/>
      <c r="Q347" s="2"/>
      <c r="R347" s="151">
        <v>45616</v>
      </c>
      <c r="S347" s="151"/>
      <c r="T347" s="151"/>
      <c r="U347" s="151"/>
      <c r="V347" s="151">
        <v>45639</v>
      </c>
      <c r="W347" s="2">
        <f>VLOOKUP(Table1[[#This Row],[Status]],Auxiliar!$B$16:$D$24,3,0)*Table1[[#This Row],[Estimação (horas)]]</f>
        <v>0.1</v>
      </c>
      <c r="X347" s="165">
        <f>+VLOOKUP(CONCATENATE(Table1[[#This Row],[Tabela]],Table1[[#This Row],[Campo]]),'2. Status Detalhe Campos FY24'!A:J,9,FALSE)</f>
        <v>0</v>
      </c>
      <c r="Y347" s="491" t="e">
        <f>+VLOOKUP(A347,#REF!,1,FALSE)</f>
        <v>#REF!</v>
      </c>
    </row>
    <row r="348" spans="1:25" ht="17.899999999999999" hidden="1" customHeight="1">
      <c r="A348" t="str">
        <f>+Table1[[#This Row],[Tabela]]&amp;Table1[[#This Row],[Campo]]</f>
        <v>PROPERTY_ENERGY_CERTIFICATEUSEFUL_ENERGY_HEATING_REQ_VALUE</v>
      </c>
      <c r="B348" s="2" t="s">
        <v>26</v>
      </c>
      <c r="C348" s="2" t="s">
        <v>54</v>
      </c>
      <c r="D348" s="2" t="s">
        <v>124</v>
      </c>
      <c r="E348" s="2" t="s">
        <v>38</v>
      </c>
      <c r="F348" s="2" t="s">
        <v>123</v>
      </c>
      <c r="G348" s="2" t="s">
        <v>165</v>
      </c>
      <c r="H348" s="56" t="str">
        <f>Table1[[#This Row],[Tabela]]&amp;Table1[[#This Row],[Campo]]</f>
        <v>PROPERTY_ENERGY_CERTIFICATEUSEFUL_ENERGY_HEATING_REQ_VALUE</v>
      </c>
      <c r="I348" s="2" t="s">
        <v>612</v>
      </c>
      <c r="J348" s="42">
        <f>VLOOKUP(Table1[[#This Row],[Status]],Auxiliar!$B$16:$C$24,2,0)</f>
        <v>1</v>
      </c>
      <c r="K348" s="2" t="s">
        <v>1168</v>
      </c>
      <c r="L348" s="28" t="s">
        <v>1166</v>
      </c>
      <c r="M348" s="20" t="s">
        <v>1175</v>
      </c>
      <c r="N348" s="47">
        <v>45485</v>
      </c>
      <c r="O348" s="20">
        <f>INDEX(Auxiliar!$D$5:$F$13,MATCH(Table1[[#This Row],[Tipologia_Testes]],Auxiliar!$B$5:$B$13,0),MATCH(Table1[[#This Row],[Complexidade]],Auxiliar!$D$4:$F$4,0))</f>
        <v>2</v>
      </c>
      <c r="P348" s="2" t="s">
        <v>1192</v>
      </c>
      <c r="Q348" s="2"/>
      <c r="R348" s="151">
        <v>45261</v>
      </c>
      <c r="S348" s="151"/>
      <c r="T348" s="151"/>
      <c r="U348" s="151"/>
      <c r="V348" s="151"/>
      <c r="W348" s="2">
        <f>VLOOKUP(Table1[[#This Row],[Status]],Auxiliar!$B$16:$D$24,3,0)*Table1[[#This Row],[Estimação (horas)]]</f>
        <v>2</v>
      </c>
      <c r="X348" s="165">
        <f>+VLOOKUP(CONCATENATE(Table1[[#This Row],[Tabela]],Table1[[#This Row],[Campo]]),'2. Status Detalhe Campos FY24'!A:J,9,FALSE)</f>
        <v>0</v>
      </c>
      <c r="Y348" s="491" t="e">
        <f>+VLOOKUP(A348,#REF!,1,FALSE)</f>
        <v>#REF!</v>
      </c>
    </row>
    <row r="349" spans="1:25" ht="17.899999999999999" hidden="1" customHeight="1">
      <c r="A349" t="str">
        <f>+Table1[[#This Row],[Tabela]]&amp;Table1[[#This Row],[Campo]]</f>
        <v>PROPERTY_ENERGY_CERTIFICATEUSEFUL_ENERGY_HEATING_REQ_VALUE</v>
      </c>
      <c r="B349" s="2" t="s">
        <v>26</v>
      </c>
      <c r="C349" s="2" t="s">
        <v>54</v>
      </c>
      <c r="D349" s="2" t="s">
        <v>124</v>
      </c>
      <c r="E349" s="2" t="s">
        <v>38</v>
      </c>
      <c r="F349" s="2" t="s">
        <v>123</v>
      </c>
      <c r="G349" s="2" t="s">
        <v>165</v>
      </c>
      <c r="H349" s="56" t="str">
        <f>Table1[[#This Row],[Tabela]]&amp;Table1[[#This Row],[Campo]]</f>
        <v>PROPERTY_ENERGY_CERTIFICATEUSEFUL_ENERGY_HEATING_REQ_VALUE</v>
      </c>
      <c r="I349" s="2" t="s">
        <v>612</v>
      </c>
      <c r="J349" s="42">
        <f>VLOOKUP(Table1[[#This Row],[Status]],Auxiliar!$B$16:$C$24,2,0)</f>
        <v>1</v>
      </c>
      <c r="K349" s="2" t="s">
        <v>1169</v>
      </c>
      <c r="L349" s="28" t="s">
        <v>1166</v>
      </c>
      <c r="M349" s="20" t="s">
        <v>1175</v>
      </c>
      <c r="N349" s="47">
        <v>45485</v>
      </c>
      <c r="O349" s="20">
        <f>INDEX(Auxiliar!$D$5:$F$13,MATCH(Table1[[#This Row],[Tipologia_Testes]],Auxiliar!$B$5:$B$13,0),MATCH(Table1[[#This Row],[Complexidade]],Auxiliar!$D$4:$F$4,0))</f>
        <v>2</v>
      </c>
      <c r="P349" s="2" t="s">
        <v>1192</v>
      </c>
      <c r="Q349" s="2"/>
      <c r="R349" s="151">
        <v>45261</v>
      </c>
      <c r="S349" s="151"/>
      <c r="T349" s="151"/>
      <c r="U349" s="151"/>
      <c r="V349" s="151"/>
      <c r="W349" s="2">
        <f>VLOOKUP(Table1[[#This Row],[Status]],Auxiliar!$B$16:$D$24,3,0)*Table1[[#This Row],[Estimação (horas)]]</f>
        <v>2</v>
      </c>
      <c r="X349" s="165">
        <f>+VLOOKUP(CONCATENATE(Table1[[#This Row],[Tabela]],Table1[[#This Row],[Campo]]),'2. Status Detalhe Campos FY24'!A:J,9,FALSE)</f>
        <v>0</v>
      </c>
      <c r="Y349" s="491" t="e">
        <f>+VLOOKUP(A349,#REF!,1,FALSE)</f>
        <v>#REF!</v>
      </c>
    </row>
    <row r="350" spans="1:25" ht="17.899999999999999" hidden="1" customHeight="1">
      <c r="A350" t="str">
        <f>+Table1[[#This Row],[Tabela]]&amp;Table1[[#This Row],[Campo]]</f>
        <v>PROPERTY_ENERGY_CERTIFICATEUSEFUL_ENERGY_HEATING_REQ_VALUE</v>
      </c>
      <c r="B350" s="2" t="s">
        <v>26</v>
      </c>
      <c r="C350" s="2" t="s">
        <v>54</v>
      </c>
      <c r="D350" s="2" t="s">
        <v>124</v>
      </c>
      <c r="E350" s="2" t="s">
        <v>38</v>
      </c>
      <c r="F350" s="2" t="s">
        <v>123</v>
      </c>
      <c r="G350" s="2" t="s">
        <v>165</v>
      </c>
      <c r="H350" s="56" t="str">
        <f>Table1[[#This Row],[Tabela]]&amp;Table1[[#This Row],[Campo]]</f>
        <v>PROPERTY_ENERGY_CERTIFICATEUSEFUL_ENERGY_HEATING_REQ_VALUE</v>
      </c>
      <c r="I350" s="2" t="s">
        <v>612</v>
      </c>
      <c r="J350" s="42">
        <f>VLOOKUP(Table1[[#This Row],[Status]],Auxiliar!$B$16:$C$24,2,0)</f>
        <v>1</v>
      </c>
      <c r="K350" s="2" t="s">
        <v>1171</v>
      </c>
      <c r="L350" s="28" t="s">
        <v>1166</v>
      </c>
      <c r="M350" s="20" t="s">
        <v>1175</v>
      </c>
      <c r="N350" s="47">
        <v>45485</v>
      </c>
      <c r="O350" s="20">
        <f>INDEX(Auxiliar!$D$5:$F$13,MATCH(Table1[[#This Row],[Tipologia_Testes]],Auxiliar!$B$5:$B$13,0),MATCH(Table1[[#This Row],[Complexidade]],Auxiliar!$D$4:$F$4,0))</f>
        <v>0.1</v>
      </c>
      <c r="P350" s="2" t="s">
        <v>1192</v>
      </c>
      <c r="Q350" s="2"/>
      <c r="R350" s="151">
        <v>45261</v>
      </c>
      <c r="S350" s="151"/>
      <c r="T350" s="151"/>
      <c r="U350" s="151"/>
      <c r="V350" s="151"/>
      <c r="W350" s="2">
        <f>VLOOKUP(Table1[[#This Row],[Status]],Auxiliar!$B$16:$D$24,3,0)*Table1[[#This Row],[Estimação (horas)]]</f>
        <v>0.1</v>
      </c>
      <c r="X350" s="165">
        <f>+VLOOKUP(CONCATENATE(Table1[[#This Row],[Tabela]],Table1[[#This Row],[Campo]]),'2. Status Detalhe Campos FY24'!A:J,9,FALSE)</f>
        <v>0</v>
      </c>
      <c r="Y350" s="491" t="e">
        <f>+VLOOKUP(A350,#REF!,1,FALSE)</f>
        <v>#REF!</v>
      </c>
    </row>
    <row r="351" spans="1:25" ht="17.899999999999999" hidden="1" customHeight="1">
      <c r="A351" t="str">
        <f>+Table1[[#This Row],[Tabela]]&amp;Table1[[#This Row],[Campo]]</f>
        <v>PROPERTY_ENERGY_CERTIFICATEPNL_WINTER_WALLS_DOORS_VALUE</v>
      </c>
      <c r="B351" s="2" t="s">
        <v>26</v>
      </c>
      <c r="C351" s="2" t="s">
        <v>54</v>
      </c>
      <c r="D351" s="2" t="s">
        <v>124</v>
      </c>
      <c r="E351" s="2" t="s">
        <v>38</v>
      </c>
      <c r="F351" s="2" t="s">
        <v>123</v>
      </c>
      <c r="G351" s="2" t="s">
        <v>166</v>
      </c>
      <c r="H351" s="56" t="str">
        <f>Table1[[#This Row],[Tabela]]&amp;Table1[[#This Row],[Campo]]</f>
        <v>PROPERTY_ENERGY_CERTIFICATEPNL_WINTER_WALLS_DOORS_VALUE</v>
      </c>
      <c r="I351" s="2" t="s">
        <v>612</v>
      </c>
      <c r="J351" s="42">
        <f>VLOOKUP(Table1[[#This Row],[Status]],Auxiliar!$B$16:$C$24,2,0)</f>
        <v>1</v>
      </c>
      <c r="K351" s="2" t="s">
        <v>1168</v>
      </c>
      <c r="L351" s="28" t="s">
        <v>1166</v>
      </c>
      <c r="M351" s="20" t="s">
        <v>1175</v>
      </c>
      <c r="N351" s="47">
        <v>45485</v>
      </c>
      <c r="O351" s="20">
        <f>INDEX(Auxiliar!$D$5:$F$13,MATCH(Table1[[#This Row],[Tipologia_Testes]],Auxiliar!$B$5:$B$13,0),MATCH(Table1[[#This Row],[Complexidade]],Auxiliar!$D$4:$F$4,0))</f>
        <v>2</v>
      </c>
      <c r="P351" s="2" t="s">
        <v>1192</v>
      </c>
      <c r="Q351" s="2"/>
      <c r="R351" s="151">
        <v>45261</v>
      </c>
      <c r="S351" s="151"/>
      <c r="T351" s="151"/>
      <c r="U351" s="151"/>
      <c r="V351" s="151"/>
      <c r="W351" s="2">
        <f>VLOOKUP(Table1[[#This Row],[Status]],Auxiliar!$B$16:$D$24,3,0)*Table1[[#This Row],[Estimação (horas)]]</f>
        <v>2</v>
      </c>
      <c r="X351" s="165">
        <f>+VLOOKUP(CONCATENATE(Table1[[#This Row],[Tabela]],Table1[[#This Row],[Campo]]),'2. Status Detalhe Campos FY24'!A:J,9,FALSE)</f>
        <v>0</v>
      </c>
      <c r="Y351" s="491" t="e">
        <f>+VLOOKUP(A351,#REF!,1,FALSE)</f>
        <v>#REF!</v>
      </c>
    </row>
    <row r="352" spans="1:25" ht="17.899999999999999" hidden="1" customHeight="1">
      <c r="A352" t="str">
        <f>+Table1[[#This Row],[Tabela]]&amp;Table1[[#This Row],[Campo]]</f>
        <v>PROPERTY_ENERGY_CERTIFICATEPNL_WINTER_WALLS_DOORS_VALUE</v>
      </c>
      <c r="B352" s="2" t="s">
        <v>26</v>
      </c>
      <c r="C352" s="2" t="s">
        <v>54</v>
      </c>
      <c r="D352" s="2" t="s">
        <v>124</v>
      </c>
      <c r="E352" s="2" t="s">
        <v>38</v>
      </c>
      <c r="F352" s="2" t="s">
        <v>123</v>
      </c>
      <c r="G352" s="2" t="s">
        <v>166</v>
      </c>
      <c r="H352" s="56" t="str">
        <f>Table1[[#This Row],[Tabela]]&amp;Table1[[#This Row],[Campo]]</f>
        <v>PROPERTY_ENERGY_CERTIFICATEPNL_WINTER_WALLS_DOORS_VALUE</v>
      </c>
      <c r="I352" s="2" t="s">
        <v>612</v>
      </c>
      <c r="J352" s="42">
        <f>VLOOKUP(Table1[[#This Row],[Status]],Auxiliar!$B$16:$C$24,2,0)</f>
        <v>1</v>
      </c>
      <c r="K352" s="2" t="s">
        <v>1169</v>
      </c>
      <c r="L352" s="28" t="s">
        <v>1166</v>
      </c>
      <c r="M352" s="20" t="s">
        <v>1175</v>
      </c>
      <c r="N352" s="47">
        <v>45485</v>
      </c>
      <c r="O352" s="20">
        <f>INDEX(Auxiliar!$D$5:$F$13,MATCH(Table1[[#This Row],[Tipologia_Testes]],Auxiliar!$B$5:$B$13,0),MATCH(Table1[[#This Row],[Complexidade]],Auxiliar!$D$4:$F$4,0))</f>
        <v>2</v>
      </c>
      <c r="P352" s="2" t="s">
        <v>1192</v>
      </c>
      <c r="Q352" s="2"/>
      <c r="R352" s="151">
        <v>45261</v>
      </c>
      <c r="S352" s="151"/>
      <c r="T352" s="151"/>
      <c r="U352" s="151"/>
      <c r="V352" s="151"/>
      <c r="W352" s="2">
        <f>VLOOKUP(Table1[[#This Row],[Status]],Auxiliar!$B$16:$D$24,3,0)*Table1[[#This Row],[Estimação (horas)]]</f>
        <v>2</v>
      </c>
      <c r="X352" s="165">
        <f>+VLOOKUP(CONCATENATE(Table1[[#This Row],[Tabela]],Table1[[#This Row],[Campo]]),'2. Status Detalhe Campos FY24'!A:J,9,FALSE)</f>
        <v>0</v>
      </c>
      <c r="Y352" s="491" t="e">
        <f>+VLOOKUP(A352,#REF!,1,FALSE)</f>
        <v>#REF!</v>
      </c>
    </row>
    <row r="353" spans="1:25" ht="17.899999999999999" hidden="1" customHeight="1">
      <c r="A353" t="str">
        <f>+Table1[[#This Row],[Tabela]]&amp;Table1[[#This Row],[Campo]]</f>
        <v>PROPERTY_ENERGY_CERTIFICATEPNL_WINTER_WALLS_DOORS_VALUE</v>
      </c>
      <c r="B353" s="2" t="s">
        <v>26</v>
      </c>
      <c r="C353" s="2" t="s">
        <v>54</v>
      </c>
      <c r="D353" s="2" t="s">
        <v>124</v>
      </c>
      <c r="E353" s="2" t="s">
        <v>38</v>
      </c>
      <c r="F353" s="2" t="s">
        <v>123</v>
      </c>
      <c r="G353" s="2" t="s">
        <v>166</v>
      </c>
      <c r="H353" s="56" t="str">
        <f>Table1[[#This Row],[Tabela]]&amp;Table1[[#This Row],[Campo]]</f>
        <v>PROPERTY_ENERGY_CERTIFICATEPNL_WINTER_WALLS_DOORS_VALUE</v>
      </c>
      <c r="I353" s="2" t="s">
        <v>612</v>
      </c>
      <c r="J353" s="42">
        <f>VLOOKUP(Table1[[#This Row],[Status]],Auxiliar!$B$16:$C$24,2,0)</f>
        <v>1</v>
      </c>
      <c r="K353" s="2" t="s">
        <v>1171</v>
      </c>
      <c r="L353" s="28" t="s">
        <v>1166</v>
      </c>
      <c r="M353" s="20" t="s">
        <v>1175</v>
      </c>
      <c r="N353" s="47">
        <v>45485</v>
      </c>
      <c r="O353" s="20">
        <f>INDEX(Auxiliar!$D$5:$F$13,MATCH(Table1[[#This Row],[Tipologia_Testes]],Auxiliar!$B$5:$B$13,0),MATCH(Table1[[#This Row],[Complexidade]],Auxiliar!$D$4:$F$4,0))</f>
        <v>0.1</v>
      </c>
      <c r="P353" s="2" t="s">
        <v>1192</v>
      </c>
      <c r="Q353" s="2"/>
      <c r="R353" s="151">
        <v>45261</v>
      </c>
      <c r="S353" s="151"/>
      <c r="T353" s="151"/>
      <c r="U353" s="151"/>
      <c r="V353" s="151"/>
      <c r="W353" s="2">
        <f>VLOOKUP(Table1[[#This Row],[Status]],Auxiliar!$B$16:$D$24,3,0)*Table1[[#This Row],[Estimação (horas)]]</f>
        <v>0.1</v>
      </c>
      <c r="X353" s="165">
        <f>+VLOOKUP(CONCATENATE(Table1[[#This Row],[Tabela]],Table1[[#This Row],[Campo]]),'2. Status Detalhe Campos FY24'!A:J,9,FALSE)</f>
        <v>0</v>
      </c>
      <c r="Y353" s="491" t="e">
        <f>+VLOOKUP(A353,#REF!,1,FALSE)</f>
        <v>#REF!</v>
      </c>
    </row>
    <row r="354" spans="1:25" ht="17.899999999999999" hidden="1" customHeight="1">
      <c r="A354" t="str">
        <f>+Table1[[#This Row],[Tabela]]&amp;Table1[[#This Row],[Campo]]</f>
        <v>PROPERTY_ENERGY_CERTIFICATEPNL_WINTER_FLOORS_VALUE</v>
      </c>
      <c r="B354" s="2" t="s">
        <v>26</v>
      </c>
      <c r="C354" s="2" t="s">
        <v>54</v>
      </c>
      <c r="D354" s="2" t="s">
        <v>124</v>
      </c>
      <c r="E354" s="2" t="s">
        <v>38</v>
      </c>
      <c r="F354" s="2" t="s">
        <v>123</v>
      </c>
      <c r="G354" s="2" t="s">
        <v>167</v>
      </c>
      <c r="H354" s="56" t="str">
        <f>Table1[[#This Row],[Tabela]]&amp;Table1[[#This Row],[Campo]]</f>
        <v>PROPERTY_ENERGY_CERTIFICATEPNL_WINTER_FLOORS_VALUE</v>
      </c>
      <c r="I354" s="2" t="s">
        <v>612</v>
      </c>
      <c r="J354" s="42">
        <f>VLOOKUP(Table1[[#This Row],[Status]],Auxiliar!$B$16:$C$24,2,0)</f>
        <v>1</v>
      </c>
      <c r="K354" s="2" t="s">
        <v>1168</v>
      </c>
      <c r="L354" s="28" t="s">
        <v>1166</v>
      </c>
      <c r="M354" s="20" t="s">
        <v>1175</v>
      </c>
      <c r="N354" s="47">
        <v>45485</v>
      </c>
      <c r="O354" s="20">
        <f>INDEX(Auxiliar!$D$5:$F$13,MATCH(Table1[[#This Row],[Tipologia_Testes]],Auxiliar!$B$5:$B$13,0),MATCH(Table1[[#This Row],[Complexidade]],Auxiliar!$D$4:$F$4,0))</f>
        <v>2</v>
      </c>
      <c r="P354" s="2" t="s">
        <v>1192</v>
      </c>
      <c r="Q354" s="2"/>
      <c r="R354" s="151">
        <v>45261</v>
      </c>
      <c r="S354" s="151"/>
      <c r="T354" s="151"/>
      <c r="U354" s="151"/>
      <c r="V354" s="151"/>
      <c r="W354" s="2">
        <f>VLOOKUP(Table1[[#This Row],[Status]],Auxiliar!$B$16:$D$24,3,0)*Table1[[#This Row],[Estimação (horas)]]</f>
        <v>2</v>
      </c>
      <c r="X354" s="165">
        <f>+VLOOKUP(CONCATENATE(Table1[[#This Row],[Tabela]],Table1[[#This Row],[Campo]]),'2. Status Detalhe Campos FY24'!A:J,9,FALSE)</f>
        <v>0</v>
      </c>
      <c r="Y354" s="491" t="e">
        <f>+VLOOKUP(A354,#REF!,1,FALSE)</f>
        <v>#REF!</v>
      </c>
    </row>
    <row r="355" spans="1:25" ht="17.899999999999999" hidden="1" customHeight="1">
      <c r="A355" t="str">
        <f>+Table1[[#This Row],[Tabela]]&amp;Table1[[#This Row],[Campo]]</f>
        <v>PROPERTY_ENERGY_CERTIFICATEPNL_WINTER_FLOORS_VALUE</v>
      </c>
      <c r="B355" s="2" t="s">
        <v>26</v>
      </c>
      <c r="C355" s="2" t="s">
        <v>54</v>
      </c>
      <c r="D355" s="2" t="s">
        <v>124</v>
      </c>
      <c r="E355" s="2" t="s">
        <v>38</v>
      </c>
      <c r="F355" s="2" t="s">
        <v>123</v>
      </c>
      <c r="G355" s="2" t="s">
        <v>167</v>
      </c>
      <c r="H355" s="56" t="str">
        <f>Table1[[#This Row],[Tabela]]&amp;Table1[[#This Row],[Campo]]</f>
        <v>PROPERTY_ENERGY_CERTIFICATEPNL_WINTER_FLOORS_VALUE</v>
      </c>
      <c r="I355" s="2" t="s">
        <v>612</v>
      </c>
      <c r="J355" s="42">
        <f>VLOOKUP(Table1[[#This Row],[Status]],Auxiliar!$B$16:$C$24,2,0)</f>
        <v>1</v>
      </c>
      <c r="K355" s="2" t="s">
        <v>1169</v>
      </c>
      <c r="L355" s="28" t="s">
        <v>1166</v>
      </c>
      <c r="M355" s="20" t="s">
        <v>1175</v>
      </c>
      <c r="N355" s="47">
        <v>45485</v>
      </c>
      <c r="O355" s="20">
        <f>INDEX(Auxiliar!$D$5:$F$13,MATCH(Table1[[#This Row],[Tipologia_Testes]],Auxiliar!$B$5:$B$13,0),MATCH(Table1[[#This Row],[Complexidade]],Auxiliar!$D$4:$F$4,0))</f>
        <v>2</v>
      </c>
      <c r="P355" s="2" t="s">
        <v>1192</v>
      </c>
      <c r="Q355" s="2"/>
      <c r="R355" s="151">
        <v>45261</v>
      </c>
      <c r="S355" s="151"/>
      <c r="T355" s="151"/>
      <c r="U355" s="151"/>
      <c r="V355" s="151"/>
      <c r="W355" s="2">
        <f>VLOOKUP(Table1[[#This Row],[Status]],Auxiliar!$B$16:$D$24,3,0)*Table1[[#This Row],[Estimação (horas)]]</f>
        <v>2</v>
      </c>
      <c r="X355" s="165">
        <f>+VLOOKUP(CONCATENATE(Table1[[#This Row],[Tabela]],Table1[[#This Row],[Campo]]),'2. Status Detalhe Campos FY24'!A:J,9,FALSE)</f>
        <v>0</v>
      </c>
      <c r="Y355" s="491" t="e">
        <f>+VLOOKUP(A355,#REF!,1,FALSE)</f>
        <v>#REF!</v>
      </c>
    </row>
    <row r="356" spans="1:25" ht="17.899999999999999" hidden="1" customHeight="1">
      <c r="A356" t="str">
        <f>+Table1[[#This Row],[Tabela]]&amp;Table1[[#This Row],[Campo]]</f>
        <v>PROPERTY_ENERGY_CERTIFICATEPNL_WINTER_FLOORS_VALUE</v>
      </c>
      <c r="B356" s="2" t="s">
        <v>26</v>
      </c>
      <c r="C356" s="2" t="s">
        <v>54</v>
      </c>
      <c r="D356" s="2" t="s">
        <v>124</v>
      </c>
      <c r="E356" s="2" t="s">
        <v>38</v>
      </c>
      <c r="F356" s="2" t="s">
        <v>123</v>
      </c>
      <c r="G356" s="2" t="s">
        <v>167</v>
      </c>
      <c r="H356" s="56" t="str">
        <f>Table1[[#This Row],[Tabela]]&amp;Table1[[#This Row],[Campo]]</f>
        <v>PROPERTY_ENERGY_CERTIFICATEPNL_WINTER_FLOORS_VALUE</v>
      </c>
      <c r="I356" s="2" t="s">
        <v>612</v>
      </c>
      <c r="J356" s="42">
        <f>VLOOKUP(Table1[[#This Row],[Status]],Auxiliar!$B$16:$C$24,2,0)</f>
        <v>1</v>
      </c>
      <c r="K356" s="2" t="s">
        <v>1171</v>
      </c>
      <c r="L356" s="28" t="s">
        <v>1166</v>
      </c>
      <c r="M356" s="20" t="s">
        <v>1175</v>
      </c>
      <c r="N356" s="47">
        <v>45485</v>
      </c>
      <c r="O356" s="20">
        <f>INDEX(Auxiliar!$D$5:$F$13,MATCH(Table1[[#This Row],[Tipologia_Testes]],Auxiliar!$B$5:$B$13,0),MATCH(Table1[[#This Row],[Complexidade]],Auxiliar!$D$4:$F$4,0))</f>
        <v>0.1</v>
      </c>
      <c r="P356" s="2" t="s">
        <v>1192</v>
      </c>
      <c r="Q356" s="2"/>
      <c r="R356" s="151">
        <v>45261</v>
      </c>
      <c r="S356" s="151"/>
      <c r="T356" s="151"/>
      <c r="U356" s="151"/>
      <c r="V356" s="151"/>
      <c r="W356" s="2">
        <f>VLOOKUP(Table1[[#This Row],[Status]],Auxiliar!$B$16:$D$24,3,0)*Table1[[#This Row],[Estimação (horas)]]</f>
        <v>0.1</v>
      </c>
      <c r="X356" s="165">
        <f>+VLOOKUP(CONCATENATE(Table1[[#This Row],[Tabela]],Table1[[#This Row],[Campo]]),'2. Status Detalhe Campos FY24'!A:J,9,FALSE)</f>
        <v>0</v>
      </c>
      <c r="Y356" s="491" t="e">
        <f>+VLOOKUP(A356,#REF!,1,FALSE)</f>
        <v>#REF!</v>
      </c>
    </row>
    <row r="357" spans="1:25" ht="17.899999999999999" hidden="1" customHeight="1">
      <c r="A357" t="str">
        <f>+Table1[[#This Row],[Tabela]]&amp;Table1[[#This Row],[Campo]]</f>
        <v>PROPERTY_ENERGY_CERTIFICATEPNL_WINTER_ROOF_VALUE</v>
      </c>
      <c r="B357" s="2" t="s">
        <v>26</v>
      </c>
      <c r="C357" s="2" t="s">
        <v>54</v>
      </c>
      <c r="D357" s="2" t="s">
        <v>124</v>
      </c>
      <c r="E357" s="2" t="s">
        <v>38</v>
      </c>
      <c r="F357" s="2" t="s">
        <v>123</v>
      </c>
      <c r="G357" s="2" t="s">
        <v>168</v>
      </c>
      <c r="H357" s="56" t="str">
        <f>Table1[[#This Row],[Tabela]]&amp;Table1[[#This Row],[Campo]]</f>
        <v>PROPERTY_ENERGY_CERTIFICATEPNL_WINTER_ROOF_VALUE</v>
      </c>
      <c r="I357" s="2" t="s">
        <v>612</v>
      </c>
      <c r="J357" s="42">
        <f>VLOOKUP(Table1[[#This Row],[Status]],Auxiliar!$B$16:$C$24,2,0)</f>
        <v>1</v>
      </c>
      <c r="K357" s="2" t="s">
        <v>1168</v>
      </c>
      <c r="L357" s="28" t="s">
        <v>1166</v>
      </c>
      <c r="M357" s="20" t="s">
        <v>1175</v>
      </c>
      <c r="N357" s="47">
        <v>45485</v>
      </c>
      <c r="O357" s="20">
        <f>INDEX(Auxiliar!$D$5:$F$13,MATCH(Table1[[#This Row],[Tipologia_Testes]],Auxiliar!$B$5:$B$13,0),MATCH(Table1[[#This Row],[Complexidade]],Auxiliar!$D$4:$F$4,0))</f>
        <v>2</v>
      </c>
      <c r="P357" s="2" t="s">
        <v>1192</v>
      </c>
      <c r="Q357" s="2"/>
      <c r="R357" s="151">
        <v>45261</v>
      </c>
      <c r="S357" s="151"/>
      <c r="T357" s="151"/>
      <c r="U357" s="151"/>
      <c r="V357" s="151"/>
      <c r="W357" s="2">
        <f>VLOOKUP(Table1[[#This Row],[Status]],Auxiliar!$B$16:$D$24,3,0)*Table1[[#This Row],[Estimação (horas)]]</f>
        <v>2</v>
      </c>
      <c r="X357" s="165">
        <f>+VLOOKUP(CONCATENATE(Table1[[#This Row],[Tabela]],Table1[[#This Row],[Campo]]),'2. Status Detalhe Campos FY24'!A:J,9,FALSE)</f>
        <v>0</v>
      </c>
      <c r="Y357" s="491" t="e">
        <f>+VLOOKUP(A357,#REF!,1,FALSE)</f>
        <v>#REF!</v>
      </c>
    </row>
    <row r="358" spans="1:25" ht="17.899999999999999" hidden="1" customHeight="1">
      <c r="A358" t="str">
        <f>+Table1[[#This Row],[Tabela]]&amp;Table1[[#This Row],[Campo]]</f>
        <v>PROPERTY_ENERGY_CERTIFICATEPNL_WINTER_ROOF_VALUE</v>
      </c>
      <c r="B358" s="2" t="s">
        <v>26</v>
      </c>
      <c r="C358" s="2" t="s">
        <v>54</v>
      </c>
      <c r="D358" s="2" t="s">
        <v>124</v>
      </c>
      <c r="E358" s="2" t="s">
        <v>38</v>
      </c>
      <c r="F358" s="2" t="s">
        <v>123</v>
      </c>
      <c r="G358" s="2" t="s">
        <v>168</v>
      </c>
      <c r="H358" s="56" t="str">
        <f>Table1[[#This Row],[Tabela]]&amp;Table1[[#This Row],[Campo]]</f>
        <v>PROPERTY_ENERGY_CERTIFICATEPNL_WINTER_ROOF_VALUE</v>
      </c>
      <c r="I358" s="2" t="s">
        <v>612</v>
      </c>
      <c r="J358" s="42">
        <f>VLOOKUP(Table1[[#This Row],[Status]],Auxiliar!$B$16:$C$24,2,0)</f>
        <v>1</v>
      </c>
      <c r="K358" s="2" t="s">
        <v>1169</v>
      </c>
      <c r="L358" s="28" t="s">
        <v>1166</v>
      </c>
      <c r="M358" s="20" t="s">
        <v>1175</v>
      </c>
      <c r="N358" s="47">
        <v>45485</v>
      </c>
      <c r="O358" s="20">
        <f>INDEX(Auxiliar!$D$5:$F$13,MATCH(Table1[[#This Row],[Tipologia_Testes]],Auxiliar!$B$5:$B$13,0),MATCH(Table1[[#This Row],[Complexidade]],Auxiliar!$D$4:$F$4,0))</f>
        <v>2</v>
      </c>
      <c r="P358" s="2" t="s">
        <v>1192</v>
      </c>
      <c r="Q358" s="2"/>
      <c r="R358" s="151">
        <v>45261</v>
      </c>
      <c r="S358" s="151"/>
      <c r="T358" s="151"/>
      <c r="U358" s="151"/>
      <c r="V358" s="151"/>
      <c r="W358" s="2">
        <f>VLOOKUP(Table1[[#This Row],[Status]],Auxiliar!$B$16:$D$24,3,0)*Table1[[#This Row],[Estimação (horas)]]</f>
        <v>2</v>
      </c>
      <c r="X358" s="165">
        <f>+VLOOKUP(CONCATENATE(Table1[[#This Row],[Tabela]],Table1[[#This Row],[Campo]]),'2. Status Detalhe Campos FY24'!A:J,9,FALSE)</f>
        <v>0</v>
      </c>
      <c r="Y358" s="491" t="e">
        <f>+VLOOKUP(A358,#REF!,1,FALSE)</f>
        <v>#REF!</v>
      </c>
    </row>
    <row r="359" spans="1:25" ht="17.899999999999999" hidden="1" customHeight="1">
      <c r="A359" t="str">
        <f>+Table1[[#This Row],[Tabela]]&amp;Table1[[#This Row],[Campo]]</f>
        <v>PROPERTY_ENERGY_CERTIFICATEPNL_WINTER_ROOF_VALUE</v>
      </c>
      <c r="B359" s="2" t="s">
        <v>26</v>
      </c>
      <c r="C359" s="2" t="s">
        <v>54</v>
      </c>
      <c r="D359" s="2" t="s">
        <v>124</v>
      </c>
      <c r="E359" s="2" t="s">
        <v>38</v>
      </c>
      <c r="F359" s="2" t="s">
        <v>123</v>
      </c>
      <c r="G359" s="2" t="s">
        <v>168</v>
      </c>
      <c r="H359" s="56" t="str">
        <f>Table1[[#This Row],[Tabela]]&amp;Table1[[#This Row],[Campo]]</f>
        <v>PROPERTY_ENERGY_CERTIFICATEPNL_WINTER_ROOF_VALUE</v>
      </c>
      <c r="I359" s="2" t="s">
        <v>612</v>
      </c>
      <c r="J359" s="42">
        <f>VLOOKUP(Table1[[#This Row],[Status]],Auxiliar!$B$16:$C$24,2,0)</f>
        <v>1</v>
      </c>
      <c r="K359" s="2" t="s">
        <v>1171</v>
      </c>
      <c r="L359" s="28" t="s">
        <v>1166</v>
      </c>
      <c r="M359" s="20" t="s">
        <v>1175</v>
      </c>
      <c r="N359" s="47">
        <v>45485</v>
      </c>
      <c r="O359" s="20">
        <f>INDEX(Auxiliar!$D$5:$F$13,MATCH(Table1[[#This Row],[Tipologia_Testes]],Auxiliar!$B$5:$B$13,0),MATCH(Table1[[#This Row],[Complexidade]],Auxiliar!$D$4:$F$4,0))</f>
        <v>0.1</v>
      </c>
      <c r="P359" s="2" t="s">
        <v>1192</v>
      </c>
      <c r="Q359" s="2"/>
      <c r="R359" s="151">
        <v>45261</v>
      </c>
      <c r="S359" s="151"/>
      <c r="T359" s="151"/>
      <c r="U359" s="151"/>
      <c r="V359" s="151"/>
      <c r="W359" s="2">
        <f>VLOOKUP(Table1[[#This Row],[Status]],Auxiliar!$B$16:$D$24,3,0)*Table1[[#This Row],[Estimação (horas)]]</f>
        <v>0.1</v>
      </c>
      <c r="X359" s="165">
        <f>+VLOOKUP(CONCATENATE(Table1[[#This Row],[Tabela]],Table1[[#This Row],[Campo]]),'2. Status Detalhe Campos FY24'!A:J,9,FALSE)</f>
        <v>0</v>
      </c>
      <c r="Y359" s="491" t="e">
        <f>+VLOOKUP(A359,#REF!,1,FALSE)</f>
        <v>#REF!</v>
      </c>
    </row>
    <row r="360" spans="1:25" ht="17.899999999999999" hidden="1" customHeight="1">
      <c r="A360" t="str">
        <f>+Table1[[#This Row],[Tabela]]&amp;Table1[[#This Row],[Campo]]</f>
        <v>PROPERTY_ENERGY_CERTIFICATEPNL_WINTER_WINDOWS_VALUE</v>
      </c>
      <c r="B360" s="2" t="s">
        <v>26</v>
      </c>
      <c r="C360" s="2" t="s">
        <v>54</v>
      </c>
      <c r="D360" s="2" t="s">
        <v>124</v>
      </c>
      <c r="E360" s="2" t="s">
        <v>38</v>
      </c>
      <c r="F360" s="2" t="s">
        <v>123</v>
      </c>
      <c r="G360" s="2" t="s">
        <v>169</v>
      </c>
      <c r="H360" s="56" t="str">
        <f>Table1[[#This Row],[Tabela]]&amp;Table1[[#This Row],[Campo]]</f>
        <v>PROPERTY_ENERGY_CERTIFICATEPNL_WINTER_WINDOWS_VALUE</v>
      </c>
      <c r="I360" s="2" t="s">
        <v>612</v>
      </c>
      <c r="J360" s="42">
        <f>VLOOKUP(Table1[[#This Row],[Status]],Auxiliar!$B$16:$C$24,2,0)</f>
        <v>1</v>
      </c>
      <c r="K360" s="2" t="s">
        <v>1168</v>
      </c>
      <c r="L360" s="28" t="s">
        <v>1166</v>
      </c>
      <c r="M360" s="20" t="s">
        <v>1175</v>
      </c>
      <c r="N360" s="47">
        <v>45485</v>
      </c>
      <c r="O360" s="20">
        <f>INDEX(Auxiliar!$D$5:$F$13,MATCH(Table1[[#This Row],[Tipologia_Testes]],Auxiliar!$B$5:$B$13,0),MATCH(Table1[[#This Row],[Complexidade]],Auxiliar!$D$4:$F$4,0))</f>
        <v>2</v>
      </c>
      <c r="P360" s="2" t="s">
        <v>1192</v>
      </c>
      <c r="Q360" s="2"/>
      <c r="R360" s="151">
        <v>45261</v>
      </c>
      <c r="S360" s="151"/>
      <c r="T360" s="151"/>
      <c r="U360" s="151"/>
      <c r="V360" s="151"/>
      <c r="W360" s="2">
        <f>VLOOKUP(Table1[[#This Row],[Status]],Auxiliar!$B$16:$D$24,3,0)*Table1[[#This Row],[Estimação (horas)]]</f>
        <v>2</v>
      </c>
      <c r="X360" s="165">
        <f>+VLOOKUP(CONCATENATE(Table1[[#This Row],[Tabela]],Table1[[#This Row],[Campo]]),'2. Status Detalhe Campos FY24'!A:J,9,FALSE)</f>
        <v>0</v>
      </c>
      <c r="Y360" s="491" t="e">
        <f>+VLOOKUP(A360,#REF!,1,FALSE)</f>
        <v>#REF!</v>
      </c>
    </row>
    <row r="361" spans="1:25" ht="17.899999999999999" hidden="1" customHeight="1">
      <c r="A361" t="str">
        <f>+Table1[[#This Row],[Tabela]]&amp;Table1[[#This Row],[Campo]]</f>
        <v>PROPERTY_ENERGY_CERTIFICATEPNL_WINTER_WINDOWS_VALUE</v>
      </c>
      <c r="B361" s="2" t="s">
        <v>26</v>
      </c>
      <c r="C361" s="2" t="s">
        <v>54</v>
      </c>
      <c r="D361" s="2" t="s">
        <v>124</v>
      </c>
      <c r="E361" s="2" t="s">
        <v>38</v>
      </c>
      <c r="F361" s="2" t="s">
        <v>123</v>
      </c>
      <c r="G361" s="2" t="s">
        <v>169</v>
      </c>
      <c r="H361" s="56" t="str">
        <f>Table1[[#This Row],[Tabela]]&amp;Table1[[#This Row],[Campo]]</f>
        <v>PROPERTY_ENERGY_CERTIFICATEPNL_WINTER_WINDOWS_VALUE</v>
      </c>
      <c r="I361" s="2" t="s">
        <v>612</v>
      </c>
      <c r="J361" s="42">
        <f>VLOOKUP(Table1[[#This Row],[Status]],Auxiliar!$B$16:$C$24,2,0)</f>
        <v>1</v>
      </c>
      <c r="K361" s="2" t="s">
        <v>1169</v>
      </c>
      <c r="L361" s="28" t="s">
        <v>1166</v>
      </c>
      <c r="M361" s="20" t="s">
        <v>1175</v>
      </c>
      <c r="N361" s="47">
        <v>45485</v>
      </c>
      <c r="O361" s="20">
        <f>INDEX(Auxiliar!$D$5:$F$13,MATCH(Table1[[#This Row],[Tipologia_Testes]],Auxiliar!$B$5:$B$13,0),MATCH(Table1[[#This Row],[Complexidade]],Auxiliar!$D$4:$F$4,0))</f>
        <v>2</v>
      </c>
      <c r="P361" s="2" t="s">
        <v>1192</v>
      </c>
      <c r="Q361" s="2"/>
      <c r="R361" s="151">
        <v>45261</v>
      </c>
      <c r="S361" s="151"/>
      <c r="T361" s="151"/>
      <c r="U361" s="151"/>
      <c r="V361" s="151"/>
      <c r="W361" s="2">
        <f>VLOOKUP(Table1[[#This Row],[Status]],Auxiliar!$B$16:$D$24,3,0)*Table1[[#This Row],[Estimação (horas)]]</f>
        <v>2</v>
      </c>
      <c r="X361" s="165">
        <f>+VLOOKUP(CONCATENATE(Table1[[#This Row],[Tabela]],Table1[[#This Row],[Campo]]),'2. Status Detalhe Campos FY24'!A:J,9,FALSE)</f>
        <v>0</v>
      </c>
      <c r="Y361" s="491" t="e">
        <f>+VLOOKUP(A361,#REF!,1,FALSE)</f>
        <v>#REF!</v>
      </c>
    </row>
    <row r="362" spans="1:25" ht="17.899999999999999" hidden="1" customHeight="1">
      <c r="A362" t="str">
        <f>+Table1[[#This Row],[Tabela]]&amp;Table1[[#This Row],[Campo]]</f>
        <v>PROPERTY_ENERGY_CERTIFICATEPNL_WINTER_WINDOWS_VALUE</v>
      </c>
      <c r="B362" s="2" t="s">
        <v>26</v>
      </c>
      <c r="C362" s="2" t="s">
        <v>54</v>
      </c>
      <c r="D362" s="2" t="s">
        <v>124</v>
      </c>
      <c r="E362" s="2" t="s">
        <v>38</v>
      </c>
      <c r="F362" s="2" t="s">
        <v>123</v>
      </c>
      <c r="G362" s="2" t="s">
        <v>169</v>
      </c>
      <c r="H362" s="56" t="str">
        <f>Table1[[#This Row],[Tabela]]&amp;Table1[[#This Row],[Campo]]</f>
        <v>PROPERTY_ENERGY_CERTIFICATEPNL_WINTER_WINDOWS_VALUE</v>
      </c>
      <c r="I362" s="2" t="s">
        <v>612</v>
      </c>
      <c r="J362" s="42">
        <f>VLOOKUP(Table1[[#This Row],[Status]],Auxiliar!$B$16:$C$24,2,0)</f>
        <v>1</v>
      </c>
      <c r="K362" s="2" t="s">
        <v>1171</v>
      </c>
      <c r="L362" s="28" t="s">
        <v>1166</v>
      </c>
      <c r="M362" s="20" t="s">
        <v>1175</v>
      </c>
      <c r="N362" s="47">
        <v>45485</v>
      </c>
      <c r="O362" s="20">
        <f>INDEX(Auxiliar!$D$5:$F$13,MATCH(Table1[[#This Row],[Tipologia_Testes]],Auxiliar!$B$5:$B$13,0),MATCH(Table1[[#This Row],[Complexidade]],Auxiliar!$D$4:$F$4,0))</f>
        <v>0.1</v>
      </c>
      <c r="P362" s="2" t="s">
        <v>1192</v>
      </c>
      <c r="Q362" s="2"/>
      <c r="R362" s="151">
        <v>45261</v>
      </c>
      <c r="S362" s="151"/>
      <c r="T362" s="151"/>
      <c r="U362" s="151"/>
      <c r="V362" s="151"/>
      <c r="W362" s="2">
        <f>VLOOKUP(Table1[[#This Row],[Status]],Auxiliar!$B$16:$D$24,3,0)*Table1[[#This Row],[Estimação (horas)]]</f>
        <v>0.1</v>
      </c>
      <c r="X362" s="165">
        <f>+VLOOKUP(CONCATENATE(Table1[[#This Row],[Tabela]],Table1[[#This Row],[Campo]]),'2. Status Detalhe Campos FY24'!A:J,9,FALSE)</f>
        <v>0</v>
      </c>
      <c r="Y362" s="491" t="e">
        <f>+VLOOKUP(A362,#REF!,1,FALSE)</f>
        <v>#REF!</v>
      </c>
    </row>
    <row r="363" spans="1:25" ht="17.899999999999999" hidden="1" customHeight="1">
      <c r="A363" t="str">
        <f>+Table1[[#This Row],[Tabela]]&amp;Table1[[#This Row],[Campo]]</f>
        <v>PROPERTY_ENERGY_CERTIFICATEPNL_WINTER_REF_VALUE</v>
      </c>
      <c r="B363" s="2" t="s">
        <v>26</v>
      </c>
      <c r="C363" s="2" t="s">
        <v>54</v>
      </c>
      <c r="D363" s="2" t="s">
        <v>124</v>
      </c>
      <c r="E363" s="2" t="s">
        <v>38</v>
      </c>
      <c r="F363" s="2" t="s">
        <v>123</v>
      </c>
      <c r="G363" s="2" t="s">
        <v>170</v>
      </c>
      <c r="H363" s="56" t="str">
        <f>Table1[[#This Row],[Tabela]]&amp;Table1[[#This Row],[Campo]]</f>
        <v>PROPERTY_ENERGY_CERTIFICATEPNL_WINTER_REF_VALUE</v>
      </c>
      <c r="I363" s="2" t="s">
        <v>612</v>
      </c>
      <c r="J363" s="42">
        <f>VLOOKUP(Table1[[#This Row],[Status]],Auxiliar!$B$16:$C$24,2,0)</f>
        <v>1</v>
      </c>
      <c r="K363" s="2" t="s">
        <v>1168</v>
      </c>
      <c r="L363" s="28" t="s">
        <v>1166</v>
      </c>
      <c r="M363" s="20" t="s">
        <v>1175</v>
      </c>
      <c r="N363" s="47">
        <v>45485</v>
      </c>
      <c r="O363" s="20">
        <f>INDEX(Auxiliar!$D$5:$F$13,MATCH(Table1[[#This Row],[Tipologia_Testes]],Auxiliar!$B$5:$B$13,0),MATCH(Table1[[#This Row],[Complexidade]],Auxiliar!$D$4:$F$4,0))</f>
        <v>2</v>
      </c>
      <c r="P363" s="2" t="s">
        <v>1192</v>
      </c>
      <c r="Q363" s="2"/>
      <c r="R363" s="151">
        <v>45261</v>
      </c>
      <c r="S363" s="151"/>
      <c r="T363" s="151"/>
      <c r="U363" s="151"/>
      <c r="V363" s="151"/>
      <c r="W363" s="2">
        <f>VLOOKUP(Table1[[#This Row],[Status]],Auxiliar!$B$16:$D$24,3,0)*Table1[[#This Row],[Estimação (horas)]]</f>
        <v>2</v>
      </c>
      <c r="X363" s="165">
        <f>+VLOOKUP(CONCATENATE(Table1[[#This Row],[Tabela]],Table1[[#This Row],[Campo]]),'2. Status Detalhe Campos FY24'!A:J,9,FALSE)</f>
        <v>0</v>
      </c>
      <c r="Y363" s="491" t="e">
        <f>+VLOOKUP(A363,#REF!,1,FALSE)</f>
        <v>#REF!</v>
      </c>
    </row>
    <row r="364" spans="1:25" ht="17.899999999999999" hidden="1" customHeight="1">
      <c r="A364" t="str">
        <f>+Table1[[#This Row],[Tabela]]&amp;Table1[[#This Row],[Campo]]</f>
        <v>PROPERTY_ENERGY_CERTIFICATEPNL_WINTER_REF_VALUE</v>
      </c>
      <c r="B364" s="2" t="s">
        <v>26</v>
      </c>
      <c r="C364" s="2" t="s">
        <v>54</v>
      </c>
      <c r="D364" s="2" t="s">
        <v>124</v>
      </c>
      <c r="E364" s="2" t="s">
        <v>38</v>
      </c>
      <c r="F364" s="2" t="s">
        <v>123</v>
      </c>
      <c r="G364" s="2" t="s">
        <v>170</v>
      </c>
      <c r="H364" s="56" t="str">
        <f>Table1[[#This Row],[Tabela]]&amp;Table1[[#This Row],[Campo]]</f>
        <v>PROPERTY_ENERGY_CERTIFICATEPNL_WINTER_REF_VALUE</v>
      </c>
      <c r="I364" s="2" t="s">
        <v>612</v>
      </c>
      <c r="J364" s="42">
        <f>VLOOKUP(Table1[[#This Row],[Status]],Auxiliar!$B$16:$C$24,2,0)</f>
        <v>1</v>
      </c>
      <c r="K364" s="2" t="s">
        <v>1169</v>
      </c>
      <c r="L364" s="28" t="s">
        <v>1166</v>
      </c>
      <c r="M364" s="20" t="s">
        <v>1175</v>
      </c>
      <c r="N364" s="47">
        <v>45485</v>
      </c>
      <c r="O364" s="20">
        <f>INDEX(Auxiliar!$D$5:$F$13,MATCH(Table1[[#This Row],[Tipologia_Testes]],Auxiliar!$B$5:$B$13,0),MATCH(Table1[[#This Row],[Complexidade]],Auxiliar!$D$4:$F$4,0))</f>
        <v>2</v>
      </c>
      <c r="P364" s="2" t="s">
        <v>1192</v>
      </c>
      <c r="Q364" s="2"/>
      <c r="R364" s="151">
        <v>45261</v>
      </c>
      <c r="S364" s="151"/>
      <c r="T364" s="151"/>
      <c r="U364" s="151"/>
      <c r="V364" s="151"/>
      <c r="W364" s="2">
        <f>VLOOKUP(Table1[[#This Row],[Status]],Auxiliar!$B$16:$D$24,3,0)*Table1[[#This Row],[Estimação (horas)]]</f>
        <v>2</v>
      </c>
      <c r="X364" s="165">
        <f>+VLOOKUP(CONCATENATE(Table1[[#This Row],[Tabela]],Table1[[#This Row],[Campo]]),'2. Status Detalhe Campos FY24'!A:J,9,FALSE)</f>
        <v>0</v>
      </c>
      <c r="Y364" s="491" t="e">
        <f>+VLOOKUP(A364,#REF!,1,FALSE)</f>
        <v>#REF!</v>
      </c>
    </row>
    <row r="365" spans="1:25" ht="17.899999999999999" hidden="1" customHeight="1">
      <c r="A365" t="str">
        <f>+Table1[[#This Row],[Tabela]]&amp;Table1[[#This Row],[Campo]]</f>
        <v>PROPERTY_ENERGY_CERTIFICATEPNL_WINTER_REF_VALUE</v>
      </c>
      <c r="B365" s="2" t="s">
        <v>26</v>
      </c>
      <c r="C365" s="2" t="s">
        <v>54</v>
      </c>
      <c r="D365" s="2" t="s">
        <v>124</v>
      </c>
      <c r="E365" s="2" t="s">
        <v>38</v>
      </c>
      <c r="F365" s="2" t="s">
        <v>123</v>
      </c>
      <c r="G365" s="2" t="s">
        <v>170</v>
      </c>
      <c r="H365" s="56" t="str">
        <f>Table1[[#This Row],[Tabela]]&amp;Table1[[#This Row],[Campo]]</f>
        <v>PROPERTY_ENERGY_CERTIFICATEPNL_WINTER_REF_VALUE</v>
      </c>
      <c r="I365" s="2" t="s">
        <v>612</v>
      </c>
      <c r="J365" s="42">
        <f>VLOOKUP(Table1[[#This Row],[Status]],Auxiliar!$B$16:$C$24,2,0)</f>
        <v>1</v>
      </c>
      <c r="K365" s="2" t="s">
        <v>1171</v>
      </c>
      <c r="L365" s="28" t="s">
        <v>1166</v>
      </c>
      <c r="M365" s="20" t="s">
        <v>1175</v>
      </c>
      <c r="N365" s="47">
        <v>45485</v>
      </c>
      <c r="O365" s="20">
        <f>INDEX(Auxiliar!$D$5:$F$13,MATCH(Table1[[#This Row],[Tipologia_Testes]],Auxiliar!$B$5:$B$13,0),MATCH(Table1[[#This Row],[Complexidade]],Auxiliar!$D$4:$F$4,0))</f>
        <v>0.1</v>
      </c>
      <c r="P365" s="2" t="s">
        <v>1192</v>
      </c>
      <c r="Q365" s="2"/>
      <c r="R365" s="151">
        <v>45261</v>
      </c>
      <c r="S365" s="151"/>
      <c r="T365" s="151"/>
      <c r="U365" s="151"/>
      <c r="V365" s="151"/>
      <c r="W365" s="2">
        <f>VLOOKUP(Table1[[#This Row],[Status]],Auxiliar!$B$16:$D$24,3,0)*Table1[[#This Row],[Estimação (horas)]]</f>
        <v>0.1</v>
      </c>
      <c r="X365" s="165">
        <f>+VLOOKUP(CONCATENATE(Table1[[#This Row],[Tabela]],Table1[[#This Row],[Campo]]),'2. Status Detalhe Campos FY24'!A:J,9,FALSE)</f>
        <v>0</v>
      </c>
      <c r="Y365" s="491" t="e">
        <f>+VLOOKUP(A365,#REF!,1,FALSE)</f>
        <v>#REF!</v>
      </c>
    </row>
    <row r="366" spans="1:25" ht="17.899999999999999" hidden="1" customHeight="1">
      <c r="A366" t="str">
        <f>+Table1[[#This Row],[Tabela]]&amp;Table1[[#This Row],[Campo]]</f>
        <v>PROPERTY_ENERGY_CERTIFICATEPNL_WINTER_FANS_VALUE</v>
      </c>
      <c r="B366" s="2" t="s">
        <v>26</v>
      </c>
      <c r="C366" s="2" t="s">
        <v>54</v>
      </c>
      <c r="D366" s="2" t="s">
        <v>124</v>
      </c>
      <c r="E366" s="2" t="s">
        <v>38</v>
      </c>
      <c r="F366" s="2" t="s">
        <v>123</v>
      </c>
      <c r="G366" s="2" t="s">
        <v>171</v>
      </c>
      <c r="H366" s="56" t="str">
        <f>Table1[[#This Row],[Tabela]]&amp;Table1[[#This Row],[Campo]]</f>
        <v>PROPERTY_ENERGY_CERTIFICATEPNL_WINTER_FANS_VALUE</v>
      </c>
      <c r="I366" s="2" t="s">
        <v>612</v>
      </c>
      <c r="J366" s="42">
        <f>VLOOKUP(Table1[[#This Row],[Status]],Auxiliar!$B$16:$C$24,2,0)</f>
        <v>1</v>
      </c>
      <c r="K366" s="2" t="s">
        <v>1168</v>
      </c>
      <c r="L366" s="28" t="s">
        <v>1166</v>
      </c>
      <c r="M366" s="20" t="s">
        <v>1175</v>
      </c>
      <c r="N366" s="47">
        <v>45485</v>
      </c>
      <c r="O366" s="20">
        <f>INDEX(Auxiliar!$D$5:$F$13,MATCH(Table1[[#This Row],[Tipologia_Testes]],Auxiliar!$B$5:$B$13,0),MATCH(Table1[[#This Row],[Complexidade]],Auxiliar!$D$4:$F$4,0))</f>
        <v>2</v>
      </c>
      <c r="P366" s="2" t="s">
        <v>1192</v>
      </c>
      <c r="Q366" s="2"/>
      <c r="R366" s="151">
        <v>45261</v>
      </c>
      <c r="S366" s="151"/>
      <c r="T366" s="151"/>
      <c r="U366" s="151"/>
      <c r="V366" s="151"/>
      <c r="W366" s="2">
        <f>VLOOKUP(Table1[[#This Row],[Status]],Auxiliar!$B$16:$D$24,3,0)*Table1[[#This Row],[Estimação (horas)]]</f>
        <v>2</v>
      </c>
      <c r="X366" s="165">
        <f>+VLOOKUP(CONCATENATE(Table1[[#This Row],[Tabela]],Table1[[#This Row],[Campo]]),'2. Status Detalhe Campos FY24'!A:J,9,FALSE)</f>
        <v>0</v>
      </c>
      <c r="Y366" s="491" t="e">
        <f>+VLOOKUP(A366,#REF!,1,FALSE)</f>
        <v>#REF!</v>
      </c>
    </row>
    <row r="367" spans="1:25" ht="17.899999999999999" hidden="1" customHeight="1">
      <c r="A367" t="str">
        <f>+Table1[[#This Row],[Tabela]]&amp;Table1[[#This Row],[Campo]]</f>
        <v>PROPERTY_ENERGY_CERTIFICATEPNL_WINTER_FANS_VALUE</v>
      </c>
      <c r="B367" s="2" t="s">
        <v>26</v>
      </c>
      <c r="C367" s="2" t="s">
        <v>54</v>
      </c>
      <c r="D367" s="2" t="s">
        <v>124</v>
      </c>
      <c r="E367" s="2" t="s">
        <v>38</v>
      </c>
      <c r="F367" s="2" t="s">
        <v>123</v>
      </c>
      <c r="G367" s="2" t="s">
        <v>171</v>
      </c>
      <c r="H367" s="56" t="str">
        <f>Table1[[#This Row],[Tabela]]&amp;Table1[[#This Row],[Campo]]</f>
        <v>PROPERTY_ENERGY_CERTIFICATEPNL_WINTER_FANS_VALUE</v>
      </c>
      <c r="I367" s="2" t="s">
        <v>612</v>
      </c>
      <c r="J367" s="42">
        <f>VLOOKUP(Table1[[#This Row],[Status]],Auxiliar!$B$16:$C$24,2,0)</f>
        <v>1</v>
      </c>
      <c r="K367" s="2" t="s">
        <v>1169</v>
      </c>
      <c r="L367" s="28" t="s">
        <v>1166</v>
      </c>
      <c r="M367" s="20" t="s">
        <v>1175</v>
      </c>
      <c r="N367" s="47">
        <v>45485</v>
      </c>
      <c r="O367" s="20">
        <f>INDEX(Auxiliar!$D$5:$F$13,MATCH(Table1[[#This Row],[Tipologia_Testes]],Auxiliar!$B$5:$B$13,0),MATCH(Table1[[#This Row],[Complexidade]],Auxiliar!$D$4:$F$4,0))</f>
        <v>2</v>
      </c>
      <c r="P367" s="2" t="s">
        <v>1192</v>
      </c>
      <c r="Q367" s="2"/>
      <c r="R367" s="151">
        <v>45261</v>
      </c>
      <c r="S367" s="151"/>
      <c r="T367" s="151"/>
      <c r="U367" s="151"/>
      <c r="V367" s="151"/>
      <c r="W367" s="2">
        <f>VLOOKUP(Table1[[#This Row],[Status]],Auxiliar!$B$16:$D$24,3,0)*Table1[[#This Row],[Estimação (horas)]]</f>
        <v>2</v>
      </c>
      <c r="X367" s="165">
        <f>+VLOOKUP(CONCATENATE(Table1[[#This Row],[Tabela]],Table1[[#This Row],[Campo]]),'2. Status Detalhe Campos FY24'!A:J,9,FALSE)</f>
        <v>0</v>
      </c>
      <c r="Y367" s="491" t="e">
        <f>+VLOOKUP(A367,#REF!,1,FALSE)</f>
        <v>#REF!</v>
      </c>
    </row>
    <row r="368" spans="1:25" ht="17.899999999999999" hidden="1" customHeight="1">
      <c r="A368" t="str">
        <f>+Table1[[#This Row],[Tabela]]&amp;Table1[[#This Row],[Campo]]</f>
        <v>PROPERTY_ENERGY_CERTIFICATEPNL_WINTER_FANS_VALUE</v>
      </c>
      <c r="B368" s="2" t="s">
        <v>26</v>
      </c>
      <c r="C368" s="2" t="s">
        <v>54</v>
      </c>
      <c r="D368" s="2" t="s">
        <v>124</v>
      </c>
      <c r="E368" s="2" t="s">
        <v>38</v>
      </c>
      <c r="F368" s="2" t="s">
        <v>123</v>
      </c>
      <c r="G368" s="2" t="s">
        <v>171</v>
      </c>
      <c r="H368" s="56" t="str">
        <f>Table1[[#This Row],[Tabela]]&amp;Table1[[#This Row],[Campo]]</f>
        <v>PROPERTY_ENERGY_CERTIFICATEPNL_WINTER_FANS_VALUE</v>
      </c>
      <c r="I368" s="2" t="s">
        <v>612</v>
      </c>
      <c r="J368" s="42">
        <f>VLOOKUP(Table1[[#This Row],[Status]],Auxiliar!$B$16:$C$24,2,0)</f>
        <v>1</v>
      </c>
      <c r="K368" s="2" t="s">
        <v>1171</v>
      </c>
      <c r="L368" s="28" t="s">
        <v>1166</v>
      </c>
      <c r="M368" s="20" t="s">
        <v>1175</v>
      </c>
      <c r="N368" s="47">
        <v>45485</v>
      </c>
      <c r="O368" s="20">
        <f>INDEX(Auxiliar!$D$5:$F$13,MATCH(Table1[[#This Row],[Tipologia_Testes]],Auxiliar!$B$5:$B$13,0),MATCH(Table1[[#This Row],[Complexidade]],Auxiliar!$D$4:$F$4,0))</f>
        <v>0.1</v>
      </c>
      <c r="P368" s="2" t="s">
        <v>1192</v>
      </c>
      <c r="Q368" s="2"/>
      <c r="R368" s="151">
        <v>45261</v>
      </c>
      <c r="S368" s="151"/>
      <c r="T368" s="151"/>
      <c r="U368" s="151"/>
      <c r="V368" s="151"/>
      <c r="W368" s="2">
        <f>VLOOKUP(Table1[[#This Row],[Status]],Auxiliar!$B$16:$D$24,3,0)*Table1[[#This Row],[Estimação (horas)]]</f>
        <v>0.1</v>
      </c>
      <c r="X368" s="165">
        <f>+VLOOKUP(CONCATENATE(Table1[[#This Row],[Tabela]],Table1[[#This Row],[Campo]]),'2. Status Detalhe Campos FY24'!A:J,9,FALSE)</f>
        <v>0</v>
      </c>
      <c r="Y368" s="491" t="e">
        <f>+VLOOKUP(A368,#REF!,1,FALSE)</f>
        <v>#REF!</v>
      </c>
    </row>
    <row r="369" spans="1:25" ht="17.899999999999999" hidden="1" customHeight="1">
      <c r="A369" t="str">
        <f>+Table1[[#This Row],[Tabela]]&amp;Table1[[#This Row],[Campo]]</f>
        <v>PROPERTY_ENERGY_CERTIFICATEPNL_SUMMER_ROOF_VALUE</v>
      </c>
      <c r="B369" s="2" t="s">
        <v>26</v>
      </c>
      <c r="C369" s="2" t="s">
        <v>54</v>
      </c>
      <c r="D369" s="2" t="s">
        <v>124</v>
      </c>
      <c r="E369" s="2" t="s">
        <v>38</v>
      </c>
      <c r="F369" s="2" t="s">
        <v>123</v>
      </c>
      <c r="G369" s="2" t="s">
        <v>172</v>
      </c>
      <c r="H369" s="56" t="str">
        <f>Table1[[#This Row],[Tabela]]&amp;Table1[[#This Row],[Campo]]</f>
        <v>PROPERTY_ENERGY_CERTIFICATEPNL_SUMMER_ROOF_VALUE</v>
      </c>
      <c r="I369" s="2" t="s">
        <v>612</v>
      </c>
      <c r="J369" s="42">
        <f>VLOOKUP(Table1[[#This Row],[Status]],Auxiliar!$B$16:$C$24,2,0)</f>
        <v>1</v>
      </c>
      <c r="K369" s="2" t="s">
        <v>1168</v>
      </c>
      <c r="L369" s="28" t="s">
        <v>1166</v>
      </c>
      <c r="M369" s="20" t="s">
        <v>1175</v>
      </c>
      <c r="N369" s="47">
        <v>45485</v>
      </c>
      <c r="O369" s="20">
        <f>INDEX(Auxiliar!$D$5:$F$13,MATCH(Table1[[#This Row],[Tipologia_Testes]],Auxiliar!$B$5:$B$13,0),MATCH(Table1[[#This Row],[Complexidade]],Auxiliar!$D$4:$F$4,0))</f>
        <v>2</v>
      </c>
      <c r="P369" s="2" t="s">
        <v>1192</v>
      </c>
      <c r="Q369" s="2"/>
      <c r="R369" s="151">
        <v>45261</v>
      </c>
      <c r="S369" s="151"/>
      <c r="T369" s="151"/>
      <c r="U369" s="151"/>
      <c r="V369" s="151"/>
      <c r="W369" s="2">
        <f>VLOOKUP(Table1[[#This Row],[Status]],Auxiliar!$B$16:$D$24,3,0)*Table1[[#This Row],[Estimação (horas)]]</f>
        <v>2</v>
      </c>
      <c r="X369" s="165">
        <f>+VLOOKUP(CONCATENATE(Table1[[#This Row],[Tabela]],Table1[[#This Row],[Campo]]),'2. Status Detalhe Campos FY24'!A:J,9,FALSE)</f>
        <v>0</v>
      </c>
      <c r="Y369" s="491" t="e">
        <f>+VLOOKUP(A369,#REF!,1,FALSE)</f>
        <v>#REF!</v>
      </c>
    </row>
    <row r="370" spans="1:25" ht="17.899999999999999" hidden="1" customHeight="1">
      <c r="A370" t="str">
        <f>+Table1[[#This Row],[Tabela]]&amp;Table1[[#This Row],[Campo]]</f>
        <v>PROPERTY_ENERGY_CERTIFICATEPNL_SUMMER_ROOF_VALUE</v>
      </c>
      <c r="B370" s="2" t="s">
        <v>26</v>
      </c>
      <c r="C370" s="2" t="s">
        <v>54</v>
      </c>
      <c r="D370" s="2" t="s">
        <v>124</v>
      </c>
      <c r="E370" s="2" t="s">
        <v>38</v>
      </c>
      <c r="F370" s="2" t="s">
        <v>123</v>
      </c>
      <c r="G370" s="2" t="s">
        <v>172</v>
      </c>
      <c r="H370" s="56" t="str">
        <f>Table1[[#This Row],[Tabela]]&amp;Table1[[#This Row],[Campo]]</f>
        <v>PROPERTY_ENERGY_CERTIFICATEPNL_SUMMER_ROOF_VALUE</v>
      </c>
      <c r="I370" s="2" t="s">
        <v>612</v>
      </c>
      <c r="J370" s="42">
        <f>VLOOKUP(Table1[[#This Row],[Status]],Auxiliar!$B$16:$C$24,2,0)</f>
        <v>1</v>
      </c>
      <c r="K370" s="2" t="s">
        <v>1169</v>
      </c>
      <c r="L370" s="28" t="s">
        <v>1166</v>
      </c>
      <c r="M370" s="20" t="s">
        <v>1175</v>
      </c>
      <c r="N370" s="47">
        <v>45485</v>
      </c>
      <c r="O370" s="20">
        <f>INDEX(Auxiliar!$D$5:$F$13,MATCH(Table1[[#This Row],[Tipologia_Testes]],Auxiliar!$B$5:$B$13,0),MATCH(Table1[[#This Row],[Complexidade]],Auxiliar!$D$4:$F$4,0))</f>
        <v>2</v>
      </c>
      <c r="P370" s="2" t="s">
        <v>1192</v>
      </c>
      <c r="Q370" s="2"/>
      <c r="R370" s="151">
        <v>45261</v>
      </c>
      <c r="S370" s="151"/>
      <c r="T370" s="151"/>
      <c r="U370" s="151"/>
      <c r="V370" s="151"/>
      <c r="W370" s="2">
        <f>VLOOKUP(Table1[[#This Row],[Status]],Auxiliar!$B$16:$D$24,3,0)*Table1[[#This Row],[Estimação (horas)]]</f>
        <v>2</v>
      </c>
      <c r="X370" s="165">
        <f>+VLOOKUP(CONCATENATE(Table1[[#This Row],[Tabela]],Table1[[#This Row],[Campo]]),'2. Status Detalhe Campos FY24'!A:J,9,FALSE)</f>
        <v>0</v>
      </c>
      <c r="Y370" s="491" t="e">
        <f>+VLOOKUP(A370,#REF!,1,FALSE)</f>
        <v>#REF!</v>
      </c>
    </row>
    <row r="371" spans="1:25" ht="17.899999999999999" hidden="1" customHeight="1">
      <c r="A371" t="str">
        <f>+Table1[[#This Row],[Tabela]]&amp;Table1[[#This Row],[Campo]]</f>
        <v>PROPERTY_ENERGY_CERTIFICATEPNL_SUMMER_ROOF_VALUE</v>
      </c>
      <c r="B371" s="2" t="s">
        <v>26</v>
      </c>
      <c r="C371" s="2" t="s">
        <v>54</v>
      </c>
      <c r="D371" s="2" t="s">
        <v>124</v>
      </c>
      <c r="E371" s="2" t="s">
        <v>38</v>
      </c>
      <c r="F371" s="2" t="s">
        <v>123</v>
      </c>
      <c r="G371" s="2" t="s">
        <v>172</v>
      </c>
      <c r="H371" s="56" t="str">
        <f>Table1[[#This Row],[Tabela]]&amp;Table1[[#This Row],[Campo]]</f>
        <v>PROPERTY_ENERGY_CERTIFICATEPNL_SUMMER_ROOF_VALUE</v>
      </c>
      <c r="I371" s="2" t="s">
        <v>612</v>
      </c>
      <c r="J371" s="42">
        <f>VLOOKUP(Table1[[#This Row],[Status]],Auxiliar!$B$16:$C$24,2,0)</f>
        <v>1</v>
      </c>
      <c r="K371" s="2" t="s">
        <v>1171</v>
      </c>
      <c r="L371" s="28" t="s">
        <v>1166</v>
      </c>
      <c r="M371" s="20" t="s">
        <v>1175</v>
      </c>
      <c r="N371" s="47">
        <v>45485</v>
      </c>
      <c r="O371" s="20">
        <f>INDEX(Auxiliar!$D$5:$F$13,MATCH(Table1[[#This Row],[Tipologia_Testes]],Auxiliar!$B$5:$B$13,0),MATCH(Table1[[#This Row],[Complexidade]],Auxiliar!$D$4:$F$4,0))</f>
        <v>0.1</v>
      </c>
      <c r="P371" s="2" t="s">
        <v>1192</v>
      </c>
      <c r="Q371" s="2"/>
      <c r="R371" s="151">
        <v>45261</v>
      </c>
      <c r="S371" s="151"/>
      <c r="T371" s="151"/>
      <c r="U371" s="151"/>
      <c r="V371" s="151"/>
      <c r="W371" s="2">
        <f>VLOOKUP(Table1[[#This Row],[Status]],Auxiliar!$B$16:$D$24,3,0)*Table1[[#This Row],[Estimação (horas)]]</f>
        <v>0.1</v>
      </c>
      <c r="X371" s="165">
        <f>+VLOOKUP(CONCATENATE(Table1[[#This Row],[Tabela]],Table1[[#This Row],[Campo]]),'2. Status Detalhe Campos FY24'!A:J,9,FALSE)</f>
        <v>0</v>
      </c>
      <c r="Y371" s="491" t="e">
        <f>+VLOOKUP(A371,#REF!,1,FALSE)</f>
        <v>#REF!</v>
      </c>
    </row>
    <row r="372" spans="1:25" ht="17.899999999999999" hidden="1" customHeight="1">
      <c r="A372" t="str">
        <f>+Table1[[#This Row],[Tabela]]&amp;Table1[[#This Row],[Campo]]</f>
        <v>PROPERTY_ENERGY_CERTIFICATEPNL_SUMMER_WINDOWS_VALUE</v>
      </c>
      <c r="B372" s="2" t="s">
        <v>26</v>
      </c>
      <c r="C372" s="2" t="s">
        <v>54</v>
      </c>
      <c r="D372" s="2" t="s">
        <v>124</v>
      </c>
      <c r="E372" s="2" t="s">
        <v>38</v>
      </c>
      <c r="F372" s="2" t="s">
        <v>123</v>
      </c>
      <c r="G372" s="2" t="s">
        <v>173</v>
      </c>
      <c r="H372" s="56" t="str">
        <f>Table1[[#This Row],[Tabela]]&amp;Table1[[#This Row],[Campo]]</f>
        <v>PROPERTY_ENERGY_CERTIFICATEPNL_SUMMER_WINDOWS_VALUE</v>
      </c>
      <c r="I372" s="2" t="s">
        <v>612</v>
      </c>
      <c r="J372" s="42">
        <f>VLOOKUP(Table1[[#This Row],[Status]],Auxiliar!$B$16:$C$24,2,0)</f>
        <v>1</v>
      </c>
      <c r="K372" s="2" t="s">
        <v>1168</v>
      </c>
      <c r="L372" s="28" t="s">
        <v>1166</v>
      </c>
      <c r="M372" s="20" t="s">
        <v>1175</v>
      </c>
      <c r="N372" s="47">
        <v>45485</v>
      </c>
      <c r="O372" s="20">
        <f>INDEX(Auxiliar!$D$5:$F$13,MATCH(Table1[[#This Row],[Tipologia_Testes]],Auxiliar!$B$5:$B$13,0),MATCH(Table1[[#This Row],[Complexidade]],Auxiliar!$D$4:$F$4,0))</f>
        <v>2</v>
      </c>
      <c r="P372" s="2" t="s">
        <v>1192</v>
      </c>
      <c r="Q372" s="2"/>
      <c r="R372" s="151">
        <v>45261</v>
      </c>
      <c r="S372" s="151"/>
      <c r="T372" s="151"/>
      <c r="U372" s="151"/>
      <c r="V372" s="151"/>
      <c r="W372" s="2">
        <f>VLOOKUP(Table1[[#This Row],[Status]],Auxiliar!$B$16:$D$24,3,0)*Table1[[#This Row],[Estimação (horas)]]</f>
        <v>2</v>
      </c>
      <c r="X372" s="165">
        <f>+VLOOKUP(CONCATENATE(Table1[[#This Row],[Tabela]],Table1[[#This Row],[Campo]]),'2. Status Detalhe Campos FY24'!A:J,9,FALSE)</f>
        <v>0</v>
      </c>
      <c r="Y372" s="491" t="e">
        <f>+VLOOKUP(A372,#REF!,1,FALSE)</f>
        <v>#REF!</v>
      </c>
    </row>
    <row r="373" spans="1:25" ht="17.899999999999999" hidden="1" customHeight="1">
      <c r="A373" t="str">
        <f>+Table1[[#This Row],[Tabela]]&amp;Table1[[#This Row],[Campo]]</f>
        <v>PROPERTY_ENERGY_CERTIFICATEPNL_SUMMER_WINDOWS_VALUE</v>
      </c>
      <c r="B373" s="2" t="s">
        <v>26</v>
      </c>
      <c r="C373" s="2" t="s">
        <v>54</v>
      </c>
      <c r="D373" s="2" t="s">
        <v>124</v>
      </c>
      <c r="E373" s="2" t="s">
        <v>38</v>
      </c>
      <c r="F373" s="2" t="s">
        <v>123</v>
      </c>
      <c r="G373" s="2" t="s">
        <v>173</v>
      </c>
      <c r="H373" s="56" t="str">
        <f>Table1[[#This Row],[Tabela]]&amp;Table1[[#This Row],[Campo]]</f>
        <v>PROPERTY_ENERGY_CERTIFICATEPNL_SUMMER_WINDOWS_VALUE</v>
      </c>
      <c r="I373" s="2" t="s">
        <v>612</v>
      </c>
      <c r="J373" s="42">
        <f>VLOOKUP(Table1[[#This Row],[Status]],Auxiliar!$B$16:$C$24,2,0)</f>
        <v>1</v>
      </c>
      <c r="K373" s="2" t="s">
        <v>1169</v>
      </c>
      <c r="L373" s="28" t="s">
        <v>1166</v>
      </c>
      <c r="M373" s="20" t="s">
        <v>1175</v>
      </c>
      <c r="N373" s="47">
        <v>45485</v>
      </c>
      <c r="O373" s="20">
        <f>INDEX(Auxiliar!$D$5:$F$13,MATCH(Table1[[#This Row],[Tipologia_Testes]],Auxiliar!$B$5:$B$13,0),MATCH(Table1[[#This Row],[Complexidade]],Auxiliar!$D$4:$F$4,0))</f>
        <v>2</v>
      </c>
      <c r="P373" s="2" t="s">
        <v>1192</v>
      </c>
      <c r="Q373" s="2"/>
      <c r="R373" s="151">
        <v>45261</v>
      </c>
      <c r="S373" s="151"/>
      <c r="T373" s="151"/>
      <c r="U373" s="151"/>
      <c r="V373" s="151"/>
      <c r="W373" s="2">
        <f>VLOOKUP(Table1[[#This Row],[Status]],Auxiliar!$B$16:$D$24,3,0)*Table1[[#This Row],[Estimação (horas)]]</f>
        <v>2</v>
      </c>
      <c r="X373" s="165">
        <f>+VLOOKUP(CONCATENATE(Table1[[#This Row],[Tabela]],Table1[[#This Row],[Campo]]),'2. Status Detalhe Campos FY24'!A:J,9,FALSE)</f>
        <v>0</v>
      </c>
      <c r="Y373" s="491" t="e">
        <f>+VLOOKUP(A373,#REF!,1,FALSE)</f>
        <v>#REF!</v>
      </c>
    </row>
    <row r="374" spans="1:25" ht="17.899999999999999" hidden="1" customHeight="1">
      <c r="A374" t="str">
        <f>+Table1[[#This Row],[Tabela]]&amp;Table1[[#This Row],[Campo]]</f>
        <v>PROPERTY_ENERGY_CERTIFICATEPNL_SUMMER_WINDOWS_VALUE</v>
      </c>
      <c r="B374" s="2" t="s">
        <v>26</v>
      </c>
      <c r="C374" s="2" t="s">
        <v>54</v>
      </c>
      <c r="D374" s="2" t="s">
        <v>124</v>
      </c>
      <c r="E374" s="2" t="s">
        <v>38</v>
      </c>
      <c r="F374" s="2" t="s">
        <v>123</v>
      </c>
      <c r="G374" s="2" t="s">
        <v>173</v>
      </c>
      <c r="H374" s="56" t="str">
        <f>Table1[[#This Row],[Tabela]]&amp;Table1[[#This Row],[Campo]]</f>
        <v>PROPERTY_ENERGY_CERTIFICATEPNL_SUMMER_WINDOWS_VALUE</v>
      </c>
      <c r="I374" s="2" t="s">
        <v>612</v>
      </c>
      <c r="J374" s="42">
        <f>VLOOKUP(Table1[[#This Row],[Status]],Auxiliar!$B$16:$C$24,2,0)</f>
        <v>1</v>
      </c>
      <c r="K374" s="2" t="s">
        <v>1171</v>
      </c>
      <c r="L374" s="28" t="s">
        <v>1166</v>
      </c>
      <c r="M374" s="20" t="s">
        <v>1175</v>
      </c>
      <c r="N374" s="47">
        <v>45485</v>
      </c>
      <c r="O374" s="20">
        <f>INDEX(Auxiliar!$D$5:$F$13,MATCH(Table1[[#This Row],[Tipologia_Testes]],Auxiliar!$B$5:$B$13,0),MATCH(Table1[[#This Row],[Complexidade]],Auxiliar!$D$4:$F$4,0))</f>
        <v>0.1</v>
      </c>
      <c r="P374" s="2" t="s">
        <v>1192</v>
      </c>
      <c r="Q374" s="2"/>
      <c r="R374" s="151">
        <v>45261</v>
      </c>
      <c r="S374" s="151"/>
      <c r="T374" s="151"/>
      <c r="U374" s="151"/>
      <c r="V374" s="151"/>
      <c r="W374" s="2">
        <f>VLOOKUP(Table1[[#This Row],[Status]],Auxiliar!$B$16:$D$24,3,0)*Table1[[#This Row],[Estimação (horas)]]</f>
        <v>0.1</v>
      </c>
      <c r="X374" s="165">
        <f>+VLOOKUP(CONCATENATE(Table1[[#This Row],[Tabela]],Table1[[#This Row],[Campo]]),'2. Status Detalhe Campos FY24'!A:J,9,FALSE)</f>
        <v>0</v>
      </c>
      <c r="Y374" s="491" t="e">
        <f>+VLOOKUP(A374,#REF!,1,FALSE)</f>
        <v>#REF!</v>
      </c>
    </row>
    <row r="375" spans="1:25" ht="17.899999999999999" hidden="1" customHeight="1">
      <c r="A375" t="str">
        <f>+Table1[[#This Row],[Tabela]]&amp;Table1[[#This Row],[Campo]]</f>
        <v>PROPERTY_ENERGY_CERTIFICATEPNL_SUMMER_WALLS_DOORS_VALUE</v>
      </c>
      <c r="B375" s="2" t="s">
        <v>26</v>
      </c>
      <c r="C375" s="2" t="s">
        <v>54</v>
      </c>
      <c r="D375" s="2" t="s">
        <v>124</v>
      </c>
      <c r="E375" s="2" t="s">
        <v>38</v>
      </c>
      <c r="F375" s="2" t="s">
        <v>123</v>
      </c>
      <c r="G375" s="2" t="s">
        <v>174</v>
      </c>
      <c r="H375" s="56" t="str">
        <f>Table1[[#This Row],[Tabela]]&amp;Table1[[#This Row],[Campo]]</f>
        <v>PROPERTY_ENERGY_CERTIFICATEPNL_SUMMER_WALLS_DOORS_VALUE</v>
      </c>
      <c r="I375" s="2" t="s">
        <v>612</v>
      </c>
      <c r="J375" s="42">
        <f>VLOOKUP(Table1[[#This Row],[Status]],Auxiliar!$B$16:$C$24,2,0)</f>
        <v>1</v>
      </c>
      <c r="K375" s="2" t="s">
        <v>1168</v>
      </c>
      <c r="L375" s="28" t="s">
        <v>1166</v>
      </c>
      <c r="M375" s="20" t="s">
        <v>1175</v>
      </c>
      <c r="N375" s="47">
        <v>45485</v>
      </c>
      <c r="O375" s="20">
        <f>INDEX(Auxiliar!$D$5:$F$13,MATCH(Table1[[#This Row],[Tipologia_Testes]],Auxiliar!$B$5:$B$13,0),MATCH(Table1[[#This Row],[Complexidade]],Auxiliar!$D$4:$F$4,0))</f>
        <v>2</v>
      </c>
      <c r="P375" s="2" t="s">
        <v>1192</v>
      </c>
      <c r="Q375" s="2"/>
      <c r="R375" s="151">
        <v>45261</v>
      </c>
      <c r="S375" s="151"/>
      <c r="T375" s="151"/>
      <c r="U375" s="151"/>
      <c r="V375" s="151"/>
      <c r="W375" s="2">
        <f>VLOOKUP(Table1[[#This Row],[Status]],Auxiliar!$B$16:$D$24,3,0)*Table1[[#This Row],[Estimação (horas)]]</f>
        <v>2</v>
      </c>
      <c r="X375" s="165">
        <f>+VLOOKUP(CONCATENATE(Table1[[#This Row],[Tabela]],Table1[[#This Row],[Campo]]),'2. Status Detalhe Campos FY24'!A:J,9,FALSE)</f>
        <v>0</v>
      </c>
      <c r="Y375" s="491" t="e">
        <f>+VLOOKUP(A375,#REF!,1,FALSE)</f>
        <v>#REF!</v>
      </c>
    </row>
    <row r="376" spans="1:25" ht="17.899999999999999" hidden="1" customHeight="1">
      <c r="A376" t="str">
        <f>+Table1[[#This Row],[Tabela]]&amp;Table1[[#This Row],[Campo]]</f>
        <v>PROPERTY_ENERGY_CERTIFICATEPNL_SUMMER_WALLS_DOORS_VALUE</v>
      </c>
      <c r="B376" s="2" t="s">
        <v>26</v>
      </c>
      <c r="C376" s="2" t="s">
        <v>54</v>
      </c>
      <c r="D376" s="2" t="s">
        <v>124</v>
      </c>
      <c r="E376" s="2" t="s">
        <v>38</v>
      </c>
      <c r="F376" s="2" t="s">
        <v>123</v>
      </c>
      <c r="G376" s="2" t="s">
        <v>174</v>
      </c>
      <c r="H376" s="56" t="str">
        <f>Table1[[#This Row],[Tabela]]&amp;Table1[[#This Row],[Campo]]</f>
        <v>PROPERTY_ENERGY_CERTIFICATEPNL_SUMMER_WALLS_DOORS_VALUE</v>
      </c>
      <c r="I376" s="2" t="s">
        <v>612</v>
      </c>
      <c r="J376" s="42">
        <f>VLOOKUP(Table1[[#This Row],[Status]],Auxiliar!$B$16:$C$24,2,0)</f>
        <v>1</v>
      </c>
      <c r="K376" s="2" t="s">
        <v>1169</v>
      </c>
      <c r="L376" s="28" t="s">
        <v>1166</v>
      </c>
      <c r="M376" s="20" t="s">
        <v>1175</v>
      </c>
      <c r="N376" s="47">
        <v>45485</v>
      </c>
      <c r="O376" s="20">
        <f>INDEX(Auxiliar!$D$5:$F$13,MATCH(Table1[[#This Row],[Tipologia_Testes]],Auxiliar!$B$5:$B$13,0),MATCH(Table1[[#This Row],[Complexidade]],Auxiliar!$D$4:$F$4,0))</f>
        <v>2</v>
      </c>
      <c r="P376" s="2" t="s">
        <v>1192</v>
      </c>
      <c r="Q376" s="2"/>
      <c r="R376" s="151">
        <v>45261</v>
      </c>
      <c r="S376" s="151"/>
      <c r="T376" s="151"/>
      <c r="U376" s="151"/>
      <c r="V376" s="151"/>
      <c r="W376" s="2">
        <f>VLOOKUP(Table1[[#This Row],[Status]],Auxiliar!$B$16:$D$24,3,0)*Table1[[#This Row],[Estimação (horas)]]</f>
        <v>2</v>
      </c>
      <c r="X376" s="165">
        <f>+VLOOKUP(CONCATENATE(Table1[[#This Row],[Tabela]],Table1[[#This Row],[Campo]]),'2. Status Detalhe Campos FY24'!A:J,9,FALSE)</f>
        <v>0</v>
      </c>
      <c r="Y376" s="491" t="e">
        <f>+VLOOKUP(A376,#REF!,1,FALSE)</f>
        <v>#REF!</v>
      </c>
    </row>
    <row r="377" spans="1:25" ht="17.899999999999999" hidden="1" customHeight="1">
      <c r="A377" t="str">
        <f>+Table1[[#This Row],[Tabela]]&amp;Table1[[#This Row],[Campo]]</f>
        <v>PROPERTY_ENERGY_CERTIFICATEPNL_SUMMER_WALLS_DOORS_VALUE</v>
      </c>
      <c r="B377" s="2" t="s">
        <v>26</v>
      </c>
      <c r="C377" s="2" t="s">
        <v>54</v>
      </c>
      <c r="D377" s="2" t="s">
        <v>124</v>
      </c>
      <c r="E377" s="2" t="s">
        <v>38</v>
      </c>
      <c r="F377" s="2" t="s">
        <v>123</v>
      </c>
      <c r="G377" s="2" t="s">
        <v>174</v>
      </c>
      <c r="H377" s="56" t="str">
        <f>Table1[[#This Row],[Tabela]]&amp;Table1[[#This Row],[Campo]]</f>
        <v>PROPERTY_ENERGY_CERTIFICATEPNL_SUMMER_WALLS_DOORS_VALUE</v>
      </c>
      <c r="I377" s="2" t="s">
        <v>612</v>
      </c>
      <c r="J377" s="42">
        <f>VLOOKUP(Table1[[#This Row],[Status]],Auxiliar!$B$16:$C$24,2,0)</f>
        <v>1</v>
      </c>
      <c r="K377" s="2" t="s">
        <v>1171</v>
      </c>
      <c r="L377" s="28" t="s">
        <v>1166</v>
      </c>
      <c r="M377" s="20" t="s">
        <v>1175</v>
      </c>
      <c r="N377" s="47">
        <v>45485</v>
      </c>
      <c r="O377" s="20">
        <f>INDEX(Auxiliar!$D$5:$F$13,MATCH(Table1[[#This Row],[Tipologia_Testes]],Auxiliar!$B$5:$B$13,0),MATCH(Table1[[#This Row],[Complexidade]],Auxiliar!$D$4:$F$4,0))</f>
        <v>0.1</v>
      </c>
      <c r="P377" s="2" t="s">
        <v>1192</v>
      </c>
      <c r="Q377" s="2"/>
      <c r="R377" s="151">
        <v>45261</v>
      </c>
      <c r="S377" s="151"/>
      <c r="T377" s="151"/>
      <c r="U377" s="151"/>
      <c r="V377" s="151"/>
      <c r="W377" s="2">
        <f>VLOOKUP(Table1[[#This Row],[Status]],Auxiliar!$B$16:$D$24,3,0)*Table1[[#This Row],[Estimação (horas)]]</f>
        <v>0.1</v>
      </c>
      <c r="X377" s="165">
        <f>+VLOOKUP(CONCATENATE(Table1[[#This Row],[Tabela]],Table1[[#This Row],[Campo]]),'2. Status Detalhe Campos FY24'!A:J,9,FALSE)</f>
        <v>0</v>
      </c>
      <c r="Y377" s="491" t="e">
        <f>+VLOOKUP(A377,#REF!,1,FALSE)</f>
        <v>#REF!</v>
      </c>
    </row>
    <row r="378" spans="1:25" ht="17.899999999999999" hidden="1" customHeight="1">
      <c r="A378" t="str">
        <f>+Table1[[#This Row],[Tabela]]&amp;Table1[[#This Row],[Campo]]</f>
        <v>PROPERTY_ENERGY_CERTIFICATEPNL_SUMMER_REF_VALUE</v>
      </c>
      <c r="B378" s="2" t="s">
        <v>26</v>
      </c>
      <c r="C378" s="2" t="s">
        <v>54</v>
      </c>
      <c r="D378" s="2" t="s">
        <v>124</v>
      </c>
      <c r="E378" s="2" t="s">
        <v>38</v>
      </c>
      <c r="F378" s="2" t="s">
        <v>123</v>
      </c>
      <c r="G378" s="2" t="s">
        <v>175</v>
      </c>
      <c r="H378" s="56" t="str">
        <f>Table1[[#This Row],[Tabela]]&amp;Table1[[#This Row],[Campo]]</f>
        <v>PROPERTY_ENERGY_CERTIFICATEPNL_SUMMER_REF_VALUE</v>
      </c>
      <c r="I378" s="2" t="s">
        <v>612</v>
      </c>
      <c r="J378" s="42">
        <f>VLOOKUP(Table1[[#This Row],[Status]],Auxiliar!$B$16:$C$24,2,0)</f>
        <v>1</v>
      </c>
      <c r="K378" s="2" t="s">
        <v>1168</v>
      </c>
      <c r="L378" s="28" t="s">
        <v>1166</v>
      </c>
      <c r="M378" s="20" t="s">
        <v>1175</v>
      </c>
      <c r="N378" s="47">
        <v>45485</v>
      </c>
      <c r="O378" s="20">
        <f>INDEX(Auxiliar!$D$5:$F$13,MATCH(Table1[[#This Row],[Tipologia_Testes]],Auxiliar!$B$5:$B$13,0),MATCH(Table1[[#This Row],[Complexidade]],Auxiliar!$D$4:$F$4,0))</f>
        <v>2</v>
      </c>
      <c r="P378" s="2" t="s">
        <v>1192</v>
      </c>
      <c r="Q378" s="2"/>
      <c r="R378" s="151">
        <v>45261</v>
      </c>
      <c r="S378" s="151"/>
      <c r="T378" s="151"/>
      <c r="U378" s="151"/>
      <c r="V378" s="151"/>
      <c r="W378" s="2">
        <f>VLOOKUP(Table1[[#This Row],[Status]],Auxiliar!$B$16:$D$24,3,0)*Table1[[#This Row],[Estimação (horas)]]</f>
        <v>2</v>
      </c>
      <c r="X378" s="165">
        <f>+VLOOKUP(CONCATENATE(Table1[[#This Row],[Tabela]],Table1[[#This Row],[Campo]]),'2. Status Detalhe Campos FY24'!A:J,9,FALSE)</f>
        <v>0</v>
      </c>
      <c r="Y378" s="491" t="e">
        <f>+VLOOKUP(A378,#REF!,1,FALSE)</f>
        <v>#REF!</v>
      </c>
    </row>
    <row r="379" spans="1:25" ht="17.899999999999999" hidden="1" customHeight="1">
      <c r="A379" t="str">
        <f>+Table1[[#This Row],[Tabela]]&amp;Table1[[#This Row],[Campo]]</f>
        <v>PROPERTY_ENERGY_CERTIFICATEPNL_SUMMER_REF_VALUE</v>
      </c>
      <c r="B379" s="2" t="s">
        <v>26</v>
      </c>
      <c r="C379" s="2" t="s">
        <v>54</v>
      </c>
      <c r="D379" s="2" t="s">
        <v>124</v>
      </c>
      <c r="E379" s="2" t="s">
        <v>38</v>
      </c>
      <c r="F379" s="2" t="s">
        <v>123</v>
      </c>
      <c r="G379" s="2" t="s">
        <v>175</v>
      </c>
      <c r="H379" s="56" t="str">
        <f>Table1[[#This Row],[Tabela]]&amp;Table1[[#This Row],[Campo]]</f>
        <v>PROPERTY_ENERGY_CERTIFICATEPNL_SUMMER_REF_VALUE</v>
      </c>
      <c r="I379" s="2" t="s">
        <v>612</v>
      </c>
      <c r="J379" s="42">
        <f>VLOOKUP(Table1[[#This Row],[Status]],Auxiliar!$B$16:$C$24,2,0)</f>
        <v>1</v>
      </c>
      <c r="K379" s="2" t="s">
        <v>1169</v>
      </c>
      <c r="L379" s="28" t="s">
        <v>1166</v>
      </c>
      <c r="M379" s="20" t="s">
        <v>1175</v>
      </c>
      <c r="N379" s="47">
        <v>45485</v>
      </c>
      <c r="O379" s="20">
        <f>INDEX(Auxiliar!$D$5:$F$13,MATCH(Table1[[#This Row],[Tipologia_Testes]],Auxiliar!$B$5:$B$13,0),MATCH(Table1[[#This Row],[Complexidade]],Auxiliar!$D$4:$F$4,0))</f>
        <v>2</v>
      </c>
      <c r="P379" s="2" t="s">
        <v>1192</v>
      </c>
      <c r="Q379" s="2"/>
      <c r="R379" s="151">
        <v>45261</v>
      </c>
      <c r="S379" s="151"/>
      <c r="T379" s="151"/>
      <c r="U379" s="151"/>
      <c r="V379" s="151"/>
      <c r="W379" s="2">
        <f>VLOOKUP(Table1[[#This Row],[Status]],Auxiliar!$B$16:$D$24,3,0)*Table1[[#This Row],[Estimação (horas)]]</f>
        <v>2</v>
      </c>
      <c r="X379" s="165">
        <f>+VLOOKUP(CONCATENATE(Table1[[#This Row],[Tabela]],Table1[[#This Row],[Campo]]),'2. Status Detalhe Campos FY24'!A:J,9,FALSE)</f>
        <v>0</v>
      </c>
      <c r="Y379" s="491" t="e">
        <f>+VLOOKUP(A379,#REF!,1,FALSE)</f>
        <v>#REF!</v>
      </c>
    </row>
    <row r="380" spans="1:25" ht="17.899999999999999" hidden="1" customHeight="1">
      <c r="A380" t="str">
        <f>+Table1[[#This Row],[Tabela]]&amp;Table1[[#This Row],[Campo]]</f>
        <v>PROPERTY_ENERGY_CERTIFICATEPNL_SUMMER_REF_VALUE</v>
      </c>
      <c r="B380" s="2" t="s">
        <v>26</v>
      </c>
      <c r="C380" s="2" t="s">
        <v>54</v>
      </c>
      <c r="D380" s="2" t="s">
        <v>124</v>
      </c>
      <c r="E380" s="2" t="s">
        <v>38</v>
      </c>
      <c r="F380" s="2" t="s">
        <v>123</v>
      </c>
      <c r="G380" s="2" t="s">
        <v>175</v>
      </c>
      <c r="H380" s="56" t="str">
        <f>Table1[[#This Row],[Tabela]]&amp;Table1[[#This Row],[Campo]]</f>
        <v>PROPERTY_ENERGY_CERTIFICATEPNL_SUMMER_REF_VALUE</v>
      </c>
      <c r="I380" s="2" t="s">
        <v>612</v>
      </c>
      <c r="J380" s="42">
        <f>VLOOKUP(Table1[[#This Row],[Status]],Auxiliar!$B$16:$C$24,2,0)</f>
        <v>1</v>
      </c>
      <c r="K380" s="2" t="s">
        <v>1171</v>
      </c>
      <c r="L380" s="28" t="s">
        <v>1166</v>
      </c>
      <c r="M380" s="20" t="s">
        <v>1175</v>
      </c>
      <c r="N380" s="47">
        <v>45485</v>
      </c>
      <c r="O380" s="20">
        <f>INDEX(Auxiliar!$D$5:$F$13,MATCH(Table1[[#This Row],[Tipologia_Testes]],Auxiliar!$B$5:$B$13,0),MATCH(Table1[[#This Row],[Complexidade]],Auxiliar!$D$4:$F$4,0))</f>
        <v>0.1</v>
      </c>
      <c r="P380" s="2" t="s">
        <v>1192</v>
      </c>
      <c r="Q380" s="2"/>
      <c r="R380" s="151">
        <v>45261</v>
      </c>
      <c r="S380" s="151"/>
      <c r="T380" s="151"/>
      <c r="U380" s="151"/>
      <c r="V380" s="151"/>
      <c r="W380" s="2">
        <f>VLOOKUP(Table1[[#This Row],[Status]],Auxiliar!$B$16:$D$24,3,0)*Table1[[#This Row],[Estimação (horas)]]</f>
        <v>0.1</v>
      </c>
      <c r="X380" s="165">
        <f>+VLOOKUP(CONCATENATE(Table1[[#This Row],[Tabela]],Table1[[#This Row],[Campo]]),'2. Status Detalhe Campos FY24'!A:J,9,FALSE)</f>
        <v>0</v>
      </c>
      <c r="Y380" s="491" t="e">
        <f>+VLOOKUP(A380,#REF!,1,FALSE)</f>
        <v>#REF!</v>
      </c>
    </row>
    <row r="381" spans="1:25" ht="17.899999999999999" hidden="1" customHeight="1">
      <c r="A381" t="str">
        <f>+Table1[[#This Row],[Tabela]]&amp;Table1[[#This Row],[Campo]]</f>
        <v>PROPERTY_ENERGY_CERTIFICATEINVOICE_RED_ANNUAL_ESTMTD_VALUE</v>
      </c>
      <c r="B381" s="2" t="s">
        <v>26</v>
      </c>
      <c r="C381" s="2" t="s">
        <v>54</v>
      </c>
      <c r="D381" s="2" t="s">
        <v>124</v>
      </c>
      <c r="E381" s="2" t="s">
        <v>38</v>
      </c>
      <c r="F381" s="2" t="s">
        <v>123</v>
      </c>
      <c r="G381" s="2" t="s">
        <v>176</v>
      </c>
      <c r="H381" s="56" t="str">
        <f>Table1[[#This Row],[Tabela]]&amp;Table1[[#This Row],[Campo]]</f>
        <v>PROPERTY_ENERGY_CERTIFICATEINVOICE_RED_ANNUAL_ESTMTD_VALUE</v>
      </c>
      <c r="I381" s="2" t="s">
        <v>612</v>
      </c>
      <c r="J381" s="42">
        <f>VLOOKUP(Table1[[#This Row],[Status]],Auxiliar!$B$16:$C$24,2,0)</f>
        <v>1</v>
      </c>
      <c r="K381" s="2" t="s">
        <v>1168</v>
      </c>
      <c r="L381" s="28" t="s">
        <v>1166</v>
      </c>
      <c r="M381" s="20" t="s">
        <v>1175</v>
      </c>
      <c r="N381" s="47">
        <v>45485</v>
      </c>
      <c r="O381" s="20">
        <f>INDEX(Auxiliar!$D$5:$F$13,MATCH(Table1[[#This Row],[Tipologia_Testes]],Auxiliar!$B$5:$B$13,0),MATCH(Table1[[#This Row],[Complexidade]],Auxiliar!$D$4:$F$4,0))</f>
        <v>2</v>
      </c>
      <c r="P381" s="2" t="s">
        <v>1192</v>
      </c>
      <c r="Q381" s="2"/>
      <c r="R381" s="151">
        <v>45261</v>
      </c>
      <c r="S381" s="151"/>
      <c r="T381" s="151"/>
      <c r="U381" s="151"/>
      <c r="V381" s="151"/>
      <c r="W381" s="2">
        <f>VLOOKUP(Table1[[#This Row],[Status]],Auxiliar!$B$16:$D$24,3,0)*Table1[[#This Row],[Estimação (horas)]]</f>
        <v>2</v>
      </c>
      <c r="X381" s="165">
        <f>+VLOOKUP(CONCATENATE(Table1[[#This Row],[Tabela]],Table1[[#This Row],[Campo]]),'2. Status Detalhe Campos FY24'!A:J,9,FALSE)</f>
        <v>0</v>
      </c>
      <c r="Y381" s="491" t="e">
        <f>+VLOOKUP(A381,#REF!,1,FALSE)</f>
        <v>#REF!</v>
      </c>
    </row>
    <row r="382" spans="1:25" ht="17.899999999999999" hidden="1" customHeight="1">
      <c r="A382" t="str">
        <f>+Table1[[#This Row],[Tabela]]&amp;Table1[[#This Row],[Campo]]</f>
        <v>PROPERTY_ENERGY_CERTIFICATEINVOICE_RED_ANNUAL_ESTMTD_VALUE</v>
      </c>
      <c r="B382" s="2" t="s">
        <v>26</v>
      </c>
      <c r="C382" s="2" t="s">
        <v>54</v>
      </c>
      <c r="D382" s="2" t="s">
        <v>124</v>
      </c>
      <c r="E382" s="2" t="s">
        <v>38</v>
      </c>
      <c r="F382" s="2" t="s">
        <v>123</v>
      </c>
      <c r="G382" s="2" t="s">
        <v>176</v>
      </c>
      <c r="H382" s="56" t="str">
        <f>Table1[[#This Row],[Tabela]]&amp;Table1[[#This Row],[Campo]]</f>
        <v>PROPERTY_ENERGY_CERTIFICATEINVOICE_RED_ANNUAL_ESTMTD_VALUE</v>
      </c>
      <c r="I382" s="2" t="s">
        <v>612</v>
      </c>
      <c r="J382" s="42">
        <f>VLOOKUP(Table1[[#This Row],[Status]],Auxiliar!$B$16:$C$24,2,0)</f>
        <v>1</v>
      </c>
      <c r="K382" s="2" t="s">
        <v>1169</v>
      </c>
      <c r="L382" s="28" t="s">
        <v>1166</v>
      </c>
      <c r="M382" s="20" t="s">
        <v>1175</v>
      </c>
      <c r="N382" s="47">
        <v>45485</v>
      </c>
      <c r="O382" s="20">
        <f>INDEX(Auxiliar!$D$5:$F$13,MATCH(Table1[[#This Row],[Tipologia_Testes]],Auxiliar!$B$5:$B$13,0),MATCH(Table1[[#This Row],[Complexidade]],Auxiliar!$D$4:$F$4,0))</f>
        <v>2</v>
      </c>
      <c r="P382" s="2" t="s">
        <v>1192</v>
      </c>
      <c r="Q382" s="2"/>
      <c r="R382" s="151">
        <v>45261</v>
      </c>
      <c r="S382" s="151"/>
      <c r="T382" s="151"/>
      <c r="U382" s="151"/>
      <c r="V382" s="151"/>
      <c r="W382" s="2">
        <f>VLOOKUP(Table1[[#This Row],[Status]],Auxiliar!$B$16:$D$24,3,0)*Table1[[#This Row],[Estimação (horas)]]</f>
        <v>2</v>
      </c>
      <c r="X382" s="165">
        <f>+VLOOKUP(CONCATENATE(Table1[[#This Row],[Tabela]],Table1[[#This Row],[Campo]]),'2. Status Detalhe Campos FY24'!A:J,9,FALSE)</f>
        <v>0</v>
      </c>
      <c r="Y382" s="491" t="e">
        <f>+VLOOKUP(A382,#REF!,1,FALSE)</f>
        <v>#REF!</v>
      </c>
    </row>
    <row r="383" spans="1:25" ht="17.899999999999999" hidden="1" customHeight="1">
      <c r="A383" t="str">
        <f>+Table1[[#This Row],[Tabela]]&amp;Table1[[#This Row],[Campo]]</f>
        <v>PROPERTY_ENERGY_CERTIFICATEINVOICE_RED_ANNUAL_ESTMTD_VALUE</v>
      </c>
      <c r="B383" s="2" t="s">
        <v>26</v>
      </c>
      <c r="C383" s="2" t="s">
        <v>54</v>
      </c>
      <c r="D383" s="2" t="s">
        <v>124</v>
      </c>
      <c r="E383" s="2" t="s">
        <v>38</v>
      </c>
      <c r="F383" s="2" t="s">
        <v>123</v>
      </c>
      <c r="G383" s="2" t="s">
        <v>176</v>
      </c>
      <c r="H383" s="56" t="str">
        <f>Table1[[#This Row],[Tabela]]&amp;Table1[[#This Row],[Campo]]</f>
        <v>PROPERTY_ENERGY_CERTIFICATEINVOICE_RED_ANNUAL_ESTMTD_VALUE</v>
      </c>
      <c r="I383" s="2" t="s">
        <v>612</v>
      </c>
      <c r="J383" s="42">
        <f>VLOOKUP(Table1[[#This Row],[Status]],Auxiliar!$B$16:$C$24,2,0)</f>
        <v>1</v>
      </c>
      <c r="K383" s="2" t="s">
        <v>1171</v>
      </c>
      <c r="L383" s="28" t="s">
        <v>1166</v>
      </c>
      <c r="M383" s="20" t="s">
        <v>1175</v>
      </c>
      <c r="N383" s="47">
        <v>45485</v>
      </c>
      <c r="O383" s="20">
        <f>INDEX(Auxiliar!$D$5:$F$13,MATCH(Table1[[#This Row],[Tipologia_Testes]],Auxiliar!$B$5:$B$13,0),MATCH(Table1[[#This Row],[Complexidade]],Auxiliar!$D$4:$F$4,0))</f>
        <v>0.1</v>
      </c>
      <c r="P383" s="2" t="s">
        <v>1192</v>
      </c>
      <c r="Q383" s="2"/>
      <c r="R383" s="151">
        <v>45261</v>
      </c>
      <c r="S383" s="151"/>
      <c r="T383" s="151"/>
      <c r="U383" s="151"/>
      <c r="V383" s="151"/>
      <c r="W383" s="2">
        <f>VLOOKUP(Table1[[#This Row],[Status]],Auxiliar!$B$16:$D$24,3,0)*Table1[[#This Row],[Estimação (horas)]]</f>
        <v>0.1</v>
      </c>
      <c r="X383" s="165">
        <f>+VLOOKUP(CONCATENATE(Table1[[#This Row],[Tabela]],Table1[[#This Row],[Campo]]),'2. Status Detalhe Campos FY24'!A:J,9,FALSE)</f>
        <v>0</v>
      </c>
      <c r="Y383" s="491" t="e">
        <f>+VLOOKUP(A383,#REF!,1,FALSE)</f>
        <v>#REF!</v>
      </c>
    </row>
    <row r="384" spans="1:25" ht="17.899999999999999" hidden="1" customHeight="1">
      <c r="A384" t="str">
        <f>+Table1[[#This Row],[Tabela]]&amp;Table1[[#This Row],[Campo]]</f>
        <v>PROPERTY_ENERGY_CERTIFICATETEMPERATURE_OUTDOOR_AVG_VALUE</v>
      </c>
      <c r="B384" s="2" t="s">
        <v>26</v>
      </c>
      <c r="C384" s="2" t="s">
        <v>54</v>
      </c>
      <c r="D384" s="2" t="s">
        <v>124</v>
      </c>
      <c r="E384" s="2" t="s">
        <v>38</v>
      </c>
      <c r="F384" s="2" t="s">
        <v>123</v>
      </c>
      <c r="G384" s="2" t="s">
        <v>177</v>
      </c>
      <c r="H384" s="56" t="str">
        <f>Table1[[#This Row],[Tabela]]&amp;Table1[[#This Row],[Campo]]</f>
        <v>PROPERTY_ENERGY_CERTIFICATETEMPERATURE_OUTDOOR_AVG_VALUE</v>
      </c>
      <c r="I384" s="2" t="s">
        <v>612</v>
      </c>
      <c r="J384" s="42">
        <f>VLOOKUP(Table1[[#This Row],[Status]],Auxiliar!$B$16:$C$24,2,0)</f>
        <v>1</v>
      </c>
      <c r="K384" s="2" t="s">
        <v>1168</v>
      </c>
      <c r="L384" s="28" t="s">
        <v>1166</v>
      </c>
      <c r="M384" s="20" t="s">
        <v>1175</v>
      </c>
      <c r="N384" s="47">
        <v>45485</v>
      </c>
      <c r="O384" s="20">
        <f>INDEX(Auxiliar!$D$5:$F$13,MATCH(Table1[[#This Row],[Tipologia_Testes]],Auxiliar!$B$5:$B$13,0),MATCH(Table1[[#This Row],[Complexidade]],Auxiliar!$D$4:$F$4,0))</f>
        <v>2</v>
      </c>
      <c r="P384" s="2" t="s">
        <v>1192</v>
      </c>
      <c r="Q384" s="2"/>
      <c r="R384" s="151">
        <v>45261</v>
      </c>
      <c r="S384" s="151"/>
      <c r="T384" s="151"/>
      <c r="U384" s="151"/>
      <c r="V384" s="151"/>
      <c r="W384" s="2">
        <f>VLOOKUP(Table1[[#This Row],[Status]],Auxiliar!$B$16:$D$24,3,0)*Table1[[#This Row],[Estimação (horas)]]</f>
        <v>2</v>
      </c>
      <c r="X384" s="165">
        <f>+VLOOKUP(CONCATENATE(Table1[[#This Row],[Tabela]],Table1[[#This Row],[Campo]]),'2. Status Detalhe Campos FY24'!A:J,9,FALSE)</f>
        <v>0</v>
      </c>
      <c r="Y384" s="491" t="e">
        <f>+VLOOKUP(A384,#REF!,1,FALSE)</f>
        <v>#REF!</v>
      </c>
    </row>
    <row r="385" spans="1:25" ht="17.899999999999999" hidden="1" customHeight="1">
      <c r="A385" t="str">
        <f>+Table1[[#This Row],[Tabela]]&amp;Table1[[#This Row],[Campo]]</f>
        <v>PROPERTY_ENERGY_CERTIFICATETEMPERATURE_OUTDOOR_AVG_VALUE</v>
      </c>
      <c r="B385" s="2" t="s">
        <v>26</v>
      </c>
      <c r="C385" s="2" t="s">
        <v>54</v>
      </c>
      <c r="D385" s="2" t="s">
        <v>124</v>
      </c>
      <c r="E385" s="2" t="s">
        <v>38</v>
      </c>
      <c r="F385" s="2" t="s">
        <v>123</v>
      </c>
      <c r="G385" s="2" t="s">
        <v>177</v>
      </c>
      <c r="H385" s="56" t="str">
        <f>Table1[[#This Row],[Tabela]]&amp;Table1[[#This Row],[Campo]]</f>
        <v>PROPERTY_ENERGY_CERTIFICATETEMPERATURE_OUTDOOR_AVG_VALUE</v>
      </c>
      <c r="I385" s="2" t="s">
        <v>612</v>
      </c>
      <c r="J385" s="42">
        <f>VLOOKUP(Table1[[#This Row],[Status]],Auxiliar!$B$16:$C$24,2,0)</f>
        <v>1</v>
      </c>
      <c r="K385" s="2" t="s">
        <v>1169</v>
      </c>
      <c r="L385" s="28" t="s">
        <v>1166</v>
      </c>
      <c r="M385" s="20" t="s">
        <v>1175</v>
      </c>
      <c r="N385" s="47">
        <v>45485</v>
      </c>
      <c r="O385" s="20">
        <f>INDEX(Auxiliar!$D$5:$F$13,MATCH(Table1[[#This Row],[Tipologia_Testes]],Auxiliar!$B$5:$B$13,0),MATCH(Table1[[#This Row],[Complexidade]],Auxiliar!$D$4:$F$4,0))</f>
        <v>2</v>
      </c>
      <c r="P385" s="2" t="s">
        <v>1192</v>
      </c>
      <c r="Q385" s="2"/>
      <c r="R385" s="151">
        <v>45261</v>
      </c>
      <c r="S385" s="151"/>
      <c r="T385" s="151"/>
      <c r="U385" s="151"/>
      <c r="V385" s="151"/>
      <c r="W385" s="2">
        <f>VLOOKUP(Table1[[#This Row],[Status]],Auxiliar!$B$16:$D$24,3,0)*Table1[[#This Row],[Estimação (horas)]]</f>
        <v>2</v>
      </c>
      <c r="X385" s="165">
        <f>+VLOOKUP(CONCATENATE(Table1[[#This Row],[Tabela]],Table1[[#This Row],[Campo]]),'2. Status Detalhe Campos FY24'!A:J,9,FALSE)</f>
        <v>0</v>
      </c>
      <c r="Y385" s="491" t="e">
        <f>+VLOOKUP(A385,#REF!,1,FALSE)</f>
        <v>#REF!</v>
      </c>
    </row>
    <row r="386" spans="1:25" ht="17.899999999999999" hidden="1" customHeight="1">
      <c r="A386" t="str">
        <f>+Table1[[#This Row],[Tabela]]&amp;Table1[[#This Row],[Campo]]</f>
        <v>PROPERTY_ENERGY_CERTIFICATETEMPERATURE_OUTDOOR_AVG_VALUE</v>
      </c>
      <c r="B386" s="2" t="s">
        <v>26</v>
      </c>
      <c r="C386" s="2" t="s">
        <v>54</v>
      </c>
      <c r="D386" s="2" t="s">
        <v>124</v>
      </c>
      <c r="E386" s="2" t="s">
        <v>38</v>
      </c>
      <c r="F386" s="2" t="s">
        <v>123</v>
      </c>
      <c r="G386" s="2" t="s">
        <v>177</v>
      </c>
      <c r="H386" s="56" t="str">
        <f>Table1[[#This Row],[Tabela]]&amp;Table1[[#This Row],[Campo]]</f>
        <v>PROPERTY_ENERGY_CERTIFICATETEMPERATURE_OUTDOOR_AVG_VALUE</v>
      </c>
      <c r="I386" s="2" t="s">
        <v>612</v>
      </c>
      <c r="J386" s="42">
        <f>VLOOKUP(Table1[[#This Row],[Status]],Auxiliar!$B$16:$C$24,2,0)</f>
        <v>1</v>
      </c>
      <c r="K386" s="2" t="s">
        <v>1171</v>
      </c>
      <c r="L386" s="28" t="s">
        <v>1166</v>
      </c>
      <c r="M386" s="20" t="s">
        <v>1175</v>
      </c>
      <c r="N386" s="47">
        <v>45485</v>
      </c>
      <c r="O386" s="20">
        <f>INDEX(Auxiliar!$D$5:$F$13,MATCH(Table1[[#This Row],[Tipologia_Testes]],Auxiliar!$B$5:$B$13,0),MATCH(Table1[[#This Row],[Complexidade]],Auxiliar!$D$4:$F$4,0))</f>
        <v>0.1</v>
      </c>
      <c r="P386" s="2" t="s">
        <v>1192</v>
      </c>
      <c r="Q386" s="2"/>
      <c r="R386" s="151">
        <v>45261</v>
      </c>
      <c r="S386" s="151"/>
      <c r="T386" s="151"/>
      <c r="U386" s="151"/>
      <c r="V386" s="151"/>
      <c r="W386" s="2">
        <f>VLOOKUP(Table1[[#This Row],[Status]],Auxiliar!$B$16:$D$24,3,0)*Table1[[#This Row],[Estimação (horas)]]</f>
        <v>0.1</v>
      </c>
      <c r="X386" s="165">
        <f>+VLOOKUP(CONCATENATE(Table1[[#This Row],[Tabela]],Table1[[#This Row],[Campo]]),'2. Status Detalhe Campos FY24'!A:J,9,FALSE)</f>
        <v>0</v>
      </c>
      <c r="Y386" s="491" t="e">
        <f>+VLOOKUP(A386,#REF!,1,FALSE)</f>
        <v>#REF!</v>
      </c>
    </row>
    <row r="387" spans="1:25" ht="17.899999999999999" hidden="1" customHeight="1">
      <c r="A387" t="str">
        <f>+Table1[[#This Row],[Tabela]]&amp;Table1[[#This Row],[Campo]]</f>
        <v>PROPERTY_ENERGY_CERTIFICATECLIMATE_ZONE_WINTER</v>
      </c>
      <c r="B387" s="2" t="s">
        <v>26</v>
      </c>
      <c r="C387" s="2" t="s">
        <v>54</v>
      </c>
      <c r="D387" s="2" t="s">
        <v>124</v>
      </c>
      <c r="E387" s="2" t="s">
        <v>38</v>
      </c>
      <c r="F387" s="2" t="s">
        <v>123</v>
      </c>
      <c r="G387" s="2" t="s">
        <v>178</v>
      </c>
      <c r="H387" s="56" t="str">
        <f>Table1[[#This Row],[Tabela]]&amp;Table1[[#This Row],[Campo]]</f>
        <v>PROPERTY_ENERGY_CERTIFICATECLIMATE_ZONE_WINTER</v>
      </c>
      <c r="I387" s="2" t="s">
        <v>612</v>
      </c>
      <c r="J387" s="42">
        <f>VLOOKUP(Table1[[#This Row],[Status]],Auxiliar!$B$16:$C$24,2,0)</f>
        <v>1</v>
      </c>
      <c r="K387" s="2" t="s">
        <v>1168</v>
      </c>
      <c r="L387" s="28" t="s">
        <v>1166</v>
      </c>
      <c r="M387" s="20" t="s">
        <v>1175</v>
      </c>
      <c r="N387" s="47">
        <v>45485</v>
      </c>
      <c r="O387" s="20">
        <f>INDEX(Auxiliar!$D$5:$F$13,MATCH(Table1[[#This Row],[Tipologia_Testes]],Auxiliar!$B$5:$B$13,0),MATCH(Table1[[#This Row],[Complexidade]],Auxiliar!$D$4:$F$4,0))</f>
        <v>2</v>
      </c>
      <c r="P387" s="2" t="s">
        <v>1192</v>
      </c>
      <c r="Q387" s="2"/>
      <c r="R387" s="151">
        <v>45261</v>
      </c>
      <c r="S387" s="151"/>
      <c r="T387" s="151"/>
      <c r="U387" s="151"/>
      <c r="V387" s="151"/>
      <c r="W387" s="2">
        <f>VLOOKUP(Table1[[#This Row],[Status]],Auxiliar!$B$16:$D$24,3,0)*Table1[[#This Row],[Estimação (horas)]]</f>
        <v>2</v>
      </c>
      <c r="X387" s="165">
        <f>+VLOOKUP(CONCATENATE(Table1[[#This Row],[Tabela]],Table1[[#This Row],[Campo]]),'2. Status Detalhe Campos FY24'!A:J,9,FALSE)</f>
        <v>0</v>
      </c>
      <c r="Y387" s="491" t="e">
        <f>+VLOOKUP(A387,#REF!,1,FALSE)</f>
        <v>#REF!</v>
      </c>
    </row>
    <row r="388" spans="1:25" ht="17.899999999999999" hidden="1" customHeight="1">
      <c r="A388" t="str">
        <f>+Table1[[#This Row],[Tabela]]&amp;Table1[[#This Row],[Campo]]</f>
        <v>PROPERTY_ENERGY_CERTIFICATECLIMATE_ZONE_WINTER</v>
      </c>
      <c r="B388" s="2" t="s">
        <v>26</v>
      </c>
      <c r="C388" s="2" t="s">
        <v>54</v>
      </c>
      <c r="D388" s="2" t="s">
        <v>124</v>
      </c>
      <c r="E388" s="2" t="s">
        <v>38</v>
      </c>
      <c r="F388" s="2" t="s">
        <v>123</v>
      </c>
      <c r="G388" s="2" t="s">
        <v>178</v>
      </c>
      <c r="H388" s="56" t="str">
        <f>Table1[[#This Row],[Tabela]]&amp;Table1[[#This Row],[Campo]]</f>
        <v>PROPERTY_ENERGY_CERTIFICATECLIMATE_ZONE_WINTER</v>
      </c>
      <c r="I388" s="2" t="s">
        <v>612</v>
      </c>
      <c r="J388" s="42">
        <f>VLOOKUP(Table1[[#This Row],[Status]],Auxiliar!$B$16:$C$24,2,0)</f>
        <v>1</v>
      </c>
      <c r="K388" s="2" t="s">
        <v>1169</v>
      </c>
      <c r="L388" s="28" t="s">
        <v>1166</v>
      </c>
      <c r="M388" s="20" t="s">
        <v>1175</v>
      </c>
      <c r="N388" s="47">
        <v>45485</v>
      </c>
      <c r="O388" s="20">
        <f>INDEX(Auxiliar!$D$5:$F$13,MATCH(Table1[[#This Row],[Tipologia_Testes]],Auxiliar!$B$5:$B$13,0),MATCH(Table1[[#This Row],[Complexidade]],Auxiliar!$D$4:$F$4,0))</f>
        <v>2</v>
      </c>
      <c r="P388" s="2" t="s">
        <v>1192</v>
      </c>
      <c r="Q388" s="2"/>
      <c r="R388" s="151">
        <v>45261</v>
      </c>
      <c r="S388" s="151"/>
      <c r="T388" s="151"/>
      <c r="U388" s="151"/>
      <c r="V388" s="151"/>
      <c r="W388" s="2">
        <f>VLOOKUP(Table1[[#This Row],[Status]],Auxiliar!$B$16:$D$24,3,0)*Table1[[#This Row],[Estimação (horas)]]</f>
        <v>2</v>
      </c>
      <c r="X388" s="165">
        <f>+VLOOKUP(CONCATENATE(Table1[[#This Row],[Tabela]],Table1[[#This Row],[Campo]]),'2. Status Detalhe Campos FY24'!A:J,9,FALSE)</f>
        <v>0</v>
      </c>
      <c r="Y388" s="491" t="e">
        <f>+VLOOKUP(A388,#REF!,1,FALSE)</f>
        <v>#REF!</v>
      </c>
    </row>
    <row r="389" spans="1:25" ht="17.899999999999999" hidden="1" customHeight="1">
      <c r="A389" t="str">
        <f>+Table1[[#This Row],[Tabela]]&amp;Table1[[#This Row],[Campo]]</f>
        <v>PROPERTY_ENERGY_CERTIFICATECLIMATE_ZONE_WINTER</v>
      </c>
      <c r="B389" s="2" t="s">
        <v>26</v>
      </c>
      <c r="C389" s="2" t="s">
        <v>54</v>
      </c>
      <c r="D389" s="2" t="s">
        <v>124</v>
      </c>
      <c r="E389" s="2" t="s">
        <v>38</v>
      </c>
      <c r="F389" s="2" t="s">
        <v>123</v>
      </c>
      <c r="G389" s="2" t="s">
        <v>178</v>
      </c>
      <c r="H389" s="56" t="str">
        <f>Table1[[#This Row],[Tabela]]&amp;Table1[[#This Row],[Campo]]</f>
        <v>PROPERTY_ENERGY_CERTIFICATECLIMATE_ZONE_WINTER</v>
      </c>
      <c r="I389" s="2" t="s">
        <v>612</v>
      </c>
      <c r="J389" s="42">
        <f>VLOOKUP(Table1[[#This Row],[Status]],Auxiliar!$B$16:$C$24,2,0)</f>
        <v>1</v>
      </c>
      <c r="K389" s="2" t="s">
        <v>1171</v>
      </c>
      <c r="L389" s="28" t="s">
        <v>1166</v>
      </c>
      <c r="M389" s="20" t="s">
        <v>1175</v>
      </c>
      <c r="N389" s="47">
        <v>45485</v>
      </c>
      <c r="O389" s="20">
        <f>INDEX(Auxiliar!$D$5:$F$13,MATCH(Table1[[#This Row],[Tipologia_Testes]],Auxiliar!$B$5:$B$13,0),MATCH(Table1[[#This Row],[Complexidade]],Auxiliar!$D$4:$F$4,0))</f>
        <v>0.1</v>
      </c>
      <c r="P389" s="2" t="s">
        <v>1192</v>
      </c>
      <c r="Q389" s="2"/>
      <c r="R389" s="151">
        <v>45261</v>
      </c>
      <c r="S389" s="151"/>
      <c r="T389" s="151"/>
      <c r="U389" s="151"/>
      <c r="V389" s="151"/>
      <c r="W389" s="2">
        <f>VLOOKUP(Table1[[#This Row],[Status]],Auxiliar!$B$16:$D$24,3,0)*Table1[[#This Row],[Estimação (horas)]]</f>
        <v>0.1</v>
      </c>
      <c r="X389" s="165">
        <f>+VLOOKUP(CONCATENATE(Table1[[#This Row],[Tabela]],Table1[[#This Row],[Campo]]),'2. Status Detalhe Campos FY24'!A:J,9,FALSE)</f>
        <v>0</v>
      </c>
      <c r="Y389" s="491" t="e">
        <f>+VLOOKUP(A389,#REF!,1,FALSE)</f>
        <v>#REF!</v>
      </c>
    </row>
    <row r="390" spans="1:25" ht="17.899999999999999" hidden="1" customHeight="1">
      <c r="A390" t="str">
        <f>+Table1[[#This Row],[Tabela]]&amp;Table1[[#This Row],[Campo]]</f>
        <v>PROPERTY_ENERGY_CERTIFICATECLIMATE_ZONE_SUMMER</v>
      </c>
      <c r="B390" s="2" t="s">
        <v>26</v>
      </c>
      <c r="C390" s="2" t="s">
        <v>54</v>
      </c>
      <c r="D390" s="2" t="s">
        <v>124</v>
      </c>
      <c r="E390" s="2" t="s">
        <v>38</v>
      </c>
      <c r="F390" s="2" t="s">
        <v>123</v>
      </c>
      <c r="G390" s="2" t="s">
        <v>179</v>
      </c>
      <c r="H390" s="56" t="str">
        <f>Table1[[#This Row],[Tabela]]&amp;Table1[[#This Row],[Campo]]</f>
        <v>PROPERTY_ENERGY_CERTIFICATECLIMATE_ZONE_SUMMER</v>
      </c>
      <c r="I390" s="2" t="s">
        <v>612</v>
      </c>
      <c r="J390" s="42">
        <f>VLOOKUP(Table1[[#This Row],[Status]],Auxiliar!$B$16:$C$24,2,0)</f>
        <v>1</v>
      </c>
      <c r="K390" s="2" t="s">
        <v>1168</v>
      </c>
      <c r="L390" s="28" t="s">
        <v>1166</v>
      </c>
      <c r="M390" s="20" t="s">
        <v>1175</v>
      </c>
      <c r="N390" s="47">
        <v>45485</v>
      </c>
      <c r="O390" s="20">
        <f>INDEX(Auxiliar!$D$5:$F$13,MATCH(Table1[[#This Row],[Tipologia_Testes]],Auxiliar!$B$5:$B$13,0),MATCH(Table1[[#This Row],[Complexidade]],Auxiliar!$D$4:$F$4,0))</f>
        <v>2</v>
      </c>
      <c r="P390" s="2" t="s">
        <v>1192</v>
      </c>
      <c r="Q390" s="2"/>
      <c r="R390" s="151">
        <v>45261</v>
      </c>
      <c r="S390" s="151"/>
      <c r="T390" s="151"/>
      <c r="U390" s="151"/>
      <c r="V390" s="151"/>
      <c r="W390" s="2">
        <f>VLOOKUP(Table1[[#This Row],[Status]],Auxiliar!$B$16:$D$24,3,0)*Table1[[#This Row],[Estimação (horas)]]</f>
        <v>2</v>
      </c>
      <c r="X390" s="165">
        <f>+VLOOKUP(CONCATENATE(Table1[[#This Row],[Tabela]],Table1[[#This Row],[Campo]]),'2. Status Detalhe Campos FY24'!A:J,9,FALSE)</f>
        <v>0</v>
      </c>
      <c r="Y390" s="491" t="e">
        <f>+VLOOKUP(A390,#REF!,1,FALSE)</f>
        <v>#REF!</v>
      </c>
    </row>
    <row r="391" spans="1:25" ht="17.899999999999999" hidden="1" customHeight="1">
      <c r="A391" t="str">
        <f>+Table1[[#This Row],[Tabela]]&amp;Table1[[#This Row],[Campo]]</f>
        <v>PROPERTY_ENERGY_CERTIFICATECLIMATE_ZONE_SUMMER</v>
      </c>
      <c r="B391" s="2" t="s">
        <v>26</v>
      </c>
      <c r="C391" s="2" t="s">
        <v>54</v>
      </c>
      <c r="D391" s="2" t="s">
        <v>124</v>
      </c>
      <c r="E391" s="2" t="s">
        <v>38</v>
      </c>
      <c r="F391" s="2" t="s">
        <v>123</v>
      </c>
      <c r="G391" s="2" t="s">
        <v>179</v>
      </c>
      <c r="H391" s="56" t="str">
        <f>Table1[[#This Row],[Tabela]]&amp;Table1[[#This Row],[Campo]]</f>
        <v>PROPERTY_ENERGY_CERTIFICATECLIMATE_ZONE_SUMMER</v>
      </c>
      <c r="I391" s="2" t="s">
        <v>612</v>
      </c>
      <c r="J391" s="42">
        <f>VLOOKUP(Table1[[#This Row],[Status]],Auxiliar!$B$16:$C$24,2,0)</f>
        <v>1</v>
      </c>
      <c r="K391" s="2" t="s">
        <v>1169</v>
      </c>
      <c r="L391" s="28" t="s">
        <v>1166</v>
      </c>
      <c r="M391" s="20" t="s">
        <v>1175</v>
      </c>
      <c r="N391" s="47">
        <v>45485</v>
      </c>
      <c r="O391" s="20">
        <f>INDEX(Auxiliar!$D$5:$F$13,MATCH(Table1[[#This Row],[Tipologia_Testes]],Auxiliar!$B$5:$B$13,0),MATCH(Table1[[#This Row],[Complexidade]],Auxiliar!$D$4:$F$4,0))</f>
        <v>2</v>
      </c>
      <c r="P391" s="2" t="s">
        <v>1192</v>
      </c>
      <c r="Q391" s="2"/>
      <c r="R391" s="151"/>
      <c r="S391" s="151"/>
      <c r="T391" s="151"/>
      <c r="U391" s="151"/>
      <c r="V391" s="151"/>
      <c r="W391" s="2">
        <f>VLOOKUP(Table1[[#This Row],[Status]],Auxiliar!$B$16:$D$24,3,0)*Table1[[#This Row],[Estimação (horas)]]</f>
        <v>2</v>
      </c>
      <c r="X391" s="165">
        <f>+VLOOKUP(CONCATENATE(Table1[[#This Row],[Tabela]],Table1[[#This Row],[Campo]]),'2. Status Detalhe Campos FY24'!A:J,9,FALSE)</f>
        <v>0</v>
      </c>
      <c r="Y391" s="491" t="e">
        <f>+VLOOKUP(A391,#REF!,1,FALSE)</f>
        <v>#REF!</v>
      </c>
    </row>
    <row r="392" spans="1:25" ht="17.899999999999999" hidden="1" customHeight="1">
      <c r="A392" t="str">
        <f>+Table1[[#This Row],[Tabela]]&amp;Table1[[#This Row],[Campo]]</f>
        <v>PROPERTY_ENERGY_CERTIFICATECLIMATE_ZONE_SUMMER</v>
      </c>
      <c r="B392" s="2" t="s">
        <v>26</v>
      </c>
      <c r="C392" s="2" t="s">
        <v>54</v>
      </c>
      <c r="D392" s="2" t="s">
        <v>124</v>
      </c>
      <c r="E392" s="2" t="s">
        <v>38</v>
      </c>
      <c r="F392" s="2" t="s">
        <v>123</v>
      </c>
      <c r="G392" s="2" t="s">
        <v>179</v>
      </c>
      <c r="H392" s="56" t="str">
        <f>Table1[[#This Row],[Tabela]]&amp;Table1[[#This Row],[Campo]]</f>
        <v>PROPERTY_ENERGY_CERTIFICATECLIMATE_ZONE_SUMMER</v>
      </c>
      <c r="I392" s="2" t="s">
        <v>612</v>
      </c>
      <c r="J392" s="42">
        <f>VLOOKUP(Table1[[#This Row],[Status]],Auxiliar!$B$16:$C$24,2,0)</f>
        <v>1</v>
      </c>
      <c r="K392" s="2" t="s">
        <v>1171</v>
      </c>
      <c r="L392" s="28" t="s">
        <v>1166</v>
      </c>
      <c r="M392" s="20" t="s">
        <v>1175</v>
      </c>
      <c r="N392" s="47">
        <v>45485</v>
      </c>
      <c r="O392" s="20">
        <f>INDEX(Auxiliar!$D$5:$F$13,MATCH(Table1[[#This Row],[Tipologia_Testes]],Auxiliar!$B$5:$B$13,0),MATCH(Table1[[#This Row],[Complexidade]],Auxiliar!$D$4:$F$4,0))</f>
        <v>0.1</v>
      </c>
      <c r="P392" s="2" t="s">
        <v>1192</v>
      </c>
      <c r="Q392" s="2"/>
      <c r="R392" s="151"/>
      <c r="S392" s="151"/>
      <c r="T392" s="151"/>
      <c r="U392" s="151"/>
      <c r="V392" s="151"/>
      <c r="W392" s="2">
        <f>VLOOKUP(Table1[[#This Row],[Status]],Auxiliar!$B$16:$D$24,3,0)*Table1[[#This Row],[Estimação (horas)]]</f>
        <v>0.1</v>
      </c>
      <c r="X392" s="165">
        <f>+VLOOKUP(CONCATENATE(Table1[[#This Row],[Tabela]],Table1[[#This Row],[Campo]]),'2. Status Detalhe Campos FY24'!A:J,9,FALSE)</f>
        <v>0</v>
      </c>
      <c r="Y392" s="491" t="e">
        <f>+VLOOKUP(A392,#REF!,1,FALSE)</f>
        <v>#REF!</v>
      </c>
    </row>
    <row r="393" spans="1:25" ht="17.899999999999999" hidden="1" customHeight="1">
      <c r="A393" t="str">
        <f>+Table1[[#This Row],[Tabela]]&amp;Table1[[#This Row],[Campo]]</f>
        <v>PROPERTY_ENERGY_CERTIFICATENET_FLOOR_AREA</v>
      </c>
      <c r="B393" s="2" t="s">
        <v>26</v>
      </c>
      <c r="C393" s="2" t="s">
        <v>54</v>
      </c>
      <c r="D393" s="2" t="s">
        <v>124</v>
      </c>
      <c r="E393" s="2" t="s">
        <v>38</v>
      </c>
      <c r="F393" s="2" t="s">
        <v>123</v>
      </c>
      <c r="G393" s="2" t="s">
        <v>97</v>
      </c>
      <c r="H393" s="56" t="str">
        <f>Table1[[#This Row],[Tabela]]&amp;Table1[[#This Row],[Campo]]</f>
        <v>PROPERTY_ENERGY_CERTIFICATENET_FLOOR_AREA</v>
      </c>
      <c r="I393" s="2" t="s">
        <v>612</v>
      </c>
      <c r="J393" s="42">
        <f>VLOOKUP(Table1[[#This Row],[Status]],Auxiliar!$B$16:$C$24,2,0)</f>
        <v>1</v>
      </c>
      <c r="K393" s="2" t="s">
        <v>1168</v>
      </c>
      <c r="L393" s="28" t="s">
        <v>1166</v>
      </c>
      <c r="M393" s="20" t="s">
        <v>1175</v>
      </c>
      <c r="N393" s="47">
        <v>45612</v>
      </c>
      <c r="O393" s="20">
        <f>INDEX(Auxiliar!$D$5:$F$13,MATCH(Table1[[#This Row],[Tipologia_Testes]],Auxiliar!$B$5:$B$13,0),MATCH(Table1[[#This Row],[Complexidade]],Auxiliar!$D$4:$F$4,0))</f>
        <v>2</v>
      </c>
      <c r="P393" s="2"/>
      <c r="Q393" s="2"/>
      <c r="R393" s="151">
        <v>45616</v>
      </c>
      <c r="S393" s="151"/>
      <c r="T393" s="151"/>
      <c r="U393" s="151"/>
      <c r="V393" s="151">
        <v>45639</v>
      </c>
      <c r="W393" s="2">
        <f>VLOOKUP(Table1[[#This Row],[Status]],Auxiliar!$B$16:$D$24,3,0)*Table1[[#This Row],[Estimação (horas)]]</f>
        <v>2</v>
      </c>
      <c r="X393" s="165">
        <f>+VLOOKUP(CONCATENATE(Table1[[#This Row],[Tabela]],Table1[[#This Row],[Campo]]),'2. Status Detalhe Campos FY24'!A:J,9,FALSE)</f>
        <v>0</v>
      </c>
      <c r="Y393" s="491" t="e">
        <f>+VLOOKUP(A393,#REF!,1,FALSE)</f>
        <v>#REF!</v>
      </c>
    </row>
    <row r="394" spans="1:25" ht="17.899999999999999" hidden="1" customHeight="1">
      <c r="A394" t="str">
        <f>+Table1[[#This Row],[Tabela]]&amp;Table1[[#This Row],[Campo]]</f>
        <v>PROPERTY_ENERGY_CERTIFICATENET_FLOOR_AREA</v>
      </c>
      <c r="B394" s="2" t="s">
        <v>26</v>
      </c>
      <c r="C394" s="2" t="s">
        <v>54</v>
      </c>
      <c r="D394" s="2" t="s">
        <v>124</v>
      </c>
      <c r="E394" s="2" t="s">
        <v>38</v>
      </c>
      <c r="F394" s="2" t="s">
        <v>123</v>
      </c>
      <c r="G394" s="2" t="s">
        <v>97</v>
      </c>
      <c r="H394" s="56" t="str">
        <f>Table1[[#This Row],[Tabela]]&amp;Table1[[#This Row],[Campo]]</f>
        <v>PROPERTY_ENERGY_CERTIFICATENET_FLOOR_AREA</v>
      </c>
      <c r="I394" s="2" t="s">
        <v>612</v>
      </c>
      <c r="J394" s="42">
        <f>VLOOKUP(Table1[[#This Row],[Status]],Auxiliar!$B$16:$C$24,2,0)</f>
        <v>1</v>
      </c>
      <c r="K394" s="2" t="s">
        <v>1169</v>
      </c>
      <c r="L394" s="28" t="s">
        <v>1166</v>
      </c>
      <c r="M394" s="20" t="s">
        <v>1175</v>
      </c>
      <c r="N394" s="47">
        <v>45612</v>
      </c>
      <c r="O394" s="20">
        <f>INDEX(Auxiliar!$D$5:$F$13,MATCH(Table1[[#This Row],[Tipologia_Testes]],Auxiliar!$B$5:$B$13,0),MATCH(Table1[[#This Row],[Complexidade]],Auxiliar!$D$4:$F$4,0))</f>
        <v>2</v>
      </c>
      <c r="P394" s="2"/>
      <c r="Q394" s="2"/>
      <c r="R394" s="151">
        <v>45616</v>
      </c>
      <c r="S394" s="151"/>
      <c r="T394" s="151"/>
      <c r="U394" s="151"/>
      <c r="V394" s="151">
        <v>45639</v>
      </c>
      <c r="W394" s="2">
        <f>VLOOKUP(Table1[[#This Row],[Status]],Auxiliar!$B$16:$D$24,3,0)*Table1[[#This Row],[Estimação (horas)]]</f>
        <v>2</v>
      </c>
      <c r="X394" s="165">
        <f>+VLOOKUP(CONCATENATE(Table1[[#This Row],[Tabela]],Table1[[#This Row],[Campo]]),'2. Status Detalhe Campos FY24'!A:J,9,FALSE)</f>
        <v>0</v>
      </c>
      <c r="Y394" s="491" t="e">
        <f>+VLOOKUP(A394,#REF!,1,FALSE)</f>
        <v>#REF!</v>
      </c>
    </row>
    <row r="395" spans="1:25" ht="17.899999999999999" hidden="1" customHeight="1">
      <c r="A395" t="str">
        <f>+Table1[[#This Row],[Tabela]]&amp;Table1[[#This Row],[Campo]]</f>
        <v>PROPERTY_ENERGY_CERTIFICATENET_FLOOR_AREA</v>
      </c>
      <c r="B395" s="2" t="s">
        <v>26</v>
      </c>
      <c r="C395" s="2" t="s">
        <v>54</v>
      </c>
      <c r="D395" s="2" t="s">
        <v>124</v>
      </c>
      <c r="E395" s="2" t="s">
        <v>38</v>
      </c>
      <c r="F395" s="2" t="s">
        <v>123</v>
      </c>
      <c r="G395" s="2" t="s">
        <v>97</v>
      </c>
      <c r="H395" s="56" t="str">
        <f>Table1[[#This Row],[Tabela]]&amp;Table1[[#This Row],[Campo]]</f>
        <v>PROPERTY_ENERGY_CERTIFICATENET_FLOOR_AREA</v>
      </c>
      <c r="I395" s="2" t="s">
        <v>612</v>
      </c>
      <c r="J395" s="42">
        <f>VLOOKUP(Table1[[#This Row],[Status]],Auxiliar!$B$16:$C$24,2,0)</f>
        <v>1</v>
      </c>
      <c r="K395" s="2" t="s">
        <v>1171</v>
      </c>
      <c r="L395" s="28" t="s">
        <v>1166</v>
      </c>
      <c r="M395" s="20" t="s">
        <v>1175</v>
      </c>
      <c r="N395" s="47">
        <v>45612</v>
      </c>
      <c r="O395" s="20">
        <f>INDEX(Auxiliar!$D$5:$F$13,MATCH(Table1[[#This Row],[Tipologia_Testes]],Auxiliar!$B$5:$B$13,0),MATCH(Table1[[#This Row],[Complexidade]],Auxiliar!$D$4:$F$4,0))</f>
        <v>0.1</v>
      </c>
      <c r="P395" s="2"/>
      <c r="Q395" s="2"/>
      <c r="R395" s="151">
        <v>45616</v>
      </c>
      <c r="S395" s="151"/>
      <c r="T395" s="151"/>
      <c r="U395" s="151"/>
      <c r="V395" s="151">
        <v>45639</v>
      </c>
      <c r="W395" s="2">
        <f>VLOOKUP(Table1[[#This Row],[Status]],Auxiliar!$B$16:$D$24,3,0)*Table1[[#This Row],[Estimação (horas)]]</f>
        <v>0.1</v>
      </c>
      <c r="X395" s="165">
        <f>+VLOOKUP(CONCATENATE(Table1[[#This Row],[Tabela]],Table1[[#This Row],[Campo]]),'2. Status Detalhe Campos FY24'!A:J,9,FALSE)</f>
        <v>0</v>
      </c>
      <c r="Y395" s="491" t="e">
        <f>+VLOOKUP(A395,#REF!,1,FALSE)</f>
        <v>#REF!</v>
      </c>
    </row>
    <row r="396" spans="1:25" ht="17.899999999999999" hidden="1" customHeight="1">
      <c r="A396" t="str">
        <f>+Table1[[#This Row],[Tabela]]&amp;Table1[[#This Row],[Campo]]</f>
        <v>PROPERTY_ENERGY_CERTIFICATECADASTRAL_REGISTER_CODE</v>
      </c>
      <c r="B396" s="2" t="s">
        <v>26</v>
      </c>
      <c r="C396" s="2" t="s">
        <v>54</v>
      </c>
      <c r="D396" s="2" t="s">
        <v>124</v>
      </c>
      <c r="E396" s="2" t="s">
        <v>38</v>
      </c>
      <c r="F396" s="2" t="s">
        <v>123</v>
      </c>
      <c r="G396" s="2" t="s">
        <v>98</v>
      </c>
      <c r="H396" s="56" t="str">
        <f>Table1[[#This Row],[Tabela]]&amp;Table1[[#This Row],[Campo]]</f>
        <v>PROPERTY_ENERGY_CERTIFICATECADASTRAL_REGISTER_CODE</v>
      </c>
      <c r="I396" s="2" t="s">
        <v>612</v>
      </c>
      <c r="J396" s="42">
        <f>VLOOKUP(Table1[[#This Row],[Status]],Auxiliar!$B$16:$C$24,2,0)</f>
        <v>1</v>
      </c>
      <c r="K396" s="2" t="s">
        <v>1168</v>
      </c>
      <c r="L396" s="28" t="s">
        <v>1166</v>
      </c>
      <c r="M396" s="20" t="s">
        <v>1175</v>
      </c>
      <c r="N396" s="47">
        <v>45612</v>
      </c>
      <c r="O396" s="20">
        <f>INDEX(Auxiliar!$D$5:$F$13,MATCH(Table1[[#This Row],[Tipologia_Testes]],Auxiliar!$B$5:$B$13,0),MATCH(Table1[[#This Row],[Complexidade]],Auxiliar!$D$4:$F$4,0))</f>
        <v>2</v>
      </c>
      <c r="P396" s="2"/>
      <c r="Q396" s="2"/>
      <c r="R396" s="151">
        <v>45616</v>
      </c>
      <c r="S396" s="151"/>
      <c r="T396" s="151"/>
      <c r="U396" s="151"/>
      <c r="V396" s="151">
        <v>45639</v>
      </c>
      <c r="W396" s="2">
        <f>VLOOKUP(Table1[[#This Row],[Status]],Auxiliar!$B$16:$D$24,3,0)*Table1[[#This Row],[Estimação (horas)]]</f>
        <v>2</v>
      </c>
      <c r="X396" s="165">
        <f>+VLOOKUP(CONCATENATE(Table1[[#This Row],[Tabela]],Table1[[#This Row],[Campo]]),'2. Status Detalhe Campos FY24'!A:J,9,FALSE)</f>
        <v>0</v>
      </c>
      <c r="Y396" s="491" t="e">
        <f>+VLOOKUP(A396,#REF!,1,FALSE)</f>
        <v>#REF!</v>
      </c>
    </row>
    <row r="397" spans="1:25" ht="17.899999999999999" hidden="1" customHeight="1">
      <c r="A397" t="str">
        <f>+Table1[[#This Row],[Tabela]]&amp;Table1[[#This Row],[Campo]]</f>
        <v>PROPERTY_ENERGY_CERTIFICATECADASTRAL_REGISTER_CODE</v>
      </c>
      <c r="B397" s="2" t="s">
        <v>26</v>
      </c>
      <c r="C397" s="2" t="s">
        <v>54</v>
      </c>
      <c r="D397" s="2" t="s">
        <v>124</v>
      </c>
      <c r="E397" s="2" t="s">
        <v>38</v>
      </c>
      <c r="F397" s="2" t="s">
        <v>123</v>
      </c>
      <c r="G397" s="2" t="s">
        <v>98</v>
      </c>
      <c r="H397" s="56" t="str">
        <f>Table1[[#This Row],[Tabela]]&amp;Table1[[#This Row],[Campo]]</f>
        <v>PROPERTY_ENERGY_CERTIFICATECADASTRAL_REGISTER_CODE</v>
      </c>
      <c r="I397" s="2" t="s">
        <v>612</v>
      </c>
      <c r="J397" s="42">
        <f>VLOOKUP(Table1[[#This Row],[Status]],Auxiliar!$B$16:$C$24,2,0)</f>
        <v>1</v>
      </c>
      <c r="K397" s="2" t="s">
        <v>1169</v>
      </c>
      <c r="L397" s="28" t="s">
        <v>1166</v>
      </c>
      <c r="M397" s="20" t="s">
        <v>1175</v>
      </c>
      <c r="N397" s="47">
        <v>45612</v>
      </c>
      <c r="O397" s="20">
        <f>INDEX(Auxiliar!$D$5:$F$13,MATCH(Table1[[#This Row],[Tipologia_Testes]],Auxiliar!$B$5:$B$13,0),MATCH(Table1[[#This Row],[Complexidade]],Auxiliar!$D$4:$F$4,0))</f>
        <v>2</v>
      </c>
      <c r="P397" s="2"/>
      <c r="Q397" s="2"/>
      <c r="R397" s="151">
        <v>45616</v>
      </c>
      <c r="S397" s="151"/>
      <c r="T397" s="151"/>
      <c r="U397" s="151"/>
      <c r="V397" s="151">
        <v>45639</v>
      </c>
      <c r="W397" s="2">
        <f>VLOOKUP(Table1[[#This Row],[Status]],Auxiliar!$B$16:$D$24,3,0)*Table1[[#This Row],[Estimação (horas)]]</f>
        <v>2</v>
      </c>
      <c r="X397" s="165">
        <f>+VLOOKUP(CONCATENATE(Table1[[#This Row],[Tabela]],Table1[[#This Row],[Campo]]),'2. Status Detalhe Campos FY24'!A:J,9,FALSE)</f>
        <v>0</v>
      </c>
      <c r="Y397" s="491" t="e">
        <f>+VLOOKUP(A397,#REF!,1,FALSE)</f>
        <v>#REF!</v>
      </c>
    </row>
    <row r="398" spans="1:25" ht="17.899999999999999" hidden="1" customHeight="1">
      <c r="A398" t="str">
        <f>+Table1[[#This Row],[Tabela]]&amp;Table1[[#This Row],[Campo]]</f>
        <v>PROPERTY_ENERGY_CERTIFICATECADASTRAL_REGISTER_CODE</v>
      </c>
      <c r="B398" s="2" t="s">
        <v>26</v>
      </c>
      <c r="C398" s="2" t="s">
        <v>54</v>
      </c>
      <c r="D398" s="2" t="s">
        <v>124</v>
      </c>
      <c r="E398" s="2" t="s">
        <v>38</v>
      </c>
      <c r="F398" s="2" t="s">
        <v>123</v>
      </c>
      <c r="G398" s="2" t="s">
        <v>98</v>
      </c>
      <c r="H398" s="56" t="str">
        <f>Table1[[#This Row],[Tabela]]&amp;Table1[[#This Row],[Campo]]</f>
        <v>PROPERTY_ENERGY_CERTIFICATECADASTRAL_REGISTER_CODE</v>
      </c>
      <c r="I398" s="2" t="s">
        <v>612</v>
      </c>
      <c r="J398" s="42">
        <f>VLOOKUP(Table1[[#This Row],[Status]],Auxiliar!$B$16:$C$24,2,0)</f>
        <v>1</v>
      </c>
      <c r="K398" s="2" t="s">
        <v>1171</v>
      </c>
      <c r="L398" s="28" t="s">
        <v>1166</v>
      </c>
      <c r="M398" s="20" t="s">
        <v>1175</v>
      </c>
      <c r="N398" s="47">
        <v>45612</v>
      </c>
      <c r="O398" s="20">
        <f>INDEX(Auxiliar!$D$5:$F$13,MATCH(Table1[[#This Row],[Tipologia_Testes]],Auxiliar!$B$5:$B$13,0),MATCH(Table1[[#This Row],[Complexidade]],Auxiliar!$D$4:$F$4,0))</f>
        <v>0.1</v>
      </c>
      <c r="P398" s="2"/>
      <c r="Q398" s="2"/>
      <c r="R398" s="151">
        <v>45616</v>
      </c>
      <c r="S398" s="151"/>
      <c r="T398" s="151"/>
      <c r="U398" s="151"/>
      <c r="V398" s="151">
        <v>45639</v>
      </c>
      <c r="W398" s="2">
        <f>VLOOKUP(Table1[[#This Row],[Status]],Auxiliar!$B$16:$D$24,3,0)*Table1[[#This Row],[Estimação (horas)]]</f>
        <v>0.1</v>
      </c>
      <c r="X398" s="165">
        <f>+VLOOKUP(CONCATENATE(Table1[[#This Row],[Tabela]],Table1[[#This Row],[Campo]]),'2. Status Detalhe Campos FY24'!A:J,9,FALSE)</f>
        <v>0</v>
      </c>
      <c r="Y398" s="491" t="e">
        <f>+VLOOKUP(A398,#REF!,1,FALSE)</f>
        <v>#REF!</v>
      </c>
    </row>
    <row r="399" spans="1:25" ht="17.899999999999999" hidden="1" customHeight="1">
      <c r="A399" t="str">
        <f>+Table1[[#This Row],[Tabela]]&amp;Table1[[#This Row],[Campo]]</f>
        <v>PROPERTY_ENERGY_CERTIFICATEDISTRICT_MUNICIP_PARISH_CODE</v>
      </c>
      <c r="B399" s="2" t="s">
        <v>26</v>
      </c>
      <c r="C399" s="2" t="s">
        <v>54</v>
      </c>
      <c r="D399" s="2" t="s">
        <v>124</v>
      </c>
      <c r="E399" s="2" t="s">
        <v>38</v>
      </c>
      <c r="F399" s="2" t="s">
        <v>123</v>
      </c>
      <c r="G399" s="2" t="s">
        <v>101</v>
      </c>
      <c r="H399" s="56" t="str">
        <f>Table1[[#This Row],[Tabela]]&amp;Table1[[#This Row],[Campo]]</f>
        <v>PROPERTY_ENERGY_CERTIFICATEDISTRICT_MUNICIP_PARISH_CODE</v>
      </c>
      <c r="I399" s="2" t="s">
        <v>612</v>
      </c>
      <c r="J399" s="42">
        <f>VLOOKUP(Table1[[#This Row],[Status]],Auxiliar!$B$16:$C$24,2,0)</f>
        <v>1</v>
      </c>
      <c r="K399" s="2" t="s">
        <v>1168</v>
      </c>
      <c r="L399" s="28" t="s">
        <v>1166</v>
      </c>
      <c r="M399" s="20" t="s">
        <v>1175</v>
      </c>
      <c r="N399" s="47">
        <v>45612</v>
      </c>
      <c r="O399" s="20">
        <f>INDEX(Auxiliar!$D$5:$F$13,MATCH(Table1[[#This Row],[Tipologia_Testes]],Auxiliar!$B$5:$B$13,0),MATCH(Table1[[#This Row],[Complexidade]],Auxiliar!$D$4:$F$4,0))</f>
        <v>2</v>
      </c>
      <c r="P399" s="2"/>
      <c r="Q399" s="2"/>
      <c r="R399" s="151">
        <v>45616</v>
      </c>
      <c r="S399" s="151"/>
      <c r="T399" s="151"/>
      <c r="U399" s="151"/>
      <c r="V399" s="151">
        <v>45639</v>
      </c>
      <c r="W399" s="2">
        <f>VLOOKUP(Table1[[#This Row],[Status]],Auxiliar!$B$16:$D$24,3,0)*Table1[[#This Row],[Estimação (horas)]]</f>
        <v>2</v>
      </c>
      <c r="X399" s="165">
        <f>+VLOOKUP(CONCATENATE(Table1[[#This Row],[Tabela]],Table1[[#This Row],[Campo]]),'2. Status Detalhe Campos FY24'!A:J,9,FALSE)</f>
        <v>0</v>
      </c>
      <c r="Y399" s="491" t="e">
        <f>+VLOOKUP(A399,#REF!,1,FALSE)</f>
        <v>#REF!</v>
      </c>
    </row>
    <row r="400" spans="1:25" ht="17.899999999999999" hidden="1" customHeight="1">
      <c r="A400" t="str">
        <f>+Table1[[#This Row],[Tabela]]&amp;Table1[[#This Row],[Campo]]</f>
        <v>PROPERTY_ENERGY_CERTIFICATEDISTRICT_MUNICIP_PARISH_CODE</v>
      </c>
      <c r="B400" s="2" t="s">
        <v>26</v>
      </c>
      <c r="C400" s="2" t="s">
        <v>54</v>
      </c>
      <c r="D400" s="2" t="s">
        <v>124</v>
      </c>
      <c r="E400" s="2" t="s">
        <v>38</v>
      </c>
      <c r="F400" s="2" t="s">
        <v>123</v>
      </c>
      <c r="G400" s="2" t="s">
        <v>101</v>
      </c>
      <c r="H400" s="56" t="str">
        <f>Table1[[#This Row],[Tabela]]&amp;Table1[[#This Row],[Campo]]</f>
        <v>PROPERTY_ENERGY_CERTIFICATEDISTRICT_MUNICIP_PARISH_CODE</v>
      </c>
      <c r="I400" s="2" t="s">
        <v>612</v>
      </c>
      <c r="J400" s="42">
        <f>VLOOKUP(Table1[[#This Row],[Status]],Auxiliar!$B$16:$C$24,2,0)</f>
        <v>1</v>
      </c>
      <c r="K400" s="2" t="s">
        <v>1169</v>
      </c>
      <c r="L400" s="28" t="s">
        <v>1166</v>
      </c>
      <c r="M400" s="20" t="s">
        <v>1175</v>
      </c>
      <c r="N400" s="47">
        <v>45612</v>
      </c>
      <c r="O400" s="20">
        <f>INDEX(Auxiliar!$D$5:$F$13,MATCH(Table1[[#This Row],[Tipologia_Testes]],Auxiliar!$B$5:$B$13,0),MATCH(Table1[[#This Row],[Complexidade]],Auxiliar!$D$4:$F$4,0))</f>
        <v>2</v>
      </c>
      <c r="P400" s="2"/>
      <c r="Q400" s="2"/>
      <c r="R400" s="151">
        <v>45616</v>
      </c>
      <c r="S400" s="151"/>
      <c r="T400" s="151"/>
      <c r="U400" s="151"/>
      <c r="V400" s="151">
        <v>45639</v>
      </c>
      <c r="W400" s="2">
        <f>VLOOKUP(Table1[[#This Row],[Status]],Auxiliar!$B$16:$D$24,3,0)*Table1[[#This Row],[Estimação (horas)]]</f>
        <v>2</v>
      </c>
      <c r="X400" s="165">
        <f>+VLOOKUP(CONCATENATE(Table1[[#This Row],[Tabela]],Table1[[#This Row],[Campo]]),'2. Status Detalhe Campos FY24'!A:J,9,FALSE)</f>
        <v>0</v>
      </c>
      <c r="Y400" s="491" t="e">
        <f>+VLOOKUP(A400,#REF!,1,FALSE)</f>
        <v>#REF!</v>
      </c>
    </row>
    <row r="401" spans="1:25" ht="17.899999999999999" hidden="1" customHeight="1">
      <c r="A401" t="str">
        <f>+Table1[[#This Row],[Tabela]]&amp;Table1[[#This Row],[Campo]]</f>
        <v>PROPERTY_ENERGY_CERTIFICATEDISTRICT_MUNICIP_PARISH_CODE</v>
      </c>
      <c r="B401" s="2" t="s">
        <v>26</v>
      </c>
      <c r="C401" s="2" t="s">
        <v>54</v>
      </c>
      <c r="D401" s="2" t="s">
        <v>124</v>
      </c>
      <c r="E401" s="2" t="s">
        <v>38</v>
      </c>
      <c r="F401" s="2" t="s">
        <v>123</v>
      </c>
      <c r="G401" s="2" t="s">
        <v>101</v>
      </c>
      <c r="H401" s="56" t="str">
        <f>Table1[[#This Row],[Tabela]]&amp;Table1[[#This Row],[Campo]]</f>
        <v>PROPERTY_ENERGY_CERTIFICATEDISTRICT_MUNICIP_PARISH_CODE</v>
      </c>
      <c r="I401" s="2" t="s">
        <v>612</v>
      </c>
      <c r="J401" s="42">
        <f>VLOOKUP(Table1[[#This Row],[Status]],Auxiliar!$B$16:$C$24,2,0)</f>
        <v>1</v>
      </c>
      <c r="K401" s="2" t="s">
        <v>1171</v>
      </c>
      <c r="L401" s="28" t="s">
        <v>1166</v>
      </c>
      <c r="M401" s="20" t="s">
        <v>1175</v>
      </c>
      <c r="N401" s="47">
        <v>45612</v>
      </c>
      <c r="O401" s="20">
        <f>INDEX(Auxiliar!$D$5:$F$13,MATCH(Table1[[#This Row],[Tipologia_Testes]],Auxiliar!$B$5:$B$13,0),MATCH(Table1[[#This Row],[Complexidade]],Auxiliar!$D$4:$F$4,0))</f>
        <v>0.1</v>
      </c>
      <c r="P401" s="2"/>
      <c r="Q401" s="2"/>
      <c r="R401" s="151">
        <v>45616</v>
      </c>
      <c r="S401" s="151"/>
      <c r="T401" s="151"/>
      <c r="U401" s="151"/>
      <c r="V401" s="151">
        <v>45639</v>
      </c>
      <c r="W401" s="2">
        <f>VLOOKUP(Table1[[#This Row],[Status]],Auxiliar!$B$16:$D$24,3,0)*Table1[[#This Row],[Estimação (horas)]]</f>
        <v>0.1</v>
      </c>
      <c r="X401" s="165">
        <f>+VLOOKUP(CONCATENATE(Table1[[#This Row],[Tabela]],Table1[[#This Row],[Campo]]),'2. Status Detalhe Campos FY24'!A:J,9,FALSE)</f>
        <v>0</v>
      </c>
      <c r="Y401" s="491" t="e">
        <f>+VLOOKUP(A401,#REF!,1,FALSE)</f>
        <v>#REF!</v>
      </c>
    </row>
    <row r="402" spans="1:25" ht="17.899999999999999" hidden="1" customHeight="1">
      <c r="A402" t="str">
        <f>+Table1[[#This Row],[Tabela]]&amp;Table1[[#This Row],[Campo]]</f>
        <v>PROPERTY_ENERGY_CERTIFICATEPROPERTY_PURPOSE_CODE</v>
      </c>
      <c r="B402" s="2" t="s">
        <v>26</v>
      </c>
      <c r="C402" s="2" t="s">
        <v>54</v>
      </c>
      <c r="D402" s="2" t="s">
        <v>124</v>
      </c>
      <c r="E402" s="2" t="s">
        <v>38</v>
      </c>
      <c r="F402" s="2" t="s">
        <v>123</v>
      </c>
      <c r="G402" s="2" t="s">
        <v>102</v>
      </c>
      <c r="H402" s="56" t="str">
        <f>Table1[[#This Row],[Tabela]]&amp;Table1[[#This Row],[Campo]]</f>
        <v>PROPERTY_ENERGY_CERTIFICATEPROPERTY_PURPOSE_CODE</v>
      </c>
      <c r="I402" s="2" t="s">
        <v>612</v>
      </c>
      <c r="J402" s="42">
        <f>VLOOKUP(Table1[[#This Row],[Status]],Auxiliar!$B$16:$C$24,2,0)</f>
        <v>1</v>
      </c>
      <c r="K402" s="2" t="s">
        <v>1168</v>
      </c>
      <c r="L402" s="28" t="s">
        <v>1166</v>
      </c>
      <c r="M402" s="20" t="s">
        <v>1175</v>
      </c>
      <c r="N402" s="47">
        <v>45612</v>
      </c>
      <c r="O402" s="20">
        <f>INDEX(Auxiliar!$D$5:$F$13,MATCH(Table1[[#This Row],[Tipologia_Testes]],Auxiliar!$B$5:$B$13,0),MATCH(Table1[[#This Row],[Complexidade]],Auxiliar!$D$4:$F$4,0))</f>
        <v>2</v>
      </c>
      <c r="P402" s="2"/>
      <c r="Q402" s="2"/>
      <c r="R402" s="151">
        <v>45616</v>
      </c>
      <c r="S402" s="151"/>
      <c r="T402" s="151"/>
      <c r="U402" s="151"/>
      <c r="V402" s="151">
        <v>45639</v>
      </c>
      <c r="W402" s="2">
        <f>VLOOKUP(Table1[[#This Row],[Status]],Auxiliar!$B$16:$D$24,3,0)*Table1[[#This Row],[Estimação (horas)]]</f>
        <v>2</v>
      </c>
      <c r="X402" s="165">
        <f>+VLOOKUP(CONCATENATE(Table1[[#This Row],[Tabela]],Table1[[#This Row],[Campo]]),'2. Status Detalhe Campos FY24'!A:J,9,FALSE)</f>
        <v>0</v>
      </c>
      <c r="Y402" s="491" t="e">
        <f>+VLOOKUP(A402,#REF!,1,FALSE)</f>
        <v>#REF!</v>
      </c>
    </row>
    <row r="403" spans="1:25" ht="17.899999999999999" hidden="1" customHeight="1">
      <c r="A403" t="str">
        <f>+Table1[[#This Row],[Tabela]]&amp;Table1[[#This Row],[Campo]]</f>
        <v>PROPERTY_ENERGY_CERTIFICATEPROPERTY_PURPOSE_CODE</v>
      </c>
      <c r="B403" s="2" t="s">
        <v>26</v>
      </c>
      <c r="C403" s="2" t="s">
        <v>54</v>
      </c>
      <c r="D403" s="2" t="s">
        <v>124</v>
      </c>
      <c r="E403" s="2" t="s">
        <v>38</v>
      </c>
      <c r="F403" s="2" t="s">
        <v>123</v>
      </c>
      <c r="G403" s="2" t="s">
        <v>102</v>
      </c>
      <c r="H403" s="56" t="str">
        <f>Table1[[#This Row],[Tabela]]&amp;Table1[[#This Row],[Campo]]</f>
        <v>PROPERTY_ENERGY_CERTIFICATEPROPERTY_PURPOSE_CODE</v>
      </c>
      <c r="I403" s="2" t="s">
        <v>612</v>
      </c>
      <c r="J403" s="42">
        <f>VLOOKUP(Table1[[#This Row],[Status]],Auxiliar!$B$16:$C$24,2,0)</f>
        <v>1</v>
      </c>
      <c r="K403" s="2" t="s">
        <v>1169</v>
      </c>
      <c r="L403" s="28" t="s">
        <v>1166</v>
      </c>
      <c r="M403" s="20" t="s">
        <v>1175</v>
      </c>
      <c r="N403" s="47">
        <v>45612</v>
      </c>
      <c r="O403" s="20">
        <f>INDEX(Auxiliar!$D$5:$F$13,MATCH(Table1[[#This Row],[Tipologia_Testes]],Auxiliar!$B$5:$B$13,0),MATCH(Table1[[#This Row],[Complexidade]],Auxiliar!$D$4:$F$4,0))</f>
        <v>2</v>
      </c>
      <c r="P403" s="2"/>
      <c r="Q403" s="2"/>
      <c r="R403" s="151">
        <v>45616</v>
      </c>
      <c r="S403" s="151"/>
      <c r="T403" s="151"/>
      <c r="U403" s="151"/>
      <c r="V403" s="151">
        <v>45639</v>
      </c>
      <c r="W403" s="2">
        <f>VLOOKUP(Table1[[#This Row],[Status]],Auxiliar!$B$16:$D$24,3,0)*Table1[[#This Row],[Estimação (horas)]]</f>
        <v>2</v>
      </c>
      <c r="X403" s="165">
        <f>+VLOOKUP(CONCATENATE(Table1[[#This Row],[Tabela]],Table1[[#This Row],[Campo]]),'2. Status Detalhe Campos FY24'!A:J,9,FALSE)</f>
        <v>0</v>
      </c>
      <c r="Y403" s="491" t="e">
        <f>+VLOOKUP(A403,#REF!,1,FALSE)</f>
        <v>#REF!</v>
      </c>
    </row>
    <row r="404" spans="1:25" ht="17.899999999999999" hidden="1" customHeight="1">
      <c r="A404" t="str">
        <f>+Table1[[#This Row],[Tabela]]&amp;Table1[[#This Row],[Campo]]</f>
        <v>PROPERTY_ENERGY_CERTIFICATEPROPERTY_PURPOSE_CODE</v>
      </c>
      <c r="B404" s="2" t="s">
        <v>26</v>
      </c>
      <c r="C404" s="2" t="s">
        <v>54</v>
      </c>
      <c r="D404" s="2" t="s">
        <v>124</v>
      </c>
      <c r="E404" s="2" t="s">
        <v>38</v>
      </c>
      <c r="F404" s="2" t="s">
        <v>123</v>
      </c>
      <c r="G404" s="2" t="s">
        <v>102</v>
      </c>
      <c r="H404" s="56" t="str">
        <f>Table1[[#This Row],[Tabela]]&amp;Table1[[#This Row],[Campo]]</f>
        <v>PROPERTY_ENERGY_CERTIFICATEPROPERTY_PURPOSE_CODE</v>
      </c>
      <c r="I404" s="2" t="s">
        <v>612</v>
      </c>
      <c r="J404" s="42">
        <f>VLOOKUP(Table1[[#This Row],[Status]],Auxiliar!$B$16:$C$24,2,0)</f>
        <v>1</v>
      </c>
      <c r="K404" s="2" t="s">
        <v>1171</v>
      </c>
      <c r="L404" s="28" t="s">
        <v>1166</v>
      </c>
      <c r="M404" s="20" t="s">
        <v>1175</v>
      </c>
      <c r="N404" s="47">
        <v>45612</v>
      </c>
      <c r="O404" s="20">
        <f>INDEX(Auxiliar!$D$5:$F$13,MATCH(Table1[[#This Row],[Tipologia_Testes]],Auxiliar!$B$5:$B$13,0),MATCH(Table1[[#This Row],[Complexidade]],Auxiliar!$D$4:$F$4,0))</f>
        <v>0.1</v>
      </c>
      <c r="P404" s="2"/>
      <c r="Q404" s="2"/>
      <c r="R404" s="151">
        <v>45616</v>
      </c>
      <c r="S404" s="151"/>
      <c r="T404" s="151"/>
      <c r="U404" s="151"/>
      <c r="V404" s="151">
        <v>45639</v>
      </c>
      <c r="W404" s="2">
        <f>VLOOKUP(Table1[[#This Row],[Status]],Auxiliar!$B$16:$D$24,3,0)*Table1[[#This Row],[Estimação (horas)]]</f>
        <v>0.1</v>
      </c>
      <c r="X404" s="165">
        <f>+VLOOKUP(CONCATENATE(Table1[[#This Row],[Tabela]],Table1[[#This Row],[Campo]]),'2. Status Detalhe Campos FY24'!A:J,9,FALSE)</f>
        <v>0</v>
      </c>
      <c r="Y404" s="491" t="e">
        <f>+VLOOKUP(A404,#REF!,1,FALSE)</f>
        <v>#REF!</v>
      </c>
    </row>
    <row r="405" spans="1:25" ht="17.899999999999999" hidden="1" customHeight="1">
      <c r="A405" t="str">
        <f>+Table1[[#This Row],[Tabela]]&amp;Table1[[#This Row],[Campo]]</f>
        <v>PROPERTY_ENERGY_CERTIFICATEADDRESS_CODE</v>
      </c>
      <c r="B405" s="2" t="s">
        <v>26</v>
      </c>
      <c r="C405" s="2" t="s">
        <v>54</v>
      </c>
      <c r="D405" s="2" t="s">
        <v>124</v>
      </c>
      <c r="E405" s="2" t="s">
        <v>38</v>
      </c>
      <c r="F405" s="2" t="s">
        <v>123</v>
      </c>
      <c r="G405" s="2" t="s">
        <v>104</v>
      </c>
      <c r="H405" s="56" t="str">
        <f>Table1[[#This Row],[Tabela]]&amp;Table1[[#This Row],[Campo]]</f>
        <v>PROPERTY_ENERGY_CERTIFICATEADDRESS_CODE</v>
      </c>
      <c r="I405" s="2" t="s">
        <v>612</v>
      </c>
      <c r="J405" s="42">
        <f>VLOOKUP(Table1[[#This Row],[Status]],Auxiliar!$B$16:$C$24,2,0)</f>
        <v>1</v>
      </c>
      <c r="K405" s="2" t="s">
        <v>1168</v>
      </c>
      <c r="L405" s="28" t="s">
        <v>1166</v>
      </c>
      <c r="M405" s="20" t="s">
        <v>1175</v>
      </c>
      <c r="N405" s="47">
        <v>45612</v>
      </c>
      <c r="O405" s="20">
        <f>INDEX(Auxiliar!$D$5:$F$13,MATCH(Table1[[#This Row],[Tipologia_Testes]],Auxiliar!$B$5:$B$13,0),MATCH(Table1[[#This Row],[Complexidade]],Auxiliar!$D$4:$F$4,0))</f>
        <v>2</v>
      </c>
      <c r="P405" s="2"/>
      <c r="Q405" s="2"/>
      <c r="R405" s="151">
        <v>45616</v>
      </c>
      <c r="S405" s="151"/>
      <c r="T405" s="151"/>
      <c r="U405" s="151"/>
      <c r="V405" s="151">
        <v>45639</v>
      </c>
      <c r="W405" s="2">
        <f>VLOOKUP(Table1[[#This Row],[Status]],Auxiliar!$B$16:$D$24,3,0)*Table1[[#This Row],[Estimação (horas)]]</f>
        <v>2</v>
      </c>
      <c r="X405" s="165">
        <f>+VLOOKUP(CONCATENATE(Table1[[#This Row],[Tabela]],Table1[[#This Row],[Campo]]),'2. Status Detalhe Campos FY24'!A:J,9,FALSE)</f>
        <v>0</v>
      </c>
      <c r="Y405" s="491" t="e">
        <f>+VLOOKUP(A405,#REF!,1,FALSE)</f>
        <v>#REF!</v>
      </c>
    </row>
    <row r="406" spans="1:25" ht="17.899999999999999" hidden="1" customHeight="1">
      <c r="A406" t="str">
        <f>+Table1[[#This Row],[Tabela]]&amp;Table1[[#This Row],[Campo]]</f>
        <v>PROPERTY_ENERGY_CERTIFICATEADDRESS_CODE</v>
      </c>
      <c r="B406" s="2" t="s">
        <v>26</v>
      </c>
      <c r="C406" s="2" t="s">
        <v>54</v>
      </c>
      <c r="D406" s="2" t="s">
        <v>124</v>
      </c>
      <c r="E406" s="2" t="s">
        <v>38</v>
      </c>
      <c r="F406" s="2" t="s">
        <v>123</v>
      </c>
      <c r="G406" s="2" t="s">
        <v>104</v>
      </c>
      <c r="H406" s="56" t="str">
        <f>Table1[[#This Row],[Tabela]]&amp;Table1[[#This Row],[Campo]]</f>
        <v>PROPERTY_ENERGY_CERTIFICATEADDRESS_CODE</v>
      </c>
      <c r="I406" s="2" t="s">
        <v>612</v>
      </c>
      <c r="J406" s="42">
        <f>VLOOKUP(Table1[[#This Row],[Status]],Auxiliar!$B$16:$C$24,2,0)</f>
        <v>1</v>
      </c>
      <c r="K406" s="2" t="s">
        <v>1169</v>
      </c>
      <c r="L406" s="28" t="s">
        <v>1166</v>
      </c>
      <c r="M406" s="20" t="s">
        <v>1175</v>
      </c>
      <c r="N406" s="47">
        <v>45612</v>
      </c>
      <c r="O406" s="20">
        <f>INDEX(Auxiliar!$D$5:$F$13,MATCH(Table1[[#This Row],[Tipologia_Testes]],Auxiliar!$B$5:$B$13,0),MATCH(Table1[[#This Row],[Complexidade]],Auxiliar!$D$4:$F$4,0))</f>
        <v>2</v>
      </c>
      <c r="P406" s="2"/>
      <c r="Q406" s="2"/>
      <c r="R406" s="151">
        <v>45616</v>
      </c>
      <c r="S406" s="151"/>
      <c r="T406" s="151"/>
      <c r="U406" s="151"/>
      <c r="V406" s="151">
        <v>45639</v>
      </c>
      <c r="W406" s="2">
        <f>VLOOKUP(Table1[[#This Row],[Status]],Auxiliar!$B$16:$D$24,3,0)*Table1[[#This Row],[Estimação (horas)]]</f>
        <v>2</v>
      </c>
      <c r="X406" s="165">
        <f>+VLOOKUP(CONCATENATE(Table1[[#This Row],[Tabela]],Table1[[#This Row],[Campo]]),'2. Status Detalhe Campos FY24'!A:J,9,FALSE)</f>
        <v>0</v>
      </c>
      <c r="Y406" s="491" t="e">
        <f>+VLOOKUP(A406,#REF!,1,FALSE)</f>
        <v>#REF!</v>
      </c>
    </row>
    <row r="407" spans="1:25" ht="17.899999999999999" hidden="1" customHeight="1">
      <c r="A407" t="str">
        <f>+Table1[[#This Row],[Tabela]]&amp;Table1[[#This Row],[Campo]]</f>
        <v>PROPERTY_ENERGY_CERTIFICATEADDRESS_CODE</v>
      </c>
      <c r="B407" s="2" t="s">
        <v>26</v>
      </c>
      <c r="C407" s="2" t="s">
        <v>54</v>
      </c>
      <c r="D407" s="2" t="s">
        <v>124</v>
      </c>
      <c r="E407" s="2" t="s">
        <v>38</v>
      </c>
      <c r="F407" s="2" t="s">
        <v>123</v>
      </c>
      <c r="G407" s="2" t="s">
        <v>104</v>
      </c>
      <c r="H407" s="56" t="str">
        <f>Table1[[#This Row],[Tabela]]&amp;Table1[[#This Row],[Campo]]</f>
        <v>PROPERTY_ENERGY_CERTIFICATEADDRESS_CODE</v>
      </c>
      <c r="I407" s="2" t="s">
        <v>612</v>
      </c>
      <c r="J407" s="42">
        <f>VLOOKUP(Table1[[#This Row],[Status]],Auxiliar!$B$16:$C$24,2,0)</f>
        <v>1</v>
      </c>
      <c r="K407" s="2" t="s">
        <v>1171</v>
      </c>
      <c r="L407" s="28" t="s">
        <v>1166</v>
      </c>
      <c r="M407" s="20" t="s">
        <v>1175</v>
      </c>
      <c r="N407" s="47">
        <v>45612</v>
      </c>
      <c r="O407" s="20">
        <f>INDEX(Auxiliar!$D$5:$F$13,MATCH(Table1[[#This Row],[Tipologia_Testes]],Auxiliar!$B$5:$B$13,0),MATCH(Table1[[#This Row],[Complexidade]],Auxiliar!$D$4:$F$4,0))</f>
        <v>0.1</v>
      </c>
      <c r="P407" s="2"/>
      <c r="Q407" s="2"/>
      <c r="R407" s="151">
        <v>45616</v>
      </c>
      <c r="S407" s="151"/>
      <c r="T407" s="151"/>
      <c r="U407" s="151"/>
      <c r="V407" s="151">
        <v>45639</v>
      </c>
      <c r="W407" s="2">
        <f>VLOOKUP(Table1[[#This Row],[Status]],Auxiliar!$B$16:$D$24,3,0)*Table1[[#This Row],[Estimação (horas)]]</f>
        <v>0.1</v>
      </c>
      <c r="X407" s="165">
        <f>+VLOOKUP(CONCATENATE(Table1[[#This Row],[Tabela]],Table1[[#This Row],[Campo]]),'2. Status Detalhe Campos FY24'!A:J,9,FALSE)</f>
        <v>0</v>
      </c>
      <c r="Y407" s="491" t="e">
        <f>+VLOOKUP(A407,#REF!,1,FALSE)</f>
        <v>#REF!</v>
      </c>
    </row>
    <row r="408" spans="1:25" ht="17.899999999999999" hidden="1" customHeight="1">
      <c r="A408" t="str">
        <f>+Table1[[#This Row],[Tabela]]&amp;Table1[[#This Row],[Campo]]</f>
        <v>PROPERTY_ENERGY_CERTIFICATEFLOOR_NUMBER</v>
      </c>
      <c r="B408" s="2" t="s">
        <v>26</v>
      </c>
      <c r="C408" s="2" t="s">
        <v>54</v>
      </c>
      <c r="D408" s="2" t="s">
        <v>124</v>
      </c>
      <c r="E408" s="2" t="s">
        <v>38</v>
      </c>
      <c r="F408" s="2" t="s">
        <v>123</v>
      </c>
      <c r="G408" s="2" t="s">
        <v>111</v>
      </c>
      <c r="H408" s="56" t="str">
        <f>Table1[[#This Row],[Tabela]]&amp;Table1[[#This Row],[Campo]]</f>
        <v>PROPERTY_ENERGY_CERTIFICATEFLOOR_NUMBER</v>
      </c>
      <c r="I408" s="2" t="s">
        <v>612</v>
      </c>
      <c r="J408" s="42">
        <f>VLOOKUP(Table1[[#This Row],[Status]],Auxiliar!$B$16:$C$24,2,0)</f>
        <v>1</v>
      </c>
      <c r="K408" s="2" t="s">
        <v>1168</v>
      </c>
      <c r="L408" s="28" t="s">
        <v>1166</v>
      </c>
      <c r="M408" s="20" t="s">
        <v>1175</v>
      </c>
      <c r="N408" s="47">
        <v>45612</v>
      </c>
      <c r="O408" s="20">
        <f>INDEX(Auxiliar!$D$5:$F$13,MATCH(Table1[[#This Row],[Tipologia_Testes]],Auxiliar!$B$5:$B$13,0),MATCH(Table1[[#This Row],[Complexidade]],Auxiliar!$D$4:$F$4,0))</f>
        <v>2</v>
      </c>
      <c r="P408" s="2"/>
      <c r="Q408" s="2"/>
      <c r="R408" s="151">
        <v>45616</v>
      </c>
      <c r="S408" s="151"/>
      <c r="T408" s="151"/>
      <c r="U408" s="151"/>
      <c r="V408" s="151">
        <v>45639</v>
      </c>
      <c r="W408" s="2">
        <f>VLOOKUP(Table1[[#This Row],[Status]],Auxiliar!$B$16:$D$24,3,0)*Table1[[#This Row],[Estimação (horas)]]</f>
        <v>2</v>
      </c>
      <c r="X408" s="165">
        <f>+VLOOKUP(CONCATENATE(Table1[[#This Row],[Tabela]],Table1[[#This Row],[Campo]]),'2. Status Detalhe Campos FY24'!A:J,9,FALSE)</f>
        <v>0</v>
      </c>
      <c r="Y408" s="491" t="e">
        <f>+VLOOKUP(A408,#REF!,1,FALSE)</f>
        <v>#REF!</v>
      </c>
    </row>
    <row r="409" spans="1:25" ht="17.899999999999999" hidden="1" customHeight="1">
      <c r="A409" t="str">
        <f>+Table1[[#This Row],[Tabela]]&amp;Table1[[#This Row],[Campo]]</f>
        <v>PROPERTY_ENERGY_CERTIFICATEFLOOR_NUMBER</v>
      </c>
      <c r="B409" s="2" t="s">
        <v>26</v>
      </c>
      <c r="C409" s="2" t="s">
        <v>54</v>
      </c>
      <c r="D409" s="2" t="s">
        <v>124</v>
      </c>
      <c r="E409" s="2" t="s">
        <v>38</v>
      </c>
      <c r="F409" s="2" t="s">
        <v>123</v>
      </c>
      <c r="G409" s="2" t="s">
        <v>111</v>
      </c>
      <c r="H409" s="56" t="str">
        <f>Table1[[#This Row],[Tabela]]&amp;Table1[[#This Row],[Campo]]</f>
        <v>PROPERTY_ENERGY_CERTIFICATEFLOOR_NUMBER</v>
      </c>
      <c r="I409" s="2" t="s">
        <v>612</v>
      </c>
      <c r="J409" s="42">
        <f>VLOOKUP(Table1[[#This Row],[Status]],Auxiliar!$B$16:$C$24,2,0)</f>
        <v>1</v>
      </c>
      <c r="K409" s="2" t="s">
        <v>1169</v>
      </c>
      <c r="L409" s="28" t="s">
        <v>1166</v>
      </c>
      <c r="M409" s="20" t="s">
        <v>1175</v>
      </c>
      <c r="N409" s="47">
        <v>45612</v>
      </c>
      <c r="O409" s="20">
        <f>INDEX(Auxiliar!$D$5:$F$13,MATCH(Table1[[#This Row],[Tipologia_Testes]],Auxiliar!$B$5:$B$13,0),MATCH(Table1[[#This Row],[Complexidade]],Auxiliar!$D$4:$F$4,0))</f>
        <v>2</v>
      </c>
      <c r="P409" s="2"/>
      <c r="Q409" s="2"/>
      <c r="R409" s="151">
        <v>45616</v>
      </c>
      <c r="S409" s="151"/>
      <c r="T409" s="151"/>
      <c r="U409" s="151"/>
      <c r="V409" s="151">
        <v>45639</v>
      </c>
      <c r="W409" s="2">
        <f>VLOOKUP(Table1[[#This Row],[Status]],Auxiliar!$B$16:$D$24,3,0)*Table1[[#This Row],[Estimação (horas)]]</f>
        <v>2</v>
      </c>
      <c r="X409" s="165">
        <f>+VLOOKUP(CONCATENATE(Table1[[#This Row],[Tabela]],Table1[[#This Row],[Campo]]),'2. Status Detalhe Campos FY24'!A:J,9,FALSE)</f>
        <v>0</v>
      </c>
      <c r="Y409" s="491" t="e">
        <f>+VLOOKUP(A409,#REF!,1,FALSE)</f>
        <v>#REF!</v>
      </c>
    </row>
    <row r="410" spans="1:25" ht="17.899999999999999" hidden="1" customHeight="1">
      <c r="A410" t="str">
        <f>+Table1[[#This Row],[Tabela]]&amp;Table1[[#This Row],[Campo]]</f>
        <v>PROPERTY_ENERGY_CERTIFICATEFLOOR_NUMBER</v>
      </c>
      <c r="B410" s="2" t="s">
        <v>26</v>
      </c>
      <c r="C410" s="2" t="s">
        <v>54</v>
      </c>
      <c r="D410" s="2" t="s">
        <v>124</v>
      </c>
      <c r="E410" s="2" t="s">
        <v>38</v>
      </c>
      <c r="F410" s="2" t="s">
        <v>123</v>
      </c>
      <c r="G410" s="2" t="s">
        <v>111</v>
      </c>
      <c r="H410" s="56" t="str">
        <f>Table1[[#This Row],[Tabela]]&amp;Table1[[#This Row],[Campo]]</f>
        <v>PROPERTY_ENERGY_CERTIFICATEFLOOR_NUMBER</v>
      </c>
      <c r="I410" s="2" t="s">
        <v>612</v>
      </c>
      <c r="J410" s="42">
        <f>VLOOKUP(Table1[[#This Row],[Status]],Auxiliar!$B$16:$C$24,2,0)</f>
        <v>1</v>
      </c>
      <c r="K410" s="2" t="s">
        <v>1171</v>
      </c>
      <c r="L410" s="28" t="s">
        <v>1166</v>
      </c>
      <c r="M410" s="20" t="s">
        <v>1175</v>
      </c>
      <c r="N410" s="47">
        <v>45612</v>
      </c>
      <c r="O410" s="20">
        <f>INDEX(Auxiliar!$D$5:$F$13,MATCH(Table1[[#This Row],[Tipologia_Testes]],Auxiliar!$B$5:$B$13,0),MATCH(Table1[[#This Row],[Complexidade]],Auxiliar!$D$4:$F$4,0))</f>
        <v>0.1</v>
      </c>
      <c r="P410" s="2"/>
      <c r="Q410" s="2"/>
      <c r="R410" s="151">
        <v>45616</v>
      </c>
      <c r="S410" s="151"/>
      <c r="T410" s="151"/>
      <c r="U410" s="151"/>
      <c r="V410" s="151">
        <v>45639</v>
      </c>
      <c r="W410" s="2">
        <f>VLOOKUP(Table1[[#This Row],[Status]],Auxiliar!$B$16:$D$24,3,0)*Table1[[#This Row],[Estimação (horas)]]</f>
        <v>0.1</v>
      </c>
      <c r="X410" s="165">
        <f>+VLOOKUP(CONCATENATE(Table1[[#This Row],[Tabela]],Table1[[#This Row],[Campo]]),'2. Status Detalhe Campos FY24'!A:J,9,FALSE)</f>
        <v>0</v>
      </c>
      <c r="Y410" s="491" t="e">
        <f>+VLOOKUP(A410,#REF!,1,FALSE)</f>
        <v>#REF!</v>
      </c>
    </row>
    <row r="411" spans="1:25" ht="17.899999999999999" hidden="1" customHeight="1">
      <c r="A411" t="str">
        <f>+Table1[[#This Row],[Tabela]]&amp;Table1[[#This Row],[Campo]]</f>
        <v>PROPERTY_ENERGY_CERTIFICATELOCALITY</v>
      </c>
      <c r="B411" s="2" t="s">
        <v>26</v>
      </c>
      <c r="C411" s="2" t="s">
        <v>54</v>
      </c>
      <c r="D411" s="2" t="s">
        <v>124</v>
      </c>
      <c r="E411" s="2" t="s">
        <v>38</v>
      </c>
      <c r="F411" s="2" t="s">
        <v>123</v>
      </c>
      <c r="G411" s="2" t="s">
        <v>112</v>
      </c>
      <c r="H411" s="56" t="str">
        <f>Table1[[#This Row],[Tabela]]&amp;Table1[[#This Row],[Campo]]</f>
        <v>PROPERTY_ENERGY_CERTIFICATELOCALITY</v>
      </c>
      <c r="I411" s="2" t="s">
        <v>612</v>
      </c>
      <c r="J411" s="42">
        <f>VLOOKUP(Table1[[#This Row],[Status]],Auxiliar!$B$16:$C$24,2,0)</f>
        <v>1</v>
      </c>
      <c r="K411" s="2" t="s">
        <v>1168</v>
      </c>
      <c r="L411" s="28" t="s">
        <v>1166</v>
      </c>
      <c r="M411" s="20" t="s">
        <v>1175</v>
      </c>
      <c r="N411" s="47">
        <v>45612</v>
      </c>
      <c r="O411" s="20">
        <f>INDEX(Auxiliar!$D$5:$F$13,MATCH(Table1[[#This Row],[Tipologia_Testes]],Auxiliar!$B$5:$B$13,0),MATCH(Table1[[#This Row],[Complexidade]],Auxiliar!$D$4:$F$4,0))</f>
        <v>2</v>
      </c>
      <c r="P411" s="2"/>
      <c r="Q411" s="2"/>
      <c r="R411" s="151">
        <v>45616</v>
      </c>
      <c r="S411" s="151"/>
      <c r="T411" s="151"/>
      <c r="U411" s="151"/>
      <c r="V411" s="151">
        <v>45639</v>
      </c>
      <c r="W411" s="2">
        <f>VLOOKUP(Table1[[#This Row],[Status]],Auxiliar!$B$16:$D$24,3,0)*Table1[[#This Row],[Estimação (horas)]]</f>
        <v>2</v>
      </c>
      <c r="X411" s="165">
        <f>+VLOOKUP(CONCATENATE(Table1[[#This Row],[Tabela]],Table1[[#This Row],[Campo]]),'2. Status Detalhe Campos FY24'!A:J,9,FALSE)</f>
        <v>0</v>
      </c>
      <c r="Y411" s="491" t="e">
        <f>+VLOOKUP(A411,#REF!,1,FALSE)</f>
        <v>#REF!</v>
      </c>
    </row>
    <row r="412" spans="1:25" ht="17.899999999999999" hidden="1" customHeight="1">
      <c r="A412" t="str">
        <f>+Table1[[#This Row],[Tabela]]&amp;Table1[[#This Row],[Campo]]</f>
        <v>PROPERTY_ENERGY_CERTIFICATELOCALITY</v>
      </c>
      <c r="B412" s="2" t="s">
        <v>26</v>
      </c>
      <c r="C412" s="2" t="s">
        <v>54</v>
      </c>
      <c r="D412" s="2" t="s">
        <v>124</v>
      </c>
      <c r="E412" s="2" t="s">
        <v>38</v>
      </c>
      <c r="F412" s="2" t="s">
        <v>123</v>
      </c>
      <c r="G412" s="2" t="s">
        <v>112</v>
      </c>
      <c r="H412" s="56" t="str">
        <f>Table1[[#This Row],[Tabela]]&amp;Table1[[#This Row],[Campo]]</f>
        <v>PROPERTY_ENERGY_CERTIFICATELOCALITY</v>
      </c>
      <c r="I412" s="2" t="s">
        <v>612</v>
      </c>
      <c r="J412" s="42">
        <f>VLOOKUP(Table1[[#This Row],[Status]],Auxiliar!$B$16:$C$24,2,0)</f>
        <v>1</v>
      </c>
      <c r="K412" s="2" t="s">
        <v>1169</v>
      </c>
      <c r="L412" s="28" t="s">
        <v>1166</v>
      </c>
      <c r="M412" s="20" t="s">
        <v>1175</v>
      </c>
      <c r="N412" s="47">
        <v>45612</v>
      </c>
      <c r="O412" s="20">
        <f>INDEX(Auxiliar!$D$5:$F$13,MATCH(Table1[[#This Row],[Tipologia_Testes]],Auxiliar!$B$5:$B$13,0),MATCH(Table1[[#This Row],[Complexidade]],Auxiliar!$D$4:$F$4,0))</f>
        <v>2</v>
      </c>
      <c r="P412" s="2"/>
      <c r="Q412" s="2"/>
      <c r="R412" s="151">
        <v>45616</v>
      </c>
      <c r="S412" s="151"/>
      <c r="T412" s="151"/>
      <c r="U412" s="151"/>
      <c r="V412" s="151">
        <v>45639</v>
      </c>
      <c r="W412" s="2">
        <f>VLOOKUP(Table1[[#This Row],[Status]],Auxiliar!$B$16:$D$24,3,0)*Table1[[#This Row],[Estimação (horas)]]</f>
        <v>2</v>
      </c>
      <c r="X412" s="165">
        <f>+VLOOKUP(CONCATENATE(Table1[[#This Row],[Tabela]],Table1[[#This Row],[Campo]]),'2. Status Detalhe Campos FY24'!A:J,9,FALSE)</f>
        <v>0</v>
      </c>
      <c r="Y412" s="491" t="e">
        <f>+VLOOKUP(A412,#REF!,1,FALSE)</f>
        <v>#REF!</v>
      </c>
    </row>
    <row r="413" spans="1:25" ht="17.899999999999999" hidden="1" customHeight="1">
      <c r="A413" t="str">
        <f>+Table1[[#This Row],[Tabela]]&amp;Table1[[#This Row],[Campo]]</f>
        <v>PROPERTY_ENERGY_CERTIFICATELOCALITY</v>
      </c>
      <c r="B413" s="2" t="s">
        <v>26</v>
      </c>
      <c r="C413" s="2" t="s">
        <v>54</v>
      </c>
      <c r="D413" s="2" t="s">
        <v>124</v>
      </c>
      <c r="E413" s="2" t="s">
        <v>38</v>
      </c>
      <c r="F413" s="2" t="s">
        <v>123</v>
      </c>
      <c r="G413" s="2" t="s">
        <v>112</v>
      </c>
      <c r="H413" s="56" t="str">
        <f>Table1[[#This Row],[Tabela]]&amp;Table1[[#This Row],[Campo]]</f>
        <v>PROPERTY_ENERGY_CERTIFICATELOCALITY</v>
      </c>
      <c r="I413" s="2" t="s">
        <v>612</v>
      </c>
      <c r="J413" s="42">
        <f>VLOOKUP(Table1[[#This Row],[Status]],Auxiliar!$B$16:$C$24,2,0)</f>
        <v>1</v>
      </c>
      <c r="K413" s="2" t="s">
        <v>1171</v>
      </c>
      <c r="L413" s="28" t="s">
        <v>1166</v>
      </c>
      <c r="M413" s="20" t="s">
        <v>1175</v>
      </c>
      <c r="N413" s="47">
        <v>45612</v>
      </c>
      <c r="O413" s="20">
        <f>INDEX(Auxiliar!$D$5:$F$13,MATCH(Table1[[#This Row],[Tipologia_Testes]],Auxiliar!$B$5:$B$13,0),MATCH(Table1[[#This Row],[Complexidade]],Auxiliar!$D$4:$F$4,0))</f>
        <v>0.1</v>
      </c>
      <c r="P413" s="2"/>
      <c r="Q413" s="2"/>
      <c r="R413" s="151">
        <v>45616</v>
      </c>
      <c r="S413" s="151"/>
      <c r="T413" s="151"/>
      <c r="U413" s="151"/>
      <c r="V413" s="151">
        <v>45639</v>
      </c>
      <c r="W413" s="2">
        <f>VLOOKUP(Table1[[#This Row],[Status]],Auxiliar!$B$16:$D$24,3,0)*Table1[[#This Row],[Estimação (horas)]]</f>
        <v>0.1</v>
      </c>
      <c r="X413" s="165">
        <f>+VLOOKUP(CONCATENATE(Table1[[#This Row],[Tabela]],Table1[[#This Row],[Campo]]),'2. Status Detalhe Campos FY24'!A:J,9,FALSE)</f>
        <v>0</v>
      </c>
      <c r="Y413" s="491" t="e">
        <f>+VLOOKUP(A413,#REF!,1,FALSE)</f>
        <v>#REF!</v>
      </c>
    </row>
    <row r="414" spans="1:25" ht="17.899999999999999" hidden="1" customHeight="1">
      <c r="A414" t="str">
        <f>+Table1[[#This Row],[Tabela]]&amp;Table1[[#This Row],[Campo]]</f>
        <v>PROPERTY_ENERGY_CERTIFICATECURRENT_ENERGY_RATING_PERCENTAGE</v>
      </c>
      <c r="B414" s="2" t="s">
        <v>26</v>
      </c>
      <c r="C414" s="2" t="s">
        <v>54</v>
      </c>
      <c r="D414" s="2" t="s">
        <v>124</v>
      </c>
      <c r="E414" s="2" t="s">
        <v>38</v>
      </c>
      <c r="F414" s="2" t="s">
        <v>123</v>
      </c>
      <c r="G414" s="2" t="s">
        <v>1957</v>
      </c>
      <c r="H414" s="56" t="str">
        <f>Table1[[#This Row],[Tabela]]&amp;Table1[[#This Row],[Campo]]</f>
        <v>PROPERTY_ENERGY_CERTIFICATECURRENT_ENERGY_RATING_PERCENTAGE</v>
      </c>
      <c r="I414" s="2" t="s">
        <v>612</v>
      </c>
      <c r="J414" s="42">
        <f>VLOOKUP(Table1[[#This Row],[Status]],Auxiliar!$B$16:$C$24,2,0)</f>
        <v>1</v>
      </c>
      <c r="K414" s="2" t="s">
        <v>1168</v>
      </c>
      <c r="L414" s="28" t="s">
        <v>1166</v>
      </c>
      <c r="M414" s="20" t="s">
        <v>1175</v>
      </c>
      <c r="N414" s="47">
        <v>45737</v>
      </c>
      <c r="O414" s="20">
        <f>INDEX(Auxiliar!$D$5:$F$13,MATCH(Table1[[#This Row],[Tipologia_Testes]],Auxiliar!$B$5:$B$13,0),MATCH(Table1[[#This Row],[Complexidade]],Auxiliar!$D$4:$F$4,0))</f>
        <v>2</v>
      </c>
      <c r="P414" s="2"/>
      <c r="Q414" s="2"/>
      <c r="R414" s="151"/>
      <c r="S414" s="151"/>
      <c r="T414" s="151"/>
      <c r="U414" s="151"/>
      <c r="V414" s="151"/>
      <c r="W414" s="2">
        <f>VLOOKUP(Table1[[#This Row],[Status]],Auxiliar!$B$16:$D$24,3,0)*Table1[[#This Row],[Estimação (horas)]]</f>
        <v>2</v>
      </c>
      <c r="X414" s="165">
        <f>+VLOOKUP(CONCATENATE(Table1[[#This Row],[Tabela]],Table1[[#This Row],[Campo]]),'2. Status Detalhe Campos FY24'!A:J,9,FALSE)</f>
        <v>0</v>
      </c>
      <c r="Y414" s="491" t="e">
        <f>+VLOOKUP(A414,#REF!,1,FALSE)</f>
        <v>#REF!</v>
      </c>
    </row>
    <row r="415" spans="1:25" ht="17.899999999999999" hidden="1" customHeight="1">
      <c r="A415" t="str">
        <f>+Table1[[#This Row],[Tabela]]&amp;Table1[[#This Row],[Campo]]</f>
        <v>PROPERTY_ENERGY_CERTIFICATECURRENT_ENERGY_RATING_PERCENTAGE</v>
      </c>
      <c r="B415" s="2" t="s">
        <v>26</v>
      </c>
      <c r="C415" s="2" t="s">
        <v>54</v>
      </c>
      <c r="D415" s="2" t="s">
        <v>124</v>
      </c>
      <c r="E415" s="2" t="s">
        <v>38</v>
      </c>
      <c r="F415" s="2" t="s">
        <v>123</v>
      </c>
      <c r="G415" s="2" t="s">
        <v>1957</v>
      </c>
      <c r="H415" s="56" t="str">
        <f>Table1[[#This Row],[Tabela]]&amp;Table1[[#This Row],[Campo]]</f>
        <v>PROPERTY_ENERGY_CERTIFICATECURRENT_ENERGY_RATING_PERCENTAGE</v>
      </c>
      <c r="I415" s="2" t="s">
        <v>612</v>
      </c>
      <c r="J415" s="42">
        <f>VLOOKUP(Table1[[#This Row],[Status]],Auxiliar!$B$16:$C$24,2,0)</f>
        <v>1</v>
      </c>
      <c r="K415" s="2" t="s">
        <v>1169</v>
      </c>
      <c r="L415" s="28" t="s">
        <v>1166</v>
      </c>
      <c r="M415" s="20" t="s">
        <v>1175</v>
      </c>
      <c r="N415" s="47">
        <v>45737</v>
      </c>
      <c r="O415" s="20">
        <f>INDEX(Auxiliar!$D$5:$F$13,MATCH(Table1[[#This Row],[Tipologia_Testes]],Auxiliar!$B$5:$B$13,0),MATCH(Table1[[#This Row],[Complexidade]],Auxiliar!$D$4:$F$4,0))</f>
        <v>2</v>
      </c>
      <c r="P415" s="2"/>
      <c r="Q415" s="2"/>
      <c r="R415" s="151"/>
      <c r="S415" s="151"/>
      <c r="T415" s="151"/>
      <c r="U415" s="151"/>
      <c r="V415" s="151"/>
      <c r="W415" s="2">
        <f>VLOOKUP(Table1[[#This Row],[Status]],Auxiliar!$B$16:$D$24,3,0)*Table1[[#This Row],[Estimação (horas)]]</f>
        <v>2</v>
      </c>
      <c r="X415" s="165">
        <f>+VLOOKUP(CONCATENATE(Table1[[#This Row],[Tabela]],Table1[[#This Row],[Campo]]),'2. Status Detalhe Campos FY24'!A:J,9,FALSE)</f>
        <v>0</v>
      </c>
      <c r="Y415" s="491" t="e">
        <f>+VLOOKUP(A415,#REF!,1,FALSE)</f>
        <v>#REF!</v>
      </c>
    </row>
    <row r="416" spans="1:25" ht="17.899999999999999" hidden="1" customHeight="1">
      <c r="A416" t="str">
        <f>+Table1[[#This Row],[Tabela]]&amp;Table1[[#This Row],[Campo]]</f>
        <v>PROPERTY_ENERGY_CERTIFICATEGPS_LATITUDE</v>
      </c>
      <c r="B416" s="2" t="s">
        <v>26</v>
      </c>
      <c r="C416" s="2" t="s">
        <v>54</v>
      </c>
      <c r="D416" s="2" t="s">
        <v>124</v>
      </c>
      <c r="E416" s="2" t="s">
        <v>38</v>
      </c>
      <c r="F416" s="2" t="s">
        <v>123</v>
      </c>
      <c r="G416" s="64" t="s">
        <v>2426</v>
      </c>
      <c r="H416" s="56" t="str">
        <f>Table1[[#This Row],[Tabela]]&amp;Table1[[#This Row],[Campo]]</f>
        <v>PROPERTY_ENERGY_CERTIFICATEGPS_LATITUDE</v>
      </c>
      <c r="I416" s="2" t="s">
        <v>612</v>
      </c>
      <c r="J416" s="42">
        <f>VLOOKUP(Table1[[#This Row],[Status]],Auxiliar!$B$16:$C$24,2,0)</f>
        <v>1</v>
      </c>
      <c r="K416" s="2" t="s">
        <v>1168</v>
      </c>
      <c r="L416" s="28" t="s">
        <v>1166</v>
      </c>
      <c r="M416" s="20" t="s">
        <v>1175</v>
      </c>
      <c r="N416" s="47">
        <v>45695</v>
      </c>
      <c r="O416" s="20">
        <f>INDEX(Auxiliar!$D$5:$F$11,MATCH(Table1[[#This Row],[Tipologia_Testes]],Auxiliar!$B$5:$B$11,0),MATCH(Table1[[#This Row],[Complexidade]],Auxiliar!$D$4:$F$4,0))</f>
        <v>2</v>
      </c>
      <c r="P416" s="2"/>
      <c r="Q416" s="2"/>
      <c r="R416" s="151"/>
      <c r="S416" s="151"/>
      <c r="T416" s="151"/>
      <c r="U416" s="151"/>
      <c r="V416" s="151"/>
      <c r="W416" s="2">
        <f>VLOOKUP(Table1[[#This Row],[Status]],Auxiliar!$B$16:$D$24,3,0)*Table1[[#This Row],[Estimação (horas)]]</f>
        <v>2</v>
      </c>
      <c r="X416" s="165">
        <f>+VLOOKUP(CONCATENATE(Table1[[#This Row],[Tabela]],Table1[[#This Row],[Campo]]),'2. Status Detalhe Campos FY24'!A:J,9,FALSE)</f>
        <v>0</v>
      </c>
      <c r="Y416" s="491" t="e">
        <f>+VLOOKUP(A416,#REF!,1,FALSE)</f>
        <v>#REF!</v>
      </c>
    </row>
    <row r="417" spans="1:25" ht="17.899999999999999" hidden="1" customHeight="1">
      <c r="A417" t="str">
        <f>+Table1[[#This Row],[Tabela]]&amp;Table1[[#This Row],[Campo]]</f>
        <v>PROPERTY_ENERGY_CERTIFICATEGPS_LONGITUDE</v>
      </c>
      <c r="B417" s="2" t="s">
        <v>26</v>
      </c>
      <c r="C417" s="2" t="s">
        <v>54</v>
      </c>
      <c r="D417" s="2" t="s">
        <v>124</v>
      </c>
      <c r="E417" s="2" t="s">
        <v>38</v>
      </c>
      <c r="F417" s="2" t="s">
        <v>123</v>
      </c>
      <c r="G417" s="64" t="s">
        <v>2427</v>
      </c>
      <c r="H417" s="56" t="str">
        <f>Table1[[#This Row],[Tabela]]&amp;Table1[[#This Row],[Campo]]</f>
        <v>PROPERTY_ENERGY_CERTIFICATEGPS_LONGITUDE</v>
      </c>
      <c r="I417" s="2" t="s">
        <v>612</v>
      </c>
      <c r="J417" s="42">
        <f>VLOOKUP(Table1[[#This Row],[Status]],Auxiliar!$B$16:$C$24,2,0)</f>
        <v>1</v>
      </c>
      <c r="K417" s="2" t="s">
        <v>1168</v>
      </c>
      <c r="L417" s="28" t="s">
        <v>1166</v>
      </c>
      <c r="M417" s="20" t="s">
        <v>1175</v>
      </c>
      <c r="N417" s="47">
        <v>45695</v>
      </c>
      <c r="O417" s="20">
        <f>INDEX(Auxiliar!$D$5:$F$11,MATCH(Table1[[#This Row],[Tipologia_Testes]],Auxiliar!$B$5:$B$11,0),MATCH(Table1[[#This Row],[Complexidade]],Auxiliar!$D$4:$F$4,0))</f>
        <v>2</v>
      </c>
      <c r="P417" s="2"/>
      <c r="Q417" s="2"/>
      <c r="R417" s="151"/>
      <c r="S417" s="151"/>
      <c r="T417" s="151"/>
      <c r="U417" s="151"/>
      <c r="V417" s="151"/>
      <c r="W417" s="2">
        <f>VLOOKUP(Table1[[#This Row],[Status]],Auxiliar!$B$16:$D$24,3,0)*Table1[[#This Row],[Estimação (horas)]]</f>
        <v>2</v>
      </c>
      <c r="X417" s="165">
        <f>+VLOOKUP(CONCATENATE(Table1[[#This Row],[Tabela]],Table1[[#This Row],[Campo]]),'2. Status Detalhe Campos FY24'!A:J,9,FALSE)</f>
        <v>0</v>
      </c>
      <c r="Y417" s="491" t="e">
        <f>+VLOOKUP(A417,#REF!,1,FALSE)</f>
        <v>#REF!</v>
      </c>
    </row>
    <row r="418" spans="1:25" ht="69.650000000000006" hidden="1" customHeight="1">
      <c r="A418" t="str">
        <f>+Table1[[#This Row],[Tabela]]&amp;Table1[[#This Row],[Campo]]</f>
        <v>PROPERTY_ENERGY_CERTIFICATECURRENT_ENERGY_RATING_PERCENTAGE</v>
      </c>
      <c r="B418" s="2" t="s">
        <v>26</v>
      </c>
      <c r="C418" s="2" t="s">
        <v>54</v>
      </c>
      <c r="D418" s="2" t="s">
        <v>124</v>
      </c>
      <c r="E418" s="2" t="s">
        <v>38</v>
      </c>
      <c r="F418" s="2" t="s">
        <v>123</v>
      </c>
      <c r="G418" s="2" t="s">
        <v>1957</v>
      </c>
      <c r="H418" s="56" t="str">
        <f>Table1[[#This Row],[Tabela]]&amp;Table1[[#This Row],[Campo]]</f>
        <v>PROPERTY_ENERGY_CERTIFICATECURRENT_ENERGY_RATING_PERCENTAGE</v>
      </c>
      <c r="I418" s="2" t="s">
        <v>612</v>
      </c>
      <c r="J418" s="42">
        <f>VLOOKUP(Table1[[#This Row],[Status]],Auxiliar!$B$16:$C$24,2,0)</f>
        <v>1</v>
      </c>
      <c r="K418" s="2" t="s">
        <v>1171</v>
      </c>
      <c r="L418" s="28" t="s">
        <v>1166</v>
      </c>
      <c r="M418" s="20" t="s">
        <v>1175</v>
      </c>
      <c r="N418" s="47">
        <v>45737</v>
      </c>
      <c r="O418" s="20">
        <f>INDEX(Auxiliar!$D$5:$F$13,MATCH(Table1[[#This Row],[Tipologia_Testes]],Auxiliar!$B$5:$B$13,0),MATCH(Table1[[#This Row],[Complexidade]],Auxiliar!$D$4:$F$4,0))</f>
        <v>0.1</v>
      </c>
      <c r="P418" s="2"/>
      <c r="Q418" s="2"/>
      <c r="R418" s="151"/>
      <c r="S418" s="151"/>
      <c r="T418" s="151"/>
      <c r="U418" s="151"/>
      <c r="V418" s="151"/>
      <c r="W418" s="2">
        <f>VLOOKUP(Table1[[#This Row],[Status]],Auxiliar!$B$16:$D$24,3,0)*Table1[[#This Row],[Estimação (horas)]]</f>
        <v>0.1</v>
      </c>
      <c r="X418" s="165">
        <f>+VLOOKUP(CONCATENATE(Table1[[#This Row],[Tabela]],Table1[[#This Row],[Campo]]),'2. Status Detalhe Campos FY24'!A:J,9,FALSE)</f>
        <v>0</v>
      </c>
      <c r="Y418" s="491" t="e">
        <f>+VLOOKUP(A418,#REF!,1,FALSE)</f>
        <v>#REF!</v>
      </c>
    </row>
    <row r="419" spans="1:25" ht="17.899999999999999" hidden="1" customHeight="1">
      <c r="A419" t="str">
        <f>+Table1[[#This Row],[Tabela]]&amp;Table1[[#This Row],[Campo]]</f>
        <v>PROCESSn.a.</v>
      </c>
      <c r="B419" s="2" t="s">
        <v>26</v>
      </c>
      <c r="C419" s="2" t="s">
        <v>54</v>
      </c>
      <c r="D419" s="2" t="s">
        <v>38</v>
      </c>
      <c r="E419" s="2" t="s">
        <v>38</v>
      </c>
      <c r="F419" s="2" t="s">
        <v>55</v>
      </c>
      <c r="G419" s="2" t="s">
        <v>38</v>
      </c>
      <c r="H419" s="56" t="str">
        <f>Table1[[#This Row],[Tabela]]&amp;Table1[[#This Row],[Campo]]</f>
        <v>PROCESSn.a.</v>
      </c>
      <c r="I419" s="2" t="s">
        <v>612</v>
      </c>
      <c r="J419" s="42">
        <f>VLOOKUP(Table1[[#This Row],[Status]],Auxiliar!$B$16:$C$24,2,0)</f>
        <v>1</v>
      </c>
      <c r="K419" s="2" t="s">
        <v>1165</v>
      </c>
      <c r="L419" s="28" t="s">
        <v>1166</v>
      </c>
      <c r="M419" s="20" t="s">
        <v>1167</v>
      </c>
      <c r="N419" s="47">
        <v>45512</v>
      </c>
      <c r="O419" s="20">
        <f>INDEX(Auxiliar!$D$5:$F$13,MATCH(Table1[[#This Row],[Tipologia_Testes]],Auxiliar!$B$5:$B$13,0),MATCH(Table1[[#This Row],[Complexidade]],Auxiliar!$D$4:$F$4,0))</f>
        <v>8</v>
      </c>
      <c r="P419" s="22" t="s">
        <v>1193</v>
      </c>
      <c r="Q419" s="2"/>
      <c r="R419" s="151">
        <v>45261</v>
      </c>
      <c r="S419" s="151"/>
      <c r="T419" s="151"/>
      <c r="U419" s="151"/>
      <c r="V419" s="151"/>
      <c r="W419" s="2">
        <f>VLOOKUP(Table1[[#This Row],[Status]],Auxiliar!$B$16:$D$24,3,0)*Table1[[#This Row],[Estimação (horas)]]</f>
        <v>8</v>
      </c>
      <c r="X419" s="165">
        <f>+VLOOKUP(CONCATENATE(Table1[[#This Row],[Tabela]],Table1[[#This Row],[Campo]]),'2. Status Detalhe Campos FY24'!A:J,9,FALSE)</f>
        <v>0</v>
      </c>
      <c r="Y419" s="491" t="e">
        <f>+VLOOKUP(A419,#REF!,1,FALSE)</f>
        <v>#REF!</v>
      </c>
    </row>
    <row r="420" spans="1:25" ht="17.899999999999999" hidden="1" customHeight="1">
      <c r="A420" t="str">
        <f>+Table1[[#This Row],[Tabela]]&amp;Table1[[#This Row],[Campo]]</f>
        <v>PROCESSPROCESS_BANK_ID</v>
      </c>
      <c r="B420" s="2" t="s">
        <v>26</v>
      </c>
      <c r="C420" s="2" t="s">
        <v>54</v>
      </c>
      <c r="D420" s="2" t="s">
        <v>38</v>
      </c>
      <c r="E420" s="2" t="s">
        <v>38</v>
      </c>
      <c r="F420" s="2" t="s">
        <v>55</v>
      </c>
      <c r="G420" s="2" t="s">
        <v>57</v>
      </c>
      <c r="H420" s="56" t="str">
        <f>Table1[[#This Row],[Tabela]]&amp;Table1[[#This Row],[Campo]]</f>
        <v>PROCESSPROCESS_BANK_ID</v>
      </c>
      <c r="I420" s="2" t="s">
        <v>612</v>
      </c>
      <c r="J420" s="42">
        <f>VLOOKUP(Table1[[#This Row],[Status]],Auxiliar!$B$16:$C$24,2,0)</f>
        <v>1</v>
      </c>
      <c r="K420" s="2" t="s">
        <v>1168</v>
      </c>
      <c r="L420" s="28" t="s">
        <v>1174</v>
      </c>
      <c r="M420" s="20" t="s">
        <v>1175</v>
      </c>
      <c r="N420" s="47">
        <v>45499</v>
      </c>
      <c r="O420" s="20">
        <f>INDEX(Auxiliar!$D$5:$F$13,MATCH(Table1[[#This Row],[Tipologia_Testes]],Auxiliar!$B$5:$B$13,0),MATCH(Table1[[#This Row],[Complexidade]],Auxiliar!$D$4:$F$4,0))</f>
        <v>2</v>
      </c>
      <c r="P420" s="2" t="s">
        <v>1188</v>
      </c>
      <c r="Q420" s="2" t="s">
        <v>1185</v>
      </c>
      <c r="R420" s="151">
        <v>45261</v>
      </c>
      <c r="S420" s="151">
        <v>45495</v>
      </c>
      <c r="T420" s="151"/>
      <c r="U420" s="151"/>
      <c r="V420" s="151"/>
      <c r="W420" s="2">
        <f>VLOOKUP(Table1[[#This Row],[Status]],Auxiliar!$B$16:$D$24,3,0)*Table1[[#This Row],[Estimação (horas)]]</f>
        <v>2</v>
      </c>
      <c r="X420" s="165">
        <f>+VLOOKUP(CONCATENATE(Table1[[#This Row],[Tabela]],Table1[[#This Row],[Campo]]),'2. Status Detalhe Campos FY24'!A:J,9,FALSE)</f>
        <v>0</v>
      </c>
      <c r="Y420" s="491" t="e">
        <f>+VLOOKUP(A420,#REF!,1,FALSE)</f>
        <v>#REF!</v>
      </c>
    </row>
    <row r="421" spans="1:25" ht="17.899999999999999" hidden="1" customHeight="1">
      <c r="A421" t="str">
        <f>+Table1[[#This Row],[Tabela]]&amp;Table1[[#This Row],[Campo]]</f>
        <v>PROCESSPROCESS_BANK_ID</v>
      </c>
      <c r="B421" s="2" t="s">
        <v>26</v>
      </c>
      <c r="C421" s="2" t="s">
        <v>54</v>
      </c>
      <c r="D421" s="2" t="s">
        <v>38</v>
      </c>
      <c r="E421" s="2" t="s">
        <v>38</v>
      </c>
      <c r="F421" s="2" t="s">
        <v>55</v>
      </c>
      <c r="G421" s="2" t="s">
        <v>57</v>
      </c>
      <c r="H421" s="56" t="str">
        <f>Table1[[#This Row],[Tabela]]&amp;Table1[[#This Row],[Campo]]</f>
        <v>PROCESSPROCESS_BANK_ID</v>
      </c>
      <c r="I421" s="2" t="s">
        <v>612</v>
      </c>
      <c r="J421" s="42">
        <f>VLOOKUP(Table1[[#This Row],[Status]],Auxiliar!$B$16:$C$24,2,0)</f>
        <v>1</v>
      </c>
      <c r="K421" s="2" t="s">
        <v>1169</v>
      </c>
      <c r="L421" s="28" t="s">
        <v>1174</v>
      </c>
      <c r="M421" s="20" t="s">
        <v>1175</v>
      </c>
      <c r="N421" s="47">
        <v>45499</v>
      </c>
      <c r="O421" s="20">
        <f>INDEX(Auxiliar!$D$5:$F$13,MATCH(Table1[[#This Row],[Tipologia_Testes]],Auxiliar!$B$5:$B$13,0),MATCH(Table1[[#This Row],[Complexidade]],Auxiliar!$D$4:$F$4,0))</f>
        <v>2</v>
      </c>
      <c r="P421" s="2" t="s">
        <v>1188</v>
      </c>
      <c r="Q421" s="2" t="s">
        <v>1185</v>
      </c>
      <c r="R421" s="151">
        <v>45261</v>
      </c>
      <c r="S421" s="151">
        <v>45495</v>
      </c>
      <c r="T421" s="151"/>
      <c r="U421" s="151"/>
      <c r="V421" s="151"/>
      <c r="W421" s="2">
        <f>VLOOKUP(Table1[[#This Row],[Status]],Auxiliar!$B$16:$D$24,3,0)*Table1[[#This Row],[Estimação (horas)]]</f>
        <v>2</v>
      </c>
      <c r="X421" s="165">
        <f>+VLOOKUP(CONCATENATE(Table1[[#This Row],[Tabela]],Table1[[#This Row],[Campo]]),'2. Status Detalhe Campos FY24'!A:J,9,FALSE)</f>
        <v>0</v>
      </c>
      <c r="Y421" s="491" t="e">
        <f>+VLOOKUP(A421,#REF!,1,FALSE)</f>
        <v>#REF!</v>
      </c>
    </row>
    <row r="422" spans="1:25" ht="17.899999999999999" hidden="1" customHeight="1">
      <c r="A422" t="str">
        <f>+Table1[[#This Row],[Tabela]]&amp;Table1[[#This Row],[Campo]]</f>
        <v>PROCESSPROCESS_BANK_ID</v>
      </c>
      <c r="B422" s="2" t="s">
        <v>26</v>
      </c>
      <c r="C422" s="2" t="s">
        <v>54</v>
      </c>
      <c r="D422" s="2" t="s">
        <v>38</v>
      </c>
      <c r="E422" s="2" t="s">
        <v>38</v>
      </c>
      <c r="F422" s="2" t="s">
        <v>55</v>
      </c>
      <c r="G422" s="2" t="s">
        <v>57</v>
      </c>
      <c r="H422" s="56" t="str">
        <f>Table1[[#This Row],[Tabela]]&amp;Table1[[#This Row],[Campo]]</f>
        <v>PROCESSPROCESS_BANK_ID</v>
      </c>
      <c r="I422" s="2" t="s">
        <v>612</v>
      </c>
      <c r="J422" s="42">
        <f>VLOOKUP(Table1[[#This Row],[Status]],Auxiliar!$B$16:$C$24,2,0)</f>
        <v>1</v>
      </c>
      <c r="K422" s="2" t="s">
        <v>1171</v>
      </c>
      <c r="L422" s="28" t="s">
        <v>1174</v>
      </c>
      <c r="M422" s="20" t="s">
        <v>1175</v>
      </c>
      <c r="N422" s="47">
        <v>45499</v>
      </c>
      <c r="O422" s="20">
        <f>INDEX(Auxiliar!$D$5:$F$13,MATCH(Table1[[#This Row],[Tipologia_Testes]],Auxiliar!$B$5:$B$13,0),MATCH(Table1[[#This Row],[Complexidade]],Auxiliar!$D$4:$F$4,0))</f>
        <v>0.1</v>
      </c>
      <c r="P422" s="2" t="s">
        <v>1188</v>
      </c>
      <c r="Q422" s="2" t="s">
        <v>1185</v>
      </c>
      <c r="R422" s="151">
        <v>45261</v>
      </c>
      <c r="S422" s="151">
        <v>45495</v>
      </c>
      <c r="T422" s="151"/>
      <c r="U422" s="151"/>
      <c r="V422" s="151"/>
      <c r="W422" s="2">
        <f>VLOOKUP(Table1[[#This Row],[Status]],Auxiliar!$B$16:$D$24,3,0)*Table1[[#This Row],[Estimação (horas)]]</f>
        <v>0.1</v>
      </c>
      <c r="X422" s="165">
        <f>+VLOOKUP(CONCATENATE(Table1[[#This Row],[Tabela]],Table1[[#This Row],[Campo]]),'2. Status Detalhe Campos FY24'!A:J,9,FALSE)</f>
        <v>0</v>
      </c>
      <c r="Y422" s="491" t="e">
        <f>+VLOOKUP(A422,#REF!,1,FALSE)</f>
        <v>#REF!</v>
      </c>
    </row>
    <row r="423" spans="1:25" ht="17.899999999999999" hidden="1" customHeight="1">
      <c r="A423" t="str">
        <f>+Table1[[#This Row],[Tabela]]&amp;Table1[[#This Row],[Campo]]</f>
        <v>PROCESSPROCESS_BRANCH_CODE</v>
      </c>
      <c r="B423" s="2" t="s">
        <v>26</v>
      </c>
      <c r="C423" s="2" t="s">
        <v>54</v>
      </c>
      <c r="D423" s="2" t="s">
        <v>38</v>
      </c>
      <c r="E423" s="2" t="s">
        <v>38</v>
      </c>
      <c r="F423" s="2" t="s">
        <v>55</v>
      </c>
      <c r="G423" s="2" t="s">
        <v>58</v>
      </c>
      <c r="H423" s="56" t="str">
        <f>Table1[[#This Row],[Tabela]]&amp;Table1[[#This Row],[Campo]]</f>
        <v>PROCESSPROCESS_BRANCH_CODE</v>
      </c>
      <c r="I423" s="2" t="s">
        <v>612</v>
      </c>
      <c r="J423" s="42">
        <f>VLOOKUP(Table1[[#This Row],[Status]],Auxiliar!$B$16:$C$24,2,0)</f>
        <v>1</v>
      </c>
      <c r="K423" s="2" t="s">
        <v>1168</v>
      </c>
      <c r="L423" s="28" t="s">
        <v>1174</v>
      </c>
      <c r="M423" s="20" t="s">
        <v>1175</v>
      </c>
      <c r="N423" s="47">
        <v>45499</v>
      </c>
      <c r="O423" s="20">
        <f>INDEX(Auxiliar!$D$5:$F$13,MATCH(Table1[[#This Row],[Tipologia_Testes]],Auxiliar!$B$5:$B$13,0),MATCH(Table1[[#This Row],[Complexidade]],Auxiliar!$D$4:$F$4,0))</f>
        <v>2</v>
      </c>
      <c r="P423" s="2" t="s">
        <v>1188</v>
      </c>
      <c r="Q423" s="2" t="s">
        <v>1185</v>
      </c>
      <c r="R423" s="151">
        <v>45261</v>
      </c>
      <c r="S423" s="151">
        <v>45495</v>
      </c>
      <c r="T423" s="151"/>
      <c r="U423" s="151"/>
      <c r="V423" s="151"/>
      <c r="W423" s="2">
        <f>VLOOKUP(Table1[[#This Row],[Status]],Auxiliar!$B$16:$D$24,3,0)*Table1[[#This Row],[Estimação (horas)]]</f>
        <v>2</v>
      </c>
      <c r="X423" s="165">
        <f>+VLOOKUP(CONCATENATE(Table1[[#This Row],[Tabela]],Table1[[#This Row],[Campo]]),'2. Status Detalhe Campos FY24'!A:J,9,FALSE)</f>
        <v>0</v>
      </c>
      <c r="Y423" s="491" t="e">
        <f>+VLOOKUP(A423,#REF!,1,FALSE)</f>
        <v>#REF!</v>
      </c>
    </row>
    <row r="424" spans="1:25" ht="17.899999999999999" hidden="1" customHeight="1">
      <c r="A424" t="str">
        <f>+Table1[[#This Row],[Tabela]]&amp;Table1[[#This Row],[Campo]]</f>
        <v>PROCESSPROCESS_BRANCH_CODE</v>
      </c>
      <c r="B424" s="2" t="s">
        <v>26</v>
      </c>
      <c r="C424" s="2" t="s">
        <v>54</v>
      </c>
      <c r="D424" s="2" t="s">
        <v>38</v>
      </c>
      <c r="E424" s="2" t="s">
        <v>38</v>
      </c>
      <c r="F424" s="2" t="s">
        <v>55</v>
      </c>
      <c r="G424" s="2" t="s">
        <v>58</v>
      </c>
      <c r="H424" s="56" t="str">
        <f>Table1[[#This Row],[Tabela]]&amp;Table1[[#This Row],[Campo]]</f>
        <v>PROCESSPROCESS_BRANCH_CODE</v>
      </c>
      <c r="I424" s="2" t="s">
        <v>612</v>
      </c>
      <c r="J424" s="42">
        <f>VLOOKUP(Table1[[#This Row],[Status]],Auxiliar!$B$16:$C$24,2,0)</f>
        <v>1</v>
      </c>
      <c r="K424" s="2" t="s">
        <v>1169</v>
      </c>
      <c r="L424" s="28" t="s">
        <v>1174</v>
      </c>
      <c r="M424" s="20" t="s">
        <v>1175</v>
      </c>
      <c r="N424" s="47">
        <v>45499</v>
      </c>
      <c r="O424" s="20">
        <f>INDEX(Auxiliar!$D$5:$F$13,MATCH(Table1[[#This Row],[Tipologia_Testes]],Auxiliar!$B$5:$B$13,0),MATCH(Table1[[#This Row],[Complexidade]],Auxiliar!$D$4:$F$4,0))</f>
        <v>2</v>
      </c>
      <c r="P424" s="2" t="s">
        <v>1188</v>
      </c>
      <c r="Q424" s="2" t="s">
        <v>1185</v>
      </c>
      <c r="R424" s="151">
        <v>45261</v>
      </c>
      <c r="S424" s="151">
        <v>45495</v>
      </c>
      <c r="T424" s="151"/>
      <c r="U424" s="151"/>
      <c r="V424" s="151"/>
      <c r="W424" s="2">
        <f>VLOOKUP(Table1[[#This Row],[Status]],Auxiliar!$B$16:$D$24,3,0)*Table1[[#This Row],[Estimação (horas)]]</f>
        <v>2</v>
      </c>
      <c r="X424" s="165">
        <f>+VLOOKUP(CONCATENATE(Table1[[#This Row],[Tabela]],Table1[[#This Row],[Campo]]),'2. Status Detalhe Campos FY24'!A:J,9,FALSE)</f>
        <v>0</v>
      </c>
      <c r="Y424" s="491" t="e">
        <f>+VLOOKUP(A424,#REF!,1,FALSE)</f>
        <v>#REF!</v>
      </c>
    </row>
    <row r="425" spans="1:25" ht="17.899999999999999" hidden="1" customHeight="1">
      <c r="A425" t="str">
        <f>+Table1[[#This Row],[Tabela]]&amp;Table1[[#This Row],[Campo]]</f>
        <v>PROCESSPROCESS_BRANCH_CODE</v>
      </c>
      <c r="B425" s="2" t="s">
        <v>26</v>
      </c>
      <c r="C425" s="2" t="s">
        <v>54</v>
      </c>
      <c r="D425" s="2" t="s">
        <v>38</v>
      </c>
      <c r="E425" s="2" t="s">
        <v>38</v>
      </c>
      <c r="F425" s="2" t="s">
        <v>55</v>
      </c>
      <c r="G425" s="2" t="s">
        <v>58</v>
      </c>
      <c r="H425" s="56" t="str">
        <f>Table1[[#This Row],[Tabela]]&amp;Table1[[#This Row],[Campo]]</f>
        <v>PROCESSPROCESS_BRANCH_CODE</v>
      </c>
      <c r="I425" s="2" t="s">
        <v>612</v>
      </c>
      <c r="J425" s="42">
        <f>VLOOKUP(Table1[[#This Row],[Status]],Auxiliar!$B$16:$C$24,2,0)</f>
        <v>1</v>
      </c>
      <c r="K425" s="2" t="s">
        <v>1171</v>
      </c>
      <c r="L425" s="28" t="s">
        <v>1174</v>
      </c>
      <c r="M425" s="20" t="s">
        <v>1175</v>
      </c>
      <c r="N425" s="47">
        <v>45499</v>
      </c>
      <c r="O425" s="20">
        <f>INDEX(Auxiliar!$D$5:$F$13,MATCH(Table1[[#This Row],[Tipologia_Testes]],Auxiliar!$B$5:$B$13,0),MATCH(Table1[[#This Row],[Complexidade]],Auxiliar!$D$4:$F$4,0))</f>
        <v>0.1</v>
      </c>
      <c r="P425" s="2" t="s">
        <v>1188</v>
      </c>
      <c r="Q425" s="2" t="s">
        <v>1185</v>
      </c>
      <c r="R425" s="151">
        <v>45261</v>
      </c>
      <c r="S425" s="151">
        <v>45495</v>
      </c>
      <c r="T425" s="151"/>
      <c r="U425" s="151"/>
      <c r="V425" s="151"/>
      <c r="W425" s="2">
        <f>VLOOKUP(Table1[[#This Row],[Status]],Auxiliar!$B$16:$D$24,3,0)*Table1[[#This Row],[Estimação (horas)]]</f>
        <v>0.1</v>
      </c>
      <c r="X425" s="165">
        <f>+VLOOKUP(CONCATENATE(Table1[[#This Row],[Tabela]],Table1[[#This Row],[Campo]]),'2. Status Detalhe Campos FY24'!A:J,9,FALSE)</f>
        <v>0</v>
      </c>
      <c r="Y425" s="491" t="e">
        <f>+VLOOKUP(A425,#REF!,1,FALSE)</f>
        <v>#REF!</v>
      </c>
    </row>
    <row r="426" spans="1:25" ht="17.899999999999999" hidden="1" customHeight="1">
      <c r="A426" t="str">
        <f>+Table1[[#This Row],[Tabela]]&amp;Table1[[#This Row],[Campo]]</f>
        <v>PROCESSPROCESS_ACCOUNT_ID</v>
      </c>
      <c r="B426" s="2" t="s">
        <v>26</v>
      </c>
      <c r="C426" s="2" t="s">
        <v>54</v>
      </c>
      <c r="D426" s="2" t="s">
        <v>38</v>
      </c>
      <c r="E426" s="2" t="s">
        <v>38</v>
      </c>
      <c r="F426" s="2" t="s">
        <v>55</v>
      </c>
      <c r="G426" s="2" t="s">
        <v>59</v>
      </c>
      <c r="H426" s="56" t="str">
        <f>Table1[[#This Row],[Tabela]]&amp;Table1[[#This Row],[Campo]]</f>
        <v>PROCESSPROCESS_ACCOUNT_ID</v>
      </c>
      <c r="I426" s="2" t="s">
        <v>612</v>
      </c>
      <c r="J426" s="42">
        <f>VLOOKUP(Table1[[#This Row],[Status]],Auxiliar!$B$16:$C$24,2,0)</f>
        <v>1</v>
      </c>
      <c r="K426" s="2" t="s">
        <v>1168</v>
      </c>
      <c r="L426" s="28" t="s">
        <v>1174</v>
      </c>
      <c r="M426" s="20" t="s">
        <v>1175</v>
      </c>
      <c r="N426" s="47">
        <v>45499</v>
      </c>
      <c r="O426" s="20">
        <f>INDEX(Auxiliar!$D$5:$F$13,MATCH(Table1[[#This Row],[Tipologia_Testes]],Auxiliar!$B$5:$B$13,0),MATCH(Table1[[#This Row],[Complexidade]],Auxiliar!$D$4:$F$4,0))</f>
        <v>2</v>
      </c>
      <c r="P426" s="2" t="s">
        <v>1188</v>
      </c>
      <c r="Q426" s="2" t="s">
        <v>1185</v>
      </c>
      <c r="R426" s="151">
        <v>45261</v>
      </c>
      <c r="S426" s="151">
        <v>45495</v>
      </c>
      <c r="T426" s="151"/>
      <c r="U426" s="151"/>
      <c r="V426" s="151"/>
      <c r="W426" s="2">
        <f>VLOOKUP(Table1[[#This Row],[Status]],Auxiliar!$B$16:$D$24,3,0)*Table1[[#This Row],[Estimação (horas)]]</f>
        <v>2</v>
      </c>
      <c r="X426" s="165">
        <f>+VLOOKUP(CONCATENATE(Table1[[#This Row],[Tabela]],Table1[[#This Row],[Campo]]),'2. Status Detalhe Campos FY24'!A:J,9,FALSE)</f>
        <v>0</v>
      </c>
      <c r="Y426" s="491" t="e">
        <f>+VLOOKUP(A426,#REF!,1,FALSE)</f>
        <v>#REF!</v>
      </c>
    </row>
    <row r="427" spans="1:25" ht="17.899999999999999" hidden="1" customHeight="1">
      <c r="A427" t="str">
        <f>+Table1[[#This Row],[Tabela]]&amp;Table1[[#This Row],[Campo]]</f>
        <v>PROCESSPROCESS_ACCOUNT_ID</v>
      </c>
      <c r="B427" s="2" t="s">
        <v>26</v>
      </c>
      <c r="C427" s="2" t="s">
        <v>54</v>
      </c>
      <c r="D427" s="2" t="s">
        <v>38</v>
      </c>
      <c r="E427" s="2" t="s">
        <v>38</v>
      </c>
      <c r="F427" s="2" t="s">
        <v>55</v>
      </c>
      <c r="G427" s="2" t="s">
        <v>59</v>
      </c>
      <c r="H427" s="56" t="str">
        <f>Table1[[#This Row],[Tabela]]&amp;Table1[[#This Row],[Campo]]</f>
        <v>PROCESSPROCESS_ACCOUNT_ID</v>
      </c>
      <c r="I427" s="2" t="s">
        <v>612</v>
      </c>
      <c r="J427" s="42">
        <f>VLOOKUP(Table1[[#This Row],[Status]],Auxiliar!$B$16:$C$24,2,0)</f>
        <v>1</v>
      </c>
      <c r="K427" s="2" t="s">
        <v>1169</v>
      </c>
      <c r="L427" s="28" t="s">
        <v>1174</v>
      </c>
      <c r="M427" s="20" t="s">
        <v>1175</v>
      </c>
      <c r="N427" s="47">
        <v>45499</v>
      </c>
      <c r="O427" s="20">
        <f>INDEX(Auxiliar!$D$5:$F$13,MATCH(Table1[[#This Row],[Tipologia_Testes]],Auxiliar!$B$5:$B$13,0),MATCH(Table1[[#This Row],[Complexidade]],Auxiliar!$D$4:$F$4,0))</f>
        <v>2</v>
      </c>
      <c r="P427" s="2" t="s">
        <v>1188</v>
      </c>
      <c r="Q427" s="2" t="s">
        <v>1185</v>
      </c>
      <c r="R427" s="151">
        <v>45261</v>
      </c>
      <c r="S427" s="151">
        <v>45495</v>
      </c>
      <c r="T427" s="151"/>
      <c r="U427" s="151"/>
      <c r="V427" s="151"/>
      <c r="W427" s="2">
        <f>VLOOKUP(Table1[[#This Row],[Status]],Auxiliar!$B$16:$D$24,3,0)*Table1[[#This Row],[Estimação (horas)]]</f>
        <v>2</v>
      </c>
      <c r="X427" s="165">
        <f>+VLOOKUP(CONCATENATE(Table1[[#This Row],[Tabela]],Table1[[#This Row],[Campo]]),'2. Status Detalhe Campos FY24'!A:J,9,FALSE)</f>
        <v>0</v>
      </c>
      <c r="Y427" s="491" t="e">
        <f>+VLOOKUP(A427,#REF!,1,FALSE)</f>
        <v>#REF!</v>
      </c>
    </row>
    <row r="428" spans="1:25" ht="17.899999999999999" hidden="1" customHeight="1">
      <c r="A428" t="str">
        <f>+Table1[[#This Row],[Tabela]]&amp;Table1[[#This Row],[Campo]]</f>
        <v>PROCESSPROCESS_ACCOUNT_ID</v>
      </c>
      <c r="B428" s="2" t="s">
        <v>26</v>
      </c>
      <c r="C428" s="2" t="s">
        <v>54</v>
      </c>
      <c r="D428" s="2" t="s">
        <v>38</v>
      </c>
      <c r="E428" s="2" t="s">
        <v>38</v>
      </c>
      <c r="F428" s="2" t="s">
        <v>55</v>
      </c>
      <c r="G428" s="2" t="s">
        <v>59</v>
      </c>
      <c r="H428" s="56" t="str">
        <f>Table1[[#This Row],[Tabela]]&amp;Table1[[#This Row],[Campo]]</f>
        <v>PROCESSPROCESS_ACCOUNT_ID</v>
      </c>
      <c r="I428" s="2" t="s">
        <v>612</v>
      </c>
      <c r="J428" s="42">
        <f>VLOOKUP(Table1[[#This Row],[Status]],Auxiliar!$B$16:$C$24,2,0)</f>
        <v>1</v>
      </c>
      <c r="K428" s="2" t="s">
        <v>1171</v>
      </c>
      <c r="L428" s="28" t="s">
        <v>1174</v>
      </c>
      <c r="M428" s="20" t="s">
        <v>1175</v>
      </c>
      <c r="N428" s="47">
        <v>45499</v>
      </c>
      <c r="O428" s="20">
        <f>INDEX(Auxiliar!$D$5:$F$13,MATCH(Table1[[#This Row],[Tipologia_Testes]],Auxiliar!$B$5:$B$13,0),MATCH(Table1[[#This Row],[Complexidade]],Auxiliar!$D$4:$F$4,0))</f>
        <v>0.1</v>
      </c>
      <c r="P428" s="2" t="s">
        <v>1188</v>
      </c>
      <c r="Q428" s="2" t="s">
        <v>1185</v>
      </c>
      <c r="R428" s="151">
        <v>45261</v>
      </c>
      <c r="S428" s="151">
        <v>45495</v>
      </c>
      <c r="T428" s="151"/>
      <c r="U428" s="151"/>
      <c r="V428" s="151"/>
      <c r="W428" s="2">
        <f>VLOOKUP(Table1[[#This Row],[Status]],Auxiliar!$B$16:$D$24,3,0)*Table1[[#This Row],[Estimação (horas)]]</f>
        <v>0.1</v>
      </c>
      <c r="X428" s="165">
        <f>+VLOOKUP(CONCATENATE(Table1[[#This Row],[Tabela]],Table1[[#This Row],[Campo]]),'2. Status Detalhe Campos FY24'!A:J,9,FALSE)</f>
        <v>0</v>
      </c>
      <c r="Y428" s="491" t="e">
        <f>+VLOOKUP(A428,#REF!,1,FALSE)</f>
        <v>#REF!</v>
      </c>
    </row>
    <row r="429" spans="1:25" ht="17.899999999999999" hidden="1" customHeight="1">
      <c r="A429" t="str">
        <f>+Table1[[#This Row],[Tabela]]&amp;Table1[[#This Row],[Campo]]</f>
        <v>PROCESScod_estd_prcs</v>
      </c>
      <c r="B429" s="2" t="s">
        <v>26</v>
      </c>
      <c r="C429" s="2" t="s">
        <v>54</v>
      </c>
      <c r="D429" s="2" t="s">
        <v>38</v>
      </c>
      <c r="E429" s="2" t="s">
        <v>38</v>
      </c>
      <c r="F429" s="2" t="s">
        <v>55</v>
      </c>
      <c r="G429" s="2" t="s">
        <v>60</v>
      </c>
      <c r="H429" s="56" t="str">
        <f>Table1[[#This Row],[Tabela]]&amp;Table1[[#This Row],[Campo]]</f>
        <v>PROCESScod_estd_prcs</v>
      </c>
      <c r="I429" s="2" t="s">
        <v>611</v>
      </c>
      <c r="J429" s="42">
        <f>VLOOKUP(Table1[[#This Row],[Status]],Auxiliar!$B$16:$C$24,2,0)</f>
        <v>0</v>
      </c>
      <c r="K429" s="2" t="s">
        <v>1168</v>
      </c>
      <c r="L429" s="28" t="s">
        <v>1186</v>
      </c>
      <c r="M429" s="20" t="s">
        <v>1175</v>
      </c>
      <c r="N429" s="47">
        <v>45485</v>
      </c>
      <c r="O429" s="20">
        <f>INDEX(Auxiliar!$D$5:$F$13,MATCH(Table1[[#This Row],[Tipologia_Testes]],Auxiliar!$B$5:$B$13,0),MATCH(Table1[[#This Row],[Complexidade]],Auxiliar!$D$4:$F$4,0))</f>
        <v>2</v>
      </c>
      <c r="P429" s="2" t="s">
        <v>1194</v>
      </c>
      <c r="Q429" s="2"/>
      <c r="R429" s="151">
        <v>45425</v>
      </c>
      <c r="S429" s="151"/>
      <c r="T429" s="151"/>
      <c r="U429" s="151"/>
      <c r="V429" s="151"/>
      <c r="W429" s="2">
        <f>VLOOKUP(Table1[[#This Row],[Status]],Auxiliar!$B$16:$D$24,3,0)*Table1[[#This Row],[Estimação (horas)]]</f>
        <v>0</v>
      </c>
      <c r="X429" s="165">
        <f>+VLOOKUP(CONCATENATE(Table1[[#This Row],[Tabela]],Table1[[#This Row],[Campo]]),'2. Status Detalhe Campos FY24'!A:J,9,FALSE)</f>
        <v>0</v>
      </c>
      <c r="Y429" s="491" t="e">
        <f>+VLOOKUP(A429,#REF!,1,FALSE)</f>
        <v>#REF!</v>
      </c>
    </row>
    <row r="430" spans="1:25" ht="17.899999999999999" hidden="1" customHeight="1">
      <c r="A430" t="str">
        <f>+Table1[[#This Row],[Tabela]]&amp;Table1[[#This Row],[Campo]]</f>
        <v>PROCESSGUARANTEE_CODE</v>
      </c>
      <c r="B430" s="2" t="s">
        <v>26</v>
      </c>
      <c r="C430" s="2" t="s">
        <v>54</v>
      </c>
      <c r="D430" s="2" t="s">
        <v>38</v>
      </c>
      <c r="E430" s="2" t="s">
        <v>38</v>
      </c>
      <c r="F430" s="2" t="s">
        <v>55</v>
      </c>
      <c r="G430" s="2" t="s">
        <v>61</v>
      </c>
      <c r="H430" s="56" t="str">
        <f>Table1[[#This Row],[Tabela]]&amp;Table1[[#This Row],[Campo]]</f>
        <v>PROCESSGUARANTEE_CODE</v>
      </c>
      <c r="I430" s="2" t="s">
        <v>612</v>
      </c>
      <c r="J430" s="42">
        <f>VLOOKUP(Table1[[#This Row],[Status]],Auxiliar!$B$16:$C$24,2,0)</f>
        <v>1</v>
      </c>
      <c r="K430" s="2" t="s">
        <v>1168</v>
      </c>
      <c r="L430" s="28" t="s">
        <v>1174</v>
      </c>
      <c r="M430" s="20" t="s">
        <v>1175</v>
      </c>
      <c r="N430" s="47">
        <v>45512</v>
      </c>
      <c r="O430" s="20">
        <f>INDEX(Auxiliar!$D$5:$F$13,MATCH(Table1[[#This Row],[Tipologia_Testes]],Auxiliar!$B$5:$B$13,0),MATCH(Table1[[#This Row],[Complexidade]],Auxiliar!$D$4:$F$4,0))</f>
        <v>2</v>
      </c>
      <c r="P430" s="2"/>
      <c r="Q430" s="2"/>
      <c r="R430" s="151">
        <v>45261</v>
      </c>
      <c r="S430" s="151"/>
      <c r="T430" s="151"/>
      <c r="U430" s="151"/>
      <c r="V430" s="151"/>
      <c r="W430" s="2">
        <f>VLOOKUP(Table1[[#This Row],[Status]],Auxiliar!$B$16:$D$24,3,0)*Table1[[#This Row],[Estimação (horas)]]</f>
        <v>2</v>
      </c>
      <c r="X430" s="165">
        <f>+VLOOKUP(CONCATENATE(Table1[[#This Row],[Tabela]],Table1[[#This Row],[Campo]]),'2. Status Detalhe Campos FY24'!A:J,9,FALSE)</f>
        <v>0</v>
      </c>
      <c r="Y430" s="491" t="e">
        <f>+VLOOKUP(A430,#REF!,1,FALSE)</f>
        <v>#REF!</v>
      </c>
    </row>
    <row r="431" spans="1:25" ht="17.899999999999999" hidden="1" customHeight="1">
      <c r="A431" t="str">
        <f>+Table1[[#This Row],[Tabela]]&amp;Table1[[#This Row],[Campo]]</f>
        <v>PROCESSGUARANTEE_CODE</v>
      </c>
      <c r="B431" s="2" t="s">
        <v>26</v>
      </c>
      <c r="C431" s="2" t="s">
        <v>54</v>
      </c>
      <c r="D431" s="2" t="s">
        <v>38</v>
      </c>
      <c r="E431" s="2" t="s">
        <v>38</v>
      </c>
      <c r="F431" s="2" t="s">
        <v>55</v>
      </c>
      <c r="G431" s="2" t="s">
        <v>61</v>
      </c>
      <c r="H431" s="56" t="str">
        <f>Table1[[#This Row],[Tabela]]&amp;Table1[[#This Row],[Campo]]</f>
        <v>PROCESSGUARANTEE_CODE</v>
      </c>
      <c r="I431" s="2" t="s">
        <v>612</v>
      </c>
      <c r="J431" s="42">
        <f>VLOOKUP(Table1[[#This Row],[Status]],Auxiliar!$B$16:$C$24,2,0)</f>
        <v>1</v>
      </c>
      <c r="K431" s="2" t="s">
        <v>1169</v>
      </c>
      <c r="L431" s="28" t="s">
        <v>1174</v>
      </c>
      <c r="M431" s="20" t="s">
        <v>1175</v>
      </c>
      <c r="N431" s="47">
        <v>45512</v>
      </c>
      <c r="O431" s="20">
        <f>INDEX(Auxiliar!$D$5:$F$13,MATCH(Table1[[#This Row],[Tipologia_Testes]],Auxiliar!$B$5:$B$13,0),MATCH(Table1[[#This Row],[Complexidade]],Auxiliar!$D$4:$F$4,0))</f>
        <v>2</v>
      </c>
      <c r="P431" s="2"/>
      <c r="Q431" s="2"/>
      <c r="R431" s="151">
        <v>45261</v>
      </c>
      <c r="S431" s="151"/>
      <c r="T431" s="151"/>
      <c r="U431" s="151"/>
      <c r="V431" s="151"/>
      <c r="W431" s="2">
        <f>VLOOKUP(Table1[[#This Row],[Status]],Auxiliar!$B$16:$D$24,3,0)*Table1[[#This Row],[Estimação (horas)]]</f>
        <v>2</v>
      </c>
      <c r="X431" s="165">
        <f>+VLOOKUP(CONCATENATE(Table1[[#This Row],[Tabela]],Table1[[#This Row],[Campo]]),'2. Status Detalhe Campos FY24'!A:J,9,FALSE)</f>
        <v>0</v>
      </c>
      <c r="Y431" s="491" t="e">
        <f>+VLOOKUP(A431,#REF!,1,FALSE)</f>
        <v>#REF!</v>
      </c>
    </row>
    <row r="432" spans="1:25" ht="17.899999999999999" hidden="1" customHeight="1">
      <c r="A432" t="str">
        <f>+Table1[[#This Row],[Tabela]]&amp;Table1[[#This Row],[Campo]]</f>
        <v>PROCESSGUARANTEE_CODE</v>
      </c>
      <c r="B432" s="2" t="s">
        <v>26</v>
      </c>
      <c r="C432" s="2" t="s">
        <v>54</v>
      </c>
      <c r="D432" s="2" t="s">
        <v>38</v>
      </c>
      <c r="E432" s="2" t="s">
        <v>38</v>
      </c>
      <c r="F432" s="2" t="s">
        <v>55</v>
      </c>
      <c r="G432" s="2" t="s">
        <v>61</v>
      </c>
      <c r="H432" s="56" t="str">
        <f>Table1[[#This Row],[Tabela]]&amp;Table1[[#This Row],[Campo]]</f>
        <v>PROCESSGUARANTEE_CODE</v>
      </c>
      <c r="I432" s="2" t="s">
        <v>612</v>
      </c>
      <c r="J432" s="42">
        <f>VLOOKUP(Table1[[#This Row],[Status]],Auxiliar!$B$16:$C$24,2,0)</f>
        <v>1</v>
      </c>
      <c r="K432" s="2" t="s">
        <v>1171</v>
      </c>
      <c r="L432" s="28" t="s">
        <v>1174</v>
      </c>
      <c r="M432" s="20" t="s">
        <v>1175</v>
      </c>
      <c r="N432" s="47">
        <v>45512</v>
      </c>
      <c r="O432" s="20">
        <f>INDEX(Auxiliar!$D$5:$F$13,MATCH(Table1[[#This Row],[Tipologia_Testes]],Auxiliar!$B$5:$B$13,0),MATCH(Table1[[#This Row],[Complexidade]],Auxiliar!$D$4:$F$4,0))</f>
        <v>0.1</v>
      </c>
      <c r="P432" s="2"/>
      <c r="Q432" s="2"/>
      <c r="R432" s="151">
        <v>45261</v>
      </c>
      <c r="S432" s="151"/>
      <c r="T432" s="151"/>
      <c r="U432" s="151"/>
      <c r="V432" s="151"/>
      <c r="W432" s="2">
        <f>VLOOKUP(Table1[[#This Row],[Status]],Auxiliar!$B$16:$D$24,3,0)*Table1[[#This Row],[Estimação (horas)]]</f>
        <v>0.1</v>
      </c>
      <c r="X432" s="165">
        <f>+VLOOKUP(CONCATENATE(Table1[[#This Row],[Tabela]],Table1[[#This Row],[Campo]]),'2. Status Detalhe Campos FY24'!A:J,9,FALSE)</f>
        <v>0</v>
      </c>
      <c r="Y432" s="491" t="e">
        <f>+VLOOKUP(A432,#REF!,1,FALSE)</f>
        <v>#REF!</v>
      </c>
    </row>
    <row r="433" spans="1:25" ht="17.899999999999999" hidden="1" customHeight="1">
      <c r="A433" t="str">
        <f>+Table1[[#This Row],[Tabela]]&amp;Table1[[#This Row],[Campo]]</f>
        <v>PROCESSCURRENCY_CODE</v>
      </c>
      <c r="B433" s="2" t="s">
        <v>26</v>
      </c>
      <c r="C433" s="2" t="s">
        <v>54</v>
      </c>
      <c r="D433" s="2" t="s">
        <v>38</v>
      </c>
      <c r="E433" s="2" t="s">
        <v>38</v>
      </c>
      <c r="F433" s="2" t="s">
        <v>55</v>
      </c>
      <c r="G433" s="2" t="s">
        <v>62</v>
      </c>
      <c r="H433" s="56" t="str">
        <f>Table1[[#This Row],[Tabela]]&amp;Table1[[#This Row],[Campo]]</f>
        <v>PROCESSCURRENCY_CODE</v>
      </c>
      <c r="I433" s="2" t="s">
        <v>612</v>
      </c>
      <c r="J433" s="42">
        <f>VLOOKUP(Table1[[#This Row],[Status]],Auxiliar!$B$16:$C$24,2,0)</f>
        <v>1</v>
      </c>
      <c r="K433" s="2" t="s">
        <v>1168</v>
      </c>
      <c r="L433" s="28" t="s">
        <v>1174</v>
      </c>
      <c r="M433" s="20" t="s">
        <v>1175</v>
      </c>
      <c r="N433" s="47">
        <v>45512</v>
      </c>
      <c r="O433" s="20">
        <f>INDEX(Auxiliar!$D$5:$F$13,MATCH(Table1[[#This Row],[Tipologia_Testes]],Auxiliar!$B$5:$B$13,0),MATCH(Table1[[#This Row],[Complexidade]],Auxiliar!$D$4:$F$4,0))</f>
        <v>2</v>
      </c>
      <c r="P433" s="2"/>
      <c r="Q433" s="2"/>
      <c r="R433" s="151">
        <v>45512</v>
      </c>
      <c r="S433" s="151"/>
      <c r="T433" s="151">
        <v>45512</v>
      </c>
      <c r="U433" s="151">
        <v>45526</v>
      </c>
      <c r="V433" s="151"/>
      <c r="W433" s="2">
        <f>VLOOKUP(Table1[[#This Row],[Status]],Auxiliar!$B$16:$D$24,3,0)*Table1[[#This Row],[Estimação (horas)]]</f>
        <v>2</v>
      </c>
      <c r="X433" s="165">
        <f>+VLOOKUP(CONCATENATE(Table1[[#This Row],[Tabela]],Table1[[#This Row],[Campo]]),'2. Status Detalhe Campos FY24'!A:J,9,FALSE)</f>
        <v>0</v>
      </c>
      <c r="Y433" s="491" t="e">
        <f>+VLOOKUP(A433,#REF!,1,FALSE)</f>
        <v>#REF!</v>
      </c>
    </row>
    <row r="434" spans="1:25" ht="17.899999999999999" hidden="1" customHeight="1">
      <c r="A434" t="str">
        <f>+Table1[[#This Row],[Tabela]]&amp;Table1[[#This Row],[Campo]]</f>
        <v>PROCESSCURRENCY_CODE</v>
      </c>
      <c r="B434" s="2" t="s">
        <v>26</v>
      </c>
      <c r="C434" s="2" t="s">
        <v>54</v>
      </c>
      <c r="D434" s="2" t="s">
        <v>38</v>
      </c>
      <c r="E434" s="2" t="s">
        <v>38</v>
      </c>
      <c r="F434" s="2" t="s">
        <v>55</v>
      </c>
      <c r="G434" s="2" t="s">
        <v>62</v>
      </c>
      <c r="H434" s="56" t="str">
        <f>Table1[[#This Row],[Tabela]]&amp;Table1[[#This Row],[Campo]]</f>
        <v>PROCESSCURRENCY_CODE</v>
      </c>
      <c r="I434" s="2" t="s">
        <v>612</v>
      </c>
      <c r="J434" s="42">
        <f>VLOOKUP(Table1[[#This Row],[Status]],Auxiliar!$B$16:$C$24,2,0)</f>
        <v>1</v>
      </c>
      <c r="K434" s="2" t="s">
        <v>1169</v>
      </c>
      <c r="L434" s="28" t="s">
        <v>1174</v>
      </c>
      <c r="M434" s="20" t="s">
        <v>1175</v>
      </c>
      <c r="N434" s="47">
        <v>45512</v>
      </c>
      <c r="O434" s="20">
        <f>INDEX(Auxiliar!$D$5:$F$13,MATCH(Table1[[#This Row],[Tipologia_Testes]],Auxiliar!$B$5:$B$13,0),MATCH(Table1[[#This Row],[Complexidade]],Auxiliar!$D$4:$F$4,0))</f>
        <v>2</v>
      </c>
      <c r="P434" s="2"/>
      <c r="Q434" s="2"/>
      <c r="R434" s="151">
        <v>45512</v>
      </c>
      <c r="S434" s="151"/>
      <c r="T434" s="151"/>
      <c r="U434" s="151"/>
      <c r="V434" s="151"/>
      <c r="W434" s="2">
        <f>VLOOKUP(Table1[[#This Row],[Status]],Auxiliar!$B$16:$D$24,3,0)*Table1[[#This Row],[Estimação (horas)]]</f>
        <v>2</v>
      </c>
      <c r="X434" s="165">
        <f>+VLOOKUP(CONCATENATE(Table1[[#This Row],[Tabela]],Table1[[#This Row],[Campo]]),'2. Status Detalhe Campos FY24'!A:J,9,FALSE)</f>
        <v>0</v>
      </c>
      <c r="Y434" s="491" t="e">
        <f>+VLOOKUP(A434,#REF!,1,FALSE)</f>
        <v>#REF!</v>
      </c>
    </row>
    <row r="435" spans="1:25" ht="17.899999999999999" hidden="1" customHeight="1">
      <c r="A435" t="str">
        <f>+Table1[[#This Row],[Tabela]]&amp;Table1[[#This Row],[Campo]]</f>
        <v>PROCESSCURRENCY_CODE</v>
      </c>
      <c r="B435" s="2" t="s">
        <v>26</v>
      </c>
      <c r="C435" s="2" t="s">
        <v>54</v>
      </c>
      <c r="D435" s="2" t="s">
        <v>38</v>
      </c>
      <c r="E435" s="2" t="s">
        <v>38</v>
      </c>
      <c r="F435" s="2" t="s">
        <v>55</v>
      </c>
      <c r="G435" s="2" t="s">
        <v>62</v>
      </c>
      <c r="H435" s="56" t="str">
        <f>Table1[[#This Row],[Tabela]]&amp;Table1[[#This Row],[Campo]]</f>
        <v>PROCESSCURRENCY_CODE</v>
      </c>
      <c r="I435" s="2" t="s">
        <v>612</v>
      </c>
      <c r="J435" s="42">
        <f>VLOOKUP(Table1[[#This Row],[Status]],Auxiliar!$B$16:$C$24,2,0)</f>
        <v>1</v>
      </c>
      <c r="K435" s="2" t="s">
        <v>1171</v>
      </c>
      <c r="L435" s="28" t="s">
        <v>1174</v>
      </c>
      <c r="M435" s="20" t="s">
        <v>1175</v>
      </c>
      <c r="N435" s="47">
        <v>45512</v>
      </c>
      <c r="O435" s="20">
        <f>INDEX(Auxiliar!$D$5:$F$13,MATCH(Table1[[#This Row],[Tipologia_Testes]],Auxiliar!$B$5:$B$13,0),MATCH(Table1[[#This Row],[Complexidade]],Auxiliar!$D$4:$F$4,0))</f>
        <v>0.1</v>
      </c>
      <c r="P435" s="2"/>
      <c r="Q435" s="2"/>
      <c r="R435" s="151">
        <v>45512</v>
      </c>
      <c r="S435" s="151"/>
      <c r="T435" s="151"/>
      <c r="U435" s="151"/>
      <c r="V435" s="151"/>
      <c r="W435" s="2">
        <f>VLOOKUP(Table1[[#This Row],[Status]],Auxiliar!$B$16:$D$24,3,0)*Table1[[#This Row],[Estimação (horas)]]</f>
        <v>0.1</v>
      </c>
      <c r="X435" s="165">
        <f>+VLOOKUP(CONCATENATE(Table1[[#This Row],[Tabela]],Table1[[#This Row],[Campo]]),'2. Status Detalhe Campos FY24'!A:J,9,FALSE)</f>
        <v>0</v>
      </c>
      <c r="Y435" s="491" t="e">
        <f>+VLOOKUP(A435,#REF!,1,FALSE)</f>
        <v>#REF!</v>
      </c>
    </row>
    <row r="436" spans="1:25" ht="17.899999999999999" hidden="1" customHeight="1">
      <c r="A436" t="str">
        <f>+Table1[[#This Row],[Tabela]]&amp;Table1[[#This Row],[Campo]]</f>
        <v>PROCESSPROCESS_CAMPAIGN_CODE</v>
      </c>
      <c r="B436" s="2" t="s">
        <v>26</v>
      </c>
      <c r="C436" s="2" t="s">
        <v>54</v>
      </c>
      <c r="D436" s="2" t="s">
        <v>38</v>
      </c>
      <c r="E436" s="2" t="s">
        <v>38</v>
      </c>
      <c r="F436" s="2" t="s">
        <v>55</v>
      </c>
      <c r="G436" s="2" t="s">
        <v>63</v>
      </c>
      <c r="H436" s="56" t="str">
        <f>Table1[[#This Row],[Tabela]]&amp;Table1[[#This Row],[Campo]]</f>
        <v>PROCESSPROCESS_CAMPAIGN_CODE</v>
      </c>
      <c r="I436" s="2" t="s">
        <v>612</v>
      </c>
      <c r="J436" s="42">
        <f>VLOOKUP(Table1[[#This Row],[Status]],Auxiliar!$B$16:$C$24,2,0)</f>
        <v>1</v>
      </c>
      <c r="K436" s="2" t="s">
        <v>1168</v>
      </c>
      <c r="L436" s="28" t="s">
        <v>1174</v>
      </c>
      <c r="M436" s="20" t="s">
        <v>1175</v>
      </c>
      <c r="N436" s="47">
        <v>45512</v>
      </c>
      <c r="O436" s="20">
        <f>INDEX(Auxiliar!$D$5:$F$13,MATCH(Table1[[#This Row],[Tipologia_Testes]],Auxiliar!$B$5:$B$13,0),MATCH(Table1[[#This Row],[Complexidade]],Auxiliar!$D$4:$F$4,0))</f>
        <v>2</v>
      </c>
      <c r="P436" s="2"/>
      <c r="Q436" s="2"/>
      <c r="R436" s="151">
        <v>45261</v>
      </c>
      <c r="S436" s="151"/>
      <c r="T436" s="151"/>
      <c r="U436" s="151"/>
      <c r="V436" s="151"/>
      <c r="W436" s="2">
        <f>VLOOKUP(Table1[[#This Row],[Status]],Auxiliar!$B$16:$D$24,3,0)*Table1[[#This Row],[Estimação (horas)]]</f>
        <v>2</v>
      </c>
      <c r="X436" s="165">
        <f>+VLOOKUP(CONCATENATE(Table1[[#This Row],[Tabela]],Table1[[#This Row],[Campo]]),'2. Status Detalhe Campos FY24'!A:J,9,FALSE)</f>
        <v>0</v>
      </c>
      <c r="Y436" s="491" t="e">
        <f>+VLOOKUP(A436,#REF!,1,FALSE)</f>
        <v>#REF!</v>
      </c>
    </row>
    <row r="437" spans="1:25" ht="17.899999999999999" hidden="1" customHeight="1">
      <c r="A437" t="str">
        <f>+Table1[[#This Row],[Tabela]]&amp;Table1[[#This Row],[Campo]]</f>
        <v>PROCESSPROCESS_CAMPAIGN_CODE</v>
      </c>
      <c r="B437" s="2" t="s">
        <v>26</v>
      </c>
      <c r="C437" s="2" t="s">
        <v>54</v>
      </c>
      <c r="D437" s="2" t="s">
        <v>38</v>
      </c>
      <c r="E437" s="2" t="s">
        <v>38</v>
      </c>
      <c r="F437" s="2" t="s">
        <v>55</v>
      </c>
      <c r="G437" s="2" t="s">
        <v>63</v>
      </c>
      <c r="H437" s="56" t="str">
        <f>Table1[[#This Row],[Tabela]]&amp;Table1[[#This Row],[Campo]]</f>
        <v>PROCESSPROCESS_CAMPAIGN_CODE</v>
      </c>
      <c r="I437" s="2" t="s">
        <v>612</v>
      </c>
      <c r="J437" s="42">
        <f>VLOOKUP(Table1[[#This Row],[Status]],Auxiliar!$B$16:$C$24,2,0)</f>
        <v>1</v>
      </c>
      <c r="K437" s="2" t="s">
        <v>1169</v>
      </c>
      <c r="L437" s="28" t="s">
        <v>1174</v>
      </c>
      <c r="M437" s="20" t="s">
        <v>1175</v>
      </c>
      <c r="N437" s="47">
        <v>45512</v>
      </c>
      <c r="O437" s="20">
        <f>INDEX(Auxiliar!$D$5:$F$13,MATCH(Table1[[#This Row],[Tipologia_Testes]],Auxiliar!$B$5:$B$13,0),MATCH(Table1[[#This Row],[Complexidade]],Auxiliar!$D$4:$F$4,0))</f>
        <v>2</v>
      </c>
      <c r="P437" s="2"/>
      <c r="Q437" s="2"/>
      <c r="R437" s="151">
        <v>45261</v>
      </c>
      <c r="S437" s="151"/>
      <c r="T437" s="151"/>
      <c r="U437" s="151"/>
      <c r="V437" s="151"/>
      <c r="W437" s="2">
        <f>VLOOKUP(Table1[[#This Row],[Status]],Auxiliar!$B$16:$D$24,3,0)*Table1[[#This Row],[Estimação (horas)]]</f>
        <v>2</v>
      </c>
      <c r="X437" s="165">
        <f>+VLOOKUP(CONCATENATE(Table1[[#This Row],[Tabela]],Table1[[#This Row],[Campo]]),'2. Status Detalhe Campos FY24'!A:J,9,FALSE)</f>
        <v>0</v>
      </c>
      <c r="Y437" s="491" t="e">
        <f>+VLOOKUP(A437,#REF!,1,FALSE)</f>
        <v>#REF!</v>
      </c>
    </row>
    <row r="438" spans="1:25" ht="17.899999999999999" hidden="1" customHeight="1">
      <c r="A438" t="str">
        <f>+Table1[[#This Row],[Tabela]]&amp;Table1[[#This Row],[Campo]]</f>
        <v>PROCESSPROCESS_CAMPAIGN_CODE</v>
      </c>
      <c r="B438" s="2" t="s">
        <v>26</v>
      </c>
      <c r="C438" s="2" t="s">
        <v>54</v>
      </c>
      <c r="D438" s="2" t="s">
        <v>38</v>
      </c>
      <c r="E438" s="2" t="s">
        <v>38</v>
      </c>
      <c r="F438" s="2" t="s">
        <v>55</v>
      </c>
      <c r="G438" s="2" t="s">
        <v>63</v>
      </c>
      <c r="H438" s="56" t="str">
        <f>Table1[[#This Row],[Tabela]]&amp;Table1[[#This Row],[Campo]]</f>
        <v>PROCESSPROCESS_CAMPAIGN_CODE</v>
      </c>
      <c r="I438" s="2" t="s">
        <v>612</v>
      </c>
      <c r="J438" s="42">
        <f>VLOOKUP(Table1[[#This Row],[Status]],Auxiliar!$B$16:$C$24,2,0)</f>
        <v>1</v>
      </c>
      <c r="K438" s="2" t="s">
        <v>1171</v>
      </c>
      <c r="L438" s="28" t="s">
        <v>1174</v>
      </c>
      <c r="M438" s="20" t="s">
        <v>1175</v>
      </c>
      <c r="N438" s="47">
        <v>45512</v>
      </c>
      <c r="O438" s="20">
        <f>INDEX(Auxiliar!$D$5:$F$13,MATCH(Table1[[#This Row],[Tipologia_Testes]],Auxiliar!$B$5:$B$13,0),MATCH(Table1[[#This Row],[Complexidade]],Auxiliar!$D$4:$F$4,0))</f>
        <v>0.1</v>
      </c>
      <c r="P438" s="2"/>
      <c r="Q438" s="2"/>
      <c r="R438" s="151">
        <v>45261</v>
      </c>
      <c r="S438" s="151"/>
      <c r="T438" s="151"/>
      <c r="U438" s="151"/>
      <c r="V438" s="151"/>
      <c r="W438" s="2">
        <f>VLOOKUP(Table1[[#This Row],[Status]],Auxiliar!$B$16:$D$24,3,0)*Table1[[#This Row],[Estimação (horas)]]</f>
        <v>0.1</v>
      </c>
      <c r="X438" s="165">
        <f>+VLOOKUP(CONCATENATE(Table1[[#This Row],[Tabela]],Table1[[#This Row],[Campo]]),'2. Status Detalhe Campos FY24'!A:J,9,FALSE)</f>
        <v>0</v>
      </c>
      <c r="Y438" s="491" t="e">
        <f>+VLOOKUP(A438,#REF!,1,FALSE)</f>
        <v>#REF!</v>
      </c>
    </row>
    <row r="439" spans="1:25" ht="17.899999999999999" hidden="1" customHeight="1">
      <c r="A439" t="str">
        <f>+Table1[[#This Row],[Tabela]]&amp;Table1[[#This Row],[Campo]]</f>
        <v>PROCESSPROCESS_PRODUCT_ID</v>
      </c>
      <c r="B439" s="2" t="s">
        <v>26</v>
      </c>
      <c r="C439" s="2" t="s">
        <v>54</v>
      </c>
      <c r="D439" s="2" t="s">
        <v>38</v>
      </c>
      <c r="E439" s="2" t="s">
        <v>38</v>
      </c>
      <c r="F439" s="2" t="s">
        <v>55</v>
      </c>
      <c r="G439" s="2" t="s">
        <v>64</v>
      </c>
      <c r="H439" s="56" t="str">
        <f>Table1[[#This Row],[Tabela]]&amp;Table1[[#This Row],[Campo]]</f>
        <v>PROCESSPROCESS_PRODUCT_ID</v>
      </c>
      <c r="I439" s="2" t="s">
        <v>612</v>
      </c>
      <c r="J439" s="42">
        <f>VLOOKUP(Table1[[#This Row],[Status]],Auxiliar!$B$16:$C$24,2,0)</f>
        <v>1</v>
      </c>
      <c r="K439" s="2" t="s">
        <v>1168</v>
      </c>
      <c r="L439" s="28" t="s">
        <v>1174</v>
      </c>
      <c r="M439" s="20" t="s">
        <v>1175</v>
      </c>
      <c r="N439" s="47">
        <v>45512</v>
      </c>
      <c r="O439" s="20">
        <f>INDEX(Auxiliar!$D$5:$F$13,MATCH(Table1[[#This Row],[Tipologia_Testes]],Auxiliar!$B$5:$B$13,0),MATCH(Table1[[#This Row],[Complexidade]],Auxiliar!$D$4:$F$4,0))</f>
        <v>2</v>
      </c>
      <c r="P439" s="2"/>
      <c r="Q439" s="2"/>
      <c r="R439" s="151">
        <v>45261</v>
      </c>
      <c r="S439" s="151"/>
      <c r="T439" s="151"/>
      <c r="U439" s="151"/>
      <c r="V439" s="151"/>
      <c r="W439" s="2">
        <f>VLOOKUP(Table1[[#This Row],[Status]],Auxiliar!$B$16:$D$24,3,0)*Table1[[#This Row],[Estimação (horas)]]</f>
        <v>2</v>
      </c>
      <c r="X439" s="165">
        <f>+VLOOKUP(CONCATENATE(Table1[[#This Row],[Tabela]],Table1[[#This Row],[Campo]]),'2. Status Detalhe Campos FY24'!A:J,9,FALSE)</f>
        <v>0</v>
      </c>
      <c r="Y439" s="491" t="e">
        <f>+VLOOKUP(A439,#REF!,1,FALSE)</f>
        <v>#REF!</v>
      </c>
    </row>
    <row r="440" spans="1:25" ht="17.899999999999999" hidden="1" customHeight="1">
      <c r="A440" t="str">
        <f>+Table1[[#This Row],[Tabela]]&amp;Table1[[#This Row],[Campo]]</f>
        <v>PROCESSPROCESS_PRODUCT_ID</v>
      </c>
      <c r="B440" s="2" t="s">
        <v>26</v>
      </c>
      <c r="C440" s="2" t="s">
        <v>54</v>
      </c>
      <c r="D440" s="2" t="s">
        <v>38</v>
      </c>
      <c r="E440" s="2" t="s">
        <v>38</v>
      </c>
      <c r="F440" s="2" t="s">
        <v>55</v>
      </c>
      <c r="G440" s="2" t="s">
        <v>64</v>
      </c>
      <c r="H440" s="56" t="str">
        <f>Table1[[#This Row],[Tabela]]&amp;Table1[[#This Row],[Campo]]</f>
        <v>PROCESSPROCESS_PRODUCT_ID</v>
      </c>
      <c r="I440" s="2" t="s">
        <v>612</v>
      </c>
      <c r="J440" s="42">
        <f>VLOOKUP(Table1[[#This Row],[Status]],Auxiliar!$B$16:$C$24,2,0)</f>
        <v>1</v>
      </c>
      <c r="K440" s="2" t="s">
        <v>1169</v>
      </c>
      <c r="L440" s="28" t="s">
        <v>1174</v>
      </c>
      <c r="M440" s="20" t="s">
        <v>1175</v>
      </c>
      <c r="N440" s="47">
        <v>45512</v>
      </c>
      <c r="O440" s="20">
        <f>INDEX(Auxiliar!$D$5:$F$13,MATCH(Table1[[#This Row],[Tipologia_Testes]],Auxiliar!$B$5:$B$13,0),MATCH(Table1[[#This Row],[Complexidade]],Auxiliar!$D$4:$F$4,0))</f>
        <v>2</v>
      </c>
      <c r="P440" s="2"/>
      <c r="Q440" s="2"/>
      <c r="R440" s="151">
        <v>45261</v>
      </c>
      <c r="S440" s="151"/>
      <c r="T440" s="151"/>
      <c r="U440" s="151"/>
      <c r="V440" s="151"/>
      <c r="W440" s="2">
        <f>VLOOKUP(Table1[[#This Row],[Status]],Auxiliar!$B$16:$D$24,3,0)*Table1[[#This Row],[Estimação (horas)]]</f>
        <v>2</v>
      </c>
      <c r="X440" s="165">
        <f>+VLOOKUP(CONCATENATE(Table1[[#This Row],[Tabela]],Table1[[#This Row],[Campo]]),'2. Status Detalhe Campos FY24'!A:J,9,FALSE)</f>
        <v>0</v>
      </c>
      <c r="Y440" s="491" t="e">
        <f>+VLOOKUP(A440,#REF!,1,FALSE)</f>
        <v>#REF!</v>
      </c>
    </row>
    <row r="441" spans="1:25" ht="17.899999999999999" hidden="1" customHeight="1">
      <c r="A441" t="str">
        <f>+Table1[[#This Row],[Tabela]]&amp;Table1[[#This Row],[Campo]]</f>
        <v>PROCESSPROCESS_PRODUCT_ID</v>
      </c>
      <c r="B441" s="2" t="s">
        <v>26</v>
      </c>
      <c r="C441" s="2" t="s">
        <v>54</v>
      </c>
      <c r="D441" s="2" t="s">
        <v>38</v>
      </c>
      <c r="E441" s="2" t="s">
        <v>38</v>
      </c>
      <c r="F441" s="2" t="s">
        <v>55</v>
      </c>
      <c r="G441" s="2" t="s">
        <v>64</v>
      </c>
      <c r="H441" s="56" t="str">
        <f>Table1[[#This Row],[Tabela]]&amp;Table1[[#This Row],[Campo]]</f>
        <v>PROCESSPROCESS_PRODUCT_ID</v>
      </c>
      <c r="I441" s="2" t="s">
        <v>612</v>
      </c>
      <c r="J441" s="42">
        <f>VLOOKUP(Table1[[#This Row],[Status]],Auxiliar!$B$16:$C$24,2,0)</f>
        <v>1</v>
      </c>
      <c r="K441" s="2" t="s">
        <v>1171</v>
      </c>
      <c r="L441" s="28" t="s">
        <v>1174</v>
      </c>
      <c r="M441" s="20" t="s">
        <v>1175</v>
      </c>
      <c r="N441" s="47">
        <v>45512</v>
      </c>
      <c r="O441" s="20">
        <f>INDEX(Auxiliar!$D$5:$F$13,MATCH(Table1[[#This Row],[Tipologia_Testes]],Auxiliar!$B$5:$B$13,0),MATCH(Table1[[#This Row],[Complexidade]],Auxiliar!$D$4:$F$4,0))</f>
        <v>0.1</v>
      </c>
      <c r="P441" s="2"/>
      <c r="Q441" s="2"/>
      <c r="R441" s="151">
        <v>45261</v>
      </c>
      <c r="S441" s="151"/>
      <c r="T441" s="151"/>
      <c r="U441" s="151"/>
      <c r="V441" s="151"/>
      <c r="W441" s="2">
        <f>VLOOKUP(Table1[[#This Row],[Status]],Auxiliar!$B$16:$D$24,3,0)*Table1[[#This Row],[Estimação (horas)]]</f>
        <v>0.1</v>
      </c>
      <c r="X441" s="165">
        <f>+VLOOKUP(CONCATENATE(Table1[[#This Row],[Tabela]],Table1[[#This Row],[Campo]]),'2. Status Detalhe Campos FY24'!A:J,9,FALSE)</f>
        <v>0</v>
      </c>
      <c r="Y441" s="491" t="e">
        <f>+VLOOKUP(A441,#REF!,1,FALSE)</f>
        <v>#REF!</v>
      </c>
    </row>
    <row r="442" spans="1:25" ht="17.899999999999999" hidden="1" customHeight="1">
      <c r="A442" t="str">
        <f>+Table1[[#This Row],[Tabela]]&amp;Table1[[#This Row],[Campo]]</f>
        <v>PROCESSPROCESS_SUBPRODUCT_ID</v>
      </c>
      <c r="B442" s="2" t="s">
        <v>26</v>
      </c>
      <c r="C442" s="2" t="s">
        <v>54</v>
      </c>
      <c r="D442" s="2" t="s">
        <v>38</v>
      </c>
      <c r="E442" s="2" t="s">
        <v>38</v>
      </c>
      <c r="F442" s="2" t="s">
        <v>55</v>
      </c>
      <c r="G442" s="2" t="s">
        <v>65</v>
      </c>
      <c r="H442" s="56" t="str">
        <f>Table1[[#This Row],[Tabela]]&amp;Table1[[#This Row],[Campo]]</f>
        <v>PROCESSPROCESS_SUBPRODUCT_ID</v>
      </c>
      <c r="I442" s="2" t="s">
        <v>612</v>
      </c>
      <c r="J442" s="42">
        <f>VLOOKUP(Table1[[#This Row],[Status]],Auxiliar!$B$16:$C$24,2,0)</f>
        <v>1</v>
      </c>
      <c r="K442" s="2" t="s">
        <v>1168</v>
      </c>
      <c r="L442" s="28" t="s">
        <v>1174</v>
      </c>
      <c r="M442" s="20" t="s">
        <v>1175</v>
      </c>
      <c r="N442" s="47">
        <v>45512</v>
      </c>
      <c r="O442" s="20">
        <f>INDEX(Auxiliar!$D$5:$F$13,MATCH(Table1[[#This Row],[Tipologia_Testes]],Auxiliar!$B$5:$B$13,0),MATCH(Table1[[#This Row],[Complexidade]],Auxiliar!$D$4:$F$4,0))</f>
        <v>2</v>
      </c>
      <c r="P442" s="2"/>
      <c r="Q442" s="2"/>
      <c r="R442" s="151">
        <v>45261</v>
      </c>
      <c r="S442" s="151"/>
      <c r="T442" s="151"/>
      <c r="U442" s="151"/>
      <c r="V442" s="151"/>
      <c r="W442" s="2">
        <f>VLOOKUP(Table1[[#This Row],[Status]],Auxiliar!$B$16:$D$24,3,0)*Table1[[#This Row],[Estimação (horas)]]</f>
        <v>2</v>
      </c>
      <c r="X442" s="165">
        <f>+VLOOKUP(CONCATENATE(Table1[[#This Row],[Tabela]],Table1[[#This Row],[Campo]]),'2. Status Detalhe Campos FY24'!A:J,9,FALSE)</f>
        <v>0</v>
      </c>
      <c r="Y442" s="491" t="e">
        <f>+VLOOKUP(A442,#REF!,1,FALSE)</f>
        <v>#REF!</v>
      </c>
    </row>
    <row r="443" spans="1:25" ht="17.899999999999999" hidden="1" customHeight="1">
      <c r="A443" t="str">
        <f>+Table1[[#This Row],[Tabela]]&amp;Table1[[#This Row],[Campo]]</f>
        <v>PROCESSPROCESS_SUBPRODUCT_ID</v>
      </c>
      <c r="B443" s="2" t="s">
        <v>26</v>
      </c>
      <c r="C443" s="2" t="s">
        <v>54</v>
      </c>
      <c r="D443" s="2" t="s">
        <v>38</v>
      </c>
      <c r="E443" s="2" t="s">
        <v>38</v>
      </c>
      <c r="F443" s="2" t="s">
        <v>55</v>
      </c>
      <c r="G443" s="2" t="s">
        <v>65</v>
      </c>
      <c r="H443" s="56" t="str">
        <f>Table1[[#This Row],[Tabela]]&amp;Table1[[#This Row],[Campo]]</f>
        <v>PROCESSPROCESS_SUBPRODUCT_ID</v>
      </c>
      <c r="I443" s="2" t="s">
        <v>612</v>
      </c>
      <c r="J443" s="42">
        <f>VLOOKUP(Table1[[#This Row],[Status]],Auxiliar!$B$16:$C$24,2,0)</f>
        <v>1</v>
      </c>
      <c r="K443" s="2" t="s">
        <v>1169</v>
      </c>
      <c r="L443" s="28" t="s">
        <v>1174</v>
      </c>
      <c r="M443" s="20" t="s">
        <v>1175</v>
      </c>
      <c r="N443" s="47">
        <v>45512</v>
      </c>
      <c r="O443" s="20">
        <f>INDEX(Auxiliar!$D$5:$F$13,MATCH(Table1[[#This Row],[Tipologia_Testes]],Auxiliar!$B$5:$B$13,0),MATCH(Table1[[#This Row],[Complexidade]],Auxiliar!$D$4:$F$4,0))</f>
        <v>2</v>
      </c>
      <c r="P443" s="2"/>
      <c r="Q443" s="2"/>
      <c r="R443" s="151">
        <v>45261</v>
      </c>
      <c r="S443" s="151"/>
      <c r="T443" s="151"/>
      <c r="U443" s="151"/>
      <c r="V443" s="151"/>
      <c r="W443" s="2">
        <f>VLOOKUP(Table1[[#This Row],[Status]],Auxiliar!$B$16:$D$24,3,0)*Table1[[#This Row],[Estimação (horas)]]</f>
        <v>2</v>
      </c>
      <c r="X443" s="165">
        <f>+VLOOKUP(CONCATENATE(Table1[[#This Row],[Tabela]],Table1[[#This Row],[Campo]]),'2. Status Detalhe Campos FY24'!A:J,9,FALSE)</f>
        <v>0</v>
      </c>
      <c r="Y443" s="491" t="e">
        <f>+VLOOKUP(A443,#REF!,1,FALSE)</f>
        <v>#REF!</v>
      </c>
    </row>
    <row r="444" spans="1:25" ht="17.899999999999999" hidden="1" customHeight="1">
      <c r="A444" t="str">
        <f>+Table1[[#This Row],[Tabela]]&amp;Table1[[#This Row],[Campo]]</f>
        <v>PROCESSPROCESS_SUBPRODUCT_ID</v>
      </c>
      <c r="B444" s="2" t="s">
        <v>26</v>
      </c>
      <c r="C444" s="2" t="s">
        <v>54</v>
      </c>
      <c r="D444" s="2" t="s">
        <v>38</v>
      </c>
      <c r="E444" s="2" t="s">
        <v>38</v>
      </c>
      <c r="F444" s="2" t="s">
        <v>55</v>
      </c>
      <c r="G444" s="2" t="s">
        <v>65</v>
      </c>
      <c r="H444" s="56" t="str">
        <f>Table1[[#This Row],[Tabela]]&amp;Table1[[#This Row],[Campo]]</f>
        <v>PROCESSPROCESS_SUBPRODUCT_ID</v>
      </c>
      <c r="I444" s="2" t="s">
        <v>612</v>
      </c>
      <c r="J444" s="42">
        <f>VLOOKUP(Table1[[#This Row],[Status]],Auxiliar!$B$16:$C$24,2,0)</f>
        <v>1</v>
      </c>
      <c r="K444" s="2" t="s">
        <v>1171</v>
      </c>
      <c r="L444" s="28" t="s">
        <v>1174</v>
      </c>
      <c r="M444" s="20" t="s">
        <v>1175</v>
      </c>
      <c r="N444" s="47">
        <v>45512</v>
      </c>
      <c r="O444" s="20">
        <f>INDEX(Auxiliar!$D$5:$F$13,MATCH(Table1[[#This Row],[Tipologia_Testes]],Auxiliar!$B$5:$B$13,0),MATCH(Table1[[#This Row],[Complexidade]],Auxiliar!$D$4:$F$4,0))</f>
        <v>0.1</v>
      </c>
      <c r="P444" s="2"/>
      <c r="Q444" s="2"/>
      <c r="R444" s="151">
        <v>45261</v>
      </c>
      <c r="S444" s="151"/>
      <c r="T444" s="151"/>
      <c r="U444" s="151"/>
      <c r="V444" s="151"/>
      <c r="W444" s="2">
        <f>VLOOKUP(Table1[[#This Row],[Status]],Auxiliar!$B$16:$D$24,3,0)*Table1[[#This Row],[Estimação (horas)]]</f>
        <v>0.1</v>
      </c>
      <c r="X444" s="165">
        <f>+VLOOKUP(CONCATENATE(Table1[[#This Row],[Tabela]],Table1[[#This Row],[Campo]]),'2. Status Detalhe Campos FY24'!A:J,9,FALSE)</f>
        <v>0</v>
      </c>
      <c r="Y444" s="491" t="e">
        <f>+VLOOKUP(A444,#REF!,1,FALSE)</f>
        <v>#REF!</v>
      </c>
    </row>
    <row r="445" spans="1:25" ht="17.899999999999999" hidden="1" customHeight="1">
      <c r="A445" t="str">
        <f>+Table1[[#This Row],[Tabela]]&amp;Table1[[#This Row],[Campo]]</f>
        <v>PROCESSGUARANTEE_TYPE_CODE</v>
      </c>
      <c r="B445" s="2" t="s">
        <v>26</v>
      </c>
      <c r="C445" s="2" t="s">
        <v>54</v>
      </c>
      <c r="D445" s="2" t="s">
        <v>38</v>
      </c>
      <c r="E445" s="2" t="s">
        <v>38</v>
      </c>
      <c r="F445" s="2" t="s">
        <v>55</v>
      </c>
      <c r="G445" s="2" t="s">
        <v>66</v>
      </c>
      <c r="H445" s="56" t="str">
        <f>Table1[[#This Row],[Tabela]]&amp;Table1[[#This Row],[Campo]]</f>
        <v>PROCESSGUARANTEE_TYPE_CODE</v>
      </c>
      <c r="I445" s="2" t="s">
        <v>612</v>
      </c>
      <c r="J445" s="42">
        <f>VLOOKUP(Table1[[#This Row],[Status]],Auxiliar!$B$16:$C$24,2,0)</f>
        <v>1</v>
      </c>
      <c r="K445" s="2" t="s">
        <v>1168</v>
      </c>
      <c r="L445" s="28" t="s">
        <v>1174</v>
      </c>
      <c r="M445" s="20" t="s">
        <v>1175</v>
      </c>
      <c r="N445" s="47">
        <v>45512</v>
      </c>
      <c r="O445" s="20">
        <f>INDEX(Auxiliar!$D$5:$F$13,MATCH(Table1[[#This Row],[Tipologia_Testes]],Auxiliar!$B$5:$B$13,0),MATCH(Table1[[#This Row],[Complexidade]],Auxiliar!$D$4:$F$4,0))</f>
        <v>2</v>
      </c>
      <c r="P445" s="2"/>
      <c r="Q445" s="2"/>
      <c r="R445" s="151">
        <v>45261</v>
      </c>
      <c r="S445" s="151"/>
      <c r="T445" s="151"/>
      <c r="U445" s="151"/>
      <c r="V445" s="151"/>
      <c r="W445" s="2">
        <f>VLOOKUP(Table1[[#This Row],[Status]],Auxiliar!$B$16:$D$24,3,0)*Table1[[#This Row],[Estimação (horas)]]</f>
        <v>2</v>
      </c>
      <c r="X445" s="165">
        <f>+VLOOKUP(CONCATENATE(Table1[[#This Row],[Tabela]],Table1[[#This Row],[Campo]]),'2. Status Detalhe Campos FY24'!A:J,9,FALSE)</f>
        <v>0</v>
      </c>
      <c r="Y445" s="491" t="e">
        <f>+VLOOKUP(A445,#REF!,1,FALSE)</f>
        <v>#REF!</v>
      </c>
    </row>
    <row r="446" spans="1:25" ht="17.899999999999999" hidden="1" customHeight="1">
      <c r="A446" t="str">
        <f>+Table1[[#This Row],[Tabela]]&amp;Table1[[#This Row],[Campo]]</f>
        <v>PROCESSGUARANTEE_TYPE_CODE</v>
      </c>
      <c r="B446" s="2" t="s">
        <v>26</v>
      </c>
      <c r="C446" s="2" t="s">
        <v>54</v>
      </c>
      <c r="D446" s="2" t="s">
        <v>38</v>
      </c>
      <c r="E446" s="2" t="s">
        <v>38</v>
      </c>
      <c r="F446" s="2" t="s">
        <v>55</v>
      </c>
      <c r="G446" s="2" t="s">
        <v>66</v>
      </c>
      <c r="H446" s="56" t="str">
        <f>Table1[[#This Row],[Tabela]]&amp;Table1[[#This Row],[Campo]]</f>
        <v>PROCESSGUARANTEE_TYPE_CODE</v>
      </c>
      <c r="I446" s="2" t="s">
        <v>612</v>
      </c>
      <c r="J446" s="42">
        <f>VLOOKUP(Table1[[#This Row],[Status]],Auxiliar!$B$16:$C$24,2,0)</f>
        <v>1</v>
      </c>
      <c r="K446" s="2" t="s">
        <v>1169</v>
      </c>
      <c r="L446" s="28" t="s">
        <v>1174</v>
      </c>
      <c r="M446" s="20" t="s">
        <v>1175</v>
      </c>
      <c r="N446" s="47">
        <v>45512</v>
      </c>
      <c r="O446" s="20">
        <f>INDEX(Auxiliar!$D$5:$F$13,MATCH(Table1[[#This Row],[Tipologia_Testes]],Auxiliar!$B$5:$B$13,0),MATCH(Table1[[#This Row],[Complexidade]],Auxiliar!$D$4:$F$4,0))</f>
        <v>2</v>
      </c>
      <c r="P446" s="2"/>
      <c r="Q446" s="2"/>
      <c r="R446" s="151">
        <v>45261</v>
      </c>
      <c r="S446" s="151"/>
      <c r="T446" s="151"/>
      <c r="U446" s="151"/>
      <c r="V446" s="151"/>
      <c r="W446" s="2">
        <f>VLOOKUP(Table1[[#This Row],[Status]],Auxiliar!$B$16:$D$24,3,0)*Table1[[#This Row],[Estimação (horas)]]</f>
        <v>2</v>
      </c>
      <c r="X446" s="165">
        <f>+VLOOKUP(CONCATENATE(Table1[[#This Row],[Tabela]],Table1[[#This Row],[Campo]]),'2. Status Detalhe Campos FY24'!A:J,9,FALSE)</f>
        <v>0</v>
      </c>
      <c r="Y446" s="491" t="e">
        <f>+VLOOKUP(A446,#REF!,1,FALSE)</f>
        <v>#REF!</v>
      </c>
    </row>
    <row r="447" spans="1:25" ht="17.899999999999999" hidden="1" customHeight="1">
      <c r="A447" t="str">
        <f>+Table1[[#This Row],[Tabela]]&amp;Table1[[#This Row],[Campo]]</f>
        <v>PROCESSGUARANTEE_TYPE_CODE</v>
      </c>
      <c r="B447" s="2" t="s">
        <v>26</v>
      </c>
      <c r="C447" s="2" t="s">
        <v>54</v>
      </c>
      <c r="D447" s="2" t="s">
        <v>38</v>
      </c>
      <c r="E447" s="2" t="s">
        <v>38</v>
      </c>
      <c r="F447" s="2" t="s">
        <v>55</v>
      </c>
      <c r="G447" s="2" t="s">
        <v>66</v>
      </c>
      <c r="H447" s="56" t="str">
        <f>Table1[[#This Row],[Tabela]]&amp;Table1[[#This Row],[Campo]]</f>
        <v>PROCESSGUARANTEE_TYPE_CODE</v>
      </c>
      <c r="I447" s="2" t="s">
        <v>612</v>
      </c>
      <c r="J447" s="42">
        <f>VLOOKUP(Table1[[#This Row],[Status]],Auxiliar!$B$16:$C$24,2,0)</f>
        <v>1</v>
      </c>
      <c r="K447" s="2" t="s">
        <v>1171</v>
      </c>
      <c r="L447" s="28" t="s">
        <v>1174</v>
      </c>
      <c r="M447" s="20" t="s">
        <v>1175</v>
      </c>
      <c r="N447" s="47">
        <v>45512</v>
      </c>
      <c r="O447" s="20">
        <f>INDEX(Auxiliar!$D$5:$F$13,MATCH(Table1[[#This Row],[Tipologia_Testes]],Auxiliar!$B$5:$B$13,0),MATCH(Table1[[#This Row],[Complexidade]],Auxiliar!$D$4:$F$4,0))</f>
        <v>0.1</v>
      </c>
      <c r="P447" s="2"/>
      <c r="Q447" s="2"/>
      <c r="R447" s="151">
        <v>45261</v>
      </c>
      <c r="S447" s="151"/>
      <c r="T447" s="151"/>
      <c r="U447" s="151"/>
      <c r="V447" s="151"/>
      <c r="W447" s="2">
        <f>VLOOKUP(Table1[[#This Row],[Status]],Auxiliar!$B$16:$D$24,3,0)*Table1[[#This Row],[Estimação (horas)]]</f>
        <v>0.1</v>
      </c>
      <c r="X447" s="165">
        <f>+VLOOKUP(CONCATENATE(Table1[[#This Row],[Tabela]],Table1[[#This Row],[Campo]]),'2. Status Detalhe Campos FY24'!A:J,9,FALSE)</f>
        <v>0</v>
      </c>
      <c r="Y447" s="491" t="e">
        <f>+VLOOKUP(A447,#REF!,1,FALSE)</f>
        <v>#REF!</v>
      </c>
    </row>
    <row r="448" spans="1:25" ht="17.899999999999999" hidden="1" customHeight="1">
      <c r="A448" t="str">
        <f>+Table1[[#This Row],[Tabela]]&amp;Table1[[#This Row],[Campo]]</f>
        <v>PROCESSPROCESS_REFERENCE_CODE</v>
      </c>
      <c r="B448" s="2" t="s">
        <v>26</v>
      </c>
      <c r="C448" s="2" t="s">
        <v>54</v>
      </c>
      <c r="D448" s="2" t="s">
        <v>38</v>
      </c>
      <c r="E448" s="2" t="s">
        <v>38</v>
      </c>
      <c r="F448" s="2" t="s">
        <v>55</v>
      </c>
      <c r="G448" s="2" t="s">
        <v>67</v>
      </c>
      <c r="H448" s="56" t="str">
        <f>Table1[[#This Row],[Tabela]]&amp;Table1[[#This Row],[Campo]]</f>
        <v>PROCESSPROCESS_REFERENCE_CODE</v>
      </c>
      <c r="I448" s="2" t="s">
        <v>612</v>
      </c>
      <c r="J448" s="42">
        <f>VLOOKUP(Table1[[#This Row],[Status]],Auxiliar!$B$16:$C$24,2,0)</f>
        <v>1</v>
      </c>
      <c r="K448" s="2" t="s">
        <v>1168</v>
      </c>
      <c r="L448" s="28" t="s">
        <v>1174</v>
      </c>
      <c r="M448" s="20" t="s">
        <v>1175</v>
      </c>
      <c r="N448" s="47">
        <v>45512</v>
      </c>
      <c r="O448" s="20">
        <f>INDEX(Auxiliar!$D$5:$F$13,MATCH(Table1[[#This Row],[Tipologia_Testes]],Auxiliar!$B$5:$B$13,0),MATCH(Table1[[#This Row],[Complexidade]],Auxiliar!$D$4:$F$4,0))</f>
        <v>2</v>
      </c>
      <c r="P448" s="2"/>
      <c r="Q448" s="2"/>
      <c r="R448" s="151">
        <v>45261</v>
      </c>
      <c r="S448" s="151"/>
      <c r="T448" s="151"/>
      <c r="U448" s="151"/>
      <c r="V448" s="151"/>
      <c r="W448" s="2">
        <f>VLOOKUP(Table1[[#This Row],[Status]],Auxiliar!$B$16:$D$24,3,0)*Table1[[#This Row],[Estimação (horas)]]</f>
        <v>2</v>
      </c>
      <c r="X448" s="165">
        <f>+VLOOKUP(CONCATENATE(Table1[[#This Row],[Tabela]],Table1[[#This Row],[Campo]]),'2. Status Detalhe Campos FY24'!A:J,9,FALSE)</f>
        <v>0</v>
      </c>
      <c r="Y448" s="491" t="e">
        <f>+VLOOKUP(A448,#REF!,1,FALSE)</f>
        <v>#REF!</v>
      </c>
    </row>
    <row r="449" spans="1:25" ht="17.899999999999999" hidden="1" customHeight="1">
      <c r="A449" t="str">
        <f>+Table1[[#This Row],[Tabela]]&amp;Table1[[#This Row],[Campo]]</f>
        <v>PROCESSPROCESS_REFERENCE_CODE</v>
      </c>
      <c r="B449" s="2" t="s">
        <v>26</v>
      </c>
      <c r="C449" s="2" t="s">
        <v>54</v>
      </c>
      <c r="D449" s="2" t="s">
        <v>38</v>
      </c>
      <c r="E449" s="2" t="s">
        <v>38</v>
      </c>
      <c r="F449" s="2" t="s">
        <v>55</v>
      </c>
      <c r="G449" s="2" t="s">
        <v>67</v>
      </c>
      <c r="H449" s="56" t="str">
        <f>Table1[[#This Row],[Tabela]]&amp;Table1[[#This Row],[Campo]]</f>
        <v>PROCESSPROCESS_REFERENCE_CODE</v>
      </c>
      <c r="I449" s="2" t="s">
        <v>612</v>
      </c>
      <c r="J449" s="42">
        <f>VLOOKUP(Table1[[#This Row],[Status]],Auxiliar!$B$16:$C$24,2,0)</f>
        <v>1</v>
      </c>
      <c r="K449" s="2" t="s">
        <v>1169</v>
      </c>
      <c r="L449" s="28" t="s">
        <v>1174</v>
      </c>
      <c r="M449" s="20" t="s">
        <v>1175</v>
      </c>
      <c r="N449" s="47">
        <v>45512</v>
      </c>
      <c r="O449" s="20">
        <f>INDEX(Auxiliar!$D$5:$F$13,MATCH(Table1[[#This Row],[Tipologia_Testes]],Auxiliar!$B$5:$B$13,0),MATCH(Table1[[#This Row],[Complexidade]],Auxiliar!$D$4:$F$4,0))</f>
        <v>2</v>
      </c>
      <c r="P449" s="2"/>
      <c r="Q449" s="2"/>
      <c r="R449" s="151">
        <v>45261</v>
      </c>
      <c r="S449" s="151"/>
      <c r="T449" s="151"/>
      <c r="U449" s="151"/>
      <c r="V449" s="151"/>
      <c r="W449" s="2">
        <f>VLOOKUP(Table1[[#This Row],[Status]],Auxiliar!$B$16:$D$24,3,0)*Table1[[#This Row],[Estimação (horas)]]</f>
        <v>2</v>
      </c>
      <c r="X449" s="165">
        <f>+VLOOKUP(CONCATENATE(Table1[[#This Row],[Tabela]],Table1[[#This Row],[Campo]]),'2. Status Detalhe Campos FY24'!A:J,9,FALSE)</f>
        <v>0</v>
      </c>
      <c r="Y449" s="491" t="e">
        <f>+VLOOKUP(A449,#REF!,1,FALSE)</f>
        <v>#REF!</v>
      </c>
    </row>
    <row r="450" spans="1:25" ht="17.899999999999999" hidden="1" customHeight="1">
      <c r="A450" t="str">
        <f>+Table1[[#This Row],[Tabela]]&amp;Table1[[#This Row],[Campo]]</f>
        <v>PROCESSPROCESS_REFERENCE_CODE</v>
      </c>
      <c r="B450" s="2" t="s">
        <v>26</v>
      </c>
      <c r="C450" s="2" t="s">
        <v>54</v>
      </c>
      <c r="D450" s="2" t="s">
        <v>38</v>
      </c>
      <c r="E450" s="2" t="s">
        <v>38</v>
      </c>
      <c r="F450" s="2" t="s">
        <v>55</v>
      </c>
      <c r="G450" s="2" t="s">
        <v>67</v>
      </c>
      <c r="H450" s="56" t="str">
        <f>Table1[[#This Row],[Tabela]]&amp;Table1[[#This Row],[Campo]]</f>
        <v>PROCESSPROCESS_REFERENCE_CODE</v>
      </c>
      <c r="I450" s="2" t="s">
        <v>612</v>
      </c>
      <c r="J450" s="42">
        <f>VLOOKUP(Table1[[#This Row],[Status]],Auxiliar!$B$16:$C$24,2,0)</f>
        <v>1</v>
      </c>
      <c r="K450" s="2" t="s">
        <v>1171</v>
      </c>
      <c r="L450" s="28" t="s">
        <v>1174</v>
      </c>
      <c r="M450" s="20" t="s">
        <v>1175</v>
      </c>
      <c r="N450" s="47">
        <v>45512</v>
      </c>
      <c r="O450" s="20">
        <f>INDEX(Auxiliar!$D$5:$F$13,MATCH(Table1[[#This Row],[Tipologia_Testes]],Auxiliar!$B$5:$B$13,0),MATCH(Table1[[#This Row],[Complexidade]],Auxiliar!$D$4:$F$4,0))</f>
        <v>0.1</v>
      </c>
      <c r="P450" s="2"/>
      <c r="Q450" s="2"/>
      <c r="R450" s="151">
        <v>45261</v>
      </c>
      <c r="S450" s="151"/>
      <c r="T450" s="151"/>
      <c r="U450" s="151"/>
      <c r="V450" s="151"/>
      <c r="W450" s="2">
        <f>VLOOKUP(Table1[[#This Row],[Status]],Auxiliar!$B$16:$D$24,3,0)*Table1[[#This Row],[Estimação (horas)]]</f>
        <v>0.1</v>
      </c>
      <c r="X450" s="165">
        <f>+VLOOKUP(CONCATENATE(Table1[[#This Row],[Tabela]],Table1[[#This Row],[Campo]]),'2. Status Detalhe Campos FY24'!A:J,9,FALSE)</f>
        <v>0</v>
      </c>
      <c r="Y450" s="491" t="e">
        <f>+VLOOKUP(A450,#REF!,1,FALSE)</f>
        <v>#REF!</v>
      </c>
    </row>
    <row r="451" spans="1:25" ht="17.899999999999999" hidden="1" customHeight="1">
      <c r="A451" t="str">
        <f>+Table1[[#This Row],[Tabela]]&amp;Table1[[#This Row],[Campo]]</f>
        <v>PROCESSPROCESS_START_DATE</v>
      </c>
      <c r="B451" s="2" t="s">
        <v>26</v>
      </c>
      <c r="C451" s="2" t="s">
        <v>54</v>
      </c>
      <c r="D451" s="2" t="s">
        <v>38</v>
      </c>
      <c r="E451" s="2" t="s">
        <v>38</v>
      </c>
      <c r="F451" s="2" t="s">
        <v>55</v>
      </c>
      <c r="G451" s="2" t="s">
        <v>68</v>
      </c>
      <c r="H451" s="56" t="str">
        <f>Table1[[#This Row],[Tabela]]&amp;Table1[[#This Row],[Campo]]</f>
        <v>PROCESSPROCESS_START_DATE</v>
      </c>
      <c r="I451" s="2" t="s">
        <v>612</v>
      </c>
      <c r="J451" s="42">
        <f>VLOOKUP(Table1[[#This Row],[Status]],Auxiliar!$B$16:$C$24,2,0)</f>
        <v>1</v>
      </c>
      <c r="K451" s="2" t="s">
        <v>1168</v>
      </c>
      <c r="L451" s="28" t="s">
        <v>1174</v>
      </c>
      <c r="M451" s="20" t="s">
        <v>1175</v>
      </c>
      <c r="N451" s="47">
        <v>45512</v>
      </c>
      <c r="O451" s="20">
        <f>INDEX(Auxiliar!$D$5:$F$13,MATCH(Table1[[#This Row],[Tipologia_Testes]],Auxiliar!$B$5:$B$13,0),MATCH(Table1[[#This Row],[Complexidade]],Auxiliar!$D$4:$F$4,0))</f>
        <v>2</v>
      </c>
      <c r="P451" s="2"/>
      <c r="Q451" s="2"/>
      <c r="R451" s="151">
        <v>45261</v>
      </c>
      <c r="S451" s="151"/>
      <c r="T451" s="151"/>
      <c r="U451" s="151"/>
      <c r="V451" s="151"/>
      <c r="W451" s="2">
        <f>VLOOKUP(Table1[[#This Row],[Status]],Auxiliar!$B$16:$D$24,3,0)*Table1[[#This Row],[Estimação (horas)]]</f>
        <v>2</v>
      </c>
      <c r="X451" s="165">
        <f>+VLOOKUP(CONCATENATE(Table1[[#This Row],[Tabela]],Table1[[#This Row],[Campo]]),'2. Status Detalhe Campos FY24'!A:J,9,FALSE)</f>
        <v>0</v>
      </c>
      <c r="Y451" s="491" t="e">
        <f>+VLOOKUP(A451,#REF!,1,FALSE)</f>
        <v>#REF!</v>
      </c>
    </row>
    <row r="452" spans="1:25" ht="17.899999999999999" hidden="1" customHeight="1">
      <c r="A452" t="str">
        <f>+Table1[[#This Row],[Tabela]]&amp;Table1[[#This Row],[Campo]]</f>
        <v>PROCESSPROCESS_START_DATE</v>
      </c>
      <c r="B452" s="2" t="s">
        <v>26</v>
      </c>
      <c r="C452" s="2" t="s">
        <v>54</v>
      </c>
      <c r="D452" s="2" t="s">
        <v>38</v>
      </c>
      <c r="E452" s="2" t="s">
        <v>38</v>
      </c>
      <c r="F452" s="2" t="s">
        <v>55</v>
      </c>
      <c r="G452" s="2" t="s">
        <v>68</v>
      </c>
      <c r="H452" s="56" t="str">
        <f>Table1[[#This Row],[Tabela]]&amp;Table1[[#This Row],[Campo]]</f>
        <v>PROCESSPROCESS_START_DATE</v>
      </c>
      <c r="I452" s="2" t="s">
        <v>612</v>
      </c>
      <c r="J452" s="42">
        <f>VLOOKUP(Table1[[#This Row],[Status]],Auxiliar!$B$16:$C$24,2,0)</f>
        <v>1</v>
      </c>
      <c r="K452" s="2" t="s">
        <v>1169</v>
      </c>
      <c r="L452" s="28" t="s">
        <v>1174</v>
      </c>
      <c r="M452" s="20" t="s">
        <v>1175</v>
      </c>
      <c r="N452" s="47">
        <v>45512</v>
      </c>
      <c r="O452" s="20">
        <f>INDEX(Auxiliar!$D$5:$F$13,MATCH(Table1[[#This Row],[Tipologia_Testes]],Auxiliar!$B$5:$B$13,0),MATCH(Table1[[#This Row],[Complexidade]],Auxiliar!$D$4:$F$4,0))</f>
        <v>2</v>
      </c>
      <c r="P452" s="2"/>
      <c r="Q452" s="2"/>
      <c r="R452" s="151">
        <v>45261</v>
      </c>
      <c r="S452" s="151"/>
      <c r="T452" s="151"/>
      <c r="U452" s="151"/>
      <c r="V452" s="151"/>
      <c r="W452" s="2">
        <f>VLOOKUP(Table1[[#This Row],[Status]],Auxiliar!$B$16:$D$24,3,0)*Table1[[#This Row],[Estimação (horas)]]</f>
        <v>2</v>
      </c>
      <c r="X452" s="165">
        <f>+VLOOKUP(CONCATENATE(Table1[[#This Row],[Tabela]],Table1[[#This Row],[Campo]]),'2. Status Detalhe Campos FY24'!A:J,9,FALSE)</f>
        <v>0</v>
      </c>
      <c r="Y452" s="491" t="e">
        <f>+VLOOKUP(A452,#REF!,1,FALSE)</f>
        <v>#REF!</v>
      </c>
    </row>
    <row r="453" spans="1:25" ht="17.899999999999999" hidden="1" customHeight="1">
      <c r="A453" t="str">
        <f>+Table1[[#This Row],[Tabela]]&amp;Table1[[#This Row],[Campo]]</f>
        <v>PROCESSPROCESS_START_DATE</v>
      </c>
      <c r="B453" s="2" t="s">
        <v>26</v>
      </c>
      <c r="C453" s="2" t="s">
        <v>54</v>
      </c>
      <c r="D453" s="2" t="s">
        <v>38</v>
      </c>
      <c r="E453" s="2" t="s">
        <v>38</v>
      </c>
      <c r="F453" s="2" t="s">
        <v>55</v>
      </c>
      <c r="G453" s="2" t="s">
        <v>68</v>
      </c>
      <c r="H453" s="56" t="str">
        <f>Table1[[#This Row],[Tabela]]&amp;Table1[[#This Row],[Campo]]</f>
        <v>PROCESSPROCESS_START_DATE</v>
      </c>
      <c r="I453" s="2" t="s">
        <v>612</v>
      </c>
      <c r="J453" s="42">
        <f>VLOOKUP(Table1[[#This Row],[Status]],Auxiliar!$B$16:$C$24,2,0)</f>
        <v>1</v>
      </c>
      <c r="K453" s="2" t="s">
        <v>1171</v>
      </c>
      <c r="L453" s="28" t="s">
        <v>1174</v>
      </c>
      <c r="M453" s="20" t="s">
        <v>1175</v>
      </c>
      <c r="N453" s="47">
        <v>45512</v>
      </c>
      <c r="O453" s="20">
        <f>INDEX(Auxiliar!$D$5:$F$13,MATCH(Table1[[#This Row],[Tipologia_Testes]],Auxiliar!$B$5:$B$13,0),MATCH(Table1[[#This Row],[Complexidade]],Auxiliar!$D$4:$F$4,0))</f>
        <v>0.1</v>
      </c>
      <c r="P453" s="2"/>
      <c r="Q453" s="2"/>
      <c r="R453" s="151">
        <v>45261</v>
      </c>
      <c r="S453" s="151"/>
      <c r="T453" s="151"/>
      <c r="U453" s="151"/>
      <c r="V453" s="151"/>
      <c r="W453" s="2">
        <f>VLOOKUP(Table1[[#This Row],[Status]],Auxiliar!$B$16:$D$24,3,0)*Table1[[#This Row],[Estimação (horas)]]</f>
        <v>0.1</v>
      </c>
      <c r="X453" s="165">
        <f>+VLOOKUP(CONCATENATE(Table1[[#This Row],[Tabela]],Table1[[#This Row],[Campo]]),'2. Status Detalhe Campos FY24'!A:J,9,FALSE)</f>
        <v>0</v>
      </c>
      <c r="Y453" s="491" t="e">
        <f>+VLOOKUP(A453,#REF!,1,FALSE)</f>
        <v>#REF!</v>
      </c>
    </row>
    <row r="454" spans="1:25" ht="17.899999999999999" hidden="1" customHeight="1">
      <c r="A454" t="str">
        <f>+Table1[[#This Row],[Tabela]]&amp;Table1[[#This Row],[Campo]]</f>
        <v>PROCESSPROCESS_DUE_DATE</v>
      </c>
      <c r="B454" s="2" t="s">
        <v>26</v>
      </c>
      <c r="C454" s="2" t="s">
        <v>54</v>
      </c>
      <c r="D454" s="2" t="s">
        <v>38</v>
      </c>
      <c r="E454" s="2" t="s">
        <v>38</v>
      </c>
      <c r="F454" s="2" t="s">
        <v>55</v>
      </c>
      <c r="G454" s="2" t="s">
        <v>69</v>
      </c>
      <c r="H454" s="56" t="str">
        <f>Table1[[#This Row],[Tabela]]&amp;Table1[[#This Row],[Campo]]</f>
        <v>PROCESSPROCESS_DUE_DATE</v>
      </c>
      <c r="I454" s="2" t="s">
        <v>612</v>
      </c>
      <c r="J454" s="42">
        <f>VLOOKUP(Table1[[#This Row],[Status]],Auxiliar!$B$16:$C$24,2,0)</f>
        <v>1</v>
      </c>
      <c r="K454" s="2" t="s">
        <v>1168</v>
      </c>
      <c r="L454" s="28" t="s">
        <v>1174</v>
      </c>
      <c r="M454" s="20" t="s">
        <v>1175</v>
      </c>
      <c r="N454" s="47">
        <v>45512</v>
      </c>
      <c r="O454" s="20">
        <f>INDEX(Auxiliar!$D$5:$F$13,MATCH(Table1[[#This Row],[Tipologia_Testes]],Auxiliar!$B$5:$B$13,0),MATCH(Table1[[#This Row],[Complexidade]],Auxiliar!$D$4:$F$4,0))</f>
        <v>2</v>
      </c>
      <c r="P454" s="2"/>
      <c r="Q454" s="2"/>
      <c r="R454" s="151">
        <v>45261</v>
      </c>
      <c r="S454" s="151"/>
      <c r="T454" s="151"/>
      <c r="U454" s="151"/>
      <c r="V454" s="151"/>
      <c r="W454" s="2">
        <f>VLOOKUP(Table1[[#This Row],[Status]],Auxiliar!$B$16:$D$24,3,0)*Table1[[#This Row],[Estimação (horas)]]</f>
        <v>2</v>
      </c>
      <c r="X454" s="165">
        <f>+VLOOKUP(CONCATENATE(Table1[[#This Row],[Tabela]],Table1[[#This Row],[Campo]]),'2. Status Detalhe Campos FY24'!A:J,9,FALSE)</f>
        <v>0</v>
      </c>
      <c r="Y454" s="491" t="e">
        <f>+VLOOKUP(A454,#REF!,1,FALSE)</f>
        <v>#REF!</v>
      </c>
    </row>
    <row r="455" spans="1:25" ht="17.899999999999999" hidden="1" customHeight="1">
      <c r="A455" t="str">
        <f>+Table1[[#This Row],[Tabela]]&amp;Table1[[#This Row],[Campo]]</f>
        <v>PROCESSPROCESS_DUE_DATE</v>
      </c>
      <c r="B455" s="2" t="s">
        <v>26</v>
      </c>
      <c r="C455" s="2" t="s">
        <v>54</v>
      </c>
      <c r="D455" s="2" t="s">
        <v>38</v>
      </c>
      <c r="E455" s="2" t="s">
        <v>38</v>
      </c>
      <c r="F455" s="2" t="s">
        <v>55</v>
      </c>
      <c r="G455" s="2" t="s">
        <v>69</v>
      </c>
      <c r="H455" s="56" t="str">
        <f>Table1[[#This Row],[Tabela]]&amp;Table1[[#This Row],[Campo]]</f>
        <v>PROCESSPROCESS_DUE_DATE</v>
      </c>
      <c r="I455" s="2" t="s">
        <v>612</v>
      </c>
      <c r="J455" s="42">
        <f>VLOOKUP(Table1[[#This Row],[Status]],Auxiliar!$B$16:$C$24,2,0)</f>
        <v>1</v>
      </c>
      <c r="K455" s="2" t="s">
        <v>1169</v>
      </c>
      <c r="L455" s="28" t="s">
        <v>1174</v>
      </c>
      <c r="M455" s="20" t="s">
        <v>1175</v>
      </c>
      <c r="N455" s="47">
        <v>45512</v>
      </c>
      <c r="O455" s="20">
        <f>INDEX(Auxiliar!$D$5:$F$13,MATCH(Table1[[#This Row],[Tipologia_Testes]],Auxiliar!$B$5:$B$13,0),MATCH(Table1[[#This Row],[Complexidade]],Auxiliar!$D$4:$F$4,0))</f>
        <v>2</v>
      </c>
      <c r="P455" s="2"/>
      <c r="Q455" s="2"/>
      <c r="R455" s="151">
        <v>45261</v>
      </c>
      <c r="S455" s="151"/>
      <c r="T455" s="151"/>
      <c r="U455" s="151"/>
      <c r="V455" s="151"/>
      <c r="W455" s="2">
        <f>VLOOKUP(Table1[[#This Row],[Status]],Auxiliar!$B$16:$D$24,3,0)*Table1[[#This Row],[Estimação (horas)]]</f>
        <v>2</v>
      </c>
      <c r="X455" s="165">
        <f>+VLOOKUP(CONCATENATE(Table1[[#This Row],[Tabela]],Table1[[#This Row],[Campo]]),'2. Status Detalhe Campos FY24'!A:J,9,FALSE)</f>
        <v>0</v>
      </c>
      <c r="Y455" s="491" t="e">
        <f>+VLOOKUP(A455,#REF!,1,FALSE)</f>
        <v>#REF!</v>
      </c>
    </row>
    <row r="456" spans="1:25" ht="17.899999999999999" hidden="1" customHeight="1">
      <c r="A456" t="str">
        <f>+Table1[[#This Row],[Tabela]]&amp;Table1[[#This Row],[Campo]]</f>
        <v>PROCESSPROCESS_DUE_DATE</v>
      </c>
      <c r="B456" s="2" t="s">
        <v>26</v>
      </c>
      <c r="C456" s="2" t="s">
        <v>54</v>
      </c>
      <c r="D456" s="2" t="s">
        <v>38</v>
      </c>
      <c r="E456" s="2" t="s">
        <v>38</v>
      </c>
      <c r="F456" s="2" t="s">
        <v>55</v>
      </c>
      <c r="G456" s="2" t="s">
        <v>69</v>
      </c>
      <c r="H456" s="56" t="str">
        <f>Table1[[#This Row],[Tabela]]&amp;Table1[[#This Row],[Campo]]</f>
        <v>PROCESSPROCESS_DUE_DATE</v>
      </c>
      <c r="I456" s="2" t="s">
        <v>612</v>
      </c>
      <c r="J456" s="42">
        <f>VLOOKUP(Table1[[#This Row],[Status]],Auxiliar!$B$16:$C$24,2,0)</f>
        <v>1</v>
      </c>
      <c r="K456" s="2" t="s">
        <v>1171</v>
      </c>
      <c r="L456" s="28" t="s">
        <v>1174</v>
      </c>
      <c r="M456" s="20" t="s">
        <v>1175</v>
      </c>
      <c r="N456" s="47">
        <v>45512</v>
      </c>
      <c r="O456" s="20">
        <f>INDEX(Auxiliar!$D$5:$F$13,MATCH(Table1[[#This Row],[Tipologia_Testes]],Auxiliar!$B$5:$B$13,0),MATCH(Table1[[#This Row],[Complexidade]],Auxiliar!$D$4:$F$4,0))</f>
        <v>0.1</v>
      </c>
      <c r="P456" s="2"/>
      <c r="Q456" s="2"/>
      <c r="R456" s="151">
        <v>45261</v>
      </c>
      <c r="S456" s="151"/>
      <c r="T456" s="151"/>
      <c r="U456" s="151"/>
      <c r="V456" s="151"/>
      <c r="W456" s="2">
        <f>VLOOKUP(Table1[[#This Row],[Status]],Auxiliar!$B$16:$D$24,3,0)*Table1[[#This Row],[Estimação (horas)]]</f>
        <v>0.1</v>
      </c>
      <c r="X456" s="165">
        <f>+VLOOKUP(CONCATENATE(Table1[[#This Row],[Tabela]],Table1[[#This Row],[Campo]]),'2. Status Detalhe Campos FY24'!A:J,9,FALSE)</f>
        <v>0</v>
      </c>
      <c r="Y456" s="491" t="e">
        <f>+VLOOKUP(A456,#REF!,1,FALSE)</f>
        <v>#REF!</v>
      </c>
    </row>
    <row r="457" spans="1:25" ht="17.899999999999999" hidden="1" customHeight="1">
      <c r="A457" t="str">
        <f>+Table1[[#This Row],[Tabela]]&amp;Table1[[#This Row],[Campo]]</f>
        <v>PROCESSmontante_eur</v>
      </c>
      <c r="B457" s="2" t="s">
        <v>26</v>
      </c>
      <c r="C457" s="2" t="s">
        <v>54</v>
      </c>
      <c r="D457" s="2" t="s">
        <v>38</v>
      </c>
      <c r="E457" s="2" t="s">
        <v>38</v>
      </c>
      <c r="F457" s="2" t="s">
        <v>55</v>
      </c>
      <c r="G457" s="2" t="s">
        <v>70</v>
      </c>
      <c r="H457" s="56" t="str">
        <f>Table1[[#This Row],[Tabela]]&amp;Table1[[#This Row],[Campo]]</f>
        <v>PROCESSmontante_eur</v>
      </c>
      <c r="I457" s="2" t="s">
        <v>611</v>
      </c>
      <c r="J457" s="42">
        <f>VLOOKUP(Table1[[#This Row],[Status]],Auxiliar!$B$16:$C$24,2,0)</f>
        <v>0</v>
      </c>
      <c r="K457" s="2" t="s">
        <v>1168</v>
      </c>
      <c r="L457" s="28" t="s">
        <v>1186</v>
      </c>
      <c r="M457" s="20" t="s">
        <v>1175</v>
      </c>
      <c r="N457" s="47">
        <v>45485</v>
      </c>
      <c r="O457" s="20">
        <f>INDEX(Auxiliar!$D$5:$F$13,MATCH(Table1[[#This Row],[Tipologia_Testes]],Auxiliar!$B$5:$B$13,0),MATCH(Table1[[#This Row],[Complexidade]],Auxiliar!$D$4:$F$4,0))</f>
        <v>2</v>
      </c>
      <c r="P457" s="2" t="s">
        <v>1194</v>
      </c>
      <c r="Q457" s="2"/>
      <c r="R457" s="151">
        <v>45425</v>
      </c>
      <c r="S457" s="151"/>
      <c r="T457" s="151"/>
      <c r="U457" s="151"/>
      <c r="V457" s="151"/>
      <c r="W457" s="2">
        <f>VLOOKUP(Table1[[#This Row],[Status]],Auxiliar!$B$16:$D$24,3,0)*Table1[[#This Row],[Estimação (horas)]]</f>
        <v>0</v>
      </c>
      <c r="X457" s="165">
        <f>+VLOOKUP(CONCATENATE(Table1[[#This Row],[Tabela]],Table1[[#This Row],[Campo]]),'2. Status Detalhe Campos FY24'!A:J,9,FALSE)</f>
        <v>0</v>
      </c>
      <c r="Y457" s="491" t="e">
        <f>+VLOOKUP(A457,#REF!,1,FALSE)</f>
        <v>#REF!</v>
      </c>
    </row>
    <row r="458" spans="1:25" ht="17.899999999999999" hidden="1" customHeight="1">
      <c r="A458" t="str">
        <f>+Table1[[#This Row],[Tabela]]&amp;Table1[[#This Row],[Campo]]</f>
        <v>PROCESSmontante_org</v>
      </c>
      <c r="B458" s="2" t="s">
        <v>26</v>
      </c>
      <c r="C458" s="2" t="s">
        <v>54</v>
      </c>
      <c r="D458" s="2" t="s">
        <v>38</v>
      </c>
      <c r="E458" s="2" t="s">
        <v>38</v>
      </c>
      <c r="F458" s="2" t="s">
        <v>55</v>
      </c>
      <c r="G458" s="2" t="s">
        <v>71</v>
      </c>
      <c r="H458" s="56" t="str">
        <f>Table1[[#This Row],[Tabela]]&amp;Table1[[#This Row],[Campo]]</f>
        <v>PROCESSmontante_org</v>
      </c>
      <c r="I458" s="2" t="s">
        <v>611</v>
      </c>
      <c r="J458" s="42">
        <f>VLOOKUP(Table1[[#This Row],[Status]],Auxiliar!$B$16:$C$24,2,0)</f>
        <v>0</v>
      </c>
      <c r="K458" s="2" t="s">
        <v>1168</v>
      </c>
      <c r="L458" s="28" t="s">
        <v>1186</v>
      </c>
      <c r="M458" s="20" t="s">
        <v>1175</v>
      </c>
      <c r="N458" s="47">
        <v>45485</v>
      </c>
      <c r="O458" s="20">
        <f>INDEX(Auxiliar!$D$5:$F$13,MATCH(Table1[[#This Row],[Tipologia_Testes]],Auxiliar!$B$5:$B$13,0),MATCH(Table1[[#This Row],[Complexidade]],Auxiliar!$D$4:$F$4,0))</f>
        <v>2</v>
      </c>
      <c r="P458" s="2" t="s">
        <v>1194</v>
      </c>
      <c r="Q458" s="2"/>
      <c r="R458" s="151">
        <v>45425</v>
      </c>
      <c r="S458" s="151"/>
      <c r="T458" s="151"/>
      <c r="U458" s="151"/>
      <c r="V458" s="151"/>
      <c r="W458" s="2">
        <f>VLOOKUP(Table1[[#This Row],[Status]],Auxiliar!$B$16:$D$24,3,0)*Table1[[#This Row],[Estimação (horas)]]</f>
        <v>0</v>
      </c>
      <c r="X458" s="165">
        <f>+VLOOKUP(CONCATENATE(Table1[[#This Row],[Tabela]],Table1[[#This Row],[Campo]]),'2. Status Detalhe Campos FY24'!A:J,9,FALSE)</f>
        <v>0</v>
      </c>
      <c r="Y458" s="491" t="e">
        <f>+VLOOKUP(A458,#REF!,1,FALSE)</f>
        <v>#REF!</v>
      </c>
    </row>
    <row r="459" spans="1:25" ht="17.899999999999999" hidden="1" customHeight="1">
      <c r="A459" t="str">
        <f>+Table1[[#This Row],[Tabela]]&amp;Table1[[#This Row],[Campo]]</f>
        <v>PROCESSorigem</v>
      </c>
      <c r="B459" s="2" t="s">
        <v>26</v>
      </c>
      <c r="C459" s="2" t="s">
        <v>54</v>
      </c>
      <c r="D459" s="2" t="s">
        <v>38</v>
      </c>
      <c r="E459" s="2" t="s">
        <v>38</v>
      </c>
      <c r="F459" s="2" t="s">
        <v>55</v>
      </c>
      <c r="G459" s="2" t="s">
        <v>72</v>
      </c>
      <c r="H459" s="56" t="str">
        <f>Table1[[#This Row],[Tabela]]&amp;Table1[[#This Row],[Campo]]</f>
        <v>PROCESSorigem</v>
      </c>
      <c r="I459" s="2" t="s">
        <v>611</v>
      </c>
      <c r="J459" s="42">
        <f>VLOOKUP(Table1[[#This Row],[Status]],Auxiliar!$B$16:$C$24,2,0)</f>
        <v>0</v>
      </c>
      <c r="K459" s="2" t="s">
        <v>1168</v>
      </c>
      <c r="L459" s="28" t="s">
        <v>1174</v>
      </c>
      <c r="M459" s="20" t="s">
        <v>1175</v>
      </c>
      <c r="N459" s="47">
        <v>45512</v>
      </c>
      <c r="O459" s="20">
        <f>INDEX(Auxiliar!$D$5:$F$13,MATCH(Table1[[#This Row],[Tipologia_Testes]],Auxiliar!$B$5:$B$13,0),MATCH(Table1[[#This Row],[Complexidade]],Auxiliar!$D$4:$F$4,0))</f>
        <v>2</v>
      </c>
      <c r="P459" s="2"/>
      <c r="Q459" s="2"/>
      <c r="R459" s="151">
        <v>45261</v>
      </c>
      <c r="S459" s="151"/>
      <c r="T459" s="151"/>
      <c r="U459" s="151"/>
      <c r="V459" s="151"/>
      <c r="W459" s="2">
        <f>VLOOKUP(Table1[[#This Row],[Status]],Auxiliar!$B$16:$D$24,3,0)*Table1[[#This Row],[Estimação (horas)]]</f>
        <v>0</v>
      </c>
      <c r="X459" s="165">
        <f>+VLOOKUP(CONCATENATE(Table1[[#This Row],[Tabela]],Table1[[#This Row],[Campo]]),'2. Status Detalhe Campos FY24'!A:J,9,FALSE)</f>
        <v>0</v>
      </c>
      <c r="Y459" s="491" t="e">
        <f>+VLOOKUP(A459,#REF!,1,FALSE)</f>
        <v>#REF!</v>
      </c>
    </row>
    <row r="460" spans="1:25" ht="17.899999999999999" hidden="1" customHeight="1">
      <c r="A460" t="str">
        <f>+Table1[[#This Row],[Tabela]]&amp;Table1[[#This Row],[Campo]]</f>
        <v>PROCESSorigem</v>
      </c>
      <c r="B460" s="2" t="s">
        <v>26</v>
      </c>
      <c r="C460" s="2" t="s">
        <v>54</v>
      </c>
      <c r="D460" s="2" t="s">
        <v>38</v>
      </c>
      <c r="E460" s="2" t="s">
        <v>38</v>
      </c>
      <c r="F460" s="2" t="s">
        <v>55</v>
      </c>
      <c r="G460" s="2" t="s">
        <v>72</v>
      </c>
      <c r="H460" s="56" t="str">
        <f>Table1[[#This Row],[Tabela]]&amp;Table1[[#This Row],[Campo]]</f>
        <v>PROCESSorigem</v>
      </c>
      <c r="I460" s="2" t="s">
        <v>611</v>
      </c>
      <c r="J460" s="42">
        <f>VLOOKUP(Table1[[#This Row],[Status]],Auxiliar!$B$16:$C$24,2,0)</f>
        <v>0</v>
      </c>
      <c r="K460" s="2" t="s">
        <v>1169</v>
      </c>
      <c r="L460" s="28" t="s">
        <v>1174</v>
      </c>
      <c r="M460" s="20" t="s">
        <v>1175</v>
      </c>
      <c r="N460" s="47">
        <v>45512</v>
      </c>
      <c r="O460" s="20">
        <f>INDEX(Auxiliar!$D$5:$F$13,MATCH(Table1[[#This Row],[Tipologia_Testes]],Auxiliar!$B$5:$B$13,0),MATCH(Table1[[#This Row],[Complexidade]],Auxiliar!$D$4:$F$4,0))</f>
        <v>2</v>
      </c>
      <c r="P460" s="2"/>
      <c r="Q460" s="2"/>
      <c r="R460" s="151">
        <v>45261</v>
      </c>
      <c r="S460" s="151"/>
      <c r="T460" s="151"/>
      <c r="U460" s="151"/>
      <c r="V460" s="151"/>
      <c r="W460" s="2">
        <f>VLOOKUP(Table1[[#This Row],[Status]],Auxiliar!$B$16:$D$24,3,0)*Table1[[#This Row],[Estimação (horas)]]</f>
        <v>0</v>
      </c>
      <c r="X460" s="165">
        <f>+VLOOKUP(CONCATENATE(Table1[[#This Row],[Tabela]],Table1[[#This Row],[Campo]]),'2. Status Detalhe Campos FY24'!A:J,9,FALSE)</f>
        <v>0</v>
      </c>
      <c r="Y460" s="491" t="e">
        <f>+VLOOKUP(A460,#REF!,1,FALSE)</f>
        <v>#REF!</v>
      </c>
    </row>
    <row r="461" spans="1:25" ht="17.899999999999999" hidden="1" customHeight="1">
      <c r="A461" t="str">
        <f>+Table1[[#This Row],[Tabela]]&amp;Table1[[#This Row],[Campo]]</f>
        <v>PROCESSorigem</v>
      </c>
      <c r="B461" s="2" t="s">
        <v>26</v>
      </c>
      <c r="C461" s="2" t="s">
        <v>54</v>
      </c>
      <c r="D461" s="2" t="s">
        <v>38</v>
      </c>
      <c r="E461" s="2" t="s">
        <v>38</v>
      </c>
      <c r="F461" s="2" t="s">
        <v>55</v>
      </c>
      <c r="G461" s="2" t="s">
        <v>72</v>
      </c>
      <c r="H461" s="56" t="str">
        <f>Table1[[#This Row],[Tabela]]&amp;Table1[[#This Row],[Campo]]</f>
        <v>PROCESSorigem</v>
      </c>
      <c r="I461" s="2" t="s">
        <v>611</v>
      </c>
      <c r="J461" s="42">
        <f>VLOOKUP(Table1[[#This Row],[Status]],Auxiliar!$B$16:$C$24,2,0)</f>
        <v>0</v>
      </c>
      <c r="K461" s="2" t="s">
        <v>1171</v>
      </c>
      <c r="L461" s="28" t="s">
        <v>1174</v>
      </c>
      <c r="M461" s="20" t="s">
        <v>1175</v>
      </c>
      <c r="N461" s="47">
        <v>45512</v>
      </c>
      <c r="O461" s="20">
        <f>INDEX(Auxiliar!$D$5:$F$13,MATCH(Table1[[#This Row],[Tipologia_Testes]],Auxiliar!$B$5:$B$13,0),MATCH(Table1[[#This Row],[Complexidade]],Auxiliar!$D$4:$F$4,0))</f>
        <v>0.1</v>
      </c>
      <c r="P461" s="2"/>
      <c r="Q461" s="2"/>
      <c r="R461" s="151">
        <v>45261</v>
      </c>
      <c r="S461" s="151"/>
      <c r="T461" s="151"/>
      <c r="U461" s="151"/>
      <c r="V461" s="151"/>
      <c r="W461" s="2">
        <f>VLOOKUP(Table1[[#This Row],[Status]],Auxiliar!$B$16:$D$24,3,0)*Table1[[#This Row],[Estimação (horas)]]</f>
        <v>0</v>
      </c>
      <c r="X461" s="165">
        <f>+VLOOKUP(CONCATENATE(Table1[[#This Row],[Tabela]],Table1[[#This Row],[Campo]]),'2. Status Detalhe Campos FY24'!A:J,9,FALSE)</f>
        <v>0</v>
      </c>
      <c r="Y461" s="491" t="e">
        <f>+VLOOKUP(A461,#REF!,1,FALSE)</f>
        <v>#REF!</v>
      </c>
    </row>
    <row r="462" spans="1:25" ht="17.899999999999999" hidden="1" customHeight="1">
      <c r="A462" t="str">
        <f>+Table1[[#This Row],[Tabela]]&amp;Table1[[#This Row],[Campo]]</f>
        <v>PROCESSDATA_DATE_PART</v>
      </c>
      <c r="B462" s="2" t="s">
        <v>26</v>
      </c>
      <c r="C462" s="2" t="s">
        <v>54</v>
      </c>
      <c r="D462" s="2" t="s">
        <v>38</v>
      </c>
      <c r="E462" s="2" t="s">
        <v>38</v>
      </c>
      <c r="F462" s="2" t="s">
        <v>55</v>
      </c>
      <c r="G462" s="2" t="s">
        <v>73</v>
      </c>
      <c r="H462" s="56" t="str">
        <f>Table1[[#This Row],[Tabela]]&amp;Table1[[#This Row],[Campo]]</f>
        <v>PROCESSDATA_DATE_PART</v>
      </c>
      <c r="I462" s="2" t="s">
        <v>612</v>
      </c>
      <c r="J462" s="42">
        <f>VLOOKUP(Table1[[#This Row],[Status]],Auxiliar!$B$16:$C$24,2,0)</f>
        <v>1</v>
      </c>
      <c r="K462" s="2" t="s">
        <v>1168</v>
      </c>
      <c r="L462" s="28" t="s">
        <v>1174</v>
      </c>
      <c r="M462" s="20" t="s">
        <v>1175</v>
      </c>
      <c r="N462" s="47">
        <v>45512</v>
      </c>
      <c r="O462" s="20">
        <f>INDEX(Auxiliar!$D$5:$F$13,MATCH(Table1[[#This Row],[Tipologia_Testes]],Auxiliar!$B$5:$B$13,0),MATCH(Table1[[#This Row],[Complexidade]],Auxiliar!$D$4:$F$4,0))</f>
        <v>2</v>
      </c>
      <c r="P462" s="2"/>
      <c r="Q462" s="2"/>
      <c r="R462" s="151">
        <v>45261</v>
      </c>
      <c r="S462" s="151"/>
      <c r="T462" s="151"/>
      <c r="U462" s="151"/>
      <c r="V462" s="151"/>
      <c r="W462" s="2">
        <f>VLOOKUP(Table1[[#This Row],[Status]],Auxiliar!$B$16:$D$24,3,0)*Table1[[#This Row],[Estimação (horas)]]</f>
        <v>2</v>
      </c>
      <c r="X462" s="165">
        <f>+VLOOKUP(CONCATENATE(Table1[[#This Row],[Tabela]],Table1[[#This Row],[Campo]]),'2. Status Detalhe Campos FY24'!A:J,9,FALSE)</f>
        <v>0</v>
      </c>
      <c r="Y462" s="491" t="e">
        <f>+VLOOKUP(A462,#REF!,1,FALSE)</f>
        <v>#REF!</v>
      </c>
    </row>
    <row r="463" spans="1:25" ht="17.899999999999999" hidden="1" customHeight="1">
      <c r="A463" t="str">
        <f>+Table1[[#This Row],[Tabela]]&amp;Table1[[#This Row],[Campo]]</f>
        <v>PROCESSDATA_DATE_PART</v>
      </c>
      <c r="B463" s="2" t="s">
        <v>26</v>
      </c>
      <c r="C463" s="2" t="s">
        <v>54</v>
      </c>
      <c r="D463" s="2" t="s">
        <v>38</v>
      </c>
      <c r="E463" s="2" t="s">
        <v>38</v>
      </c>
      <c r="F463" s="2" t="s">
        <v>55</v>
      </c>
      <c r="G463" s="2" t="s">
        <v>73</v>
      </c>
      <c r="H463" s="56" t="str">
        <f>Table1[[#This Row],[Tabela]]&amp;Table1[[#This Row],[Campo]]</f>
        <v>PROCESSDATA_DATE_PART</v>
      </c>
      <c r="I463" s="2" t="s">
        <v>612</v>
      </c>
      <c r="J463" s="42">
        <f>VLOOKUP(Table1[[#This Row],[Status]],Auxiliar!$B$16:$C$24,2,0)</f>
        <v>1</v>
      </c>
      <c r="K463" s="2" t="s">
        <v>1169</v>
      </c>
      <c r="L463" s="28" t="s">
        <v>1174</v>
      </c>
      <c r="M463" s="20" t="s">
        <v>1175</v>
      </c>
      <c r="N463" s="47">
        <v>45512</v>
      </c>
      <c r="O463" s="20">
        <f>INDEX(Auxiliar!$D$5:$F$13,MATCH(Table1[[#This Row],[Tipologia_Testes]],Auxiliar!$B$5:$B$13,0),MATCH(Table1[[#This Row],[Complexidade]],Auxiliar!$D$4:$F$4,0))</f>
        <v>2</v>
      </c>
      <c r="P463" s="2"/>
      <c r="Q463" s="2"/>
      <c r="R463" s="151">
        <v>45261</v>
      </c>
      <c r="S463" s="151"/>
      <c r="T463" s="151"/>
      <c r="U463" s="151"/>
      <c r="V463" s="151"/>
      <c r="W463" s="2">
        <f>VLOOKUP(Table1[[#This Row],[Status]],Auxiliar!$B$16:$D$24,3,0)*Table1[[#This Row],[Estimação (horas)]]</f>
        <v>2</v>
      </c>
      <c r="X463" s="165">
        <f>+VLOOKUP(CONCATENATE(Table1[[#This Row],[Tabela]],Table1[[#This Row],[Campo]]),'2. Status Detalhe Campos FY24'!A:J,9,FALSE)</f>
        <v>0</v>
      </c>
      <c r="Y463" s="491" t="e">
        <f>+VLOOKUP(A463,#REF!,1,FALSE)</f>
        <v>#REF!</v>
      </c>
    </row>
    <row r="464" spans="1:25" ht="17.899999999999999" hidden="1" customHeight="1">
      <c r="A464" t="str">
        <f>+Table1[[#This Row],[Tabela]]&amp;Table1[[#This Row],[Campo]]</f>
        <v>PROCESSSOURCE_CODE</v>
      </c>
      <c r="B464" s="2" t="s">
        <v>26</v>
      </c>
      <c r="C464" s="2" t="s">
        <v>54</v>
      </c>
      <c r="D464" s="2" t="s">
        <v>38</v>
      </c>
      <c r="E464" s="2" t="s">
        <v>38</v>
      </c>
      <c r="F464" s="2" t="s">
        <v>55</v>
      </c>
      <c r="G464" s="2" t="s">
        <v>87</v>
      </c>
      <c r="H464" s="56" t="str">
        <f>Table1[[#This Row],[Tabela]]&amp;Table1[[#This Row],[Campo]]</f>
        <v>PROCESSSOURCE_CODE</v>
      </c>
      <c r="I464" s="2" t="s">
        <v>612</v>
      </c>
      <c r="J464" s="42">
        <f>VLOOKUP(Table1[[#This Row],[Status]],Auxiliar!$B$16:$C$24,2,0)</f>
        <v>1</v>
      </c>
      <c r="K464" s="2" t="s">
        <v>1168</v>
      </c>
      <c r="L464" s="28" t="s">
        <v>1174</v>
      </c>
      <c r="M464" s="20" t="s">
        <v>1175</v>
      </c>
      <c r="N464" s="47">
        <v>45512</v>
      </c>
      <c r="O464" s="20">
        <f>INDEX(Auxiliar!$D$5:$F$11,MATCH(Table1[[#This Row],[Tipologia_Testes]],Auxiliar!$B$5:$B$11,0),MATCH(Table1[[#This Row],[Complexidade]],Auxiliar!$D$4:$F$4,0))</f>
        <v>2</v>
      </c>
      <c r="P464" s="2"/>
      <c r="Q464" s="2"/>
      <c r="R464" s="151"/>
      <c r="S464" s="151"/>
      <c r="T464" s="151"/>
      <c r="U464" s="151"/>
      <c r="V464" s="151"/>
      <c r="W464" s="2">
        <f>VLOOKUP(Table1[[#This Row],[Status]],Auxiliar!$B$16:$D$24,3,0)*Table1[[#This Row],[Estimação (horas)]]</f>
        <v>2</v>
      </c>
      <c r="X464" s="165">
        <f>+VLOOKUP(CONCATENATE(Table1[[#This Row],[Tabela]],Table1[[#This Row],[Campo]]),'2. Status Detalhe Campos FY24'!A:J,9,FALSE)</f>
        <v>0</v>
      </c>
      <c r="Y464" s="491" t="e">
        <f>+VLOOKUP(A464,#REF!,1,FALSE)</f>
        <v>#REF!</v>
      </c>
    </row>
    <row r="465" spans="1:25" ht="69.650000000000006" hidden="1" customHeight="1">
      <c r="A465" t="str">
        <f>+Table1[[#This Row],[Tabela]]&amp;Table1[[#This Row],[Campo]]</f>
        <v>PROCESSDATA_DATE_PART</v>
      </c>
      <c r="B465" s="2" t="s">
        <v>26</v>
      </c>
      <c r="C465" s="2" t="s">
        <v>54</v>
      </c>
      <c r="D465" s="2" t="s">
        <v>38</v>
      </c>
      <c r="E465" s="2" t="s">
        <v>38</v>
      </c>
      <c r="F465" s="2" t="s">
        <v>55</v>
      </c>
      <c r="G465" s="2" t="s">
        <v>73</v>
      </c>
      <c r="H465" s="56" t="str">
        <f>Table1[[#This Row],[Tabela]]&amp;Table1[[#This Row],[Campo]]</f>
        <v>PROCESSDATA_DATE_PART</v>
      </c>
      <c r="I465" s="2" t="s">
        <v>612</v>
      </c>
      <c r="J465" s="42">
        <f>VLOOKUP(Table1[[#This Row],[Status]],Auxiliar!$B$16:$C$24,2,0)</f>
        <v>1</v>
      </c>
      <c r="K465" s="2" t="s">
        <v>1171</v>
      </c>
      <c r="L465" s="28" t="s">
        <v>1174</v>
      </c>
      <c r="M465" s="20" t="s">
        <v>1175</v>
      </c>
      <c r="N465" s="47">
        <v>45512</v>
      </c>
      <c r="O465" s="20">
        <f>INDEX(Auxiliar!$D$5:$F$13,MATCH(Table1[[#This Row],[Tipologia_Testes]],Auxiliar!$B$5:$B$13,0),MATCH(Table1[[#This Row],[Complexidade]],Auxiliar!$D$4:$F$4,0))</f>
        <v>0.1</v>
      </c>
      <c r="P465" s="2"/>
      <c r="Q465" s="2"/>
      <c r="R465" s="151">
        <v>45261</v>
      </c>
      <c r="S465" s="151"/>
      <c r="T465" s="151"/>
      <c r="U465" s="151"/>
      <c r="V465" s="151"/>
      <c r="W465" s="2">
        <f>VLOOKUP(Table1[[#This Row],[Status]],Auxiliar!$B$16:$D$24,3,0)*Table1[[#This Row],[Estimação (horas)]]</f>
        <v>0.1</v>
      </c>
      <c r="X465" s="165">
        <f>+VLOOKUP(CONCATENATE(Table1[[#This Row],[Tabela]],Table1[[#This Row],[Campo]]),'2. Status Detalhe Campos FY24'!A:J,9,FALSE)</f>
        <v>0</v>
      </c>
      <c r="Y465" s="491" t="e">
        <f>+VLOOKUP(A465,#REF!,1,FALSE)</f>
        <v>#REF!</v>
      </c>
    </row>
    <row r="466" spans="1:25" ht="17.899999999999999" hidden="1" customHeight="1">
      <c r="A466" t="str">
        <f>+Table1[[#This Row],[Tabela]]&amp;Table1[[#This Row],[Campo]]</f>
        <v>RESPONSIBILITY_PROCESS_RELn.a.</v>
      </c>
      <c r="B466" s="2" t="s">
        <v>26</v>
      </c>
      <c r="C466" s="2" t="s">
        <v>54</v>
      </c>
      <c r="D466" s="2" t="s">
        <v>38</v>
      </c>
      <c r="E466" s="2" t="s">
        <v>38</v>
      </c>
      <c r="F466" s="2" t="s">
        <v>74</v>
      </c>
      <c r="G466" s="2" t="s">
        <v>38</v>
      </c>
      <c r="H466" s="56" t="str">
        <f>Table1[[#This Row],[Tabela]]&amp;Table1[[#This Row],[Campo]]</f>
        <v>RESPONSIBILITY_PROCESS_RELn.a.</v>
      </c>
      <c r="I466" s="2" t="s">
        <v>612</v>
      </c>
      <c r="J466" s="42">
        <f>VLOOKUP(Table1[[#This Row],[Status]],Auxiliar!$B$16:$C$24,2,0)</f>
        <v>1</v>
      </c>
      <c r="K466" s="2" t="s">
        <v>1165</v>
      </c>
      <c r="L466" s="28" t="s">
        <v>1166</v>
      </c>
      <c r="M466" s="20" t="s">
        <v>1167</v>
      </c>
      <c r="N466" s="47">
        <v>45512</v>
      </c>
      <c r="O466" s="20">
        <f>INDEX(Auxiliar!$D$5:$F$13,MATCH(Table1[[#This Row],[Tipologia_Testes]],Auxiliar!$B$5:$B$13,0),MATCH(Table1[[#This Row],[Complexidade]],Auxiliar!$D$4:$F$4,0))</f>
        <v>8</v>
      </c>
      <c r="P466" s="22" t="s">
        <v>1195</v>
      </c>
      <c r="Q466" s="2"/>
      <c r="R466" s="151">
        <v>45261</v>
      </c>
      <c r="S466" s="151"/>
      <c r="T466" s="151"/>
      <c r="U466" s="151"/>
      <c r="V466" s="151"/>
      <c r="W466" s="2">
        <f>VLOOKUP(Table1[[#This Row],[Status]],Auxiliar!$B$16:$D$24,3,0)*Table1[[#This Row],[Estimação (horas)]]</f>
        <v>8</v>
      </c>
      <c r="X466" s="165">
        <f>+VLOOKUP(CONCATENATE(Table1[[#This Row],[Tabela]],Table1[[#This Row],[Campo]]),'2. Status Detalhe Campos FY24'!A:J,9,FALSE)</f>
        <v>0</v>
      </c>
      <c r="Y466" s="491" t="e">
        <f>+VLOOKUP(A466,#REF!,1,FALSE)</f>
        <v>#REF!</v>
      </c>
    </row>
    <row r="467" spans="1:25" ht="17.899999999999999" hidden="1" customHeight="1">
      <c r="A467" t="str">
        <f>+Table1[[#This Row],[Tabela]]&amp;Table1[[#This Row],[Campo]]</f>
        <v>RESPONSIBILITY_PROCESS_RELPROCESS_BANK_ID</v>
      </c>
      <c r="B467" s="2" t="s">
        <v>26</v>
      </c>
      <c r="C467" s="2" t="s">
        <v>54</v>
      </c>
      <c r="D467" s="2" t="s">
        <v>38</v>
      </c>
      <c r="E467" s="2" t="s">
        <v>38</v>
      </c>
      <c r="F467" s="2" t="s">
        <v>74</v>
      </c>
      <c r="G467" s="2" t="s">
        <v>57</v>
      </c>
      <c r="H467" s="56" t="str">
        <f>Table1[[#This Row],[Tabela]]&amp;Table1[[#This Row],[Campo]]</f>
        <v>RESPONSIBILITY_PROCESS_RELPROCESS_BANK_ID</v>
      </c>
      <c r="I467" s="2" t="s">
        <v>612</v>
      </c>
      <c r="J467" s="42">
        <f>VLOOKUP(Table1[[#This Row],[Status]],Auxiliar!$B$16:$C$24,2,0)</f>
        <v>1</v>
      </c>
      <c r="K467" s="2" t="s">
        <v>1168</v>
      </c>
      <c r="L467" s="28" t="s">
        <v>1166</v>
      </c>
      <c r="M467" s="20" t="s">
        <v>1176</v>
      </c>
      <c r="N467" s="47">
        <v>45499</v>
      </c>
      <c r="O467" s="20">
        <f>INDEX(Auxiliar!$D$5:$F$13,MATCH(Table1[[#This Row],[Tipologia_Testes]],Auxiliar!$B$5:$B$13,0),MATCH(Table1[[#This Row],[Complexidade]],Auxiliar!$D$4:$F$4,0))</f>
        <v>4</v>
      </c>
      <c r="P467" s="2" t="s">
        <v>1188</v>
      </c>
      <c r="Q467" s="2" t="s">
        <v>1185</v>
      </c>
      <c r="R467" s="151">
        <v>45261</v>
      </c>
      <c r="S467" s="151">
        <v>45495</v>
      </c>
      <c r="T467" s="151"/>
      <c r="U467" s="151"/>
      <c r="V467" s="151"/>
      <c r="W467" s="2">
        <f>VLOOKUP(Table1[[#This Row],[Status]],Auxiliar!$B$16:$D$24,3,0)*Table1[[#This Row],[Estimação (horas)]]</f>
        <v>4</v>
      </c>
      <c r="X467" s="165">
        <f>+VLOOKUP(CONCATENATE(Table1[[#This Row],[Tabela]],Table1[[#This Row],[Campo]]),'2. Status Detalhe Campos FY24'!A:J,9,FALSE)</f>
        <v>0</v>
      </c>
      <c r="Y467" s="491" t="e">
        <f>+VLOOKUP(A467,#REF!,1,FALSE)</f>
        <v>#REF!</v>
      </c>
    </row>
    <row r="468" spans="1:25" ht="17.899999999999999" hidden="1" customHeight="1">
      <c r="A468" t="str">
        <f>+Table1[[#This Row],[Tabela]]&amp;Table1[[#This Row],[Campo]]</f>
        <v>RESPONSIBILITY_PROCESS_RELPROCESS_BANK_ID</v>
      </c>
      <c r="B468" s="2" t="s">
        <v>26</v>
      </c>
      <c r="C468" s="2" t="s">
        <v>54</v>
      </c>
      <c r="D468" s="2" t="s">
        <v>38</v>
      </c>
      <c r="E468" s="2" t="s">
        <v>38</v>
      </c>
      <c r="F468" s="2" t="s">
        <v>74</v>
      </c>
      <c r="G468" s="2" t="s">
        <v>57</v>
      </c>
      <c r="H468" s="56" t="str">
        <f>Table1[[#This Row],[Tabela]]&amp;Table1[[#This Row],[Campo]]</f>
        <v>RESPONSIBILITY_PROCESS_RELPROCESS_BANK_ID</v>
      </c>
      <c r="I468" s="2" t="s">
        <v>612</v>
      </c>
      <c r="J468" s="42">
        <f>VLOOKUP(Table1[[#This Row],[Status]],Auxiliar!$B$16:$C$24,2,0)</f>
        <v>1</v>
      </c>
      <c r="K468" s="2" t="s">
        <v>1169</v>
      </c>
      <c r="L468" s="28" t="s">
        <v>1166</v>
      </c>
      <c r="M468" s="20" t="s">
        <v>1176</v>
      </c>
      <c r="N468" s="47">
        <v>45499</v>
      </c>
      <c r="O468" s="20">
        <f>INDEX(Auxiliar!$D$5:$F$13,MATCH(Table1[[#This Row],[Tipologia_Testes]],Auxiliar!$B$5:$B$13,0),MATCH(Table1[[#This Row],[Complexidade]],Auxiliar!$D$4:$F$4,0))</f>
        <v>4</v>
      </c>
      <c r="P468" s="2" t="s">
        <v>1188</v>
      </c>
      <c r="Q468" s="2" t="s">
        <v>1185</v>
      </c>
      <c r="R468" s="151">
        <v>45261</v>
      </c>
      <c r="S468" s="151">
        <v>45495</v>
      </c>
      <c r="T468" s="151"/>
      <c r="U468" s="151"/>
      <c r="V468" s="151"/>
      <c r="W468" s="2">
        <f>VLOOKUP(Table1[[#This Row],[Status]],Auxiliar!$B$16:$D$24,3,0)*Table1[[#This Row],[Estimação (horas)]]</f>
        <v>4</v>
      </c>
      <c r="X468" s="165">
        <f>+VLOOKUP(CONCATENATE(Table1[[#This Row],[Tabela]],Table1[[#This Row],[Campo]]),'2. Status Detalhe Campos FY24'!A:J,9,FALSE)</f>
        <v>0</v>
      </c>
      <c r="Y468" s="491" t="e">
        <f>+VLOOKUP(A468,#REF!,1,FALSE)</f>
        <v>#REF!</v>
      </c>
    </row>
    <row r="469" spans="1:25" ht="17.899999999999999" hidden="1" customHeight="1">
      <c r="A469" t="str">
        <f>+Table1[[#This Row],[Tabela]]&amp;Table1[[#This Row],[Campo]]</f>
        <v>RESPONSIBILITY_PROCESS_RELPROCESS_BANK_ID</v>
      </c>
      <c r="B469" s="2" t="s">
        <v>26</v>
      </c>
      <c r="C469" s="2" t="s">
        <v>54</v>
      </c>
      <c r="D469" s="2" t="s">
        <v>38</v>
      </c>
      <c r="E469" s="2" t="s">
        <v>38</v>
      </c>
      <c r="F469" s="2" t="s">
        <v>74</v>
      </c>
      <c r="G469" s="2" t="s">
        <v>57</v>
      </c>
      <c r="H469" s="56" t="str">
        <f>Table1[[#This Row],[Tabela]]&amp;Table1[[#This Row],[Campo]]</f>
        <v>RESPONSIBILITY_PROCESS_RELPROCESS_BANK_ID</v>
      </c>
      <c r="I469" s="2" t="s">
        <v>612</v>
      </c>
      <c r="J469" s="42">
        <f>VLOOKUP(Table1[[#This Row],[Status]],Auxiliar!$B$16:$C$24,2,0)</f>
        <v>1</v>
      </c>
      <c r="K469" s="2" t="s">
        <v>1171</v>
      </c>
      <c r="L469" s="28" t="s">
        <v>1166</v>
      </c>
      <c r="M469" s="20" t="s">
        <v>1176</v>
      </c>
      <c r="N469" s="47">
        <v>45499</v>
      </c>
      <c r="O469" s="20">
        <f>INDEX(Auxiliar!$D$5:$F$13,MATCH(Table1[[#This Row],[Tipologia_Testes]],Auxiliar!$B$5:$B$13,0),MATCH(Table1[[#This Row],[Complexidade]],Auxiliar!$D$4:$F$4,0))</f>
        <v>0.1</v>
      </c>
      <c r="P469" s="2" t="s">
        <v>1188</v>
      </c>
      <c r="Q469" s="2" t="s">
        <v>1185</v>
      </c>
      <c r="R469" s="151">
        <v>45261</v>
      </c>
      <c r="S469" s="151">
        <v>45495</v>
      </c>
      <c r="T469" s="151"/>
      <c r="U469" s="151"/>
      <c r="V469" s="151"/>
      <c r="W469" s="2">
        <f>VLOOKUP(Table1[[#This Row],[Status]],Auxiliar!$B$16:$D$24,3,0)*Table1[[#This Row],[Estimação (horas)]]</f>
        <v>0.1</v>
      </c>
      <c r="X469" s="165">
        <f>+VLOOKUP(CONCATENATE(Table1[[#This Row],[Tabela]],Table1[[#This Row],[Campo]]),'2. Status Detalhe Campos FY24'!A:J,9,FALSE)</f>
        <v>0</v>
      </c>
      <c r="Y469" s="491" t="e">
        <f>+VLOOKUP(A469,#REF!,1,FALSE)</f>
        <v>#REF!</v>
      </c>
    </row>
    <row r="470" spans="1:25" ht="17.899999999999999" hidden="1" customHeight="1">
      <c r="A470" t="str">
        <f>+Table1[[#This Row],[Tabela]]&amp;Table1[[#This Row],[Campo]]</f>
        <v>RESPONSIBILITY_PROCESS_RELBANK_ID</v>
      </c>
      <c r="B470" s="2" t="s">
        <v>26</v>
      </c>
      <c r="C470" s="2" t="s">
        <v>54</v>
      </c>
      <c r="D470" s="2" t="s">
        <v>38</v>
      </c>
      <c r="E470" s="2" t="s">
        <v>38</v>
      </c>
      <c r="F470" s="2" t="s">
        <v>74</v>
      </c>
      <c r="G470" s="2" t="s">
        <v>75</v>
      </c>
      <c r="H470" s="56" t="str">
        <f>Table1[[#This Row],[Tabela]]&amp;Table1[[#This Row],[Campo]]</f>
        <v>RESPONSIBILITY_PROCESS_RELBANK_ID</v>
      </c>
      <c r="I470" s="2" t="s">
        <v>612</v>
      </c>
      <c r="J470" s="42">
        <f>VLOOKUP(Table1[[#This Row],[Status]],Auxiliar!$B$16:$C$24,2,0)</f>
        <v>1</v>
      </c>
      <c r="K470" s="2" t="s">
        <v>1168</v>
      </c>
      <c r="L470" s="28" t="s">
        <v>1166</v>
      </c>
      <c r="M470" s="20" t="s">
        <v>1176</v>
      </c>
      <c r="N470" s="47">
        <v>45499</v>
      </c>
      <c r="O470" s="20">
        <f>INDEX(Auxiliar!$D$5:$F$13,MATCH(Table1[[#This Row],[Tipologia_Testes]],Auxiliar!$B$5:$B$13,0),MATCH(Table1[[#This Row],[Complexidade]],Auxiliar!$D$4:$F$4,0))</f>
        <v>4</v>
      </c>
      <c r="P470" s="2" t="s">
        <v>1188</v>
      </c>
      <c r="Q470" s="2" t="s">
        <v>1185</v>
      </c>
      <c r="R470" s="151">
        <v>45261</v>
      </c>
      <c r="S470" s="151">
        <v>45495</v>
      </c>
      <c r="T470" s="151"/>
      <c r="U470" s="151"/>
      <c r="V470" s="151"/>
      <c r="W470" s="2">
        <f>VLOOKUP(Table1[[#This Row],[Status]],Auxiliar!$B$16:$D$24,3,0)*Table1[[#This Row],[Estimação (horas)]]</f>
        <v>4</v>
      </c>
      <c r="X470" s="165">
        <f>+VLOOKUP(CONCATENATE(Table1[[#This Row],[Tabela]],Table1[[#This Row],[Campo]]),'2. Status Detalhe Campos FY24'!A:J,9,FALSE)</f>
        <v>0</v>
      </c>
      <c r="Y470" s="491" t="e">
        <f>+VLOOKUP(A470,#REF!,1,FALSE)</f>
        <v>#REF!</v>
      </c>
    </row>
    <row r="471" spans="1:25" ht="17.899999999999999" hidden="1" customHeight="1">
      <c r="A471" t="str">
        <f>+Table1[[#This Row],[Tabela]]&amp;Table1[[#This Row],[Campo]]</f>
        <v>RESPONSIBILITY_PROCESS_RELBANK_ID</v>
      </c>
      <c r="B471" s="2" t="s">
        <v>26</v>
      </c>
      <c r="C471" s="2" t="s">
        <v>54</v>
      </c>
      <c r="D471" s="2" t="s">
        <v>38</v>
      </c>
      <c r="E471" s="2" t="s">
        <v>38</v>
      </c>
      <c r="F471" s="2" t="s">
        <v>74</v>
      </c>
      <c r="G471" s="2" t="s">
        <v>75</v>
      </c>
      <c r="H471" s="56" t="str">
        <f>Table1[[#This Row],[Tabela]]&amp;Table1[[#This Row],[Campo]]</f>
        <v>RESPONSIBILITY_PROCESS_RELBANK_ID</v>
      </c>
      <c r="I471" s="2" t="s">
        <v>612</v>
      </c>
      <c r="J471" s="42">
        <f>VLOOKUP(Table1[[#This Row],[Status]],Auxiliar!$B$16:$C$24,2,0)</f>
        <v>1</v>
      </c>
      <c r="K471" s="2" t="s">
        <v>1169</v>
      </c>
      <c r="L471" s="28" t="s">
        <v>1166</v>
      </c>
      <c r="M471" s="20" t="s">
        <v>1176</v>
      </c>
      <c r="N471" s="47">
        <v>45499</v>
      </c>
      <c r="O471" s="20">
        <f>INDEX(Auxiliar!$D$5:$F$13,MATCH(Table1[[#This Row],[Tipologia_Testes]],Auxiliar!$B$5:$B$13,0),MATCH(Table1[[#This Row],[Complexidade]],Auxiliar!$D$4:$F$4,0))</f>
        <v>4</v>
      </c>
      <c r="P471" s="2" t="s">
        <v>1188</v>
      </c>
      <c r="Q471" s="2" t="s">
        <v>1185</v>
      </c>
      <c r="R471" s="151">
        <v>45261</v>
      </c>
      <c r="S471" s="151">
        <v>45495</v>
      </c>
      <c r="T471" s="151"/>
      <c r="U471" s="151"/>
      <c r="V471" s="151"/>
      <c r="W471" s="2">
        <f>VLOOKUP(Table1[[#This Row],[Status]],Auxiliar!$B$16:$D$24,3,0)*Table1[[#This Row],[Estimação (horas)]]</f>
        <v>4</v>
      </c>
      <c r="X471" s="165">
        <f>+VLOOKUP(CONCATENATE(Table1[[#This Row],[Tabela]],Table1[[#This Row],[Campo]]),'2. Status Detalhe Campos FY24'!A:J,9,FALSE)</f>
        <v>0</v>
      </c>
      <c r="Y471" s="491" t="e">
        <f>+VLOOKUP(A471,#REF!,1,FALSE)</f>
        <v>#REF!</v>
      </c>
    </row>
    <row r="472" spans="1:25" ht="17.899999999999999" hidden="1" customHeight="1">
      <c r="A472" t="str">
        <f>+Table1[[#This Row],[Tabela]]&amp;Table1[[#This Row],[Campo]]</f>
        <v>RESPONSIBILITY_PROCESS_RELBANK_ID</v>
      </c>
      <c r="B472" s="2" t="s">
        <v>26</v>
      </c>
      <c r="C472" s="2" t="s">
        <v>54</v>
      </c>
      <c r="D472" s="2" t="s">
        <v>38</v>
      </c>
      <c r="E472" s="2" t="s">
        <v>38</v>
      </c>
      <c r="F472" s="2" t="s">
        <v>74</v>
      </c>
      <c r="G472" s="2" t="s">
        <v>75</v>
      </c>
      <c r="H472" s="56" t="str">
        <f>Table1[[#This Row],[Tabela]]&amp;Table1[[#This Row],[Campo]]</f>
        <v>RESPONSIBILITY_PROCESS_RELBANK_ID</v>
      </c>
      <c r="I472" s="2" t="s">
        <v>612</v>
      </c>
      <c r="J472" s="42">
        <f>VLOOKUP(Table1[[#This Row],[Status]],Auxiliar!$B$16:$C$24,2,0)</f>
        <v>1</v>
      </c>
      <c r="K472" s="2" t="s">
        <v>1171</v>
      </c>
      <c r="L472" s="28" t="s">
        <v>1166</v>
      </c>
      <c r="M472" s="20" t="s">
        <v>1176</v>
      </c>
      <c r="N472" s="47">
        <v>45499</v>
      </c>
      <c r="O472" s="20">
        <f>INDEX(Auxiliar!$D$5:$F$13,MATCH(Table1[[#This Row],[Tipologia_Testes]],Auxiliar!$B$5:$B$13,0),MATCH(Table1[[#This Row],[Complexidade]],Auxiliar!$D$4:$F$4,0))</f>
        <v>0.1</v>
      </c>
      <c r="P472" s="2" t="s">
        <v>1188</v>
      </c>
      <c r="Q472" s="2" t="s">
        <v>1185</v>
      </c>
      <c r="R472" s="151">
        <v>45261</v>
      </c>
      <c r="S472" s="151">
        <v>45495</v>
      </c>
      <c r="T472" s="151"/>
      <c r="U472" s="151"/>
      <c r="V472" s="151"/>
      <c r="W472" s="2">
        <f>VLOOKUP(Table1[[#This Row],[Status]],Auxiliar!$B$16:$D$24,3,0)*Table1[[#This Row],[Estimação (horas)]]</f>
        <v>0.1</v>
      </c>
      <c r="X472" s="165">
        <f>+VLOOKUP(CONCATENATE(Table1[[#This Row],[Tabela]],Table1[[#This Row],[Campo]]),'2. Status Detalhe Campos FY24'!A:J,9,FALSE)</f>
        <v>0</v>
      </c>
      <c r="Y472" s="491" t="e">
        <f>+VLOOKUP(A472,#REF!,1,FALSE)</f>
        <v>#REF!</v>
      </c>
    </row>
    <row r="473" spans="1:25" ht="17.899999999999999" hidden="1" customHeight="1">
      <c r="A473" t="str">
        <f>+Table1[[#This Row],[Tabela]]&amp;Table1[[#This Row],[Campo]]</f>
        <v>RESPONSIBILITY_PROCESS_RELPROCESS_BRANCH_CODE</v>
      </c>
      <c r="B473" s="2" t="s">
        <v>26</v>
      </c>
      <c r="C473" s="2" t="s">
        <v>54</v>
      </c>
      <c r="D473" s="2" t="s">
        <v>38</v>
      </c>
      <c r="E473" s="2" t="s">
        <v>38</v>
      </c>
      <c r="F473" s="2" t="s">
        <v>74</v>
      </c>
      <c r="G473" s="2" t="s">
        <v>58</v>
      </c>
      <c r="H473" s="56" t="str">
        <f>Table1[[#This Row],[Tabela]]&amp;Table1[[#This Row],[Campo]]</f>
        <v>RESPONSIBILITY_PROCESS_RELPROCESS_BRANCH_CODE</v>
      </c>
      <c r="I473" s="2" t="s">
        <v>612</v>
      </c>
      <c r="J473" s="42">
        <f>VLOOKUP(Table1[[#This Row],[Status]],Auxiliar!$B$16:$C$24,2,0)</f>
        <v>1</v>
      </c>
      <c r="K473" s="2" t="s">
        <v>1168</v>
      </c>
      <c r="L473" s="28" t="s">
        <v>1166</v>
      </c>
      <c r="M473" s="20" t="s">
        <v>1176</v>
      </c>
      <c r="N473" s="47">
        <v>45499</v>
      </c>
      <c r="O473" s="20">
        <f>INDEX(Auxiliar!$D$5:$F$13,MATCH(Table1[[#This Row],[Tipologia_Testes]],Auxiliar!$B$5:$B$13,0),MATCH(Table1[[#This Row],[Complexidade]],Auxiliar!$D$4:$F$4,0))</f>
        <v>4</v>
      </c>
      <c r="P473" s="2" t="s">
        <v>1188</v>
      </c>
      <c r="Q473" s="2" t="s">
        <v>1185</v>
      </c>
      <c r="R473" s="151">
        <v>45261</v>
      </c>
      <c r="S473" s="151">
        <v>45495</v>
      </c>
      <c r="T473" s="151"/>
      <c r="U473" s="151"/>
      <c r="V473" s="151"/>
      <c r="W473" s="2">
        <f>VLOOKUP(Table1[[#This Row],[Status]],Auxiliar!$B$16:$D$24,3,0)*Table1[[#This Row],[Estimação (horas)]]</f>
        <v>4</v>
      </c>
      <c r="X473" s="165">
        <f>+VLOOKUP(CONCATENATE(Table1[[#This Row],[Tabela]],Table1[[#This Row],[Campo]]),'2. Status Detalhe Campos FY24'!A:J,9,FALSE)</f>
        <v>0</v>
      </c>
      <c r="Y473" s="491" t="e">
        <f>+VLOOKUP(A473,#REF!,1,FALSE)</f>
        <v>#REF!</v>
      </c>
    </row>
    <row r="474" spans="1:25" ht="17.899999999999999" hidden="1" customHeight="1">
      <c r="A474" t="str">
        <f>+Table1[[#This Row],[Tabela]]&amp;Table1[[#This Row],[Campo]]</f>
        <v>RESPONSIBILITY_PROCESS_RELPROCESS_BRANCH_CODE</v>
      </c>
      <c r="B474" s="2" t="s">
        <v>26</v>
      </c>
      <c r="C474" s="2" t="s">
        <v>54</v>
      </c>
      <c r="D474" s="2" t="s">
        <v>38</v>
      </c>
      <c r="E474" s="2" t="s">
        <v>38</v>
      </c>
      <c r="F474" s="2" t="s">
        <v>74</v>
      </c>
      <c r="G474" s="2" t="s">
        <v>58</v>
      </c>
      <c r="H474" s="56" t="str">
        <f>Table1[[#This Row],[Tabela]]&amp;Table1[[#This Row],[Campo]]</f>
        <v>RESPONSIBILITY_PROCESS_RELPROCESS_BRANCH_CODE</v>
      </c>
      <c r="I474" s="2" t="s">
        <v>612</v>
      </c>
      <c r="J474" s="42">
        <f>VLOOKUP(Table1[[#This Row],[Status]],Auxiliar!$B$16:$C$24,2,0)</f>
        <v>1</v>
      </c>
      <c r="K474" s="2" t="s">
        <v>1169</v>
      </c>
      <c r="L474" s="28" t="s">
        <v>1166</v>
      </c>
      <c r="M474" s="20" t="s">
        <v>1176</v>
      </c>
      <c r="N474" s="47">
        <v>45499</v>
      </c>
      <c r="O474" s="20">
        <f>INDEX(Auxiliar!$D$5:$F$13,MATCH(Table1[[#This Row],[Tipologia_Testes]],Auxiliar!$B$5:$B$13,0),MATCH(Table1[[#This Row],[Complexidade]],Auxiliar!$D$4:$F$4,0))</f>
        <v>4</v>
      </c>
      <c r="P474" s="2" t="s">
        <v>1188</v>
      </c>
      <c r="Q474" s="2" t="s">
        <v>1185</v>
      </c>
      <c r="R474" s="151">
        <v>45261</v>
      </c>
      <c r="S474" s="151">
        <v>45495</v>
      </c>
      <c r="T474" s="151"/>
      <c r="U474" s="151"/>
      <c r="V474" s="151"/>
      <c r="W474" s="2">
        <f>VLOOKUP(Table1[[#This Row],[Status]],Auxiliar!$B$16:$D$24,3,0)*Table1[[#This Row],[Estimação (horas)]]</f>
        <v>4</v>
      </c>
      <c r="X474" s="165">
        <f>+VLOOKUP(CONCATENATE(Table1[[#This Row],[Tabela]],Table1[[#This Row],[Campo]]),'2. Status Detalhe Campos FY24'!A:J,9,FALSE)</f>
        <v>0</v>
      </c>
      <c r="Y474" s="491" t="e">
        <f>+VLOOKUP(A474,#REF!,1,FALSE)</f>
        <v>#REF!</v>
      </c>
    </row>
    <row r="475" spans="1:25" ht="17.899999999999999" hidden="1" customHeight="1">
      <c r="A475" t="str">
        <f>+Table1[[#This Row],[Tabela]]&amp;Table1[[#This Row],[Campo]]</f>
        <v>RESPONSIBILITY_PROCESS_RELPROCESS_BRANCH_CODE</v>
      </c>
      <c r="B475" s="2" t="s">
        <v>26</v>
      </c>
      <c r="C475" s="2" t="s">
        <v>54</v>
      </c>
      <c r="D475" s="2" t="s">
        <v>38</v>
      </c>
      <c r="E475" s="2" t="s">
        <v>38</v>
      </c>
      <c r="F475" s="2" t="s">
        <v>74</v>
      </c>
      <c r="G475" s="2" t="s">
        <v>58</v>
      </c>
      <c r="H475" s="56" t="str">
        <f>Table1[[#This Row],[Tabela]]&amp;Table1[[#This Row],[Campo]]</f>
        <v>RESPONSIBILITY_PROCESS_RELPROCESS_BRANCH_CODE</v>
      </c>
      <c r="I475" s="2" t="s">
        <v>612</v>
      </c>
      <c r="J475" s="42">
        <f>VLOOKUP(Table1[[#This Row],[Status]],Auxiliar!$B$16:$C$24,2,0)</f>
        <v>1</v>
      </c>
      <c r="K475" s="2" t="s">
        <v>1171</v>
      </c>
      <c r="L475" s="28" t="s">
        <v>1166</v>
      </c>
      <c r="M475" s="20" t="s">
        <v>1176</v>
      </c>
      <c r="N475" s="47">
        <v>45499</v>
      </c>
      <c r="O475" s="20">
        <f>INDEX(Auxiliar!$D$5:$F$13,MATCH(Table1[[#This Row],[Tipologia_Testes]],Auxiliar!$B$5:$B$13,0),MATCH(Table1[[#This Row],[Complexidade]],Auxiliar!$D$4:$F$4,0))</f>
        <v>0.1</v>
      </c>
      <c r="P475" s="2" t="s">
        <v>1188</v>
      </c>
      <c r="Q475" s="2" t="s">
        <v>1185</v>
      </c>
      <c r="R475" s="151">
        <v>45261</v>
      </c>
      <c r="S475" s="151">
        <v>45495</v>
      </c>
      <c r="T475" s="151"/>
      <c r="U475" s="151"/>
      <c r="V475" s="151"/>
      <c r="W475" s="2">
        <f>VLOOKUP(Table1[[#This Row],[Status]],Auxiliar!$B$16:$D$24,3,0)*Table1[[#This Row],[Estimação (horas)]]</f>
        <v>0.1</v>
      </c>
      <c r="X475" s="165">
        <f>+VLOOKUP(CONCATENATE(Table1[[#This Row],[Tabela]],Table1[[#This Row],[Campo]]),'2. Status Detalhe Campos FY24'!A:J,9,FALSE)</f>
        <v>0</v>
      </c>
      <c r="Y475" s="491" t="e">
        <f>+VLOOKUP(A475,#REF!,1,FALSE)</f>
        <v>#REF!</v>
      </c>
    </row>
    <row r="476" spans="1:25" ht="17.899999999999999" hidden="1" customHeight="1">
      <c r="A476" t="str">
        <f>+Table1[[#This Row],[Tabela]]&amp;Table1[[#This Row],[Campo]]</f>
        <v>RESPONSIBILITY_PROCESS_RELBRANCH_CODE</v>
      </c>
      <c r="B476" s="2" t="s">
        <v>26</v>
      </c>
      <c r="C476" s="2" t="s">
        <v>54</v>
      </c>
      <c r="D476" s="2" t="s">
        <v>38</v>
      </c>
      <c r="E476" s="2" t="s">
        <v>38</v>
      </c>
      <c r="F476" s="2" t="s">
        <v>74</v>
      </c>
      <c r="G476" s="2" t="s">
        <v>76</v>
      </c>
      <c r="H476" s="56" t="str">
        <f>Table1[[#This Row],[Tabela]]&amp;Table1[[#This Row],[Campo]]</f>
        <v>RESPONSIBILITY_PROCESS_RELBRANCH_CODE</v>
      </c>
      <c r="I476" s="2" t="s">
        <v>612</v>
      </c>
      <c r="J476" s="42">
        <f>VLOOKUP(Table1[[#This Row],[Status]],Auxiliar!$B$16:$C$24,2,0)</f>
        <v>1</v>
      </c>
      <c r="K476" s="2" t="s">
        <v>1168</v>
      </c>
      <c r="L476" s="28" t="s">
        <v>1166</v>
      </c>
      <c r="M476" s="20" t="s">
        <v>1176</v>
      </c>
      <c r="N476" s="47">
        <v>45499</v>
      </c>
      <c r="O476" s="20">
        <f>INDEX(Auxiliar!$D$5:$F$13,MATCH(Table1[[#This Row],[Tipologia_Testes]],Auxiliar!$B$5:$B$13,0),MATCH(Table1[[#This Row],[Complexidade]],Auxiliar!$D$4:$F$4,0))</f>
        <v>4</v>
      </c>
      <c r="P476" s="2" t="s">
        <v>1188</v>
      </c>
      <c r="Q476" s="2" t="s">
        <v>1185</v>
      </c>
      <c r="R476" s="151">
        <v>45261</v>
      </c>
      <c r="S476" s="151">
        <v>45495</v>
      </c>
      <c r="T476" s="151"/>
      <c r="U476" s="151"/>
      <c r="V476" s="151"/>
      <c r="W476" s="2">
        <f>VLOOKUP(Table1[[#This Row],[Status]],Auxiliar!$B$16:$D$24,3,0)*Table1[[#This Row],[Estimação (horas)]]</f>
        <v>4</v>
      </c>
      <c r="X476" s="165">
        <f>+VLOOKUP(CONCATENATE(Table1[[#This Row],[Tabela]],Table1[[#This Row],[Campo]]),'2. Status Detalhe Campos FY24'!A:J,9,FALSE)</f>
        <v>0</v>
      </c>
      <c r="Y476" s="491" t="e">
        <f>+VLOOKUP(A476,#REF!,1,FALSE)</f>
        <v>#REF!</v>
      </c>
    </row>
    <row r="477" spans="1:25" ht="17.899999999999999" hidden="1" customHeight="1">
      <c r="A477" t="str">
        <f>+Table1[[#This Row],[Tabela]]&amp;Table1[[#This Row],[Campo]]</f>
        <v>RESPONSIBILITY_PROCESS_RELBRANCH_CODE</v>
      </c>
      <c r="B477" s="2" t="s">
        <v>26</v>
      </c>
      <c r="C477" s="2" t="s">
        <v>54</v>
      </c>
      <c r="D477" s="2" t="s">
        <v>38</v>
      </c>
      <c r="E477" s="2" t="s">
        <v>38</v>
      </c>
      <c r="F477" s="2" t="s">
        <v>74</v>
      </c>
      <c r="G477" s="2" t="s">
        <v>76</v>
      </c>
      <c r="H477" s="56" t="str">
        <f>Table1[[#This Row],[Tabela]]&amp;Table1[[#This Row],[Campo]]</f>
        <v>RESPONSIBILITY_PROCESS_RELBRANCH_CODE</v>
      </c>
      <c r="I477" s="2" t="s">
        <v>612</v>
      </c>
      <c r="J477" s="42">
        <f>VLOOKUP(Table1[[#This Row],[Status]],Auxiliar!$B$16:$C$24,2,0)</f>
        <v>1</v>
      </c>
      <c r="K477" s="2" t="s">
        <v>1169</v>
      </c>
      <c r="L477" s="28" t="s">
        <v>1166</v>
      </c>
      <c r="M477" s="20" t="s">
        <v>1176</v>
      </c>
      <c r="N477" s="47">
        <v>45499</v>
      </c>
      <c r="O477" s="20">
        <f>INDEX(Auxiliar!$D$5:$F$13,MATCH(Table1[[#This Row],[Tipologia_Testes]],Auxiliar!$B$5:$B$13,0),MATCH(Table1[[#This Row],[Complexidade]],Auxiliar!$D$4:$F$4,0))</f>
        <v>4</v>
      </c>
      <c r="P477" s="2" t="s">
        <v>1188</v>
      </c>
      <c r="Q477" s="2" t="s">
        <v>1185</v>
      </c>
      <c r="R477" s="151">
        <v>45261</v>
      </c>
      <c r="S477" s="151">
        <v>45495</v>
      </c>
      <c r="T477" s="151"/>
      <c r="U477" s="151"/>
      <c r="V477" s="151"/>
      <c r="W477" s="2">
        <f>VLOOKUP(Table1[[#This Row],[Status]],Auxiliar!$B$16:$D$24,3,0)*Table1[[#This Row],[Estimação (horas)]]</f>
        <v>4</v>
      </c>
      <c r="X477" s="165">
        <f>+VLOOKUP(CONCATENATE(Table1[[#This Row],[Tabela]],Table1[[#This Row],[Campo]]),'2. Status Detalhe Campos FY24'!A:J,9,FALSE)</f>
        <v>0</v>
      </c>
      <c r="Y477" s="491" t="e">
        <f>+VLOOKUP(A477,#REF!,1,FALSE)</f>
        <v>#REF!</v>
      </c>
    </row>
    <row r="478" spans="1:25" ht="17.899999999999999" hidden="1" customHeight="1">
      <c r="A478" t="str">
        <f>+Table1[[#This Row],[Tabela]]&amp;Table1[[#This Row],[Campo]]</f>
        <v>RESPONSIBILITY_PROCESS_RELBRANCH_CODE</v>
      </c>
      <c r="B478" s="2" t="s">
        <v>26</v>
      </c>
      <c r="C478" s="2" t="s">
        <v>54</v>
      </c>
      <c r="D478" s="2" t="s">
        <v>38</v>
      </c>
      <c r="E478" s="2" t="s">
        <v>38</v>
      </c>
      <c r="F478" s="2" t="s">
        <v>74</v>
      </c>
      <c r="G478" s="2" t="s">
        <v>76</v>
      </c>
      <c r="H478" s="56" t="str">
        <f>Table1[[#This Row],[Tabela]]&amp;Table1[[#This Row],[Campo]]</f>
        <v>RESPONSIBILITY_PROCESS_RELBRANCH_CODE</v>
      </c>
      <c r="I478" s="2" t="s">
        <v>612</v>
      </c>
      <c r="J478" s="42">
        <f>VLOOKUP(Table1[[#This Row],[Status]],Auxiliar!$B$16:$C$24,2,0)</f>
        <v>1</v>
      </c>
      <c r="K478" s="2" t="s">
        <v>1171</v>
      </c>
      <c r="L478" s="28" t="s">
        <v>1166</v>
      </c>
      <c r="M478" s="20" t="s">
        <v>1176</v>
      </c>
      <c r="N478" s="47">
        <v>45499</v>
      </c>
      <c r="O478" s="20">
        <f>INDEX(Auxiliar!$D$5:$F$13,MATCH(Table1[[#This Row],[Tipologia_Testes]],Auxiliar!$B$5:$B$13,0),MATCH(Table1[[#This Row],[Complexidade]],Auxiliar!$D$4:$F$4,0))</f>
        <v>0.1</v>
      </c>
      <c r="P478" s="2" t="s">
        <v>1188</v>
      </c>
      <c r="Q478" s="2" t="s">
        <v>1185</v>
      </c>
      <c r="R478" s="151">
        <v>45261</v>
      </c>
      <c r="S478" s="151">
        <v>45495</v>
      </c>
      <c r="T478" s="151"/>
      <c r="U478" s="151"/>
      <c r="V478" s="151"/>
      <c r="W478" s="2">
        <f>VLOOKUP(Table1[[#This Row],[Status]],Auxiliar!$B$16:$D$24,3,0)*Table1[[#This Row],[Estimação (horas)]]</f>
        <v>0.1</v>
      </c>
      <c r="X478" s="165">
        <f>+VLOOKUP(CONCATENATE(Table1[[#This Row],[Tabela]],Table1[[#This Row],[Campo]]),'2. Status Detalhe Campos FY24'!A:J,9,FALSE)</f>
        <v>0</v>
      </c>
      <c r="Y478" s="491" t="e">
        <f>+VLOOKUP(A478,#REF!,1,FALSE)</f>
        <v>#REF!</v>
      </c>
    </row>
    <row r="479" spans="1:25" ht="17.899999999999999" hidden="1" customHeight="1">
      <c r="A479" t="str">
        <f>+Table1[[#This Row],[Tabela]]&amp;Table1[[#This Row],[Campo]]</f>
        <v>RESPONSIBILITY_PROCESS_RELCONTRACT_ID</v>
      </c>
      <c r="B479" s="2" t="s">
        <v>26</v>
      </c>
      <c r="C479" s="2" t="s">
        <v>54</v>
      </c>
      <c r="D479" s="2" t="s">
        <v>38</v>
      </c>
      <c r="E479" s="2" t="s">
        <v>38</v>
      </c>
      <c r="F479" s="2" t="s">
        <v>74</v>
      </c>
      <c r="G479" s="2" t="s">
        <v>77</v>
      </c>
      <c r="H479" s="56" t="str">
        <f>Table1[[#This Row],[Tabela]]&amp;Table1[[#This Row],[Campo]]</f>
        <v>RESPONSIBILITY_PROCESS_RELCONTRACT_ID</v>
      </c>
      <c r="I479" s="2" t="s">
        <v>612</v>
      </c>
      <c r="J479" s="42">
        <f>VLOOKUP(Table1[[#This Row],[Status]],Auxiliar!$B$16:$C$24,2,0)</f>
        <v>1</v>
      </c>
      <c r="K479" s="2" t="s">
        <v>1168</v>
      </c>
      <c r="L479" s="28" t="s">
        <v>1166</v>
      </c>
      <c r="M479" s="20" t="s">
        <v>1176</v>
      </c>
      <c r="N479" s="47">
        <v>45499</v>
      </c>
      <c r="O479" s="20">
        <f>INDEX(Auxiliar!$D$5:$F$13,MATCH(Table1[[#This Row],[Tipologia_Testes]],Auxiliar!$B$5:$B$13,0),MATCH(Table1[[#This Row],[Complexidade]],Auxiliar!$D$4:$F$4,0))</f>
        <v>4</v>
      </c>
      <c r="P479" s="2" t="s">
        <v>1188</v>
      </c>
      <c r="Q479" s="2" t="s">
        <v>1185</v>
      </c>
      <c r="R479" s="151">
        <v>45261</v>
      </c>
      <c r="S479" s="151">
        <v>45495</v>
      </c>
      <c r="T479" s="151"/>
      <c r="U479" s="151"/>
      <c r="V479" s="151"/>
      <c r="W479" s="2">
        <f>VLOOKUP(Table1[[#This Row],[Status]],Auxiliar!$B$16:$D$24,3,0)*Table1[[#This Row],[Estimação (horas)]]</f>
        <v>4</v>
      </c>
      <c r="X479" s="165">
        <f>+VLOOKUP(CONCATENATE(Table1[[#This Row],[Tabela]],Table1[[#This Row],[Campo]]),'2. Status Detalhe Campos FY24'!A:J,9,FALSE)</f>
        <v>0</v>
      </c>
      <c r="Y479" s="491" t="e">
        <f>+VLOOKUP(A479,#REF!,1,FALSE)</f>
        <v>#REF!</v>
      </c>
    </row>
    <row r="480" spans="1:25" ht="17.899999999999999" hidden="1" customHeight="1">
      <c r="A480" t="str">
        <f>+Table1[[#This Row],[Tabela]]&amp;Table1[[#This Row],[Campo]]</f>
        <v>RESPONSIBILITY_PROCESS_RELCONTRACT_ID</v>
      </c>
      <c r="B480" s="2" t="s">
        <v>26</v>
      </c>
      <c r="C480" s="2" t="s">
        <v>54</v>
      </c>
      <c r="D480" s="2" t="s">
        <v>38</v>
      </c>
      <c r="E480" s="2" t="s">
        <v>38</v>
      </c>
      <c r="F480" s="2" t="s">
        <v>74</v>
      </c>
      <c r="G480" s="2" t="s">
        <v>77</v>
      </c>
      <c r="H480" s="56" t="str">
        <f>Table1[[#This Row],[Tabela]]&amp;Table1[[#This Row],[Campo]]</f>
        <v>RESPONSIBILITY_PROCESS_RELCONTRACT_ID</v>
      </c>
      <c r="I480" s="2" t="s">
        <v>612</v>
      </c>
      <c r="J480" s="42">
        <f>VLOOKUP(Table1[[#This Row],[Status]],Auxiliar!$B$16:$C$24,2,0)</f>
        <v>1</v>
      </c>
      <c r="K480" s="2" t="s">
        <v>1169</v>
      </c>
      <c r="L480" s="28" t="s">
        <v>1166</v>
      </c>
      <c r="M480" s="20" t="s">
        <v>1176</v>
      </c>
      <c r="N480" s="47">
        <v>45499</v>
      </c>
      <c r="O480" s="20">
        <f>INDEX(Auxiliar!$D$5:$F$13,MATCH(Table1[[#This Row],[Tipologia_Testes]],Auxiliar!$B$5:$B$13,0),MATCH(Table1[[#This Row],[Complexidade]],Auxiliar!$D$4:$F$4,0))</f>
        <v>4</v>
      </c>
      <c r="P480" s="2" t="s">
        <v>1188</v>
      </c>
      <c r="Q480" s="2" t="s">
        <v>1185</v>
      </c>
      <c r="R480" s="151">
        <v>45261</v>
      </c>
      <c r="S480" s="151">
        <v>45495</v>
      </c>
      <c r="T480" s="151"/>
      <c r="U480" s="151"/>
      <c r="V480" s="151"/>
      <c r="W480" s="2">
        <f>VLOOKUP(Table1[[#This Row],[Status]],Auxiliar!$B$16:$D$24,3,0)*Table1[[#This Row],[Estimação (horas)]]</f>
        <v>4</v>
      </c>
      <c r="X480" s="165">
        <f>+VLOOKUP(CONCATENATE(Table1[[#This Row],[Tabela]],Table1[[#This Row],[Campo]]),'2. Status Detalhe Campos FY24'!A:J,9,FALSE)</f>
        <v>0</v>
      </c>
      <c r="Y480" s="491" t="e">
        <f>+VLOOKUP(A480,#REF!,1,FALSE)</f>
        <v>#REF!</v>
      </c>
    </row>
    <row r="481" spans="1:25" ht="17.899999999999999" hidden="1" customHeight="1">
      <c r="A481" t="str">
        <f>+Table1[[#This Row],[Tabela]]&amp;Table1[[#This Row],[Campo]]</f>
        <v>RESPONSIBILITY_PROCESS_RELCONTRACT_ID</v>
      </c>
      <c r="B481" s="2" t="s">
        <v>26</v>
      </c>
      <c r="C481" s="2" t="s">
        <v>54</v>
      </c>
      <c r="D481" s="2" t="s">
        <v>38</v>
      </c>
      <c r="E481" s="2" t="s">
        <v>38</v>
      </c>
      <c r="F481" s="2" t="s">
        <v>74</v>
      </c>
      <c r="G481" s="2" t="s">
        <v>77</v>
      </c>
      <c r="H481" s="56" t="str">
        <f>Table1[[#This Row],[Tabela]]&amp;Table1[[#This Row],[Campo]]</f>
        <v>RESPONSIBILITY_PROCESS_RELCONTRACT_ID</v>
      </c>
      <c r="I481" s="2" t="s">
        <v>612</v>
      </c>
      <c r="J481" s="42">
        <f>VLOOKUP(Table1[[#This Row],[Status]],Auxiliar!$B$16:$C$24,2,0)</f>
        <v>1</v>
      </c>
      <c r="K481" s="2" t="s">
        <v>1171</v>
      </c>
      <c r="L481" s="28" t="s">
        <v>1166</v>
      </c>
      <c r="M481" s="20" t="s">
        <v>1176</v>
      </c>
      <c r="N481" s="47">
        <v>45499</v>
      </c>
      <c r="O481" s="20">
        <f>INDEX(Auxiliar!$D$5:$F$13,MATCH(Table1[[#This Row],[Tipologia_Testes]],Auxiliar!$B$5:$B$13,0),MATCH(Table1[[#This Row],[Complexidade]],Auxiliar!$D$4:$F$4,0))</f>
        <v>0.1</v>
      </c>
      <c r="P481" s="2" t="s">
        <v>1188</v>
      </c>
      <c r="Q481" s="2" t="s">
        <v>1185</v>
      </c>
      <c r="R481" s="151">
        <v>45261</v>
      </c>
      <c r="S481" s="151">
        <v>45495</v>
      </c>
      <c r="T481" s="151"/>
      <c r="U481" s="151"/>
      <c r="V481" s="151"/>
      <c r="W481" s="2">
        <f>VLOOKUP(Table1[[#This Row],[Status]],Auxiliar!$B$16:$D$24,3,0)*Table1[[#This Row],[Estimação (horas)]]</f>
        <v>0.1</v>
      </c>
      <c r="X481" s="165">
        <f>+VLOOKUP(CONCATENATE(Table1[[#This Row],[Tabela]],Table1[[#This Row],[Campo]]),'2. Status Detalhe Campos FY24'!A:J,9,FALSE)</f>
        <v>0</v>
      </c>
      <c r="Y481" s="491" t="e">
        <f>+VLOOKUP(A481,#REF!,1,FALSE)</f>
        <v>#REF!</v>
      </c>
    </row>
    <row r="482" spans="1:25" ht="17.899999999999999" hidden="1" customHeight="1">
      <c r="A482" t="str">
        <f>+Table1[[#This Row],[Tabela]]&amp;Table1[[#This Row],[Campo]]</f>
        <v>RESPONSIBILITY_PROCESS_RELPROCESS_ACCOUNT_ID</v>
      </c>
      <c r="B482" s="2" t="s">
        <v>26</v>
      </c>
      <c r="C482" s="2" t="s">
        <v>54</v>
      </c>
      <c r="D482" s="2" t="s">
        <v>38</v>
      </c>
      <c r="E482" s="2" t="s">
        <v>38</v>
      </c>
      <c r="F482" s="2" t="s">
        <v>74</v>
      </c>
      <c r="G482" s="2" t="s">
        <v>59</v>
      </c>
      <c r="H482" s="56" t="str">
        <f>Table1[[#This Row],[Tabela]]&amp;Table1[[#This Row],[Campo]]</f>
        <v>RESPONSIBILITY_PROCESS_RELPROCESS_ACCOUNT_ID</v>
      </c>
      <c r="I482" s="2" t="s">
        <v>612</v>
      </c>
      <c r="J482" s="42">
        <f>VLOOKUP(Table1[[#This Row],[Status]],Auxiliar!$B$16:$C$24,2,0)</f>
        <v>1</v>
      </c>
      <c r="K482" s="2" t="s">
        <v>1168</v>
      </c>
      <c r="L482" s="28" t="s">
        <v>1166</v>
      </c>
      <c r="M482" s="20" t="s">
        <v>1176</v>
      </c>
      <c r="N482" s="47">
        <v>45499</v>
      </c>
      <c r="O482" s="20">
        <f>INDEX(Auxiliar!$D$5:$F$13,MATCH(Table1[[#This Row],[Tipologia_Testes]],Auxiliar!$B$5:$B$13,0),MATCH(Table1[[#This Row],[Complexidade]],Auxiliar!$D$4:$F$4,0))</f>
        <v>4</v>
      </c>
      <c r="P482" s="2" t="s">
        <v>1188</v>
      </c>
      <c r="Q482" s="2" t="s">
        <v>1185</v>
      </c>
      <c r="R482" s="151">
        <v>45261</v>
      </c>
      <c r="S482" s="151">
        <v>45495</v>
      </c>
      <c r="T482" s="151"/>
      <c r="U482" s="151"/>
      <c r="V482" s="151"/>
      <c r="W482" s="2">
        <f>VLOOKUP(Table1[[#This Row],[Status]],Auxiliar!$B$16:$D$24,3,0)*Table1[[#This Row],[Estimação (horas)]]</f>
        <v>4</v>
      </c>
      <c r="X482" s="165">
        <f>+VLOOKUP(CONCATENATE(Table1[[#This Row],[Tabela]],Table1[[#This Row],[Campo]]),'2. Status Detalhe Campos FY24'!A:J,9,FALSE)</f>
        <v>0</v>
      </c>
      <c r="Y482" s="491" t="e">
        <f>+VLOOKUP(A482,#REF!,1,FALSE)</f>
        <v>#REF!</v>
      </c>
    </row>
    <row r="483" spans="1:25" ht="17.899999999999999" hidden="1" customHeight="1">
      <c r="A483" t="str">
        <f>+Table1[[#This Row],[Tabela]]&amp;Table1[[#This Row],[Campo]]</f>
        <v>RESPONSIBILITY_PROCESS_RELPROCESS_ACCOUNT_ID</v>
      </c>
      <c r="B483" s="2" t="s">
        <v>26</v>
      </c>
      <c r="C483" s="2" t="s">
        <v>54</v>
      </c>
      <c r="D483" s="2" t="s">
        <v>38</v>
      </c>
      <c r="E483" s="2" t="s">
        <v>38</v>
      </c>
      <c r="F483" s="2" t="s">
        <v>74</v>
      </c>
      <c r="G483" s="2" t="s">
        <v>59</v>
      </c>
      <c r="H483" s="56" t="str">
        <f>Table1[[#This Row],[Tabela]]&amp;Table1[[#This Row],[Campo]]</f>
        <v>RESPONSIBILITY_PROCESS_RELPROCESS_ACCOUNT_ID</v>
      </c>
      <c r="I483" s="2" t="s">
        <v>612</v>
      </c>
      <c r="J483" s="42">
        <f>VLOOKUP(Table1[[#This Row],[Status]],Auxiliar!$B$16:$C$24,2,0)</f>
        <v>1</v>
      </c>
      <c r="K483" s="2" t="s">
        <v>1169</v>
      </c>
      <c r="L483" s="28" t="s">
        <v>1166</v>
      </c>
      <c r="M483" s="20" t="s">
        <v>1176</v>
      </c>
      <c r="N483" s="47">
        <v>45499</v>
      </c>
      <c r="O483" s="20">
        <f>INDEX(Auxiliar!$D$5:$F$13,MATCH(Table1[[#This Row],[Tipologia_Testes]],Auxiliar!$B$5:$B$13,0),MATCH(Table1[[#This Row],[Complexidade]],Auxiliar!$D$4:$F$4,0))</f>
        <v>4</v>
      </c>
      <c r="P483" s="2" t="s">
        <v>1188</v>
      </c>
      <c r="Q483" s="2" t="s">
        <v>1185</v>
      </c>
      <c r="R483" s="151">
        <v>45261</v>
      </c>
      <c r="S483" s="151">
        <v>45495</v>
      </c>
      <c r="T483" s="151"/>
      <c r="U483" s="151"/>
      <c r="V483" s="151"/>
      <c r="W483" s="2">
        <f>VLOOKUP(Table1[[#This Row],[Status]],Auxiliar!$B$16:$D$24,3,0)*Table1[[#This Row],[Estimação (horas)]]</f>
        <v>4</v>
      </c>
      <c r="X483" s="165">
        <f>+VLOOKUP(CONCATENATE(Table1[[#This Row],[Tabela]],Table1[[#This Row],[Campo]]),'2. Status Detalhe Campos FY24'!A:J,9,FALSE)</f>
        <v>0</v>
      </c>
      <c r="Y483" s="491" t="e">
        <f>+VLOOKUP(A483,#REF!,1,FALSE)</f>
        <v>#REF!</v>
      </c>
    </row>
    <row r="484" spans="1:25" ht="17.899999999999999" hidden="1" customHeight="1">
      <c r="A484" t="str">
        <f>+Table1[[#This Row],[Tabela]]&amp;Table1[[#This Row],[Campo]]</f>
        <v>RESPONSIBILITY_PROCESS_RELPROCESS_ACCOUNT_ID</v>
      </c>
      <c r="B484" s="2" t="s">
        <v>26</v>
      </c>
      <c r="C484" s="2" t="s">
        <v>54</v>
      </c>
      <c r="D484" s="2" t="s">
        <v>38</v>
      </c>
      <c r="E484" s="2" t="s">
        <v>38</v>
      </c>
      <c r="F484" s="2" t="s">
        <v>74</v>
      </c>
      <c r="G484" s="2" t="s">
        <v>59</v>
      </c>
      <c r="H484" s="56" t="str">
        <f>Table1[[#This Row],[Tabela]]&amp;Table1[[#This Row],[Campo]]</f>
        <v>RESPONSIBILITY_PROCESS_RELPROCESS_ACCOUNT_ID</v>
      </c>
      <c r="I484" s="2" t="s">
        <v>612</v>
      </c>
      <c r="J484" s="42">
        <f>VLOOKUP(Table1[[#This Row],[Status]],Auxiliar!$B$16:$C$24,2,0)</f>
        <v>1</v>
      </c>
      <c r="K484" s="2" t="s">
        <v>1171</v>
      </c>
      <c r="L484" s="28" t="s">
        <v>1166</v>
      </c>
      <c r="M484" s="20" t="s">
        <v>1176</v>
      </c>
      <c r="N484" s="47">
        <v>45499</v>
      </c>
      <c r="O484" s="20">
        <f>INDEX(Auxiliar!$D$5:$F$13,MATCH(Table1[[#This Row],[Tipologia_Testes]],Auxiliar!$B$5:$B$13,0),MATCH(Table1[[#This Row],[Complexidade]],Auxiliar!$D$4:$F$4,0))</f>
        <v>0.1</v>
      </c>
      <c r="P484" s="2" t="s">
        <v>1188</v>
      </c>
      <c r="Q484" s="2" t="s">
        <v>1185</v>
      </c>
      <c r="R484" s="151">
        <v>45261</v>
      </c>
      <c r="S484" s="151">
        <v>45495</v>
      </c>
      <c r="T484" s="151"/>
      <c r="U484" s="151"/>
      <c r="V484" s="151"/>
      <c r="W484" s="2">
        <f>VLOOKUP(Table1[[#This Row],[Status]],Auxiliar!$B$16:$D$24,3,0)*Table1[[#This Row],[Estimação (horas)]]</f>
        <v>0.1</v>
      </c>
      <c r="X484" s="165">
        <f>+VLOOKUP(CONCATENATE(Table1[[#This Row],[Tabela]],Table1[[#This Row],[Campo]]),'2. Status Detalhe Campos FY24'!A:J,9,FALSE)</f>
        <v>0</v>
      </c>
      <c r="Y484" s="491" t="e">
        <f>+VLOOKUP(A484,#REF!,1,FALSE)</f>
        <v>#REF!</v>
      </c>
    </row>
    <row r="485" spans="1:25" ht="17.899999999999999" hidden="1" customHeight="1">
      <c r="A485" t="str">
        <f>+Table1[[#This Row],[Tabela]]&amp;Table1[[#This Row],[Campo]]</f>
        <v>RESPONSIBILITY_PROCESS_RELREFERENCE_CODE</v>
      </c>
      <c r="B485" s="2" t="s">
        <v>26</v>
      </c>
      <c r="C485" s="2" t="s">
        <v>54</v>
      </c>
      <c r="D485" s="2" t="s">
        <v>38</v>
      </c>
      <c r="E485" s="2" t="s">
        <v>38</v>
      </c>
      <c r="F485" s="2" t="s">
        <v>74</v>
      </c>
      <c r="G485" s="2" t="s">
        <v>78</v>
      </c>
      <c r="H485" s="56" t="str">
        <f>Table1[[#This Row],[Tabela]]&amp;Table1[[#This Row],[Campo]]</f>
        <v>RESPONSIBILITY_PROCESS_RELREFERENCE_CODE</v>
      </c>
      <c r="I485" s="2" t="s">
        <v>612</v>
      </c>
      <c r="J485" s="42">
        <f>VLOOKUP(Table1[[#This Row],[Status]],Auxiliar!$B$16:$C$24,2,0)</f>
        <v>1</v>
      </c>
      <c r="K485" s="2" t="s">
        <v>1168</v>
      </c>
      <c r="L485" s="28" t="s">
        <v>1174</v>
      </c>
      <c r="M485" s="20" t="s">
        <v>1176</v>
      </c>
      <c r="N485" s="47">
        <v>45499</v>
      </c>
      <c r="O485" s="20">
        <f>INDEX(Auxiliar!$D$5:$F$13,MATCH(Table1[[#This Row],[Tipologia_Testes]],Auxiliar!$B$5:$B$13,0),MATCH(Table1[[#This Row],[Complexidade]],Auxiliar!$D$4:$F$4,0))</f>
        <v>4</v>
      </c>
      <c r="P485" s="2" t="s">
        <v>1188</v>
      </c>
      <c r="Q485" s="2" t="s">
        <v>1185</v>
      </c>
      <c r="R485" s="151">
        <v>45261</v>
      </c>
      <c r="S485" s="151">
        <v>45495</v>
      </c>
      <c r="T485" s="151"/>
      <c r="U485" s="151"/>
      <c r="V485" s="151"/>
      <c r="W485" s="2">
        <f>VLOOKUP(Table1[[#This Row],[Status]],Auxiliar!$B$16:$D$24,3,0)*Table1[[#This Row],[Estimação (horas)]]</f>
        <v>4</v>
      </c>
      <c r="X485" s="165">
        <f>+VLOOKUP(CONCATENATE(Table1[[#This Row],[Tabela]],Table1[[#This Row],[Campo]]),'2. Status Detalhe Campos FY24'!A:J,9,FALSE)</f>
        <v>0</v>
      </c>
      <c r="Y485" s="491" t="e">
        <f>+VLOOKUP(A485,#REF!,1,FALSE)</f>
        <v>#REF!</v>
      </c>
    </row>
    <row r="486" spans="1:25" ht="17.899999999999999" hidden="1" customHeight="1">
      <c r="A486" t="str">
        <f>+Table1[[#This Row],[Tabela]]&amp;Table1[[#This Row],[Campo]]</f>
        <v>RESPONSIBILITY_PROCESS_RELREFERENCE_CODE</v>
      </c>
      <c r="B486" s="2" t="s">
        <v>26</v>
      </c>
      <c r="C486" s="2" t="s">
        <v>54</v>
      </c>
      <c r="D486" s="2" t="s">
        <v>38</v>
      </c>
      <c r="E486" s="2" t="s">
        <v>38</v>
      </c>
      <c r="F486" s="2" t="s">
        <v>74</v>
      </c>
      <c r="G486" s="2" t="s">
        <v>78</v>
      </c>
      <c r="H486" s="56" t="str">
        <f>Table1[[#This Row],[Tabela]]&amp;Table1[[#This Row],[Campo]]</f>
        <v>RESPONSIBILITY_PROCESS_RELREFERENCE_CODE</v>
      </c>
      <c r="I486" s="2" t="s">
        <v>612</v>
      </c>
      <c r="J486" s="42">
        <f>VLOOKUP(Table1[[#This Row],[Status]],Auxiliar!$B$16:$C$24,2,0)</f>
        <v>1</v>
      </c>
      <c r="K486" s="2" t="s">
        <v>1169</v>
      </c>
      <c r="L486" s="28" t="s">
        <v>1174</v>
      </c>
      <c r="M486" s="20" t="s">
        <v>1176</v>
      </c>
      <c r="N486" s="47">
        <v>45499</v>
      </c>
      <c r="O486" s="20">
        <f>INDEX(Auxiliar!$D$5:$F$13,MATCH(Table1[[#This Row],[Tipologia_Testes]],Auxiliar!$B$5:$B$13,0),MATCH(Table1[[#This Row],[Complexidade]],Auxiliar!$D$4:$F$4,0))</f>
        <v>4</v>
      </c>
      <c r="P486" s="2" t="s">
        <v>1188</v>
      </c>
      <c r="Q486" s="2" t="s">
        <v>1185</v>
      </c>
      <c r="R486" s="151">
        <v>45261</v>
      </c>
      <c r="S486" s="151">
        <v>45495</v>
      </c>
      <c r="T486" s="151"/>
      <c r="U486" s="151"/>
      <c r="V486" s="151"/>
      <c r="W486" s="2">
        <f>VLOOKUP(Table1[[#This Row],[Status]],Auxiliar!$B$16:$D$24,3,0)*Table1[[#This Row],[Estimação (horas)]]</f>
        <v>4</v>
      </c>
      <c r="X486" s="165">
        <f>+VLOOKUP(CONCATENATE(Table1[[#This Row],[Tabela]],Table1[[#This Row],[Campo]]),'2. Status Detalhe Campos FY24'!A:J,9,FALSE)</f>
        <v>0</v>
      </c>
      <c r="Y486" s="491" t="e">
        <f>+VLOOKUP(A486,#REF!,1,FALSE)</f>
        <v>#REF!</v>
      </c>
    </row>
    <row r="487" spans="1:25" ht="17.899999999999999" hidden="1" customHeight="1">
      <c r="A487" t="str">
        <f>+Table1[[#This Row],[Tabela]]&amp;Table1[[#This Row],[Campo]]</f>
        <v>RESPONSIBILITY_PROCESS_RELREFERENCE_CODE</v>
      </c>
      <c r="B487" s="2" t="s">
        <v>26</v>
      </c>
      <c r="C487" s="2" t="s">
        <v>54</v>
      </c>
      <c r="D487" s="2" t="s">
        <v>38</v>
      </c>
      <c r="E487" s="2" t="s">
        <v>38</v>
      </c>
      <c r="F487" s="2" t="s">
        <v>74</v>
      </c>
      <c r="G487" s="2" t="s">
        <v>78</v>
      </c>
      <c r="H487" s="56" t="str">
        <f>Table1[[#This Row],[Tabela]]&amp;Table1[[#This Row],[Campo]]</f>
        <v>RESPONSIBILITY_PROCESS_RELREFERENCE_CODE</v>
      </c>
      <c r="I487" s="2" t="s">
        <v>612</v>
      </c>
      <c r="J487" s="42">
        <f>VLOOKUP(Table1[[#This Row],[Status]],Auxiliar!$B$16:$C$24,2,0)</f>
        <v>1</v>
      </c>
      <c r="K487" s="2" t="s">
        <v>1171</v>
      </c>
      <c r="L487" s="28" t="s">
        <v>1174</v>
      </c>
      <c r="M487" s="20" t="s">
        <v>1176</v>
      </c>
      <c r="N487" s="47">
        <v>45499</v>
      </c>
      <c r="O487" s="20">
        <f>INDEX(Auxiliar!$D$5:$F$13,MATCH(Table1[[#This Row],[Tipologia_Testes]],Auxiliar!$B$5:$B$13,0),MATCH(Table1[[#This Row],[Complexidade]],Auxiliar!$D$4:$F$4,0))</f>
        <v>0.1</v>
      </c>
      <c r="P487" s="2" t="s">
        <v>1188</v>
      </c>
      <c r="Q487" s="2" t="s">
        <v>1185</v>
      </c>
      <c r="R487" s="151">
        <v>45261</v>
      </c>
      <c r="S487" s="151">
        <v>45495</v>
      </c>
      <c r="T487" s="151"/>
      <c r="U487" s="151"/>
      <c r="V487" s="151"/>
      <c r="W487" s="2">
        <f>VLOOKUP(Table1[[#This Row],[Status]],Auxiliar!$B$16:$D$24,3,0)*Table1[[#This Row],[Estimação (horas)]]</f>
        <v>0.1</v>
      </c>
      <c r="X487" s="165">
        <f>+VLOOKUP(CONCATENATE(Table1[[#This Row],[Tabela]],Table1[[#This Row],[Campo]]),'2. Status Detalhe Campos FY24'!A:J,9,FALSE)</f>
        <v>0</v>
      </c>
      <c r="Y487" s="491" t="e">
        <f>+VLOOKUP(A487,#REF!,1,FALSE)</f>
        <v>#REF!</v>
      </c>
    </row>
    <row r="488" spans="1:25" ht="17.899999999999999" hidden="1" customHeight="1">
      <c r="A488" t="str">
        <f>+Table1[[#This Row],[Tabela]]&amp;Table1[[#This Row],[Campo]]</f>
        <v>RESPONSIBILITY_PROCESS_RELPURPOSE_CODE</v>
      </c>
      <c r="B488" s="2" t="s">
        <v>26</v>
      </c>
      <c r="C488" s="2" t="s">
        <v>54</v>
      </c>
      <c r="D488" s="2" t="s">
        <v>38</v>
      </c>
      <c r="E488" s="2" t="s">
        <v>38</v>
      </c>
      <c r="F488" s="2" t="s">
        <v>74</v>
      </c>
      <c r="G488" s="2" t="s">
        <v>79</v>
      </c>
      <c r="H488" s="56" t="str">
        <f>Table1[[#This Row],[Tabela]]&amp;Table1[[#This Row],[Campo]]</f>
        <v>RESPONSIBILITY_PROCESS_RELPURPOSE_CODE</v>
      </c>
      <c r="I488" s="2" t="s">
        <v>612</v>
      </c>
      <c r="J488" s="42">
        <f>VLOOKUP(Table1[[#This Row],[Status]],Auxiliar!$B$16:$C$24,2,0)</f>
        <v>1</v>
      </c>
      <c r="K488" s="2" t="s">
        <v>1168</v>
      </c>
      <c r="L488" s="28" t="s">
        <v>1174</v>
      </c>
      <c r="M488" s="20" t="s">
        <v>1176</v>
      </c>
      <c r="N488" s="47">
        <v>45485</v>
      </c>
      <c r="O488" s="20">
        <f>INDEX(Auxiliar!$D$5:$F$13,MATCH(Table1[[#This Row],[Tipologia_Testes]],Auxiliar!$B$5:$B$13,0),MATCH(Table1[[#This Row],[Complexidade]],Auxiliar!$D$4:$F$4,0))</f>
        <v>4</v>
      </c>
      <c r="P488" s="2"/>
      <c r="Q488" s="2"/>
      <c r="R488" s="151">
        <v>45261</v>
      </c>
      <c r="S488" s="151"/>
      <c r="T488" s="151"/>
      <c r="U488" s="151"/>
      <c r="V488" s="151"/>
      <c r="W488" s="2">
        <f>VLOOKUP(Table1[[#This Row],[Status]],Auxiliar!$B$16:$D$24,3,0)*Table1[[#This Row],[Estimação (horas)]]</f>
        <v>4</v>
      </c>
      <c r="X488" s="165">
        <f>+VLOOKUP(CONCATENATE(Table1[[#This Row],[Tabela]],Table1[[#This Row],[Campo]]),'2. Status Detalhe Campos FY24'!A:J,9,FALSE)</f>
        <v>0</v>
      </c>
      <c r="Y488" s="491" t="e">
        <f>+VLOOKUP(A488,#REF!,1,FALSE)</f>
        <v>#REF!</v>
      </c>
    </row>
    <row r="489" spans="1:25" ht="17.899999999999999" hidden="1" customHeight="1">
      <c r="A489" t="str">
        <f>+Table1[[#This Row],[Tabela]]&amp;Table1[[#This Row],[Campo]]</f>
        <v>RESPONSIBILITY_PROCESS_RELPURPOSE_CODE</v>
      </c>
      <c r="B489" s="2" t="s">
        <v>26</v>
      </c>
      <c r="C489" s="2" t="s">
        <v>54</v>
      </c>
      <c r="D489" s="2" t="s">
        <v>38</v>
      </c>
      <c r="E489" s="2" t="s">
        <v>38</v>
      </c>
      <c r="F489" s="2" t="s">
        <v>74</v>
      </c>
      <c r="G489" s="2" t="s">
        <v>79</v>
      </c>
      <c r="H489" s="56" t="str">
        <f>Table1[[#This Row],[Tabela]]&amp;Table1[[#This Row],[Campo]]</f>
        <v>RESPONSIBILITY_PROCESS_RELPURPOSE_CODE</v>
      </c>
      <c r="I489" s="2" t="s">
        <v>612</v>
      </c>
      <c r="J489" s="42">
        <f>VLOOKUP(Table1[[#This Row],[Status]],Auxiliar!$B$16:$C$24,2,0)</f>
        <v>1</v>
      </c>
      <c r="K489" s="2" t="s">
        <v>1169</v>
      </c>
      <c r="L489" s="28" t="s">
        <v>1174</v>
      </c>
      <c r="M489" s="20" t="s">
        <v>1176</v>
      </c>
      <c r="N489" s="47">
        <v>45485</v>
      </c>
      <c r="O489" s="20">
        <f>INDEX(Auxiliar!$D$5:$F$13,MATCH(Table1[[#This Row],[Tipologia_Testes]],Auxiliar!$B$5:$B$13,0),MATCH(Table1[[#This Row],[Complexidade]],Auxiliar!$D$4:$F$4,0))</f>
        <v>4</v>
      </c>
      <c r="P489" s="2"/>
      <c r="Q489" s="2"/>
      <c r="R489" s="151">
        <v>45261</v>
      </c>
      <c r="S489" s="151"/>
      <c r="T489" s="151"/>
      <c r="U489" s="151"/>
      <c r="V489" s="151"/>
      <c r="W489" s="2">
        <f>VLOOKUP(Table1[[#This Row],[Status]],Auxiliar!$B$16:$D$24,3,0)*Table1[[#This Row],[Estimação (horas)]]</f>
        <v>4</v>
      </c>
      <c r="X489" s="165">
        <f>+VLOOKUP(CONCATENATE(Table1[[#This Row],[Tabela]],Table1[[#This Row],[Campo]]),'2. Status Detalhe Campos FY24'!A:J,9,FALSE)</f>
        <v>0</v>
      </c>
      <c r="Y489" s="491" t="e">
        <f>+VLOOKUP(A489,#REF!,1,FALSE)</f>
        <v>#REF!</v>
      </c>
    </row>
    <row r="490" spans="1:25" ht="17.899999999999999" hidden="1" customHeight="1">
      <c r="A490" t="str">
        <f>+Table1[[#This Row],[Tabela]]&amp;Table1[[#This Row],[Campo]]</f>
        <v>RESPONSIBILITY_PROCESS_RELPURPOSE_CODE</v>
      </c>
      <c r="B490" s="2" t="s">
        <v>26</v>
      </c>
      <c r="C490" s="2" t="s">
        <v>54</v>
      </c>
      <c r="D490" s="2" t="s">
        <v>38</v>
      </c>
      <c r="E490" s="2" t="s">
        <v>38</v>
      </c>
      <c r="F490" s="2" t="s">
        <v>74</v>
      </c>
      <c r="G490" s="2" t="s">
        <v>79</v>
      </c>
      <c r="H490" s="56" t="str">
        <f>Table1[[#This Row],[Tabela]]&amp;Table1[[#This Row],[Campo]]</f>
        <v>RESPONSIBILITY_PROCESS_RELPURPOSE_CODE</v>
      </c>
      <c r="I490" s="2" t="s">
        <v>612</v>
      </c>
      <c r="J490" s="42">
        <f>VLOOKUP(Table1[[#This Row],[Status]],Auxiliar!$B$16:$C$24,2,0)</f>
        <v>1</v>
      </c>
      <c r="K490" s="2" t="s">
        <v>1171</v>
      </c>
      <c r="L490" s="28" t="s">
        <v>1174</v>
      </c>
      <c r="M490" s="20" t="s">
        <v>1176</v>
      </c>
      <c r="N490" s="47">
        <v>45485</v>
      </c>
      <c r="O490" s="20">
        <f>INDEX(Auxiliar!$D$5:$F$13,MATCH(Table1[[#This Row],[Tipologia_Testes]],Auxiliar!$B$5:$B$13,0),MATCH(Table1[[#This Row],[Complexidade]],Auxiliar!$D$4:$F$4,0))</f>
        <v>0.1</v>
      </c>
      <c r="P490" s="2"/>
      <c r="Q490" s="2"/>
      <c r="R490" s="151">
        <v>45261</v>
      </c>
      <c r="S490" s="151"/>
      <c r="T490" s="151"/>
      <c r="U490" s="151"/>
      <c r="V490" s="151"/>
      <c r="W490" s="2">
        <f>VLOOKUP(Table1[[#This Row],[Status]],Auxiliar!$B$16:$D$24,3,0)*Table1[[#This Row],[Estimação (horas)]]</f>
        <v>0.1</v>
      </c>
      <c r="X490" s="165">
        <f>+VLOOKUP(CONCATENATE(Table1[[#This Row],[Tabela]],Table1[[#This Row],[Campo]]),'2. Status Detalhe Campos FY24'!A:J,9,FALSE)</f>
        <v>0</v>
      </c>
      <c r="Y490" s="491" t="e">
        <f>+VLOOKUP(A490,#REF!,1,FALSE)</f>
        <v>#REF!</v>
      </c>
    </row>
    <row r="491" spans="1:25" ht="17.899999999999999" hidden="1" customHeight="1">
      <c r="A491" t="str">
        <f>+Table1[[#This Row],[Tabela]]&amp;Table1[[#This Row],[Campo]]</f>
        <v>RESPONSIBILITY_PROCESS_RELINDIVIDUAL_OCCUPATION_CODE</v>
      </c>
      <c r="B491" s="2" t="s">
        <v>26</v>
      </c>
      <c r="C491" s="2" t="s">
        <v>54</v>
      </c>
      <c r="D491" s="2" t="s">
        <v>38</v>
      </c>
      <c r="E491" s="2" t="s">
        <v>38</v>
      </c>
      <c r="F491" s="2" t="s">
        <v>74</v>
      </c>
      <c r="G491" s="2" t="s">
        <v>80</v>
      </c>
      <c r="H491" s="56" t="str">
        <f>Table1[[#This Row],[Tabela]]&amp;Table1[[#This Row],[Campo]]</f>
        <v>RESPONSIBILITY_PROCESS_RELINDIVIDUAL_OCCUPATION_CODE</v>
      </c>
      <c r="I491" s="2" t="s">
        <v>612</v>
      </c>
      <c r="J491" s="42">
        <f>VLOOKUP(Table1[[#This Row],[Status]],Auxiliar!$B$16:$C$24,2,0)</f>
        <v>1</v>
      </c>
      <c r="K491" s="2" t="s">
        <v>1168</v>
      </c>
      <c r="L491" s="28" t="s">
        <v>1174</v>
      </c>
      <c r="M491" s="20" t="s">
        <v>1176</v>
      </c>
      <c r="N491" s="47">
        <v>45485</v>
      </c>
      <c r="O491" s="20">
        <f>INDEX(Auxiliar!$D$5:$F$13,MATCH(Table1[[#This Row],[Tipologia_Testes]],Auxiliar!$B$5:$B$13,0),MATCH(Table1[[#This Row],[Complexidade]],Auxiliar!$D$4:$F$4,0))</f>
        <v>4</v>
      </c>
      <c r="P491" s="2"/>
      <c r="Q491" s="2"/>
      <c r="R491" s="151">
        <v>45261</v>
      </c>
      <c r="S491" s="151"/>
      <c r="T491" s="151"/>
      <c r="U491" s="151"/>
      <c r="V491" s="151"/>
      <c r="W491" s="2">
        <f>VLOOKUP(Table1[[#This Row],[Status]],Auxiliar!$B$16:$D$24,3,0)*Table1[[#This Row],[Estimação (horas)]]</f>
        <v>4</v>
      </c>
      <c r="X491" s="165">
        <f>+VLOOKUP(CONCATENATE(Table1[[#This Row],[Tabela]],Table1[[#This Row],[Campo]]),'2. Status Detalhe Campos FY24'!A:J,9,FALSE)</f>
        <v>0</v>
      </c>
      <c r="Y491" s="491" t="e">
        <f>+VLOOKUP(A491,#REF!,1,FALSE)</f>
        <v>#REF!</v>
      </c>
    </row>
    <row r="492" spans="1:25" ht="17.899999999999999" hidden="1" customHeight="1">
      <c r="A492" t="str">
        <f>+Table1[[#This Row],[Tabela]]&amp;Table1[[#This Row],[Campo]]</f>
        <v>RESPONSIBILITY_PROCESS_RELINDIVIDUAL_OCCUPATION_CODE</v>
      </c>
      <c r="B492" s="2" t="s">
        <v>26</v>
      </c>
      <c r="C492" s="2" t="s">
        <v>54</v>
      </c>
      <c r="D492" s="2" t="s">
        <v>38</v>
      </c>
      <c r="E492" s="2" t="s">
        <v>38</v>
      </c>
      <c r="F492" s="2" t="s">
        <v>74</v>
      </c>
      <c r="G492" s="2" t="s">
        <v>80</v>
      </c>
      <c r="H492" s="56" t="str">
        <f>Table1[[#This Row],[Tabela]]&amp;Table1[[#This Row],[Campo]]</f>
        <v>RESPONSIBILITY_PROCESS_RELINDIVIDUAL_OCCUPATION_CODE</v>
      </c>
      <c r="I492" s="2" t="s">
        <v>612</v>
      </c>
      <c r="J492" s="42">
        <f>VLOOKUP(Table1[[#This Row],[Status]],Auxiliar!$B$16:$C$24,2,0)</f>
        <v>1</v>
      </c>
      <c r="K492" s="2" t="s">
        <v>1169</v>
      </c>
      <c r="L492" s="28" t="s">
        <v>1174</v>
      </c>
      <c r="M492" s="20" t="s">
        <v>1176</v>
      </c>
      <c r="N492" s="47">
        <v>45485</v>
      </c>
      <c r="O492" s="20">
        <f>INDEX(Auxiliar!$D$5:$F$13,MATCH(Table1[[#This Row],[Tipologia_Testes]],Auxiliar!$B$5:$B$13,0),MATCH(Table1[[#This Row],[Complexidade]],Auxiliar!$D$4:$F$4,0))</f>
        <v>4</v>
      </c>
      <c r="P492" s="2"/>
      <c r="Q492" s="2"/>
      <c r="R492" s="151">
        <v>45261</v>
      </c>
      <c r="S492" s="151"/>
      <c r="T492" s="151"/>
      <c r="U492" s="151"/>
      <c r="V492" s="151"/>
      <c r="W492" s="2">
        <f>VLOOKUP(Table1[[#This Row],[Status]],Auxiliar!$B$16:$D$24,3,0)*Table1[[#This Row],[Estimação (horas)]]</f>
        <v>4</v>
      </c>
      <c r="X492" s="165">
        <f>+VLOOKUP(CONCATENATE(Table1[[#This Row],[Tabela]],Table1[[#This Row],[Campo]]),'2. Status Detalhe Campos FY24'!A:J,9,FALSE)</f>
        <v>0</v>
      </c>
      <c r="Y492" s="491" t="e">
        <f>+VLOOKUP(A492,#REF!,1,FALSE)</f>
        <v>#REF!</v>
      </c>
    </row>
    <row r="493" spans="1:25" ht="17.899999999999999" hidden="1" customHeight="1">
      <c r="A493" t="str">
        <f>+Table1[[#This Row],[Tabela]]&amp;Table1[[#This Row],[Campo]]</f>
        <v>RESPONSIBILITY_PROCESS_RELINDIVIDUAL_OCCUPATION_CODE</v>
      </c>
      <c r="B493" s="2" t="s">
        <v>26</v>
      </c>
      <c r="C493" s="2" t="s">
        <v>54</v>
      </c>
      <c r="D493" s="2" t="s">
        <v>38</v>
      </c>
      <c r="E493" s="2" t="s">
        <v>38</v>
      </c>
      <c r="F493" s="2" t="s">
        <v>74</v>
      </c>
      <c r="G493" s="2" t="s">
        <v>80</v>
      </c>
      <c r="H493" s="56" t="str">
        <f>Table1[[#This Row],[Tabela]]&amp;Table1[[#This Row],[Campo]]</f>
        <v>RESPONSIBILITY_PROCESS_RELINDIVIDUAL_OCCUPATION_CODE</v>
      </c>
      <c r="I493" s="2" t="s">
        <v>612</v>
      </c>
      <c r="J493" s="42">
        <f>VLOOKUP(Table1[[#This Row],[Status]],Auxiliar!$B$16:$C$24,2,0)</f>
        <v>1</v>
      </c>
      <c r="K493" s="2" t="s">
        <v>1171</v>
      </c>
      <c r="L493" s="28" t="s">
        <v>1174</v>
      </c>
      <c r="M493" s="20" t="s">
        <v>1176</v>
      </c>
      <c r="N493" s="47">
        <v>45485</v>
      </c>
      <c r="O493" s="20">
        <f>INDEX(Auxiliar!$D$5:$F$13,MATCH(Table1[[#This Row],[Tipologia_Testes]],Auxiliar!$B$5:$B$13,0),MATCH(Table1[[#This Row],[Complexidade]],Auxiliar!$D$4:$F$4,0))</f>
        <v>0.1</v>
      </c>
      <c r="P493" s="2"/>
      <c r="Q493" s="2"/>
      <c r="R493" s="151">
        <v>45261</v>
      </c>
      <c r="S493" s="151"/>
      <c r="T493" s="151"/>
      <c r="U493" s="151"/>
      <c r="V493" s="151"/>
      <c r="W493" s="2">
        <f>VLOOKUP(Table1[[#This Row],[Status]],Auxiliar!$B$16:$D$24,3,0)*Table1[[#This Row],[Estimação (horas)]]</f>
        <v>0.1</v>
      </c>
      <c r="X493" s="165">
        <f>+VLOOKUP(CONCATENATE(Table1[[#This Row],[Tabela]],Table1[[#This Row],[Campo]]),'2. Status Detalhe Campos FY24'!A:J,9,FALSE)</f>
        <v>0</v>
      </c>
      <c r="Y493" s="491" t="e">
        <f>+VLOOKUP(A493,#REF!,1,FALSE)</f>
        <v>#REF!</v>
      </c>
    </row>
    <row r="494" spans="1:25" ht="17.899999999999999" hidden="1" customHeight="1">
      <c r="A494" t="str">
        <f>+Table1[[#This Row],[Tabela]]&amp;Table1[[#This Row],[Campo]]</f>
        <v>RESPONSIBILITY_PROCESS_RELPRODUCT_ID</v>
      </c>
      <c r="B494" s="2" t="s">
        <v>26</v>
      </c>
      <c r="C494" s="2" t="s">
        <v>54</v>
      </c>
      <c r="D494" s="2" t="s">
        <v>38</v>
      </c>
      <c r="E494" s="2" t="s">
        <v>38</v>
      </c>
      <c r="F494" s="2" t="s">
        <v>74</v>
      </c>
      <c r="G494" s="2" t="s">
        <v>81</v>
      </c>
      <c r="H494" s="56" t="str">
        <f>Table1[[#This Row],[Tabela]]&amp;Table1[[#This Row],[Campo]]</f>
        <v>RESPONSIBILITY_PROCESS_RELPRODUCT_ID</v>
      </c>
      <c r="I494" s="2" t="s">
        <v>612</v>
      </c>
      <c r="J494" s="42">
        <f>VLOOKUP(Table1[[#This Row],[Status]],Auxiliar!$B$16:$C$24,2,0)</f>
        <v>1</v>
      </c>
      <c r="K494" s="2" t="s">
        <v>1168</v>
      </c>
      <c r="L494" s="28" t="s">
        <v>1174</v>
      </c>
      <c r="M494" s="20" t="s">
        <v>1176</v>
      </c>
      <c r="N494" s="47">
        <v>45485</v>
      </c>
      <c r="O494" s="20">
        <f>INDEX(Auxiliar!$D$5:$F$13,MATCH(Table1[[#This Row],[Tipologia_Testes]],Auxiliar!$B$5:$B$13,0),MATCH(Table1[[#This Row],[Complexidade]],Auxiliar!$D$4:$F$4,0))</f>
        <v>4</v>
      </c>
      <c r="P494" s="2"/>
      <c r="Q494" s="2"/>
      <c r="R494" s="151">
        <v>45261</v>
      </c>
      <c r="S494" s="151"/>
      <c r="T494" s="151"/>
      <c r="U494" s="151"/>
      <c r="V494" s="151"/>
      <c r="W494" s="2">
        <f>VLOOKUP(Table1[[#This Row],[Status]],Auxiliar!$B$16:$D$24,3,0)*Table1[[#This Row],[Estimação (horas)]]</f>
        <v>4</v>
      </c>
      <c r="X494" s="165">
        <f>+VLOOKUP(CONCATENATE(Table1[[#This Row],[Tabela]],Table1[[#This Row],[Campo]]),'2. Status Detalhe Campos FY24'!A:J,9,FALSE)</f>
        <v>0</v>
      </c>
      <c r="Y494" s="491" t="e">
        <f>+VLOOKUP(A494,#REF!,1,FALSE)</f>
        <v>#REF!</v>
      </c>
    </row>
    <row r="495" spans="1:25" ht="17.899999999999999" hidden="1" customHeight="1">
      <c r="A495" t="str">
        <f>+Table1[[#This Row],[Tabela]]&amp;Table1[[#This Row],[Campo]]</f>
        <v>RESPONSIBILITY_PROCESS_RELPRODUCT_ID</v>
      </c>
      <c r="B495" s="2" t="s">
        <v>26</v>
      </c>
      <c r="C495" s="2" t="s">
        <v>54</v>
      </c>
      <c r="D495" s="2" t="s">
        <v>38</v>
      </c>
      <c r="E495" s="2" t="s">
        <v>38</v>
      </c>
      <c r="F495" s="2" t="s">
        <v>74</v>
      </c>
      <c r="G495" s="2" t="s">
        <v>81</v>
      </c>
      <c r="H495" s="56" t="str">
        <f>Table1[[#This Row],[Tabela]]&amp;Table1[[#This Row],[Campo]]</f>
        <v>RESPONSIBILITY_PROCESS_RELPRODUCT_ID</v>
      </c>
      <c r="I495" s="2" t="s">
        <v>612</v>
      </c>
      <c r="J495" s="42">
        <f>VLOOKUP(Table1[[#This Row],[Status]],Auxiliar!$B$16:$C$24,2,0)</f>
        <v>1</v>
      </c>
      <c r="K495" s="2" t="s">
        <v>1169</v>
      </c>
      <c r="L495" s="28" t="s">
        <v>1174</v>
      </c>
      <c r="M495" s="20" t="s">
        <v>1176</v>
      </c>
      <c r="N495" s="47">
        <v>45485</v>
      </c>
      <c r="O495" s="20">
        <f>INDEX(Auxiliar!$D$5:$F$13,MATCH(Table1[[#This Row],[Tipologia_Testes]],Auxiliar!$B$5:$B$13,0),MATCH(Table1[[#This Row],[Complexidade]],Auxiliar!$D$4:$F$4,0))</f>
        <v>4</v>
      </c>
      <c r="P495" s="2"/>
      <c r="Q495" s="2"/>
      <c r="R495" s="151">
        <v>45261</v>
      </c>
      <c r="S495" s="151"/>
      <c r="T495" s="151"/>
      <c r="U495" s="151"/>
      <c r="V495" s="151"/>
      <c r="W495" s="2">
        <f>VLOOKUP(Table1[[#This Row],[Status]],Auxiliar!$B$16:$D$24,3,0)*Table1[[#This Row],[Estimação (horas)]]</f>
        <v>4</v>
      </c>
      <c r="X495" s="165">
        <f>+VLOOKUP(CONCATENATE(Table1[[#This Row],[Tabela]],Table1[[#This Row],[Campo]]),'2. Status Detalhe Campos FY24'!A:J,9,FALSE)</f>
        <v>0</v>
      </c>
      <c r="Y495" s="491" t="e">
        <f>+VLOOKUP(A495,#REF!,1,FALSE)</f>
        <v>#REF!</v>
      </c>
    </row>
    <row r="496" spans="1:25" ht="17.899999999999999" hidden="1" customHeight="1">
      <c r="A496" t="str">
        <f>+Table1[[#This Row],[Tabela]]&amp;Table1[[#This Row],[Campo]]</f>
        <v>RESPONSIBILITY_PROCESS_RELPRODUCT_ID</v>
      </c>
      <c r="B496" s="2" t="s">
        <v>26</v>
      </c>
      <c r="C496" s="2" t="s">
        <v>54</v>
      </c>
      <c r="D496" s="2" t="s">
        <v>38</v>
      </c>
      <c r="E496" s="2" t="s">
        <v>38</v>
      </c>
      <c r="F496" s="2" t="s">
        <v>74</v>
      </c>
      <c r="G496" s="2" t="s">
        <v>81</v>
      </c>
      <c r="H496" s="56" t="str">
        <f>Table1[[#This Row],[Tabela]]&amp;Table1[[#This Row],[Campo]]</f>
        <v>RESPONSIBILITY_PROCESS_RELPRODUCT_ID</v>
      </c>
      <c r="I496" s="2" t="s">
        <v>612</v>
      </c>
      <c r="J496" s="42">
        <f>VLOOKUP(Table1[[#This Row],[Status]],Auxiliar!$B$16:$C$24,2,0)</f>
        <v>1</v>
      </c>
      <c r="K496" s="2" t="s">
        <v>1171</v>
      </c>
      <c r="L496" s="28" t="s">
        <v>1174</v>
      </c>
      <c r="M496" s="20" t="s">
        <v>1176</v>
      </c>
      <c r="N496" s="47">
        <v>45485</v>
      </c>
      <c r="O496" s="20">
        <f>INDEX(Auxiliar!$D$5:$F$13,MATCH(Table1[[#This Row],[Tipologia_Testes]],Auxiliar!$B$5:$B$13,0),MATCH(Table1[[#This Row],[Complexidade]],Auxiliar!$D$4:$F$4,0))</f>
        <v>0.1</v>
      </c>
      <c r="P496" s="2"/>
      <c r="Q496" s="2"/>
      <c r="R496" s="151">
        <v>45261</v>
      </c>
      <c r="S496" s="151"/>
      <c r="T496" s="151"/>
      <c r="U496" s="151"/>
      <c r="V496" s="151"/>
      <c r="W496" s="2">
        <f>VLOOKUP(Table1[[#This Row],[Status]],Auxiliar!$B$16:$D$24,3,0)*Table1[[#This Row],[Estimação (horas)]]</f>
        <v>0.1</v>
      </c>
      <c r="X496" s="165">
        <f>+VLOOKUP(CONCATENATE(Table1[[#This Row],[Tabela]],Table1[[#This Row],[Campo]]),'2. Status Detalhe Campos FY24'!A:J,9,FALSE)</f>
        <v>0</v>
      </c>
      <c r="Y496" s="491" t="e">
        <f>+VLOOKUP(A496,#REF!,1,FALSE)</f>
        <v>#REF!</v>
      </c>
    </row>
    <row r="497" spans="1:25" ht="17.899999999999999" hidden="1" customHeight="1">
      <c r="A497" t="str">
        <f>+Table1[[#This Row],[Tabela]]&amp;Table1[[#This Row],[Campo]]</f>
        <v>RESPONSIBILITY_PROCESS_RELcod_sit</v>
      </c>
      <c r="B497" s="2" t="s">
        <v>26</v>
      </c>
      <c r="C497" s="2" t="s">
        <v>54</v>
      </c>
      <c r="D497" s="2" t="s">
        <v>38</v>
      </c>
      <c r="E497" s="2" t="s">
        <v>38</v>
      </c>
      <c r="F497" s="2" t="s">
        <v>74</v>
      </c>
      <c r="G497" s="2" t="s">
        <v>82</v>
      </c>
      <c r="H497" s="56" t="str">
        <f>Table1[[#This Row],[Tabela]]&amp;Table1[[#This Row],[Campo]]</f>
        <v>RESPONSIBILITY_PROCESS_RELcod_sit</v>
      </c>
      <c r="I497" s="2" t="s">
        <v>611</v>
      </c>
      <c r="J497" s="42">
        <f>VLOOKUP(Table1[[#This Row],[Status]],Auxiliar!$B$16:$C$24,2,0)</f>
        <v>0</v>
      </c>
      <c r="K497" s="2" t="s">
        <v>1168</v>
      </c>
      <c r="L497" s="28" t="s">
        <v>1186</v>
      </c>
      <c r="M497" s="20" t="s">
        <v>1176</v>
      </c>
      <c r="N497" s="47">
        <v>45485</v>
      </c>
      <c r="O497" s="20">
        <f>INDEX(Auxiliar!$D$5:$F$13,MATCH(Table1[[#This Row],[Tipologia_Testes]],Auxiliar!$B$5:$B$13,0),MATCH(Table1[[#This Row],[Complexidade]],Auxiliar!$D$4:$F$4,0))</f>
        <v>4</v>
      </c>
      <c r="P497" s="2" t="s">
        <v>1194</v>
      </c>
      <c r="Q497" s="2"/>
      <c r="R497" s="151">
        <v>45425</v>
      </c>
      <c r="S497" s="151"/>
      <c r="T497" s="151"/>
      <c r="U497" s="151"/>
      <c r="V497" s="151"/>
      <c r="W497" s="2">
        <f>VLOOKUP(Table1[[#This Row],[Status]],Auxiliar!$B$16:$D$24,3,0)*Table1[[#This Row],[Estimação (horas)]]</f>
        <v>0</v>
      </c>
      <c r="X497" s="165">
        <f>+VLOOKUP(CONCATENATE(Table1[[#This Row],[Tabela]],Table1[[#This Row],[Campo]]),'2. Status Detalhe Campos FY24'!A:J,9,FALSE)</f>
        <v>0</v>
      </c>
      <c r="Y497" s="491" t="e">
        <f>+VLOOKUP(A497,#REF!,1,FALSE)</f>
        <v>#REF!</v>
      </c>
    </row>
    <row r="498" spans="1:25" ht="17.899999999999999" hidden="1" customHeight="1">
      <c r="A498" t="str">
        <f>+Table1[[#This Row],[Tabela]]&amp;Table1[[#This Row],[Campo]]</f>
        <v>RESPONSIBILITY_PROCESS_RELSUBPRODUCT_ID</v>
      </c>
      <c r="B498" s="2" t="s">
        <v>26</v>
      </c>
      <c r="C498" s="2" t="s">
        <v>54</v>
      </c>
      <c r="D498" s="2" t="s">
        <v>38</v>
      </c>
      <c r="E498" s="2" t="s">
        <v>38</v>
      </c>
      <c r="F498" s="2" t="s">
        <v>74</v>
      </c>
      <c r="G498" s="2" t="s">
        <v>83</v>
      </c>
      <c r="H498" s="56" t="str">
        <f>Table1[[#This Row],[Tabela]]&amp;Table1[[#This Row],[Campo]]</f>
        <v>RESPONSIBILITY_PROCESS_RELSUBPRODUCT_ID</v>
      </c>
      <c r="I498" s="2" t="s">
        <v>612</v>
      </c>
      <c r="J498" s="42">
        <f>VLOOKUP(Table1[[#This Row],[Status]],Auxiliar!$B$16:$C$24,2,0)</f>
        <v>1</v>
      </c>
      <c r="K498" s="2" t="s">
        <v>1168</v>
      </c>
      <c r="L498" s="28" t="s">
        <v>1174</v>
      </c>
      <c r="M498" s="20" t="s">
        <v>1176</v>
      </c>
      <c r="N498" s="47">
        <v>45485</v>
      </c>
      <c r="O498" s="20">
        <f>INDEX(Auxiliar!$D$5:$F$13,MATCH(Table1[[#This Row],[Tipologia_Testes]],Auxiliar!$B$5:$B$13,0),MATCH(Table1[[#This Row],[Complexidade]],Auxiliar!$D$4:$F$4,0))</f>
        <v>4</v>
      </c>
      <c r="P498" s="2"/>
      <c r="Q498" s="2"/>
      <c r="R498" s="151">
        <v>45261</v>
      </c>
      <c r="S498" s="151"/>
      <c r="T498" s="151"/>
      <c r="U498" s="151"/>
      <c r="V498" s="151"/>
      <c r="W498" s="2">
        <f>VLOOKUP(Table1[[#This Row],[Status]],Auxiliar!$B$16:$D$24,3,0)*Table1[[#This Row],[Estimação (horas)]]</f>
        <v>4</v>
      </c>
      <c r="X498" s="165">
        <f>+VLOOKUP(CONCATENATE(Table1[[#This Row],[Tabela]],Table1[[#This Row],[Campo]]),'2. Status Detalhe Campos FY24'!A:J,9,FALSE)</f>
        <v>0</v>
      </c>
      <c r="Y498" s="491" t="e">
        <f>+VLOOKUP(A498,#REF!,1,FALSE)</f>
        <v>#REF!</v>
      </c>
    </row>
    <row r="499" spans="1:25" ht="17.899999999999999" hidden="1" customHeight="1">
      <c r="A499" t="str">
        <f>+Table1[[#This Row],[Tabela]]&amp;Table1[[#This Row],[Campo]]</f>
        <v>RESPONSIBILITY_PROCESS_RELSUBPRODUCT_ID</v>
      </c>
      <c r="B499" s="2" t="s">
        <v>26</v>
      </c>
      <c r="C499" s="2" t="s">
        <v>54</v>
      </c>
      <c r="D499" s="2" t="s">
        <v>38</v>
      </c>
      <c r="E499" s="2" t="s">
        <v>38</v>
      </c>
      <c r="F499" s="2" t="s">
        <v>74</v>
      </c>
      <c r="G499" s="2" t="s">
        <v>83</v>
      </c>
      <c r="H499" s="56" t="str">
        <f>Table1[[#This Row],[Tabela]]&amp;Table1[[#This Row],[Campo]]</f>
        <v>RESPONSIBILITY_PROCESS_RELSUBPRODUCT_ID</v>
      </c>
      <c r="I499" s="2" t="s">
        <v>612</v>
      </c>
      <c r="J499" s="42">
        <f>VLOOKUP(Table1[[#This Row],[Status]],Auxiliar!$B$16:$C$24,2,0)</f>
        <v>1</v>
      </c>
      <c r="K499" s="2" t="s">
        <v>1169</v>
      </c>
      <c r="L499" s="28" t="s">
        <v>1174</v>
      </c>
      <c r="M499" s="20" t="s">
        <v>1176</v>
      </c>
      <c r="N499" s="47">
        <v>45485</v>
      </c>
      <c r="O499" s="20">
        <f>INDEX(Auxiliar!$D$5:$F$13,MATCH(Table1[[#This Row],[Tipologia_Testes]],Auxiliar!$B$5:$B$13,0),MATCH(Table1[[#This Row],[Complexidade]],Auxiliar!$D$4:$F$4,0))</f>
        <v>4</v>
      </c>
      <c r="P499" s="2"/>
      <c r="Q499" s="2"/>
      <c r="R499" s="151">
        <v>45261</v>
      </c>
      <c r="S499" s="151"/>
      <c r="T499" s="151"/>
      <c r="U499" s="151"/>
      <c r="V499" s="151"/>
      <c r="W499" s="2">
        <f>VLOOKUP(Table1[[#This Row],[Status]],Auxiliar!$B$16:$D$24,3,0)*Table1[[#This Row],[Estimação (horas)]]</f>
        <v>4</v>
      </c>
      <c r="X499" s="165">
        <f>+VLOOKUP(CONCATENATE(Table1[[#This Row],[Tabela]],Table1[[#This Row],[Campo]]),'2. Status Detalhe Campos FY24'!A:J,9,FALSE)</f>
        <v>0</v>
      </c>
      <c r="Y499" s="491" t="e">
        <f>+VLOOKUP(A499,#REF!,1,FALSE)</f>
        <v>#REF!</v>
      </c>
    </row>
    <row r="500" spans="1:25" ht="17.899999999999999" hidden="1" customHeight="1">
      <c r="A500" t="str">
        <f>+Table1[[#This Row],[Tabela]]&amp;Table1[[#This Row],[Campo]]</f>
        <v>RESPONSIBILITY_PROCESS_RELSUBPRODUCT_ID</v>
      </c>
      <c r="B500" s="2" t="s">
        <v>26</v>
      </c>
      <c r="C500" s="2" t="s">
        <v>54</v>
      </c>
      <c r="D500" s="2" t="s">
        <v>38</v>
      </c>
      <c r="E500" s="2" t="s">
        <v>38</v>
      </c>
      <c r="F500" s="2" t="s">
        <v>74</v>
      </c>
      <c r="G500" s="2" t="s">
        <v>83</v>
      </c>
      <c r="H500" s="56" t="str">
        <f>Table1[[#This Row],[Tabela]]&amp;Table1[[#This Row],[Campo]]</f>
        <v>RESPONSIBILITY_PROCESS_RELSUBPRODUCT_ID</v>
      </c>
      <c r="I500" s="2" t="s">
        <v>612</v>
      </c>
      <c r="J500" s="42">
        <f>VLOOKUP(Table1[[#This Row],[Status]],Auxiliar!$B$16:$C$24,2,0)</f>
        <v>1</v>
      </c>
      <c r="K500" s="2" t="s">
        <v>1171</v>
      </c>
      <c r="L500" s="28" t="s">
        <v>1174</v>
      </c>
      <c r="M500" s="20" t="s">
        <v>1176</v>
      </c>
      <c r="N500" s="47">
        <v>45485</v>
      </c>
      <c r="O500" s="20">
        <f>INDEX(Auxiliar!$D$5:$F$13,MATCH(Table1[[#This Row],[Tipologia_Testes]],Auxiliar!$B$5:$B$13,0),MATCH(Table1[[#This Row],[Complexidade]],Auxiliar!$D$4:$F$4,0))</f>
        <v>0.1</v>
      </c>
      <c r="P500" s="2"/>
      <c r="Q500" s="2"/>
      <c r="R500" s="151">
        <v>45261</v>
      </c>
      <c r="S500" s="151"/>
      <c r="T500" s="151"/>
      <c r="U500" s="151"/>
      <c r="V500" s="151"/>
      <c r="W500" s="2">
        <f>VLOOKUP(Table1[[#This Row],[Status]],Auxiliar!$B$16:$D$24,3,0)*Table1[[#This Row],[Estimação (horas)]]</f>
        <v>0.1</v>
      </c>
      <c r="X500" s="165">
        <f>+VLOOKUP(CONCATENATE(Table1[[#This Row],[Tabela]],Table1[[#This Row],[Campo]]),'2. Status Detalhe Campos FY24'!A:J,9,FALSE)</f>
        <v>0</v>
      </c>
      <c r="Y500" s="491" t="e">
        <f>+VLOOKUP(A500,#REF!,1,FALSE)</f>
        <v>#REF!</v>
      </c>
    </row>
    <row r="501" spans="1:25" ht="17.899999999999999" hidden="1" customHeight="1">
      <c r="A501" t="str">
        <f>+Table1[[#This Row],[Tabela]]&amp;Table1[[#This Row],[Campo]]</f>
        <v>RESPONSIBILITY_PROCESS_RELPROCESS_REFERENCE_CODE</v>
      </c>
      <c r="B501" s="2" t="s">
        <v>26</v>
      </c>
      <c r="C501" s="2" t="s">
        <v>54</v>
      </c>
      <c r="D501" s="2" t="s">
        <v>38</v>
      </c>
      <c r="E501" s="2" t="s">
        <v>38</v>
      </c>
      <c r="F501" s="2" t="s">
        <v>74</v>
      </c>
      <c r="G501" s="2" t="s">
        <v>67</v>
      </c>
      <c r="H501" s="56" t="str">
        <f>Table1[[#This Row],[Tabela]]&amp;Table1[[#This Row],[Campo]]</f>
        <v>RESPONSIBILITY_PROCESS_RELPROCESS_REFERENCE_CODE</v>
      </c>
      <c r="I501" s="2" t="s">
        <v>612</v>
      </c>
      <c r="J501" s="42">
        <f>VLOOKUP(Table1[[#This Row],[Status]],Auxiliar!$B$16:$C$24,2,0)</f>
        <v>1</v>
      </c>
      <c r="K501" s="2" t="s">
        <v>1168</v>
      </c>
      <c r="L501" s="28" t="s">
        <v>1166</v>
      </c>
      <c r="M501" s="20" t="s">
        <v>1176</v>
      </c>
      <c r="N501" s="47">
        <v>45512</v>
      </c>
      <c r="O501" s="20">
        <f>INDEX(Auxiliar!$D$5:$F$13,MATCH(Table1[[#This Row],[Tipologia_Testes]],Auxiliar!$B$5:$B$13,0),MATCH(Table1[[#This Row],[Complexidade]],Auxiliar!$D$4:$F$4,0))</f>
        <v>4</v>
      </c>
      <c r="P501" s="2" t="s">
        <v>1196</v>
      </c>
      <c r="Q501" s="2"/>
      <c r="R501" s="151">
        <v>45261</v>
      </c>
      <c r="S501" s="151"/>
      <c r="T501" s="151"/>
      <c r="U501" s="151"/>
      <c r="V501" s="151"/>
      <c r="W501" s="2">
        <f>VLOOKUP(Table1[[#This Row],[Status]],Auxiliar!$B$16:$D$24,3,0)*Table1[[#This Row],[Estimação (horas)]]</f>
        <v>4</v>
      </c>
      <c r="X501" s="165">
        <f>+VLOOKUP(CONCATENATE(Table1[[#This Row],[Tabela]],Table1[[#This Row],[Campo]]),'2. Status Detalhe Campos FY24'!A:J,9,FALSE)</f>
        <v>0</v>
      </c>
      <c r="Y501" s="491" t="e">
        <f>+VLOOKUP(A501,#REF!,1,FALSE)</f>
        <v>#REF!</v>
      </c>
    </row>
    <row r="502" spans="1:25" ht="17.899999999999999" hidden="1" customHeight="1">
      <c r="A502" t="str">
        <f>+Table1[[#This Row],[Tabela]]&amp;Table1[[#This Row],[Campo]]</f>
        <v>RESPONSIBILITY_PROCESS_RELPROCESS_REFERENCE_CODE</v>
      </c>
      <c r="B502" s="2" t="s">
        <v>26</v>
      </c>
      <c r="C502" s="2" t="s">
        <v>54</v>
      </c>
      <c r="D502" s="2" t="s">
        <v>38</v>
      </c>
      <c r="E502" s="2" t="s">
        <v>38</v>
      </c>
      <c r="F502" s="2" t="s">
        <v>74</v>
      </c>
      <c r="G502" s="2" t="s">
        <v>67</v>
      </c>
      <c r="H502" s="56" t="str">
        <f>Table1[[#This Row],[Tabela]]&amp;Table1[[#This Row],[Campo]]</f>
        <v>RESPONSIBILITY_PROCESS_RELPROCESS_REFERENCE_CODE</v>
      </c>
      <c r="I502" s="2" t="s">
        <v>612</v>
      </c>
      <c r="J502" s="42">
        <f>VLOOKUP(Table1[[#This Row],[Status]],Auxiliar!$B$16:$C$24,2,0)</f>
        <v>1</v>
      </c>
      <c r="K502" s="2" t="s">
        <v>1169</v>
      </c>
      <c r="L502" s="28" t="s">
        <v>1166</v>
      </c>
      <c r="M502" s="20" t="s">
        <v>1176</v>
      </c>
      <c r="N502" s="47">
        <v>45512</v>
      </c>
      <c r="O502" s="20">
        <f>INDEX(Auxiliar!$D$5:$F$13,MATCH(Table1[[#This Row],[Tipologia_Testes]],Auxiliar!$B$5:$B$13,0),MATCH(Table1[[#This Row],[Complexidade]],Auxiliar!$D$4:$F$4,0))</f>
        <v>4</v>
      </c>
      <c r="P502" s="2" t="s">
        <v>1196</v>
      </c>
      <c r="Q502" s="2"/>
      <c r="R502" s="151">
        <v>45261</v>
      </c>
      <c r="S502" s="151"/>
      <c r="T502" s="151"/>
      <c r="U502" s="151"/>
      <c r="V502" s="151"/>
      <c r="W502" s="2">
        <f>VLOOKUP(Table1[[#This Row],[Status]],Auxiliar!$B$16:$D$24,3,0)*Table1[[#This Row],[Estimação (horas)]]</f>
        <v>4</v>
      </c>
      <c r="X502" s="165">
        <f>+VLOOKUP(CONCATENATE(Table1[[#This Row],[Tabela]],Table1[[#This Row],[Campo]]),'2. Status Detalhe Campos FY24'!A:J,9,FALSE)</f>
        <v>0</v>
      </c>
      <c r="Y502" s="491" t="e">
        <f>+VLOOKUP(A502,#REF!,1,FALSE)</f>
        <v>#REF!</v>
      </c>
    </row>
    <row r="503" spans="1:25" ht="17.899999999999999" hidden="1" customHeight="1">
      <c r="A503" t="str">
        <f>+Table1[[#This Row],[Tabela]]&amp;Table1[[#This Row],[Campo]]</f>
        <v>RESPONSIBILITY_PROCESS_RELPROCESS_REFERENCE_CODE</v>
      </c>
      <c r="B503" s="2" t="s">
        <v>26</v>
      </c>
      <c r="C503" s="2" t="s">
        <v>54</v>
      </c>
      <c r="D503" s="2" t="s">
        <v>38</v>
      </c>
      <c r="E503" s="2" t="s">
        <v>38</v>
      </c>
      <c r="F503" s="2" t="s">
        <v>74</v>
      </c>
      <c r="G503" s="2" t="s">
        <v>67</v>
      </c>
      <c r="H503" s="56" t="str">
        <f>Table1[[#This Row],[Tabela]]&amp;Table1[[#This Row],[Campo]]</f>
        <v>RESPONSIBILITY_PROCESS_RELPROCESS_REFERENCE_CODE</v>
      </c>
      <c r="I503" s="2" t="s">
        <v>612</v>
      </c>
      <c r="J503" s="42">
        <f>VLOOKUP(Table1[[#This Row],[Status]],Auxiliar!$B$16:$C$24,2,0)</f>
        <v>1</v>
      </c>
      <c r="K503" s="2" t="s">
        <v>1171</v>
      </c>
      <c r="L503" s="28" t="s">
        <v>1166</v>
      </c>
      <c r="M503" s="20" t="s">
        <v>1176</v>
      </c>
      <c r="N503" s="47">
        <v>45512</v>
      </c>
      <c r="O503" s="20">
        <f>INDEX(Auxiliar!$D$5:$F$13,MATCH(Table1[[#This Row],[Tipologia_Testes]],Auxiliar!$B$5:$B$13,0),MATCH(Table1[[#This Row],[Complexidade]],Auxiliar!$D$4:$F$4,0))</f>
        <v>0.1</v>
      </c>
      <c r="P503" s="2" t="s">
        <v>1196</v>
      </c>
      <c r="Q503" s="2"/>
      <c r="R503" s="151">
        <v>45261</v>
      </c>
      <c r="S503" s="151"/>
      <c r="T503" s="151"/>
      <c r="U503" s="151"/>
      <c r="V503" s="151"/>
      <c r="W503" s="2">
        <f>VLOOKUP(Table1[[#This Row],[Status]],Auxiliar!$B$16:$D$24,3,0)*Table1[[#This Row],[Estimação (horas)]]</f>
        <v>0.1</v>
      </c>
      <c r="X503" s="165">
        <f>+VLOOKUP(CONCATENATE(Table1[[#This Row],[Tabela]],Table1[[#This Row],[Campo]]),'2. Status Detalhe Campos FY24'!A:J,9,FALSE)</f>
        <v>0</v>
      </c>
      <c r="Y503" s="491" t="e">
        <f>+VLOOKUP(A503,#REF!,1,FALSE)</f>
        <v>#REF!</v>
      </c>
    </row>
    <row r="504" spans="1:25" ht="17.899999999999999" hidden="1" customHeight="1">
      <c r="A504" t="str">
        <f>+Table1[[#This Row],[Tabela]]&amp;Table1[[#This Row],[Campo]]</f>
        <v>RESPONSIBILITY_PROCESS_RELEFFECTIVE_RELATION_END_DATE</v>
      </c>
      <c r="B504" s="2" t="s">
        <v>26</v>
      </c>
      <c r="C504" s="2" t="s">
        <v>54</v>
      </c>
      <c r="D504" s="2" t="s">
        <v>38</v>
      </c>
      <c r="E504" s="2" t="s">
        <v>38</v>
      </c>
      <c r="F504" s="2" t="s">
        <v>74</v>
      </c>
      <c r="G504" s="2" t="s">
        <v>84</v>
      </c>
      <c r="H504" s="56" t="str">
        <f>Table1[[#This Row],[Tabela]]&amp;Table1[[#This Row],[Campo]]</f>
        <v>RESPONSIBILITY_PROCESS_RELEFFECTIVE_RELATION_END_DATE</v>
      </c>
      <c r="I504" s="2" t="s">
        <v>612</v>
      </c>
      <c r="J504" s="42">
        <f>VLOOKUP(Table1[[#This Row],[Status]],Auxiliar!$B$16:$C$24,2,0)</f>
        <v>1</v>
      </c>
      <c r="K504" s="2" t="s">
        <v>1168</v>
      </c>
      <c r="L504" s="28" t="s">
        <v>1174</v>
      </c>
      <c r="M504" s="20" t="s">
        <v>1176</v>
      </c>
      <c r="N504" s="47">
        <v>45485</v>
      </c>
      <c r="O504" s="20">
        <f>INDEX(Auxiliar!$D$5:$F$13,MATCH(Table1[[#This Row],[Tipologia_Testes]],Auxiliar!$B$5:$B$13,0),MATCH(Table1[[#This Row],[Complexidade]],Auxiliar!$D$4:$F$4,0))</f>
        <v>4</v>
      </c>
      <c r="P504" s="2"/>
      <c r="Q504" s="2"/>
      <c r="R504" s="151">
        <v>45261</v>
      </c>
      <c r="S504" s="151"/>
      <c r="T504" s="151"/>
      <c r="U504" s="151"/>
      <c r="V504" s="151"/>
      <c r="W504" s="2">
        <f>VLOOKUP(Table1[[#This Row],[Status]],Auxiliar!$B$16:$D$24,3,0)*Table1[[#This Row],[Estimação (horas)]]</f>
        <v>4</v>
      </c>
      <c r="X504" s="165">
        <f>+VLOOKUP(CONCATENATE(Table1[[#This Row],[Tabela]],Table1[[#This Row],[Campo]]),'2. Status Detalhe Campos FY24'!A:J,9,FALSE)</f>
        <v>0</v>
      </c>
      <c r="Y504" s="491" t="e">
        <f>+VLOOKUP(A504,#REF!,1,FALSE)</f>
        <v>#REF!</v>
      </c>
    </row>
    <row r="505" spans="1:25" ht="17.899999999999999" hidden="1" customHeight="1">
      <c r="A505" t="str">
        <f>+Table1[[#This Row],[Tabela]]&amp;Table1[[#This Row],[Campo]]</f>
        <v>RESPONSIBILITY_PROCESS_RELEFFECTIVE_RELATION_END_DATE</v>
      </c>
      <c r="B505" s="2" t="s">
        <v>26</v>
      </c>
      <c r="C505" s="2" t="s">
        <v>54</v>
      </c>
      <c r="D505" s="2" t="s">
        <v>38</v>
      </c>
      <c r="E505" s="2" t="s">
        <v>38</v>
      </c>
      <c r="F505" s="2" t="s">
        <v>74</v>
      </c>
      <c r="G505" s="2" t="s">
        <v>84</v>
      </c>
      <c r="H505" s="56" t="str">
        <f>Table1[[#This Row],[Tabela]]&amp;Table1[[#This Row],[Campo]]</f>
        <v>RESPONSIBILITY_PROCESS_RELEFFECTIVE_RELATION_END_DATE</v>
      </c>
      <c r="I505" s="2" t="s">
        <v>612</v>
      </c>
      <c r="J505" s="42">
        <f>VLOOKUP(Table1[[#This Row],[Status]],Auxiliar!$B$16:$C$24,2,0)</f>
        <v>1</v>
      </c>
      <c r="K505" s="2" t="s">
        <v>1169</v>
      </c>
      <c r="L505" s="28" t="s">
        <v>1174</v>
      </c>
      <c r="M505" s="20" t="s">
        <v>1176</v>
      </c>
      <c r="N505" s="47">
        <v>45485</v>
      </c>
      <c r="O505" s="20">
        <f>INDEX(Auxiliar!$D$5:$F$13,MATCH(Table1[[#This Row],[Tipologia_Testes]],Auxiliar!$B$5:$B$13,0),MATCH(Table1[[#This Row],[Complexidade]],Auxiliar!$D$4:$F$4,0))</f>
        <v>4</v>
      </c>
      <c r="P505" s="2"/>
      <c r="Q505" s="2"/>
      <c r="R505" s="151">
        <v>45261</v>
      </c>
      <c r="S505" s="151"/>
      <c r="T505" s="151"/>
      <c r="U505" s="151"/>
      <c r="V505" s="151"/>
      <c r="W505" s="2">
        <f>VLOOKUP(Table1[[#This Row],[Status]],Auxiliar!$B$16:$D$24,3,0)*Table1[[#This Row],[Estimação (horas)]]</f>
        <v>4</v>
      </c>
      <c r="X505" s="165">
        <f>+VLOOKUP(CONCATENATE(Table1[[#This Row],[Tabela]],Table1[[#This Row],[Campo]]),'2. Status Detalhe Campos FY24'!A:J,9,FALSE)</f>
        <v>0</v>
      </c>
      <c r="Y505" s="491" t="e">
        <f>+VLOOKUP(A505,#REF!,1,FALSE)</f>
        <v>#REF!</v>
      </c>
    </row>
    <row r="506" spans="1:25" ht="17.899999999999999" hidden="1" customHeight="1">
      <c r="A506" t="str">
        <f>+Table1[[#This Row],[Tabela]]&amp;Table1[[#This Row],[Campo]]</f>
        <v>RESPONSIBILITY_PROCESS_RELEFFECTIVE_RELATION_END_DATE</v>
      </c>
      <c r="B506" s="2" t="s">
        <v>26</v>
      </c>
      <c r="C506" s="2" t="s">
        <v>54</v>
      </c>
      <c r="D506" s="2" t="s">
        <v>38</v>
      </c>
      <c r="E506" s="2" t="s">
        <v>38</v>
      </c>
      <c r="F506" s="2" t="s">
        <v>74</v>
      </c>
      <c r="G506" s="2" t="s">
        <v>84</v>
      </c>
      <c r="H506" s="56" t="str">
        <f>Table1[[#This Row],[Tabela]]&amp;Table1[[#This Row],[Campo]]</f>
        <v>RESPONSIBILITY_PROCESS_RELEFFECTIVE_RELATION_END_DATE</v>
      </c>
      <c r="I506" s="2" t="s">
        <v>612</v>
      </c>
      <c r="J506" s="42">
        <f>VLOOKUP(Table1[[#This Row],[Status]],Auxiliar!$B$16:$C$24,2,0)</f>
        <v>1</v>
      </c>
      <c r="K506" s="2" t="s">
        <v>1171</v>
      </c>
      <c r="L506" s="28" t="s">
        <v>1174</v>
      </c>
      <c r="M506" s="20" t="s">
        <v>1176</v>
      </c>
      <c r="N506" s="47">
        <v>45485</v>
      </c>
      <c r="O506" s="20">
        <f>INDEX(Auxiliar!$D$5:$F$13,MATCH(Table1[[#This Row],[Tipologia_Testes]],Auxiliar!$B$5:$B$13,0),MATCH(Table1[[#This Row],[Complexidade]],Auxiliar!$D$4:$F$4,0))</f>
        <v>0.1</v>
      </c>
      <c r="P506" s="2"/>
      <c r="Q506" s="2"/>
      <c r="R506" s="151">
        <v>45261</v>
      </c>
      <c r="S506" s="151"/>
      <c r="T506" s="151"/>
      <c r="U506" s="151"/>
      <c r="V506" s="151"/>
      <c r="W506" s="2">
        <f>VLOOKUP(Table1[[#This Row],[Status]],Auxiliar!$B$16:$D$24,3,0)*Table1[[#This Row],[Estimação (horas)]]</f>
        <v>0.1</v>
      </c>
      <c r="X506" s="165">
        <f>+VLOOKUP(CONCATENATE(Table1[[#This Row],[Tabela]],Table1[[#This Row],[Campo]]),'2. Status Detalhe Campos FY24'!A:J,9,FALSE)</f>
        <v>0</v>
      </c>
      <c r="Y506" s="491" t="e">
        <f>+VLOOKUP(A506,#REF!,1,FALSE)</f>
        <v>#REF!</v>
      </c>
    </row>
    <row r="507" spans="1:25" ht="17.899999999999999" hidden="1" customHeight="1">
      <c r="A507" t="str">
        <f>+Table1[[#This Row],[Tabela]]&amp;Table1[[#This Row],[Campo]]</f>
        <v>RESPONSIBILITY_PROCESS_RELRELATION_START_DATE</v>
      </c>
      <c r="B507" s="2" t="s">
        <v>26</v>
      </c>
      <c r="C507" s="2" t="s">
        <v>54</v>
      </c>
      <c r="D507" s="2" t="s">
        <v>38</v>
      </c>
      <c r="E507" s="2" t="s">
        <v>38</v>
      </c>
      <c r="F507" s="2" t="s">
        <v>74</v>
      </c>
      <c r="G507" s="2" t="s">
        <v>2434</v>
      </c>
      <c r="H507" s="56" t="str">
        <f>Table1[[#This Row],[Tabela]]&amp;Table1[[#This Row],[Campo]]</f>
        <v>RESPONSIBILITY_PROCESS_RELRELATION_START_DATE</v>
      </c>
      <c r="I507" s="2" t="s">
        <v>612</v>
      </c>
      <c r="J507" s="42">
        <f>VLOOKUP(Table1[[#This Row],[Status]],Auxiliar!$B$16:$C$24,2,0)</f>
        <v>1</v>
      </c>
      <c r="K507" s="2" t="s">
        <v>1168</v>
      </c>
      <c r="L507" s="28" t="s">
        <v>1174</v>
      </c>
      <c r="M507" s="20" t="s">
        <v>1176</v>
      </c>
      <c r="N507" s="47">
        <v>45485</v>
      </c>
      <c r="O507" s="20">
        <f>INDEX(Auxiliar!$D$5:$F$13,MATCH(Table1[[#This Row],[Tipologia_Testes]],Auxiliar!$B$5:$B$13,0),MATCH(Table1[[#This Row],[Complexidade]],Auxiliar!$D$4:$F$4,0))</f>
        <v>4</v>
      </c>
      <c r="P507" s="2"/>
      <c r="Q507" s="2"/>
      <c r="R507" s="151">
        <v>45261</v>
      </c>
      <c r="S507" s="151"/>
      <c r="T507" s="151"/>
      <c r="U507" s="151"/>
      <c r="V507" s="151"/>
      <c r="W507" s="2">
        <f>VLOOKUP(Table1[[#This Row],[Status]],Auxiliar!$B$16:$D$24,3,0)*Table1[[#This Row],[Estimação (horas)]]</f>
        <v>4</v>
      </c>
      <c r="X507" s="165">
        <f>+VLOOKUP(CONCATENATE(Table1[[#This Row],[Tabela]],Table1[[#This Row],[Campo]]),'2. Status Detalhe Campos FY24'!A:J,9,FALSE)</f>
        <v>0</v>
      </c>
      <c r="Y507" s="491" t="e">
        <f>+VLOOKUP(A507,#REF!,1,FALSE)</f>
        <v>#REF!</v>
      </c>
    </row>
    <row r="508" spans="1:25" ht="17.899999999999999" hidden="1" customHeight="1">
      <c r="A508" t="str">
        <f>+Table1[[#This Row],[Tabela]]&amp;Table1[[#This Row],[Campo]]</f>
        <v>RESPONSIBILITY_PROCESS_RELRELATION_START_DATE</v>
      </c>
      <c r="B508" s="2" t="s">
        <v>26</v>
      </c>
      <c r="C508" s="2" t="s">
        <v>54</v>
      </c>
      <c r="D508" s="2" t="s">
        <v>38</v>
      </c>
      <c r="E508" s="2" t="s">
        <v>38</v>
      </c>
      <c r="F508" s="2" t="s">
        <v>74</v>
      </c>
      <c r="G508" s="2" t="s">
        <v>2434</v>
      </c>
      <c r="H508" s="56" t="str">
        <f>Table1[[#This Row],[Tabela]]&amp;Table1[[#This Row],[Campo]]</f>
        <v>RESPONSIBILITY_PROCESS_RELRELATION_START_DATE</v>
      </c>
      <c r="I508" s="2" t="s">
        <v>612</v>
      </c>
      <c r="J508" s="42">
        <f>VLOOKUP(Table1[[#This Row],[Status]],Auxiliar!$B$16:$C$24,2,0)</f>
        <v>1</v>
      </c>
      <c r="K508" s="2" t="s">
        <v>1169</v>
      </c>
      <c r="L508" s="28" t="s">
        <v>1174</v>
      </c>
      <c r="M508" s="20" t="s">
        <v>1176</v>
      </c>
      <c r="N508" s="47">
        <v>45485</v>
      </c>
      <c r="O508" s="20">
        <f>INDEX(Auxiliar!$D$5:$F$13,MATCH(Table1[[#This Row],[Tipologia_Testes]],Auxiliar!$B$5:$B$13,0),MATCH(Table1[[#This Row],[Complexidade]],Auxiliar!$D$4:$F$4,0))</f>
        <v>4</v>
      </c>
      <c r="P508" s="2"/>
      <c r="Q508" s="2"/>
      <c r="R508" s="151">
        <v>45261</v>
      </c>
      <c r="S508" s="151"/>
      <c r="T508" s="151"/>
      <c r="U508" s="151"/>
      <c r="V508" s="151"/>
      <c r="W508" s="2">
        <f>VLOOKUP(Table1[[#This Row],[Status]],Auxiliar!$B$16:$D$24,3,0)*Table1[[#This Row],[Estimação (horas)]]</f>
        <v>4</v>
      </c>
      <c r="X508" s="165">
        <f>+VLOOKUP(CONCATENATE(Table1[[#This Row],[Tabela]],Table1[[#This Row],[Campo]]),'2. Status Detalhe Campos FY24'!A:J,9,FALSE)</f>
        <v>0</v>
      </c>
      <c r="Y508" s="491" t="e">
        <f>+VLOOKUP(A508,#REF!,1,FALSE)</f>
        <v>#REF!</v>
      </c>
    </row>
    <row r="509" spans="1:25" ht="17.899999999999999" hidden="1" customHeight="1">
      <c r="A509" t="str">
        <f>+Table1[[#This Row],[Tabela]]&amp;Table1[[#This Row],[Campo]]</f>
        <v>RESPONSIBILITY_PROCESS_RELRELATION_START_DATE</v>
      </c>
      <c r="B509" s="2" t="s">
        <v>26</v>
      </c>
      <c r="C509" s="2" t="s">
        <v>54</v>
      </c>
      <c r="D509" s="2" t="s">
        <v>38</v>
      </c>
      <c r="E509" s="2" t="s">
        <v>38</v>
      </c>
      <c r="F509" s="2" t="s">
        <v>74</v>
      </c>
      <c r="G509" s="2" t="s">
        <v>2434</v>
      </c>
      <c r="H509" s="56" t="str">
        <f>Table1[[#This Row],[Tabela]]&amp;Table1[[#This Row],[Campo]]</f>
        <v>RESPONSIBILITY_PROCESS_RELRELATION_START_DATE</v>
      </c>
      <c r="I509" s="2" t="s">
        <v>612</v>
      </c>
      <c r="J509" s="42">
        <f>VLOOKUP(Table1[[#This Row],[Status]],Auxiliar!$B$16:$C$24,2,0)</f>
        <v>1</v>
      </c>
      <c r="K509" s="2" t="s">
        <v>1171</v>
      </c>
      <c r="L509" s="28" t="s">
        <v>1174</v>
      </c>
      <c r="M509" s="20" t="s">
        <v>1176</v>
      </c>
      <c r="N509" s="47">
        <v>45485</v>
      </c>
      <c r="O509" s="20">
        <f>INDEX(Auxiliar!$D$5:$F$13,MATCH(Table1[[#This Row],[Tipologia_Testes]],Auxiliar!$B$5:$B$13,0),MATCH(Table1[[#This Row],[Complexidade]],Auxiliar!$D$4:$F$4,0))</f>
        <v>0.1</v>
      </c>
      <c r="P509" s="2"/>
      <c r="Q509" s="2"/>
      <c r="R509" s="151">
        <v>45261</v>
      </c>
      <c r="S509" s="151"/>
      <c r="T509" s="151"/>
      <c r="U509" s="151"/>
      <c r="V509" s="151"/>
      <c r="W509" s="2">
        <f>VLOOKUP(Table1[[#This Row],[Status]],Auxiliar!$B$16:$D$24,3,0)*Table1[[#This Row],[Estimação (horas)]]</f>
        <v>0.1</v>
      </c>
      <c r="X509" s="165">
        <f>+VLOOKUP(CONCATENATE(Table1[[#This Row],[Tabela]],Table1[[#This Row],[Campo]]),'2. Status Detalhe Campos FY24'!A:J,9,FALSE)</f>
        <v>0</v>
      </c>
      <c r="Y509" s="491" t="e">
        <f>+VLOOKUP(A509,#REF!,1,FALSE)</f>
        <v>#REF!</v>
      </c>
    </row>
    <row r="510" spans="1:25" ht="17.899999999999999" hidden="1" customHeight="1">
      <c r="A510" t="str">
        <f>+Table1[[#This Row],[Tabela]]&amp;Table1[[#This Row],[Campo]]</f>
        <v>RESPONSIBILITY_PROCESS_RELESTABLISHED_RELATION_END_DATE</v>
      </c>
      <c r="B510" s="2" t="s">
        <v>26</v>
      </c>
      <c r="C510" s="2" t="s">
        <v>54</v>
      </c>
      <c r="D510" s="2" t="s">
        <v>38</v>
      </c>
      <c r="E510" s="2" t="s">
        <v>38</v>
      </c>
      <c r="F510" s="2" t="s">
        <v>74</v>
      </c>
      <c r="G510" s="2" t="s">
        <v>2435</v>
      </c>
      <c r="H510" s="56" t="str">
        <f>Table1[[#This Row],[Tabela]]&amp;Table1[[#This Row],[Campo]]</f>
        <v>RESPONSIBILITY_PROCESS_RELESTABLISHED_RELATION_END_DATE</v>
      </c>
      <c r="I510" s="2" t="s">
        <v>612</v>
      </c>
      <c r="J510" s="42">
        <f>VLOOKUP(Table1[[#This Row],[Status]],Auxiliar!$B$16:$C$24,2,0)</f>
        <v>1</v>
      </c>
      <c r="K510" s="2" t="s">
        <v>1168</v>
      </c>
      <c r="L510" s="28" t="s">
        <v>1174</v>
      </c>
      <c r="M510" s="20" t="s">
        <v>1176</v>
      </c>
      <c r="N510" s="47">
        <v>45485</v>
      </c>
      <c r="O510" s="20">
        <f>INDEX(Auxiliar!$D$5:$F$13,MATCH(Table1[[#This Row],[Tipologia_Testes]],Auxiliar!$B$5:$B$13,0),MATCH(Table1[[#This Row],[Complexidade]],Auxiliar!$D$4:$F$4,0))</f>
        <v>4</v>
      </c>
      <c r="P510" s="2"/>
      <c r="Q510" s="2"/>
      <c r="R510" s="151">
        <v>45261</v>
      </c>
      <c r="S510" s="151"/>
      <c r="T510" s="151"/>
      <c r="U510" s="151"/>
      <c r="V510" s="151"/>
      <c r="W510" s="2">
        <f>VLOOKUP(Table1[[#This Row],[Status]],Auxiliar!$B$16:$D$24,3,0)*Table1[[#This Row],[Estimação (horas)]]</f>
        <v>4</v>
      </c>
      <c r="X510" s="165">
        <f>+VLOOKUP(CONCATENATE(Table1[[#This Row],[Tabela]],Table1[[#This Row],[Campo]]),'2. Status Detalhe Campos FY24'!A:J,9,FALSE)</f>
        <v>0</v>
      </c>
      <c r="Y510" s="491" t="e">
        <f>+VLOOKUP(A510,#REF!,1,FALSE)</f>
        <v>#REF!</v>
      </c>
    </row>
    <row r="511" spans="1:25" ht="17.899999999999999" hidden="1" customHeight="1">
      <c r="A511" t="str">
        <f>+Table1[[#This Row],[Tabela]]&amp;Table1[[#This Row],[Campo]]</f>
        <v>RESPONSIBILITY_PROCESS_RELESTABLISHED_RELATION_END_DATE</v>
      </c>
      <c r="B511" s="2" t="s">
        <v>26</v>
      </c>
      <c r="C511" s="2" t="s">
        <v>54</v>
      </c>
      <c r="D511" s="2" t="s">
        <v>38</v>
      </c>
      <c r="E511" s="2" t="s">
        <v>38</v>
      </c>
      <c r="F511" s="2" t="s">
        <v>74</v>
      </c>
      <c r="G511" s="2" t="s">
        <v>2435</v>
      </c>
      <c r="H511" s="56" t="str">
        <f>Table1[[#This Row],[Tabela]]&amp;Table1[[#This Row],[Campo]]</f>
        <v>RESPONSIBILITY_PROCESS_RELESTABLISHED_RELATION_END_DATE</v>
      </c>
      <c r="I511" s="2" t="s">
        <v>612</v>
      </c>
      <c r="J511" s="42">
        <f>VLOOKUP(Table1[[#This Row],[Status]],Auxiliar!$B$16:$C$24,2,0)</f>
        <v>1</v>
      </c>
      <c r="K511" s="2" t="s">
        <v>1169</v>
      </c>
      <c r="L511" s="28" t="s">
        <v>1174</v>
      </c>
      <c r="M511" s="20" t="s">
        <v>1176</v>
      </c>
      <c r="N511" s="47">
        <v>45485</v>
      </c>
      <c r="O511" s="20">
        <f>INDEX(Auxiliar!$D$5:$F$13,MATCH(Table1[[#This Row],[Tipologia_Testes]],Auxiliar!$B$5:$B$13,0),MATCH(Table1[[#This Row],[Complexidade]],Auxiliar!$D$4:$F$4,0))</f>
        <v>4</v>
      </c>
      <c r="P511" s="2"/>
      <c r="Q511" s="2"/>
      <c r="R511" s="151">
        <v>45261</v>
      </c>
      <c r="S511" s="151"/>
      <c r="T511" s="151"/>
      <c r="U511" s="151"/>
      <c r="V511" s="151"/>
      <c r="W511" s="2">
        <f>VLOOKUP(Table1[[#This Row],[Status]],Auxiliar!$B$16:$D$24,3,0)*Table1[[#This Row],[Estimação (horas)]]</f>
        <v>4</v>
      </c>
      <c r="X511" s="165">
        <f>+VLOOKUP(CONCATENATE(Table1[[#This Row],[Tabela]],Table1[[#This Row],[Campo]]),'2. Status Detalhe Campos FY24'!A:J,9,FALSE)</f>
        <v>0</v>
      </c>
      <c r="Y511" s="491" t="e">
        <f>+VLOOKUP(A511,#REF!,1,FALSE)</f>
        <v>#REF!</v>
      </c>
    </row>
    <row r="512" spans="1:25" ht="17.899999999999999" hidden="1" customHeight="1">
      <c r="A512" t="str">
        <f>+Table1[[#This Row],[Tabela]]&amp;Table1[[#This Row],[Campo]]</f>
        <v>RESPONSIBILITY_PROCESS_RELESTABLISHED_RELATION_END_DATE</v>
      </c>
      <c r="B512" s="2" t="s">
        <v>26</v>
      </c>
      <c r="C512" s="2" t="s">
        <v>54</v>
      </c>
      <c r="D512" s="2" t="s">
        <v>38</v>
      </c>
      <c r="E512" s="2" t="s">
        <v>38</v>
      </c>
      <c r="F512" s="2" t="s">
        <v>74</v>
      </c>
      <c r="G512" s="2" t="s">
        <v>2435</v>
      </c>
      <c r="H512" s="56" t="str">
        <f>Table1[[#This Row],[Tabela]]&amp;Table1[[#This Row],[Campo]]</f>
        <v>RESPONSIBILITY_PROCESS_RELESTABLISHED_RELATION_END_DATE</v>
      </c>
      <c r="I512" s="2" t="s">
        <v>612</v>
      </c>
      <c r="J512" s="42">
        <f>VLOOKUP(Table1[[#This Row],[Status]],Auxiliar!$B$16:$C$24,2,0)</f>
        <v>1</v>
      </c>
      <c r="K512" s="2" t="s">
        <v>1171</v>
      </c>
      <c r="L512" s="28" t="s">
        <v>1174</v>
      </c>
      <c r="M512" s="20" t="s">
        <v>1176</v>
      </c>
      <c r="N512" s="47">
        <v>45485</v>
      </c>
      <c r="O512" s="20">
        <f>INDEX(Auxiliar!$D$5:$F$13,MATCH(Table1[[#This Row],[Tipologia_Testes]],Auxiliar!$B$5:$B$13,0),MATCH(Table1[[#This Row],[Complexidade]],Auxiliar!$D$4:$F$4,0))</f>
        <v>0.1</v>
      </c>
      <c r="P512" s="2"/>
      <c r="Q512" s="2"/>
      <c r="R512" s="151">
        <v>45261</v>
      </c>
      <c r="S512" s="151"/>
      <c r="T512" s="151"/>
      <c r="U512" s="151"/>
      <c r="V512" s="151"/>
      <c r="W512" s="2">
        <f>VLOOKUP(Table1[[#This Row],[Status]],Auxiliar!$B$16:$D$24,3,0)*Table1[[#This Row],[Estimação (horas)]]</f>
        <v>0.1</v>
      </c>
      <c r="X512" s="165">
        <f>+VLOOKUP(CONCATENATE(Table1[[#This Row],[Tabela]],Table1[[#This Row],[Campo]]),'2. Status Detalhe Campos FY24'!A:J,9,FALSE)</f>
        <v>0</v>
      </c>
      <c r="Y512" s="491" t="e">
        <f>+VLOOKUP(A512,#REF!,1,FALSE)</f>
        <v>#REF!</v>
      </c>
    </row>
    <row r="513" spans="1:25" ht="17.899999999999999" hidden="1" customHeight="1">
      <c r="A513" t="str">
        <f>+Table1[[#This Row],[Tabela]]&amp;Table1[[#This Row],[Campo]]</f>
        <v>RESPONSIBILITY_PROCESS_RELidetgar</v>
      </c>
      <c r="B513" s="2" t="s">
        <v>26</v>
      </c>
      <c r="C513" s="2" t="s">
        <v>54</v>
      </c>
      <c r="D513" s="2" t="s">
        <v>38</v>
      </c>
      <c r="E513" s="2" t="s">
        <v>38</v>
      </c>
      <c r="F513" s="2" t="s">
        <v>74</v>
      </c>
      <c r="G513" s="2" t="s">
        <v>85</v>
      </c>
      <c r="H513" s="56" t="str">
        <f>Table1[[#This Row],[Tabela]]&amp;Table1[[#This Row],[Campo]]</f>
        <v>RESPONSIBILITY_PROCESS_RELidetgar</v>
      </c>
      <c r="I513" s="2" t="s">
        <v>611</v>
      </c>
      <c r="J513" s="42">
        <f>VLOOKUP(Table1[[#This Row],[Status]],Auxiliar!$B$16:$C$24,2,0)</f>
        <v>0</v>
      </c>
      <c r="K513" s="2" t="s">
        <v>1168</v>
      </c>
      <c r="L513" s="28" t="s">
        <v>1186</v>
      </c>
      <c r="M513" s="20" t="s">
        <v>1176</v>
      </c>
      <c r="N513" s="47">
        <v>45485</v>
      </c>
      <c r="O513" s="20">
        <f>INDEX(Auxiliar!$D$5:$F$13,MATCH(Table1[[#This Row],[Tipologia_Testes]],Auxiliar!$B$5:$B$13,0),MATCH(Table1[[#This Row],[Complexidade]],Auxiliar!$D$4:$F$4,0))</f>
        <v>4</v>
      </c>
      <c r="P513" s="2" t="s">
        <v>1194</v>
      </c>
      <c r="Q513" s="2"/>
      <c r="R513" s="151">
        <v>45425</v>
      </c>
      <c r="S513" s="151"/>
      <c r="T513" s="151"/>
      <c r="U513" s="151"/>
      <c r="V513" s="151"/>
      <c r="W513" s="2">
        <f>VLOOKUP(Table1[[#This Row],[Status]],Auxiliar!$B$16:$D$24,3,0)*Table1[[#This Row],[Estimação (horas)]]</f>
        <v>0</v>
      </c>
      <c r="X513" s="165">
        <f>+VLOOKUP(CONCATENATE(Table1[[#This Row],[Tabela]],Table1[[#This Row],[Campo]]),'2. Status Detalhe Campos FY24'!A:J,9,FALSE)</f>
        <v>0</v>
      </c>
      <c r="Y513" s="491" t="e">
        <f>+VLOOKUP(A513,#REF!,1,FALSE)</f>
        <v>#REF!</v>
      </c>
    </row>
    <row r="514" spans="1:25" ht="17.899999999999999" hidden="1" customHeight="1">
      <c r="A514" t="str">
        <f>+Table1[[#This Row],[Tabela]]&amp;Table1[[#This Row],[Campo]]</f>
        <v>RESPONSIBILITY_PROCESS_RELnum_prop</v>
      </c>
      <c r="B514" s="2" t="s">
        <v>26</v>
      </c>
      <c r="C514" s="2" t="s">
        <v>54</v>
      </c>
      <c r="D514" s="2" t="s">
        <v>38</v>
      </c>
      <c r="E514" s="2" t="s">
        <v>38</v>
      </c>
      <c r="F514" s="2" t="s">
        <v>74</v>
      </c>
      <c r="G514" s="2" t="s">
        <v>86</v>
      </c>
      <c r="H514" s="56" t="str">
        <f>Table1[[#This Row],[Tabela]]&amp;Table1[[#This Row],[Campo]]</f>
        <v>RESPONSIBILITY_PROCESS_RELnum_prop</v>
      </c>
      <c r="I514" s="2" t="s">
        <v>611</v>
      </c>
      <c r="J514" s="42">
        <f>VLOOKUP(Table1[[#This Row],[Status]],Auxiliar!$B$16:$C$24,2,0)</f>
        <v>0</v>
      </c>
      <c r="K514" s="2" t="s">
        <v>1168</v>
      </c>
      <c r="L514" s="28" t="s">
        <v>1186</v>
      </c>
      <c r="M514" s="20" t="s">
        <v>1176</v>
      </c>
      <c r="N514" s="47">
        <v>45485</v>
      </c>
      <c r="O514" s="20">
        <f>INDEX(Auxiliar!$D$5:$F$13,MATCH(Table1[[#This Row],[Tipologia_Testes]],Auxiliar!$B$5:$B$13,0),MATCH(Table1[[#This Row],[Complexidade]],Auxiliar!$D$4:$F$4,0))</f>
        <v>4</v>
      </c>
      <c r="P514" s="2" t="s">
        <v>1194</v>
      </c>
      <c r="Q514" s="2"/>
      <c r="R514" s="151">
        <v>45425</v>
      </c>
      <c r="S514" s="151"/>
      <c r="T514" s="151"/>
      <c r="U514" s="151"/>
      <c r="V514" s="151"/>
      <c r="W514" s="2">
        <f>VLOOKUP(Table1[[#This Row],[Status]],Auxiliar!$B$16:$D$24,3,0)*Table1[[#This Row],[Estimação (horas)]]</f>
        <v>0</v>
      </c>
      <c r="X514" s="165">
        <f>+VLOOKUP(CONCATENATE(Table1[[#This Row],[Tabela]],Table1[[#This Row],[Campo]]),'2. Status Detalhe Campos FY24'!A:J,9,FALSE)</f>
        <v>0</v>
      </c>
      <c r="Y514" s="491" t="e">
        <f>+VLOOKUP(A514,#REF!,1,FALSE)</f>
        <v>#REF!</v>
      </c>
    </row>
    <row r="515" spans="1:25" ht="17.899999999999999" hidden="1" customHeight="1">
      <c r="A515" t="str">
        <f>+Table1[[#This Row],[Tabela]]&amp;Table1[[#This Row],[Campo]]</f>
        <v>RESPONSIBILITY_PROCESS_RELSOURCE_CODE</v>
      </c>
      <c r="B515" s="2" t="s">
        <v>26</v>
      </c>
      <c r="C515" s="2" t="s">
        <v>54</v>
      </c>
      <c r="D515" s="2" t="s">
        <v>38</v>
      </c>
      <c r="E515" s="2" t="s">
        <v>38</v>
      </c>
      <c r="F515" s="2" t="s">
        <v>74</v>
      </c>
      <c r="G515" s="2" t="s">
        <v>87</v>
      </c>
      <c r="H515" s="56" t="str">
        <f>Table1[[#This Row],[Tabela]]&amp;Table1[[#This Row],[Campo]]</f>
        <v>RESPONSIBILITY_PROCESS_RELSOURCE_CODE</v>
      </c>
      <c r="I515" s="2" t="s">
        <v>612</v>
      </c>
      <c r="J515" s="42">
        <f>VLOOKUP(Table1[[#This Row],[Status]],Auxiliar!$B$16:$C$24,2,0)</f>
        <v>1</v>
      </c>
      <c r="K515" s="2" t="s">
        <v>1168</v>
      </c>
      <c r="L515" s="28" t="s">
        <v>1174</v>
      </c>
      <c r="M515" s="20" t="s">
        <v>1175</v>
      </c>
      <c r="N515" s="47">
        <v>45512</v>
      </c>
      <c r="O515" s="20">
        <f>INDEX(Auxiliar!$D$5:$F$13,MATCH(Table1[[#This Row],[Tipologia_Testes]],Auxiliar!$B$5:$B$13,0),MATCH(Table1[[#This Row],[Complexidade]],Auxiliar!$D$4:$F$4,0))</f>
        <v>2</v>
      </c>
      <c r="P515" s="2"/>
      <c r="Q515" s="2"/>
      <c r="R515" s="151">
        <v>45261</v>
      </c>
      <c r="S515" s="151"/>
      <c r="T515" s="151"/>
      <c r="U515" s="151"/>
      <c r="V515" s="151"/>
      <c r="W515" s="2">
        <f>VLOOKUP(Table1[[#This Row],[Status]],Auxiliar!$B$16:$D$24,3,0)*Table1[[#This Row],[Estimação (horas)]]</f>
        <v>2</v>
      </c>
      <c r="X515" s="165">
        <f>+VLOOKUP(CONCATENATE(Table1[[#This Row],[Tabela]],Table1[[#This Row],[Campo]]),'2. Status Detalhe Campos FY24'!A:J,9,FALSE)</f>
        <v>0</v>
      </c>
      <c r="Y515" s="491" t="e">
        <f>+VLOOKUP(A515,#REF!,1,FALSE)</f>
        <v>#REF!</v>
      </c>
    </row>
    <row r="516" spans="1:25" ht="17.899999999999999" hidden="1" customHeight="1">
      <c r="A516" t="str">
        <f>+Table1[[#This Row],[Tabela]]&amp;Table1[[#This Row],[Campo]]</f>
        <v>RESPONSIBILITY_PROCESS_RELSOURCE_CODE</v>
      </c>
      <c r="B516" s="2" t="s">
        <v>26</v>
      </c>
      <c r="C516" s="2" t="s">
        <v>54</v>
      </c>
      <c r="D516" s="2" t="s">
        <v>38</v>
      </c>
      <c r="E516" s="2" t="s">
        <v>38</v>
      </c>
      <c r="F516" s="2" t="s">
        <v>74</v>
      </c>
      <c r="G516" s="2" t="s">
        <v>87</v>
      </c>
      <c r="H516" s="56" t="str">
        <f>Table1[[#This Row],[Tabela]]&amp;Table1[[#This Row],[Campo]]</f>
        <v>RESPONSIBILITY_PROCESS_RELSOURCE_CODE</v>
      </c>
      <c r="I516" s="2" t="s">
        <v>612</v>
      </c>
      <c r="J516" s="42">
        <f>VLOOKUP(Table1[[#This Row],[Status]],Auxiliar!$B$16:$C$24,2,0)</f>
        <v>1</v>
      </c>
      <c r="K516" s="2" t="s">
        <v>1169</v>
      </c>
      <c r="L516" s="28" t="s">
        <v>1174</v>
      </c>
      <c r="M516" s="20" t="s">
        <v>1175</v>
      </c>
      <c r="N516" s="47">
        <v>45512</v>
      </c>
      <c r="O516" s="20">
        <f>INDEX(Auxiliar!$D$5:$F$13,MATCH(Table1[[#This Row],[Tipologia_Testes]],Auxiliar!$B$5:$B$13,0),MATCH(Table1[[#This Row],[Complexidade]],Auxiliar!$D$4:$F$4,0))</f>
        <v>2</v>
      </c>
      <c r="P516" s="2"/>
      <c r="Q516" s="2"/>
      <c r="R516" s="151">
        <v>45261</v>
      </c>
      <c r="S516" s="151"/>
      <c r="T516" s="151"/>
      <c r="U516" s="151"/>
      <c r="V516" s="151"/>
      <c r="W516" s="2">
        <f>VLOOKUP(Table1[[#This Row],[Status]],Auxiliar!$B$16:$D$24,3,0)*Table1[[#This Row],[Estimação (horas)]]</f>
        <v>2</v>
      </c>
      <c r="X516" s="165">
        <f>+VLOOKUP(CONCATENATE(Table1[[#This Row],[Tabela]],Table1[[#This Row],[Campo]]),'2. Status Detalhe Campos FY24'!A:J,9,FALSE)</f>
        <v>0</v>
      </c>
      <c r="Y516" s="491" t="e">
        <f>+VLOOKUP(A516,#REF!,1,FALSE)</f>
        <v>#REF!</v>
      </c>
    </row>
    <row r="517" spans="1:25" ht="17.899999999999999" hidden="1" customHeight="1">
      <c r="A517" t="str">
        <f>+Table1[[#This Row],[Tabela]]&amp;Table1[[#This Row],[Campo]]</f>
        <v>RESPONSIBILITY_PROCESS_RELSOURCE_CODE</v>
      </c>
      <c r="B517" s="2" t="s">
        <v>26</v>
      </c>
      <c r="C517" s="2" t="s">
        <v>54</v>
      </c>
      <c r="D517" s="2" t="s">
        <v>38</v>
      </c>
      <c r="E517" s="2" t="s">
        <v>38</v>
      </c>
      <c r="F517" s="2" t="s">
        <v>74</v>
      </c>
      <c r="G517" s="2" t="s">
        <v>87</v>
      </c>
      <c r="H517" s="56" t="str">
        <f>Table1[[#This Row],[Tabela]]&amp;Table1[[#This Row],[Campo]]</f>
        <v>RESPONSIBILITY_PROCESS_RELSOURCE_CODE</v>
      </c>
      <c r="I517" s="2" t="s">
        <v>612</v>
      </c>
      <c r="J517" s="42">
        <f>VLOOKUP(Table1[[#This Row],[Status]],Auxiliar!$B$16:$C$24,2,0)</f>
        <v>1</v>
      </c>
      <c r="K517" s="2" t="s">
        <v>1171</v>
      </c>
      <c r="L517" s="28" t="s">
        <v>1174</v>
      </c>
      <c r="M517" s="20" t="s">
        <v>1175</v>
      </c>
      <c r="N517" s="47">
        <v>45512</v>
      </c>
      <c r="O517" s="20">
        <f>INDEX(Auxiliar!$D$5:$F$13,MATCH(Table1[[#This Row],[Tipologia_Testes]],Auxiliar!$B$5:$B$13,0),MATCH(Table1[[#This Row],[Complexidade]],Auxiliar!$D$4:$F$4,0))</f>
        <v>0.1</v>
      </c>
      <c r="P517" s="2"/>
      <c r="Q517" s="2"/>
      <c r="R517" s="151">
        <v>45261</v>
      </c>
      <c r="S517" s="151"/>
      <c r="T517" s="151"/>
      <c r="U517" s="151"/>
      <c r="V517" s="151"/>
      <c r="W517" s="2">
        <f>VLOOKUP(Table1[[#This Row],[Status]],Auxiliar!$B$16:$D$24,3,0)*Table1[[#This Row],[Estimação (horas)]]</f>
        <v>0.1</v>
      </c>
      <c r="X517" s="165">
        <f>+VLOOKUP(CONCATENATE(Table1[[#This Row],[Tabela]],Table1[[#This Row],[Campo]]),'2. Status Detalhe Campos FY24'!A:J,9,FALSE)</f>
        <v>0</v>
      </c>
      <c r="Y517" s="491" t="e">
        <f>+VLOOKUP(A517,#REF!,1,FALSE)</f>
        <v>#REF!</v>
      </c>
    </row>
    <row r="518" spans="1:25" ht="17.899999999999999" hidden="1" customHeight="1">
      <c r="A518" t="str">
        <f>+Table1[[#This Row],[Tabela]]&amp;Table1[[#This Row],[Campo]]</f>
        <v>RESPONSIBILITY_PROCESS_RELDATA_DATE_PART</v>
      </c>
      <c r="B518" s="2" t="s">
        <v>26</v>
      </c>
      <c r="C518" s="2" t="s">
        <v>54</v>
      </c>
      <c r="D518" s="2" t="s">
        <v>38</v>
      </c>
      <c r="E518" s="2" t="s">
        <v>38</v>
      </c>
      <c r="F518" s="2" t="s">
        <v>74</v>
      </c>
      <c r="G518" s="2" t="s">
        <v>73</v>
      </c>
      <c r="H518" s="56" t="str">
        <f>Table1[[#This Row],[Tabela]]&amp;Table1[[#This Row],[Campo]]</f>
        <v>RESPONSIBILITY_PROCESS_RELDATA_DATE_PART</v>
      </c>
      <c r="I518" s="2" t="s">
        <v>612</v>
      </c>
      <c r="J518" s="42">
        <f>VLOOKUP(Table1[[#This Row],[Status]],Auxiliar!$B$16:$C$24,2,0)</f>
        <v>1</v>
      </c>
      <c r="K518" s="2" t="s">
        <v>1168</v>
      </c>
      <c r="L518" s="28" t="s">
        <v>1174</v>
      </c>
      <c r="M518" s="20" t="s">
        <v>1175</v>
      </c>
      <c r="N518" s="47">
        <v>45512</v>
      </c>
      <c r="O518" s="20">
        <f>INDEX(Auxiliar!$D$5:$F$13,MATCH(Table1[[#This Row],[Tipologia_Testes]],Auxiliar!$B$5:$B$13,0),MATCH(Table1[[#This Row],[Complexidade]],Auxiliar!$D$4:$F$4,0))</f>
        <v>2</v>
      </c>
      <c r="P518" s="2"/>
      <c r="Q518" s="2"/>
      <c r="R518" s="151">
        <v>45261</v>
      </c>
      <c r="S518" s="151"/>
      <c r="T518" s="151"/>
      <c r="U518" s="151"/>
      <c r="V518" s="151"/>
      <c r="W518" s="2">
        <f>VLOOKUP(Table1[[#This Row],[Status]],Auxiliar!$B$16:$D$24,3,0)*Table1[[#This Row],[Estimação (horas)]]</f>
        <v>2</v>
      </c>
      <c r="X518" s="165">
        <f>+VLOOKUP(CONCATENATE(Table1[[#This Row],[Tabela]],Table1[[#This Row],[Campo]]),'2. Status Detalhe Campos FY24'!A:J,9,FALSE)</f>
        <v>0</v>
      </c>
      <c r="Y518" s="491" t="e">
        <f>+VLOOKUP(A518,#REF!,1,FALSE)</f>
        <v>#REF!</v>
      </c>
    </row>
    <row r="519" spans="1:25" ht="17.899999999999999" hidden="1" customHeight="1">
      <c r="A519" t="str">
        <f>+Table1[[#This Row],[Tabela]]&amp;Table1[[#This Row],[Campo]]</f>
        <v>RESPONSIBILITY_PROCESS_RELDATA_DATE_PART</v>
      </c>
      <c r="B519" s="2" t="s">
        <v>26</v>
      </c>
      <c r="C519" s="2" t="s">
        <v>54</v>
      </c>
      <c r="D519" s="2" t="s">
        <v>38</v>
      </c>
      <c r="E519" s="2" t="s">
        <v>38</v>
      </c>
      <c r="F519" s="2" t="s">
        <v>74</v>
      </c>
      <c r="G519" s="2" t="s">
        <v>73</v>
      </c>
      <c r="H519" s="56" t="str">
        <f>Table1[[#This Row],[Tabela]]&amp;Table1[[#This Row],[Campo]]</f>
        <v>RESPONSIBILITY_PROCESS_RELDATA_DATE_PART</v>
      </c>
      <c r="I519" s="2" t="s">
        <v>612</v>
      </c>
      <c r="J519" s="42">
        <f>VLOOKUP(Table1[[#This Row],[Status]],Auxiliar!$B$16:$C$24,2,0)</f>
        <v>1</v>
      </c>
      <c r="K519" s="2" t="s">
        <v>1169</v>
      </c>
      <c r="L519" s="28" t="s">
        <v>1174</v>
      </c>
      <c r="M519" s="20" t="s">
        <v>1175</v>
      </c>
      <c r="N519" s="47">
        <v>45512</v>
      </c>
      <c r="O519" s="20">
        <f>INDEX(Auxiliar!$D$5:$F$13,MATCH(Table1[[#This Row],[Tipologia_Testes]],Auxiliar!$B$5:$B$13,0),MATCH(Table1[[#This Row],[Complexidade]],Auxiliar!$D$4:$F$4,0))</f>
        <v>2</v>
      </c>
      <c r="P519" s="2"/>
      <c r="Q519" s="2"/>
      <c r="R519" s="151">
        <v>45261</v>
      </c>
      <c r="S519" s="151"/>
      <c r="T519" s="151"/>
      <c r="U519" s="151"/>
      <c r="V519" s="151"/>
      <c r="W519" s="2">
        <f>VLOOKUP(Table1[[#This Row],[Status]],Auxiliar!$B$16:$D$24,3,0)*Table1[[#This Row],[Estimação (horas)]]</f>
        <v>2</v>
      </c>
      <c r="X519" s="165">
        <f>+VLOOKUP(CONCATENATE(Table1[[#This Row],[Tabela]],Table1[[#This Row],[Campo]]),'2. Status Detalhe Campos FY24'!A:J,9,FALSE)</f>
        <v>0</v>
      </c>
      <c r="Y519" s="491" t="e">
        <f>+VLOOKUP(A519,#REF!,1,FALSE)</f>
        <v>#REF!</v>
      </c>
    </row>
    <row r="520" spans="1:25" ht="69.650000000000006" hidden="1" customHeight="1">
      <c r="A520" t="str">
        <f>+Table1[[#This Row],[Tabela]]&amp;Table1[[#This Row],[Campo]]</f>
        <v>RESPONSIBILITY_PROCESS_RELDATA_DATE_PART</v>
      </c>
      <c r="B520" s="2" t="s">
        <v>26</v>
      </c>
      <c r="C520" s="2" t="s">
        <v>54</v>
      </c>
      <c r="D520" s="2" t="s">
        <v>38</v>
      </c>
      <c r="E520" s="2" t="s">
        <v>38</v>
      </c>
      <c r="F520" s="2" t="s">
        <v>74</v>
      </c>
      <c r="G520" s="2" t="s">
        <v>73</v>
      </c>
      <c r="H520" s="56" t="str">
        <f>Table1[[#This Row],[Tabela]]&amp;Table1[[#This Row],[Campo]]</f>
        <v>RESPONSIBILITY_PROCESS_RELDATA_DATE_PART</v>
      </c>
      <c r="I520" s="2" t="s">
        <v>612</v>
      </c>
      <c r="J520" s="42">
        <f>VLOOKUP(Table1[[#This Row],[Status]],Auxiliar!$B$16:$C$24,2,0)</f>
        <v>1</v>
      </c>
      <c r="K520" s="2" t="s">
        <v>1171</v>
      </c>
      <c r="L520" s="28" t="s">
        <v>1174</v>
      </c>
      <c r="M520" s="20" t="s">
        <v>1175</v>
      </c>
      <c r="N520" s="47">
        <v>45512</v>
      </c>
      <c r="O520" s="20">
        <f>INDEX(Auxiliar!$D$5:$F$13,MATCH(Table1[[#This Row],[Tipologia_Testes]],Auxiliar!$B$5:$B$13,0),MATCH(Table1[[#This Row],[Complexidade]],Auxiliar!$D$4:$F$4,0))</f>
        <v>0.1</v>
      </c>
      <c r="P520" s="2"/>
      <c r="Q520" s="2"/>
      <c r="R520" s="151">
        <v>45261</v>
      </c>
      <c r="S520" s="151"/>
      <c r="T520" s="151"/>
      <c r="U520" s="151"/>
      <c r="V520" s="151"/>
      <c r="W520" s="2">
        <f>VLOOKUP(Table1[[#This Row],[Status]],Auxiliar!$B$16:$D$24,3,0)*Table1[[#This Row],[Estimação (horas)]]</f>
        <v>0.1</v>
      </c>
      <c r="X520" s="165">
        <f>+VLOOKUP(CONCATENATE(Table1[[#This Row],[Tabela]],Table1[[#This Row],[Campo]]),'2. Status Detalhe Campos FY24'!A:J,9,FALSE)</f>
        <v>0</v>
      </c>
      <c r="Y520" s="491" t="e">
        <f>+VLOOKUP(A520,#REF!,1,FALSE)</f>
        <v>#REF!</v>
      </c>
    </row>
    <row r="521" spans="1:25" ht="17.899999999999999" hidden="1" customHeight="1">
      <c r="A521" t="str">
        <f>+Table1[[#This Row],[Tabela]]&amp;Table1[[#This Row],[Campo]]</f>
        <v>PROCESS_PROPERTY_RELn.a.</v>
      </c>
      <c r="B521" s="2" t="s">
        <v>26</v>
      </c>
      <c r="C521" s="2" t="s">
        <v>54</v>
      </c>
      <c r="D521" s="2" t="s">
        <v>38</v>
      </c>
      <c r="E521" s="2" t="s">
        <v>38</v>
      </c>
      <c r="F521" s="2" t="s">
        <v>88</v>
      </c>
      <c r="G521" s="2" t="s">
        <v>38</v>
      </c>
      <c r="H521" s="56" t="str">
        <f>Table1[[#This Row],[Tabela]]&amp;Table1[[#This Row],[Campo]]</f>
        <v>PROCESS_PROPERTY_RELn.a.</v>
      </c>
      <c r="I521" s="2" t="s">
        <v>612</v>
      </c>
      <c r="J521" s="42">
        <f>VLOOKUP(Table1[[#This Row],[Status]],Auxiliar!$B$16:$C$24,2,0)</f>
        <v>1</v>
      </c>
      <c r="K521" s="2" t="s">
        <v>1165</v>
      </c>
      <c r="L521" s="28" t="s">
        <v>1166</v>
      </c>
      <c r="M521" s="20" t="s">
        <v>1167</v>
      </c>
      <c r="N521" s="47">
        <v>45485</v>
      </c>
      <c r="O521" s="20">
        <f>INDEX(Auxiliar!$D$5:$F$13,MATCH(Table1[[#This Row],[Tipologia_Testes]],Auxiliar!$B$5:$B$13,0),MATCH(Table1[[#This Row],[Complexidade]],Auxiliar!$D$4:$F$4,0))</f>
        <v>8</v>
      </c>
      <c r="P521" s="22" t="s">
        <v>1195</v>
      </c>
      <c r="Q521" s="2"/>
      <c r="R521" s="151">
        <v>45261</v>
      </c>
      <c r="S521" s="151"/>
      <c r="T521" s="151"/>
      <c r="U521" s="151"/>
      <c r="V521" s="151"/>
      <c r="W521" s="2">
        <f>VLOOKUP(Table1[[#This Row],[Status]],Auxiliar!$B$16:$D$24,3,0)*Table1[[#This Row],[Estimação (horas)]]</f>
        <v>8</v>
      </c>
      <c r="X521" s="165">
        <f>+VLOOKUP(CONCATENATE(Table1[[#This Row],[Tabela]],Table1[[#This Row],[Campo]]),'2. Status Detalhe Campos FY24'!A:J,9,FALSE)</f>
        <v>0</v>
      </c>
      <c r="Y521" s="491" t="e">
        <f>+VLOOKUP(A521,#REF!,1,FALSE)</f>
        <v>#REF!</v>
      </c>
    </row>
    <row r="522" spans="1:25" ht="17.899999999999999" hidden="1" customHeight="1">
      <c r="A522" t="str">
        <f>+Table1[[#This Row],[Tabela]]&amp;Table1[[#This Row],[Campo]]</f>
        <v>PROCESS_PROPERTY_RELPROPERTY_BANK_ID</v>
      </c>
      <c r="B522" s="2" t="s">
        <v>26</v>
      </c>
      <c r="C522" s="2" t="s">
        <v>54</v>
      </c>
      <c r="D522" s="2" t="s">
        <v>38</v>
      </c>
      <c r="E522" s="2" t="s">
        <v>38</v>
      </c>
      <c r="F522" s="2" t="s">
        <v>88</v>
      </c>
      <c r="G522" s="2" t="s">
        <v>41</v>
      </c>
      <c r="H522" s="56" t="str">
        <f>Table1[[#This Row],[Tabela]]&amp;Table1[[#This Row],[Campo]]</f>
        <v>PROCESS_PROPERTY_RELPROPERTY_BANK_ID</v>
      </c>
      <c r="I522" s="3" t="s">
        <v>612</v>
      </c>
      <c r="J522" s="54">
        <f>VLOOKUP(Table1[[#This Row],[Status]],Auxiliar!$B$16:$C$24,2,0)</f>
        <v>1</v>
      </c>
      <c r="K522" s="2" t="s">
        <v>1168</v>
      </c>
      <c r="L522" s="28" t="s">
        <v>1174</v>
      </c>
      <c r="M522" s="20" t="s">
        <v>1175</v>
      </c>
      <c r="N522" s="47">
        <v>45485</v>
      </c>
      <c r="O522" s="20">
        <f>INDEX(Auxiliar!$D$5:$F$13,MATCH(Table1[[#This Row],[Tipologia_Testes]],Auxiliar!$B$5:$B$13,0),MATCH(Table1[[#This Row],[Complexidade]],Auxiliar!$D$4:$F$4,0))</f>
        <v>2</v>
      </c>
      <c r="P522" s="2" t="s">
        <v>1188</v>
      </c>
      <c r="Q522" s="2" t="s">
        <v>1185</v>
      </c>
      <c r="R522" s="151">
        <v>45261</v>
      </c>
      <c r="S522" s="151"/>
      <c r="T522" s="151"/>
      <c r="U522" s="151"/>
      <c r="V522" s="151"/>
      <c r="W522" s="2">
        <f>VLOOKUP(Table1[[#This Row],[Status]],Auxiliar!$B$16:$D$24,3,0)*Table1[[#This Row],[Estimação (horas)]]</f>
        <v>2</v>
      </c>
      <c r="X522" s="165">
        <f>+VLOOKUP(CONCATENATE(Table1[[#This Row],[Tabela]],Table1[[#This Row],[Campo]]),'2. Status Detalhe Campos FY24'!A:J,9,FALSE)</f>
        <v>0</v>
      </c>
      <c r="Y522" s="491" t="e">
        <f>+VLOOKUP(A522,#REF!,1,FALSE)</f>
        <v>#REF!</v>
      </c>
    </row>
    <row r="523" spans="1:25" ht="17.899999999999999" hidden="1" customHeight="1">
      <c r="A523" t="str">
        <f>+Table1[[#This Row],[Tabela]]&amp;Table1[[#This Row],[Campo]]</f>
        <v>PROCESS_PROPERTY_RELPROPERTY_BANK_ID</v>
      </c>
      <c r="B523" s="2" t="s">
        <v>26</v>
      </c>
      <c r="C523" s="2" t="s">
        <v>54</v>
      </c>
      <c r="D523" s="2" t="s">
        <v>38</v>
      </c>
      <c r="E523" s="2" t="s">
        <v>38</v>
      </c>
      <c r="F523" s="2" t="s">
        <v>88</v>
      </c>
      <c r="G523" s="2" t="s">
        <v>41</v>
      </c>
      <c r="H523" s="56" t="str">
        <f>Table1[[#This Row],[Tabela]]&amp;Table1[[#This Row],[Campo]]</f>
        <v>PROCESS_PROPERTY_RELPROPERTY_BANK_ID</v>
      </c>
      <c r="I523" s="3" t="s">
        <v>612</v>
      </c>
      <c r="J523" s="54">
        <f>VLOOKUP(Table1[[#This Row],[Status]],Auxiliar!$B$16:$C$24,2,0)</f>
        <v>1</v>
      </c>
      <c r="K523" s="2" t="s">
        <v>1169</v>
      </c>
      <c r="L523" s="28" t="s">
        <v>1174</v>
      </c>
      <c r="M523" s="20" t="s">
        <v>1175</v>
      </c>
      <c r="N523" s="47">
        <v>45485</v>
      </c>
      <c r="O523" s="20">
        <f>INDEX(Auxiliar!$D$5:$F$13,MATCH(Table1[[#This Row],[Tipologia_Testes]],Auxiliar!$B$5:$B$13,0),MATCH(Table1[[#This Row],[Complexidade]],Auxiliar!$D$4:$F$4,0))</f>
        <v>2</v>
      </c>
      <c r="P523" s="2" t="s">
        <v>1188</v>
      </c>
      <c r="Q523" s="2" t="s">
        <v>1185</v>
      </c>
      <c r="R523" s="151">
        <v>45261</v>
      </c>
      <c r="S523" s="151"/>
      <c r="T523" s="151"/>
      <c r="U523" s="151"/>
      <c r="V523" s="151"/>
      <c r="W523" s="2">
        <f>VLOOKUP(Table1[[#This Row],[Status]],Auxiliar!$B$16:$D$24,3,0)*Table1[[#This Row],[Estimação (horas)]]</f>
        <v>2</v>
      </c>
      <c r="X523" s="165">
        <f>+VLOOKUP(CONCATENATE(Table1[[#This Row],[Tabela]],Table1[[#This Row],[Campo]]),'2. Status Detalhe Campos FY24'!A:J,9,FALSE)</f>
        <v>0</v>
      </c>
      <c r="Y523" s="491" t="e">
        <f>+VLOOKUP(A523,#REF!,1,FALSE)</f>
        <v>#REF!</v>
      </c>
    </row>
    <row r="524" spans="1:25" ht="17.899999999999999" hidden="1" customHeight="1">
      <c r="A524" t="str">
        <f>+Table1[[#This Row],[Tabela]]&amp;Table1[[#This Row],[Campo]]</f>
        <v>PROCESS_PROPERTY_RELPROPERTY_BANK_ID</v>
      </c>
      <c r="B524" s="2" t="s">
        <v>26</v>
      </c>
      <c r="C524" s="2" t="s">
        <v>54</v>
      </c>
      <c r="D524" s="2" t="s">
        <v>38</v>
      </c>
      <c r="E524" s="2" t="s">
        <v>38</v>
      </c>
      <c r="F524" s="2" t="s">
        <v>88</v>
      </c>
      <c r="G524" s="2" t="s">
        <v>41</v>
      </c>
      <c r="H524" s="56" t="str">
        <f>Table1[[#This Row],[Tabela]]&amp;Table1[[#This Row],[Campo]]</f>
        <v>PROCESS_PROPERTY_RELPROPERTY_BANK_ID</v>
      </c>
      <c r="I524" s="3" t="s">
        <v>612</v>
      </c>
      <c r="J524" s="54">
        <f>VLOOKUP(Table1[[#This Row],[Status]],Auxiliar!$B$16:$C$24,2,0)</f>
        <v>1</v>
      </c>
      <c r="K524" s="2" t="s">
        <v>1171</v>
      </c>
      <c r="L524" s="28" t="s">
        <v>1174</v>
      </c>
      <c r="M524" s="20" t="s">
        <v>1175</v>
      </c>
      <c r="N524" s="47">
        <v>45485</v>
      </c>
      <c r="O524" s="20">
        <f>INDEX(Auxiliar!$D$5:$F$13,MATCH(Table1[[#This Row],[Tipologia_Testes]],Auxiliar!$B$5:$B$13,0),MATCH(Table1[[#This Row],[Complexidade]],Auxiliar!$D$4:$F$4,0))</f>
        <v>0.1</v>
      </c>
      <c r="P524" s="2" t="s">
        <v>1188</v>
      </c>
      <c r="Q524" s="2" t="s">
        <v>1185</v>
      </c>
      <c r="R524" s="151">
        <v>45261</v>
      </c>
      <c r="S524" s="151"/>
      <c r="T524" s="151"/>
      <c r="U524" s="151"/>
      <c r="V524" s="151"/>
      <c r="W524" s="2">
        <f>VLOOKUP(Table1[[#This Row],[Status]],Auxiliar!$B$16:$D$24,3,0)*Table1[[#This Row],[Estimação (horas)]]</f>
        <v>0.1</v>
      </c>
      <c r="X524" s="165">
        <f>+VLOOKUP(CONCATENATE(Table1[[#This Row],[Tabela]],Table1[[#This Row],[Campo]]),'2. Status Detalhe Campos FY24'!A:J,9,FALSE)</f>
        <v>0</v>
      </c>
      <c r="Y524" s="491" t="e">
        <f>+VLOOKUP(A524,#REF!,1,FALSE)</f>
        <v>#REF!</v>
      </c>
    </row>
    <row r="525" spans="1:25" ht="17.899999999999999" hidden="1" customHeight="1">
      <c r="A525" t="str">
        <f>+Table1[[#This Row],[Tabela]]&amp;Table1[[#This Row],[Campo]]</f>
        <v>PROCESS_PROPERTY_RELPROCESS_BANK_ID</v>
      </c>
      <c r="B525" s="2" t="s">
        <v>26</v>
      </c>
      <c r="C525" s="2" t="s">
        <v>54</v>
      </c>
      <c r="D525" s="2" t="s">
        <v>38</v>
      </c>
      <c r="E525" s="2" t="s">
        <v>38</v>
      </c>
      <c r="F525" s="2" t="s">
        <v>88</v>
      </c>
      <c r="G525" s="2" t="s">
        <v>57</v>
      </c>
      <c r="H525" s="56" t="str">
        <f>Table1[[#This Row],[Tabela]]&amp;Table1[[#This Row],[Campo]]</f>
        <v>PROCESS_PROPERTY_RELPROCESS_BANK_ID</v>
      </c>
      <c r="I525" s="2" t="s">
        <v>612</v>
      </c>
      <c r="J525" s="42">
        <f>VLOOKUP(Table1[[#This Row],[Status]],Auxiliar!$B$16:$C$24,2,0)</f>
        <v>1</v>
      </c>
      <c r="K525" s="2" t="s">
        <v>1168</v>
      </c>
      <c r="L525" s="28" t="s">
        <v>1166</v>
      </c>
      <c r="M525" s="20" t="s">
        <v>1176</v>
      </c>
      <c r="N525" s="47">
        <v>45499</v>
      </c>
      <c r="O525" s="20">
        <f>INDEX(Auxiliar!$D$5:$F$13,MATCH(Table1[[#This Row],[Tipologia_Testes]],Auxiliar!$B$5:$B$13,0),MATCH(Table1[[#This Row],[Complexidade]],Auxiliar!$D$4:$F$4,0))</f>
        <v>4</v>
      </c>
      <c r="P525" s="2" t="s">
        <v>1188</v>
      </c>
      <c r="Q525" s="2" t="s">
        <v>1185</v>
      </c>
      <c r="R525" s="151">
        <v>45261</v>
      </c>
      <c r="S525" s="151">
        <v>45495</v>
      </c>
      <c r="T525" s="151"/>
      <c r="U525" s="151"/>
      <c r="V525" s="151"/>
      <c r="W525" s="2">
        <f>VLOOKUP(Table1[[#This Row],[Status]],Auxiliar!$B$16:$D$24,3,0)*Table1[[#This Row],[Estimação (horas)]]</f>
        <v>4</v>
      </c>
      <c r="X525" s="165">
        <f>+VLOOKUP(CONCATENATE(Table1[[#This Row],[Tabela]],Table1[[#This Row],[Campo]]),'2. Status Detalhe Campos FY24'!A:J,9,FALSE)</f>
        <v>0</v>
      </c>
      <c r="Y525" s="491" t="e">
        <f>+VLOOKUP(A525,#REF!,1,FALSE)</f>
        <v>#REF!</v>
      </c>
    </row>
    <row r="526" spans="1:25" ht="17.899999999999999" hidden="1" customHeight="1">
      <c r="A526" t="str">
        <f>+Table1[[#This Row],[Tabela]]&amp;Table1[[#This Row],[Campo]]</f>
        <v>PROCESS_PROPERTY_RELPROCESS_BANK_ID</v>
      </c>
      <c r="B526" s="2" t="s">
        <v>26</v>
      </c>
      <c r="C526" s="2" t="s">
        <v>54</v>
      </c>
      <c r="D526" s="2" t="s">
        <v>38</v>
      </c>
      <c r="E526" s="2" t="s">
        <v>38</v>
      </c>
      <c r="F526" s="2" t="s">
        <v>88</v>
      </c>
      <c r="G526" s="2" t="s">
        <v>57</v>
      </c>
      <c r="H526" s="56" t="str">
        <f>Table1[[#This Row],[Tabela]]&amp;Table1[[#This Row],[Campo]]</f>
        <v>PROCESS_PROPERTY_RELPROCESS_BANK_ID</v>
      </c>
      <c r="I526" s="2" t="s">
        <v>612</v>
      </c>
      <c r="J526" s="42">
        <f>VLOOKUP(Table1[[#This Row],[Status]],Auxiliar!$B$16:$C$24,2,0)</f>
        <v>1</v>
      </c>
      <c r="K526" s="2" t="s">
        <v>1169</v>
      </c>
      <c r="L526" s="28" t="s">
        <v>1166</v>
      </c>
      <c r="M526" s="20" t="s">
        <v>1176</v>
      </c>
      <c r="N526" s="47">
        <v>45499</v>
      </c>
      <c r="O526" s="20">
        <f>INDEX(Auxiliar!$D$5:$F$13,MATCH(Table1[[#This Row],[Tipologia_Testes]],Auxiliar!$B$5:$B$13,0),MATCH(Table1[[#This Row],[Complexidade]],Auxiliar!$D$4:$F$4,0))</f>
        <v>4</v>
      </c>
      <c r="P526" s="2" t="s">
        <v>1188</v>
      </c>
      <c r="Q526" s="2" t="s">
        <v>1185</v>
      </c>
      <c r="R526" s="151">
        <v>45261</v>
      </c>
      <c r="S526" s="151">
        <v>45495</v>
      </c>
      <c r="T526" s="151"/>
      <c r="U526" s="151"/>
      <c r="V526" s="151"/>
      <c r="W526" s="2">
        <f>VLOOKUP(Table1[[#This Row],[Status]],Auxiliar!$B$16:$D$24,3,0)*Table1[[#This Row],[Estimação (horas)]]</f>
        <v>4</v>
      </c>
      <c r="X526" s="165">
        <f>+VLOOKUP(CONCATENATE(Table1[[#This Row],[Tabela]],Table1[[#This Row],[Campo]]),'2. Status Detalhe Campos FY24'!A:J,9,FALSE)</f>
        <v>0</v>
      </c>
      <c r="Y526" s="491" t="e">
        <f>+VLOOKUP(A526,#REF!,1,FALSE)</f>
        <v>#REF!</v>
      </c>
    </row>
    <row r="527" spans="1:25" ht="17.899999999999999" hidden="1" customHeight="1">
      <c r="A527" t="str">
        <f>+Table1[[#This Row],[Tabela]]&amp;Table1[[#This Row],[Campo]]</f>
        <v>PROCESS_PROPERTY_RELPROCESS_BANK_ID</v>
      </c>
      <c r="B527" s="2" t="s">
        <v>26</v>
      </c>
      <c r="C527" s="2" t="s">
        <v>54</v>
      </c>
      <c r="D527" s="2" t="s">
        <v>38</v>
      </c>
      <c r="E527" s="2" t="s">
        <v>38</v>
      </c>
      <c r="F527" s="2" t="s">
        <v>88</v>
      </c>
      <c r="G527" s="2" t="s">
        <v>57</v>
      </c>
      <c r="H527" s="56" t="str">
        <f>Table1[[#This Row],[Tabela]]&amp;Table1[[#This Row],[Campo]]</f>
        <v>PROCESS_PROPERTY_RELPROCESS_BANK_ID</v>
      </c>
      <c r="I527" s="2" t="s">
        <v>612</v>
      </c>
      <c r="J527" s="42">
        <f>VLOOKUP(Table1[[#This Row],[Status]],Auxiliar!$B$16:$C$24,2,0)</f>
        <v>1</v>
      </c>
      <c r="K527" s="2" t="s">
        <v>1171</v>
      </c>
      <c r="L527" s="28" t="s">
        <v>1166</v>
      </c>
      <c r="M527" s="20" t="s">
        <v>1176</v>
      </c>
      <c r="N527" s="47">
        <v>45499</v>
      </c>
      <c r="O527" s="20">
        <f>INDEX(Auxiliar!$D$5:$F$13,MATCH(Table1[[#This Row],[Tipologia_Testes]],Auxiliar!$B$5:$B$13,0),MATCH(Table1[[#This Row],[Complexidade]],Auxiliar!$D$4:$F$4,0))</f>
        <v>0.1</v>
      </c>
      <c r="P527" s="2" t="s">
        <v>1188</v>
      </c>
      <c r="Q527" s="2" t="s">
        <v>1185</v>
      </c>
      <c r="R527" s="151">
        <v>45261</v>
      </c>
      <c r="S527" s="151">
        <v>45495</v>
      </c>
      <c r="T527" s="151"/>
      <c r="U527" s="151"/>
      <c r="V527" s="151"/>
      <c r="W527" s="2">
        <f>VLOOKUP(Table1[[#This Row],[Status]],Auxiliar!$B$16:$D$24,3,0)*Table1[[#This Row],[Estimação (horas)]]</f>
        <v>0.1</v>
      </c>
      <c r="X527" s="165">
        <f>+VLOOKUP(CONCATENATE(Table1[[#This Row],[Tabela]],Table1[[#This Row],[Campo]]),'2. Status Detalhe Campos FY24'!A:J,9,FALSE)</f>
        <v>0</v>
      </c>
      <c r="Y527" s="491" t="e">
        <f>+VLOOKUP(A527,#REF!,1,FALSE)</f>
        <v>#REF!</v>
      </c>
    </row>
    <row r="528" spans="1:25" ht="17.899999999999999" hidden="1" customHeight="1">
      <c r="A528" t="str">
        <f>+Table1[[#This Row],[Tabela]]&amp;Table1[[#This Row],[Campo]]</f>
        <v>PROCESS_PROPERTY_RELPROPERTY_BRANCH_CODE</v>
      </c>
      <c r="B528" s="2" t="s">
        <v>26</v>
      </c>
      <c r="C528" s="2" t="s">
        <v>54</v>
      </c>
      <c r="D528" s="2" t="s">
        <v>38</v>
      </c>
      <c r="E528" s="2" t="s">
        <v>38</v>
      </c>
      <c r="F528" s="2" t="s">
        <v>88</v>
      </c>
      <c r="G528" s="2" t="s">
        <v>43</v>
      </c>
      <c r="H528" s="56" t="str">
        <f>Table1[[#This Row],[Tabela]]&amp;Table1[[#This Row],[Campo]]</f>
        <v>PROCESS_PROPERTY_RELPROPERTY_BRANCH_CODE</v>
      </c>
      <c r="I528" s="2" t="s">
        <v>612</v>
      </c>
      <c r="J528" s="42">
        <f>VLOOKUP(Table1[[#This Row],[Status]],Auxiliar!$B$16:$C$24,2,0)</f>
        <v>1</v>
      </c>
      <c r="K528" s="2" t="s">
        <v>1168</v>
      </c>
      <c r="L528" s="28" t="s">
        <v>1166</v>
      </c>
      <c r="M528" s="20" t="s">
        <v>1176</v>
      </c>
      <c r="N528" s="47">
        <v>45499</v>
      </c>
      <c r="O528" s="20">
        <f>INDEX(Auxiliar!$D$5:$F$13,MATCH(Table1[[#This Row],[Tipologia_Testes]],Auxiliar!$B$5:$B$13,0),MATCH(Table1[[#This Row],[Complexidade]],Auxiliar!$D$4:$F$4,0))</f>
        <v>4</v>
      </c>
      <c r="P528" s="2" t="s">
        <v>1188</v>
      </c>
      <c r="Q528" s="2" t="s">
        <v>1185</v>
      </c>
      <c r="R528" s="151">
        <v>45261</v>
      </c>
      <c r="S528" s="151">
        <v>45495</v>
      </c>
      <c r="T528" s="151"/>
      <c r="U528" s="151"/>
      <c r="V528" s="151"/>
      <c r="W528" s="2">
        <f>VLOOKUP(Table1[[#This Row],[Status]],Auxiliar!$B$16:$D$24,3,0)*Table1[[#This Row],[Estimação (horas)]]</f>
        <v>4</v>
      </c>
      <c r="X528" s="165">
        <f>+VLOOKUP(CONCATENATE(Table1[[#This Row],[Tabela]],Table1[[#This Row],[Campo]]),'2. Status Detalhe Campos FY24'!A:J,9,FALSE)</f>
        <v>0</v>
      </c>
      <c r="Y528" s="491" t="e">
        <f>+VLOOKUP(A528,#REF!,1,FALSE)</f>
        <v>#REF!</v>
      </c>
    </row>
    <row r="529" spans="1:25" ht="17.899999999999999" hidden="1" customHeight="1">
      <c r="A529" t="str">
        <f>+Table1[[#This Row],[Tabela]]&amp;Table1[[#This Row],[Campo]]</f>
        <v>PROCESS_PROPERTY_RELPROPERTY_BRANCH_CODE</v>
      </c>
      <c r="B529" s="2" t="s">
        <v>26</v>
      </c>
      <c r="C529" s="2" t="s">
        <v>54</v>
      </c>
      <c r="D529" s="2" t="s">
        <v>38</v>
      </c>
      <c r="E529" s="2" t="s">
        <v>38</v>
      </c>
      <c r="F529" s="2" t="s">
        <v>88</v>
      </c>
      <c r="G529" s="2" t="s">
        <v>43</v>
      </c>
      <c r="H529" s="56" t="str">
        <f>Table1[[#This Row],[Tabela]]&amp;Table1[[#This Row],[Campo]]</f>
        <v>PROCESS_PROPERTY_RELPROPERTY_BRANCH_CODE</v>
      </c>
      <c r="I529" s="2" t="s">
        <v>612</v>
      </c>
      <c r="J529" s="42">
        <f>VLOOKUP(Table1[[#This Row],[Status]],Auxiliar!$B$16:$C$24,2,0)</f>
        <v>1</v>
      </c>
      <c r="K529" s="2" t="s">
        <v>1169</v>
      </c>
      <c r="L529" s="28" t="s">
        <v>1166</v>
      </c>
      <c r="M529" s="20" t="s">
        <v>1176</v>
      </c>
      <c r="N529" s="47">
        <v>45499</v>
      </c>
      <c r="O529" s="20">
        <f>INDEX(Auxiliar!$D$5:$F$13,MATCH(Table1[[#This Row],[Tipologia_Testes]],Auxiliar!$B$5:$B$13,0),MATCH(Table1[[#This Row],[Complexidade]],Auxiliar!$D$4:$F$4,0))</f>
        <v>4</v>
      </c>
      <c r="P529" s="2" t="s">
        <v>1188</v>
      </c>
      <c r="Q529" s="2" t="s">
        <v>1185</v>
      </c>
      <c r="R529" s="151">
        <v>45261</v>
      </c>
      <c r="S529" s="151">
        <v>45495</v>
      </c>
      <c r="T529" s="151"/>
      <c r="U529" s="151"/>
      <c r="V529" s="151"/>
      <c r="W529" s="2">
        <f>VLOOKUP(Table1[[#This Row],[Status]],Auxiliar!$B$16:$D$24,3,0)*Table1[[#This Row],[Estimação (horas)]]</f>
        <v>4</v>
      </c>
      <c r="X529" s="165">
        <f>+VLOOKUP(CONCATENATE(Table1[[#This Row],[Tabela]],Table1[[#This Row],[Campo]]),'2. Status Detalhe Campos FY24'!A:J,9,FALSE)</f>
        <v>0</v>
      </c>
      <c r="Y529" s="491" t="e">
        <f>+VLOOKUP(A529,#REF!,1,FALSE)</f>
        <v>#REF!</v>
      </c>
    </row>
    <row r="530" spans="1:25" ht="17.899999999999999" hidden="1" customHeight="1">
      <c r="A530" t="str">
        <f>+Table1[[#This Row],[Tabela]]&amp;Table1[[#This Row],[Campo]]</f>
        <v>PROCESS_PROPERTY_RELPROPERTY_BRANCH_CODE</v>
      </c>
      <c r="B530" s="2" t="s">
        <v>26</v>
      </c>
      <c r="C530" s="2" t="s">
        <v>54</v>
      </c>
      <c r="D530" s="2" t="s">
        <v>38</v>
      </c>
      <c r="E530" s="2" t="s">
        <v>38</v>
      </c>
      <c r="F530" s="2" t="s">
        <v>88</v>
      </c>
      <c r="G530" s="2" t="s">
        <v>43</v>
      </c>
      <c r="H530" s="56" t="str">
        <f>Table1[[#This Row],[Tabela]]&amp;Table1[[#This Row],[Campo]]</f>
        <v>PROCESS_PROPERTY_RELPROPERTY_BRANCH_CODE</v>
      </c>
      <c r="I530" s="2" t="s">
        <v>612</v>
      </c>
      <c r="J530" s="42">
        <f>VLOOKUP(Table1[[#This Row],[Status]],Auxiliar!$B$16:$C$24,2,0)</f>
        <v>1</v>
      </c>
      <c r="K530" s="2" t="s">
        <v>1171</v>
      </c>
      <c r="L530" s="28" t="s">
        <v>1166</v>
      </c>
      <c r="M530" s="20" t="s">
        <v>1176</v>
      </c>
      <c r="N530" s="47">
        <v>45499</v>
      </c>
      <c r="O530" s="20">
        <f>INDEX(Auxiliar!$D$5:$F$13,MATCH(Table1[[#This Row],[Tipologia_Testes]],Auxiliar!$B$5:$B$13,0),MATCH(Table1[[#This Row],[Complexidade]],Auxiliar!$D$4:$F$4,0))</f>
        <v>0.1</v>
      </c>
      <c r="P530" s="2" t="s">
        <v>1188</v>
      </c>
      <c r="Q530" s="2" t="s">
        <v>1185</v>
      </c>
      <c r="R530" s="151">
        <v>45261</v>
      </c>
      <c r="S530" s="151">
        <v>45495</v>
      </c>
      <c r="T530" s="151"/>
      <c r="U530" s="151"/>
      <c r="V530" s="151"/>
      <c r="W530" s="2">
        <f>VLOOKUP(Table1[[#This Row],[Status]],Auxiliar!$B$16:$D$24,3,0)*Table1[[#This Row],[Estimação (horas)]]</f>
        <v>0.1</v>
      </c>
      <c r="X530" s="165">
        <f>+VLOOKUP(CONCATENATE(Table1[[#This Row],[Tabela]],Table1[[#This Row],[Campo]]),'2. Status Detalhe Campos FY24'!A:J,9,FALSE)</f>
        <v>0</v>
      </c>
      <c r="Y530" s="491" t="e">
        <f>+VLOOKUP(A530,#REF!,1,FALSE)</f>
        <v>#REF!</v>
      </c>
    </row>
    <row r="531" spans="1:25" ht="17.899999999999999" hidden="1" customHeight="1">
      <c r="A531" t="str">
        <f>+Table1[[#This Row],[Tabela]]&amp;Table1[[#This Row],[Campo]]</f>
        <v>PROCESS_PROPERTY_RELPROCESS_BRANCH_CODE</v>
      </c>
      <c r="B531" s="2" t="s">
        <v>26</v>
      </c>
      <c r="C531" s="2" t="s">
        <v>54</v>
      </c>
      <c r="D531" s="2" t="s">
        <v>38</v>
      </c>
      <c r="E531" s="2" t="s">
        <v>38</v>
      </c>
      <c r="F531" s="2" t="s">
        <v>88</v>
      </c>
      <c r="G531" s="2" t="s">
        <v>58</v>
      </c>
      <c r="H531" s="56" t="str">
        <f>Table1[[#This Row],[Tabela]]&amp;Table1[[#This Row],[Campo]]</f>
        <v>PROCESS_PROPERTY_RELPROCESS_BRANCH_CODE</v>
      </c>
      <c r="I531" s="2" t="s">
        <v>612</v>
      </c>
      <c r="J531" s="42">
        <f>VLOOKUP(Table1[[#This Row],[Status]],Auxiliar!$B$16:$C$24,2,0)</f>
        <v>1</v>
      </c>
      <c r="K531" s="2" t="s">
        <v>1168</v>
      </c>
      <c r="L531" s="28" t="s">
        <v>1166</v>
      </c>
      <c r="M531" s="20" t="s">
        <v>1176</v>
      </c>
      <c r="N531" s="47">
        <v>45499</v>
      </c>
      <c r="O531" s="20">
        <f>INDEX(Auxiliar!$D$5:$F$13,MATCH(Table1[[#This Row],[Tipologia_Testes]],Auxiliar!$B$5:$B$13,0),MATCH(Table1[[#This Row],[Complexidade]],Auxiliar!$D$4:$F$4,0))</f>
        <v>4</v>
      </c>
      <c r="P531" s="2" t="s">
        <v>1188</v>
      </c>
      <c r="Q531" s="2" t="s">
        <v>1185</v>
      </c>
      <c r="R531" s="151">
        <v>45261</v>
      </c>
      <c r="S531" s="151">
        <v>45495</v>
      </c>
      <c r="T531" s="151"/>
      <c r="U531" s="151"/>
      <c r="V531" s="151"/>
      <c r="W531" s="2">
        <f>VLOOKUP(Table1[[#This Row],[Status]],Auxiliar!$B$16:$D$24,3,0)*Table1[[#This Row],[Estimação (horas)]]</f>
        <v>4</v>
      </c>
      <c r="X531" s="165">
        <f>+VLOOKUP(CONCATENATE(Table1[[#This Row],[Tabela]],Table1[[#This Row],[Campo]]),'2. Status Detalhe Campos FY24'!A:J,9,FALSE)</f>
        <v>0</v>
      </c>
      <c r="Y531" s="491" t="e">
        <f>+VLOOKUP(A531,#REF!,1,FALSE)</f>
        <v>#REF!</v>
      </c>
    </row>
    <row r="532" spans="1:25" ht="17.899999999999999" hidden="1" customHeight="1">
      <c r="A532" t="str">
        <f>+Table1[[#This Row],[Tabela]]&amp;Table1[[#This Row],[Campo]]</f>
        <v>PROCESS_PROPERTY_RELPROCESS_BRANCH_CODE</v>
      </c>
      <c r="B532" s="2" t="s">
        <v>26</v>
      </c>
      <c r="C532" s="2" t="s">
        <v>54</v>
      </c>
      <c r="D532" s="2" t="s">
        <v>38</v>
      </c>
      <c r="E532" s="2" t="s">
        <v>38</v>
      </c>
      <c r="F532" s="2" t="s">
        <v>88</v>
      </c>
      <c r="G532" s="2" t="s">
        <v>58</v>
      </c>
      <c r="H532" s="56" t="str">
        <f>Table1[[#This Row],[Tabela]]&amp;Table1[[#This Row],[Campo]]</f>
        <v>PROCESS_PROPERTY_RELPROCESS_BRANCH_CODE</v>
      </c>
      <c r="I532" s="2" t="s">
        <v>612</v>
      </c>
      <c r="J532" s="42">
        <f>VLOOKUP(Table1[[#This Row],[Status]],Auxiliar!$B$16:$C$24,2,0)</f>
        <v>1</v>
      </c>
      <c r="K532" s="2" t="s">
        <v>1169</v>
      </c>
      <c r="L532" s="28" t="s">
        <v>1166</v>
      </c>
      <c r="M532" s="20" t="s">
        <v>1176</v>
      </c>
      <c r="N532" s="47">
        <v>45499</v>
      </c>
      <c r="O532" s="20">
        <f>INDEX(Auxiliar!$D$5:$F$13,MATCH(Table1[[#This Row],[Tipologia_Testes]],Auxiliar!$B$5:$B$13,0),MATCH(Table1[[#This Row],[Complexidade]],Auxiliar!$D$4:$F$4,0))</f>
        <v>4</v>
      </c>
      <c r="P532" s="2" t="s">
        <v>1188</v>
      </c>
      <c r="Q532" s="2" t="s">
        <v>1185</v>
      </c>
      <c r="R532" s="151">
        <v>45261</v>
      </c>
      <c r="S532" s="151">
        <v>45495</v>
      </c>
      <c r="T532" s="151"/>
      <c r="U532" s="151"/>
      <c r="V532" s="151"/>
      <c r="W532" s="2">
        <f>VLOOKUP(Table1[[#This Row],[Status]],Auxiliar!$B$16:$D$24,3,0)*Table1[[#This Row],[Estimação (horas)]]</f>
        <v>4</v>
      </c>
      <c r="X532" s="165">
        <f>+VLOOKUP(CONCATENATE(Table1[[#This Row],[Tabela]],Table1[[#This Row],[Campo]]),'2. Status Detalhe Campos FY24'!A:J,9,FALSE)</f>
        <v>0</v>
      </c>
      <c r="Y532" s="491" t="e">
        <f>+VLOOKUP(A532,#REF!,1,FALSE)</f>
        <v>#REF!</v>
      </c>
    </row>
    <row r="533" spans="1:25" ht="17.899999999999999" hidden="1" customHeight="1">
      <c r="A533" t="str">
        <f>+Table1[[#This Row],[Tabela]]&amp;Table1[[#This Row],[Campo]]</f>
        <v>PROCESS_PROPERTY_RELPROCESS_BRANCH_CODE</v>
      </c>
      <c r="B533" s="2" t="s">
        <v>26</v>
      </c>
      <c r="C533" s="2" t="s">
        <v>54</v>
      </c>
      <c r="D533" s="2" t="s">
        <v>38</v>
      </c>
      <c r="E533" s="2" t="s">
        <v>38</v>
      </c>
      <c r="F533" s="2" t="s">
        <v>88</v>
      </c>
      <c r="G533" s="2" t="s">
        <v>58</v>
      </c>
      <c r="H533" s="56" t="str">
        <f>Table1[[#This Row],[Tabela]]&amp;Table1[[#This Row],[Campo]]</f>
        <v>PROCESS_PROPERTY_RELPROCESS_BRANCH_CODE</v>
      </c>
      <c r="I533" s="2" t="s">
        <v>612</v>
      </c>
      <c r="J533" s="42">
        <f>VLOOKUP(Table1[[#This Row],[Status]],Auxiliar!$B$16:$C$24,2,0)</f>
        <v>1</v>
      </c>
      <c r="K533" s="2" t="s">
        <v>1171</v>
      </c>
      <c r="L533" s="28" t="s">
        <v>1166</v>
      </c>
      <c r="M533" s="20" t="s">
        <v>1176</v>
      </c>
      <c r="N533" s="47">
        <v>45499</v>
      </c>
      <c r="O533" s="20">
        <f>INDEX(Auxiliar!$D$5:$F$13,MATCH(Table1[[#This Row],[Tipologia_Testes]],Auxiliar!$B$5:$B$13,0),MATCH(Table1[[#This Row],[Complexidade]],Auxiliar!$D$4:$F$4,0))</f>
        <v>0.1</v>
      </c>
      <c r="P533" s="2" t="s">
        <v>1188</v>
      </c>
      <c r="Q533" s="2" t="s">
        <v>1185</v>
      </c>
      <c r="R533" s="151">
        <v>45261</v>
      </c>
      <c r="S533" s="151">
        <v>45495</v>
      </c>
      <c r="T533" s="151"/>
      <c r="U533" s="151"/>
      <c r="V533" s="151"/>
      <c r="W533" s="2">
        <f>VLOOKUP(Table1[[#This Row],[Status]],Auxiliar!$B$16:$D$24,3,0)*Table1[[#This Row],[Estimação (horas)]]</f>
        <v>0.1</v>
      </c>
      <c r="X533" s="165">
        <f>+VLOOKUP(CONCATENATE(Table1[[#This Row],[Tabela]],Table1[[#This Row],[Campo]]),'2. Status Detalhe Campos FY24'!A:J,9,FALSE)</f>
        <v>0</v>
      </c>
      <c r="Y533" s="491" t="e">
        <f>+VLOOKUP(A533,#REF!,1,FALSE)</f>
        <v>#REF!</v>
      </c>
    </row>
    <row r="534" spans="1:25" ht="17.899999999999999" hidden="1" customHeight="1">
      <c r="A534" t="str">
        <f>+Table1[[#This Row],[Tabela]]&amp;Table1[[#This Row],[Campo]]</f>
        <v>PROCESS_PROPERTY_RELPROPERTY_CONTRACT_ID</v>
      </c>
      <c r="B534" s="2" t="s">
        <v>26</v>
      </c>
      <c r="C534" s="2" t="s">
        <v>54</v>
      </c>
      <c r="D534" s="2" t="s">
        <v>38</v>
      </c>
      <c r="E534" s="2" t="s">
        <v>38</v>
      </c>
      <c r="F534" s="2" t="s">
        <v>88</v>
      </c>
      <c r="G534" s="2" t="s">
        <v>44</v>
      </c>
      <c r="H534" s="56" t="str">
        <f>Table1[[#This Row],[Tabela]]&amp;Table1[[#This Row],[Campo]]</f>
        <v>PROCESS_PROPERTY_RELPROPERTY_CONTRACT_ID</v>
      </c>
      <c r="I534" s="2" t="s">
        <v>612</v>
      </c>
      <c r="J534" s="42">
        <f>VLOOKUP(Table1[[#This Row],[Status]],Auxiliar!$B$16:$C$24,2,0)</f>
        <v>1</v>
      </c>
      <c r="K534" s="2" t="s">
        <v>1168</v>
      </c>
      <c r="L534" s="28" t="s">
        <v>1166</v>
      </c>
      <c r="M534" s="20" t="s">
        <v>1176</v>
      </c>
      <c r="N534" s="47">
        <v>45499</v>
      </c>
      <c r="O534" s="20">
        <f>INDEX(Auxiliar!$D$5:$F$13,MATCH(Table1[[#This Row],[Tipologia_Testes]],Auxiliar!$B$5:$B$13,0),MATCH(Table1[[#This Row],[Complexidade]],Auxiliar!$D$4:$F$4,0))</f>
        <v>4</v>
      </c>
      <c r="P534" s="2" t="s">
        <v>1188</v>
      </c>
      <c r="Q534" s="2" t="s">
        <v>1185</v>
      </c>
      <c r="R534" s="151">
        <v>45261</v>
      </c>
      <c r="S534" s="151">
        <v>45495</v>
      </c>
      <c r="T534" s="151"/>
      <c r="U534" s="151"/>
      <c r="V534" s="151"/>
      <c r="W534" s="2">
        <f>VLOOKUP(Table1[[#This Row],[Status]],Auxiliar!$B$16:$D$24,3,0)*Table1[[#This Row],[Estimação (horas)]]</f>
        <v>4</v>
      </c>
      <c r="X534" s="165">
        <f>+VLOOKUP(CONCATENATE(Table1[[#This Row],[Tabela]],Table1[[#This Row],[Campo]]),'2. Status Detalhe Campos FY24'!A:J,9,FALSE)</f>
        <v>0</v>
      </c>
      <c r="Y534" s="491" t="e">
        <f>+VLOOKUP(A534,#REF!,1,FALSE)</f>
        <v>#REF!</v>
      </c>
    </row>
    <row r="535" spans="1:25" ht="17.899999999999999" hidden="1" customHeight="1">
      <c r="A535" t="str">
        <f>+Table1[[#This Row],[Tabela]]&amp;Table1[[#This Row],[Campo]]</f>
        <v>PROCESS_PROPERTY_RELPROPERTY_CONTRACT_ID</v>
      </c>
      <c r="B535" s="2" t="s">
        <v>26</v>
      </c>
      <c r="C535" s="2" t="s">
        <v>54</v>
      </c>
      <c r="D535" s="2" t="s">
        <v>38</v>
      </c>
      <c r="E535" s="2" t="s">
        <v>38</v>
      </c>
      <c r="F535" s="2" t="s">
        <v>88</v>
      </c>
      <c r="G535" s="2" t="s">
        <v>44</v>
      </c>
      <c r="H535" s="56" t="str">
        <f>Table1[[#This Row],[Tabela]]&amp;Table1[[#This Row],[Campo]]</f>
        <v>PROCESS_PROPERTY_RELPROPERTY_CONTRACT_ID</v>
      </c>
      <c r="I535" s="2" t="s">
        <v>612</v>
      </c>
      <c r="J535" s="42">
        <f>VLOOKUP(Table1[[#This Row],[Status]],Auxiliar!$B$16:$C$24,2,0)</f>
        <v>1</v>
      </c>
      <c r="K535" s="2" t="s">
        <v>1169</v>
      </c>
      <c r="L535" s="28" t="s">
        <v>1166</v>
      </c>
      <c r="M535" s="20" t="s">
        <v>1176</v>
      </c>
      <c r="N535" s="47">
        <v>45499</v>
      </c>
      <c r="O535" s="20">
        <f>INDEX(Auxiliar!$D$5:$F$13,MATCH(Table1[[#This Row],[Tipologia_Testes]],Auxiliar!$B$5:$B$13,0),MATCH(Table1[[#This Row],[Complexidade]],Auxiliar!$D$4:$F$4,0))</f>
        <v>4</v>
      </c>
      <c r="P535" s="2" t="s">
        <v>1188</v>
      </c>
      <c r="Q535" s="2" t="s">
        <v>1185</v>
      </c>
      <c r="R535" s="151">
        <v>45261</v>
      </c>
      <c r="S535" s="151">
        <v>45495</v>
      </c>
      <c r="T535" s="151"/>
      <c r="U535" s="151"/>
      <c r="V535" s="151"/>
      <c r="W535" s="2">
        <f>VLOOKUP(Table1[[#This Row],[Status]],Auxiliar!$B$16:$D$24,3,0)*Table1[[#This Row],[Estimação (horas)]]</f>
        <v>4</v>
      </c>
      <c r="X535" s="165">
        <f>+VLOOKUP(CONCATENATE(Table1[[#This Row],[Tabela]],Table1[[#This Row],[Campo]]),'2. Status Detalhe Campos FY24'!A:J,9,FALSE)</f>
        <v>0</v>
      </c>
      <c r="Y535" s="491" t="e">
        <f>+VLOOKUP(A535,#REF!,1,FALSE)</f>
        <v>#REF!</v>
      </c>
    </row>
    <row r="536" spans="1:25" ht="17.899999999999999" hidden="1" customHeight="1">
      <c r="A536" t="str">
        <f>+Table1[[#This Row],[Tabela]]&amp;Table1[[#This Row],[Campo]]</f>
        <v>PROCESS_PROPERTY_RELPROPERTY_CONTRACT_ID</v>
      </c>
      <c r="B536" s="2" t="s">
        <v>26</v>
      </c>
      <c r="C536" s="2" t="s">
        <v>54</v>
      </c>
      <c r="D536" s="2" t="s">
        <v>38</v>
      </c>
      <c r="E536" s="2" t="s">
        <v>38</v>
      </c>
      <c r="F536" s="2" t="s">
        <v>88</v>
      </c>
      <c r="G536" s="2" t="s">
        <v>44</v>
      </c>
      <c r="H536" s="56" t="str">
        <f>Table1[[#This Row],[Tabela]]&amp;Table1[[#This Row],[Campo]]</f>
        <v>PROCESS_PROPERTY_RELPROPERTY_CONTRACT_ID</v>
      </c>
      <c r="I536" s="2" t="s">
        <v>612</v>
      </c>
      <c r="J536" s="42">
        <f>VLOOKUP(Table1[[#This Row],[Status]],Auxiliar!$B$16:$C$24,2,0)</f>
        <v>1</v>
      </c>
      <c r="K536" s="2" t="s">
        <v>1171</v>
      </c>
      <c r="L536" s="28" t="s">
        <v>1166</v>
      </c>
      <c r="M536" s="20" t="s">
        <v>1176</v>
      </c>
      <c r="N536" s="47">
        <v>45499</v>
      </c>
      <c r="O536" s="20">
        <f>INDEX(Auxiliar!$D$5:$F$13,MATCH(Table1[[#This Row],[Tipologia_Testes]],Auxiliar!$B$5:$B$13,0),MATCH(Table1[[#This Row],[Complexidade]],Auxiliar!$D$4:$F$4,0))</f>
        <v>0.1</v>
      </c>
      <c r="P536" s="2" t="s">
        <v>1188</v>
      </c>
      <c r="Q536" s="2" t="s">
        <v>1185</v>
      </c>
      <c r="R536" s="151">
        <v>45261</v>
      </c>
      <c r="S536" s="151">
        <v>45495</v>
      </c>
      <c r="T536" s="151"/>
      <c r="U536" s="151"/>
      <c r="V536" s="151"/>
      <c r="W536" s="2">
        <f>VLOOKUP(Table1[[#This Row],[Status]],Auxiliar!$B$16:$D$24,3,0)*Table1[[#This Row],[Estimação (horas)]]</f>
        <v>0.1</v>
      </c>
      <c r="X536" s="165">
        <f>+VLOOKUP(CONCATENATE(Table1[[#This Row],[Tabela]],Table1[[#This Row],[Campo]]),'2. Status Detalhe Campos FY24'!A:J,9,FALSE)</f>
        <v>0</v>
      </c>
      <c r="Y536" s="491" t="e">
        <f>+VLOOKUP(A536,#REF!,1,FALSE)</f>
        <v>#REF!</v>
      </c>
    </row>
    <row r="537" spans="1:25" ht="17.899999999999999" hidden="1" customHeight="1">
      <c r="A537" t="str">
        <f>+Table1[[#This Row],[Tabela]]&amp;Table1[[#This Row],[Campo]]</f>
        <v>PROCESS_PROPERTY_RELPROCESS_ACCOUNT_ID</v>
      </c>
      <c r="B537" s="2" t="s">
        <v>26</v>
      </c>
      <c r="C537" s="2" t="s">
        <v>54</v>
      </c>
      <c r="D537" s="2" t="s">
        <v>38</v>
      </c>
      <c r="E537" s="2" t="s">
        <v>38</v>
      </c>
      <c r="F537" s="2" t="s">
        <v>88</v>
      </c>
      <c r="G537" s="2" t="s">
        <v>59</v>
      </c>
      <c r="H537" s="56" t="str">
        <f>Table1[[#This Row],[Tabela]]&amp;Table1[[#This Row],[Campo]]</f>
        <v>PROCESS_PROPERTY_RELPROCESS_ACCOUNT_ID</v>
      </c>
      <c r="I537" s="2" t="s">
        <v>612</v>
      </c>
      <c r="J537" s="42">
        <f>VLOOKUP(Table1[[#This Row],[Status]],Auxiliar!$B$16:$C$24,2,0)</f>
        <v>1</v>
      </c>
      <c r="K537" s="2" t="s">
        <v>1168</v>
      </c>
      <c r="L537" s="28" t="s">
        <v>1166</v>
      </c>
      <c r="M537" s="20" t="s">
        <v>1176</v>
      </c>
      <c r="N537" s="47">
        <v>45499</v>
      </c>
      <c r="O537" s="20">
        <f>INDEX(Auxiliar!$D$5:$F$13,MATCH(Table1[[#This Row],[Tipologia_Testes]],Auxiliar!$B$5:$B$13,0),MATCH(Table1[[#This Row],[Complexidade]],Auxiliar!$D$4:$F$4,0))</f>
        <v>4</v>
      </c>
      <c r="P537" s="2" t="s">
        <v>1188</v>
      </c>
      <c r="Q537" s="2" t="s">
        <v>1185</v>
      </c>
      <c r="R537" s="151">
        <v>45261</v>
      </c>
      <c r="S537" s="151">
        <v>45495</v>
      </c>
      <c r="T537" s="151"/>
      <c r="U537" s="151"/>
      <c r="V537" s="151"/>
      <c r="W537" s="2">
        <f>VLOOKUP(Table1[[#This Row],[Status]],Auxiliar!$B$16:$D$24,3,0)*Table1[[#This Row],[Estimação (horas)]]</f>
        <v>4</v>
      </c>
      <c r="X537" s="165">
        <f>+VLOOKUP(CONCATENATE(Table1[[#This Row],[Tabela]],Table1[[#This Row],[Campo]]),'2. Status Detalhe Campos FY24'!A:J,9,FALSE)</f>
        <v>0</v>
      </c>
      <c r="Y537" s="491" t="e">
        <f>+VLOOKUP(A537,#REF!,1,FALSE)</f>
        <v>#REF!</v>
      </c>
    </row>
    <row r="538" spans="1:25" ht="17.899999999999999" hidden="1" customHeight="1">
      <c r="A538" t="str">
        <f>+Table1[[#This Row],[Tabela]]&amp;Table1[[#This Row],[Campo]]</f>
        <v>PROCESS_PROPERTY_RELPROCESS_ACCOUNT_ID</v>
      </c>
      <c r="B538" s="2" t="s">
        <v>26</v>
      </c>
      <c r="C538" s="2" t="s">
        <v>54</v>
      </c>
      <c r="D538" s="2" t="s">
        <v>38</v>
      </c>
      <c r="E538" s="2" t="s">
        <v>38</v>
      </c>
      <c r="F538" s="2" t="s">
        <v>88</v>
      </c>
      <c r="G538" s="2" t="s">
        <v>59</v>
      </c>
      <c r="H538" s="56" t="str">
        <f>Table1[[#This Row],[Tabela]]&amp;Table1[[#This Row],[Campo]]</f>
        <v>PROCESS_PROPERTY_RELPROCESS_ACCOUNT_ID</v>
      </c>
      <c r="I538" s="2" t="s">
        <v>612</v>
      </c>
      <c r="J538" s="42">
        <f>VLOOKUP(Table1[[#This Row],[Status]],Auxiliar!$B$16:$C$24,2,0)</f>
        <v>1</v>
      </c>
      <c r="K538" s="2" t="s">
        <v>1169</v>
      </c>
      <c r="L538" s="28" t="s">
        <v>1166</v>
      </c>
      <c r="M538" s="20" t="s">
        <v>1176</v>
      </c>
      <c r="N538" s="47">
        <v>45499</v>
      </c>
      <c r="O538" s="20">
        <f>INDEX(Auxiliar!$D$5:$F$13,MATCH(Table1[[#This Row],[Tipologia_Testes]],Auxiliar!$B$5:$B$13,0),MATCH(Table1[[#This Row],[Complexidade]],Auxiliar!$D$4:$F$4,0))</f>
        <v>4</v>
      </c>
      <c r="P538" s="2" t="s">
        <v>1188</v>
      </c>
      <c r="Q538" s="2" t="s">
        <v>1185</v>
      </c>
      <c r="R538" s="151">
        <v>45261</v>
      </c>
      <c r="S538" s="151">
        <v>45495</v>
      </c>
      <c r="T538" s="151"/>
      <c r="U538" s="151"/>
      <c r="V538" s="151"/>
      <c r="W538" s="2">
        <f>VLOOKUP(Table1[[#This Row],[Status]],Auxiliar!$B$16:$D$24,3,0)*Table1[[#This Row],[Estimação (horas)]]</f>
        <v>4</v>
      </c>
      <c r="X538" s="165">
        <f>+VLOOKUP(CONCATENATE(Table1[[#This Row],[Tabela]],Table1[[#This Row],[Campo]]),'2. Status Detalhe Campos FY24'!A:J,9,FALSE)</f>
        <v>0</v>
      </c>
      <c r="Y538" s="491" t="e">
        <f>+VLOOKUP(A538,#REF!,1,FALSE)</f>
        <v>#REF!</v>
      </c>
    </row>
    <row r="539" spans="1:25" ht="17.899999999999999" hidden="1" customHeight="1">
      <c r="A539" t="str">
        <f>+Table1[[#This Row],[Tabela]]&amp;Table1[[#This Row],[Campo]]</f>
        <v>PROCESS_PROPERTY_RELPROCESS_ACCOUNT_ID</v>
      </c>
      <c r="B539" s="2" t="s">
        <v>26</v>
      </c>
      <c r="C539" s="2" t="s">
        <v>54</v>
      </c>
      <c r="D539" s="2" t="s">
        <v>38</v>
      </c>
      <c r="E539" s="2" t="s">
        <v>38</v>
      </c>
      <c r="F539" s="2" t="s">
        <v>88</v>
      </c>
      <c r="G539" s="2" t="s">
        <v>59</v>
      </c>
      <c r="H539" s="56" t="str">
        <f>Table1[[#This Row],[Tabela]]&amp;Table1[[#This Row],[Campo]]</f>
        <v>PROCESS_PROPERTY_RELPROCESS_ACCOUNT_ID</v>
      </c>
      <c r="I539" s="2" t="s">
        <v>612</v>
      </c>
      <c r="J539" s="42">
        <f>VLOOKUP(Table1[[#This Row],[Status]],Auxiliar!$B$16:$C$24,2,0)</f>
        <v>1</v>
      </c>
      <c r="K539" s="2" t="s">
        <v>1171</v>
      </c>
      <c r="L539" s="28" t="s">
        <v>1166</v>
      </c>
      <c r="M539" s="20" t="s">
        <v>1176</v>
      </c>
      <c r="N539" s="47">
        <v>45499</v>
      </c>
      <c r="O539" s="20">
        <f>INDEX(Auxiliar!$D$5:$F$13,MATCH(Table1[[#This Row],[Tipologia_Testes]],Auxiliar!$B$5:$B$13,0),MATCH(Table1[[#This Row],[Complexidade]],Auxiliar!$D$4:$F$4,0))</f>
        <v>0.1</v>
      </c>
      <c r="P539" s="2" t="s">
        <v>1188</v>
      </c>
      <c r="Q539" s="2" t="s">
        <v>1185</v>
      </c>
      <c r="R539" s="151">
        <v>45261</v>
      </c>
      <c r="S539" s="151">
        <v>45495</v>
      </c>
      <c r="T539" s="151"/>
      <c r="U539" s="151"/>
      <c r="V539" s="151"/>
      <c r="W539" s="2">
        <f>VLOOKUP(Table1[[#This Row],[Status]],Auxiliar!$B$16:$D$24,3,0)*Table1[[#This Row],[Estimação (horas)]]</f>
        <v>0.1</v>
      </c>
      <c r="X539" s="165">
        <f>+VLOOKUP(CONCATENATE(Table1[[#This Row],[Tabela]],Table1[[#This Row],[Campo]]),'2. Status Detalhe Campos FY24'!A:J,9,FALSE)</f>
        <v>0</v>
      </c>
      <c r="Y539" s="491" t="e">
        <f>+VLOOKUP(A539,#REF!,1,FALSE)</f>
        <v>#REF!</v>
      </c>
    </row>
    <row r="540" spans="1:25" ht="17.899999999999999" hidden="1" customHeight="1">
      <c r="A540" t="str">
        <f>+Table1[[#This Row],[Tabela]]&amp;Table1[[#This Row],[Campo]]</f>
        <v>PROCESS_PROPERTY_RELPROPERTY_REFERENCE_CODE</v>
      </c>
      <c r="B540" s="2" t="s">
        <v>26</v>
      </c>
      <c r="C540" s="2" t="s">
        <v>54</v>
      </c>
      <c r="D540" s="2" t="s">
        <v>38</v>
      </c>
      <c r="E540" s="2" t="s">
        <v>38</v>
      </c>
      <c r="F540" s="2" t="s">
        <v>88</v>
      </c>
      <c r="G540" s="2" t="s">
        <v>45</v>
      </c>
      <c r="H540" s="56" t="str">
        <f>Table1[[#This Row],[Tabela]]&amp;Table1[[#This Row],[Campo]]</f>
        <v>PROCESS_PROPERTY_RELPROPERTY_REFERENCE_CODE</v>
      </c>
      <c r="I540" s="3" t="s">
        <v>612</v>
      </c>
      <c r="J540" s="54">
        <f>VLOOKUP(Table1[[#This Row],[Status]],Auxiliar!$B$16:$C$24,2,0)</f>
        <v>1</v>
      </c>
      <c r="K540" s="2" t="s">
        <v>1168</v>
      </c>
      <c r="L540" s="28" t="s">
        <v>1174</v>
      </c>
      <c r="M540" s="20" t="s">
        <v>1175</v>
      </c>
      <c r="N540" s="47">
        <v>45485</v>
      </c>
      <c r="O540" s="20">
        <f>INDEX(Auxiliar!$D$5:$F$13,MATCH(Table1[[#This Row],[Tipologia_Testes]],Auxiliar!$B$5:$B$13,0),MATCH(Table1[[#This Row],[Complexidade]],Auxiliar!$D$4:$F$4,0))</f>
        <v>2</v>
      </c>
      <c r="P540" s="2" t="s">
        <v>1188</v>
      </c>
      <c r="Q540" s="2" t="s">
        <v>1185</v>
      </c>
      <c r="R540" s="151">
        <v>45261</v>
      </c>
      <c r="S540" s="151"/>
      <c r="T540" s="151"/>
      <c r="U540" s="151"/>
      <c r="V540" s="151"/>
      <c r="W540" s="2">
        <f>VLOOKUP(Table1[[#This Row],[Status]],Auxiliar!$B$16:$D$24,3,0)*Table1[[#This Row],[Estimação (horas)]]</f>
        <v>2</v>
      </c>
      <c r="X540" s="165">
        <f>+VLOOKUP(CONCATENATE(Table1[[#This Row],[Tabela]],Table1[[#This Row],[Campo]]),'2. Status Detalhe Campos FY24'!A:J,9,FALSE)</f>
        <v>0</v>
      </c>
      <c r="Y540" s="491" t="e">
        <f>+VLOOKUP(A540,#REF!,1,FALSE)</f>
        <v>#REF!</v>
      </c>
    </row>
    <row r="541" spans="1:25" ht="17.899999999999999" hidden="1" customHeight="1">
      <c r="A541" t="str">
        <f>+Table1[[#This Row],[Tabela]]&amp;Table1[[#This Row],[Campo]]</f>
        <v>PROCESS_PROPERTY_RELPROPERTY_REFERENCE_CODE</v>
      </c>
      <c r="B541" s="2" t="s">
        <v>26</v>
      </c>
      <c r="C541" s="2" t="s">
        <v>54</v>
      </c>
      <c r="D541" s="2" t="s">
        <v>38</v>
      </c>
      <c r="E541" s="2" t="s">
        <v>38</v>
      </c>
      <c r="F541" s="2" t="s">
        <v>88</v>
      </c>
      <c r="G541" s="2" t="s">
        <v>45</v>
      </c>
      <c r="H541" s="56" t="str">
        <f>Table1[[#This Row],[Tabela]]&amp;Table1[[#This Row],[Campo]]</f>
        <v>PROCESS_PROPERTY_RELPROPERTY_REFERENCE_CODE</v>
      </c>
      <c r="I541" s="3" t="s">
        <v>612</v>
      </c>
      <c r="J541" s="54">
        <f>VLOOKUP(Table1[[#This Row],[Status]],Auxiliar!$B$16:$C$24,2,0)</f>
        <v>1</v>
      </c>
      <c r="K541" s="2" t="s">
        <v>1169</v>
      </c>
      <c r="L541" s="28" t="s">
        <v>1174</v>
      </c>
      <c r="M541" s="20" t="s">
        <v>1175</v>
      </c>
      <c r="N541" s="47">
        <v>45485</v>
      </c>
      <c r="O541" s="20">
        <f>INDEX(Auxiliar!$D$5:$F$13,MATCH(Table1[[#This Row],[Tipologia_Testes]],Auxiliar!$B$5:$B$13,0),MATCH(Table1[[#This Row],[Complexidade]],Auxiliar!$D$4:$F$4,0))</f>
        <v>2</v>
      </c>
      <c r="P541" s="2" t="s">
        <v>1188</v>
      </c>
      <c r="Q541" s="2" t="s">
        <v>1185</v>
      </c>
      <c r="R541" s="151">
        <v>45261</v>
      </c>
      <c r="S541" s="151"/>
      <c r="T541" s="151"/>
      <c r="U541" s="151"/>
      <c r="V541" s="151"/>
      <c r="W541" s="2">
        <f>VLOOKUP(Table1[[#This Row],[Status]],Auxiliar!$B$16:$D$24,3,0)*Table1[[#This Row],[Estimação (horas)]]</f>
        <v>2</v>
      </c>
      <c r="X541" s="165">
        <f>+VLOOKUP(CONCATENATE(Table1[[#This Row],[Tabela]],Table1[[#This Row],[Campo]]),'2. Status Detalhe Campos FY24'!A:J,9,FALSE)</f>
        <v>0</v>
      </c>
      <c r="Y541" s="491" t="e">
        <f>+VLOOKUP(A541,#REF!,1,FALSE)</f>
        <v>#REF!</v>
      </c>
    </row>
    <row r="542" spans="1:25" ht="17.899999999999999" hidden="1" customHeight="1">
      <c r="A542" t="str">
        <f>+Table1[[#This Row],[Tabela]]&amp;Table1[[#This Row],[Campo]]</f>
        <v>PROCESS_PROPERTY_RELPROPERTY_REFERENCE_CODE</v>
      </c>
      <c r="B542" s="2" t="s">
        <v>26</v>
      </c>
      <c r="C542" s="2" t="s">
        <v>54</v>
      </c>
      <c r="D542" s="2" t="s">
        <v>38</v>
      </c>
      <c r="E542" s="2" t="s">
        <v>38</v>
      </c>
      <c r="F542" s="2" t="s">
        <v>88</v>
      </c>
      <c r="G542" s="2" t="s">
        <v>45</v>
      </c>
      <c r="H542" s="56" t="str">
        <f>Table1[[#This Row],[Tabela]]&amp;Table1[[#This Row],[Campo]]</f>
        <v>PROCESS_PROPERTY_RELPROPERTY_REFERENCE_CODE</v>
      </c>
      <c r="I542" s="3" t="s">
        <v>612</v>
      </c>
      <c r="J542" s="54">
        <f>VLOOKUP(Table1[[#This Row],[Status]],Auxiliar!$B$16:$C$24,2,0)</f>
        <v>1</v>
      </c>
      <c r="K542" s="2" t="s">
        <v>1171</v>
      </c>
      <c r="L542" s="28" t="s">
        <v>1174</v>
      </c>
      <c r="M542" s="20" t="s">
        <v>1175</v>
      </c>
      <c r="N542" s="47">
        <v>45485</v>
      </c>
      <c r="O542" s="20">
        <f>INDEX(Auxiliar!$D$5:$F$13,MATCH(Table1[[#This Row],[Tipologia_Testes]],Auxiliar!$B$5:$B$13,0),MATCH(Table1[[#This Row],[Complexidade]],Auxiliar!$D$4:$F$4,0))</f>
        <v>0.1</v>
      </c>
      <c r="P542" s="2" t="s">
        <v>1188</v>
      </c>
      <c r="Q542" s="2" t="s">
        <v>1185</v>
      </c>
      <c r="R542" s="151">
        <v>45261</v>
      </c>
      <c r="S542" s="151"/>
      <c r="T542" s="151"/>
      <c r="U542" s="151"/>
      <c r="V542" s="151"/>
      <c r="W542" s="2">
        <f>VLOOKUP(Table1[[#This Row],[Status]],Auxiliar!$B$16:$D$24,3,0)*Table1[[#This Row],[Estimação (horas)]]</f>
        <v>0.1</v>
      </c>
      <c r="X542" s="165">
        <f>+VLOOKUP(CONCATENATE(Table1[[#This Row],[Tabela]],Table1[[#This Row],[Campo]]),'2. Status Detalhe Campos FY24'!A:J,9,FALSE)</f>
        <v>0</v>
      </c>
      <c r="Y542" s="491" t="e">
        <f>+VLOOKUP(A542,#REF!,1,FALSE)</f>
        <v>#REF!</v>
      </c>
    </row>
    <row r="543" spans="1:25" ht="17.899999999999999" hidden="1" customHeight="1">
      <c r="A543" t="str">
        <f>+Table1[[#This Row],[Tabela]]&amp;Table1[[#This Row],[Campo]]</f>
        <v>PROCESS_PROPERTY_RELPROCESS_REFERENCE_CODE</v>
      </c>
      <c r="B543" s="2" t="s">
        <v>26</v>
      </c>
      <c r="C543" s="2" t="s">
        <v>54</v>
      </c>
      <c r="D543" s="2" t="s">
        <v>38</v>
      </c>
      <c r="E543" s="2" t="s">
        <v>38</v>
      </c>
      <c r="F543" s="2" t="s">
        <v>88</v>
      </c>
      <c r="G543" s="2" t="s">
        <v>67</v>
      </c>
      <c r="H543" s="56" t="str">
        <f>Table1[[#This Row],[Tabela]]&amp;Table1[[#This Row],[Campo]]</f>
        <v>PROCESS_PROPERTY_RELPROCESS_REFERENCE_CODE</v>
      </c>
      <c r="I543" s="3" t="s">
        <v>612</v>
      </c>
      <c r="J543" s="42">
        <f>VLOOKUP(Table1[[#This Row],[Status]],Auxiliar!$B$16:$C$24,2,0)</f>
        <v>1</v>
      </c>
      <c r="K543" s="2" t="s">
        <v>1168</v>
      </c>
      <c r="L543" s="28" t="s">
        <v>1166</v>
      </c>
      <c r="M543" s="20" t="s">
        <v>1176</v>
      </c>
      <c r="N543" s="47">
        <v>45505</v>
      </c>
      <c r="O543" s="20">
        <f>INDEX(Auxiliar!$D$5:$F$13,MATCH(Table1[[#This Row],[Tipologia_Testes]],Auxiliar!$B$5:$B$13,0),MATCH(Table1[[#This Row],[Complexidade]],Auxiliar!$D$4:$F$4,0))</f>
        <v>4</v>
      </c>
      <c r="P543" s="2"/>
      <c r="Q543" s="2" t="s">
        <v>1185</v>
      </c>
      <c r="R543" s="151">
        <v>45261</v>
      </c>
      <c r="S543" s="151"/>
      <c r="T543" s="151"/>
      <c r="U543" s="151"/>
      <c r="V543" s="151"/>
      <c r="W543" s="2">
        <f>VLOOKUP(Table1[[#This Row],[Status]],Auxiliar!$B$16:$D$24,3,0)*Table1[[#This Row],[Estimação (horas)]]</f>
        <v>4</v>
      </c>
      <c r="X543" s="165">
        <f>+VLOOKUP(CONCATENATE(Table1[[#This Row],[Tabela]],Table1[[#This Row],[Campo]]),'2. Status Detalhe Campos FY24'!A:J,9,FALSE)</f>
        <v>0</v>
      </c>
      <c r="Y543" s="491" t="e">
        <f>+VLOOKUP(A543,#REF!,1,FALSE)</f>
        <v>#REF!</v>
      </c>
    </row>
    <row r="544" spans="1:25" ht="17.899999999999999" hidden="1" customHeight="1">
      <c r="A544" t="str">
        <f>+Table1[[#This Row],[Tabela]]&amp;Table1[[#This Row],[Campo]]</f>
        <v>PROCESS_PROPERTY_RELPROCESS_REFERENCE_CODE</v>
      </c>
      <c r="B544" s="2" t="s">
        <v>26</v>
      </c>
      <c r="C544" s="2" t="s">
        <v>54</v>
      </c>
      <c r="D544" s="2" t="s">
        <v>38</v>
      </c>
      <c r="E544" s="2" t="s">
        <v>38</v>
      </c>
      <c r="F544" s="2" t="s">
        <v>88</v>
      </c>
      <c r="G544" s="2" t="s">
        <v>67</v>
      </c>
      <c r="H544" s="56" t="str">
        <f>Table1[[#This Row],[Tabela]]&amp;Table1[[#This Row],[Campo]]</f>
        <v>PROCESS_PROPERTY_RELPROCESS_REFERENCE_CODE</v>
      </c>
      <c r="I544" s="3" t="s">
        <v>612</v>
      </c>
      <c r="J544" s="42">
        <f>VLOOKUP(Table1[[#This Row],[Status]],Auxiliar!$B$16:$C$24,2,0)</f>
        <v>1</v>
      </c>
      <c r="K544" s="2" t="s">
        <v>1169</v>
      </c>
      <c r="L544" s="28" t="s">
        <v>1166</v>
      </c>
      <c r="M544" s="20" t="s">
        <v>1176</v>
      </c>
      <c r="N544" s="47">
        <v>45505</v>
      </c>
      <c r="O544" s="20">
        <f>INDEX(Auxiliar!$D$5:$F$13,MATCH(Table1[[#This Row],[Tipologia_Testes]],Auxiliar!$B$5:$B$13,0),MATCH(Table1[[#This Row],[Complexidade]],Auxiliar!$D$4:$F$4,0))</f>
        <v>4</v>
      </c>
      <c r="P544" s="2"/>
      <c r="Q544" s="2" t="s">
        <v>1185</v>
      </c>
      <c r="R544" s="151">
        <v>45261</v>
      </c>
      <c r="S544" s="151"/>
      <c r="T544" s="151"/>
      <c r="U544" s="151"/>
      <c r="V544" s="151"/>
      <c r="W544" s="2">
        <f>VLOOKUP(Table1[[#This Row],[Status]],Auxiliar!$B$16:$D$24,3,0)*Table1[[#This Row],[Estimação (horas)]]</f>
        <v>4</v>
      </c>
      <c r="X544" s="165">
        <f>+VLOOKUP(CONCATENATE(Table1[[#This Row],[Tabela]],Table1[[#This Row],[Campo]]),'2. Status Detalhe Campos FY24'!A:J,9,FALSE)</f>
        <v>0</v>
      </c>
      <c r="Y544" s="491" t="e">
        <f>+VLOOKUP(A544,#REF!,1,FALSE)</f>
        <v>#REF!</v>
      </c>
    </row>
    <row r="545" spans="1:25" ht="17.899999999999999" hidden="1" customHeight="1">
      <c r="A545" t="str">
        <f>+Table1[[#This Row],[Tabela]]&amp;Table1[[#This Row],[Campo]]</f>
        <v>PROCESS_PROPERTY_RELPROCESS_REFERENCE_CODE</v>
      </c>
      <c r="B545" s="2" t="s">
        <v>26</v>
      </c>
      <c r="C545" s="2" t="s">
        <v>54</v>
      </c>
      <c r="D545" s="2" t="s">
        <v>38</v>
      </c>
      <c r="E545" s="2" t="s">
        <v>38</v>
      </c>
      <c r="F545" s="2" t="s">
        <v>88</v>
      </c>
      <c r="G545" s="2" t="s">
        <v>67</v>
      </c>
      <c r="H545" s="56" t="str">
        <f>Table1[[#This Row],[Tabela]]&amp;Table1[[#This Row],[Campo]]</f>
        <v>PROCESS_PROPERTY_RELPROCESS_REFERENCE_CODE</v>
      </c>
      <c r="I545" s="3" t="s">
        <v>612</v>
      </c>
      <c r="J545" s="42">
        <f>VLOOKUP(Table1[[#This Row],[Status]],Auxiliar!$B$16:$C$24,2,0)</f>
        <v>1</v>
      </c>
      <c r="K545" s="2" t="s">
        <v>1171</v>
      </c>
      <c r="L545" s="28" t="s">
        <v>1166</v>
      </c>
      <c r="M545" s="20" t="s">
        <v>1176</v>
      </c>
      <c r="N545" s="47">
        <v>45505</v>
      </c>
      <c r="O545" s="20">
        <f>INDEX(Auxiliar!$D$5:$F$13,MATCH(Table1[[#This Row],[Tipologia_Testes]],Auxiliar!$B$5:$B$13,0),MATCH(Table1[[#This Row],[Complexidade]],Auxiliar!$D$4:$F$4,0))</f>
        <v>0.1</v>
      </c>
      <c r="P545" s="2"/>
      <c r="Q545" s="2" t="s">
        <v>1185</v>
      </c>
      <c r="R545" s="151">
        <v>45261</v>
      </c>
      <c r="S545" s="151"/>
      <c r="T545" s="151"/>
      <c r="U545" s="151"/>
      <c r="V545" s="151"/>
      <c r="W545" s="2">
        <f>VLOOKUP(Table1[[#This Row],[Status]],Auxiliar!$B$16:$D$24,3,0)*Table1[[#This Row],[Estimação (horas)]]</f>
        <v>0.1</v>
      </c>
      <c r="X545" s="165">
        <f>+VLOOKUP(CONCATENATE(Table1[[#This Row],[Tabela]],Table1[[#This Row],[Campo]]),'2. Status Detalhe Campos FY24'!A:J,9,FALSE)</f>
        <v>0</v>
      </c>
      <c r="Y545" s="491" t="e">
        <f>+VLOOKUP(A545,#REF!,1,FALSE)</f>
        <v>#REF!</v>
      </c>
    </row>
    <row r="546" spans="1:25" ht="17.899999999999999" hidden="1" customHeight="1">
      <c r="A546" t="str">
        <f>+Table1[[#This Row],[Tabela]]&amp;Table1[[#This Row],[Campo]]</f>
        <v>PROCESS_PROPERTY_RELdata_assc</v>
      </c>
      <c r="B546" s="2" t="s">
        <v>26</v>
      </c>
      <c r="C546" s="2" t="s">
        <v>54</v>
      </c>
      <c r="D546" s="2" t="s">
        <v>38</v>
      </c>
      <c r="E546" s="2" t="s">
        <v>38</v>
      </c>
      <c r="F546" s="2" t="s">
        <v>88</v>
      </c>
      <c r="G546" s="2" t="s">
        <v>89</v>
      </c>
      <c r="H546" s="56" t="str">
        <f>Table1[[#This Row],[Tabela]]&amp;Table1[[#This Row],[Campo]]</f>
        <v>PROCESS_PROPERTY_RELdata_assc</v>
      </c>
      <c r="I546" s="2" t="s">
        <v>611</v>
      </c>
      <c r="J546" s="42">
        <f>VLOOKUP(Table1[[#This Row],[Status]],Auxiliar!$B$16:$C$24,2,0)</f>
        <v>0</v>
      </c>
      <c r="K546" s="2" t="s">
        <v>1168</v>
      </c>
      <c r="L546" s="28" t="s">
        <v>1186</v>
      </c>
      <c r="M546" s="20" t="s">
        <v>1176</v>
      </c>
      <c r="N546" s="47">
        <v>45485</v>
      </c>
      <c r="O546" s="20">
        <f>INDEX(Auxiliar!$D$5:$F$13,MATCH(Table1[[#This Row],[Tipologia_Testes]],Auxiliar!$B$5:$B$13,0),MATCH(Table1[[#This Row],[Complexidade]],Auxiliar!$D$4:$F$4,0))</f>
        <v>4</v>
      </c>
      <c r="P546" s="2" t="s">
        <v>1194</v>
      </c>
      <c r="Q546" s="2" t="s">
        <v>1185</v>
      </c>
      <c r="R546" s="151">
        <v>45425</v>
      </c>
      <c r="S546" s="151"/>
      <c r="T546" s="151"/>
      <c r="U546" s="151"/>
      <c r="V546" s="151"/>
      <c r="W546" s="2">
        <f>VLOOKUP(Table1[[#This Row],[Status]],Auxiliar!$B$16:$D$24,3,0)*Table1[[#This Row],[Estimação (horas)]]</f>
        <v>0</v>
      </c>
      <c r="X546" s="165">
        <f>+VLOOKUP(CONCATENATE(Table1[[#This Row],[Tabela]],Table1[[#This Row],[Campo]]),'2. Status Detalhe Campos FY24'!A:J,9,FALSE)</f>
        <v>0</v>
      </c>
      <c r="Y546" s="491" t="e">
        <f>+VLOOKUP(A546,#REF!,1,FALSE)</f>
        <v>#REF!</v>
      </c>
    </row>
    <row r="547" spans="1:25" ht="17.899999999999999" hidden="1" customHeight="1">
      <c r="A547" t="str">
        <f>+Table1[[#This Row],[Tabela]]&amp;Table1[[#This Row],[Campo]]</f>
        <v>PROCESS_PROPERTY_RELSEIZED_PROPERTY_IND</v>
      </c>
      <c r="B547" s="2" t="s">
        <v>26</v>
      </c>
      <c r="C547" s="2" t="s">
        <v>54</v>
      </c>
      <c r="D547" s="2" t="s">
        <v>38</v>
      </c>
      <c r="E547" s="2" t="s">
        <v>38</v>
      </c>
      <c r="F547" s="2" t="s">
        <v>88</v>
      </c>
      <c r="G547" s="2" t="s">
        <v>90</v>
      </c>
      <c r="H547" s="56" t="str">
        <f>Table1[[#This Row],[Tabela]]&amp;Table1[[#This Row],[Campo]]</f>
        <v>PROCESS_PROPERTY_RELSEIZED_PROPERTY_IND</v>
      </c>
      <c r="I547" s="3" t="s">
        <v>612</v>
      </c>
      <c r="J547" s="54">
        <f>VLOOKUP(Table1[[#This Row],[Status]],Auxiliar!$B$16:$C$24,2,0)</f>
        <v>1</v>
      </c>
      <c r="K547" s="2" t="s">
        <v>1168</v>
      </c>
      <c r="L547" s="28" t="s">
        <v>1174</v>
      </c>
      <c r="M547" s="20" t="s">
        <v>1175</v>
      </c>
      <c r="N547" s="47">
        <v>45485</v>
      </c>
      <c r="O547" s="20">
        <f>INDEX(Auxiliar!$D$5:$F$13,MATCH(Table1[[#This Row],[Tipologia_Testes]],Auxiliar!$B$5:$B$13,0),MATCH(Table1[[#This Row],[Complexidade]],Auxiliar!$D$4:$F$4,0))</f>
        <v>2</v>
      </c>
      <c r="P547" s="2"/>
      <c r="Q547" s="2" t="s">
        <v>1185</v>
      </c>
      <c r="R547" s="151">
        <v>45261</v>
      </c>
      <c r="S547" s="151"/>
      <c r="T547" s="151"/>
      <c r="U547" s="151"/>
      <c r="V547" s="151"/>
      <c r="W547" s="2">
        <f>VLOOKUP(Table1[[#This Row],[Status]],Auxiliar!$B$16:$D$24,3,0)*Table1[[#This Row],[Estimação (horas)]]</f>
        <v>2</v>
      </c>
      <c r="X547" s="165">
        <f>+VLOOKUP(CONCATENATE(Table1[[#This Row],[Tabela]],Table1[[#This Row],[Campo]]),'2. Status Detalhe Campos FY24'!A:J,9,FALSE)</f>
        <v>0</v>
      </c>
      <c r="Y547" s="491" t="e">
        <f>+VLOOKUP(A547,#REF!,1,FALSE)</f>
        <v>#REF!</v>
      </c>
    </row>
    <row r="548" spans="1:25" ht="17.899999999999999" hidden="1" customHeight="1">
      <c r="A548" t="str">
        <f>+Table1[[#This Row],[Tabela]]&amp;Table1[[#This Row],[Campo]]</f>
        <v>PROCESS_PROPERTY_RELSEIZED_PROPERTY_IND</v>
      </c>
      <c r="B548" s="2" t="s">
        <v>26</v>
      </c>
      <c r="C548" s="2" t="s">
        <v>54</v>
      </c>
      <c r="D548" s="2" t="s">
        <v>38</v>
      </c>
      <c r="E548" s="2" t="s">
        <v>38</v>
      </c>
      <c r="F548" s="2" t="s">
        <v>88</v>
      </c>
      <c r="G548" s="2" t="s">
        <v>90</v>
      </c>
      <c r="H548" s="56" t="str">
        <f>Table1[[#This Row],[Tabela]]&amp;Table1[[#This Row],[Campo]]</f>
        <v>PROCESS_PROPERTY_RELSEIZED_PROPERTY_IND</v>
      </c>
      <c r="I548" s="3" t="s">
        <v>612</v>
      </c>
      <c r="J548" s="54">
        <f>VLOOKUP(Table1[[#This Row],[Status]],Auxiliar!$B$16:$C$24,2,0)</f>
        <v>1</v>
      </c>
      <c r="K548" s="2" t="s">
        <v>1169</v>
      </c>
      <c r="L548" s="28" t="s">
        <v>1174</v>
      </c>
      <c r="M548" s="20" t="s">
        <v>1175</v>
      </c>
      <c r="N548" s="47">
        <v>45485</v>
      </c>
      <c r="O548" s="20">
        <f>INDEX(Auxiliar!$D$5:$F$13,MATCH(Table1[[#This Row],[Tipologia_Testes]],Auxiliar!$B$5:$B$13,0),MATCH(Table1[[#This Row],[Complexidade]],Auxiliar!$D$4:$F$4,0))</f>
        <v>2</v>
      </c>
      <c r="P548" s="2"/>
      <c r="Q548" s="2" t="s">
        <v>1185</v>
      </c>
      <c r="R548" s="151">
        <v>45261</v>
      </c>
      <c r="S548" s="151"/>
      <c r="T548" s="151"/>
      <c r="U548" s="151"/>
      <c r="V548" s="151"/>
      <c r="W548" s="2">
        <f>VLOOKUP(Table1[[#This Row],[Status]],Auxiliar!$B$16:$D$24,3,0)*Table1[[#This Row],[Estimação (horas)]]</f>
        <v>2</v>
      </c>
      <c r="X548" s="165">
        <f>+VLOOKUP(CONCATENATE(Table1[[#This Row],[Tabela]],Table1[[#This Row],[Campo]]),'2. Status Detalhe Campos FY24'!A:J,9,FALSE)</f>
        <v>0</v>
      </c>
      <c r="Y548" s="491" t="e">
        <f>+VLOOKUP(A548,#REF!,1,FALSE)</f>
        <v>#REF!</v>
      </c>
    </row>
    <row r="549" spans="1:25" ht="17.899999999999999" hidden="1" customHeight="1">
      <c r="A549" t="str">
        <f>+Table1[[#This Row],[Tabela]]&amp;Table1[[#This Row],[Campo]]</f>
        <v>PROCESS_PROPERTY_RELSEIZED_PROPERTY_IND</v>
      </c>
      <c r="B549" s="2" t="s">
        <v>26</v>
      </c>
      <c r="C549" s="2" t="s">
        <v>54</v>
      </c>
      <c r="D549" s="2" t="s">
        <v>38</v>
      </c>
      <c r="E549" s="2" t="s">
        <v>38</v>
      </c>
      <c r="F549" s="2" t="s">
        <v>88</v>
      </c>
      <c r="G549" s="2" t="s">
        <v>90</v>
      </c>
      <c r="H549" s="56" t="str">
        <f>Table1[[#This Row],[Tabela]]&amp;Table1[[#This Row],[Campo]]</f>
        <v>PROCESS_PROPERTY_RELSEIZED_PROPERTY_IND</v>
      </c>
      <c r="I549" s="3" t="s">
        <v>612</v>
      </c>
      <c r="J549" s="54">
        <f>VLOOKUP(Table1[[#This Row],[Status]],Auxiliar!$B$16:$C$24,2,0)</f>
        <v>1</v>
      </c>
      <c r="K549" s="2" t="s">
        <v>1171</v>
      </c>
      <c r="L549" s="28" t="s">
        <v>1174</v>
      </c>
      <c r="M549" s="20" t="s">
        <v>1175</v>
      </c>
      <c r="N549" s="47">
        <v>45485</v>
      </c>
      <c r="O549" s="20">
        <f>INDEX(Auxiliar!$D$5:$F$13,MATCH(Table1[[#This Row],[Tipologia_Testes]],Auxiliar!$B$5:$B$13,0),MATCH(Table1[[#This Row],[Complexidade]],Auxiliar!$D$4:$F$4,0))</f>
        <v>0.1</v>
      </c>
      <c r="P549" s="2"/>
      <c r="Q549" s="2" t="s">
        <v>1185</v>
      </c>
      <c r="R549" s="151">
        <v>45261</v>
      </c>
      <c r="S549" s="151"/>
      <c r="T549" s="151"/>
      <c r="U549" s="151"/>
      <c r="V549" s="151"/>
      <c r="W549" s="2">
        <f>VLOOKUP(Table1[[#This Row],[Status]],Auxiliar!$B$16:$D$24,3,0)*Table1[[#This Row],[Estimação (horas)]]</f>
        <v>0.1</v>
      </c>
      <c r="X549" s="165">
        <f>+VLOOKUP(CONCATENATE(Table1[[#This Row],[Tabela]],Table1[[#This Row],[Campo]]),'2. Status Detalhe Campos FY24'!A:J,9,FALSE)</f>
        <v>0</v>
      </c>
      <c r="Y549" s="491" t="e">
        <f>+VLOOKUP(A549,#REF!,1,FALSE)</f>
        <v>#REF!</v>
      </c>
    </row>
    <row r="550" spans="1:25" ht="17.899999999999999" hidden="1" customHeight="1">
      <c r="A550" t="str">
        <f>+Table1[[#This Row],[Tabela]]&amp;Table1[[#This Row],[Campo]]</f>
        <v>PROCESS_PROPERTY_RELCOLLATERAL_PROPERTY_IND</v>
      </c>
      <c r="B550" s="2" t="s">
        <v>26</v>
      </c>
      <c r="C550" s="2" t="s">
        <v>54</v>
      </c>
      <c r="D550" s="2" t="s">
        <v>38</v>
      </c>
      <c r="E550" s="2" t="s">
        <v>38</v>
      </c>
      <c r="F550" s="2" t="s">
        <v>88</v>
      </c>
      <c r="G550" s="2" t="s">
        <v>91</v>
      </c>
      <c r="H550" s="56" t="str">
        <f>Table1[[#This Row],[Tabela]]&amp;Table1[[#This Row],[Campo]]</f>
        <v>PROCESS_PROPERTY_RELCOLLATERAL_PROPERTY_IND</v>
      </c>
      <c r="I550" s="3" t="s">
        <v>612</v>
      </c>
      <c r="J550" s="54">
        <f>VLOOKUP(Table1[[#This Row],[Status]],Auxiliar!$B$16:$C$24,2,0)</f>
        <v>1</v>
      </c>
      <c r="K550" s="2" t="s">
        <v>1168</v>
      </c>
      <c r="L550" s="28" t="s">
        <v>1174</v>
      </c>
      <c r="M550" s="20" t="s">
        <v>1175</v>
      </c>
      <c r="N550" s="47">
        <v>45485</v>
      </c>
      <c r="O550" s="20">
        <f>INDEX(Auxiliar!$D$5:$F$13,MATCH(Table1[[#This Row],[Tipologia_Testes]],Auxiliar!$B$5:$B$13,0),MATCH(Table1[[#This Row],[Complexidade]],Auxiliar!$D$4:$F$4,0))</f>
        <v>2</v>
      </c>
      <c r="P550" s="2"/>
      <c r="Q550" s="2" t="s">
        <v>1185</v>
      </c>
      <c r="R550" s="151">
        <v>45261</v>
      </c>
      <c r="S550" s="151"/>
      <c r="T550" s="151"/>
      <c r="U550" s="151"/>
      <c r="V550" s="151"/>
      <c r="W550" s="2">
        <f>VLOOKUP(Table1[[#This Row],[Status]],Auxiliar!$B$16:$D$24,3,0)*Table1[[#This Row],[Estimação (horas)]]</f>
        <v>2</v>
      </c>
      <c r="X550" s="165">
        <f>+VLOOKUP(CONCATENATE(Table1[[#This Row],[Tabela]],Table1[[#This Row],[Campo]]),'2. Status Detalhe Campos FY24'!A:J,9,FALSE)</f>
        <v>0</v>
      </c>
      <c r="Y550" s="491" t="e">
        <f>+VLOOKUP(A550,#REF!,1,FALSE)</f>
        <v>#REF!</v>
      </c>
    </row>
    <row r="551" spans="1:25" ht="17.899999999999999" hidden="1" customHeight="1">
      <c r="A551" t="str">
        <f>+Table1[[#This Row],[Tabela]]&amp;Table1[[#This Row],[Campo]]</f>
        <v>PROCESS_PROPERTY_RELCOLLATERAL_PROPERTY_IND</v>
      </c>
      <c r="B551" s="2" t="s">
        <v>26</v>
      </c>
      <c r="C551" s="2" t="s">
        <v>54</v>
      </c>
      <c r="D551" s="2" t="s">
        <v>38</v>
      </c>
      <c r="E551" s="2" t="s">
        <v>38</v>
      </c>
      <c r="F551" s="2" t="s">
        <v>88</v>
      </c>
      <c r="G551" s="2" t="s">
        <v>91</v>
      </c>
      <c r="H551" s="56" t="str">
        <f>Table1[[#This Row],[Tabela]]&amp;Table1[[#This Row],[Campo]]</f>
        <v>PROCESS_PROPERTY_RELCOLLATERAL_PROPERTY_IND</v>
      </c>
      <c r="I551" s="3" t="s">
        <v>612</v>
      </c>
      <c r="J551" s="54">
        <f>VLOOKUP(Table1[[#This Row],[Status]],Auxiliar!$B$16:$C$24,2,0)</f>
        <v>1</v>
      </c>
      <c r="K551" s="2" t="s">
        <v>1169</v>
      </c>
      <c r="L551" s="28" t="s">
        <v>1174</v>
      </c>
      <c r="M551" s="20" t="s">
        <v>1175</v>
      </c>
      <c r="N551" s="47">
        <v>45485</v>
      </c>
      <c r="O551" s="20">
        <f>INDEX(Auxiliar!$D$5:$F$13,MATCH(Table1[[#This Row],[Tipologia_Testes]],Auxiliar!$B$5:$B$13,0),MATCH(Table1[[#This Row],[Complexidade]],Auxiliar!$D$4:$F$4,0))</f>
        <v>2</v>
      </c>
      <c r="P551" s="2"/>
      <c r="Q551" s="2" t="s">
        <v>1185</v>
      </c>
      <c r="R551" s="151">
        <v>45261</v>
      </c>
      <c r="S551" s="151"/>
      <c r="T551" s="151"/>
      <c r="U551" s="151"/>
      <c r="V551" s="151"/>
      <c r="W551" s="2">
        <f>VLOOKUP(Table1[[#This Row],[Status]],Auxiliar!$B$16:$D$24,3,0)*Table1[[#This Row],[Estimação (horas)]]</f>
        <v>2</v>
      </c>
      <c r="X551" s="165">
        <f>+VLOOKUP(CONCATENATE(Table1[[#This Row],[Tabela]],Table1[[#This Row],[Campo]]),'2. Status Detalhe Campos FY24'!A:J,9,FALSE)</f>
        <v>0</v>
      </c>
      <c r="Y551" s="491" t="e">
        <f>+VLOOKUP(A551,#REF!,1,FALSE)</f>
        <v>#REF!</v>
      </c>
    </row>
    <row r="552" spans="1:25" ht="17.899999999999999" hidden="1" customHeight="1">
      <c r="A552" t="str">
        <f>+Table1[[#This Row],[Tabela]]&amp;Table1[[#This Row],[Campo]]</f>
        <v>PROCESS_PROPERTY_RELCOLLATERAL_PROPERTY_IND</v>
      </c>
      <c r="B552" s="2" t="s">
        <v>26</v>
      </c>
      <c r="C552" s="2" t="s">
        <v>54</v>
      </c>
      <c r="D552" s="2" t="s">
        <v>38</v>
      </c>
      <c r="E552" s="2" t="s">
        <v>38</v>
      </c>
      <c r="F552" s="2" t="s">
        <v>88</v>
      </c>
      <c r="G552" s="2" t="s">
        <v>91</v>
      </c>
      <c r="H552" s="56" t="str">
        <f>Table1[[#This Row],[Tabela]]&amp;Table1[[#This Row],[Campo]]</f>
        <v>PROCESS_PROPERTY_RELCOLLATERAL_PROPERTY_IND</v>
      </c>
      <c r="I552" s="3" t="s">
        <v>612</v>
      </c>
      <c r="J552" s="54">
        <f>VLOOKUP(Table1[[#This Row],[Status]],Auxiliar!$B$16:$C$24,2,0)</f>
        <v>1</v>
      </c>
      <c r="K552" s="2" t="s">
        <v>1171</v>
      </c>
      <c r="L552" s="28" t="s">
        <v>1174</v>
      </c>
      <c r="M552" s="20" t="s">
        <v>1175</v>
      </c>
      <c r="N552" s="47">
        <v>45485</v>
      </c>
      <c r="O552" s="20">
        <f>INDEX(Auxiliar!$D$5:$F$13,MATCH(Table1[[#This Row],[Tipologia_Testes]],Auxiliar!$B$5:$B$13,0),MATCH(Table1[[#This Row],[Complexidade]],Auxiliar!$D$4:$F$4,0))</f>
        <v>0.1</v>
      </c>
      <c r="P552" s="2"/>
      <c r="Q552" s="2" t="s">
        <v>1185</v>
      </c>
      <c r="R552" s="151">
        <v>45261</v>
      </c>
      <c r="S552" s="151"/>
      <c r="T552" s="151"/>
      <c r="U552" s="151"/>
      <c r="V552" s="151"/>
      <c r="W552" s="2">
        <f>VLOOKUP(Table1[[#This Row],[Status]],Auxiliar!$B$16:$D$24,3,0)*Table1[[#This Row],[Estimação (horas)]]</f>
        <v>0.1</v>
      </c>
      <c r="X552" s="165">
        <f>+VLOOKUP(CONCATENATE(Table1[[#This Row],[Tabela]],Table1[[#This Row],[Campo]]),'2. Status Detalhe Campos FY24'!A:J,9,FALSE)</f>
        <v>0</v>
      </c>
      <c r="Y552" s="491" t="e">
        <f>+VLOOKUP(A552,#REF!,1,FALSE)</f>
        <v>#REF!</v>
      </c>
    </row>
    <row r="553" spans="1:25" ht="17.899999999999999" hidden="1" customHeight="1">
      <c r="A553" t="str">
        <f>+Table1[[#This Row],[Tabela]]&amp;Table1[[#This Row],[Campo]]</f>
        <v>PROCESS_PROPERTY_RELFINANCED_PROPERTY_IND</v>
      </c>
      <c r="B553" s="2" t="s">
        <v>26</v>
      </c>
      <c r="C553" s="2" t="s">
        <v>54</v>
      </c>
      <c r="D553" s="2" t="s">
        <v>38</v>
      </c>
      <c r="E553" s="2" t="s">
        <v>38</v>
      </c>
      <c r="F553" s="2" t="s">
        <v>88</v>
      </c>
      <c r="G553" s="2" t="s">
        <v>92</v>
      </c>
      <c r="H553" s="56" t="str">
        <f>Table1[[#This Row],[Tabela]]&amp;Table1[[#This Row],[Campo]]</f>
        <v>PROCESS_PROPERTY_RELFINANCED_PROPERTY_IND</v>
      </c>
      <c r="I553" s="3" t="s">
        <v>612</v>
      </c>
      <c r="J553" s="54">
        <f>VLOOKUP(Table1[[#This Row],[Status]],Auxiliar!$B$16:$C$24,2,0)</f>
        <v>1</v>
      </c>
      <c r="K553" s="2" t="s">
        <v>1168</v>
      </c>
      <c r="L553" s="28" t="s">
        <v>1174</v>
      </c>
      <c r="M553" s="20" t="s">
        <v>1175</v>
      </c>
      <c r="N553" s="47">
        <v>45485</v>
      </c>
      <c r="O553" s="20">
        <f>INDEX(Auxiliar!$D$5:$F$13,MATCH(Table1[[#This Row],[Tipologia_Testes]],Auxiliar!$B$5:$B$13,0),MATCH(Table1[[#This Row],[Complexidade]],Auxiliar!$D$4:$F$4,0))</f>
        <v>2</v>
      </c>
      <c r="P553" s="2"/>
      <c r="Q553" s="2" t="s">
        <v>1185</v>
      </c>
      <c r="R553" s="151">
        <v>45261</v>
      </c>
      <c r="S553" s="151"/>
      <c r="T553" s="151"/>
      <c r="U553" s="151"/>
      <c r="V553" s="151"/>
      <c r="W553" s="2">
        <f>VLOOKUP(Table1[[#This Row],[Status]],Auxiliar!$B$16:$D$24,3,0)*Table1[[#This Row],[Estimação (horas)]]</f>
        <v>2</v>
      </c>
      <c r="X553" s="165">
        <f>+VLOOKUP(CONCATENATE(Table1[[#This Row],[Tabela]],Table1[[#This Row],[Campo]]),'2. Status Detalhe Campos FY24'!A:J,9,FALSE)</f>
        <v>0</v>
      </c>
      <c r="Y553" s="491" t="e">
        <f>+VLOOKUP(A553,#REF!,1,FALSE)</f>
        <v>#REF!</v>
      </c>
    </row>
    <row r="554" spans="1:25" ht="17.899999999999999" hidden="1" customHeight="1">
      <c r="A554" t="str">
        <f>+Table1[[#This Row],[Tabela]]&amp;Table1[[#This Row],[Campo]]</f>
        <v>PROCESS_PROPERTY_RELFINANCED_PROPERTY_IND</v>
      </c>
      <c r="B554" s="2" t="s">
        <v>26</v>
      </c>
      <c r="C554" s="2" t="s">
        <v>54</v>
      </c>
      <c r="D554" s="2" t="s">
        <v>38</v>
      </c>
      <c r="E554" s="2" t="s">
        <v>38</v>
      </c>
      <c r="F554" s="2" t="s">
        <v>88</v>
      </c>
      <c r="G554" s="2" t="s">
        <v>92</v>
      </c>
      <c r="H554" s="56" t="str">
        <f>Table1[[#This Row],[Tabela]]&amp;Table1[[#This Row],[Campo]]</f>
        <v>PROCESS_PROPERTY_RELFINANCED_PROPERTY_IND</v>
      </c>
      <c r="I554" s="3" t="s">
        <v>612</v>
      </c>
      <c r="J554" s="54">
        <f>VLOOKUP(Table1[[#This Row],[Status]],Auxiliar!$B$16:$C$24,2,0)</f>
        <v>1</v>
      </c>
      <c r="K554" s="2" t="s">
        <v>1169</v>
      </c>
      <c r="L554" s="28" t="s">
        <v>1174</v>
      </c>
      <c r="M554" s="20" t="s">
        <v>1175</v>
      </c>
      <c r="N554" s="47">
        <v>45485</v>
      </c>
      <c r="O554" s="20">
        <f>INDEX(Auxiliar!$D$5:$F$13,MATCH(Table1[[#This Row],[Tipologia_Testes]],Auxiliar!$B$5:$B$13,0),MATCH(Table1[[#This Row],[Complexidade]],Auxiliar!$D$4:$F$4,0))</f>
        <v>2</v>
      </c>
      <c r="P554" s="2"/>
      <c r="Q554" s="2" t="s">
        <v>1185</v>
      </c>
      <c r="R554" s="151">
        <v>45261</v>
      </c>
      <c r="S554" s="151"/>
      <c r="T554" s="151"/>
      <c r="U554" s="151"/>
      <c r="V554" s="151"/>
      <c r="W554" s="2">
        <f>VLOOKUP(Table1[[#This Row],[Status]],Auxiliar!$B$16:$D$24,3,0)*Table1[[#This Row],[Estimação (horas)]]</f>
        <v>2</v>
      </c>
      <c r="X554" s="165">
        <f>+VLOOKUP(CONCATENATE(Table1[[#This Row],[Tabela]],Table1[[#This Row],[Campo]]),'2. Status Detalhe Campos FY24'!A:J,9,FALSE)</f>
        <v>0</v>
      </c>
      <c r="Y554" s="491" t="e">
        <f>+VLOOKUP(A554,#REF!,1,FALSE)</f>
        <v>#REF!</v>
      </c>
    </row>
    <row r="555" spans="1:25" ht="17.899999999999999" hidden="1" customHeight="1">
      <c r="A555" t="str">
        <f>+Table1[[#This Row],[Tabela]]&amp;Table1[[#This Row],[Campo]]</f>
        <v>PROCESS_PROPERTY_RELFINANCED_PROPERTY_IND</v>
      </c>
      <c r="B555" s="2" t="s">
        <v>26</v>
      </c>
      <c r="C555" s="2" t="s">
        <v>54</v>
      </c>
      <c r="D555" s="2" t="s">
        <v>38</v>
      </c>
      <c r="E555" s="2" t="s">
        <v>38</v>
      </c>
      <c r="F555" s="2" t="s">
        <v>88</v>
      </c>
      <c r="G555" s="2" t="s">
        <v>92</v>
      </c>
      <c r="H555" s="56" t="str">
        <f>Table1[[#This Row],[Tabela]]&amp;Table1[[#This Row],[Campo]]</f>
        <v>PROCESS_PROPERTY_RELFINANCED_PROPERTY_IND</v>
      </c>
      <c r="I555" s="3" t="s">
        <v>612</v>
      </c>
      <c r="J555" s="54">
        <f>VLOOKUP(Table1[[#This Row],[Status]],Auxiliar!$B$16:$C$24,2,0)</f>
        <v>1</v>
      </c>
      <c r="K555" s="2" t="s">
        <v>1171</v>
      </c>
      <c r="L555" s="28" t="s">
        <v>1174</v>
      </c>
      <c r="M555" s="20" t="s">
        <v>1175</v>
      </c>
      <c r="N555" s="47">
        <v>45485</v>
      </c>
      <c r="O555" s="20">
        <f>INDEX(Auxiliar!$D$5:$F$13,MATCH(Table1[[#This Row],[Tipologia_Testes]],Auxiliar!$B$5:$B$13,0),MATCH(Table1[[#This Row],[Complexidade]],Auxiliar!$D$4:$F$4,0))</f>
        <v>0.1</v>
      </c>
      <c r="P555" s="2"/>
      <c r="Q555" s="2" t="s">
        <v>1185</v>
      </c>
      <c r="R555" s="151">
        <v>45261</v>
      </c>
      <c r="S555" s="151"/>
      <c r="T555" s="151"/>
      <c r="U555" s="151"/>
      <c r="V555" s="151"/>
      <c r="W555" s="2">
        <f>VLOOKUP(Table1[[#This Row],[Status]],Auxiliar!$B$16:$D$24,3,0)*Table1[[#This Row],[Estimação (horas)]]</f>
        <v>0.1</v>
      </c>
      <c r="X555" s="165">
        <f>+VLOOKUP(CONCATENATE(Table1[[#This Row],[Tabela]],Table1[[#This Row],[Campo]]),'2. Status Detalhe Campos FY24'!A:J,9,FALSE)</f>
        <v>0</v>
      </c>
      <c r="Y555" s="491" t="e">
        <f>+VLOOKUP(A555,#REF!,1,FALSE)</f>
        <v>#REF!</v>
      </c>
    </row>
    <row r="556" spans="1:25" ht="17.899999999999999" hidden="1" customHeight="1">
      <c r="A556" t="str">
        <f>+Table1[[#This Row],[Tabela]]&amp;Table1[[#This Row],[Campo]]</f>
        <v>PROCESS_PROPERTY_RELOWNED_PROPERTY_IND</v>
      </c>
      <c r="B556" s="2" t="s">
        <v>26</v>
      </c>
      <c r="C556" s="2" t="s">
        <v>54</v>
      </c>
      <c r="D556" s="2" t="s">
        <v>38</v>
      </c>
      <c r="E556" s="2" t="s">
        <v>38</v>
      </c>
      <c r="F556" s="2" t="s">
        <v>88</v>
      </c>
      <c r="G556" s="2" t="s">
        <v>93</v>
      </c>
      <c r="H556" s="56" t="str">
        <f>Table1[[#This Row],[Tabela]]&amp;Table1[[#This Row],[Campo]]</f>
        <v>PROCESS_PROPERTY_RELOWNED_PROPERTY_IND</v>
      </c>
      <c r="I556" s="3" t="s">
        <v>612</v>
      </c>
      <c r="J556" s="54">
        <f>VLOOKUP(Table1[[#This Row],[Status]],Auxiliar!$B$16:$C$24,2,0)</f>
        <v>1</v>
      </c>
      <c r="K556" s="2" t="s">
        <v>1168</v>
      </c>
      <c r="L556" s="28" t="s">
        <v>1174</v>
      </c>
      <c r="M556" s="20" t="s">
        <v>1175</v>
      </c>
      <c r="N556" s="47">
        <v>45485</v>
      </c>
      <c r="O556" s="20">
        <f>INDEX(Auxiliar!$D$5:$F$13,MATCH(Table1[[#This Row],[Tipologia_Testes]],Auxiliar!$B$5:$B$13,0),MATCH(Table1[[#This Row],[Complexidade]],Auxiliar!$D$4:$F$4,0))</f>
        <v>2</v>
      </c>
      <c r="P556" s="2"/>
      <c r="Q556" s="2" t="s">
        <v>1185</v>
      </c>
      <c r="R556" s="151">
        <v>45261</v>
      </c>
      <c r="S556" s="151"/>
      <c r="T556" s="151"/>
      <c r="U556" s="151"/>
      <c r="V556" s="151"/>
      <c r="W556" s="2">
        <f>VLOOKUP(Table1[[#This Row],[Status]],Auxiliar!$B$16:$D$24,3,0)*Table1[[#This Row],[Estimação (horas)]]</f>
        <v>2</v>
      </c>
      <c r="X556" s="165">
        <f>+VLOOKUP(CONCATENATE(Table1[[#This Row],[Tabela]],Table1[[#This Row],[Campo]]),'2. Status Detalhe Campos FY24'!A:J,9,FALSE)</f>
        <v>0</v>
      </c>
      <c r="Y556" s="491" t="e">
        <f>+VLOOKUP(A556,#REF!,1,FALSE)</f>
        <v>#REF!</v>
      </c>
    </row>
    <row r="557" spans="1:25" ht="17.899999999999999" hidden="1" customHeight="1">
      <c r="A557" t="str">
        <f>+Table1[[#This Row],[Tabela]]&amp;Table1[[#This Row],[Campo]]</f>
        <v>PROCESS_PROPERTY_RELOWNED_PROPERTY_IND</v>
      </c>
      <c r="B557" s="2" t="s">
        <v>26</v>
      </c>
      <c r="C557" s="2" t="s">
        <v>54</v>
      </c>
      <c r="D557" s="2" t="s">
        <v>38</v>
      </c>
      <c r="E557" s="2" t="s">
        <v>38</v>
      </c>
      <c r="F557" s="2" t="s">
        <v>88</v>
      </c>
      <c r="G557" s="2" t="s">
        <v>93</v>
      </c>
      <c r="H557" s="56" t="str">
        <f>Table1[[#This Row],[Tabela]]&amp;Table1[[#This Row],[Campo]]</f>
        <v>PROCESS_PROPERTY_RELOWNED_PROPERTY_IND</v>
      </c>
      <c r="I557" s="3" t="s">
        <v>612</v>
      </c>
      <c r="J557" s="54">
        <f>VLOOKUP(Table1[[#This Row],[Status]],Auxiliar!$B$16:$C$24,2,0)</f>
        <v>1</v>
      </c>
      <c r="K557" s="2" t="s">
        <v>1169</v>
      </c>
      <c r="L557" s="28" t="s">
        <v>1174</v>
      </c>
      <c r="M557" s="20" t="s">
        <v>1175</v>
      </c>
      <c r="N557" s="47">
        <v>45485</v>
      </c>
      <c r="O557" s="20">
        <f>INDEX(Auxiliar!$D$5:$F$13,MATCH(Table1[[#This Row],[Tipologia_Testes]],Auxiliar!$B$5:$B$13,0),MATCH(Table1[[#This Row],[Complexidade]],Auxiliar!$D$4:$F$4,0))</f>
        <v>2</v>
      </c>
      <c r="P557" s="2"/>
      <c r="Q557" s="2" t="s">
        <v>1185</v>
      </c>
      <c r="R557" s="151">
        <v>45261</v>
      </c>
      <c r="S557" s="151"/>
      <c r="T557" s="151"/>
      <c r="U557" s="151"/>
      <c r="V557" s="151"/>
      <c r="W557" s="2">
        <f>VLOOKUP(Table1[[#This Row],[Status]],Auxiliar!$B$16:$D$24,3,0)*Table1[[#This Row],[Estimação (horas)]]</f>
        <v>2</v>
      </c>
      <c r="X557" s="165">
        <f>+VLOOKUP(CONCATENATE(Table1[[#This Row],[Tabela]],Table1[[#This Row],[Campo]]),'2. Status Detalhe Campos FY24'!A:J,9,FALSE)</f>
        <v>0</v>
      </c>
      <c r="Y557" s="491" t="e">
        <f>+VLOOKUP(A557,#REF!,1,FALSE)</f>
        <v>#REF!</v>
      </c>
    </row>
    <row r="558" spans="1:25" ht="17.899999999999999" hidden="1" customHeight="1">
      <c r="A558" t="str">
        <f>+Table1[[#This Row],[Tabela]]&amp;Table1[[#This Row],[Campo]]</f>
        <v>PROCESS_PROPERTY_RELOWNED_PROPERTY_IND</v>
      </c>
      <c r="B558" s="2" t="s">
        <v>26</v>
      </c>
      <c r="C558" s="2" t="s">
        <v>54</v>
      </c>
      <c r="D558" s="2" t="s">
        <v>38</v>
      </c>
      <c r="E558" s="2" t="s">
        <v>38</v>
      </c>
      <c r="F558" s="2" t="s">
        <v>88</v>
      </c>
      <c r="G558" s="2" t="s">
        <v>93</v>
      </c>
      <c r="H558" s="56" t="str">
        <f>Table1[[#This Row],[Tabela]]&amp;Table1[[#This Row],[Campo]]</f>
        <v>PROCESS_PROPERTY_RELOWNED_PROPERTY_IND</v>
      </c>
      <c r="I558" s="3" t="s">
        <v>612</v>
      </c>
      <c r="J558" s="54">
        <f>VLOOKUP(Table1[[#This Row],[Status]],Auxiliar!$B$16:$C$24,2,0)</f>
        <v>1</v>
      </c>
      <c r="K558" s="2" t="s">
        <v>1171</v>
      </c>
      <c r="L558" s="28" t="s">
        <v>1174</v>
      </c>
      <c r="M558" s="20" t="s">
        <v>1175</v>
      </c>
      <c r="N558" s="47">
        <v>45485</v>
      </c>
      <c r="O558" s="20">
        <f>INDEX(Auxiliar!$D$5:$F$13,MATCH(Table1[[#This Row],[Tipologia_Testes]],Auxiliar!$B$5:$B$13,0),MATCH(Table1[[#This Row],[Complexidade]],Auxiliar!$D$4:$F$4,0))</f>
        <v>0.1</v>
      </c>
      <c r="P558" s="2"/>
      <c r="Q558" s="2" t="s">
        <v>1185</v>
      </c>
      <c r="R558" s="151">
        <v>45261</v>
      </c>
      <c r="S558" s="151"/>
      <c r="T558" s="151"/>
      <c r="U558" s="151"/>
      <c r="V558" s="151"/>
      <c r="W558" s="2">
        <f>VLOOKUP(Table1[[#This Row],[Status]],Auxiliar!$B$16:$D$24,3,0)*Table1[[#This Row],[Estimação (horas)]]</f>
        <v>0.1</v>
      </c>
      <c r="X558" s="165">
        <f>+VLOOKUP(CONCATENATE(Table1[[#This Row],[Tabela]],Table1[[#This Row],[Campo]]),'2. Status Detalhe Campos FY24'!A:J,9,FALSE)</f>
        <v>0</v>
      </c>
      <c r="Y558" s="491" t="e">
        <f>+VLOOKUP(A558,#REF!,1,FALSE)</f>
        <v>#REF!</v>
      </c>
    </row>
    <row r="559" spans="1:25" ht="17.899999999999999" hidden="1" customHeight="1">
      <c r="A559" t="str">
        <f>+Table1[[#This Row],[Tabela]]&amp;Table1[[#This Row],[Campo]]</f>
        <v>PROCESS_PROPERTY_RELSOURCE_CODE</v>
      </c>
      <c r="B559" s="2" t="s">
        <v>26</v>
      </c>
      <c r="C559" s="2" t="s">
        <v>54</v>
      </c>
      <c r="D559" s="2" t="s">
        <v>38</v>
      </c>
      <c r="E559" s="2" t="s">
        <v>38</v>
      </c>
      <c r="F559" s="2" t="s">
        <v>88</v>
      </c>
      <c r="G559" s="2" t="s">
        <v>87</v>
      </c>
      <c r="H559" s="56" t="str">
        <f>Table1[[#This Row],[Tabela]]&amp;Table1[[#This Row],[Campo]]</f>
        <v>PROCESS_PROPERTY_RELSOURCE_CODE</v>
      </c>
      <c r="I559" s="3" t="s">
        <v>612</v>
      </c>
      <c r="J559" s="54">
        <f>VLOOKUP(Table1[[#This Row],[Status]],Auxiliar!$B$16:$C$24,2,0)</f>
        <v>1</v>
      </c>
      <c r="K559" s="2" t="s">
        <v>1168</v>
      </c>
      <c r="L559" s="28" t="s">
        <v>1174</v>
      </c>
      <c r="M559" s="20" t="s">
        <v>1175</v>
      </c>
      <c r="N559" s="47">
        <v>45485</v>
      </c>
      <c r="O559" s="20">
        <f>INDEX(Auxiliar!$D$5:$F$13,MATCH(Table1[[#This Row],[Tipologia_Testes]],Auxiliar!$B$5:$B$13,0),MATCH(Table1[[#This Row],[Complexidade]],Auxiliar!$D$4:$F$4,0))</f>
        <v>2</v>
      </c>
      <c r="P559" s="2"/>
      <c r="Q559" s="2" t="s">
        <v>1185</v>
      </c>
      <c r="R559" s="151">
        <v>45261</v>
      </c>
      <c r="S559" s="151"/>
      <c r="T559" s="151"/>
      <c r="U559" s="151"/>
      <c r="V559" s="151"/>
      <c r="W559" s="2">
        <f>VLOOKUP(Table1[[#This Row],[Status]],Auxiliar!$B$16:$D$24,3,0)*Table1[[#This Row],[Estimação (horas)]]</f>
        <v>2</v>
      </c>
      <c r="X559" s="165">
        <f>+VLOOKUP(CONCATENATE(Table1[[#This Row],[Tabela]],Table1[[#This Row],[Campo]]),'2. Status Detalhe Campos FY24'!A:J,9,FALSE)</f>
        <v>0</v>
      </c>
      <c r="Y559" s="491" t="e">
        <f>+VLOOKUP(A559,#REF!,1,FALSE)</f>
        <v>#REF!</v>
      </c>
    </row>
    <row r="560" spans="1:25" ht="17.899999999999999" hidden="1" customHeight="1">
      <c r="A560" t="str">
        <f>+Table1[[#This Row],[Tabela]]&amp;Table1[[#This Row],[Campo]]</f>
        <v>PROCESS_PROPERTY_RELSOURCE_CODE</v>
      </c>
      <c r="B560" s="2" t="s">
        <v>26</v>
      </c>
      <c r="C560" s="2" t="s">
        <v>54</v>
      </c>
      <c r="D560" s="2" t="s">
        <v>38</v>
      </c>
      <c r="E560" s="2" t="s">
        <v>38</v>
      </c>
      <c r="F560" s="2" t="s">
        <v>88</v>
      </c>
      <c r="G560" s="2" t="s">
        <v>87</v>
      </c>
      <c r="H560" s="56" t="str">
        <f>Table1[[#This Row],[Tabela]]&amp;Table1[[#This Row],[Campo]]</f>
        <v>PROCESS_PROPERTY_RELSOURCE_CODE</v>
      </c>
      <c r="I560" s="3" t="s">
        <v>612</v>
      </c>
      <c r="J560" s="54">
        <f>VLOOKUP(Table1[[#This Row],[Status]],Auxiliar!$B$16:$C$24,2,0)</f>
        <v>1</v>
      </c>
      <c r="K560" s="2" t="s">
        <v>1169</v>
      </c>
      <c r="L560" s="28" t="s">
        <v>1174</v>
      </c>
      <c r="M560" s="20" t="s">
        <v>1175</v>
      </c>
      <c r="N560" s="47">
        <v>45485</v>
      </c>
      <c r="O560" s="20">
        <f>INDEX(Auxiliar!$D$5:$F$13,MATCH(Table1[[#This Row],[Tipologia_Testes]],Auxiliar!$B$5:$B$13,0),MATCH(Table1[[#This Row],[Complexidade]],Auxiliar!$D$4:$F$4,0))</f>
        <v>2</v>
      </c>
      <c r="P560" s="2"/>
      <c r="Q560" s="2" t="s">
        <v>1185</v>
      </c>
      <c r="R560" s="151">
        <v>45261</v>
      </c>
      <c r="S560" s="151"/>
      <c r="T560" s="151"/>
      <c r="U560" s="151"/>
      <c r="V560" s="151"/>
      <c r="W560" s="2">
        <f>VLOOKUP(Table1[[#This Row],[Status]],Auxiliar!$B$16:$D$24,3,0)*Table1[[#This Row],[Estimação (horas)]]</f>
        <v>2</v>
      </c>
      <c r="X560" s="165">
        <f>+VLOOKUP(CONCATENATE(Table1[[#This Row],[Tabela]],Table1[[#This Row],[Campo]]),'2. Status Detalhe Campos FY24'!A:J,9,FALSE)</f>
        <v>0</v>
      </c>
      <c r="Y560" s="491" t="e">
        <f>+VLOOKUP(A560,#REF!,1,FALSE)</f>
        <v>#REF!</v>
      </c>
    </row>
    <row r="561" spans="1:25" ht="17.899999999999999" hidden="1" customHeight="1">
      <c r="A561" t="str">
        <f>+Table1[[#This Row],[Tabela]]&amp;Table1[[#This Row],[Campo]]</f>
        <v>PROCESS_PROPERTY_RELSOURCE_CODE</v>
      </c>
      <c r="B561" s="2" t="s">
        <v>26</v>
      </c>
      <c r="C561" s="2" t="s">
        <v>54</v>
      </c>
      <c r="D561" s="2" t="s">
        <v>38</v>
      </c>
      <c r="E561" s="2" t="s">
        <v>38</v>
      </c>
      <c r="F561" s="2" t="s">
        <v>88</v>
      </c>
      <c r="G561" s="2" t="s">
        <v>87</v>
      </c>
      <c r="H561" s="56" t="str">
        <f>Table1[[#This Row],[Tabela]]&amp;Table1[[#This Row],[Campo]]</f>
        <v>PROCESS_PROPERTY_RELSOURCE_CODE</v>
      </c>
      <c r="I561" s="3" t="s">
        <v>612</v>
      </c>
      <c r="J561" s="54">
        <f>VLOOKUP(Table1[[#This Row],[Status]],Auxiliar!$B$16:$C$24,2,0)</f>
        <v>1</v>
      </c>
      <c r="K561" s="2" t="s">
        <v>1171</v>
      </c>
      <c r="L561" s="28" t="s">
        <v>1174</v>
      </c>
      <c r="M561" s="20" t="s">
        <v>1175</v>
      </c>
      <c r="N561" s="47">
        <v>45485</v>
      </c>
      <c r="O561" s="20">
        <f>INDEX(Auxiliar!$D$5:$F$13,MATCH(Table1[[#This Row],[Tipologia_Testes]],Auxiliar!$B$5:$B$13,0),MATCH(Table1[[#This Row],[Complexidade]],Auxiliar!$D$4:$F$4,0))</f>
        <v>0.1</v>
      </c>
      <c r="P561" s="2"/>
      <c r="Q561" s="2" t="s">
        <v>1185</v>
      </c>
      <c r="R561" s="151">
        <v>45261</v>
      </c>
      <c r="S561" s="151"/>
      <c r="T561" s="151"/>
      <c r="U561" s="151"/>
      <c r="V561" s="151"/>
      <c r="W561" s="2">
        <f>VLOOKUP(Table1[[#This Row],[Status]],Auxiliar!$B$16:$D$24,3,0)*Table1[[#This Row],[Estimação (horas)]]</f>
        <v>0.1</v>
      </c>
      <c r="X561" s="165">
        <f>+VLOOKUP(CONCATENATE(Table1[[#This Row],[Tabela]],Table1[[#This Row],[Campo]]),'2. Status Detalhe Campos FY24'!A:J,9,FALSE)</f>
        <v>0</v>
      </c>
      <c r="Y561" s="491" t="e">
        <f>+VLOOKUP(A561,#REF!,1,FALSE)</f>
        <v>#REF!</v>
      </c>
    </row>
    <row r="562" spans="1:25" ht="17.899999999999999" hidden="1" customHeight="1">
      <c r="A562" t="str">
        <f>+Table1[[#This Row],[Tabela]]&amp;Table1[[#This Row],[Campo]]</f>
        <v>PROCESS_PROPERTY_RELDATA_DATE_PART</v>
      </c>
      <c r="B562" s="2" t="s">
        <v>26</v>
      </c>
      <c r="C562" s="2" t="s">
        <v>54</v>
      </c>
      <c r="D562" s="2" t="s">
        <v>38</v>
      </c>
      <c r="E562" s="2" t="s">
        <v>38</v>
      </c>
      <c r="F562" s="2" t="s">
        <v>88</v>
      </c>
      <c r="G562" s="2" t="s">
        <v>73</v>
      </c>
      <c r="H562" s="56" t="str">
        <f>Table1[[#This Row],[Tabela]]&amp;Table1[[#This Row],[Campo]]</f>
        <v>PROCESS_PROPERTY_RELDATA_DATE_PART</v>
      </c>
      <c r="I562" s="3" t="s">
        <v>612</v>
      </c>
      <c r="J562" s="54">
        <f>VLOOKUP(Table1[[#This Row],[Status]],Auxiliar!$B$16:$C$24,2,0)</f>
        <v>1</v>
      </c>
      <c r="K562" s="2" t="s">
        <v>1168</v>
      </c>
      <c r="L562" s="28" t="s">
        <v>1174</v>
      </c>
      <c r="M562" s="20" t="s">
        <v>1175</v>
      </c>
      <c r="N562" s="47">
        <v>45485</v>
      </c>
      <c r="O562" s="20">
        <f>INDEX(Auxiliar!$D$5:$F$13,MATCH(Table1[[#This Row],[Tipologia_Testes]],Auxiliar!$B$5:$B$13,0),MATCH(Table1[[#This Row],[Complexidade]],Auxiliar!$D$4:$F$4,0))</f>
        <v>2</v>
      </c>
      <c r="P562" s="2"/>
      <c r="Q562" s="2" t="s">
        <v>1185</v>
      </c>
      <c r="R562" s="151">
        <v>45261</v>
      </c>
      <c r="S562" s="151"/>
      <c r="T562" s="151"/>
      <c r="U562" s="151"/>
      <c r="V562" s="151"/>
      <c r="W562" s="2">
        <f>VLOOKUP(Table1[[#This Row],[Status]],Auxiliar!$B$16:$D$24,3,0)*Table1[[#This Row],[Estimação (horas)]]</f>
        <v>2</v>
      </c>
      <c r="X562" s="165">
        <f>+VLOOKUP(CONCATENATE(Table1[[#This Row],[Tabela]],Table1[[#This Row],[Campo]]),'2. Status Detalhe Campos FY24'!A:J,9,FALSE)</f>
        <v>0</v>
      </c>
      <c r="Y562" s="491" t="e">
        <f>+VLOOKUP(A562,#REF!,1,FALSE)</f>
        <v>#REF!</v>
      </c>
    </row>
    <row r="563" spans="1:25" ht="17.899999999999999" hidden="1" customHeight="1">
      <c r="A563" t="str">
        <f>+Table1[[#This Row],[Tabela]]&amp;Table1[[#This Row],[Campo]]</f>
        <v>PROCESS_PROPERTY_RELDATA_DATE_PART</v>
      </c>
      <c r="B563" s="2" t="s">
        <v>26</v>
      </c>
      <c r="C563" s="2" t="s">
        <v>54</v>
      </c>
      <c r="D563" s="2" t="s">
        <v>38</v>
      </c>
      <c r="E563" s="2" t="s">
        <v>38</v>
      </c>
      <c r="F563" s="2" t="s">
        <v>88</v>
      </c>
      <c r="G563" s="2" t="s">
        <v>73</v>
      </c>
      <c r="H563" s="56" t="str">
        <f>Table1[[#This Row],[Tabela]]&amp;Table1[[#This Row],[Campo]]</f>
        <v>PROCESS_PROPERTY_RELDATA_DATE_PART</v>
      </c>
      <c r="I563" s="3" t="s">
        <v>612</v>
      </c>
      <c r="J563" s="54">
        <f>VLOOKUP(Table1[[#This Row],[Status]],Auxiliar!$B$16:$C$24,2,0)</f>
        <v>1</v>
      </c>
      <c r="K563" s="2" t="s">
        <v>1169</v>
      </c>
      <c r="L563" s="28" t="s">
        <v>1174</v>
      </c>
      <c r="M563" s="20" t="s">
        <v>1175</v>
      </c>
      <c r="N563" s="47">
        <v>45485</v>
      </c>
      <c r="O563" s="20">
        <f>INDEX(Auxiliar!$D$5:$F$13,MATCH(Table1[[#This Row],[Tipologia_Testes]],Auxiliar!$B$5:$B$13,0),MATCH(Table1[[#This Row],[Complexidade]],Auxiliar!$D$4:$F$4,0))</f>
        <v>2</v>
      </c>
      <c r="P563" s="2"/>
      <c r="Q563" s="2" t="s">
        <v>1185</v>
      </c>
      <c r="R563" s="151">
        <v>45261</v>
      </c>
      <c r="S563" s="151"/>
      <c r="T563" s="151"/>
      <c r="U563" s="151"/>
      <c r="V563" s="151"/>
      <c r="W563" s="2">
        <f>VLOOKUP(Table1[[#This Row],[Status]],Auxiliar!$B$16:$D$24,3,0)*Table1[[#This Row],[Estimação (horas)]]</f>
        <v>2</v>
      </c>
      <c r="X563" s="165">
        <f>+VLOOKUP(CONCATENATE(Table1[[#This Row],[Tabela]],Table1[[#This Row],[Campo]]),'2. Status Detalhe Campos FY24'!A:J,9,FALSE)</f>
        <v>0</v>
      </c>
      <c r="Y563" s="491" t="e">
        <f>+VLOOKUP(A563,#REF!,1,FALSE)</f>
        <v>#REF!</v>
      </c>
    </row>
    <row r="564" spans="1:25" ht="35.15" hidden="1" customHeight="1">
      <c r="A564" t="str">
        <f>+Table1[[#This Row],[Tabela]]&amp;Table1[[#This Row],[Campo]]</f>
        <v>PROCESS_PROPERTY_RELDATA_DATE_PART</v>
      </c>
      <c r="B564" s="2" t="s">
        <v>26</v>
      </c>
      <c r="C564" s="2" t="s">
        <v>54</v>
      </c>
      <c r="D564" s="2" t="s">
        <v>38</v>
      </c>
      <c r="E564" s="2" t="s">
        <v>38</v>
      </c>
      <c r="F564" s="2" t="s">
        <v>88</v>
      </c>
      <c r="G564" s="2" t="s">
        <v>73</v>
      </c>
      <c r="H564" s="56" t="str">
        <f>Table1[[#This Row],[Tabela]]&amp;Table1[[#This Row],[Campo]]</f>
        <v>PROCESS_PROPERTY_RELDATA_DATE_PART</v>
      </c>
      <c r="I564" s="3" t="s">
        <v>612</v>
      </c>
      <c r="J564" s="54">
        <f>VLOOKUP(Table1[[#This Row],[Status]],Auxiliar!$B$16:$C$24,2,0)</f>
        <v>1</v>
      </c>
      <c r="K564" s="2" t="s">
        <v>1171</v>
      </c>
      <c r="L564" s="28" t="s">
        <v>1174</v>
      </c>
      <c r="M564" s="20" t="s">
        <v>1175</v>
      </c>
      <c r="N564" s="47">
        <v>45485</v>
      </c>
      <c r="O564" s="20">
        <f>INDEX(Auxiliar!$D$5:$F$13,MATCH(Table1[[#This Row],[Tipologia_Testes]],Auxiliar!$B$5:$B$13,0),MATCH(Table1[[#This Row],[Complexidade]],Auxiliar!$D$4:$F$4,0))</f>
        <v>0.1</v>
      </c>
      <c r="P564" s="2"/>
      <c r="Q564" s="2" t="s">
        <v>1185</v>
      </c>
      <c r="R564" s="151">
        <v>45261</v>
      </c>
      <c r="S564" s="151"/>
      <c r="T564" s="151"/>
      <c r="U564" s="151"/>
      <c r="V564" s="151"/>
      <c r="W564" s="2">
        <f>VLOOKUP(Table1[[#This Row],[Status]],Auxiliar!$B$16:$D$24,3,0)*Table1[[#This Row],[Estimação (horas)]]</f>
        <v>0.1</v>
      </c>
      <c r="X564" s="165">
        <f>+VLOOKUP(CONCATENATE(Table1[[#This Row],[Tabela]],Table1[[#This Row],[Campo]]),'2. Status Detalhe Campos FY24'!A:J,9,FALSE)</f>
        <v>0</v>
      </c>
      <c r="Y564" s="491" t="e">
        <f>+VLOOKUP(A564,#REF!,1,FALSE)</f>
        <v>#REF!</v>
      </c>
    </row>
    <row r="565" spans="1:25" ht="17.899999999999999" hidden="1" customHeight="1">
      <c r="A565" t="str">
        <f>+Table1[[#This Row],[Tabela]]&amp;Table1[[#This Row],[Campo]]</f>
        <v>modesg_out_bens_imoveisn.a.</v>
      </c>
      <c r="B565" s="2" t="s">
        <v>26</v>
      </c>
      <c r="C565" s="2" t="s">
        <v>310</v>
      </c>
      <c r="D565" s="2" t="s">
        <v>312</v>
      </c>
      <c r="E565" s="2" t="s">
        <v>38</v>
      </c>
      <c r="F565" s="2" t="s">
        <v>311</v>
      </c>
      <c r="G565" s="2" t="s">
        <v>38</v>
      </c>
      <c r="H565" s="56" t="str">
        <f>Table1[[#This Row],[Tabela]]&amp;Table1[[#This Row],[Campo]]</f>
        <v>modesg_out_bens_imoveisn.a.</v>
      </c>
      <c r="I565" s="3" t="s">
        <v>612</v>
      </c>
      <c r="J565" s="55">
        <f>VLOOKUP(Table1[[#This Row],[Status]],Auxiliar!$B$16:$C$24,2,0)</f>
        <v>1</v>
      </c>
      <c r="K565" s="2" t="s">
        <v>1165</v>
      </c>
      <c r="L565" s="28" t="s">
        <v>1174</v>
      </c>
      <c r="M565" s="20" t="s">
        <v>1175</v>
      </c>
      <c r="N565" s="47">
        <v>45505</v>
      </c>
      <c r="O565" s="20">
        <f>INDEX(Auxiliar!$D$5:$F$13,MATCH(Table1[[#This Row],[Tipologia_Testes]],Auxiliar!$B$5:$B$13,0),MATCH(Table1[[#This Row],[Complexidade]],Auxiliar!$D$4:$F$4,0))</f>
        <v>8</v>
      </c>
      <c r="P565" s="22" t="s">
        <v>1197</v>
      </c>
      <c r="Q565" s="2"/>
      <c r="R565" s="151">
        <v>45261</v>
      </c>
      <c r="S565" s="151"/>
      <c r="T565" s="151"/>
      <c r="U565" s="151"/>
      <c r="V565" s="151"/>
      <c r="W565" s="2">
        <f>VLOOKUP(Table1[[#This Row],[Status]],Auxiliar!$B$16:$D$24,3,0)*Table1[[#This Row],[Estimação (horas)]]</f>
        <v>8</v>
      </c>
      <c r="X565" s="165">
        <f>+VLOOKUP(CONCATENATE(Table1[[#This Row],[Tabela]],Table1[[#This Row],[Campo]]),'2. Status Detalhe Campos FY24'!A:J,9,FALSE)</f>
        <v>0</v>
      </c>
      <c r="Y565" s="491" t="e">
        <f>+VLOOKUP(A565,#REF!,1,FALSE)</f>
        <v>#REF!</v>
      </c>
    </row>
    <row r="566" spans="1:25" ht="17.899999999999999" hidden="1" customHeight="1">
      <c r="A566" t="str">
        <f>+Table1[[#This Row],[Tabela]]&amp;Table1[[#This Row],[Campo]]</f>
        <v>modesg_out_bens_imoveiscempbem</v>
      </c>
      <c r="B566" s="2" t="s">
        <v>26</v>
      </c>
      <c r="C566" s="2" t="s">
        <v>310</v>
      </c>
      <c r="D566" s="2" t="s">
        <v>312</v>
      </c>
      <c r="E566" s="2" t="s">
        <v>38</v>
      </c>
      <c r="F566" s="2" t="s">
        <v>311</v>
      </c>
      <c r="G566" s="2" t="s">
        <v>313</v>
      </c>
      <c r="H566" s="56" t="str">
        <f>Table1[[#This Row],[Tabela]]&amp;Table1[[#This Row],[Campo]]</f>
        <v>modesg_out_bens_imoveiscempbem</v>
      </c>
      <c r="I566" s="3" t="s">
        <v>612</v>
      </c>
      <c r="J566" s="54">
        <f>VLOOKUP(Table1[[#This Row],[Status]],Auxiliar!$B$16:$C$24,2,0)</f>
        <v>1</v>
      </c>
      <c r="K566" s="2" t="s">
        <v>1168</v>
      </c>
      <c r="L566" s="28" t="s">
        <v>1174</v>
      </c>
      <c r="M566" s="20" t="s">
        <v>1175</v>
      </c>
      <c r="N566" s="47">
        <v>45485</v>
      </c>
      <c r="O566" s="20">
        <f>INDEX(Auxiliar!$D$5:$F$13,MATCH(Table1[[#This Row],[Tipologia_Testes]],Auxiliar!$B$5:$B$13,0),MATCH(Table1[[#This Row],[Complexidade]],Auxiliar!$D$4:$F$4,0))</f>
        <v>2</v>
      </c>
      <c r="P566" s="2" t="s">
        <v>1188</v>
      </c>
      <c r="Q566" s="2" t="s">
        <v>1185</v>
      </c>
      <c r="R566" s="151">
        <v>45261</v>
      </c>
      <c r="S566" s="151"/>
      <c r="T566" s="151"/>
      <c r="U566" s="151"/>
      <c r="V566" s="151"/>
      <c r="W566" s="2">
        <f>VLOOKUP(Table1[[#This Row],[Status]],Auxiliar!$B$16:$D$24,3,0)*Table1[[#This Row],[Estimação (horas)]]</f>
        <v>2</v>
      </c>
      <c r="X566" s="165">
        <f>+VLOOKUP(CONCATENATE(Table1[[#This Row],[Tabela]],Table1[[#This Row],[Campo]]),'2. Status Detalhe Campos FY24'!A:J,9,FALSE)</f>
        <v>0</v>
      </c>
      <c r="Y566" s="491" t="e">
        <f>+VLOOKUP(A566,#REF!,1,FALSE)</f>
        <v>#REF!</v>
      </c>
    </row>
    <row r="567" spans="1:25" ht="17.899999999999999" hidden="1" customHeight="1">
      <c r="A567" t="str">
        <f>+Table1[[#This Row],[Tabela]]&amp;Table1[[#This Row],[Campo]]</f>
        <v>modesg_out_bens_imoveiscempbem</v>
      </c>
      <c r="B567" s="2" t="s">
        <v>26</v>
      </c>
      <c r="C567" s="2" t="s">
        <v>310</v>
      </c>
      <c r="D567" s="2" t="s">
        <v>312</v>
      </c>
      <c r="E567" s="2" t="s">
        <v>38</v>
      </c>
      <c r="F567" s="2" t="s">
        <v>311</v>
      </c>
      <c r="G567" s="2" t="s">
        <v>313</v>
      </c>
      <c r="H567" s="56" t="str">
        <f>Table1[[#This Row],[Tabela]]&amp;Table1[[#This Row],[Campo]]</f>
        <v>modesg_out_bens_imoveiscempbem</v>
      </c>
      <c r="I567" s="3" t="s">
        <v>612</v>
      </c>
      <c r="J567" s="54">
        <f>VLOOKUP(Table1[[#This Row],[Status]],Auxiliar!$B$16:$C$24,2,0)</f>
        <v>1</v>
      </c>
      <c r="K567" s="2" t="s">
        <v>1169</v>
      </c>
      <c r="L567" s="28" t="s">
        <v>1174</v>
      </c>
      <c r="M567" s="20" t="s">
        <v>1175</v>
      </c>
      <c r="N567" s="47">
        <v>45485</v>
      </c>
      <c r="O567" s="20">
        <f>INDEX(Auxiliar!$D$5:$F$13,MATCH(Table1[[#This Row],[Tipologia_Testes]],Auxiliar!$B$5:$B$13,0),MATCH(Table1[[#This Row],[Complexidade]],Auxiliar!$D$4:$F$4,0))</f>
        <v>2</v>
      </c>
      <c r="P567" s="2" t="s">
        <v>1188</v>
      </c>
      <c r="Q567" s="2" t="s">
        <v>1185</v>
      </c>
      <c r="R567" s="151">
        <v>45261</v>
      </c>
      <c r="S567" s="151"/>
      <c r="T567" s="151"/>
      <c r="U567" s="151"/>
      <c r="V567" s="151"/>
      <c r="W567" s="2">
        <f>VLOOKUP(Table1[[#This Row],[Status]],Auxiliar!$B$16:$D$24,3,0)*Table1[[#This Row],[Estimação (horas)]]</f>
        <v>2</v>
      </c>
      <c r="X567" s="165">
        <f>+VLOOKUP(CONCATENATE(Table1[[#This Row],[Tabela]],Table1[[#This Row],[Campo]]),'2. Status Detalhe Campos FY24'!A:J,9,FALSE)</f>
        <v>0</v>
      </c>
      <c r="Y567" s="491" t="e">
        <f>+VLOOKUP(A567,#REF!,1,FALSE)</f>
        <v>#REF!</v>
      </c>
    </row>
    <row r="568" spans="1:25" ht="17.899999999999999" hidden="1" customHeight="1">
      <c r="A568" t="str">
        <f>+Table1[[#This Row],[Tabela]]&amp;Table1[[#This Row],[Campo]]</f>
        <v>modesg_out_bens_imoveiscempbem</v>
      </c>
      <c r="B568" s="2" t="s">
        <v>26</v>
      </c>
      <c r="C568" s="2" t="s">
        <v>310</v>
      </c>
      <c r="D568" s="2" t="s">
        <v>312</v>
      </c>
      <c r="E568" s="2" t="s">
        <v>38</v>
      </c>
      <c r="F568" s="2" t="s">
        <v>311</v>
      </c>
      <c r="G568" s="2" t="s">
        <v>313</v>
      </c>
      <c r="H568" s="56" t="str">
        <f>Table1[[#This Row],[Tabela]]&amp;Table1[[#This Row],[Campo]]</f>
        <v>modesg_out_bens_imoveiscempbem</v>
      </c>
      <c r="I568" s="3" t="s">
        <v>612</v>
      </c>
      <c r="J568" s="54">
        <f>VLOOKUP(Table1[[#This Row],[Status]],Auxiliar!$B$16:$C$24,2,0)</f>
        <v>1</v>
      </c>
      <c r="K568" s="2" t="s">
        <v>1171</v>
      </c>
      <c r="L568" s="28" t="s">
        <v>1174</v>
      </c>
      <c r="M568" s="20" t="s">
        <v>1175</v>
      </c>
      <c r="N568" s="47">
        <v>45485</v>
      </c>
      <c r="O568" s="20">
        <f>INDEX(Auxiliar!$D$5:$F$13,MATCH(Table1[[#This Row],[Tipologia_Testes]],Auxiliar!$B$5:$B$13,0),MATCH(Table1[[#This Row],[Complexidade]],Auxiliar!$D$4:$F$4,0))</f>
        <v>0.1</v>
      </c>
      <c r="P568" s="2" t="s">
        <v>1188</v>
      </c>
      <c r="Q568" s="2" t="s">
        <v>1185</v>
      </c>
      <c r="R568" s="151">
        <v>45261</v>
      </c>
      <c r="S568" s="151"/>
      <c r="T568" s="151"/>
      <c r="U568" s="151"/>
      <c r="V568" s="151"/>
      <c r="W568" s="2">
        <f>VLOOKUP(Table1[[#This Row],[Status]],Auxiliar!$B$16:$D$24,3,0)*Table1[[#This Row],[Estimação (horas)]]</f>
        <v>0.1</v>
      </c>
      <c r="X568" s="165">
        <f>+VLOOKUP(CONCATENATE(Table1[[#This Row],[Tabela]],Table1[[#This Row],[Campo]]),'2. Status Detalhe Campos FY24'!A:J,9,FALSE)</f>
        <v>0</v>
      </c>
      <c r="Y568" s="491" t="e">
        <f>+VLOOKUP(A568,#REF!,1,FALSE)</f>
        <v>#REF!</v>
      </c>
    </row>
    <row r="569" spans="1:25" ht="17.899999999999999" hidden="1" customHeight="1">
      <c r="A569" t="str">
        <f>+Table1[[#This Row],[Tabela]]&amp;Table1[[#This Row],[Campo]]</f>
        <v>modesg_out_bens_imoveisckbalbem</v>
      </c>
      <c r="B569" s="2" t="s">
        <v>26</v>
      </c>
      <c r="C569" s="2" t="s">
        <v>310</v>
      </c>
      <c r="D569" s="2" t="s">
        <v>312</v>
      </c>
      <c r="E569" s="2" t="s">
        <v>38</v>
      </c>
      <c r="F569" s="2" t="s">
        <v>311</v>
      </c>
      <c r="G569" s="2" t="s">
        <v>314</v>
      </c>
      <c r="H569" s="56" t="str">
        <f>Table1[[#This Row],[Tabela]]&amp;Table1[[#This Row],[Campo]]</f>
        <v>modesg_out_bens_imoveisckbalbem</v>
      </c>
      <c r="I569" s="3" t="s">
        <v>612</v>
      </c>
      <c r="J569" s="54">
        <f>VLOOKUP(Table1[[#This Row],[Status]],Auxiliar!$B$16:$C$24,2,0)</f>
        <v>1</v>
      </c>
      <c r="K569" s="2" t="s">
        <v>1168</v>
      </c>
      <c r="L569" s="28" t="s">
        <v>1174</v>
      </c>
      <c r="M569" s="20" t="s">
        <v>1175</v>
      </c>
      <c r="N569" s="47">
        <v>45485</v>
      </c>
      <c r="O569" s="20">
        <f>INDEX(Auxiliar!$D$5:$F$13,MATCH(Table1[[#This Row],[Tipologia_Testes]],Auxiliar!$B$5:$B$13,0),MATCH(Table1[[#This Row],[Complexidade]],Auxiliar!$D$4:$F$4,0))</f>
        <v>2</v>
      </c>
      <c r="P569" s="2" t="s">
        <v>1188</v>
      </c>
      <c r="Q569" s="2" t="s">
        <v>1185</v>
      </c>
      <c r="R569" s="151">
        <v>45261</v>
      </c>
      <c r="S569" s="151"/>
      <c r="T569" s="151"/>
      <c r="U569" s="151"/>
      <c r="V569" s="151"/>
      <c r="W569" s="2">
        <f>VLOOKUP(Table1[[#This Row],[Status]],Auxiliar!$B$16:$D$24,3,0)*Table1[[#This Row],[Estimação (horas)]]</f>
        <v>2</v>
      </c>
      <c r="X569" s="165">
        <f>+VLOOKUP(CONCATENATE(Table1[[#This Row],[Tabela]],Table1[[#This Row],[Campo]]),'2. Status Detalhe Campos FY24'!A:J,9,FALSE)</f>
        <v>0</v>
      </c>
      <c r="Y569" s="491" t="e">
        <f>+VLOOKUP(A569,#REF!,1,FALSE)</f>
        <v>#REF!</v>
      </c>
    </row>
    <row r="570" spans="1:25" ht="17.899999999999999" hidden="1" customHeight="1">
      <c r="A570" t="str">
        <f>+Table1[[#This Row],[Tabela]]&amp;Table1[[#This Row],[Campo]]</f>
        <v>modesg_out_bens_imoveisckbalbem</v>
      </c>
      <c r="B570" s="2" t="s">
        <v>26</v>
      </c>
      <c r="C570" s="2" t="s">
        <v>310</v>
      </c>
      <c r="D570" s="2" t="s">
        <v>312</v>
      </c>
      <c r="E570" s="2" t="s">
        <v>38</v>
      </c>
      <c r="F570" s="2" t="s">
        <v>311</v>
      </c>
      <c r="G570" s="2" t="s">
        <v>314</v>
      </c>
      <c r="H570" s="56" t="str">
        <f>Table1[[#This Row],[Tabela]]&amp;Table1[[#This Row],[Campo]]</f>
        <v>modesg_out_bens_imoveisckbalbem</v>
      </c>
      <c r="I570" s="3" t="s">
        <v>612</v>
      </c>
      <c r="J570" s="54">
        <f>VLOOKUP(Table1[[#This Row],[Status]],Auxiliar!$B$16:$C$24,2,0)</f>
        <v>1</v>
      </c>
      <c r="K570" s="2" t="s">
        <v>1169</v>
      </c>
      <c r="L570" s="28" t="s">
        <v>1174</v>
      </c>
      <c r="M570" s="20" t="s">
        <v>1175</v>
      </c>
      <c r="N570" s="47">
        <v>45485</v>
      </c>
      <c r="O570" s="20">
        <f>INDEX(Auxiliar!$D$5:$F$13,MATCH(Table1[[#This Row],[Tipologia_Testes]],Auxiliar!$B$5:$B$13,0),MATCH(Table1[[#This Row],[Complexidade]],Auxiliar!$D$4:$F$4,0))</f>
        <v>2</v>
      </c>
      <c r="P570" s="2" t="s">
        <v>1188</v>
      </c>
      <c r="Q570" s="2" t="s">
        <v>1185</v>
      </c>
      <c r="R570" s="151">
        <v>45261</v>
      </c>
      <c r="S570" s="151"/>
      <c r="T570" s="151"/>
      <c r="U570" s="151"/>
      <c r="V570" s="151"/>
      <c r="W570" s="2">
        <f>VLOOKUP(Table1[[#This Row],[Status]],Auxiliar!$B$16:$D$24,3,0)*Table1[[#This Row],[Estimação (horas)]]</f>
        <v>2</v>
      </c>
      <c r="X570" s="165">
        <f>+VLOOKUP(CONCATENATE(Table1[[#This Row],[Tabela]],Table1[[#This Row],[Campo]]),'2. Status Detalhe Campos FY24'!A:J,9,FALSE)</f>
        <v>0</v>
      </c>
      <c r="Y570" s="491" t="e">
        <f>+VLOOKUP(A570,#REF!,1,FALSE)</f>
        <v>#REF!</v>
      </c>
    </row>
    <row r="571" spans="1:25" ht="17.899999999999999" hidden="1" customHeight="1">
      <c r="A571" t="str">
        <f>+Table1[[#This Row],[Tabela]]&amp;Table1[[#This Row],[Campo]]</f>
        <v>modesg_out_bens_imoveisckbalbem</v>
      </c>
      <c r="B571" s="2" t="s">
        <v>26</v>
      </c>
      <c r="C571" s="2" t="s">
        <v>310</v>
      </c>
      <c r="D571" s="2" t="s">
        <v>312</v>
      </c>
      <c r="E571" s="2" t="s">
        <v>38</v>
      </c>
      <c r="F571" s="2" t="s">
        <v>311</v>
      </c>
      <c r="G571" s="2" t="s">
        <v>314</v>
      </c>
      <c r="H571" s="56" t="str">
        <f>Table1[[#This Row],[Tabela]]&amp;Table1[[#This Row],[Campo]]</f>
        <v>modesg_out_bens_imoveisckbalbem</v>
      </c>
      <c r="I571" s="3" t="s">
        <v>612</v>
      </c>
      <c r="J571" s="54">
        <f>VLOOKUP(Table1[[#This Row],[Status]],Auxiliar!$B$16:$C$24,2,0)</f>
        <v>1</v>
      </c>
      <c r="K571" s="2" t="s">
        <v>1171</v>
      </c>
      <c r="L571" s="28" t="s">
        <v>1174</v>
      </c>
      <c r="M571" s="20" t="s">
        <v>1175</v>
      </c>
      <c r="N571" s="47">
        <v>45485</v>
      </c>
      <c r="O571" s="20">
        <f>INDEX(Auxiliar!$D$5:$F$13,MATCH(Table1[[#This Row],[Tipologia_Testes]],Auxiliar!$B$5:$B$13,0),MATCH(Table1[[#This Row],[Complexidade]],Auxiliar!$D$4:$F$4,0))</f>
        <v>0.1</v>
      </c>
      <c r="P571" s="2" t="s">
        <v>1188</v>
      </c>
      <c r="Q571" s="2" t="s">
        <v>1185</v>
      </c>
      <c r="R571" s="151">
        <v>45261</v>
      </c>
      <c r="S571" s="151"/>
      <c r="T571" s="151"/>
      <c r="U571" s="151"/>
      <c r="V571" s="151"/>
      <c r="W571" s="2">
        <f>VLOOKUP(Table1[[#This Row],[Status]],Auxiliar!$B$16:$D$24,3,0)*Table1[[#This Row],[Estimação (horas)]]</f>
        <v>0.1</v>
      </c>
      <c r="X571" s="165">
        <f>+VLOOKUP(CONCATENATE(Table1[[#This Row],[Tabela]],Table1[[#This Row],[Campo]]),'2. Status Detalhe Campos FY24'!A:J,9,FALSE)</f>
        <v>0</v>
      </c>
      <c r="Y571" s="491" t="e">
        <f>+VLOOKUP(A571,#REF!,1,FALSE)</f>
        <v>#REF!</v>
      </c>
    </row>
    <row r="572" spans="1:25" ht="17.899999999999999" hidden="1" customHeight="1">
      <c r="A572" t="str">
        <f>+Table1[[#This Row],[Tabela]]&amp;Table1[[#This Row],[Campo]]</f>
        <v>modesg_out_bens_imoveisckctabem</v>
      </c>
      <c r="B572" s="2" t="s">
        <v>26</v>
      </c>
      <c r="C572" s="2" t="s">
        <v>310</v>
      </c>
      <c r="D572" s="2" t="s">
        <v>312</v>
      </c>
      <c r="E572" s="2" t="s">
        <v>38</v>
      </c>
      <c r="F572" s="2" t="s">
        <v>311</v>
      </c>
      <c r="G572" s="2" t="s">
        <v>315</v>
      </c>
      <c r="H572" s="56" t="str">
        <f>Table1[[#This Row],[Tabela]]&amp;Table1[[#This Row],[Campo]]</f>
        <v>modesg_out_bens_imoveisckctabem</v>
      </c>
      <c r="I572" s="3" t="s">
        <v>612</v>
      </c>
      <c r="J572" s="54">
        <f>VLOOKUP(Table1[[#This Row],[Status]],Auxiliar!$B$16:$C$24,2,0)</f>
        <v>1</v>
      </c>
      <c r="K572" s="2" t="s">
        <v>1168</v>
      </c>
      <c r="L572" s="28" t="s">
        <v>1174</v>
      </c>
      <c r="M572" s="20" t="s">
        <v>1175</v>
      </c>
      <c r="N572" s="47">
        <v>45485</v>
      </c>
      <c r="O572" s="20">
        <f>INDEX(Auxiliar!$D$5:$F$13,MATCH(Table1[[#This Row],[Tipologia_Testes]],Auxiliar!$B$5:$B$13,0),MATCH(Table1[[#This Row],[Complexidade]],Auxiliar!$D$4:$F$4,0))</f>
        <v>2</v>
      </c>
      <c r="P572" s="2" t="s">
        <v>1188</v>
      </c>
      <c r="Q572" s="2" t="s">
        <v>1185</v>
      </c>
      <c r="R572" s="151">
        <v>45261</v>
      </c>
      <c r="S572" s="151"/>
      <c r="T572" s="151"/>
      <c r="U572" s="151"/>
      <c r="V572" s="151"/>
      <c r="W572" s="2">
        <f>VLOOKUP(Table1[[#This Row],[Status]],Auxiliar!$B$16:$D$24,3,0)*Table1[[#This Row],[Estimação (horas)]]</f>
        <v>2</v>
      </c>
      <c r="X572" s="165">
        <f>+VLOOKUP(CONCATENATE(Table1[[#This Row],[Tabela]],Table1[[#This Row],[Campo]]),'2. Status Detalhe Campos FY24'!A:J,9,FALSE)</f>
        <v>0</v>
      </c>
      <c r="Y572" s="491" t="e">
        <f>+VLOOKUP(A572,#REF!,1,FALSE)</f>
        <v>#REF!</v>
      </c>
    </row>
    <row r="573" spans="1:25" ht="17.899999999999999" hidden="1" customHeight="1">
      <c r="A573" t="str">
        <f>+Table1[[#This Row],[Tabela]]&amp;Table1[[#This Row],[Campo]]</f>
        <v>modesg_out_bens_imoveisckctabem</v>
      </c>
      <c r="B573" s="2" t="s">
        <v>26</v>
      </c>
      <c r="C573" s="2" t="s">
        <v>310</v>
      </c>
      <c r="D573" s="2" t="s">
        <v>312</v>
      </c>
      <c r="E573" s="2" t="s">
        <v>38</v>
      </c>
      <c r="F573" s="2" t="s">
        <v>311</v>
      </c>
      <c r="G573" s="2" t="s">
        <v>315</v>
      </c>
      <c r="H573" s="56" t="str">
        <f>Table1[[#This Row],[Tabela]]&amp;Table1[[#This Row],[Campo]]</f>
        <v>modesg_out_bens_imoveisckctabem</v>
      </c>
      <c r="I573" s="3" t="s">
        <v>612</v>
      </c>
      <c r="J573" s="54">
        <f>VLOOKUP(Table1[[#This Row],[Status]],Auxiliar!$B$16:$C$24,2,0)</f>
        <v>1</v>
      </c>
      <c r="K573" s="2" t="s">
        <v>1169</v>
      </c>
      <c r="L573" s="28" t="s">
        <v>1174</v>
      </c>
      <c r="M573" s="20" t="s">
        <v>1175</v>
      </c>
      <c r="N573" s="47">
        <v>45485</v>
      </c>
      <c r="O573" s="20">
        <f>INDEX(Auxiliar!$D$5:$F$13,MATCH(Table1[[#This Row],[Tipologia_Testes]],Auxiliar!$B$5:$B$13,0),MATCH(Table1[[#This Row],[Complexidade]],Auxiliar!$D$4:$F$4,0))</f>
        <v>2</v>
      </c>
      <c r="P573" s="2" t="s">
        <v>1188</v>
      </c>
      <c r="Q573" s="2" t="s">
        <v>1185</v>
      </c>
      <c r="R573" s="151">
        <v>45261</v>
      </c>
      <c r="S573" s="151"/>
      <c r="T573" s="151"/>
      <c r="U573" s="151"/>
      <c r="V573" s="151"/>
      <c r="W573" s="2">
        <f>VLOOKUP(Table1[[#This Row],[Status]],Auxiliar!$B$16:$D$24,3,0)*Table1[[#This Row],[Estimação (horas)]]</f>
        <v>2</v>
      </c>
      <c r="X573" s="165">
        <f>+VLOOKUP(CONCATENATE(Table1[[#This Row],[Tabela]],Table1[[#This Row],[Campo]]),'2. Status Detalhe Campos FY24'!A:J,9,FALSE)</f>
        <v>0</v>
      </c>
      <c r="Y573" s="491" t="e">
        <f>+VLOOKUP(A573,#REF!,1,FALSE)</f>
        <v>#REF!</v>
      </c>
    </row>
    <row r="574" spans="1:25" ht="17.899999999999999" hidden="1" customHeight="1">
      <c r="A574" t="str">
        <f>+Table1[[#This Row],[Tabela]]&amp;Table1[[#This Row],[Campo]]</f>
        <v>modesg_out_bens_imoveisckctabem</v>
      </c>
      <c r="B574" s="2" t="s">
        <v>26</v>
      </c>
      <c r="C574" s="2" t="s">
        <v>310</v>
      </c>
      <c r="D574" s="2" t="s">
        <v>312</v>
      </c>
      <c r="E574" s="2" t="s">
        <v>38</v>
      </c>
      <c r="F574" s="2" t="s">
        <v>311</v>
      </c>
      <c r="G574" s="2" t="s">
        <v>315</v>
      </c>
      <c r="H574" s="56" t="str">
        <f>Table1[[#This Row],[Tabela]]&amp;Table1[[#This Row],[Campo]]</f>
        <v>modesg_out_bens_imoveisckctabem</v>
      </c>
      <c r="I574" s="3" t="s">
        <v>612</v>
      </c>
      <c r="J574" s="54">
        <f>VLOOKUP(Table1[[#This Row],[Status]],Auxiliar!$B$16:$C$24,2,0)</f>
        <v>1</v>
      </c>
      <c r="K574" s="2" t="s">
        <v>1171</v>
      </c>
      <c r="L574" s="28" t="s">
        <v>1174</v>
      </c>
      <c r="M574" s="20" t="s">
        <v>1175</v>
      </c>
      <c r="N574" s="47">
        <v>45485</v>
      </c>
      <c r="O574" s="20">
        <f>INDEX(Auxiliar!$D$5:$F$13,MATCH(Table1[[#This Row],[Tipologia_Testes]],Auxiliar!$B$5:$B$13,0),MATCH(Table1[[#This Row],[Complexidade]],Auxiliar!$D$4:$F$4,0))</f>
        <v>0.1</v>
      </c>
      <c r="P574" s="2" t="s">
        <v>1188</v>
      </c>
      <c r="Q574" s="2" t="s">
        <v>1185</v>
      </c>
      <c r="R574" s="151">
        <v>45261</v>
      </c>
      <c r="S574" s="151"/>
      <c r="T574" s="151"/>
      <c r="U574" s="151"/>
      <c r="V574" s="151"/>
      <c r="W574" s="2">
        <f>VLOOKUP(Table1[[#This Row],[Status]],Auxiliar!$B$16:$D$24,3,0)*Table1[[#This Row],[Estimação (horas)]]</f>
        <v>0.1</v>
      </c>
      <c r="X574" s="165">
        <f>+VLOOKUP(CONCATENATE(Table1[[#This Row],[Tabela]],Table1[[#This Row],[Campo]]),'2. Status Detalhe Campos FY24'!A:J,9,FALSE)</f>
        <v>0</v>
      </c>
      <c r="Y574" s="491" t="e">
        <f>+VLOOKUP(A574,#REF!,1,FALSE)</f>
        <v>#REF!</v>
      </c>
    </row>
    <row r="575" spans="1:25" ht="17.899999999999999" hidden="1" customHeight="1">
      <c r="A575" t="str">
        <f>+Table1[[#This Row],[Tabela]]&amp;Table1[[#This Row],[Campo]]</f>
        <v>modesg_out_bens_imoveisckrefbem</v>
      </c>
      <c r="B575" s="2" t="s">
        <v>26</v>
      </c>
      <c r="C575" s="2" t="s">
        <v>310</v>
      </c>
      <c r="D575" s="2" t="s">
        <v>312</v>
      </c>
      <c r="E575" s="2" t="s">
        <v>38</v>
      </c>
      <c r="F575" s="2" t="s">
        <v>311</v>
      </c>
      <c r="G575" s="2" t="s">
        <v>316</v>
      </c>
      <c r="H575" s="56" t="str">
        <f>Table1[[#This Row],[Tabela]]&amp;Table1[[#This Row],[Campo]]</f>
        <v>modesg_out_bens_imoveisckrefbem</v>
      </c>
      <c r="I575" s="3" t="s">
        <v>612</v>
      </c>
      <c r="J575" s="54">
        <f>VLOOKUP(Table1[[#This Row],[Status]],Auxiliar!$B$16:$C$24,2,0)</f>
        <v>1</v>
      </c>
      <c r="K575" s="2" t="s">
        <v>1168</v>
      </c>
      <c r="L575" s="28" t="s">
        <v>1174</v>
      </c>
      <c r="M575" s="20" t="s">
        <v>1175</v>
      </c>
      <c r="N575" s="47">
        <v>45485</v>
      </c>
      <c r="O575" s="20">
        <f>INDEX(Auxiliar!$D$5:$F$13,MATCH(Table1[[#This Row],[Tipologia_Testes]],Auxiliar!$B$5:$B$13,0),MATCH(Table1[[#This Row],[Complexidade]],Auxiliar!$D$4:$F$4,0))</f>
        <v>2</v>
      </c>
      <c r="P575" s="2" t="s">
        <v>1188</v>
      </c>
      <c r="Q575" s="2" t="s">
        <v>1185</v>
      </c>
      <c r="R575" s="151">
        <v>45261</v>
      </c>
      <c r="S575" s="151"/>
      <c r="T575" s="151"/>
      <c r="U575" s="151"/>
      <c r="V575" s="151"/>
      <c r="W575" s="2">
        <f>VLOOKUP(Table1[[#This Row],[Status]],Auxiliar!$B$16:$D$24,3,0)*Table1[[#This Row],[Estimação (horas)]]</f>
        <v>2</v>
      </c>
      <c r="X575" s="165">
        <f>+VLOOKUP(CONCATENATE(Table1[[#This Row],[Tabela]],Table1[[#This Row],[Campo]]),'2. Status Detalhe Campos FY24'!A:J,9,FALSE)</f>
        <v>0</v>
      </c>
      <c r="Y575" s="491" t="e">
        <f>+VLOOKUP(A575,#REF!,1,FALSE)</f>
        <v>#REF!</v>
      </c>
    </row>
    <row r="576" spans="1:25" ht="17.899999999999999" hidden="1" customHeight="1">
      <c r="A576" t="str">
        <f>+Table1[[#This Row],[Tabela]]&amp;Table1[[#This Row],[Campo]]</f>
        <v>modesg_out_bens_imoveisckrefbem</v>
      </c>
      <c r="B576" s="2" t="s">
        <v>26</v>
      </c>
      <c r="C576" s="2" t="s">
        <v>310</v>
      </c>
      <c r="D576" s="2" t="s">
        <v>312</v>
      </c>
      <c r="E576" s="2" t="s">
        <v>38</v>
      </c>
      <c r="F576" s="2" t="s">
        <v>311</v>
      </c>
      <c r="G576" s="2" t="s">
        <v>316</v>
      </c>
      <c r="H576" s="56" t="str">
        <f>Table1[[#This Row],[Tabela]]&amp;Table1[[#This Row],[Campo]]</f>
        <v>modesg_out_bens_imoveisckrefbem</v>
      </c>
      <c r="I576" s="3" t="s">
        <v>612</v>
      </c>
      <c r="J576" s="54">
        <f>VLOOKUP(Table1[[#This Row],[Status]],Auxiliar!$B$16:$C$24,2,0)</f>
        <v>1</v>
      </c>
      <c r="K576" s="2" t="s">
        <v>1169</v>
      </c>
      <c r="L576" s="28" t="s">
        <v>1174</v>
      </c>
      <c r="M576" s="20" t="s">
        <v>1175</v>
      </c>
      <c r="N576" s="47">
        <v>45485</v>
      </c>
      <c r="O576" s="20">
        <f>INDEX(Auxiliar!$D$5:$F$13,MATCH(Table1[[#This Row],[Tipologia_Testes]],Auxiliar!$B$5:$B$13,0),MATCH(Table1[[#This Row],[Complexidade]],Auxiliar!$D$4:$F$4,0))</f>
        <v>2</v>
      </c>
      <c r="P576" s="2" t="s">
        <v>1188</v>
      </c>
      <c r="Q576" s="2" t="s">
        <v>1185</v>
      </c>
      <c r="R576" s="151">
        <v>45261</v>
      </c>
      <c r="S576" s="151"/>
      <c r="T576" s="151"/>
      <c r="U576" s="151"/>
      <c r="V576" s="151"/>
      <c r="W576" s="2">
        <f>VLOOKUP(Table1[[#This Row],[Status]],Auxiliar!$B$16:$D$24,3,0)*Table1[[#This Row],[Estimação (horas)]]</f>
        <v>2</v>
      </c>
      <c r="X576" s="165">
        <f>+VLOOKUP(CONCATENATE(Table1[[#This Row],[Tabela]],Table1[[#This Row],[Campo]]),'2. Status Detalhe Campos FY24'!A:J,9,FALSE)</f>
        <v>0</v>
      </c>
      <c r="Y576" s="491" t="e">
        <f>+VLOOKUP(A576,#REF!,1,FALSE)</f>
        <v>#REF!</v>
      </c>
    </row>
    <row r="577" spans="1:25" ht="17.899999999999999" hidden="1" customHeight="1">
      <c r="A577" t="str">
        <f>+Table1[[#This Row],[Tabela]]&amp;Table1[[#This Row],[Campo]]</f>
        <v>modesg_out_bens_imoveisckrefbem</v>
      </c>
      <c r="B577" s="2" t="s">
        <v>26</v>
      </c>
      <c r="C577" s="2" t="s">
        <v>310</v>
      </c>
      <c r="D577" s="2" t="s">
        <v>312</v>
      </c>
      <c r="E577" s="2" t="s">
        <v>38</v>
      </c>
      <c r="F577" s="2" t="s">
        <v>311</v>
      </c>
      <c r="G577" s="2" t="s">
        <v>316</v>
      </c>
      <c r="H577" s="56" t="str">
        <f>Table1[[#This Row],[Tabela]]&amp;Table1[[#This Row],[Campo]]</f>
        <v>modesg_out_bens_imoveisckrefbem</v>
      </c>
      <c r="I577" s="3" t="s">
        <v>612</v>
      </c>
      <c r="J577" s="54">
        <f>VLOOKUP(Table1[[#This Row],[Status]],Auxiliar!$B$16:$C$24,2,0)</f>
        <v>1</v>
      </c>
      <c r="K577" s="2" t="s">
        <v>1171</v>
      </c>
      <c r="L577" s="28" t="s">
        <v>1174</v>
      </c>
      <c r="M577" s="20" t="s">
        <v>1175</v>
      </c>
      <c r="N577" s="47">
        <v>45485</v>
      </c>
      <c r="O577" s="20">
        <f>INDEX(Auxiliar!$D$5:$F$13,MATCH(Table1[[#This Row],[Tipologia_Testes]],Auxiliar!$B$5:$B$13,0),MATCH(Table1[[#This Row],[Complexidade]],Auxiliar!$D$4:$F$4,0))</f>
        <v>0.1</v>
      </c>
      <c r="P577" s="2" t="s">
        <v>1188</v>
      </c>
      <c r="Q577" s="2" t="s">
        <v>1185</v>
      </c>
      <c r="R577" s="151">
        <v>45261</v>
      </c>
      <c r="S577" s="151"/>
      <c r="T577" s="151"/>
      <c r="U577" s="151"/>
      <c r="V577" s="151"/>
      <c r="W577" s="2">
        <f>VLOOKUP(Table1[[#This Row],[Status]],Auxiliar!$B$16:$D$24,3,0)*Table1[[#This Row],[Estimação (horas)]]</f>
        <v>0.1</v>
      </c>
      <c r="X577" s="165">
        <f>+VLOOKUP(CONCATENATE(Table1[[#This Row],[Tabela]],Table1[[#This Row],[Campo]]),'2. Status Detalhe Campos FY24'!A:J,9,FALSE)</f>
        <v>0</v>
      </c>
      <c r="Y577" s="491" t="e">
        <f>+VLOOKUP(A577,#REF!,1,FALSE)</f>
        <v>#REF!</v>
      </c>
    </row>
    <row r="578" spans="1:25" ht="17.899999999999999" hidden="1" customHeight="1">
      <c r="A578" t="str">
        <f>+Table1[[#This Row],[Tabela]]&amp;Table1[[#This Row],[Campo]]</f>
        <v>modesg_out_bens_imoveisflg_rsc_fsc_agd</v>
      </c>
      <c r="B578" s="2" t="s">
        <v>26</v>
      </c>
      <c r="C578" s="2" t="s">
        <v>310</v>
      </c>
      <c r="D578" s="2" t="s">
        <v>312</v>
      </c>
      <c r="E578" s="2" t="s">
        <v>38</v>
      </c>
      <c r="F578" s="2" t="s">
        <v>311</v>
      </c>
      <c r="G578" s="2" t="s">
        <v>282</v>
      </c>
      <c r="H578" s="56" t="str">
        <f>Table1[[#This Row],[Tabela]]&amp;Table1[[#This Row],[Campo]]</f>
        <v>modesg_out_bens_imoveisflg_rsc_fsc_agd</v>
      </c>
      <c r="I578" s="2" t="s">
        <v>612</v>
      </c>
      <c r="J578" s="42">
        <f>VLOOKUP(Table1[[#This Row],[Status]],Auxiliar!$B$16:$C$24,2,0)</f>
        <v>1</v>
      </c>
      <c r="K578" s="2" t="s">
        <v>1168</v>
      </c>
      <c r="L578" s="28" t="s">
        <v>1174</v>
      </c>
      <c r="M578" s="20" t="s">
        <v>1167</v>
      </c>
      <c r="N578" s="47">
        <v>45716</v>
      </c>
      <c r="O578" s="20">
        <f>INDEX(Auxiliar!$D$5:$F$13,MATCH(Table1[[#This Row],[Tipologia_Testes]],Auxiliar!$B$5:$B$13,0),MATCH(Table1[[#This Row],[Complexidade]],Auxiliar!$D$4:$F$4,0))</f>
        <v>8</v>
      </c>
      <c r="P578" s="2"/>
      <c r="Q578" s="2"/>
      <c r="R578" s="151">
        <v>45561</v>
      </c>
      <c r="S578" s="151"/>
      <c r="T578" s="151">
        <v>45569</v>
      </c>
      <c r="U578" s="151">
        <v>45621</v>
      </c>
      <c r="V578" s="151">
        <v>45631</v>
      </c>
      <c r="W578" s="2">
        <f>VLOOKUP(Table1[[#This Row],[Status]],Auxiliar!$B$16:$D$24,3,0)*Table1[[#This Row],[Estimação (horas)]]</f>
        <v>8</v>
      </c>
      <c r="X578" s="165">
        <f>+VLOOKUP(CONCATENATE(Table1[[#This Row],[Tabela]],Table1[[#This Row],[Campo]]),'2. Status Detalhe Campos FY24'!A:J,9,FALSE)</f>
        <v>0</v>
      </c>
      <c r="Y578" s="491" t="e">
        <f>+VLOOKUP(A578,#REF!,1,FALSE)</f>
        <v>#REF!</v>
      </c>
    </row>
    <row r="579" spans="1:25" ht="17.899999999999999" hidden="1" customHeight="1">
      <c r="A579" t="str">
        <f>+Table1[[#This Row],[Tabela]]&amp;Table1[[#This Row],[Campo]]</f>
        <v>modesg_out_bens_imoveisflg_rsc_fsc_agd</v>
      </c>
      <c r="B579" s="2" t="s">
        <v>26</v>
      </c>
      <c r="C579" s="2" t="s">
        <v>310</v>
      </c>
      <c r="D579" s="2" t="s">
        <v>312</v>
      </c>
      <c r="E579" s="2" t="s">
        <v>38</v>
      </c>
      <c r="F579" s="2" t="s">
        <v>311</v>
      </c>
      <c r="G579" s="2" t="s">
        <v>282</v>
      </c>
      <c r="H579" s="56" t="str">
        <f>Table1[[#This Row],[Tabela]]&amp;Table1[[#This Row],[Campo]]</f>
        <v>modesg_out_bens_imoveisflg_rsc_fsc_agd</v>
      </c>
      <c r="I579" s="2" t="s">
        <v>612</v>
      </c>
      <c r="J579" s="42">
        <f>VLOOKUP(Table1[[#This Row],[Status]],Auxiliar!$B$16:$C$24,2,0)</f>
        <v>1</v>
      </c>
      <c r="K579" s="2" t="s">
        <v>1169</v>
      </c>
      <c r="L579" s="28" t="s">
        <v>1174</v>
      </c>
      <c r="M579" s="20" t="s">
        <v>1167</v>
      </c>
      <c r="N579" s="47">
        <v>45716</v>
      </c>
      <c r="O579" s="20">
        <f>INDEX(Auxiliar!$D$5:$F$13,MATCH(Table1[[#This Row],[Tipologia_Testes]],Auxiliar!$B$5:$B$13,0),MATCH(Table1[[#This Row],[Complexidade]],Auxiliar!$D$4:$F$4,0))</f>
        <v>8</v>
      </c>
      <c r="P579" s="2"/>
      <c r="Q579" s="2"/>
      <c r="R579" s="151">
        <v>45561</v>
      </c>
      <c r="S579" s="151"/>
      <c r="T579" s="151">
        <v>45569</v>
      </c>
      <c r="U579" s="151">
        <v>45621</v>
      </c>
      <c r="V579" s="151">
        <v>45631</v>
      </c>
      <c r="W579" s="2">
        <f>VLOOKUP(Table1[[#This Row],[Status]],Auxiliar!$B$16:$D$24,3,0)*Table1[[#This Row],[Estimação (horas)]]</f>
        <v>8</v>
      </c>
      <c r="X579" s="165">
        <f>+VLOOKUP(CONCATENATE(Table1[[#This Row],[Tabela]],Table1[[#This Row],[Campo]]),'2. Status Detalhe Campos FY24'!A:J,9,FALSE)</f>
        <v>0</v>
      </c>
      <c r="Y579" s="491" t="e">
        <f>+VLOOKUP(A579,#REF!,1,FALSE)</f>
        <v>#REF!</v>
      </c>
    </row>
    <row r="580" spans="1:25" ht="17.899999999999999" hidden="1" customHeight="1">
      <c r="A580" t="str">
        <f>+Table1[[#This Row],[Tabela]]&amp;Table1[[#This Row],[Campo]]</f>
        <v>modesg_out_bens_imoveisflg_rsc_fsc_agd</v>
      </c>
      <c r="B580" s="2" t="s">
        <v>26</v>
      </c>
      <c r="C580" s="2" t="s">
        <v>310</v>
      </c>
      <c r="D580" s="2" t="s">
        <v>312</v>
      </c>
      <c r="E580" s="2" t="s">
        <v>38</v>
      </c>
      <c r="F580" s="2" t="s">
        <v>311</v>
      </c>
      <c r="G580" s="2" t="s">
        <v>282</v>
      </c>
      <c r="H580" s="56" t="str">
        <f>Table1[[#This Row],[Tabela]]&amp;Table1[[#This Row],[Campo]]</f>
        <v>modesg_out_bens_imoveisflg_rsc_fsc_agd</v>
      </c>
      <c r="I580" s="2" t="s">
        <v>612</v>
      </c>
      <c r="J580" s="42">
        <f>VLOOKUP(Table1[[#This Row],[Status]],Auxiliar!$B$16:$C$24,2,0)</f>
        <v>1</v>
      </c>
      <c r="K580" s="2" t="s">
        <v>1171</v>
      </c>
      <c r="L580" s="28" t="s">
        <v>1174</v>
      </c>
      <c r="M580" s="20" t="s">
        <v>1167</v>
      </c>
      <c r="N580" s="47">
        <v>45716</v>
      </c>
      <c r="O580" s="20">
        <f>INDEX(Auxiliar!$D$5:$F$13,MATCH(Table1[[#This Row],[Tipologia_Testes]],Auxiliar!$B$5:$B$13,0),MATCH(Table1[[#This Row],[Complexidade]],Auxiliar!$D$4:$F$4,0))</f>
        <v>0.1</v>
      </c>
      <c r="P580" s="2"/>
      <c r="Q580" s="2"/>
      <c r="R580" s="151">
        <v>45561</v>
      </c>
      <c r="S580" s="151"/>
      <c r="T580" s="151">
        <v>45569</v>
      </c>
      <c r="U580" s="151">
        <v>45621</v>
      </c>
      <c r="V580" s="151">
        <v>45631</v>
      </c>
      <c r="W580" s="2">
        <f>VLOOKUP(Table1[[#This Row],[Status]],Auxiliar!$B$16:$D$24,3,0)*Table1[[#This Row],[Estimação (horas)]]</f>
        <v>0.1</v>
      </c>
      <c r="X580" s="165">
        <f>+VLOOKUP(CONCATENATE(Table1[[#This Row],[Tabela]],Table1[[#This Row],[Campo]]),'2. Status Detalhe Campos FY24'!A:J,9,FALSE)</f>
        <v>0</v>
      </c>
      <c r="Y580" s="491" t="e">
        <f>+VLOOKUP(A580,#REF!,1,FALSE)</f>
        <v>#REF!</v>
      </c>
    </row>
    <row r="581" spans="1:25" ht="17.899999999999999" hidden="1" customHeight="1">
      <c r="A581" t="str">
        <f>+Table1[[#This Row],[Tabela]]&amp;Table1[[#This Row],[Campo]]</f>
        <v>modesg_out_bens_imoveisflg_rsc_fsc_crnc</v>
      </c>
      <c r="B581" s="2" t="s">
        <v>26</v>
      </c>
      <c r="C581" s="2" t="s">
        <v>310</v>
      </c>
      <c r="D581" s="2" t="s">
        <v>312</v>
      </c>
      <c r="E581" s="2" t="s">
        <v>38</v>
      </c>
      <c r="F581" s="2" t="s">
        <v>311</v>
      </c>
      <c r="G581" s="2" t="s">
        <v>283</v>
      </c>
      <c r="H581" s="56" t="str">
        <f>Table1[[#This Row],[Tabela]]&amp;Table1[[#This Row],[Campo]]</f>
        <v>modesg_out_bens_imoveisflg_rsc_fsc_crnc</v>
      </c>
      <c r="I581" s="2" t="s">
        <v>612</v>
      </c>
      <c r="J581" s="42">
        <f>VLOOKUP(Table1[[#This Row],[Status]],Auxiliar!$B$16:$C$24,2,0)</f>
        <v>1</v>
      </c>
      <c r="K581" s="2" t="s">
        <v>1168</v>
      </c>
      <c r="L581" s="28" t="s">
        <v>1174</v>
      </c>
      <c r="M581" s="20" t="s">
        <v>1167</v>
      </c>
      <c r="N581" s="47">
        <v>45716</v>
      </c>
      <c r="O581" s="20">
        <f>INDEX(Auxiliar!$D$5:$F$13,MATCH(Table1[[#This Row],[Tipologia_Testes]],Auxiliar!$B$5:$B$13,0),MATCH(Table1[[#This Row],[Complexidade]],Auxiliar!$D$4:$F$4,0))</f>
        <v>8</v>
      </c>
      <c r="P581" s="2"/>
      <c r="Q581" s="2"/>
      <c r="R581" s="151">
        <v>45561</v>
      </c>
      <c r="S581" s="151"/>
      <c r="T581" s="151">
        <v>45569</v>
      </c>
      <c r="U581" s="151">
        <v>45621</v>
      </c>
      <c r="V581" s="151">
        <v>45631</v>
      </c>
      <c r="W581" s="2">
        <f>VLOOKUP(Table1[[#This Row],[Status]],Auxiliar!$B$16:$D$24,3,0)*Table1[[#This Row],[Estimação (horas)]]</f>
        <v>8</v>
      </c>
      <c r="X581" s="165">
        <f>+VLOOKUP(CONCATENATE(Table1[[#This Row],[Tabela]],Table1[[#This Row],[Campo]]),'2. Status Detalhe Campos FY24'!A:J,9,FALSE)</f>
        <v>0</v>
      </c>
      <c r="Y581" s="491" t="e">
        <f>+VLOOKUP(A581,#REF!,1,FALSE)</f>
        <v>#REF!</v>
      </c>
    </row>
    <row r="582" spans="1:25" ht="17.899999999999999" hidden="1" customHeight="1">
      <c r="A582" t="str">
        <f>+Table1[[#This Row],[Tabela]]&amp;Table1[[#This Row],[Campo]]</f>
        <v>modesg_out_bens_imoveisflg_rsc_fsc_crnc</v>
      </c>
      <c r="B582" s="2" t="s">
        <v>26</v>
      </c>
      <c r="C582" s="2" t="s">
        <v>310</v>
      </c>
      <c r="D582" s="2" t="s">
        <v>312</v>
      </c>
      <c r="E582" s="2" t="s">
        <v>38</v>
      </c>
      <c r="F582" s="2" t="s">
        <v>311</v>
      </c>
      <c r="G582" s="2" t="s">
        <v>283</v>
      </c>
      <c r="H582" s="56" t="str">
        <f>Table1[[#This Row],[Tabela]]&amp;Table1[[#This Row],[Campo]]</f>
        <v>modesg_out_bens_imoveisflg_rsc_fsc_crnc</v>
      </c>
      <c r="I582" s="2" t="s">
        <v>612</v>
      </c>
      <c r="J582" s="42">
        <f>VLOOKUP(Table1[[#This Row],[Status]],Auxiliar!$B$16:$C$24,2,0)</f>
        <v>1</v>
      </c>
      <c r="K582" s="2" t="s">
        <v>1169</v>
      </c>
      <c r="L582" s="28" t="s">
        <v>1174</v>
      </c>
      <c r="M582" s="20" t="s">
        <v>1167</v>
      </c>
      <c r="N582" s="47">
        <v>45716</v>
      </c>
      <c r="O582" s="20">
        <f>INDEX(Auxiliar!$D$5:$F$13,MATCH(Table1[[#This Row],[Tipologia_Testes]],Auxiliar!$B$5:$B$13,0),MATCH(Table1[[#This Row],[Complexidade]],Auxiliar!$D$4:$F$4,0))</f>
        <v>8</v>
      </c>
      <c r="P582" s="2"/>
      <c r="Q582" s="2"/>
      <c r="R582" s="151">
        <v>45561</v>
      </c>
      <c r="S582" s="151"/>
      <c r="T582" s="151">
        <v>45569</v>
      </c>
      <c r="U582" s="151">
        <v>45621</v>
      </c>
      <c r="V582" s="151">
        <v>45631</v>
      </c>
      <c r="W582" s="2">
        <f>VLOOKUP(Table1[[#This Row],[Status]],Auxiliar!$B$16:$D$24,3,0)*Table1[[#This Row],[Estimação (horas)]]</f>
        <v>8</v>
      </c>
      <c r="X582" s="165">
        <f>+VLOOKUP(CONCATENATE(Table1[[#This Row],[Tabela]],Table1[[#This Row],[Campo]]),'2. Status Detalhe Campos FY24'!A:J,9,FALSE)</f>
        <v>0</v>
      </c>
      <c r="Y582" s="491" t="e">
        <f>+VLOOKUP(A582,#REF!,1,FALSE)</f>
        <v>#REF!</v>
      </c>
    </row>
    <row r="583" spans="1:25" ht="52.4" hidden="1" customHeight="1">
      <c r="A583" t="str">
        <f>+Table1[[#This Row],[Tabela]]&amp;Table1[[#This Row],[Campo]]</f>
        <v>modesg_out_bens_imoveisflg_rsc_fsc_crnc</v>
      </c>
      <c r="B583" s="2" t="s">
        <v>26</v>
      </c>
      <c r="C583" s="2" t="s">
        <v>310</v>
      </c>
      <c r="D583" s="2" t="s">
        <v>312</v>
      </c>
      <c r="E583" s="2" t="s">
        <v>38</v>
      </c>
      <c r="F583" s="2" t="s">
        <v>311</v>
      </c>
      <c r="G583" s="2" t="s">
        <v>283</v>
      </c>
      <c r="H583" s="56" t="str">
        <f>Table1[[#This Row],[Tabela]]&amp;Table1[[#This Row],[Campo]]</f>
        <v>modesg_out_bens_imoveisflg_rsc_fsc_crnc</v>
      </c>
      <c r="I583" s="2" t="s">
        <v>612</v>
      </c>
      <c r="J583" s="42">
        <f>VLOOKUP(Table1[[#This Row],[Status]],Auxiliar!$B$16:$C$24,2,0)</f>
        <v>1</v>
      </c>
      <c r="K583" s="2" t="s">
        <v>1171</v>
      </c>
      <c r="L583" s="28" t="s">
        <v>1174</v>
      </c>
      <c r="M583" s="20" t="s">
        <v>1167</v>
      </c>
      <c r="N583" s="47">
        <v>45716</v>
      </c>
      <c r="O583" s="20">
        <f>INDEX(Auxiliar!$D$5:$F$13,MATCH(Table1[[#This Row],[Tipologia_Testes]],Auxiliar!$B$5:$B$13,0),MATCH(Table1[[#This Row],[Complexidade]],Auxiliar!$D$4:$F$4,0))</f>
        <v>0.1</v>
      </c>
      <c r="P583" s="2"/>
      <c r="Q583" s="2"/>
      <c r="R583" s="151">
        <v>45561</v>
      </c>
      <c r="S583" s="151"/>
      <c r="T583" s="151">
        <v>45569</v>
      </c>
      <c r="U583" s="151">
        <v>45621</v>
      </c>
      <c r="V583" s="151">
        <v>45631</v>
      </c>
      <c r="W583" s="2">
        <f>VLOOKUP(Table1[[#This Row],[Status]],Auxiliar!$B$16:$D$24,3,0)*Table1[[#This Row],[Estimação (horas)]]</f>
        <v>0.1</v>
      </c>
      <c r="X583" s="165">
        <f>+VLOOKUP(CONCATENATE(Table1[[#This Row],[Tabela]],Table1[[#This Row],[Campo]]),'2. Status Detalhe Campos FY24'!A:J,9,FALSE)</f>
        <v>0</v>
      </c>
      <c r="Y583" s="491" t="e">
        <f>+VLOOKUP(A583,#REF!,1,FALSE)</f>
        <v>#REF!</v>
      </c>
    </row>
    <row r="584" spans="1:25" ht="52.4" hidden="1" customHeight="1">
      <c r="A584" t="str">
        <f>+Table1[[#This Row],[Tabela]]&amp;Table1[[#This Row],[Campo]]</f>
        <v>modesg_out_bens_imoveisorigem_flg_rsc_fsc_agd</v>
      </c>
      <c r="B584" s="2" t="s">
        <v>26</v>
      </c>
      <c r="C584" s="2" t="s">
        <v>310</v>
      </c>
      <c r="D584" s="2" t="s">
        <v>312</v>
      </c>
      <c r="E584" s="2" t="s">
        <v>38</v>
      </c>
      <c r="F584" s="2" t="s">
        <v>311</v>
      </c>
      <c r="G584" s="2" t="s">
        <v>317</v>
      </c>
      <c r="H584" s="56" t="str">
        <f>Table1[[#This Row],[Tabela]]&amp;Table1[[#This Row],[Campo]]</f>
        <v>modesg_out_bens_imoveisorigem_flg_rsc_fsc_agd</v>
      </c>
      <c r="I584" s="2" t="s">
        <v>612</v>
      </c>
      <c r="J584" s="42">
        <f>VLOOKUP(Table1[[#This Row],[Status]],Auxiliar!$B$16:$C$24,2,0)</f>
        <v>1</v>
      </c>
      <c r="K584" s="2" t="s">
        <v>1168</v>
      </c>
      <c r="L584" s="28" t="s">
        <v>1166</v>
      </c>
      <c r="M584" s="20" t="s">
        <v>1175</v>
      </c>
      <c r="N584" s="47">
        <v>45716</v>
      </c>
      <c r="O584" s="20">
        <f>INDEX(Auxiliar!$D$5:$F$13,MATCH(Table1[[#This Row],[Tipologia_Testes]],Auxiliar!$B$5:$B$13,0),MATCH(Table1[[#This Row],[Complexidade]],Auxiliar!$D$4:$F$4,0))</f>
        <v>2</v>
      </c>
      <c r="P584" s="22" t="s">
        <v>1198</v>
      </c>
      <c r="Q584" s="2"/>
      <c r="R584" s="151">
        <v>45561</v>
      </c>
      <c r="S584" s="151"/>
      <c r="T584" s="151">
        <v>45569</v>
      </c>
      <c r="U584" s="151">
        <v>45621</v>
      </c>
      <c r="V584" s="151">
        <v>45631</v>
      </c>
      <c r="W584" s="2">
        <f>VLOOKUP(Table1[[#This Row],[Status]],Auxiliar!$B$16:$D$24,3,0)*Table1[[#This Row],[Estimação (horas)]]</f>
        <v>2</v>
      </c>
      <c r="X584" s="165">
        <f>+VLOOKUP(CONCATENATE(Table1[[#This Row],[Tabela]],Table1[[#This Row],[Campo]]),'2. Status Detalhe Campos FY24'!A:J,9,FALSE)</f>
        <v>0</v>
      </c>
      <c r="Y584" s="491" t="e">
        <f>+VLOOKUP(A584,#REF!,1,FALSE)</f>
        <v>#REF!</v>
      </c>
    </row>
    <row r="585" spans="1:25" ht="52.4" hidden="1" customHeight="1">
      <c r="A585" t="str">
        <f>+Table1[[#This Row],[Tabela]]&amp;Table1[[#This Row],[Campo]]</f>
        <v>modesg_out_bens_imoveisorigem_flg_rsc_fsc_agd</v>
      </c>
      <c r="B585" s="2" t="s">
        <v>26</v>
      </c>
      <c r="C585" s="2" t="s">
        <v>310</v>
      </c>
      <c r="D585" s="2" t="s">
        <v>312</v>
      </c>
      <c r="E585" s="2" t="s">
        <v>38</v>
      </c>
      <c r="F585" s="2" t="s">
        <v>311</v>
      </c>
      <c r="G585" s="2" t="s">
        <v>317</v>
      </c>
      <c r="H585" s="56" t="str">
        <f>Table1[[#This Row],[Tabela]]&amp;Table1[[#This Row],[Campo]]</f>
        <v>modesg_out_bens_imoveisorigem_flg_rsc_fsc_agd</v>
      </c>
      <c r="I585" s="2" t="s">
        <v>612</v>
      </c>
      <c r="J585" s="42">
        <f>VLOOKUP(Table1[[#This Row],[Status]],Auxiliar!$B$16:$C$24,2,0)</f>
        <v>1</v>
      </c>
      <c r="K585" s="2" t="s">
        <v>1169</v>
      </c>
      <c r="L585" s="28" t="s">
        <v>1166</v>
      </c>
      <c r="M585" s="20" t="s">
        <v>1175</v>
      </c>
      <c r="N585" s="47">
        <v>45716</v>
      </c>
      <c r="O585" s="20">
        <f>INDEX(Auxiliar!$D$5:$F$13,MATCH(Table1[[#This Row],[Tipologia_Testes]],Auxiliar!$B$5:$B$13,0),MATCH(Table1[[#This Row],[Complexidade]],Auxiliar!$D$4:$F$4,0))</f>
        <v>2</v>
      </c>
      <c r="P585" s="22" t="s">
        <v>1198</v>
      </c>
      <c r="Q585" s="2"/>
      <c r="R585" s="151">
        <v>45561</v>
      </c>
      <c r="S585" s="151"/>
      <c r="T585" s="151">
        <v>45569</v>
      </c>
      <c r="U585" s="151">
        <v>45621</v>
      </c>
      <c r="V585" s="151">
        <v>45631</v>
      </c>
      <c r="W585" s="2">
        <f>VLOOKUP(Table1[[#This Row],[Status]],Auxiliar!$B$16:$D$24,3,0)*Table1[[#This Row],[Estimação (horas)]]</f>
        <v>2</v>
      </c>
      <c r="X585" s="165">
        <f>+VLOOKUP(CONCATENATE(Table1[[#This Row],[Tabela]],Table1[[#This Row],[Campo]]),'2. Status Detalhe Campos FY24'!A:J,9,FALSE)</f>
        <v>0</v>
      </c>
      <c r="Y585" s="491" t="e">
        <f>+VLOOKUP(A585,#REF!,1,FALSE)</f>
        <v>#REF!</v>
      </c>
    </row>
    <row r="586" spans="1:25" ht="52.4" hidden="1" customHeight="1">
      <c r="A586" t="str">
        <f>+Table1[[#This Row],[Tabela]]&amp;Table1[[#This Row],[Campo]]</f>
        <v>modesg_out_bens_imoveisorigem_flg_rsc_fsc_agd</v>
      </c>
      <c r="B586" s="2" t="s">
        <v>26</v>
      </c>
      <c r="C586" s="2" t="s">
        <v>310</v>
      </c>
      <c r="D586" s="2" t="s">
        <v>312</v>
      </c>
      <c r="E586" s="2" t="s">
        <v>38</v>
      </c>
      <c r="F586" s="2" t="s">
        <v>311</v>
      </c>
      <c r="G586" s="2" t="s">
        <v>317</v>
      </c>
      <c r="H586" s="56" t="str">
        <f>Table1[[#This Row],[Tabela]]&amp;Table1[[#This Row],[Campo]]</f>
        <v>modesg_out_bens_imoveisorigem_flg_rsc_fsc_agd</v>
      </c>
      <c r="I586" s="2" t="s">
        <v>612</v>
      </c>
      <c r="J586" s="42">
        <f>VLOOKUP(Table1[[#This Row],[Status]],Auxiliar!$B$16:$C$24,2,0)</f>
        <v>1</v>
      </c>
      <c r="K586" s="2" t="s">
        <v>1171</v>
      </c>
      <c r="L586" s="28" t="s">
        <v>1166</v>
      </c>
      <c r="M586" s="20" t="s">
        <v>1175</v>
      </c>
      <c r="N586" s="47">
        <v>45716</v>
      </c>
      <c r="O586" s="20">
        <f>INDEX(Auxiliar!$D$5:$F$13,MATCH(Table1[[#This Row],[Tipologia_Testes]],Auxiliar!$B$5:$B$13,0),MATCH(Table1[[#This Row],[Complexidade]],Auxiliar!$D$4:$F$4,0))</f>
        <v>0.1</v>
      </c>
      <c r="P586" s="22" t="s">
        <v>1198</v>
      </c>
      <c r="Q586" s="2"/>
      <c r="R586" s="151">
        <v>45561</v>
      </c>
      <c r="S586" s="151"/>
      <c r="T586" s="151">
        <v>45569</v>
      </c>
      <c r="U586" s="151">
        <v>45621</v>
      </c>
      <c r="V586" s="151">
        <v>45631</v>
      </c>
      <c r="W586" s="2">
        <f>VLOOKUP(Table1[[#This Row],[Status]],Auxiliar!$B$16:$D$24,3,0)*Table1[[#This Row],[Estimação (horas)]]</f>
        <v>0.1</v>
      </c>
      <c r="X586" s="165">
        <f>+VLOOKUP(CONCATENATE(Table1[[#This Row],[Tabela]],Table1[[#This Row],[Campo]]),'2. Status Detalhe Campos FY24'!A:J,9,FALSE)</f>
        <v>0</v>
      </c>
      <c r="Y586" s="491" t="e">
        <f>+VLOOKUP(A586,#REF!,1,FALSE)</f>
        <v>#REF!</v>
      </c>
    </row>
    <row r="587" spans="1:25" ht="52.4" hidden="1" customHeight="1">
      <c r="A587" t="str">
        <f>+Table1[[#This Row],[Tabela]]&amp;Table1[[#This Row],[Campo]]</f>
        <v>modesg_out_bens_imoveisorigem_flg_rsc_fsc_crnc</v>
      </c>
      <c r="B587" s="2" t="s">
        <v>26</v>
      </c>
      <c r="C587" s="2" t="s">
        <v>310</v>
      </c>
      <c r="D587" s="2" t="s">
        <v>312</v>
      </c>
      <c r="E587" s="2" t="s">
        <v>38</v>
      </c>
      <c r="F587" s="2" t="s">
        <v>311</v>
      </c>
      <c r="G587" s="2" t="s">
        <v>318</v>
      </c>
      <c r="H587" s="56" t="str">
        <f>Table1[[#This Row],[Tabela]]&amp;Table1[[#This Row],[Campo]]</f>
        <v>modesg_out_bens_imoveisorigem_flg_rsc_fsc_crnc</v>
      </c>
      <c r="I587" s="2" t="s">
        <v>612</v>
      </c>
      <c r="J587" s="42">
        <f>VLOOKUP(Table1[[#This Row],[Status]],Auxiliar!$B$16:$C$24,2,0)</f>
        <v>1</v>
      </c>
      <c r="K587" s="2" t="s">
        <v>1168</v>
      </c>
      <c r="L587" s="28" t="s">
        <v>1166</v>
      </c>
      <c r="M587" s="20" t="s">
        <v>1175</v>
      </c>
      <c r="N587" s="47">
        <v>45716</v>
      </c>
      <c r="O587" s="20">
        <f>INDEX(Auxiliar!$D$5:$F$13,MATCH(Table1[[#This Row],[Tipologia_Testes]],Auxiliar!$B$5:$B$13,0),MATCH(Table1[[#This Row],[Complexidade]],Auxiliar!$D$4:$F$4,0))</f>
        <v>2</v>
      </c>
      <c r="P587" s="22" t="s">
        <v>1198</v>
      </c>
      <c r="Q587" s="2"/>
      <c r="R587" s="151">
        <v>45561</v>
      </c>
      <c r="S587" s="151"/>
      <c r="T587" s="151">
        <v>45569</v>
      </c>
      <c r="U587" s="151">
        <v>45621</v>
      </c>
      <c r="V587" s="151">
        <v>45631</v>
      </c>
      <c r="W587" s="2">
        <f>VLOOKUP(Table1[[#This Row],[Status]],Auxiliar!$B$16:$D$24,3,0)*Table1[[#This Row],[Estimação (horas)]]</f>
        <v>2</v>
      </c>
      <c r="X587" s="165">
        <f>+VLOOKUP(CONCATENATE(Table1[[#This Row],[Tabela]],Table1[[#This Row],[Campo]]),'2. Status Detalhe Campos FY24'!A:J,9,FALSE)</f>
        <v>0</v>
      </c>
      <c r="Y587" s="491" t="e">
        <f>+VLOOKUP(A587,#REF!,1,FALSE)</f>
        <v>#REF!</v>
      </c>
    </row>
    <row r="588" spans="1:25" ht="52.4" hidden="1" customHeight="1">
      <c r="A588" t="str">
        <f>+Table1[[#This Row],[Tabela]]&amp;Table1[[#This Row],[Campo]]</f>
        <v>modesg_out_bens_imoveisorigem_flg_rsc_fsc_crnc</v>
      </c>
      <c r="B588" s="2" t="s">
        <v>26</v>
      </c>
      <c r="C588" s="2" t="s">
        <v>310</v>
      </c>
      <c r="D588" s="2" t="s">
        <v>312</v>
      </c>
      <c r="E588" s="2" t="s">
        <v>38</v>
      </c>
      <c r="F588" s="2" t="s">
        <v>311</v>
      </c>
      <c r="G588" s="2" t="s">
        <v>318</v>
      </c>
      <c r="H588" s="56" t="str">
        <f>Table1[[#This Row],[Tabela]]&amp;Table1[[#This Row],[Campo]]</f>
        <v>modesg_out_bens_imoveisorigem_flg_rsc_fsc_crnc</v>
      </c>
      <c r="I588" s="2" t="s">
        <v>612</v>
      </c>
      <c r="J588" s="42">
        <f>VLOOKUP(Table1[[#This Row],[Status]],Auxiliar!$B$16:$C$24,2,0)</f>
        <v>1</v>
      </c>
      <c r="K588" s="2" t="s">
        <v>1169</v>
      </c>
      <c r="L588" s="28" t="s">
        <v>1166</v>
      </c>
      <c r="M588" s="20" t="s">
        <v>1175</v>
      </c>
      <c r="N588" s="47">
        <v>45716</v>
      </c>
      <c r="O588" s="20">
        <f>INDEX(Auxiliar!$D$5:$F$13,MATCH(Table1[[#This Row],[Tipologia_Testes]],Auxiliar!$B$5:$B$13,0),MATCH(Table1[[#This Row],[Complexidade]],Auxiliar!$D$4:$F$4,0))</f>
        <v>2</v>
      </c>
      <c r="P588" s="22" t="s">
        <v>1198</v>
      </c>
      <c r="Q588" s="2"/>
      <c r="R588" s="151">
        <v>45561</v>
      </c>
      <c r="S588" s="151"/>
      <c r="T588" s="151">
        <v>45569</v>
      </c>
      <c r="U588" s="151">
        <v>45621</v>
      </c>
      <c r="V588" s="151">
        <v>45631</v>
      </c>
      <c r="W588" s="2">
        <f>VLOOKUP(Table1[[#This Row],[Status]],Auxiliar!$B$16:$D$24,3,0)*Table1[[#This Row],[Estimação (horas)]]</f>
        <v>2</v>
      </c>
      <c r="X588" s="165">
        <f>+VLOOKUP(CONCATENATE(Table1[[#This Row],[Tabela]],Table1[[#This Row],[Campo]]),'2. Status Detalhe Campos FY24'!A:J,9,FALSE)</f>
        <v>0</v>
      </c>
      <c r="Y588" s="491" t="e">
        <f>+VLOOKUP(A588,#REF!,1,FALSE)</f>
        <v>#REF!</v>
      </c>
    </row>
    <row r="589" spans="1:25" ht="52.4" hidden="1" customHeight="1">
      <c r="A589" t="str">
        <f>+Table1[[#This Row],[Tabela]]&amp;Table1[[#This Row],[Campo]]</f>
        <v>modesg_out_bens_imoveisorigem_flg_rsc_fsc_crnc</v>
      </c>
      <c r="B589" s="2" t="s">
        <v>26</v>
      </c>
      <c r="C589" s="2" t="s">
        <v>310</v>
      </c>
      <c r="D589" s="2" t="s">
        <v>312</v>
      </c>
      <c r="E589" s="2" t="s">
        <v>38</v>
      </c>
      <c r="F589" s="2" t="s">
        <v>311</v>
      </c>
      <c r="G589" s="2" t="s">
        <v>318</v>
      </c>
      <c r="H589" s="56" t="str">
        <f>Table1[[#This Row],[Tabela]]&amp;Table1[[#This Row],[Campo]]</f>
        <v>modesg_out_bens_imoveisorigem_flg_rsc_fsc_crnc</v>
      </c>
      <c r="I589" s="2" t="s">
        <v>612</v>
      </c>
      <c r="J589" s="42">
        <f>VLOOKUP(Table1[[#This Row],[Status]],Auxiliar!$B$16:$C$24,2,0)</f>
        <v>1</v>
      </c>
      <c r="K589" s="2" t="s">
        <v>1171</v>
      </c>
      <c r="L589" s="28" t="s">
        <v>1166</v>
      </c>
      <c r="M589" s="20" t="s">
        <v>1175</v>
      </c>
      <c r="N589" s="47">
        <v>45716</v>
      </c>
      <c r="O589" s="20">
        <f>INDEX(Auxiliar!$D$5:$F$13,MATCH(Table1[[#This Row],[Tipologia_Testes]],Auxiliar!$B$5:$B$13,0),MATCH(Table1[[#This Row],[Complexidade]],Auxiliar!$D$4:$F$4,0))</f>
        <v>0.1</v>
      </c>
      <c r="P589" s="22" t="s">
        <v>1198</v>
      </c>
      <c r="Q589" s="2"/>
      <c r="R589" s="151">
        <v>45561</v>
      </c>
      <c r="S589" s="151"/>
      <c r="T589" s="151">
        <v>45569</v>
      </c>
      <c r="U589" s="151">
        <v>45621</v>
      </c>
      <c r="V589" s="151">
        <v>45631</v>
      </c>
      <c r="W589" s="2">
        <f>VLOOKUP(Table1[[#This Row],[Status]],Auxiliar!$B$16:$D$24,3,0)*Table1[[#This Row],[Estimação (horas)]]</f>
        <v>0.1</v>
      </c>
      <c r="X589" s="165">
        <f>+VLOOKUP(CONCATENATE(Table1[[#This Row],[Tabela]],Table1[[#This Row],[Campo]]),'2. Status Detalhe Campos FY24'!A:J,9,FALSE)</f>
        <v>0</v>
      </c>
      <c r="Y589" s="491" t="e">
        <f>+VLOOKUP(A589,#REF!,1,FALSE)</f>
        <v>#REF!</v>
      </c>
    </row>
    <row r="590" spans="1:25" ht="52.4" hidden="1" customHeight="1">
      <c r="A590" t="str">
        <f>+Table1[[#This Row],[Tabela]]&amp;Table1[[#This Row],[Campo]]</f>
        <v>modesg_out_bens_imoveisorigem_scp1_emss</v>
      </c>
      <c r="B590" s="2" t="s">
        <v>26</v>
      </c>
      <c r="C590" s="2" t="s">
        <v>310</v>
      </c>
      <c r="D590" s="2" t="s">
        <v>312</v>
      </c>
      <c r="E590" s="2" t="s">
        <v>38</v>
      </c>
      <c r="F590" s="2" t="s">
        <v>311</v>
      </c>
      <c r="G590" s="2" t="s">
        <v>319</v>
      </c>
      <c r="H590" s="56" t="str">
        <f>Table1[[#This Row],[Tabela]]&amp;Table1[[#This Row],[Campo]]</f>
        <v>modesg_out_bens_imoveisorigem_scp1_emss</v>
      </c>
      <c r="I590" s="2" t="s">
        <v>612</v>
      </c>
      <c r="J590" s="42">
        <f>VLOOKUP(Table1[[#This Row],[Status]],Auxiliar!$B$16:$C$24,2,0)</f>
        <v>1</v>
      </c>
      <c r="K590" s="2" t="s">
        <v>1168</v>
      </c>
      <c r="L590" s="28" t="s">
        <v>1166</v>
      </c>
      <c r="M590" s="20" t="s">
        <v>1175</v>
      </c>
      <c r="N590" s="47">
        <v>45611</v>
      </c>
      <c r="O590" s="20">
        <f>INDEX(Auxiliar!$D$5:$F$13,MATCH(Table1[[#This Row],[Tipologia_Testes]],Auxiliar!$B$5:$B$13,0),MATCH(Table1[[#This Row],[Complexidade]],Auxiliar!$D$4:$F$4,0))</f>
        <v>2</v>
      </c>
      <c r="P590" s="22"/>
      <c r="Q590" s="2"/>
      <c r="R590" s="151">
        <v>45569</v>
      </c>
      <c r="S590" s="151"/>
      <c r="T590" s="151">
        <v>45604</v>
      </c>
      <c r="U590" s="151">
        <v>45600</v>
      </c>
      <c r="V590" s="151">
        <v>45601</v>
      </c>
      <c r="W590" s="2">
        <f>VLOOKUP(Table1[[#This Row],[Status]],Auxiliar!$B$16:$D$24,3,0)*Table1[[#This Row],[Estimação (horas)]]</f>
        <v>2</v>
      </c>
      <c r="X590" s="165">
        <f>+VLOOKUP(CONCATENATE(Table1[[#This Row],[Tabela]],Table1[[#This Row],[Campo]]),'2. Status Detalhe Campos FY24'!A:J,9,FALSE)</f>
        <v>0</v>
      </c>
      <c r="Y590" s="491" t="e">
        <f>+VLOOKUP(A590,#REF!,1,FALSE)</f>
        <v>#REF!</v>
      </c>
    </row>
    <row r="591" spans="1:25" ht="52.4" hidden="1" customHeight="1">
      <c r="A591" t="str">
        <f>+Table1[[#This Row],[Tabela]]&amp;Table1[[#This Row],[Campo]]</f>
        <v>modesg_out_bens_imoveisorigem_scp1_emss</v>
      </c>
      <c r="B591" s="2" t="s">
        <v>26</v>
      </c>
      <c r="C591" s="2" t="s">
        <v>310</v>
      </c>
      <c r="D591" s="2" t="s">
        <v>312</v>
      </c>
      <c r="E591" s="2" t="s">
        <v>38</v>
      </c>
      <c r="F591" s="2" t="s">
        <v>311</v>
      </c>
      <c r="G591" s="2" t="s">
        <v>319</v>
      </c>
      <c r="H591" s="56" t="str">
        <f>Table1[[#This Row],[Tabela]]&amp;Table1[[#This Row],[Campo]]</f>
        <v>modesg_out_bens_imoveisorigem_scp1_emss</v>
      </c>
      <c r="I591" s="2" t="s">
        <v>612</v>
      </c>
      <c r="J591" s="42">
        <f>VLOOKUP(Table1[[#This Row],[Status]],Auxiliar!$B$16:$C$24,2,0)</f>
        <v>1</v>
      </c>
      <c r="K591" s="2" t="s">
        <v>1169</v>
      </c>
      <c r="L591" s="28" t="s">
        <v>1166</v>
      </c>
      <c r="M591" s="20" t="s">
        <v>1175</v>
      </c>
      <c r="N591" s="47">
        <v>45611</v>
      </c>
      <c r="O591" s="20">
        <f>INDEX(Auxiliar!$D$5:$F$13,MATCH(Table1[[#This Row],[Tipologia_Testes]],Auxiliar!$B$5:$B$13,0),MATCH(Table1[[#This Row],[Complexidade]],Auxiliar!$D$4:$F$4,0))</f>
        <v>2</v>
      </c>
      <c r="P591" s="22"/>
      <c r="Q591" s="2"/>
      <c r="R591" s="151">
        <v>45569</v>
      </c>
      <c r="S591" s="151"/>
      <c r="T591" s="151">
        <v>45604</v>
      </c>
      <c r="U591" s="151">
        <v>45600</v>
      </c>
      <c r="V591" s="151">
        <v>45601</v>
      </c>
      <c r="W591" s="2">
        <f>VLOOKUP(Table1[[#This Row],[Status]],Auxiliar!$B$16:$D$24,3,0)*Table1[[#This Row],[Estimação (horas)]]</f>
        <v>2</v>
      </c>
      <c r="X591" s="165">
        <f>+VLOOKUP(CONCATENATE(Table1[[#This Row],[Tabela]],Table1[[#This Row],[Campo]]),'2. Status Detalhe Campos FY24'!A:J,9,FALSE)</f>
        <v>0</v>
      </c>
      <c r="Y591" s="491" t="e">
        <f>+VLOOKUP(A591,#REF!,1,FALSE)</f>
        <v>#REF!</v>
      </c>
    </row>
    <row r="592" spans="1:25" ht="52.4" hidden="1" customHeight="1">
      <c r="A592" t="str">
        <f>+Table1[[#This Row],[Tabela]]&amp;Table1[[#This Row],[Campo]]</f>
        <v>modesg_out_bens_imoveisorigem_scp1_emss</v>
      </c>
      <c r="B592" s="2" t="s">
        <v>26</v>
      </c>
      <c r="C592" s="2" t="s">
        <v>310</v>
      </c>
      <c r="D592" s="2" t="s">
        <v>312</v>
      </c>
      <c r="E592" s="2" t="s">
        <v>38</v>
      </c>
      <c r="F592" s="2" t="s">
        <v>311</v>
      </c>
      <c r="G592" s="2" t="s">
        <v>319</v>
      </c>
      <c r="H592" s="56" t="str">
        <f>Table1[[#This Row],[Tabela]]&amp;Table1[[#This Row],[Campo]]</f>
        <v>modesg_out_bens_imoveisorigem_scp1_emss</v>
      </c>
      <c r="I592" s="2" t="s">
        <v>612</v>
      </c>
      <c r="J592" s="42">
        <f>VLOOKUP(Table1[[#This Row],[Status]],Auxiliar!$B$16:$C$24,2,0)</f>
        <v>1</v>
      </c>
      <c r="K592" s="2" t="s">
        <v>1171</v>
      </c>
      <c r="L592" s="28" t="s">
        <v>1166</v>
      </c>
      <c r="M592" s="20" t="s">
        <v>1175</v>
      </c>
      <c r="N592" s="47">
        <v>45611</v>
      </c>
      <c r="O592" s="20">
        <f>INDEX(Auxiliar!$D$5:$F$13,MATCH(Table1[[#This Row],[Tipologia_Testes]],Auxiliar!$B$5:$B$13,0),MATCH(Table1[[#This Row],[Complexidade]],Auxiliar!$D$4:$F$4,0))</f>
        <v>0.1</v>
      </c>
      <c r="P592" s="22"/>
      <c r="Q592" s="2"/>
      <c r="R592" s="151">
        <v>45569</v>
      </c>
      <c r="S592" s="151"/>
      <c r="T592" s="151">
        <v>45604</v>
      </c>
      <c r="U592" s="151">
        <v>45600</v>
      </c>
      <c r="V592" s="151">
        <v>45601</v>
      </c>
      <c r="W592" s="2">
        <f>VLOOKUP(Table1[[#This Row],[Status]],Auxiliar!$B$16:$D$24,3,0)*Table1[[#This Row],[Estimação (horas)]]</f>
        <v>0.1</v>
      </c>
      <c r="X592" s="165">
        <f>+VLOOKUP(CONCATENATE(Table1[[#This Row],[Tabela]],Table1[[#This Row],[Campo]]),'2. Status Detalhe Campos FY24'!A:J,9,FALSE)</f>
        <v>0</v>
      </c>
      <c r="Y592" s="491" t="e">
        <f>+VLOOKUP(A592,#REF!,1,FALSE)</f>
        <v>#REF!</v>
      </c>
    </row>
    <row r="593" spans="1:25" ht="52.4" hidden="1" customHeight="1">
      <c r="A593" t="str">
        <f>+Table1[[#This Row],[Tabela]]&amp;Table1[[#This Row],[Campo]]</f>
        <v>modesg_out_bens_imoveisorigem_scp2_emss</v>
      </c>
      <c r="B593" s="2" t="s">
        <v>26</v>
      </c>
      <c r="C593" s="2" t="s">
        <v>310</v>
      </c>
      <c r="D593" s="2" t="s">
        <v>312</v>
      </c>
      <c r="E593" s="2" t="s">
        <v>38</v>
      </c>
      <c r="F593" s="2" t="s">
        <v>311</v>
      </c>
      <c r="G593" s="2" t="s">
        <v>320</v>
      </c>
      <c r="H593" s="56" t="str">
        <f>Table1[[#This Row],[Tabela]]&amp;Table1[[#This Row],[Campo]]</f>
        <v>modesg_out_bens_imoveisorigem_scp2_emss</v>
      </c>
      <c r="I593" s="2" t="s">
        <v>612</v>
      </c>
      <c r="J593" s="42">
        <f>VLOOKUP(Table1[[#This Row],[Status]],Auxiliar!$B$16:$C$24,2,0)</f>
        <v>1</v>
      </c>
      <c r="K593" s="2" t="s">
        <v>1168</v>
      </c>
      <c r="L593" s="28" t="s">
        <v>1166</v>
      </c>
      <c r="M593" s="20" t="s">
        <v>1175</v>
      </c>
      <c r="N593" s="47">
        <v>45611</v>
      </c>
      <c r="O593" s="20">
        <f>INDEX(Auxiliar!$D$5:$F$13,MATCH(Table1[[#This Row],[Tipologia_Testes]],Auxiliar!$B$5:$B$13,0),MATCH(Table1[[#This Row],[Complexidade]],Auxiliar!$D$4:$F$4,0))</f>
        <v>2</v>
      </c>
      <c r="P593" s="22"/>
      <c r="Q593" s="2"/>
      <c r="R593" s="151">
        <v>45569</v>
      </c>
      <c r="S593" s="151"/>
      <c r="T593" s="151">
        <v>45604</v>
      </c>
      <c r="U593" s="151">
        <v>45600</v>
      </c>
      <c r="V593" s="151">
        <v>45601</v>
      </c>
      <c r="W593" s="2">
        <f>VLOOKUP(Table1[[#This Row],[Status]],Auxiliar!$B$16:$D$24,3,0)*Table1[[#This Row],[Estimação (horas)]]</f>
        <v>2</v>
      </c>
      <c r="X593" s="165">
        <f>+VLOOKUP(CONCATENATE(Table1[[#This Row],[Tabela]],Table1[[#This Row],[Campo]]),'2. Status Detalhe Campos FY24'!A:J,9,FALSE)</f>
        <v>0</v>
      </c>
      <c r="Y593" s="491" t="e">
        <f>+VLOOKUP(A593,#REF!,1,FALSE)</f>
        <v>#REF!</v>
      </c>
    </row>
    <row r="594" spans="1:25" ht="52.4" hidden="1" customHeight="1">
      <c r="A594" t="str">
        <f>+Table1[[#This Row],[Tabela]]&amp;Table1[[#This Row],[Campo]]</f>
        <v>modesg_out_bens_imoveisorigem_scp2_emss</v>
      </c>
      <c r="B594" s="2" t="s">
        <v>26</v>
      </c>
      <c r="C594" s="2" t="s">
        <v>310</v>
      </c>
      <c r="D594" s="2" t="s">
        <v>312</v>
      </c>
      <c r="E594" s="2" t="s">
        <v>38</v>
      </c>
      <c r="F594" s="2" t="s">
        <v>311</v>
      </c>
      <c r="G594" s="2" t="s">
        <v>320</v>
      </c>
      <c r="H594" s="56" t="str">
        <f>Table1[[#This Row],[Tabela]]&amp;Table1[[#This Row],[Campo]]</f>
        <v>modesg_out_bens_imoveisorigem_scp2_emss</v>
      </c>
      <c r="I594" s="2" t="s">
        <v>612</v>
      </c>
      <c r="J594" s="42">
        <f>VLOOKUP(Table1[[#This Row],[Status]],Auxiliar!$B$16:$C$24,2,0)</f>
        <v>1</v>
      </c>
      <c r="K594" s="2" t="s">
        <v>1169</v>
      </c>
      <c r="L594" s="28" t="s">
        <v>1166</v>
      </c>
      <c r="M594" s="20" t="s">
        <v>1175</v>
      </c>
      <c r="N594" s="47">
        <v>45611</v>
      </c>
      <c r="O594" s="20">
        <f>INDEX(Auxiliar!$D$5:$F$13,MATCH(Table1[[#This Row],[Tipologia_Testes]],Auxiliar!$B$5:$B$13,0),MATCH(Table1[[#This Row],[Complexidade]],Auxiliar!$D$4:$F$4,0))</f>
        <v>2</v>
      </c>
      <c r="P594" s="22"/>
      <c r="Q594" s="2"/>
      <c r="R594" s="151">
        <v>45569</v>
      </c>
      <c r="S594" s="151"/>
      <c r="T594" s="151">
        <v>45604</v>
      </c>
      <c r="U594" s="151">
        <v>45600</v>
      </c>
      <c r="V594" s="151">
        <v>45601</v>
      </c>
      <c r="W594" s="2">
        <f>VLOOKUP(Table1[[#This Row],[Status]],Auxiliar!$B$16:$D$24,3,0)*Table1[[#This Row],[Estimação (horas)]]</f>
        <v>2</v>
      </c>
      <c r="X594" s="165">
        <f>+VLOOKUP(CONCATENATE(Table1[[#This Row],[Tabela]],Table1[[#This Row],[Campo]]),'2. Status Detalhe Campos FY24'!A:J,9,FALSE)</f>
        <v>0</v>
      </c>
      <c r="Y594" s="491" t="e">
        <f>+VLOOKUP(A594,#REF!,1,FALSE)</f>
        <v>#REF!</v>
      </c>
    </row>
    <row r="595" spans="1:25" ht="52.4" hidden="1" customHeight="1">
      <c r="A595" t="str">
        <f>+Table1[[#This Row],[Tabela]]&amp;Table1[[#This Row],[Campo]]</f>
        <v>modesg_out_bens_imoveisorigem_scp2_emss</v>
      </c>
      <c r="B595" s="2" t="s">
        <v>26</v>
      </c>
      <c r="C595" s="2" t="s">
        <v>310</v>
      </c>
      <c r="D595" s="2" t="s">
        <v>312</v>
      </c>
      <c r="E595" s="2" t="s">
        <v>38</v>
      </c>
      <c r="F595" s="2" t="s">
        <v>311</v>
      </c>
      <c r="G595" s="2" t="s">
        <v>320</v>
      </c>
      <c r="H595" s="56" t="str">
        <f>Table1[[#This Row],[Tabela]]&amp;Table1[[#This Row],[Campo]]</f>
        <v>modesg_out_bens_imoveisorigem_scp2_emss</v>
      </c>
      <c r="I595" s="2" t="s">
        <v>612</v>
      </c>
      <c r="J595" s="42">
        <f>VLOOKUP(Table1[[#This Row],[Status]],Auxiliar!$B$16:$C$24,2,0)</f>
        <v>1</v>
      </c>
      <c r="K595" s="2" t="s">
        <v>1171</v>
      </c>
      <c r="L595" s="28" t="s">
        <v>1166</v>
      </c>
      <c r="M595" s="20" t="s">
        <v>1175</v>
      </c>
      <c r="N595" s="47">
        <v>45611</v>
      </c>
      <c r="O595" s="20">
        <f>INDEX(Auxiliar!$D$5:$F$13,MATCH(Table1[[#This Row],[Tipologia_Testes]],Auxiliar!$B$5:$B$13,0),MATCH(Table1[[#This Row],[Complexidade]],Auxiliar!$D$4:$F$4,0))</f>
        <v>0.1</v>
      </c>
      <c r="P595" s="22"/>
      <c r="Q595" s="2"/>
      <c r="R595" s="151">
        <v>45569</v>
      </c>
      <c r="S595" s="151"/>
      <c r="T595" s="151">
        <v>45604</v>
      </c>
      <c r="U595" s="151">
        <v>45600</v>
      </c>
      <c r="V595" s="151">
        <v>45601</v>
      </c>
      <c r="W595" s="2">
        <f>VLOOKUP(Table1[[#This Row],[Status]],Auxiliar!$B$16:$D$24,3,0)*Table1[[#This Row],[Estimação (horas)]]</f>
        <v>0.1</v>
      </c>
      <c r="X595" s="165">
        <f>+VLOOKUP(CONCATENATE(Table1[[#This Row],[Tabela]],Table1[[#This Row],[Campo]]),'2. Status Detalhe Campos FY24'!A:J,9,FALSE)</f>
        <v>0</v>
      </c>
      <c r="Y595" s="491" t="e">
        <f>+VLOOKUP(A595,#REF!,1,FALSE)</f>
        <v>#REF!</v>
      </c>
    </row>
    <row r="596" spans="1:25" ht="52.4" hidden="1" customHeight="1">
      <c r="A596" t="str">
        <f>+Table1[[#This Row],[Tabela]]&amp;Table1[[#This Row],[Campo]]</f>
        <v>modesg_out_bens_imoveisorigem_scp3_emss</v>
      </c>
      <c r="B596" s="2" t="s">
        <v>26</v>
      </c>
      <c r="C596" s="2" t="s">
        <v>310</v>
      </c>
      <c r="D596" s="2" t="s">
        <v>312</v>
      </c>
      <c r="E596" s="2" t="s">
        <v>38</v>
      </c>
      <c r="F596" s="2" t="s">
        <v>311</v>
      </c>
      <c r="G596" s="2" t="s">
        <v>321</v>
      </c>
      <c r="H596" s="56" t="str">
        <f>Table1[[#This Row],[Tabela]]&amp;Table1[[#This Row],[Campo]]</f>
        <v>modesg_out_bens_imoveisorigem_scp3_emss</v>
      </c>
      <c r="I596" s="2" t="s">
        <v>612</v>
      </c>
      <c r="J596" s="42">
        <f>VLOOKUP(Table1[[#This Row],[Status]],Auxiliar!$B$16:$C$24,2,0)</f>
        <v>1</v>
      </c>
      <c r="K596" s="2" t="s">
        <v>1168</v>
      </c>
      <c r="L596" s="28" t="s">
        <v>1174</v>
      </c>
      <c r="M596" s="20" t="s">
        <v>1175</v>
      </c>
      <c r="N596" s="47">
        <v>45604</v>
      </c>
      <c r="O596" s="20">
        <f>INDEX(Auxiliar!$D$5:$F$13,MATCH(Table1[[#This Row],[Tipologia_Testes]],Auxiliar!$B$5:$B$13,0),MATCH(Table1[[#This Row],[Complexidade]],Auxiliar!$D$4:$F$4,0))</f>
        <v>2</v>
      </c>
      <c r="P596" s="22"/>
      <c r="Q596" s="2"/>
      <c r="R596" s="151">
        <v>45569</v>
      </c>
      <c r="S596" s="151"/>
      <c r="T596" s="151">
        <v>45569</v>
      </c>
      <c r="U596" s="151">
        <v>45600</v>
      </c>
      <c r="V596" s="151">
        <v>45601</v>
      </c>
      <c r="W596" s="2">
        <f>VLOOKUP(Table1[[#This Row],[Status]],Auxiliar!$B$16:$D$24,3,0)*Table1[[#This Row],[Estimação (horas)]]</f>
        <v>2</v>
      </c>
      <c r="X596" s="165">
        <f>+VLOOKUP(CONCATENATE(Table1[[#This Row],[Tabela]],Table1[[#This Row],[Campo]]),'2. Status Detalhe Campos FY24'!A:J,9,FALSE)</f>
        <v>0</v>
      </c>
      <c r="Y596" s="491" t="e">
        <f>+VLOOKUP(A596,#REF!,1,FALSE)</f>
        <v>#REF!</v>
      </c>
    </row>
    <row r="597" spans="1:25" ht="52.4" hidden="1" customHeight="1">
      <c r="A597" t="str">
        <f>+Table1[[#This Row],[Tabela]]&amp;Table1[[#This Row],[Campo]]</f>
        <v>modesg_out_bens_imoveisorigem_scp3_emss</v>
      </c>
      <c r="B597" s="2" t="s">
        <v>26</v>
      </c>
      <c r="C597" s="2" t="s">
        <v>310</v>
      </c>
      <c r="D597" s="2" t="s">
        <v>312</v>
      </c>
      <c r="E597" s="2" t="s">
        <v>38</v>
      </c>
      <c r="F597" s="2" t="s">
        <v>311</v>
      </c>
      <c r="G597" s="2" t="s">
        <v>321</v>
      </c>
      <c r="H597" s="56" t="str">
        <f>Table1[[#This Row],[Tabela]]&amp;Table1[[#This Row],[Campo]]</f>
        <v>modesg_out_bens_imoveisorigem_scp3_emss</v>
      </c>
      <c r="I597" s="2" t="s">
        <v>612</v>
      </c>
      <c r="J597" s="42">
        <f>VLOOKUP(Table1[[#This Row],[Status]],Auxiliar!$B$16:$C$24,2,0)</f>
        <v>1</v>
      </c>
      <c r="K597" s="2" t="s">
        <v>1169</v>
      </c>
      <c r="L597" s="28" t="s">
        <v>1174</v>
      </c>
      <c r="M597" s="20" t="s">
        <v>1175</v>
      </c>
      <c r="N597" s="47">
        <v>45604</v>
      </c>
      <c r="O597" s="20">
        <f>INDEX(Auxiliar!$D$5:$F$13,MATCH(Table1[[#This Row],[Tipologia_Testes]],Auxiliar!$B$5:$B$13,0),MATCH(Table1[[#This Row],[Complexidade]],Auxiliar!$D$4:$F$4,0))</f>
        <v>2</v>
      </c>
      <c r="P597" s="22"/>
      <c r="Q597" s="2"/>
      <c r="R597" s="151">
        <v>45569</v>
      </c>
      <c r="S597" s="151"/>
      <c r="T597" s="151">
        <v>45569</v>
      </c>
      <c r="U597" s="151">
        <v>45600</v>
      </c>
      <c r="V597" s="151">
        <v>45601</v>
      </c>
      <c r="W597" s="2">
        <f>VLOOKUP(Table1[[#This Row],[Status]],Auxiliar!$B$16:$D$24,3,0)*Table1[[#This Row],[Estimação (horas)]]</f>
        <v>2</v>
      </c>
      <c r="X597" s="165">
        <f>+VLOOKUP(CONCATENATE(Table1[[#This Row],[Tabela]],Table1[[#This Row],[Campo]]),'2. Status Detalhe Campos FY24'!A:J,9,FALSE)</f>
        <v>0</v>
      </c>
      <c r="Y597" s="491" t="e">
        <f>+VLOOKUP(A597,#REF!,1,FALSE)</f>
        <v>#REF!</v>
      </c>
    </row>
    <row r="598" spans="1:25" ht="17.899999999999999" hidden="1" customHeight="1">
      <c r="A598" t="str">
        <f>+Table1[[#This Row],[Tabela]]&amp;Table1[[#This Row],[Campo]]</f>
        <v>modesg_out_bens_imoveisorigem_scp3_emss</v>
      </c>
      <c r="B598" s="2" t="s">
        <v>26</v>
      </c>
      <c r="C598" s="2" t="s">
        <v>310</v>
      </c>
      <c r="D598" s="2" t="s">
        <v>312</v>
      </c>
      <c r="E598" s="2" t="s">
        <v>38</v>
      </c>
      <c r="F598" s="2" t="s">
        <v>311</v>
      </c>
      <c r="G598" s="2" t="s">
        <v>321</v>
      </c>
      <c r="H598" s="56" t="str">
        <f>Table1[[#This Row],[Tabela]]&amp;Table1[[#This Row],[Campo]]</f>
        <v>modesg_out_bens_imoveisorigem_scp3_emss</v>
      </c>
      <c r="I598" s="2" t="s">
        <v>612</v>
      </c>
      <c r="J598" s="42">
        <f>VLOOKUP(Table1[[#This Row],[Status]],Auxiliar!$B$16:$C$24,2,0)</f>
        <v>1</v>
      </c>
      <c r="K598" s="2" t="s">
        <v>1171</v>
      </c>
      <c r="L598" s="28" t="s">
        <v>1174</v>
      </c>
      <c r="M598" s="20" t="s">
        <v>1175</v>
      </c>
      <c r="N598" s="47">
        <v>45604</v>
      </c>
      <c r="O598" s="20">
        <f>INDEX(Auxiliar!$D$5:$F$13,MATCH(Table1[[#This Row],[Tipologia_Testes]],Auxiliar!$B$5:$B$13,0),MATCH(Table1[[#This Row],[Complexidade]],Auxiliar!$D$4:$F$4,0))</f>
        <v>0.1</v>
      </c>
      <c r="P598" s="22"/>
      <c r="Q598" s="2"/>
      <c r="R598" s="151">
        <v>45569</v>
      </c>
      <c r="S598" s="151"/>
      <c r="T598" s="151">
        <v>45569</v>
      </c>
      <c r="U598" s="151">
        <v>45600</v>
      </c>
      <c r="V598" s="151">
        <v>45601</v>
      </c>
      <c r="W598" s="2">
        <f>VLOOKUP(Table1[[#This Row],[Status]],Auxiliar!$B$16:$D$24,3,0)*Table1[[#This Row],[Estimação (horas)]]</f>
        <v>0.1</v>
      </c>
      <c r="X598" s="165">
        <f>+VLOOKUP(CONCATENATE(Table1[[#This Row],[Tabela]],Table1[[#This Row],[Campo]]),'2. Status Detalhe Campos FY24'!A:J,9,FALSE)</f>
        <v>0</v>
      </c>
      <c r="Y598" s="491" t="e">
        <f>+VLOOKUP(A598,#REF!,1,FALSE)</f>
        <v>#REF!</v>
      </c>
    </row>
    <row r="599" spans="1:25" ht="17.899999999999999" hidden="1" customHeight="1">
      <c r="A599" t="str">
        <f>+Table1[[#This Row],[Tabela]]&amp;Table1[[#This Row],[Campo]]</f>
        <v>modesg_out_bens_imoveisref_date</v>
      </c>
      <c r="B599" s="2" t="s">
        <v>26</v>
      </c>
      <c r="C599" s="2" t="s">
        <v>310</v>
      </c>
      <c r="D599" s="2" t="s">
        <v>312</v>
      </c>
      <c r="E599" s="2" t="s">
        <v>38</v>
      </c>
      <c r="F599" s="2" t="s">
        <v>311</v>
      </c>
      <c r="G599" s="2" t="s">
        <v>208</v>
      </c>
      <c r="H599" s="56" t="str">
        <f>Table1[[#This Row],[Tabela]]&amp;Table1[[#This Row],[Campo]]</f>
        <v>modesg_out_bens_imoveisref_date</v>
      </c>
      <c r="I599" s="3" t="s">
        <v>612</v>
      </c>
      <c r="J599" s="54">
        <f>VLOOKUP(Table1[[#This Row],[Status]],Auxiliar!$B$16:$C$24,2,0)</f>
        <v>1</v>
      </c>
      <c r="K599" s="2" t="s">
        <v>1168</v>
      </c>
      <c r="L599" s="28" t="s">
        <v>1174</v>
      </c>
      <c r="M599" s="20" t="s">
        <v>1175</v>
      </c>
      <c r="N599" s="47">
        <v>45485</v>
      </c>
      <c r="O599" s="20">
        <f>INDEX(Auxiliar!$D$5:$F$13,MATCH(Table1[[#This Row],[Tipologia_Testes]],Auxiliar!$B$5:$B$13,0),MATCH(Table1[[#This Row],[Complexidade]],Auxiliar!$D$4:$F$4,0))</f>
        <v>2</v>
      </c>
      <c r="P599" s="2"/>
      <c r="Q599" s="2" t="s">
        <v>1185</v>
      </c>
      <c r="R599" s="151">
        <v>45261</v>
      </c>
      <c r="S599" s="151"/>
      <c r="T599" s="151"/>
      <c r="U599" s="151"/>
      <c r="V599" s="151"/>
      <c r="W599" s="2">
        <f>VLOOKUP(Table1[[#This Row],[Status]],Auxiliar!$B$16:$D$24,3,0)*Table1[[#This Row],[Estimação (horas)]]</f>
        <v>2</v>
      </c>
      <c r="X599" s="165">
        <f>+VLOOKUP(CONCATENATE(Table1[[#This Row],[Tabela]],Table1[[#This Row],[Campo]]),'2. Status Detalhe Campos FY24'!A:J,9,FALSE)</f>
        <v>0</v>
      </c>
      <c r="Y599" s="491" t="e">
        <f>+VLOOKUP(A599,#REF!,1,FALSE)</f>
        <v>#REF!</v>
      </c>
    </row>
    <row r="600" spans="1:25" ht="17.899999999999999" hidden="1" customHeight="1">
      <c r="A600" t="str">
        <f>+Table1[[#This Row],[Tabela]]&amp;Table1[[#This Row],[Campo]]</f>
        <v>modesg_out_bens_imoveisref_date</v>
      </c>
      <c r="B600" s="2" t="s">
        <v>26</v>
      </c>
      <c r="C600" s="2" t="s">
        <v>310</v>
      </c>
      <c r="D600" s="2" t="s">
        <v>312</v>
      </c>
      <c r="E600" s="2" t="s">
        <v>38</v>
      </c>
      <c r="F600" s="2" t="s">
        <v>311</v>
      </c>
      <c r="G600" s="2" t="s">
        <v>208</v>
      </c>
      <c r="H600" s="56" t="str">
        <f>Table1[[#This Row],[Tabela]]&amp;Table1[[#This Row],[Campo]]</f>
        <v>modesg_out_bens_imoveisref_date</v>
      </c>
      <c r="I600" s="3" t="s">
        <v>612</v>
      </c>
      <c r="J600" s="54">
        <f>VLOOKUP(Table1[[#This Row],[Status]],Auxiliar!$B$16:$C$24,2,0)</f>
        <v>1</v>
      </c>
      <c r="K600" s="2" t="s">
        <v>1169</v>
      </c>
      <c r="L600" s="28" t="s">
        <v>1174</v>
      </c>
      <c r="M600" s="20" t="s">
        <v>1175</v>
      </c>
      <c r="N600" s="47">
        <v>45485</v>
      </c>
      <c r="O600" s="20">
        <f>INDEX(Auxiliar!$D$5:$F$13,MATCH(Table1[[#This Row],[Tipologia_Testes]],Auxiliar!$B$5:$B$13,0),MATCH(Table1[[#This Row],[Complexidade]],Auxiliar!$D$4:$F$4,0))</f>
        <v>2</v>
      </c>
      <c r="P600" s="2"/>
      <c r="Q600" s="2" t="s">
        <v>1185</v>
      </c>
      <c r="R600" s="151">
        <v>45261</v>
      </c>
      <c r="S600" s="151"/>
      <c r="T600" s="151"/>
      <c r="U600" s="151"/>
      <c r="V600" s="151"/>
      <c r="W600" s="2">
        <f>VLOOKUP(Table1[[#This Row],[Status]],Auxiliar!$B$16:$D$24,3,0)*Table1[[#This Row],[Estimação (horas)]]</f>
        <v>2</v>
      </c>
      <c r="X600" s="165">
        <f>+VLOOKUP(CONCATENATE(Table1[[#This Row],[Tabela]],Table1[[#This Row],[Campo]]),'2. Status Detalhe Campos FY24'!A:J,9,FALSE)</f>
        <v>0</v>
      </c>
      <c r="Y600" s="491" t="e">
        <f>+VLOOKUP(A600,#REF!,1,FALSE)</f>
        <v>#REF!</v>
      </c>
    </row>
    <row r="601" spans="1:25" ht="69.650000000000006" hidden="1" customHeight="1">
      <c r="A601" t="str">
        <f>+Table1[[#This Row],[Tabela]]&amp;Table1[[#This Row],[Campo]]</f>
        <v>modesg_out_bens_imoveisref_date</v>
      </c>
      <c r="B601" s="2" t="s">
        <v>26</v>
      </c>
      <c r="C601" s="2" t="s">
        <v>310</v>
      </c>
      <c r="D601" s="2" t="s">
        <v>312</v>
      </c>
      <c r="E601" s="2" t="s">
        <v>38</v>
      </c>
      <c r="F601" s="2" t="s">
        <v>311</v>
      </c>
      <c r="G601" s="2" t="s">
        <v>208</v>
      </c>
      <c r="H601" s="56" t="str">
        <f>Table1[[#This Row],[Tabela]]&amp;Table1[[#This Row],[Campo]]</f>
        <v>modesg_out_bens_imoveisref_date</v>
      </c>
      <c r="I601" s="3" t="s">
        <v>612</v>
      </c>
      <c r="J601" s="54">
        <f>VLOOKUP(Table1[[#This Row],[Status]],Auxiliar!$B$16:$C$24,2,0)</f>
        <v>1</v>
      </c>
      <c r="K601" s="2" t="s">
        <v>1171</v>
      </c>
      <c r="L601" s="28" t="s">
        <v>1174</v>
      </c>
      <c r="M601" s="20" t="s">
        <v>1175</v>
      </c>
      <c r="N601" s="47">
        <v>45485</v>
      </c>
      <c r="O601" s="20">
        <f>INDEX(Auxiliar!$D$5:$F$13,MATCH(Table1[[#This Row],[Tipologia_Testes]],Auxiliar!$B$5:$B$13,0),MATCH(Table1[[#This Row],[Complexidade]],Auxiliar!$D$4:$F$4,0))</f>
        <v>0.1</v>
      </c>
      <c r="P601" s="2"/>
      <c r="Q601" s="2" t="s">
        <v>1185</v>
      </c>
      <c r="R601" s="151">
        <v>45261</v>
      </c>
      <c r="S601" s="151"/>
      <c r="T601" s="151"/>
      <c r="U601" s="151"/>
      <c r="V601" s="151"/>
      <c r="W601" s="2">
        <f>VLOOKUP(Table1[[#This Row],[Status]],Auxiliar!$B$16:$D$24,3,0)*Table1[[#This Row],[Estimação (horas)]]</f>
        <v>0.1</v>
      </c>
      <c r="X601" s="165">
        <f>+VLOOKUP(CONCATENATE(Table1[[#This Row],[Tabela]],Table1[[#This Row],[Campo]]),'2. Status Detalhe Campos FY24'!A:J,9,FALSE)</f>
        <v>0</v>
      </c>
      <c r="Y601" s="491" t="e">
        <f>+VLOOKUP(A601,#REF!,1,FALSE)</f>
        <v>#REF!</v>
      </c>
    </row>
    <row r="602" spans="1:25" ht="69.650000000000006" hidden="1" customHeight="1">
      <c r="A602" t="str">
        <f>+Table1[[#This Row],[Tabela]]&amp;Table1[[#This Row],[Campo]]</f>
        <v>modesg_out_bens_imoveisscp1_emss</v>
      </c>
      <c r="B602" s="2" t="s">
        <v>26</v>
      </c>
      <c r="C602" s="2" t="s">
        <v>310</v>
      </c>
      <c r="D602" s="2" t="s">
        <v>312</v>
      </c>
      <c r="E602" s="2" t="s">
        <v>38</v>
      </c>
      <c r="F602" s="2" t="s">
        <v>311</v>
      </c>
      <c r="G602" s="2" t="s">
        <v>285</v>
      </c>
      <c r="H602" s="56" t="str">
        <f>Table1[[#This Row],[Tabela]]&amp;Table1[[#This Row],[Campo]]</f>
        <v>modesg_out_bens_imoveisscp1_emss</v>
      </c>
      <c r="I602" s="2" t="s">
        <v>612</v>
      </c>
      <c r="J602" s="42">
        <f>VLOOKUP(Table1[[#This Row],[Status]],Auxiliar!$B$16:$C$24,2,0)</f>
        <v>1</v>
      </c>
      <c r="K602" s="2" t="s">
        <v>1168</v>
      </c>
      <c r="L602" s="28" t="s">
        <v>1166</v>
      </c>
      <c r="M602" s="20" t="s">
        <v>1176</v>
      </c>
      <c r="N602" s="47">
        <v>45611</v>
      </c>
      <c r="O602" s="20">
        <f>INDEX(Auxiliar!$D$5:$F$13,MATCH(Table1[[#This Row],[Tipologia_Testes]],Auxiliar!$B$5:$B$13,0),MATCH(Table1[[#This Row],[Complexidade]],Auxiliar!$D$4:$F$4,0))</f>
        <v>4</v>
      </c>
      <c r="P602" s="22"/>
      <c r="Q602" s="2"/>
      <c r="R602" s="151">
        <v>45569</v>
      </c>
      <c r="S602" s="151"/>
      <c r="T602" s="151">
        <v>45604</v>
      </c>
      <c r="U602" s="151">
        <v>45600</v>
      </c>
      <c r="V602" s="151">
        <v>45601</v>
      </c>
      <c r="W602" s="2">
        <f>VLOOKUP(Table1[[#This Row],[Status]],Auxiliar!$B$16:$D$24,3,0)*Table1[[#This Row],[Estimação (horas)]]</f>
        <v>4</v>
      </c>
      <c r="X602" s="165">
        <f>+VLOOKUP(CONCATENATE(Table1[[#This Row],[Tabela]],Table1[[#This Row],[Campo]]),'2. Status Detalhe Campos FY24'!A:J,9,FALSE)</f>
        <v>0</v>
      </c>
      <c r="Y602" s="491" t="e">
        <f>+VLOOKUP(A602,#REF!,1,FALSE)</f>
        <v>#REF!</v>
      </c>
    </row>
    <row r="603" spans="1:25" ht="69.650000000000006" hidden="1" customHeight="1">
      <c r="A603" t="str">
        <f>+Table1[[#This Row],[Tabela]]&amp;Table1[[#This Row],[Campo]]</f>
        <v>modesg_out_bens_imoveisscp1_emss</v>
      </c>
      <c r="B603" s="2" t="s">
        <v>26</v>
      </c>
      <c r="C603" s="2" t="s">
        <v>310</v>
      </c>
      <c r="D603" s="2" t="s">
        <v>312</v>
      </c>
      <c r="E603" s="2" t="s">
        <v>38</v>
      </c>
      <c r="F603" s="2" t="s">
        <v>311</v>
      </c>
      <c r="G603" s="2" t="s">
        <v>285</v>
      </c>
      <c r="H603" s="56" t="str">
        <f>Table1[[#This Row],[Tabela]]&amp;Table1[[#This Row],[Campo]]</f>
        <v>modesg_out_bens_imoveisscp1_emss</v>
      </c>
      <c r="I603" s="2" t="s">
        <v>612</v>
      </c>
      <c r="J603" s="42">
        <f>VLOOKUP(Table1[[#This Row],[Status]],Auxiliar!$B$16:$C$24,2,0)</f>
        <v>1</v>
      </c>
      <c r="K603" s="2" t="s">
        <v>1169</v>
      </c>
      <c r="L603" s="28" t="s">
        <v>1166</v>
      </c>
      <c r="M603" s="20" t="s">
        <v>1176</v>
      </c>
      <c r="N603" s="47">
        <v>45611</v>
      </c>
      <c r="O603" s="20">
        <f>INDEX(Auxiliar!$D$5:$F$13,MATCH(Table1[[#This Row],[Tipologia_Testes]],Auxiliar!$B$5:$B$13,0),MATCH(Table1[[#This Row],[Complexidade]],Auxiliar!$D$4:$F$4,0))</f>
        <v>4</v>
      </c>
      <c r="P603" s="22"/>
      <c r="Q603" s="2"/>
      <c r="R603" s="151">
        <v>45569</v>
      </c>
      <c r="S603" s="151"/>
      <c r="T603" s="151">
        <v>45604</v>
      </c>
      <c r="U603" s="151">
        <v>45600</v>
      </c>
      <c r="V603" s="151">
        <v>45601</v>
      </c>
      <c r="W603" s="2">
        <f>VLOOKUP(Table1[[#This Row],[Status]],Auxiliar!$B$16:$D$24,3,0)*Table1[[#This Row],[Estimação (horas)]]</f>
        <v>4</v>
      </c>
      <c r="X603" s="165">
        <f>+VLOOKUP(CONCATENATE(Table1[[#This Row],[Tabela]],Table1[[#This Row],[Campo]]),'2. Status Detalhe Campos FY24'!A:J,9,FALSE)</f>
        <v>0</v>
      </c>
      <c r="Y603" s="491" t="e">
        <f>+VLOOKUP(A603,#REF!,1,FALSE)</f>
        <v>#REF!</v>
      </c>
    </row>
    <row r="604" spans="1:25" ht="69.650000000000006" hidden="1" customHeight="1">
      <c r="A604" t="str">
        <f>+Table1[[#This Row],[Tabela]]&amp;Table1[[#This Row],[Campo]]</f>
        <v>modesg_out_bens_imoveisscp1_emss</v>
      </c>
      <c r="B604" s="2" t="s">
        <v>26</v>
      </c>
      <c r="C604" s="2" t="s">
        <v>310</v>
      </c>
      <c r="D604" s="2" t="s">
        <v>312</v>
      </c>
      <c r="E604" s="2" t="s">
        <v>38</v>
      </c>
      <c r="F604" s="2" t="s">
        <v>311</v>
      </c>
      <c r="G604" s="2" t="s">
        <v>285</v>
      </c>
      <c r="H604" s="56" t="str">
        <f>Table1[[#This Row],[Tabela]]&amp;Table1[[#This Row],[Campo]]</f>
        <v>modesg_out_bens_imoveisscp1_emss</v>
      </c>
      <c r="I604" s="2" t="s">
        <v>612</v>
      </c>
      <c r="J604" s="42">
        <f>VLOOKUP(Table1[[#This Row],[Status]],Auxiliar!$B$16:$C$24,2,0)</f>
        <v>1</v>
      </c>
      <c r="K604" s="2" t="s">
        <v>1171</v>
      </c>
      <c r="L604" s="28" t="s">
        <v>1166</v>
      </c>
      <c r="M604" s="20" t="s">
        <v>1176</v>
      </c>
      <c r="N604" s="47">
        <v>45611</v>
      </c>
      <c r="O604" s="20">
        <f>INDEX(Auxiliar!$D$5:$F$13,MATCH(Table1[[#This Row],[Tipologia_Testes]],Auxiliar!$B$5:$B$13,0),MATCH(Table1[[#This Row],[Complexidade]],Auxiliar!$D$4:$F$4,0))</f>
        <v>0.1</v>
      </c>
      <c r="P604" s="22"/>
      <c r="Q604" s="2"/>
      <c r="R604" s="151">
        <v>45569</v>
      </c>
      <c r="S604" s="151"/>
      <c r="T604" s="151">
        <v>45604</v>
      </c>
      <c r="U604" s="151">
        <v>45600</v>
      </c>
      <c r="V604" s="151">
        <v>45601</v>
      </c>
      <c r="W604" s="2">
        <f>VLOOKUP(Table1[[#This Row],[Status]],Auxiliar!$B$16:$D$24,3,0)*Table1[[#This Row],[Estimação (horas)]]</f>
        <v>0.1</v>
      </c>
      <c r="X604" s="165">
        <f>+VLOOKUP(CONCATENATE(Table1[[#This Row],[Tabela]],Table1[[#This Row],[Campo]]),'2. Status Detalhe Campos FY24'!A:J,9,FALSE)</f>
        <v>0</v>
      </c>
      <c r="Y604" s="491" t="e">
        <f>+VLOOKUP(A604,#REF!,1,FALSE)</f>
        <v>#REF!</v>
      </c>
    </row>
    <row r="605" spans="1:25" ht="69.650000000000006" hidden="1" customHeight="1">
      <c r="A605" t="str">
        <f>+Table1[[#This Row],[Tabela]]&amp;Table1[[#This Row],[Campo]]</f>
        <v>modesg_out_bens_imoveisscp2_emss</v>
      </c>
      <c r="B605" s="2" t="s">
        <v>26</v>
      </c>
      <c r="C605" s="2" t="s">
        <v>310</v>
      </c>
      <c r="D605" s="2" t="s">
        <v>312</v>
      </c>
      <c r="E605" s="2" t="s">
        <v>38</v>
      </c>
      <c r="F605" s="2" t="s">
        <v>311</v>
      </c>
      <c r="G605" s="2" t="s">
        <v>286</v>
      </c>
      <c r="H605" s="56" t="str">
        <f>Table1[[#This Row],[Tabela]]&amp;Table1[[#This Row],[Campo]]</f>
        <v>modesg_out_bens_imoveisscp2_emss</v>
      </c>
      <c r="I605" s="2" t="s">
        <v>612</v>
      </c>
      <c r="J605" s="42">
        <f>VLOOKUP(Table1[[#This Row],[Status]],Auxiliar!$B$16:$C$24,2,0)</f>
        <v>1</v>
      </c>
      <c r="K605" s="2" t="s">
        <v>1168</v>
      </c>
      <c r="L605" s="28" t="s">
        <v>1166</v>
      </c>
      <c r="M605" s="20" t="s">
        <v>1176</v>
      </c>
      <c r="N605" s="47">
        <v>45611</v>
      </c>
      <c r="O605" s="20">
        <f>INDEX(Auxiliar!$D$5:$F$13,MATCH(Table1[[#This Row],[Tipologia_Testes]],Auxiliar!$B$5:$B$13,0),MATCH(Table1[[#This Row],[Complexidade]],Auxiliar!$D$4:$F$4,0))</f>
        <v>4</v>
      </c>
      <c r="P605" s="22"/>
      <c r="Q605" s="2"/>
      <c r="R605" s="151">
        <v>45569</v>
      </c>
      <c r="S605" s="151"/>
      <c r="T605" s="151">
        <v>45604</v>
      </c>
      <c r="U605" s="151">
        <v>45600</v>
      </c>
      <c r="V605" s="151">
        <v>45601</v>
      </c>
      <c r="W605" s="2">
        <f>VLOOKUP(Table1[[#This Row],[Status]],Auxiliar!$B$16:$D$24,3,0)*Table1[[#This Row],[Estimação (horas)]]</f>
        <v>4</v>
      </c>
      <c r="X605" s="165">
        <f>+VLOOKUP(CONCATENATE(Table1[[#This Row],[Tabela]],Table1[[#This Row],[Campo]]),'2. Status Detalhe Campos FY24'!A:J,9,FALSE)</f>
        <v>0</v>
      </c>
      <c r="Y605" s="491" t="e">
        <f>+VLOOKUP(A605,#REF!,1,FALSE)</f>
        <v>#REF!</v>
      </c>
    </row>
    <row r="606" spans="1:25" ht="69.650000000000006" hidden="1" customHeight="1">
      <c r="A606" t="str">
        <f>+Table1[[#This Row],[Tabela]]&amp;Table1[[#This Row],[Campo]]</f>
        <v>modesg_out_bens_imoveisscp2_emss</v>
      </c>
      <c r="B606" s="2" t="s">
        <v>26</v>
      </c>
      <c r="C606" s="2" t="s">
        <v>310</v>
      </c>
      <c r="D606" s="2" t="s">
        <v>312</v>
      </c>
      <c r="E606" s="2" t="s">
        <v>38</v>
      </c>
      <c r="F606" s="2" t="s">
        <v>311</v>
      </c>
      <c r="G606" s="2" t="s">
        <v>286</v>
      </c>
      <c r="H606" s="56" t="str">
        <f>Table1[[#This Row],[Tabela]]&amp;Table1[[#This Row],[Campo]]</f>
        <v>modesg_out_bens_imoveisscp2_emss</v>
      </c>
      <c r="I606" s="2" t="s">
        <v>612</v>
      </c>
      <c r="J606" s="42">
        <f>VLOOKUP(Table1[[#This Row],[Status]],Auxiliar!$B$16:$C$24,2,0)</f>
        <v>1</v>
      </c>
      <c r="K606" s="2" t="s">
        <v>1169</v>
      </c>
      <c r="L606" s="28" t="s">
        <v>1166</v>
      </c>
      <c r="M606" s="20" t="s">
        <v>1176</v>
      </c>
      <c r="N606" s="47">
        <v>45611</v>
      </c>
      <c r="O606" s="20">
        <f>INDEX(Auxiliar!$D$5:$F$13,MATCH(Table1[[#This Row],[Tipologia_Testes]],Auxiliar!$B$5:$B$13,0),MATCH(Table1[[#This Row],[Complexidade]],Auxiliar!$D$4:$F$4,0))</f>
        <v>4</v>
      </c>
      <c r="P606" s="22"/>
      <c r="Q606" s="2"/>
      <c r="R606" s="151">
        <v>45569</v>
      </c>
      <c r="S606" s="151"/>
      <c r="T606" s="151">
        <v>45604</v>
      </c>
      <c r="U606" s="151">
        <v>45600</v>
      </c>
      <c r="V606" s="151">
        <v>45601</v>
      </c>
      <c r="W606" s="2">
        <f>VLOOKUP(Table1[[#This Row],[Status]],Auxiliar!$B$16:$D$24,3,0)*Table1[[#This Row],[Estimação (horas)]]</f>
        <v>4</v>
      </c>
      <c r="X606" s="165">
        <f>+VLOOKUP(CONCATENATE(Table1[[#This Row],[Tabela]],Table1[[#This Row],[Campo]]),'2. Status Detalhe Campos FY24'!A:J,9,FALSE)</f>
        <v>0</v>
      </c>
      <c r="Y606" s="491" t="e">
        <f>+VLOOKUP(A606,#REF!,1,FALSE)</f>
        <v>#REF!</v>
      </c>
    </row>
    <row r="607" spans="1:25" ht="17.899999999999999" hidden="1" customHeight="1">
      <c r="A607" t="str">
        <f>+Table1[[#This Row],[Tabela]]&amp;Table1[[#This Row],[Campo]]</f>
        <v>modesg_out_bens_imoveisscp2_emss</v>
      </c>
      <c r="B607" s="2" t="s">
        <v>26</v>
      </c>
      <c r="C607" s="2" t="s">
        <v>310</v>
      </c>
      <c r="D607" s="2" t="s">
        <v>312</v>
      </c>
      <c r="E607" s="2" t="s">
        <v>38</v>
      </c>
      <c r="F607" s="2" t="s">
        <v>311</v>
      </c>
      <c r="G607" s="2" t="s">
        <v>286</v>
      </c>
      <c r="H607" s="56" t="str">
        <f>Table1[[#This Row],[Tabela]]&amp;Table1[[#This Row],[Campo]]</f>
        <v>modesg_out_bens_imoveisscp2_emss</v>
      </c>
      <c r="I607" s="2" t="s">
        <v>612</v>
      </c>
      <c r="J607" s="42">
        <f>VLOOKUP(Table1[[#This Row],[Status]],Auxiliar!$B$16:$C$24,2,0)</f>
        <v>1</v>
      </c>
      <c r="K607" s="2" t="s">
        <v>1171</v>
      </c>
      <c r="L607" s="28" t="s">
        <v>1166</v>
      </c>
      <c r="M607" s="20" t="s">
        <v>1176</v>
      </c>
      <c r="N607" s="47">
        <v>45611</v>
      </c>
      <c r="O607" s="20">
        <f>INDEX(Auxiliar!$D$5:$F$13,MATCH(Table1[[#This Row],[Tipologia_Testes]],Auxiliar!$B$5:$B$13,0),MATCH(Table1[[#This Row],[Complexidade]],Auxiliar!$D$4:$F$4,0))</f>
        <v>0.1</v>
      </c>
      <c r="P607" s="22"/>
      <c r="Q607" s="2"/>
      <c r="R607" s="151">
        <v>45569</v>
      </c>
      <c r="S607" s="151"/>
      <c r="T607" s="151">
        <v>45604</v>
      </c>
      <c r="U607" s="151">
        <v>45600</v>
      </c>
      <c r="V607" s="151">
        <v>45601</v>
      </c>
      <c r="W607" s="2">
        <f>VLOOKUP(Table1[[#This Row],[Status]],Auxiliar!$B$16:$D$24,3,0)*Table1[[#This Row],[Estimação (horas)]]</f>
        <v>0.1</v>
      </c>
      <c r="X607" s="165">
        <f>+VLOOKUP(CONCATENATE(Table1[[#This Row],[Tabela]],Table1[[#This Row],[Campo]]),'2. Status Detalhe Campos FY24'!A:J,9,FALSE)</f>
        <v>0</v>
      </c>
      <c r="Y607" s="491" t="e">
        <f>+VLOOKUP(A607,#REF!,1,FALSE)</f>
        <v>#REF!</v>
      </c>
    </row>
    <row r="608" spans="1:25" ht="17.899999999999999" hidden="1" customHeight="1">
      <c r="A608" t="str">
        <f>+Table1[[#This Row],[Tabela]]&amp;Table1[[#This Row],[Campo]]</f>
        <v>modesg_out_bens_imoveisscp3_emss</v>
      </c>
      <c r="B608" s="2" t="s">
        <v>26</v>
      </c>
      <c r="C608" s="2" t="s">
        <v>310</v>
      </c>
      <c r="D608" s="2" t="s">
        <v>312</v>
      </c>
      <c r="E608" s="2" t="s">
        <v>38</v>
      </c>
      <c r="F608" s="2" t="s">
        <v>311</v>
      </c>
      <c r="G608" s="2" t="s">
        <v>287</v>
      </c>
      <c r="H608" s="56" t="str">
        <f>Table1[[#This Row],[Tabela]]&amp;Table1[[#This Row],[Campo]]</f>
        <v>modesg_out_bens_imoveisscp3_emss</v>
      </c>
      <c r="I608" s="3" t="s">
        <v>612</v>
      </c>
      <c r="J608" s="54">
        <f>VLOOKUP(Table1[[#This Row],[Status]],Auxiliar!$B$16:$C$24,2,0)</f>
        <v>1</v>
      </c>
      <c r="K608" s="2" t="s">
        <v>1168</v>
      </c>
      <c r="L608" s="28" t="s">
        <v>1174</v>
      </c>
      <c r="M608" s="20" t="s">
        <v>1175</v>
      </c>
      <c r="N608" s="47">
        <v>45485</v>
      </c>
      <c r="O608" s="20">
        <f>INDEX(Auxiliar!$D$5:$F$13,MATCH(Table1[[#This Row],[Tipologia_Testes]],Auxiliar!$B$5:$B$13,0),MATCH(Table1[[#This Row],[Complexidade]],Auxiliar!$D$4:$F$4,0))</f>
        <v>2</v>
      </c>
      <c r="P608" s="22"/>
      <c r="Q608" s="2" t="s">
        <v>1185</v>
      </c>
      <c r="R608" s="151">
        <v>45261</v>
      </c>
      <c r="S608" s="151"/>
      <c r="T608" s="151"/>
      <c r="U608" s="151"/>
      <c r="V608" s="151"/>
      <c r="W608" s="2">
        <f>VLOOKUP(Table1[[#This Row],[Status]],Auxiliar!$B$16:$D$24,3,0)*Table1[[#This Row],[Estimação (horas)]]</f>
        <v>2</v>
      </c>
      <c r="X608" s="165">
        <f>+VLOOKUP(CONCATENATE(Table1[[#This Row],[Tabela]],Table1[[#This Row],[Campo]]),'2. Status Detalhe Campos FY24'!A:J,9,FALSE)</f>
        <v>0</v>
      </c>
      <c r="Y608" s="491" t="e">
        <f>+VLOOKUP(A608,#REF!,1,FALSE)</f>
        <v>#REF!</v>
      </c>
    </row>
    <row r="609" spans="1:25" ht="17.899999999999999" hidden="1" customHeight="1">
      <c r="A609" t="str">
        <f>+Table1[[#This Row],[Tabela]]&amp;Table1[[#This Row],[Campo]]</f>
        <v>modesg_out_bens_imoveisscp3_emss</v>
      </c>
      <c r="B609" s="2" t="s">
        <v>26</v>
      </c>
      <c r="C609" s="2" t="s">
        <v>310</v>
      </c>
      <c r="D609" s="2" t="s">
        <v>312</v>
      </c>
      <c r="E609" s="2" t="s">
        <v>38</v>
      </c>
      <c r="F609" s="2" t="s">
        <v>311</v>
      </c>
      <c r="G609" s="2" t="s">
        <v>287</v>
      </c>
      <c r="H609" s="56" t="str">
        <f>Table1[[#This Row],[Tabela]]&amp;Table1[[#This Row],[Campo]]</f>
        <v>modesg_out_bens_imoveisscp3_emss</v>
      </c>
      <c r="I609" s="3" t="s">
        <v>612</v>
      </c>
      <c r="J609" s="54">
        <f>VLOOKUP(Table1[[#This Row],[Status]],Auxiliar!$B$16:$C$24,2,0)</f>
        <v>1</v>
      </c>
      <c r="K609" s="2" t="s">
        <v>1169</v>
      </c>
      <c r="L609" s="28" t="s">
        <v>1174</v>
      </c>
      <c r="M609" s="20" t="s">
        <v>1175</v>
      </c>
      <c r="N609" s="47">
        <v>45485</v>
      </c>
      <c r="O609" s="20">
        <f>INDEX(Auxiliar!$D$5:$F$13,MATCH(Table1[[#This Row],[Tipologia_Testes]],Auxiliar!$B$5:$B$13,0),MATCH(Table1[[#This Row],[Complexidade]],Auxiliar!$D$4:$F$4,0))</f>
        <v>2</v>
      </c>
      <c r="P609" s="22"/>
      <c r="Q609" s="2" t="s">
        <v>1185</v>
      </c>
      <c r="R609" s="151">
        <v>45261</v>
      </c>
      <c r="S609" s="151"/>
      <c r="T609" s="151"/>
      <c r="U609" s="151"/>
      <c r="V609" s="151"/>
      <c r="W609" s="2">
        <f>VLOOKUP(Table1[[#This Row],[Status]],Auxiliar!$B$16:$D$24,3,0)*Table1[[#This Row],[Estimação (horas)]]</f>
        <v>2</v>
      </c>
      <c r="X609" s="165">
        <f>+VLOOKUP(CONCATENATE(Table1[[#This Row],[Tabela]],Table1[[#This Row],[Campo]]),'2. Status Detalhe Campos FY24'!A:J,9,FALSE)</f>
        <v>0</v>
      </c>
      <c r="Y609" s="491" t="e">
        <f>+VLOOKUP(A609,#REF!,1,FALSE)</f>
        <v>#REF!</v>
      </c>
    </row>
    <row r="610" spans="1:25" ht="52.4" hidden="1" customHeight="1">
      <c r="A610" t="str">
        <f>+Table1[[#This Row],[Tabela]]&amp;Table1[[#This Row],[Campo]]</f>
        <v>modesg_out_bens_imoveisscp3_emss</v>
      </c>
      <c r="B610" s="2" t="s">
        <v>26</v>
      </c>
      <c r="C610" s="2" t="s">
        <v>310</v>
      </c>
      <c r="D610" s="2" t="s">
        <v>312</v>
      </c>
      <c r="E610" s="2" t="s">
        <v>38</v>
      </c>
      <c r="F610" s="2" t="s">
        <v>311</v>
      </c>
      <c r="G610" s="2" t="s">
        <v>287</v>
      </c>
      <c r="H610" s="56" t="str">
        <f>Table1[[#This Row],[Tabela]]&amp;Table1[[#This Row],[Campo]]</f>
        <v>modesg_out_bens_imoveisscp3_emss</v>
      </c>
      <c r="I610" s="3" t="s">
        <v>612</v>
      </c>
      <c r="J610" s="54">
        <f>VLOOKUP(Table1[[#This Row],[Status]],Auxiliar!$B$16:$C$24,2,0)</f>
        <v>1</v>
      </c>
      <c r="K610" s="2" t="s">
        <v>1171</v>
      </c>
      <c r="L610" s="28" t="s">
        <v>1174</v>
      </c>
      <c r="M610" s="20" t="s">
        <v>1175</v>
      </c>
      <c r="N610" s="47">
        <v>45485</v>
      </c>
      <c r="O610" s="20">
        <f>INDEX(Auxiliar!$D$5:$F$13,MATCH(Table1[[#This Row],[Tipologia_Testes]],Auxiliar!$B$5:$B$13,0),MATCH(Table1[[#This Row],[Complexidade]],Auxiliar!$D$4:$F$4,0))</f>
        <v>0.1</v>
      </c>
      <c r="P610" s="22"/>
      <c r="Q610" s="2" t="s">
        <v>1185</v>
      </c>
      <c r="R610" s="151">
        <v>45261</v>
      </c>
      <c r="S610" s="151"/>
      <c r="T610" s="151"/>
      <c r="U610" s="151"/>
      <c r="V610" s="151"/>
      <c r="W610" s="2">
        <f>VLOOKUP(Table1[[#This Row],[Status]],Auxiliar!$B$16:$D$24,3,0)*Table1[[#This Row],[Estimação (horas)]]</f>
        <v>0.1</v>
      </c>
      <c r="X610" s="165">
        <f>+VLOOKUP(CONCATENATE(Table1[[#This Row],[Tabela]],Table1[[#This Row],[Campo]]),'2. Status Detalhe Campos FY24'!A:J,9,FALSE)</f>
        <v>0</v>
      </c>
      <c r="Y610" s="491" t="e">
        <f>+VLOOKUP(A610,#REF!,1,FALSE)</f>
        <v>#REF!</v>
      </c>
    </row>
    <row r="611" spans="1:25" ht="52.4" hidden="1" customHeight="1">
      <c r="A611" t="str">
        <f>+Table1[[#This Row],[Tabela]]&amp;Table1[[#This Row],[Campo]]</f>
        <v>modesg_out_bens_imoveisunidade_funcional_scp1_emss</v>
      </c>
      <c r="B611" s="2" t="s">
        <v>26</v>
      </c>
      <c r="C611" s="2" t="s">
        <v>310</v>
      </c>
      <c r="D611" s="2" t="s">
        <v>312</v>
      </c>
      <c r="E611" s="2" t="s">
        <v>38</v>
      </c>
      <c r="F611" s="2" t="s">
        <v>311</v>
      </c>
      <c r="G611" s="2" t="s">
        <v>322</v>
      </c>
      <c r="H611" s="56" t="str">
        <f>Table1[[#This Row],[Tabela]]&amp;Table1[[#This Row],[Campo]]</f>
        <v>modesg_out_bens_imoveisunidade_funcional_scp1_emss</v>
      </c>
      <c r="I611" s="2" t="s">
        <v>612</v>
      </c>
      <c r="J611" s="42">
        <f>VLOOKUP(Table1[[#This Row],[Status]],Auxiliar!$B$16:$C$24,2,0)</f>
        <v>1</v>
      </c>
      <c r="K611" s="2" t="s">
        <v>1168</v>
      </c>
      <c r="L611" s="28" t="s">
        <v>1166</v>
      </c>
      <c r="M611" s="20" t="s">
        <v>1175</v>
      </c>
      <c r="N611" s="47">
        <v>45611</v>
      </c>
      <c r="O611" s="20">
        <f>INDEX(Auxiliar!$D$5:$F$13,MATCH(Table1[[#This Row],[Tipologia_Testes]],Auxiliar!$B$5:$B$13,0),MATCH(Table1[[#This Row],[Complexidade]],Auxiliar!$D$4:$F$4,0))</f>
        <v>2</v>
      </c>
      <c r="P611" s="22"/>
      <c r="Q611" s="2"/>
      <c r="R611" s="151">
        <v>45569</v>
      </c>
      <c r="S611" s="151"/>
      <c r="T611" s="151">
        <v>45604</v>
      </c>
      <c r="U611" s="151">
        <v>45600</v>
      </c>
      <c r="V611" s="151">
        <v>45601</v>
      </c>
      <c r="W611" s="2">
        <f>VLOOKUP(Table1[[#This Row],[Status]],Auxiliar!$B$16:$D$24,3,0)*Table1[[#This Row],[Estimação (horas)]]</f>
        <v>2</v>
      </c>
      <c r="X611" s="165">
        <f>+VLOOKUP(CONCATENATE(Table1[[#This Row],[Tabela]],Table1[[#This Row],[Campo]]),'2. Status Detalhe Campos FY24'!A:J,9,FALSE)</f>
        <v>0</v>
      </c>
      <c r="Y611" s="491" t="e">
        <f>+VLOOKUP(A611,#REF!,1,FALSE)</f>
        <v>#REF!</v>
      </c>
    </row>
    <row r="612" spans="1:25" ht="52.4" hidden="1" customHeight="1">
      <c r="A612" t="str">
        <f>+Table1[[#This Row],[Tabela]]&amp;Table1[[#This Row],[Campo]]</f>
        <v>modesg_out_bens_imoveisunidade_funcional_scp1_emss</v>
      </c>
      <c r="B612" s="2" t="s">
        <v>26</v>
      </c>
      <c r="C612" s="2" t="s">
        <v>310</v>
      </c>
      <c r="D612" s="2" t="s">
        <v>312</v>
      </c>
      <c r="E612" s="2" t="s">
        <v>38</v>
      </c>
      <c r="F612" s="2" t="s">
        <v>311</v>
      </c>
      <c r="G612" s="2" t="s">
        <v>322</v>
      </c>
      <c r="H612" s="56" t="str">
        <f>Table1[[#This Row],[Tabela]]&amp;Table1[[#This Row],[Campo]]</f>
        <v>modesg_out_bens_imoveisunidade_funcional_scp1_emss</v>
      </c>
      <c r="I612" s="2" t="s">
        <v>612</v>
      </c>
      <c r="J612" s="42">
        <f>VLOOKUP(Table1[[#This Row],[Status]],Auxiliar!$B$16:$C$24,2,0)</f>
        <v>1</v>
      </c>
      <c r="K612" s="2" t="s">
        <v>1169</v>
      </c>
      <c r="L612" s="28" t="s">
        <v>1166</v>
      </c>
      <c r="M612" s="20" t="s">
        <v>1175</v>
      </c>
      <c r="N612" s="47">
        <v>45611</v>
      </c>
      <c r="O612" s="20">
        <f>INDEX(Auxiliar!$D$5:$F$13,MATCH(Table1[[#This Row],[Tipologia_Testes]],Auxiliar!$B$5:$B$13,0),MATCH(Table1[[#This Row],[Complexidade]],Auxiliar!$D$4:$F$4,0))</f>
        <v>2</v>
      </c>
      <c r="P612" s="22"/>
      <c r="Q612" s="2"/>
      <c r="R612" s="151">
        <v>45569</v>
      </c>
      <c r="S612" s="151"/>
      <c r="T612" s="151">
        <v>45604</v>
      </c>
      <c r="U612" s="151">
        <v>45600</v>
      </c>
      <c r="V612" s="151">
        <v>45601</v>
      </c>
      <c r="W612" s="2">
        <f>VLOOKUP(Table1[[#This Row],[Status]],Auxiliar!$B$16:$D$24,3,0)*Table1[[#This Row],[Estimação (horas)]]</f>
        <v>2</v>
      </c>
      <c r="X612" s="165">
        <f>+VLOOKUP(CONCATENATE(Table1[[#This Row],[Tabela]],Table1[[#This Row],[Campo]]),'2. Status Detalhe Campos FY24'!A:J,9,FALSE)</f>
        <v>0</v>
      </c>
      <c r="Y612" s="491" t="e">
        <f>+VLOOKUP(A612,#REF!,1,FALSE)</f>
        <v>#REF!</v>
      </c>
    </row>
    <row r="613" spans="1:25" ht="52.4" hidden="1" customHeight="1">
      <c r="A613" t="str">
        <f>+Table1[[#This Row],[Tabela]]&amp;Table1[[#This Row],[Campo]]</f>
        <v>modesg_out_bens_imoveisunidade_funcional_scp1_emss</v>
      </c>
      <c r="B613" s="2" t="s">
        <v>26</v>
      </c>
      <c r="C613" s="2" t="s">
        <v>310</v>
      </c>
      <c r="D613" s="2" t="s">
        <v>312</v>
      </c>
      <c r="E613" s="2" t="s">
        <v>38</v>
      </c>
      <c r="F613" s="2" t="s">
        <v>311</v>
      </c>
      <c r="G613" s="2" t="s">
        <v>322</v>
      </c>
      <c r="H613" s="56" t="str">
        <f>Table1[[#This Row],[Tabela]]&amp;Table1[[#This Row],[Campo]]</f>
        <v>modesg_out_bens_imoveisunidade_funcional_scp1_emss</v>
      </c>
      <c r="I613" s="2" t="s">
        <v>612</v>
      </c>
      <c r="J613" s="42">
        <f>VLOOKUP(Table1[[#This Row],[Status]],Auxiliar!$B$16:$C$24,2,0)</f>
        <v>1</v>
      </c>
      <c r="K613" s="2" t="s">
        <v>1171</v>
      </c>
      <c r="L613" s="28" t="s">
        <v>1166</v>
      </c>
      <c r="M613" s="20" t="s">
        <v>1175</v>
      </c>
      <c r="N613" s="47">
        <v>45611</v>
      </c>
      <c r="O613" s="20">
        <f>INDEX(Auxiliar!$D$5:$F$13,MATCH(Table1[[#This Row],[Tipologia_Testes]],Auxiliar!$B$5:$B$13,0),MATCH(Table1[[#This Row],[Complexidade]],Auxiliar!$D$4:$F$4,0))</f>
        <v>0.1</v>
      </c>
      <c r="P613" s="22"/>
      <c r="Q613" s="2"/>
      <c r="R613" s="151">
        <v>45569</v>
      </c>
      <c r="S613" s="151"/>
      <c r="T613" s="151">
        <v>45604</v>
      </c>
      <c r="U613" s="151">
        <v>45600</v>
      </c>
      <c r="V613" s="151">
        <v>45601</v>
      </c>
      <c r="W613" s="2">
        <f>VLOOKUP(Table1[[#This Row],[Status]],Auxiliar!$B$16:$D$24,3,0)*Table1[[#This Row],[Estimação (horas)]]</f>
        <v>0.1</v>
      </c>
      <c r="X613" s="165">
        <f>+VLOOKUP(CONCATENATE(Table1[[#This Row],[Tabela]],Table1[[#This Row],[Campo]]),'2. Status Detalhe Campos FY24'!A:J,9,FALSE)</f>
        <v>0</v>
      </c>
      <c r="Y613" s="491" t="e">
        <f>+VLOOKUP(A613,#REF!,1,FALSE)</f>
        <v>#REF!</v>
      </c>
    </row>
    <row r="614" spans="1:25" ht="52.4" hidden="1" customHeight="1">
      <c r="A614" t="str">
        <f>+Table1[[#This Row],[Tabela]]&amp;Table1[[#This Row],[Campo]]</f>
        <v>modesg_out_bens_imoveisunidade_funcional_scp2_emss</v>
      </c>
      <c r="B614" s="2" t="s">
        <v>26</v>
      </c>
      <c r="C614" s="2" t="s">
        <v>310</v>
      </c>
      <c r="D614" s="2" t="s">
        <v>312</v>
      </c>
      <c r="E614" s="2" t="s">
        <v>38</v>
      </c>
      <c r="F614" s="2" t="s">
        <v>311</v>
      </c>
      <c r="G614" s="2" t="s">
        <v>323</v>
      </c>
      <c r="H614" s="56" t="str">
        <f>Table1[[#This Row],[Tabela]]&amp;Table1[[#This Row],[Campo]]</f>
        <v>modesg_out_bens_imoveisunidade_funcional_scp2_emss</v>
      </c>
      <c r="I614" s="2" t="s">
        <v>612</v>
      </c>
      <c r="J614" s="42">
        <f>VLOOKUP(Table1[[#This Row],[Status]],Auxiliar!$B$16:$C$24,2,0)</f>
        <v>1</v>
      </c>
      <c r="K614" s="2" t="s">
        <v>1168</v>
      </c>
      <c r="L614" s="28" t="s">
        <v>1166</v>
      </c>
      <c r="M614" s="20" t="s">
        <v>1175</v>
      </c>
      <c r="N614" s="47">
        <v>45611</v>
      </c>
      <c r="O614" s="20">
        <f>INDEX(Auxiliar!$D$5:$F$13,MATCH(Table1[[#This Row],[Tipologia_Testes]],Auxiliar!$B$5:$B$13,0),MATCH(Table1[[#This Row],[Complexidade]],Auxiliar!$D$4:$F$4,0))</f>
        <v>2</v>
      </c>
      <c r="P614" s="22"/>
      <c r="Q614" s="2"/>
      <c r="R614" s="151">
        <v>45569</v>
      </c>
      <c r="S614" s="151"/>
      <c r="T614" s="151">
        <v>45604</v>
      </c>
      <c r="U614" s="151">
        <v>45600</v>
      </c>
      <c r="V614" s="151">
        <v>45601</v>
      </c>
      <c r="W614" s="2">
        <f>VLOOKUP(Table1[[#This Row],[Status]],Auxiliar!$B$16:$D$24,3,0)*Table1[[#This Row],[Estimação (horas)]]</f>
        <v>2</v>
      </c>
      <c r="X614" s="165">
        <f>+VLOOKUP(CONCATENATE(Table1[[#This Row],[Tabela]],Table1[[#This Row],[Campo]]),'2. Status Detalhe Campos FY24'!A:J,9,FALSE)</f>
        <v>0</v>
      </c>
      <c r="Y614" s="491" t="e">
        <f>+VLOOKUP(A614,#REF!,1,FALSE)</f>
        <v>#REF!</v>
      </c>
    </row>
    <row r="615" spans="1:25" ht="52.4" hidden="1" customHeight="1">
      <c r="A615" t="str">
        <f>+Table1[[#This Row],[Tabela]]&amp;Table1[[#This Row],[Campo]]</f>
        <v>modesg_out_bens_imoveisunidade_funcional_scp2_emss</v>
      </c>
      <c r="B615" s="2" t="s">
        <v>26</v>
      </c>
      <c r="C615" s="2" t="s">
        <v>310</v>
      </c>
      <c r="D615" s="2" t="s">
        <v>312</v>
      </c>
      <c r="E615" s="2" t="s">
        <v>38</v>
      </c>
      <c r="F615" s="2" t="s">
        <v>311</v>
      </c>
      <c r="G615" s="2" t="s">
        <v>323</v>
      </c>
      <c r="H615" s="56" t="str">
        <f>Table1[[#This Row],[Tabela]]&amp;Table1[[#This Row],[Campo]]</f>
        <v>modesg_out_bens_imoveisunidade_funcional_scp2_emss</v>
      </c>
      <c r="I615" s="2" t="s">
        <v>612</v>
      </c>
      <c r="J615" s="42">
        <f>VLOOKUP(Table1[[#This Row],[Status]],Auxiliar!$B$16:$C$24,2,0)</f>
        <v>1</v>
      </c>
      <c r="K615" s="2" t="s">
        <v>1169</v>
      </c>
      <c r="L615" s="28" t="s">
        <v>1166</v>
      </c>
      <c r="M615" s="20" t="s">
        <v>1175</v>
      </c>
      <c r="N615" s="47">
        <v>45611</v>
      </c>
      <c r="O615" s="20">
        <f>INDEX(Auxiliar!$D$5:$F$13,MATCH(Table1[[#This Row],[Tipologia_Testes]],Auxiliar!$B$5:$B$13,0),MATCH(Table1[[#This Row],[Complexidade]],Auxiliar!$D$4:$F$4,0))</f>
        <v>2</v>
      </c>
      <c r="P615" s="22"/>
      <c r="Q615" s="2"/>
      <c r="R615" s="151">
        <v>45569</v>
      </c>
      <c r="S615" s="151"/>
      <c r="T615" s="151">
        <v>45604</v>
      </c>
      <c r="U615" s="151">
        <v>45600</v>
      </c>
      <c r="V615" s="151">
        <v>45601</v>
      </c>
      <c r="W615" s="2">
        <f>VLOOKUP(Table1[[#This Row],[Status]],Auxiliar!$B$16:$D$24,3,0)*Table1[[#This Row],[Estimação (horas)]]</f>
        <v>2</v>
      </c>
      <c r="X615" s="165">
        <f>+VLOOKUP(CONCATENATE(Table1[[#This Row],[Tabela]],Table1[[#This Row],[Campo]]),'2. Status Detalhe Campos FY24'!A:J,9,FALSE)</f>
        <v>0</v>
      </c>
      <c r="Y615" s="491" t="e">
        <f>+VLOOKUP(A615,#REF!,1,FALSE)</f>
        <v>#REF!</v>
      </c>
    </row>
    <row r="616" spans="1:25" ht="52.4" hidden="1" customHeight="1">
      <c r="A616" t="str">
        <f>+Table1[[#This Row],[Tabela]]&amp;Table1[[#This Row],[Campo]]</f>
        <v>modesg_out_bens_imoveisunidade_funcional_scp2_emss</v>
      </c>
      <c r="B616" s="2" t="s">
        <v>26</v>
      </c>
      <c r="C616" s="2" t="s">
        <v>310</v>
      </c>
      <c r="D616" s="2" t="s">
        <v>312</v>
      </c>
      <c r="E616" s="2" t="s">
        <v>38</v>
      </c>
      <c r="F616" s="2" t="s">
        <v>311</v>
      </c>
      <c r="G616" s="2" t="s">
        <v>323</v>
      </c>
      <c r="H616" s="56" t="str">
        <f>Table1[[#This Row],[Tabela]]&amp;Table1[[#This Row],[Campo]]</f>
        <v>modesg_out_bens_imoveisunidade_funcional_scp2_emss</v>
      </c>
      <c r="I616" s="2" t="s">
        <v>612</v>
      </c>
      <c r="J616" s="42">
        <f>VLOOKUP(Table1[[#This Row],[Status]],Auxiliar!$B$16:$C$24,2,0)</f>
        <v>1</v>
      </c>
      <c r="K616" s="2" t="s">
        <v>1171</v>
      </c>
      <c r="L616" s="28" t="s">
        <v>1166</v>
      </c>
      <c r="M616" s="20" t="s">
        <v>1175</v>
      </c>
      <c r="N616" s="47">
        <v>45611</v>
      </c>
      <c r="O616" s="20">
        <f>INDEX(Auxiliar!$D$5:$F$13,MATCH(Table1[[#This Row],[Tipologia_Testes]],Auxiliar!$B$5:$B$13,0),MATCH(Table1[[#This Row],[Complexidade]],Auxiliar!$D$4:$F$4,0))</f>
        <v>0.1</v>
      </c>
      <c r="P616" s="22"/>
      <c r="Q616" s="2"/>
      <c r="R616" s="151">
        <v>45569</v>
      </c>
      <c r="S616" s="151"/>
      <c r="T616" s="151">
        <v>45604</v>
      </c>
      <c r="U616" s="151">
        <v>45600</v>
      </c>
      <c r="V616" s="151">
        <v>45601</v>
      </c>
      <c r="W616" s="2">
        <f>VLOOKUP(Table1[[#This Row],[Status]],Auxiliar!$B$16:$D$24,3,0)*Table1[[#This Row],[Estimação (horas)]]</f>
        <v>0.1</v>
      </c>
      <c r="X616" s="165">
        <f>+VLOOKUP(CONCATENATE(Table1[[#This Row],[Tabela]],Table1[[#This Row],[Campo]]),'2. Status Detalhe Campos FY24'!A:J,9,FALSE)</f>
        <v>0</v>
      </c>
      <c r="Y616" s="491" t="e">
        <f>+VLOOKUP(A616,#REF!,1,FALSE)</f>
        <v>#REF!</v>
      </c>
    </row>
    <row r="617" spans="1:25" ht="52.4" hidden="1" customHeight="1">
      <c r="A617" t="str">
        <f>+Table1[[#This Row],[Tabela]]&amp;Table1[[#This Row],[Campo]]</f>
        <v>modesg_out_bens_imoveisunidade_funcional_scp3_emss</v>
      </c>
      <c r="B617" s="2" t="s">
        <v>26</v>
      </c>
      <c r="C617" s="2" t="s">
        <v>310</v>
      </c>
      <c r="D617" s="2" t="s">
        <v>312</v>
      </c>
      <c r="E617" s="2" t="s">
        <v>38</v>
      </c>
      <c r="F617" s="2" t="s">
        <v>311</v>
      </c>
      <c r="G617" s="2" t="s">
        <v>324</v>
      </c>
      <c r="H617" s="56" t="str">
        <f>Table1[[#This Row],[Tabela]]&amp;Table1[[#This Row],[Campo]]</f>
        <v>modesg_out_bens_imoveisunidade_funcional_scp3_emss</v>
      </c>
      <c r="I617" s="2" t="s">
        <v>612</v>
      </c>
      <c r="J617" s="42">
        <f>VLOOKUP(Table1[[#This Row],[Status]],Auxiliar!$B$16:$C$24,2,0)</f>
        <v>1</v>
      </c>
      <c r="K617" s="2" t="s">
        <v>1168</v>
      </c>
      <c r="L617" s="28" t="s">
        <v>1166</v>
      </c>
      <c r="M617" s="20" t="s">
        <v>1175</v>
      </c>
      <c r="N617" s="47">
        <v>45604</v>
      </c>
      <c r="O617" s="20">
        <f>INDEX(Auxiliar!$D$5:$F$13,MATCH(Table1[[#This Row],[Tipologia_Testes]],Auxiliar!$B$5:$B$13,0),MATCH(Table1[[#This Row],[Complexidade]],Auxiliar!$D$4:$F$4,0))</f>
        <v>2</v>
      </c>
      <c r="P617" s="22"/>
      <c r="Q617" s="2"/>
      <c r="R617" s="151">
        <v>45569</v>
      </c>
      <c r="S617" s="151"/>
      <c r="T617" s="151">
        <v>45569</v>
      </c>
      <c r="U617" s="151">
        <v>45600</v>
      </c>
      <c r="V617" s="151">
        <v>45601</v>
      </c>
      <c r="W617" s="2">
        <f>VLOOKUP(Table1[[#This Row],[Status]],Auxiliar!$B$16:$D$24,3,0)*Table1[[#This Row],[Estimação (horas)]]</f>
        <v>2</v>
      </c>
      <c r="X617" s="165">
        <f>+VLOOKUP(CONCATENATE(Table1[[#This Row],[Tabela]],Table1[[#This Row],[Campo]]),'2. Status Detalhe Campos FY24'!A:J,9,FALSE)</f>
        <v>0</v>
      </c>
      <c r="Y617" s="491" t="e">
        <f>+VLOOKUP(A617,#REF!,1,FALSE)</f>
        <v>#REF!</v>
      </c>
    </row>
    <row r="618" spans="1:25" ht="52.4" hidden="1" customHeight="1">
      <c r="A618" t="str">
        <f>+Table1[[#This Row],[Tabela]]&amp;Table1[[#This Row],[Campo]]</f>
        <v>modesg_out_bens_imoveisunidade_funcional_scp3_emss</v>
      </c>
      <c r="B618" s="2" t="s">
        <v>26</v>
      </c>
      <c r="C618" s="2" t="s">
        <v>310</v>
      </c>
      <c r="D618" s="2" t="s">
        <v>312</v>
      </c>
      <c r="E618" s="2" t="s">
        <v>38</v>
      </c>
      <c r="F618" s="2" t="s">
        <v>311</v>
      </c>
      <c r="G618" s="2" t="s">
        <v>324</v>
      </c>
      <c r="H618" s="56" t="str">
        <f>Table1[[#This Row],[Tabela]]&amp;Table1[[#This Row],[Campo]]</f>
        <v>modesg_out_bens_imoveisunidade_funcional_scp3_emss</v>
      </c>
      <c r="I618" s="2" t="s">
        <v>612</v>
      </c>
      <c r="J618" s="42">
        <f>VLOOKUP(Table1[[#This Row],[Status]],Auxiliar!$B$16:$C$24,2,0)</f>
        <v>1</v>
      </c>
      <c r="K618" s="2" t="s">
        <v>1169</v>
      </c>
      <c r="L618" s="28" t="s">
        <v>1166</v>
      </c>
      <c r="M618" s="20" t="s">
        <v>1175</v>
      </c>
      <c r="N618" s="47">
        <v>45604</v>
      </c>
      <c r="O618" s="20">
        <f>INDEX(Auxiliar!$D$5:$F$13,MATCH(Table1[[#This Row],[Tipologia_Testes]],Auxiliar!$B$5:$B$13,0),MATCH(Table1[[#This Row],[Complexidade]],Auxiliar!$D$4:$F$4,0))</f>
        <v>2</v>
      </c>
      <c r="P618" s="22"/>
      <c r="Q618" s="2"/>
      <c r="R618" s="151">
        <v>45569</v>
      </c>
      <c r="S618" s="151"/>
      <c r="T618" s="151">
        <v>45569</v>
      </c>
      <c r="U618" s="151">
        <v>45600</v>
      </c>
      <c r="V618" s="151">
        <v>45601</v>
      </c>
      <c r="W618" s="2">
        <f>VLOOKUP(Table1[[#This Row],[Status]],Auxiliar!$B$16:$D$24,3,0)*Table1[[#This Row],[Estimação (horas)]]</f>
        <v>2</v>
      </c>
      <c r="X618" s="165">
        <f>+VLOOKUP(CONCATENATE(Table1[[#This Row],[Tabela]],Table1[[#This Row],[Campo]]),'2. Status Detalhe Campos FY24'!A:J,9,FALSE)</f>
        <v>0</v>
      </c>
      <c r="Y618" s="491" t="e">
        <f>+VLOOKUP(A618,#REF!,1,FALSE)</f>
        <v>#REF!</v>
      </c>
    </row>
    <row r="619" spans="1:25" ht="17.149999999999999" hidden="1" customHeight="1">
      <c r="A619" t="str">
        <f>+Table1[[#This Row],[Tabela]]&amp;Table1[[#This Row],[Campo]]</f>
        <v>modesg_out_bens_imoveisunidade_funcional_scp3_emss</v>
      </c>
      <c r="B619" s="2" t="s">
        <v>26</v>
      </c>
      <c r="C619" s="2" t="s">
        <v>310</v>
      </c>
      <c r="D619" s="2" t="s">
        <v>312</v>
      </c>
      <c r="E619" s="2" t="s">
        <v>38</v>
      </c>
      <c r="F619" s="2" t="s">
        <v>311</v>
      </c>
      <c r="G619" s="2" t="s">
        <v>324</v>
      </c>
      <c r="H619" s="56" t="str">
        <f>Table1[[#This Row],[Tabela]]&amp;Table1[[#This Row],[Campo]]</f>
        <v>modesg_out_bens_imoveisunidade_funcional_scp3_emss</v>
      </c>
      <c r="I619" s="2" t="s">
        <v>612</v>
      </c>
      <c r="J619" s="42">
        <f>VLOOKUP(Table1[[#This Row],[Status]],Auxiliar!$B$16:$C$24,2,0)</f>
        <v>1</v>
      </c>
      <c r="K619" s="2" t="s">
        <v>1171</v>
      </c>
      <c r="L619" s="28" t="s">
        <v>1166</v>
      </c>
      <c r="M619" s="20" t="s">
        <v>1175</v>
      </c>
      <c r="N619" s="47">
        <v>45604</v>
      </c>
      <c r="O619" s="20">
        <f>INDEX(Auxiliar!$D$5:$F$13,MATCH(Table1[[#This Row],[Tipologia_Testes]],Auxiliar!$B$5:$B$13,0),MATCH(Table1[[#This Row],[Complexidade]],Auxiliar!$D$4:$F$4,0))</f>
        <v>0.1</v>
      </c>
      <c r="P619" s="22"/>
      <c r="Q619" s="2"/>
      <c r="R619" s="151">
        <v>45569</v>
      </c>
      <c r="S619" s="151"/>
      <c r="T619" s="151">
        <v>45569</v>
      </c>
      <c r="U619" s="151">
        <v>45600</v>
      </c>
      <c r="V619" s="151">
        <v>45601</v>
      </c>
      <c r="W619" s="2">
        <f>VLOOKUP(Table1[[#This Row],[Status]],Auxiliar!$B$16:$D$24,3,0)*Table1[[#This Row],[Estimação (horas)]]</f>
        <v>0.1</v>
      </c>
      <c r="X619" s="165">
        <f>+VLOOKUP(CONCATENATE(Table1[[#This Row],[Tabela]],Table1[[#This Row],[Campo]]),'2. Status Detalhe Campos FY24'!A:J,9,FALSE)</f>
        <v>0</v>
      </c>
      <c r="Y619" s="491" t="e">
        <f>+VLOOKUP(A619,#REF!,1,FALSE)</f>
        <v>#REF!</v>
      </c>
    </row>
    <row r="620" spans="1:25" ht="17.899999999999999" hidden="1" customHeight="1">
      <c r="A620" t="str">
        <f>+Table1[[#This Row],[Tabela]]&amp;Table1[[#This Row],[Campo]]</f>
        <v>modesg_out_empr_info_nfinn.a.</v>
      </c>
      <c r="B620" s="2" t="s">
        <v>26</v>
      </c>
      <c r="C620" s="2" t="s">
        <v>310</v>
      </c>
      <c r="D620" s="2" t="s">
        <v>326</v>
      </c>
      <c r="E620" s="2" t="s">
        <v>38</v>
      </c>
      <c r="F620" s="2" t="s">
        <v>325</v>
      </c>
      <c r="G620" s="2" t="s">
        <v>38</v>
      </c>
      <c r="H620" s="56" t="str">
        <f>Table1[[#This Row],[Tabela]]&amp;Table1[[#This Row],[Campo]]</f>
        <v>modesg_out_empr_info_nfinn.a.</v>
      </c>
      <c r="I620" s="3" t="s">
        <v>612</v>
      </c>
      <c r="J620" s="54">
        <f>VLOOKUP(Table1[[#This Row],[Status]],Auxiliar!$B$16:$C$24,2,0)</f>
        <v>1</v>
      </c>
      <c r="K620" s="2" t="s">
        <v>1165</v>
      </c>
      <c r="L620" s="28" t="s">
        <v>1174</v>
      </c>
      <c r="M620" s="20" t="s">
        <v>1176</v>
      </c>
      <c r="N620" s="47">
        <v>45561</v>
      </c>
      <c r="O620" s="20">
        <f>INDEX(Auxiliar!$D$5:$F$13,MATCH(Table1[[#This Row],[Tipologia_Testes]],Auxiliar!$B$5:$B$13,0),MATCH(Table1[[#This Row],[Complexidade]],Auxiliar!$D$4:$F$4,0))</f>
        <v>8</v>
      </c>
      <c r="P620" s="22" t="s">
        <v>1199</v>
      </c>
      <c r="Q620" s="2"/>
      <c r="R620" s="151">
        <v>45512</v>
      </c>
      <c r="S620" s="151"/>
      <c r="T620" s="151">
        <v>45512</v>
      </c>
      <c r="U620" s="151"/>
      <c r="V620" s="151"/>
      <c r="W620" s="2">
        <f>VLOOKUP(Table1[[#This Row],[Status]],Auxiliar!$B$16:$D$24,3,0)*Table1[[#This Row],[Estimação (horas)]]</f>
        <v>8</v>
      </c>
      <c r="X620" s="165">
        <f>+VLOOKUP(CONCATENATE(Table1[[#This Row],[Tabela]],Table1[[#This Row],[Campo]]),'2. Status Detalhe Campos FY24'!A:J,9,FALSE)</f>
        <v>0</v>
      </c>
      <c r="Y620" s="491" t="e">
        <f>+VLOOKUP(A620,#REF!,1,FALSE)</f>
        <v>#REF!</v>
      </c>
    </row>
    <row r="621" spans="1:25" ht="17.899999999999999" hidden="1" customHeight="1">
      <c r="A621" t="str">
        <f>+Table1[[#This Row],[Tabela]]&amp;Table1[[#This Row],[Campo]]</f>
        <v>modesg_out_empr_info_nfincca_capex_enblng_algnd</v>
      </c>
      <c r="B621" s="2" t="s">
        <v>26</v>
      </c>
      <c r="C621" s="2" t="s">
        <v>310</v>
      </c>
      <c r="D621" s="2" t="s">
        <v>326</v>
      </c>
      <c r="E621" s="2" t="s">
        <v>38</v>
      </c>
      <c r="F621" s="2" t="s">
        <v>325</v>
      </c>
      <c r="G621" s="2" t="s">
        <v>249</v>
      </c>
      <c r="H621" s="56" t="str">
        <f>Table1[[#This Row],[Tabela]]&amp;Table1[[#This Row],[Campo]]</f>
        <v>modesg_out_empr_info_nfincca_capex_enblng_algnd</v>
      </c>
      <c r="I621" s="2" t="s">
        <v>612</v>
      </c>
      <c r="J621" s="42">
        <f>VLOOKUP(Table1[[#This Row],[Status]],Auxiliar!$B$16:$C$24,2,0)</f>
        <v>1</v>
      </c>
      <c r="K621" s="2" t="s">
        <v>1168</v>
      </c>
      <c r="L621" s="28" t="s">
        <v>1174</v>
      </c>
      <c r="M621" s="20" t="s">
        <v>1167</v>
      </c>
      <c r="N621" s="47">
        <v>45642</v>
      </c>
      <c r="O621" s="20">
        <f>INDEX(Auxiliar!$D$5:$F$13,MATCH(Table1[[#This Row],[Tipologia_Testes]],Auxiliar!$B$5:$B$13,0),MATCH(Table1[[#This Row],[Complexidade]],Auxiliar!$D$4:$F$4,0))</f>
        <v>8</v>
      </c>
      <c r="P621" s="2"/>
      <c r="Q621" s="2"/>
      <c r="R621" s="151">
        <v>45561</v>
      </c>
      <c r="S621" s="151"/>
      <c r="T621" s="151">
        <v>45561</v>
      </c>
      <c r="U621" s="151">
        <v>45614</v>
      </c>
      <c r="V621" s="151">
        <v>45615</v>
      </c>
      <c r="W621" s="2">
        <f>VLOOKUP(Table1[[#This Row],[Status]],Auxiliar!$B$16:$D$24,3,0)*Table1[[#This Row],[Estimação (horas)]]</f>
        <v>8</v>
      </c>
      <c r="X621" s="165">
        <f>+VLOOKUP(CONCATENATE(Table1[[#This Row],[Tabela]],Table1[[#This Row],[Campo]]),'2. Status Detalhe Campos FY24'!A:J,9,FALSE)</f>
        <v>0</v>
      </c>
      <c r="Y621" s="491" t="e">
        <f>+VLOOKUP(A621,#REF!,1,FALSE)</f>
        <v>#REF!</v>
      </c>
    </row>
    <row r="622" spans="1:25" ht="17.899999999999999" hidden="1" customHeight="1">
      <c r="A622" t="str">
        <f>+Table1[[#This Row],[Tabela]]&amp;Table1[[#This Row],[Campo]]</f>
        <v>modesg_out_empr_info_nfincca_capex_enblng_algnd</v>
      </c>
      <c r="B622" s="2" t="s">
        <v>26</v>
      </c>
      <c r="C622" s="2" t="s">
        <v>310</v>
      </c>
      <c r="D622" s="2" t="s">
        <v>326</v>
      </c>
      <c r="E622" s="2" t="s">
        <v>38</v>
      </c>
      <c r="F622" s="2" t="s">
        <v>325</v>
      </c>
      <c r="G622" s="2" t="s">
        <v>249</v>
      </c>
      <c r="H622" s="56" t="str">
        <f>Table1[[#This Row],[Tabela]]&amp;Table1[[#This Row],[Campo]]</f>
        <v>modesg_out_empr_info_nfincca_capex_enblng_algnd</v>
      </c>
      <c r="I622" s="2" t="s">
        <v>612</v>
      </c>
      <c r="J622" s="42">
        <f>VLOOKUP(Table1[[#This Row],[Status]],Auxiliar!$B$16:$C$24,2,0)</f>
        <v>1</v>
      </c>
      <c r="K622" s="2" t="s">
        <v>1169</v>
      </c>
      <c r="L622" s="28" t="s">
        <v>1174</v>
      </c>
      <c r="M622" s="20" t="s">
        <v>1167</v>
      </c>
      <c r="N622" s="47">
        <v>45642</v>
      </c>
      <c r="O622" s="20">
        <f>INDEX(Auxiliar!$D$5:$F$13,MATCH(Table1[[#This Row],[Tipologia_Testes]],Auxiliar!$B$5:$B$13,0),MATCH(Table1[[#This Row],[Complexidade]],Auxiliar!$D$4:$F$4,0))</f>
        <v>8</v>
      </c>
      <c r="P622" s="2"/>
      <c r="Q622" s="2"/>
      <c r="R622" s="151">
        <v>45561</v>
      </c>
      <c r="S622" s="151"/>
      <c r="T622" s="151">
        <v>45561</v>
      </c>
      <c r="U622" s="151">
        <v>45614</v>
      </c>
      <c r="V622" s="151">
        <v>45615</v>
      </c>
      <c r="W622" s="2">
        <f>VLOOKUP(Table1[[#This Row],[Status]],Auxiliar!$B$16:$D$24,3,0)*Table1[[#This Row],[Estimação (horas)]]</f>
        <v>8</v>
      </c>
      <c r="X622" s="165">
        <f>+VLOOKUP(CONCATENATE(Table1[[#This Row],[Tabela]],Table1[[#This Row],[Campo]]),'2. Status Detalhe Campos FY24'!A:J,9,FALSE)</f>
        <v>0</v>
      </c>
      <c r="Y622" s="491" t="e">
        <f>+VLOOKUP(A622,#REF!,1,FALSE)</f>
        <v>#REF!</v>
      </c>
    </row>
    <row r="623" spans="1:25" ht="17.899999999999999" hidden="1" customHeight="1">
      <c r="A623" t="str">
        <f>+Table1[[#This Row],[Tabela]]&amp;Table1[[#This Row],[Campo]]</f>
        <v>modesg_out_empr_info_nfincca_capex_enblng_algnd</v>
      </c>
      <c r="B623" s="2" t="s">
        <v>26</v>
      </c>
      <c r="C623" s="2" t="s">
        <v>310</v>
      </c>
      <c r="D623" s="2" t="s">
        <v>326</v>
      </c>
      <c r="E623" s="2" t="s">
        <v>38</v>
      </c>
      <c r="F623" s="2" t="s">
        <v>325</v>
      </c>
      <c r="G623" s="2" t="s">
        <v>249</v>
      </c>
      <c r="H623" s="56" t="str">
        <f>Table1[[#This Row],[Tabela]]&amp;Table1[[#This Row],[Campo]]</f>
        <v>modesg_out_empr_info_nfincca_capex_enblng_algnd</v>
      </c>
      <c r="I623" s="2" t="s">
        <v>612</v>
      </c>
      <c r="J623" s="42">
        <f>VLOOKUP(Table1[[#This Row],[Status]],Auxiliar!$B$16:$C$24,2,0)</f>
        <v>1</v>
      </c>
      <c r="K623" s="2" t="s">
        <v>1171</v>
      </c>
      <c r="L623" s="28" t="s">
        <v>1174</v>
      </c>
      <c r="M623" s="20" t="s">
        <v>1167</v>
      </c>
      <c r="N623" s="47">
        <v>45642</v>
      </c>
      <c r="O623" s="20">
        <f>INDEX(Auxiliar!$D$5:$F$13,MATCH(Table1[[#This Row],[Tipologia_Testes]],Auxiliar!$B$5:$B$13,0),MATCH(Table1[[#This Row],[Complexidade]],Auxiliar!$D$4:$F$4,0))</f>
        <v>0.1</v>
      </c>
      <c r="P623" s="2"/>
      <c r="Q623" s="2"/>
      <c r="R623" s="151">
        <v>45561</v>
      </c>
      <c r="S623" s="151"/>
      <c r="T623" s="151">
        <v>45561</v>
      </c>
      <c r="U623" s="151">
        <v>45614</v>
      </c>
      <c r="V623" s="151">
        <v>45615</v>
      </c>
      <c r="W623" s="2">
        <f>VLOOKUP(Table1[[#This Row],[Status]],Auxiliar!$B$16:$D$24,3,0)*Table1[[#This Row],[Estimação (horas)]]</f>
        <v>0.1</v>
      </c>
      <c r="X623" s="165">
        <f>+VLOOKUP(CONCATENATE(Table1[[#This Row],[Tabela]],Table1[[#This Row],[Campo]]),'2. Status Detalhe Campos FY24'!A:J,9,FALSE)</f>
        <v>0</v>
      </c>
      <c r="Y623" s="491" t="e">
        <f>+VLOOKUP(A623,#REF!,1,FALSE)</f>
        <v>#REF!</v>
      </c>
    </row>
    <row r="624" spans="1:25" ht="17.899999999999999" hidden="1" customHeight="1">
      <c r="A624" t="str">
        <f>+Table1[[#This Row],[Tabela]]&amp;Table1[[#This Row],[Campo]]</f>
        <v>modesg_out_empr_info_nfincca_capex_own_prfrmnce_algnd</v>
      </c>
      <c r="B624" s="2" t="s">
        <v>26</v>
      </c>
      <c r="C624" s="2" t="s">
        <v>310</v>
      </c>
      <c r="D624" s="2" t="s">
        <v>326</v>
      </c>
      <c r="E624" s="2" t="s">
        <v>38</v>
      </c>
      <c r="F624" s="2" t="s">
        <v>325</v>
      </c>
      <c r="G624" s="2" t="s">
        <v>250</v>
      </c>
      <c r="H624" s="56" t="str">
        <f>Table1[[#This Row],[Tabela]]&amp;Table1[[#This Row],[Campo]]</f>
        <v>modesg_out_empr_info_nfincca_capex_own_prfrmnce_algnd</v>
      </c>
      <c r="I624" s="2" t="s">
        <v>612</v>
      </c>
      <c r="J624" s="42">
        <f>VLOOKUP(Table1[[#This Row],[Status]],Auxiliar!$B$16:$C$24,2,0)</f>
        <v>1</v>
      </c>
      <c r="K624" s="2" t="s">
        <v>1168</v>
      </c>
      <c r="L624" s="28" t="s">
        <v>1174</v>
      </c>
      <c r="M624" s="20" t="s">
        <v>1167</v>
      </c>
      <c r="N624" s="47">
        <v>45642</v>
      </c>
      <c r="O624" s="20">
        <f>INDEX(Auxiliar!$D$5:$F$13,MATCH(Table1[[#This Row],[Tipologia_Testes]],Auxiliar!$B$5:$B$13,0),MATCH(Table1[[#This Row],[Complexidade]],Auxiliar!$D$4:$F$4,0))</f>
        <v>8</v>
      </c>
      <c r="P624" s="2"/>
      <c r="Q624" s="2"/>
      <c r="R624" s="151">
        <v>45561</v>
      </c>
      <c r="S624" s="151"/>
      <c r="T624" s="151">
        <v>45561</v>
      </c>
      <c r="U624" s="151">
        <v>45614</v>
      </c>
      <c r="V624" s="151">
        <v>45615</v>
      </c>
      <c r="W624" s="2">
        <f>VLOOKUP(Table1[[#This Row],[Status]],Auxiliar!$B$16:$D$24,3,0)*Table1[[#This Row],[Estimação (horas)]]</f>
        <v>8</v>
      </c>
      <c r="X624" s="165">
        <f>+VLOOKUP(CONCATENATE(Table1[[#This Row],[Tabela]],Table1[[#This Row],[Campo]]),'2. Status Detalhe Campos FY24'!A:J,9,FALSE)</f>
        <v>0</v>
      </c>
      <c r="Y624" s="491" t="e">
        <f>+VLOOKUP(A624,#REF!,1,FALSE)</f>
        <v>#REF!</v>
      </c>
    </row>
    <row r="625" spans="1:25" ht="17.899999999999999" hidden="1" customHeight="1">
      <c r="A625" t="str">
        <f>+Table1[[#This Row],[Tabela]]&amp;Table1[[#This Row],[Campo]]</f>
        <v>modesg_out_empr_info_nfincca_capex_own_prfrmnce_algnd</v>
      </c>
      <c r="B625" s="2" t="s">
        <v>26</v>
      </c>
      <c r="C625" s="2" t="s">
        <v>310</v>
      </c>
      <c r="D625" s="2" t="s">
        <v>326</v>
      </c>
      <c r="E625" s="2" t="s">
        <v>38</v>
      </c>
      <c r="F625" s="2" t="s">
        <v>325</v>
      </c>
      <c r="G625" s="2" t="s">
        <v>250</v>
      </c>
      <c r="H625" s="56" t="str">
        <f>Table1[[#This Row],[Tabela]]&amp;Table1[[#This Row],[Campo]]</f>
        <v>modesg_out_empr_info_nfincca_capex_own_prfrmnce_algnd</v>
      </c>
      <c r="I625" s="2" t="s">
        <v>612</v>
      </c>
      <c r="J625" s="42">
        <f>VLOOKUP(Table1[[#This Row],[Status]],Auxiliar!$B$16:$C$24,2,0)</f>
        <v>1</v>
      </c>
      <c r="K625" s="2" t="s">
        <v>1169</v>
      </c>
      <c r="L625" s="28" t="s">
        <v>1174</v>
      </c>
      <c r="M625" s="20" t="s">
        <v>1167</v>
      </c>
      <c r="N625" s="47">
        <v>45642</v>
      </c>
      <c r="O625" s="20">
        <f>INDEX(Auxiliar!$D$5:$F$13,MATCH(Table1[[#This Row],[Tipologia_Testes]],Auxiliar!$B$5:$B$13,0),MATCH(Table1[[#This Row],[Complexidade]],Auxiliar!$D$4:$F$4,0))</f>
        <v>8</v>
      </c>
      <c r="P625" s="2"/>
      <c r="Q625" s="2"/>
      <c r="R625" s="151">
        <v>45561</v>
      </c>
      <c r="S625" s="151"/>
      <c r="T625" s="151">
        <v>45561</v>
      </c>
      <c r="U625" s="151">
        <v>45614</v>
      </c>
      <c r="V625" s="151">
        <v>45615</v>
      </c>
      <c r="W625" s="2">
        <f>VLOOKUP(Table1[[#This Row],[Status]],Auxiliar!$B$16:$D$24,3,0)*Table1[[#This Row],[Estimação (horas)]]</f>
        <v>8</v>
      </c>
      <c r="X625" s="165">
        <f>+VLOOKUP(CONCATENATE(Table1[[#This Row],[Tabela]],Table1[[#This Row],[Campo]]),'2. Status Detalhe Campos FY24'!A:J,9,FALSE)</f>
        <v>0</v>
      </c>
      <c r="Y625" s="491" t="e">
        <f>+VLOOKUP(A625,#REF!,1,FALSE)</f>
        <v>#REF!</v>
      </c>
    </row>
    <row r="626" spans="1:25" ht="17.899999999999999" hidden="1" customHeight="1">
      <c r="A626" t="str">
        <f>+Table1[[#This Row],[Tabela]]&amp;Table1[[#This Row],[Campo]]</f>
        <v>modesg_out_empr_info_nfincca_capex_own_prfrmnce_algnd</v>
      </c>
      <c r="B626" s="2" t="s">
        <v>26</v>
      </c>
      <c r="C626" s="2" t="s">
        <v>310</v>
      </c>
      <c r="D626" s="2" t="s">
        <v>326</v>
      </c>
      <c r="E626" s="2" t="s">
        <v>38</v>
      </c>
      <c r="F626" s="2" t="s">
        <v>325</v>
      </c>
      <c r="G626" s="2" t="s">
        <v>250</v>
      </c>
      <c r="H626" s="56" t="str">
        <f>Table1[[#This Row],[Tabela]]&amp;Table1[[#This Row],[Campo]]</f>
        <v>modesg_out_empr_info_nfincca_capex_own_prfrmnce_algnd</v>
      </c>
      <c r="I626" s="2" t="s">
        <v>612</v>
      </c>
      <c r="J626" s="42">
        <f>VLOOKUP(Table1[[#This Row],[Status]],Auxiliar!$B$16:$C$24,2,0)</f>
        <v>1</v>
      </c>
      <c r="K626" s="2" t="s">
        <v>1171</v>
      </c>
      <c r="L626" s="28" t="s">
        <v>1174</v>
      </c>
      <c r="M626" s="20" t="s">
        <v>1167</v>
      </c>
      <c r="N626" s="47">
        <v>45642</v>
      </c>
      <c r="O626" s="20">
        <f>INDEX(Auxiliar!$D$5:$F$13,MATCH(Table1[[#This Row],[Tipologia_Testes]],Auxiliar!$B$5:$B$13,0),MATCH(Table1[[#This Row],[Complexidade]],Auxiliar!$D$4:$F$4,0))</f>
        <v>0.1</v>
      </c>
      <c r="P626" s="2"/>
      <c r="Q626" s="2"/>
      <c r="R626" s="151">
        <v>45561</v>
      </c>
      <c r="S626" s="151"/>
      <c r="T626" s="151">
        <v>45561</v>
      </c>
      <c r="U626" s="151">
        <v>45614</v>
      </c>
      <c r="V626" s="151">
        <v>45615</v>
      </c>
      <c r="W626" s="2">
        <f>VLOOKUP(Table1[[#This Row],[Status]],Auxiliar!$B$16:$D$24,3,0)*Table1[[#This Row],[Estimação (horas)]]</f>
        <v>0.1</v>
      </c>
      <c r="X626" s="165">
        <f>+VLOOKUP(CONCATENATE(Table1[[#This Row],[Tabela]],Table1[[#This Row],[Campo]]),'2. Status Detalhe Campos FY24'!A:J,9,FALSE)</f>
        <v>0</v>
      </c>
      <c r="Y626" s="491" t="e">
        <f>+VLOOKUP(A626,#REF!,1,FALSE)</f>
        <v>#REF!</v>
      </c>
    </row>
    <row r="627" spans="1:25" ht="17.899999999999999" hidden="1" customHeight="1">
      <c r="A627" t="str">
        <f>+Table1[[#This Row],[Tabela]]&amp;Table1[[#This Row],[Campo]]</f>
        <v>modesg_out_empr_info_nfincca_capex_ttl_elgbl</v>
      </c>
      <c r="B627" s="2" t="s">
        <v>26</v>
      </c>
      <c r="C627" s="2" t="s">
        <v>310</v>
      </c>
      <c r="D627" s="2" t="s">
        <v>326</v>
      </c>
      <c r="E627" s="2" t="s">
        <v>38</v>
      </c>
      <c r="F627" s="2" t="s">
        <v>325</v>
      </c>
      <c r="G627" s="2" t="s">
        <v>248</v>
      </c>
      <c r="H627" s="56" t="str">
        <f>Table1[[#This Row],[Tabela]]&amp;Table1[[#This Row],[Campo]]</f>
        <v>modesg_out_empr_info_nfincca_capex_ttl_elgbl</v>
      </c>
      <c r="I627" s="2" t="s">
        <v>612</v>
      </c>
      <c r="J627" s="42">
        <f>VLOOKUP(Table1[[#This Row],[Status]],Auxiliar!$B$16:$C$24,2,0)</f>
        <v>1</v>
      </c>
      <c r="K627" s="2" t="s">
        <v>1168</v>
      </c>
      <c r="L627" s="28" t="s">
        <v>1174</v>
      </c>
      <c r="M627" s="20" t="s">
        <v>1167</v>
      </c>
      <c r="N627" s="47">
        <v>45642</v>
      </c>
      <c r="O627" s="20">
        <f>INDEX(Auxiliar!$D$5:$F$13,MATCH(Table1[[#This Row],[Tipologia_Testes]],Auxiliar!$B$5:$B$13,0),MATCH(Table1[[#This Row],[Complexidade]],Auxiliar!$D$4:$F$4,0))</f>
        <v>8</v>
      </c>
      <c r="P627" s="2"/>
      <c r="Q627" s="2"/>
      <c r="R627" s="151">
        <v>45561</v>
      </c>
      <c r="S627" s="151"/>
      <c r="T627" s="151">
        <v>45561</v>
      </c>
      <c r="U627" s="151">
        <v>45614</v>
      </c>
      <c r="V627" s="151">
        <v>45615</v>
      </c>
      <c r="W627" s="2">
        <f>VLOOKUP(Table1[[#This Row],[Status]],Auxiliar!$B$16:$D$24,3,0)*Table1[[#This Row],[Estimação (horas)]]</f>
        <v>8</v>
      </c>
      <c r="X627" s="165">
        <f>+VLOOKUP(CONCATENATE(Table1[[#This Row],[Tabela]],Table1[[#This Row],[Campo]]),'2. Status Detalhe Campos FY24'!A:J,9,FALSE)</f>
        <v>0</v>
      </c>
      <c r="Y627" s="491" t="e">
        <f>+VLOOKUP(A627,#REF!,1,FALSE)</f>
        <v>#REF!</v>
      </c>
    </row>
    <row r="628" spans="1:25" ht="17.899999999999999" hidden="1" customHeight="1">
      <c r="A628" t="str">
        <f>+Table1[[#This Row],[Tabela]]&amp;Table1[[#This Row],[Campo]]</f>
        <v>modesg_out_empr_info_nfincca_capex_ttl_elgbl</v>
      </c>
      <c r="B628" s="2" t="s">
        <v>26</v>
      </c>
      <c r="C628" s="2" t="s">
        <v>310</v>
      </c>
      <c r="D628" s="2" t="s">
        <v>326</v>
      </c>
      <c r="E628" s="2" t="s">
        <v>38</v>
      </c>
      <c r="F628" s="2" t="s">
        <v>325</v>
      </c>
      <c r="G628" s="2" t="s">
        <v>248</v>
      </c>
      <c r="H628" s="56" t="str">
        <f>Table1[[#This Row],[Tabela]]&amp;Table1[[#This Row],[Campo]]</f>
        <v>modesg_out_empr_info_nfincca_capex_ttl_elgbl</v>
      </c>
      <c r="I628" s="2" t="s">
        <v>612</v>
      </c>
      <c r="J628" s="42">
        <f>VLOOKUP(Table1[[#This Row],[Status]],Auxiliar!$B$16:$C$24,2,0)</f>
        <v>1</v>
      </c>
      <c r="K628" s="2" t="s">
        <v>1169</v>
      </c>
      <c r="L628" s="28" t="s">
        <v>1174</v>
      </c>
      <c r="M628" s="20" t="s">
        <v>1167</v>
      </c>
      <c r="N628" s="47">
        <v>45642</v>
      </c>
      <c r="O628" s="20">
        <f>INDEX(Auxiliar!$D$5:$F$13,MATCH(Table1[[#This Row],[Tipologia_Testes]],Auxiliar!$B$5:$B$13,0),MATCH(Table1[[#This Row],[Complexidade]],Auxiliar!$D$4:$F$4,0))</f>
        <v>8</v>
      </c>
      <c r="P628" s="2"/>
      <c r="Q628" s="2"/>
      <c r="R628" s="151">
        <v>45561</v>
      </c>
      <c r="S628" s="151"/>
      <c r="T628" s="151">
        <v>45561</v>
      </c>
      <c r="U628" s="151">
        <v>45614</v>
      </c>
      <c r="V628" s="151">
        <v>45615</v>
      </c>
      <c r="W628" s="2">
        <f>VLOOKUP(Table1[[#This Row],[Status]],Auxiliar!$B$16:$D$24,3,0)*Table1[[#This Row],[Estimação (horas)]]</f>
        <v>8</v>
      </c>
      <c r="X628" s="165">
        <f>+VLOOKUP(CONCATENATE(Table1[[#This Row],[Tabela]],Table1[[#This Row],[Campo]]),'2. Status Detalhe Campos FY24'!A:J,9,FALSE)</f>
        <v>0</v>
      </c>
      <c r="Y628" s="491" t="e">
        <f>+VLOOKUP(A628,#REF!,1,FALSE)</f>
        <v>#REF!</v>
      </c>
    </row>
    <row r="629" spans="1:25" ht="17.899999999999999" hidden="1" customHeight="1">
      <c r="A629" t="str">
        <f>+Table1[[#This Row],[Tabela]]&amp;Table1[[#This Row],[Campo]]</f>
        <v>modesg_out_empr_info_nfincca_capex_ttl_elgbl</v>
      </c>
      <c r="B629" s="2" t="s">
        <v>26</v>
      </c>
      <c r="C629" s="2" t="s">
        <v>310</v>
      </c>
      <c r="D629" s="2" t="s">
        <v>326</v>
      </c>
      <c r="E629" s="2" t="s">
        <v>38</v>
      </c>
      <c r="F629" s="2" t="s">
        <v>325</v>
      </c>
      <c r="G629" s="2" t="s">
        <v>248</v>
      </c>
      <c r="H629" s="56" t="str">
        <f>Table1[[#This Row],[Tabela]]&amp;Table1[[#This Row],[Campo]]</f>
        <v>modesg_out_empr_info_nfincca_capex_ttl_elgbl</v>
      </c>
      <c r="I629" s="2" t="s">
        <v>612</v>
      </c>
      <c r="J629" s="42">
        <f>VLOOKUP(Table1[[#This Row],[Status]],Auxiliar!$B$16:$C$24,2,0)</f>
        <v>1</v>
      </c>
      <c r="K629" s="2" t="s">
        <v>1171</v>
      </c>
      <c r="L629" s="28" t="s">
        <v>1174</v>
      </c>
      <c r="M629" s="20" t="s">
        <v>1167</v>
      </c>
      <c r="N629" s="47">
        <v>45642</v>
      </c>
      <c r="O629" s="20">
        <f>INDEX(Auxiliar!$D$5:$F$13,MATCH(Table1[[#This Row],[Tipologia_Testes]],Auxiliar!$B$5:$B$13,0),MATCH(Table1[[#This Row],[Complexidade]],Auxiliar!$D$4:$F$4,0))</f>
        <v>0.1</v>
      </c>
      <c r="P629" s="2"/>
      <c r="Q629" s="2"/>
      <c r="R629" s="151">
        <v>45561</v>
      </c>
      <c r="S629" s="151"/>
      <c r="T629" s="151">
        <v>45561</v>
      </c>
      <c r="U629" s="151">
        <v>45614</v>
      </c>
      <c r="V629" s="151">
        <v>45615</v>
      </c>
      <c r="W629" s="2">
        <f>VLOOKUP(Table1[[#This Row],[Status]],Auxiliar!$B$16:$D$24,3,0)*Table1[[#This Row],[Estimação (horas)]]</f>
        <v>0.1</v>
      </c>
      <c r="X629" s="165">
        <f>+VLOOKUP(CONCATENATE(Table1[[#This Row],[Tabela]],Table1[[#This Row],[Campo]]),'2. Status Detalhe Campos FY24'!A:J,9,FALSE)</f>
        <v>0</v>
      </c>
      <c r="Y629" s="491" t="e">
        <f>+VLOOKUP(A629,#REF!,1,FALSE)</f>
        <v>#REF!</v>
      </c>
    </row>
    <row r="630" spans="1:25" ht="17.899999999999999" hidden="1" customHeight="1">
      <c r="A630" t="str">
        <f>+Table1[[#This Row],[Tabela]]&amp;Table1[[#This Row],[Campo]]</f>
        <v>modesg_out_empr_info_nfincca_trnvr_enblng_alignd</v>
      </c>
      <c r="B630" s="2" t="s">
        <v>26</v>
      </c>
      <c r="C630" s="2" t="s">
        <v>310</v>
      </c>
      <c r="D630" s="2" t="s">
        <v>326</v>
      </c>
      <c r="E630" s="2" t="s">
        <v>38</v>
      </c>
      <c r="F630" s="2" t="s">
        <v>325</v>
      </c>
      <c r="G630" s="2" t="s">
        <v>246</v>
      </c>
      <c r="H630" s="56" t="str">
        <f>Table1[[#This Row],[Tabela]]&amp;Table1[[#This Row],[Campo]]</f>
        <v>modesg_out_empr_info_nfincca_trnvr_enblng_alignd</v>
      </c>
      <c r="I630" s="2" t="s">
        <v>612</v>
      </c>
      <c r="J630" s="42">
        <f>VLOOKUP(Table1[[#This Row],[Status]],Auxiliar!$B$16:$C$24,2,0)</f>
        <v>1</v>
      </c>
      <c r="K630" s="2" t="s">
        <v>1168</v>
      </c>
      <c r="L630" s="28" t="s">
        <v>1174</v>
      </c>
      <c r="M630" s="20" t="s">
        <v>1167</v>
      </c>
      <c r="N630" s="47">
        <v>45642</v>
      </c>
      <c r="O630" s="20">
        <f>INDEX(Auxiliar!$D$5:$F$13,MATCH(Table1[[#This Row],[Tipologia_Testes]],Auxiliar!$B$5:$B$13,0),MATCH(Table1[[#This Row],[Complexidade]],Auxiliar!$D$4:$F$4,0))</f>
        <v>8</v>
      </c>
      <c r="P630" s="2"/>
      <c r="Q630" s="2"/>
      <c r="R630" s="151">
        <v>45561</v>
      </c>
      <c r="S630" s="151"/>
      <c r="T630" s="151">
        <v>45561</v>
      </c>
      <c r="U630" s="151">
        <v>45614</v>
      </c>
      <c r="V630" s="151">
        <v>45615</v>
      </c>
      <c r="W630" s="2">
        <f>VLOOKUP(Table1[[#This Row],[Status]],Auxiliar!$B$16:$D$24,3,0)*Table1[[#This Row],[Estimação (horas)]]</f>
        <v>8</v>
      </c>
      <c r="X630" s="165">
        <f>+VLOOKUP(CONCATENATE(Table1[[#This Row],[Tabela]],Table1[[#This Row],[Campo]]),'2. Status Detalhe Campos FY24'!A:J,9,FALSE)</f>
        <v>0</v>
      </c>
      <c r="Y630" s="491" t="e">
        <f>+VLOOKUP(A630,#REF!,1,FALSE)</f>
        <v>#REF!</v>
      </c>
    </row>
    <row r="631" spans="1:25" ht="17.899999999999999" hidden="1" customHeight="1">
      <c r="A631" t="str">
        <f>+Table1[[#This Row],[Tabela]]&amp;Table1[[#This Row],[Campo]]</f>
        <v>modesg_out_empr_info_nfincca_trnvr_enblng_alignd</v>
      </c>
      <c r="B631" s="2" t="s">
        <v>26</v>
      </c>
      <c r="C631" s="2" t="s">
        <v>310</v>
      </c>
      <c r="D631" s="2" t="s">
        <v>326</v>
      </c>
      <c r="E631" s="2" t="s">
        <v>38</v>
      </c>
      <c r="F631" s="2" t="s">
        <v>325</v>
      </c>
      <c r="G631" s="2" t="s">
        <v>246</v>
      </c>
      <c r="H631" s="56" t="str">
        <f>Table1[[#This Row],[Tabela]]&amp;Table1[[#This Row],[Campo]]</f>
        <v>modesg_out_empr_info_nfincca_trnvr_enblng_alignd</v>
      </c>
      <c r="I631" s="2" t="s">
        <v>612</v>
      </c>
      <c r="J631" s="42">
        <f>VLOOKUP(Table1[[#This Row],[Status]],Auxiliar!$B$16:$C$24,2,0)</f>
        <v>1</v>
      </c>
      <c r="K631" s="2" t="s">
        <v>1169</v>
      </c>
      <c r="L631" s="28" t="s">
        <v>1174</v>
      </c>
      <c r="M631" s="20" t="s">
        <v>1167</v>
      </c>
      <c r="N631" s="47">
        <v>45642</v>
      </c>
      <c r="O631" s="20">
        <f>INDEX(Auxiliar!$D$5:$F$13,MATCH(Table1[[#This Row],[Tipologia_Testes]],Auxiliar!$B$5:$B$13,0),MATCH(Table1[[#This Row],[Complexidade]],Auxiliar!$D$4:$F$4,0))</f>
        <v>8</v>
      </c>
      <c r="P631" s="2"/>
      <c r="Q631" s="2"/>
      <c r="R631" s="151">
        <v>45561</v>
      </c>
      <c r="S631" s="151"/>
      <c r="T631" s="151">
        <v>45561</v>
      </c>
      <c r="U631" s="151">
        <v>45614</v>
      </c>
      <c r="V631" s="151">
        <v>45615</v>
      </c>
      <c r="W631" s="2">
        <f>VLOOKUP(Table1[[#This Row],[Status]],Auxiliar!$B$16:$D$24,3,0)*Table1[[#This Row],[Estimação (horas)]]</f>
        <v>8</v>
      </c>
      <c r="X631" s="165">
        <f>+VLOOKUP(CONCATENATE(Table1[[#This Row],[Tabela]],Table1[[#This Row],[Campo]]),'2. Status Detalhe Campos FY24'!A:J,9,FALSE)</f>
        <v>0</v>
      </c>
      <c r="Y631" s="491" t="e">
        <f>+VLOOKUP(A631,#REF!,1,FALSE)</f>
        <v>#REF!</v>
      </c>
    </row>
    <row r="632" spans="1:25" ht="17.899999999999999" hidden="1" customHeight="1">
      <c r="A632" t="str">
        <f>+Table1[[#This Row],[Tabela]]&amp;Table1[[#This Row],[Campo]]</f>
        <v>modesg_out_empr_info_nfincca_trnvr_enblng_alignd</v>
      </c>
      <c r="B632" s="2" t="s">
        <v>26</v>
      </c>
      <c r="C632" s="2" t="s">
        <v>310</v>
      </c>
      <c r="D632" s="2" t="s">
        <v>326</v>
      </c>
      <c r="E632" s="2" t="s">
        <v>38</v>
      </c>
      <c r="F632" s="2" t="s">
        <v>325</v>
      </c>
      <c r="G632" s="2" t="s">
        <v>246</v>
      </c>
      <c r="H632" s="56" t="str">
        <f>Table1[[#This Row],[Tabela]]&amp;Table1[[#This Row],[Campo]]</f>
        <v>modesg_out_empr_info_nfincca_trnvr_enblng_alignd</v>
      </c>
      <c r="I632" s="2" t="s">
        <v>612</v>
      </c>
      <c r="J632" s="42">
        <f>VLOOKUP(Table1[[#This Row],[Status]],Auxiliar!$B$16:$C$24,2,0)</f>
        <v>1</v>
      </c>
      <c r="K632" s="2" t="s">
        <v>1171</v>
      </c>
      <c r="L632" s="28" t="s">
        <v>1174</v>
      </c>
      <c r="M632" s="20" t="s">
        <v>1167</v>
      </c>
      <c r="N632" s="47">
        <v>45642</v>
      </c>
      <c r="O632" s="20">
        <f>INDEX(Auxiliar!$D$5:$F$13,MATCH(Table1[[#This Row],[Tipologia_Testes]],Auxiliar!$B$5:$B$13,0),MATCH(Table1[[#This Row],[Complexidade]],Auxiliar!$D$4:$F$4,0))</f>
        <v>0.1</v>
      </c>
      <c r="P632" s="2"/>
      <c r="Q632" s="2"/>
      <c r="R632" s="151">
        <v>45561</v>
      </c>
      <c r="S632" s="151"/>
      <c r="T632" s="151">
        <v>45561</v>
      </c>
      <c r="U632" s="151">
        <v>45614</v>
      </c>
      <c r="V632" s="151">
        <v>45615</v>
      </c>
      <c r="W632" s="2">
        <f>VLOOKUP(Table1[[#This Row],[Status]],Auxiliar!$B$16:$D$24,3,0)*Table1[[#This Row],[Estimação (horas)]]</f>
        <v>0.1</v>
      </c>
      <c r="X632" s="165">
        <f>+VLOOKUP(CONCATENATE(Table1[[#This Row],[Tabela]],Table1[[#This Row],[Campo]]),'2. Status Detalhe Campos FY24'!A:J,9,FALSE)</f>
        <v>0</v>
      </c>
      <c r="Y632" s="491" t="e">
        <f>+VLOOKUP(A632,#REF!,1,FALSE)</f>
        <v>#REF!</v>
      </c>
    </row>
    <row r="633" spans="1:25" ht="17.899999999999999" hidden="1" customHeight="1">
      <c r="A633" t="str">
        <f>+Table1[[#This Row],[Tabela]]&amp;Table1[[#This Row],[Campo]]</f>
        <v>modesg_out_empr_info_nfincca_trnvr_ttl_elgbl</v>
      </c>
      <c r="B633" s="2" t="s">
        <v>26</v>
      </c>
      <c r="C633" s="2" t="s">
        <v>310</v>
      </c>
      <c r="D633" s="2" t="s">
        <v>326</v>
      </c>
      <c r="E633" s="2" t="s">
        <v>38</v>
      </c>
      <c r="F633" s="2" t="s">
        <v>325</v>
      </c>
      <c r="G633" s="2" t="s">
        <v>245</v>
      </c>
      <c r="H633" s="56" t="str">
        <f>Table1[[#This Row],[Tabela]]&amp;Table1[[#This Row],[Campo]]</f>
        <v>modesg_out_empr_info_nfincca_trnvr_ttl_elgbl</v>
      </c>
      <c r="I633" s="2" t="s">
        <v>612</v>
      </c>
      <c r="J633" s="42">
        <f>VLOOKUP(Table1[[#This Row],[Status]],Auxiliar!$B$16:$C$24,2,0)</f>
        <v>1</v>
      </c>
      <c r="K633" s="2" t="s">
        <v>1168</v>
      </c>
      <c r="L633" s="28" t="s">
        <v>1174</v>
      </c>
      <c r="M633" s="20" t="s">
        <v>1167</v>
      </c>
      <c r="N633" s="47">
        <v>45642</v>
      </c>
      <c r="O633" s="20">
        <f>INDEX(Auxiliar!$D$5:$F$13,MATCH(Table1[[#This Row],[Tipologia_Testes]],Auxiliar!$B$5:$B$13,0),MATCH(Table1[[#This Row],[Complexidade]],Auxiliar!$D$4:$F$4,0))</f>
        <v>8</v>
      </c>
      <c r="P633" s="2"/>
      <c r="Q633" s="2"/>
      <c r="R633" s="151">
        <v>45561</v>
      </c>
      <c r="S633" s="151"/>
      <c r="T633" s="151">
        <v>45561</v>
      </c>
      <c r="U633" s="151">
        <v>45614</v>
      </c>
      <c r="V633" s="151">
        <v>45615</v>
      </c>
      <c r="W633" s="2">
        <f>VLOOKUP(Table1[[#This Row],[Status]],Auxiliar!$B$16:$D$24,3,0)*Table1[[#This Row],[Estimação (horas)]]</f>
        <v>8</v>
      </c>
      <c r="X633" s="165">
        <f>+VLOOKUP(CONCATENATE(Table1[[#This Row],[Tabela]],Table1[[#This Row],[Campo]]),'2. Status Detalhe Campos FY24'!A:J,9,FALSE)</f>
        <v>0</v>
      </c>
      <c r="Y633" s="491" t="e">
        <f>+VLOOKUP(A633,#REF!,1,FALSE)</f>
        <v>#REF!</v>
      </c>
    </row>
    <row r="634" spans="1:25" ht="17.899999999999999" hidden="1" customHeight="1">
      <c r="A634" t="str">
        <f>+Table1[[#This Row],[Tabela]]&amp;Table1[[#This Row],[Campo]]</f>
        <v>modesg_out_empr_info_nfincca_trnvr_ttl_elgbl</v>
      </c>
      <c r="B634" s="2" t="s">
        <v>26</v>
      </c>
      <c r="C634" s="2" t="s">
        <v>310</v>
      </c>
      <c r="D634" s="2" t="s">
        <v>326</v>
      </c>
      <c r="E634" s="2" t="s">
        <v>38</v>
      </c>
      <c r="F634" s="2" t="s">
        <v>325</v>
      </c>
      <c r="G634" s="2" t="s">
        <v>245</v>
      </c>
      <c r="H634" s="56" t="str">
        <f>Table1[[#This Row],[Tabela]]&amp;Table1[[#This Row],[Campo]]</f>
        <v>modesg_out_empr_info_nfincca_trnvr_ttl_elgbl</v>
      </c>
      <c r="I634" s="2" t="s">
        <v>612</v>
      </c>
      <c r="J634" s="42">
        <f>VLOOKUP(Table1[[#This Row],[Status]],Auxiliar!$B$16:$C$24,2,0)</f>
        <v>1</v>
      </c>
      <c r="K634" s="2" t="s">
        <v>1169</v>
      </c>
      <c r="L634" s="28" t="s">
        <v>1174</v>
      </c>
      <c r="M634" s="20" t="s">
        <v>1167</v>
      </c>
      <c r="N634" s="47">
        <v>45642</v>
      </c>
      <c r="O634" s="20">
        <f>INDEX(Auxiliar!$D$5:$F$13,MATCH(Table1[[#This Row],[Tipologia_Testes]],Auxiliar!$B$5:$B$13,0),MATCH(Table1[[#This Row],[Complexidade]],Auxiliar!$D$4:$F$4,0))</f>
        <v>8</v>
      </c>
      <c r="P634" s="2"/>
      <c r="Q634" s="2"/>
      <c r="R634" s="151">
        <v>45561</v>
      </c>
      <c r="S634" s="151"/>
      <c r="T634" s="151">
        <v>45561</v>
      </c>
      <c r="U634" s="151">
        <v>45614</v>
      </c>
      <c r="V634" s="151">
        <v>45615</v>
      </c>
      <c r="W634" s="2">
        <f>VLOOKUP(Table1[[#This Row],[Status]],Auxiliar!$B$16:$D$24,3,0)*Table1[[#This Row],[Estimação (horas)]]</f>
        <v>8</v>
      </c>
      <c r="X634" s="165">
        <f>+VLOOKUP(CONCATENATE(Table1[[#This Row],[Tabela]],Table1[[#This Row],[Campo]]),'2. Status Detalhe Campos FY24'!A:J,9,FALSE)</f>
        <v>0</v>
      </c>
      <c r="Y634" s="491" t="e">
        <f>+VLOOKUP(A634,#REF!,1,FALSE)</f>
        <v>#REF!</v>
      </c>
    </row>
    <row r="635" spans="1:25" ht="17.899999999999999" hidden="1" customHeight="1">
      <c r="A635" t="str">
        <f>+Table1[[#This Row],[Tabela]]&amp;Table1[[#This Row],[Campo]]</f>
        <v>modesg_out_empr_info_nfincca_trnvr_ttl_elgbl</v>
      </c>
      <c r="B635" s="2" t="s">
        <v>26</v>
      </c>
      <c r="C635" s="2" t="s">
        <v>310</v>
      </c>
      <c r="D635" s="2" t="s">
        <v>326</v>
      </c>
      <c r="E635" s="2" t="s">
        <v>38</v>
      </c>
      <c r="F635" s="2" t="s">
        <v>325</v>
      </c>
      <c r="G635" s="2" t="s">
        <v>245</v>
      </c>
      <c r="H635" s="56" t="str">
        <f>Table1[[#This Row],[Tabela]]&amp;Table1[[#This Row],[Campo]]</f>
        <v>modesg_out_empr_info_nfincca_trnvr_ttl_elgbl</v>
      </c>
      <c r="I635" s="2" t="s">
        <v>612</v>
      </c>
      <c r="J635" s="42">
        <f>VLOOKUP(Table1[[#This Row],[Status]],Auxiliar!$B$16:$C$24,2,0)</f>
        <v>1</v>
      </c>
      <c r="K635" s="2" t="s">
        <v>1171</v>
      </c>
      <c r="L635" s="28" t="s">
        <v>1174</v>
      </c>
      <c r="M635" s="20" t="s">
        <v>1167</v>
      </c>
      <c r="N635" s="47">
        <v>45642</v>
      </c>
      <c r="O635" s="20">
        <f>INDEX(Auxiliar!$D$5:$F$13,MATCH(Table1[[#This Row],[Tipologia_Testes]],Auxiliar!$B$5:$B$13,0),MATCH(Table1[[#This Row],[Complexidade]],Auxiliar!$D$4:$F$4,0))</f>
        <v>0.1</v>
      </c>
      <c r="P635" s="2"/>
      <c r="Q635" s="2"/>
      <c r="R635" s="151">
        <v>45561</v>
      </c>
      <c r="S635" s="151"/>
      <c r="T635" s="151">
        <v>45561</v>
      </c>
      <c r="U635" s="151">
        <v>45614</v>
      </c>
      <c r="V635" s="151">
        <v>45615</v>
      </c>
      <c r="W635" s="2">
        <f>VLOOKUP(Table1[[#This Row],[Status]],Auxiliar!$B$16:$D$24,3,0)*Table1[[#This Row],[Estimação (horas)]]</f>
        <v>0.1</v>
      </c>
      <c r="X635" s="165">
        <f>+VLOOKUP(CONCATENATE(Table1[[#This Row],[Tabela]],Table1[[#This Row],[Campo]]),'2. Status Detalhe Campos FY24'!A:J,9,FALSE)</f>
        <v>0</v>
      </c>
      <c r="Y635" s="491" t="e">
        <f>+VLOOKUP(A635,#REF!,1,FALSE)</f>
        <v>#REF!</v>
      </c>
    </row>
    <row r="636" spans="1:25" ht="17.899999999999999" hidden="1" customHeight="1">
      <c r="A636" t="str">
        <f>+Table1[[#This Row],[Tabela]]&amp;Table1[[#This Row],[Campo]]</f>
        <v>modesg_out_empr_info_nfincca_turnover_own_prfrmnce_algnd</v>
      </c>
      <c r="B636" s="2" t="s">
        <v>26</v>
      </c>
      <c r="C636" s="2" t="s">
        <v>310</v>
      </c>
      <c r="D636" s="2" t="s">
        <v>326</v>
      </c>
      <c r="E636" s="2" t="s">
        <v>38</v>
      </c>
      <c r="F636" s="2" t="s">
        <v>325</v>
      </c>
      <c r="G636" s="2" t="s">
        <v>247</v>
      </c>
      <c r="H636" s="56" t="str">
        <f>Table1[[#This Row],[Tabela]]&amp;Table1[[#This Row],[Campo]]</f>
        <v>modesg_out_empr_info_nfincca_turnover_own_prfrmnce_algnd</v>
      </c>
      <c r="I636" s="2" t="s">
        <v>612</v>
      </c>
      <c r="J636" s="42">
        <f>VLOOKUP(Table1[[#This Row],[Status]],Auxiliar!$B$16:$C$24,2,0)</f>
        <v>1</v>
      </c>
      <c r="K636" s="2" t="s">
        <v>1168</v>
      </c>
      <c r="L636" s="28" t="s">
        <v>1174</v>
      </c>
      <c r="M636" s="20" t="s">
        <v>1167</v>
      </c>
      <c r="N636" s="47">
        <v>45642</v>
      </c>
      <c r="O636" s="20">
        <f>INDEX(Auxiliar!$D$5:$F$13,MATCH(Table1[[#This Row],[Tipologia_Testes]],Auxiliar!$B$5:$B$13,0),MATCH(Table1[[#This Row],[Complexidade]],Auxiliar!$D$4:$F$4,0))</f>
        <v>8</v>
      </c>
      <c r="P636" s="2"/>
      <c r="Q636" s="2"/>
      <c r="R636" s="151">
        <v>45561</v>
      </c>
      <c r="S636" s="151"/>
      <c r="T636" s="151">
        <v>45561</v>
      </c>
      <c r="U636" s="151">
        <v>45614</v>
      </c>
      <c r="V636" s="151">
        <v>45615</v>
      </c>
      <c r="W636" s="2">
        <f>VLOOKUP(Table1[[#This Row],[Status]],Auxiliar!$B$16:$D$24,3,0)*Table1[[#This Row],[Estimação (horas)]]</f>
        <v>8</v>
      </c>
      <c r="X636" s="165">
        <f>+VLOOKUP(CONCATENATE(Table1[[#This Row],[Tabela]],Table1[[#This Row],[Campo]]),'2. Status Detalhe Campos FY24'!A:J,9,FALSE)</f>
        <v>0</v>
      </c>
      <c r="Y636" s="491" t="e">
        <f>+VLOOKUP(A636,#REF!,1,FALSE)</f>
        <v>#REF!</v>
      </c>
    </row>
    <row r="637" spans="1:25" ht="17.899999999999999" hidden="1" customHeight="1">
      <c r="A637" t="str">
        <f>+Table1[[#This Row],[Tabela]]&amp;Table1[[#This Row],[Campo]]</f>
        <v>modesg_out_empr_info_nfincca_turnover_own_prfrmnce_algnd</v>
      </c>
      <c r="B637" s="2" t="s">
        <v>26</v>
      </c>
      <c r="C637" s="2" t="s">
        <v>310</v>
      </c>
      <c r="D637" s="2" t="s">
        <v>326</v>
      </c>
      <c r="E637" s="2" t="s">
        <v>38</v>
      </c>
      <c r="F637" s="2" t="s">
        <v>325</v>
      </c>
      <c r="G637" s="2" t="s">
        <v>247</v>
      </c>
      <c r="H637" s="56" t="str">
        <f>Table1[[#This Row],[Tabela]]&amp;Table1[[#This Row],[Campo]]</f>
        <v>modesg_out_empr_info_nfincca_turnover_own_prfrmnce_algnd</v>
      </c>
      <c r="I637" s="2" t="s">
        <v>612</v>
      </c>
      <c r="J637" s="42">
        <f>VLOOKUP(Table1[[#This Row],[Status]],Auxiliar!$B$16:$C$24,2,0)</f>
        <v>1</v>
      </c>
      <c r="K637" s="2" t="s">
        <v>1169</v>
      </c>
      <c r="L637" s="28" t="s">
        <v>1174</v>
      </c>
      <c r="M637" s="20" t="s">
        <v>1167</v>
      </c>
      <c r="N637" s="47">
        <v>45642</v>
      </c>
      <c r="O637" s="20">
        <f>INDEX(Auxiliar!$D$5:$F$13,MATCH(Table1[[#This Row],[Tipologia_Testes]],Auxiliar!$B$5:$B$13,0),MATCH(Table1[[#This Row],[Complexidade]],Auxiliar!$D$4:$F$4,0))</f>
        <v>8</v>
      </c>
      <c r="P637" s="2"/>
      <c r="Q637" s="2"/>
      <c r="R637" s="151">
        <v>45561</v>
      </c>
      <c r="S637" s="151"/>
      <c r="T637" s="151">
        <v>45561</v>
      </c>
      <c r="U637" s="151">
        <v>45614</v>
      </c>
      <c r="V637" s="151">
        <v>45615</v>
      </c>
      <c r="W637" s="2">
        <f>VLOOKUP(Table1[[#This Row],[Status]],Auxiliar!$B$16:$D$24,3,0)*Table1[[#This Row],[Estimação (horas)]]</f>
        <v>8</v>
      </c>
      <c r="X637" s="165">
        <f>+VLOOKUP(CONCATENATE(Table1[[#This Row],[Tabela]],Table1[[#This Row],[Campo]]),'2. Status Detalhe Campos FY24'!A:J,9,FALSE)</f>
        <v>0</v>
      </c>
      <c r="Y637" s="491" t="e">
        <f>+VLOOKUP(A637,#REF!,1,FALSE)</f>
        <v>#REF!</v>
      </c>
    </row>
    <row r="638" spans="1:25" ht="17.899999999999999" hidden="1" customHeight="1">
      <c r="A638" t="str">
        <f>+Table1[[#This Row],[Tabela]]&amp;Table1[[#This Row],[Campo]]</f>
        <v>modesg_out_empr_info_nfincca_turnover_own_prfrmnce_algnd</v>
      </c>
      <c r="B638" s="2" t="s">
        <v>26</v>
      </c>
      <c r="C638" s="2" t="s">
        <v>310</v>
      </c>
      <c r="D638" s="2" t="s">
        <v>326</v>
      </c>
      <c r="E638" s="2" t="s">
        <v>38</v>
      </c>
      <c r="F638" s="2" t="s">
        <v>325</v>
      </c>
      <c r="G638" s="2" t="s">
        <v>247</v>
      </c>
      <c r="H638" s="56" t="str">
        <f>Table1[[#This Row],[Tabela]]&amp;Table1[[#This Row],[Campo]]</f>
        <v>modesg_out_empr_info_nfincca_turnover_own_prfrmnce_algnd</v>
      </c>
      <c r="I638" s="2" t="s">
        <v>612</v>
      </c>
      <c r="J638" s="42">
        <f>VLOOKUP(Table1[[#This Row],[Status]],Auxiliar!$B$16:$C$24,2,0)</f>
        <v>1</v>
      </c>
      <c r="K638" s="2" t="s">
        <v>1171</v>
      </c>
      <c r="L638" s="28" t="s">
        <v>1174</v>
      </c>
      <c r="M638" s="20" t="s">
        <v>1167</v>
      </c>
      <c r="N638" s="47">
        <v>45642</v>
      </c>
      <c r="O638" s="20">
        <f>INDEX(Auxiliar!$D$5:$F$13,MATCH(Table1[[#This Row],[Tipologia_Testes]],Auxiliar!$B$5:$B$13,0),MATCH(Table1[[#This Row],[Complexidade]],Auxiliar!$D$4:$F$4,0))</f>
        <v>0.1</v>
      </c>
      <c r="P638" s="2"/>
      <c r="Q638" s="2"/>
      <c r="R638" s="151">
        <v>45561</v>
      </c>
      <c r="S638" s="151"/>
      <c r="T638" s="151">
        <v>45561</v>
      </c>
      <c r="U638" s="151">
        <v>45614</v>
      </c>
      <c r="V638" s="151">
        <v>45615</v>
      </c>
      <c r="W638" s="2">
        <f>VLOOKUP(Table1[[#This Row],[Status]],Auxiliar!$B$16:$D$24,3,0)*Table1[[#This Row],[Estimação (horas)]]</f>
        <v>0.1</v>
      </c>
      <c r="X638" s="165">
        <f>+VLOOKUP(CONCATENATE(Table1[[#This Row],[Tabela]],Table1[[#This Row],[Campo]]),'2. Status Detalhe Campos FY24'!A:J,9,FALSE)</f>
        <v>0</v>
      </c>
      <c r="Y638" s="491" t="e">
        <f>+VLOOKUP(A638,#REF!,1,FALSE)</f>
        <v>#REF!</v>
      </c>
    </row>
    <row r="639" spans="1:25" ht="17.899999999999999" hidden="1" customHeight="1">
      <c r="A639" t="str">
        <f>+Table1[[#This Row],[Tabela]]&amp;Table1[[#This Row],[Campo]]</f>
        <v>modesg_out_empr_info_nfinccm_capex_enblng_algnd</v>
      </c>
      <c r="B639" s="2" t="s">
        <v>26</v>
      </c>
      <c r="C639" s="2" t="s">
        <v>310</v>
      </c>
      <c r="D639" s="2" t="s">
        <v>326</v>
      </c>
      <c r="E639" s="2" t="s">
        <v>38</v>
      </c>
      <c r="F639" s="2" t="s">
        <v>325</v>
      </c>
      <c r="G639" s="2" t="s">
        <v>256</v>
      </c>
      <c r="H639" s="56" t="str">
        <f>Table1[[#This Row],[Tabela]]&amp;Table1[[#This Row],[Campo]]</f>
        <v>modesg_out_empr_info_nfinccm_capex_enblng_algnd</v>
      </c>
      <c r="I639" s="2" t="s">
        <v>612</v>
      </c>
      <c r="J639" s="42">
        <f>VLOOKUP(Table1[[#This Row],[Status]],Auxiliar!$B$16:$C$24,2,0)</f>
        <v>1</v>
      </c>
      <c r="K639" s="2" t="s">
        <v>1168</v>
      </c>
      <c r="L639" s="28" t="s">
        <v>1174</v>
      </c>
      <c r="M639" s="20" t="s">
        <v>1167</v>
      </c>
      <c r="N639" s="47">
        <v>45642</v>
      </c>
      <c r="O639" s="20">
        <f>INDEX(Auxiliar!$D$5:$F$13,MATCH(Table1[[#This Row],[Tipologia_Testes]],Auxiliar!$B$5:$B$13,0),MATCH(Table1[[#This Row],[Complexidade]],Auxiliar!$D$4:$F$4,0))</f>
        <v>8</v>
      </c>
      <c r="P639" s="2"/>
      <c r="Q639" s="2"/>
      <c r="R639" s="151">
        <v>45561</v>
      </c>
      <c r="S639" s="151"/>
      <c r="T639" s="151">
        <v>45561</v>
      </c>
      <c r="U639" s="151">
        <v>45614</v>
      </c>
      <c r="V639" s="151">
        <v>45615</v>
      </c>
      <c r="W639" s="2">
        <f>VLOOKUP(Table1[[#This Row],[Status]],Auxiliar!$B$16:$D$24,3,0)*Table1[[#This Row],[Estimação (horas)]]</f>
        <v>8</v>
      </c>
      <c r="X639" s="165">
        <f>+VLOOKUP(CONCATENATE(Table1[[#This Row],[Tabela]],Table1[[#This Row],[Campo]]),'2. Status Detalhe Campos FY24'!A:J,9,FALSE)</f>
        <v>0</v>
      </c>
      <c r="Y639" s="491" t="e">
        <f>+VLOOKUP(A639,#REF!,1,FALSE)</f>
        <v>#REF!</v>
      </c>
    </row>
    <row r="640" spans="1:25" ht="17.899999999999999" hidden="1" customHeight="1">
      <c r="A640" t="str">
        <f>+Table1[[#This Row],[Tabela]]&amp;Table1[[#This Row],[Campo]]</f>
        <v>modesg_out_empr_info_nfinccm_capex_enblng_algnd</v>
      </c>
      <c r="B640" s="2" t="s">
        <v>26</v>
      </c>
      <c r="C640" s="2" t="s">
        <v>310</v>
      </c>
      <c r="D640" s="2" t="s">
        <v>326</v>
      </c>
      <c r="E640" s="2" t="s">
        <v>38</v>
      </c>
      <c r="F640" s="2" t="s">
        <v>325</v>
      </c>
      <c r="G640" s="2" t="s">
        <v>256</v>
      </c>
      <c r="H640" s="56" t="str">
        <f>Table1[[#This Row],[Tabela]]&amp;Table1[[#This Row],[Campo]]</f>
        <v>modesg_out_empr_info_nfinccm_capex_enblng_algnd</v>
      </c>
      <c r="I640" s="2" t="s">
        <v>612</v>
      </c>
      <c r="J640" s="42">
        <f>VLOOKUP(Table1[[#This Row],[Status]],Auxiliar!$B$16:$C$24,2,0)</f>
        <v>1</v>
      </c>
      <c r="K640" s="2" t="s">
        <v>1169</v>
      </c>
      <c r="L640" s="28" t="s">
        <v>1174</v>
      </c>
      <c r="M640" s="20" t="s">
        <v>1167</v>
      </c>
      <c r="N640" s="47">
        <v>45642</v>
      </c>
      <c r="O640" s="20">
        <f>INDEX(Auxiliar!$D$5:$F$13,MATCH(Table1[[#This Row],[Tipologia_Testes]],Auxiliar!$B$5:$B$13,0),MATCH(Table1[[#This Row],[Complexidade]],Auxiliar!$D$4:$F$4,0))</f>
        <v>8</v>
      </c>
      <c r="P640" s="2"/>
      <c r="Q640" s="2"/>
      <c r="R640" s="151">
        <v>45561</v>
      </c>
      <c r="S640" s="151"/>
      <c r="T640" s="151">
        <v>45561</v>
      </c>
      <c r="U640" s="151">
        <v>45614</v>
      </c>
      <c r="V640" s="151">
        <v>45615</v>
      </c>
      <c r="W640" s="2">
        <f>VLOOKUP(Table1[[#This Row],[Status]],Auxiliar!$B$16:$D$24,3,0)*Table1[[#This Row],[Estimação (horas)]]</f>
        <v>8</v>
      </c>
      <c r="X640" s="165">
        <f>+VLOOKUP(CONCATENATE(Table1[[#This Row],[Tabela]],Table1[[#This Row],[Campo]]),'2. Status Detalhe Campos FY24'!A:J,9,FALSE)</f>
        <v>0</v>
      </c>
      <c r="Y640" s="491" t="e">
        <f>+VLOOKUP(A640,#REF!,1,FALSE)</f>
        <v>#REF!</v>
      </c>
    </row>
    <row r="641" spans="1:25" ht="17.899999999999999" hidden="1" customHeight="1">
      <c r="A641" t="str">
        <f>+Table1[[#This Row],[Tabela]]&amp;Table1[[#This Row],[Campo]]</f>
        <v>modesg_out_empr_info_nfinccm_capex_enblng_algnd</v>
      </c>
      <c r="B641" s="2" t="s">
        <v>26</v>
      </c>
      <c r="C641" s="2" t="s">
        <v>310</v>
      </c>
      <c r="D641" s="2" t="s">
        <v>326</v>
      </c>
      <c r="E641" s="2" t="s">
        <v>38</v>
      </c>
      <c r="F641" s="2" t="s">
        <v>325</v>
      </c>
      <c r="G641" s="2" t="s">
        <v>256</v>
      </c>
      <c r="H641" s="56" t="str">
        <f>Table1[[#This Row],[Tabela]]&amp;Table1[[#This Row],[Campo]]</f>
        <v>modesg_out_empr_info_nfinccm_capex_enblng_algnd</v>
      </c>
      <c r="I641" s="2" t="s">
        <v>612</v>
      </c>
      <c r="J641" s="42">
        <f>VLOOKUP(Table1[[#This Row],[Status]],Auxiliar!$B$16:$C$24,2,0)</f>
        <v>1</v>
      </c>
      <c r="K641" s="2" t="s">
        <v>1171</v>
      </c>
      <c r="L641" s="28" t="s">
        <v>1174</v>
      </c>
      <c r="M641" s="20" t="s">
        <v>1167</v>
      </c>
      <c r="N641" s="47">
        <v>45642</v>
      </c>
      <c r="O641" s="20">
        <f>INDEX(Auxiliar!$D$5:$F$13,MATCH(Table1[[#This Row],[Tipologia_Testes]],Auxiliar!$B$5:$B$13,0),MATCH(Table1[[#This Row],[Complexidade]],Auxiliar!$D$4:$F$4,0))</f>
        <v>0.1</v>
      </c>
      <c r="P641" s="2"/>
      <c r="Q641" s="2"/>
      <c r="R641" s="151">
        <v>45561</v>
      </c>
      <c r="S641" s="151"/>
      <c r="T641" s="151">
        <v>45561</v>
      </c>
      <c r="U641" s="151">
        <v>45614</v>
      </c>
      <c r="V641" s="151">
        <v>45615</v>
      </c>
      <c r="W641" s="2">
        <f>VLOOKUP(Table1[[#This Row],[Status]],Auxiliar!$B$16:$D$24,3,0)*Table1[[#This Row],[Estimação (horas)]]</f>
        <v>0.1</v>
      </c>
      <c r="X641" s="165">
        <f>+VLOOKUP(CONCATENATE(Table1[[#This Row],[Tabela]],Table1[[#This Row],[Campo]]),'2. Status Detalhe Campos FY24'!A:J,9,FALSE)</f>
        <v>0</v>
      </c>
      <c r="Y641" s="491" t="e">
        <f>+VLOOKUP(A641,#REF!,1,FALSE)</f>
        <v>#REF!</v>
      </c>
    </row>
    <row r="642" spans="1:25" ht="17.899999999999999" hidden="1" customHeight="1">
      <c r="A642" t="str">
        <f>+Table1[[#This Row],[Tabela]]&amp;Table1[[#This Row],[Campo]]</f>
        <v>modesg_out_empr_info_nfinccm_capex_own_prfrmnce_algnd</v>
      </c>
      <c r="B642" s="2" t="s">
        <v>26</v>
      </c>
      <c r="C642" s="2" t="s">
        <v>310</v>
      </c>
      <c r="D642" s="2" t="s">
        <v>326</v>
      </c>
      <c r="E642" s="2" t="s">
        <v>38</v>
      </c>
      <c r="F642" s="2" t="s">
        <v>325</v>
      </c>
      <c r="G642" s="2" t="s">
        <v>258</v>
      </c>
      <c r="H642" s="56" t="str">
        <f>Table1[[#This Row],[Tabela]]&amp;Table1[[#This Row],[Campo]]</f>
        <v>modesg_out_empr_info_nfinccm_capex_own_prfrmnce_algnd</v>
      </c>
      <c r="I642" s="2" t="s">
        <v>612</v>
      </c>
      <c r="J642" s="42">
        <f>VLOOKUP(Table1[[#This Row],[Status]],Auxiliar!$B$16:$C$24,2,0)</f>
        <v>1</v>
      </c>
      <c r="K642" s="2" t="s">
        <v>1168</v>
      </c>
      <c r="L642" s="28" t="s">
        <v>1174</v>
      </c>
      <c r="M642" s="20" t="s">
        <v>1167</v>
      </c>
      <c r="N642" s="47">
        <v>45642</v>
      </c>
      <c r="O642" s="20">
        <f>INDEX(Auxiliar!$D$5:$F$13,MATCH(Table1[[#This Row],[Tipologia_Testes]],Auxiliar!$B$5:$B$13,0),MATCH(Table1[[#This Row],[Complexidade]],Auxiliar!$D$4:$F$4,0))</f>
        <v>8</v>
      </c>
      <c r="P642" s="2"/>
      <c r="Q642" s="2"/>
      <c r="R642" s="151">
        <v>45561</v>
      </c>
      <c r="S642" s="151"/>
      <c r="T642" s="151">
        <v>45561</v>
      </c>
      <c r="U642" s="151">
        <v>45614</v>
      </c>
      <c r="V642" s="151">
        <v>45615</v>
      </c>
      <c r="W642" s="2">
        <f>VLOOKUP(Table1[[#This Row],[Status]],Auxiliar!$B$16:$D$24,3,0)*Table1[[#This Row],[Estimação (horas)]]</f>
        <v>8</v>
      </c>
      <c r="X642" s="165">
        <f>+VLOOKUP(CONCATENATE(Table1[[#This Row],[Tabela]],Table1[[#This Row],[Campo]]),'2. Status Detalhe Campos FY24'!A:J,9,FALSE)</f>
        <v>0</v>
      </c>
      <c r="Y642" s="491" t="e">
        <f>+VLOOKUP(A642,#REF!,1,FALSE)</f>
        <v>#REF!</v>
      </c>
    </row>
    <row r="643" spans="1:25" ht="17.899999999999999" hidden="1" customHeight="1">
      <c r="A643" t="str">
        <f>+Table1[[#This Row],[Tabela]]&amp;Table1[[#This Row],[Campo]]</f>
        <v>modesg_out_empr_info_nfinccm_capex_own_prfrmnce_algnd</v>
      </c>
      <c r="B643" s="2" t="s">
        <v>26</v>
      </c>
      <c r="C643" s="2" t="s">
        <v>310</v>
      </c>
      <c r="D643" s="2" t="s">
        <v>326</v>
      </c>
      <c r="E643" s="2" t="s">
        <v>38</v>
      </c>
      <c r="F643" s="2" t="s">
        <v>325</v>
      </c>
      <c r="G643" s="2" t="s">
        <v>258</v>
      </c>
      <c r="H643" s="56" t="str">
        <f>Table1[[#This Row],[Tabela]]&amp;Table1[[#This Row],[Campo]]</f>
        <v>modesg_out_empr_info_nfinccm_capex_own_prfrmnce_algnd</v>
      </c>
      <c r="I643" s="2" t="s">
        <v>612</v>
      </c>
      <c r="J643" s="42">
        <f>VLOOKUP(Table1[[#This Row],[Status]],Auxiliar!$B$16:$C$24,2,0)</f>
        <v>1</v>
      </c>
      <c r="K643" s="2" t="s">
        <v>1169</v>
      </c>
      <c r="L643" s="28" t="s">
        <v>1174</v>
      </c>
      <c r="M643" s="20" t="s">
        <v>1167</v>
      </c>
      <c r="N643" s="47">
        <v>45642</v>
      </c>
      <c r="O643" s="20">
        <f>INDEX(Auxiliar!$D$5:$F$13,MATCH(Table1[[#This Row],[Tipologia_Testes]],Auxiliar!$B$5:$B$13,0),MATCH(Table1[[#This Row],[Complexidade]],Auxiliar!$D$4:$F$4,0))</f>
        <v>8</v>
      </c>
      <c r="P643" s="2"/>
      <c r="Q643" s="2"/>
      <c r="R643" s="151">
        <v>45561</v>
      </c>
      <c r="S643" s="151"/>
      <c r="T643" s="151">
        <v>45561</v>
      </c>
      <c r="U643" s="151">
        <v>45614</v>
      </c>
      <c r="V643" s="151">
        <v>45615</v>
      </c>
      <c r="W643" s="2">
        <f>VLOOKUP(Table1[[#This Row],[Status]],Auxiliar!$B$16:$D$24,3,0)*Table1[[#This Row],[Estimação (horas)]]</f>
        <v>8</v>
      </c>
      <c r="X643" s="165">
        <f>+VLOOKUP(CONCATENATE(Table1[[#This Row],[Tabela]],Table1[[#This Row],[Campo]]),'2. Status Detalhe Campos FY24'!A:J,9,FALSE)</f>
        <v>0</v>
      </c>
      <c r="Y643" s="491" t="e">
        <f>+VLOOKUP(A643,#REF!,1,FALSE)</f>
        <v>#REF!</v>
      </c>
    </row>
    <row r="644" spans="1:25" ht="17.899999999999999" hidden="1" customHeight="1">
      <c r="A644" t="str">
        <f>+Table1[[#This Row],[Tabela]]&amp;Table1[[#This Row],[Campo]]</f>
        <v>modesg_out_empr_info_nfinccm_capex_own_prfrmnce_algnd</v>
      </c>
      <c r="B644" s="2" t="s">
        <v>26</v>
      </c>
      <c r="C644" s="2" t="s">
        <v>310</v>
      </c>
      <c r="D644" s="2" t="s">
        <v>326</v>
      </c>
      <c r="E644" s="2" t="s">
        <v>38</v>
      </c>
      <c r="F644" s="2" t="s">
        <v>325</v>
      </c>
      <c r="G644" s="2" t="s">
        <v>258</v>
      </c>
      <c r="H644" s="56" t="str">
        <f>Table1[[#This Row],[Tabela]]&amp;Table1[[#This Row],[Campo]]</f>
        <v>modesg_out_empr_info_nfinccm_capex_own_prfrmnce_algnd</v>
      </c>
      <c r="I644" s="2" t="s">
        <v>612</v>
      </c>
      <c r="J644" s="42">
        <f>VLOOKUP(Table1[[#This Row],[Status]],Auxiliar!$B$16:$C$24,2,0)</f>
        <v>1</v>
      </c>
      <c r="K644" s="2" t="s">
        <v>1171</v>
      </c>
      <c r="L644" s="28" t="s">
        <v>1174</v>
      </c>
      <c r="M644" s="20" t="s">
        <v>1167</v>
      </c>
      <c r="N644" s="47">
        <v>45642</v>
      </c>
      <c r="O644" s="20">
        <f>INDEX(Auxiliar!$D$5:$F$13,MATCH(Table1[[#This Row],[Tipologia_Testes]],Auxiliar!$B$5:$B$13,0),MATCH(Table1[[#This Row],[Complexidade]],Auxiliar!$D$4:$F$4,0))</f>
        <v>0.1</v>
      </c>
      <c r="P644" s="2"/>
      <c r="Q644" s="2"/>
      <c r="R644" s="151">
        <v>45561</v>
      </c>
      <c r="S644" s="151"/>
      <c r="T644" s="151">
        <v>45561</v>
      </c>
      <c r="U644" s="151">
        <v>45614</v>
      </c>
      <c r="V644" s="151">
        <v>45615</v>
      </c>
      <c r="W644" s="2">
        <f>VLOOKUP(Table1[[#This Row],[Status]],Auxiliar!$B$16:$D$24,3,0)*Table1[[#This Row],[Estimação (horas)]]</f>
        <v>0.1</v>
      </c>
      <c r="X644" s="165">
        <f>+VLOOKUP(CONCATENATE(Table1[[#This Row],[Tabela]],Table1[[#This Row],[Campo]]),'2. Status Detalhe Campos FY24'!A:J,9,FALSE)</f>
        <v>0</v>
      </c>
      <c r="Y644" s="491" t="e">
        <f>+VLOOKUP(A644,#REF!,1,FALSE)</f>
        <v>#REF!</v>
      </c>
    </row>
    <row r="645" spans="1:25" ht="17.899999999999999" hidden="1" customHeight="1">
      <c r="A645" t="str">
        <f>+Table1[[#This Row],[Tabela]]&amp;Table1[[#This Row],[Campo]]</f>
        <v>modesg_out_empr_info_nfinccm_capex_trnstn_algnd</v>
      </c>
      <c r="B645" s="2" t="s">
        <v>26</v>
      </c>
      <c r="C645" s="2" t="s">
        <v>310</v>
      </c>
      <c r="D645" s="2" t="s">
        <v>326</v>
      </c>
      <c r="E645" s="2" t="s">
        <v>38</v>
      </c>
      <c r="F645" s="2" t="s">
        <v>325</v>
      </c>
      <c r="G645" s="2" t="s">
        <v>257</v>
      </c>
      <c r="H645" s="56" t="str">
        <f>Table1[[#This Row],[Tabela]]&amp;Table1[[#This Row],[Campo]]</f>
        <v>modesg_out_empr_info_nfinccm_capex_trnstn_algnd</v>
      </c>
      <c r="I645" s="2" t="s">
        <v>612</v>
      </c>
      <c r="J645" s="42">
        <f>VLOOKUP(Table1[[#This Row],[Status]],Auxiliar!$B$16:$C$24,2,0)</f>
        <v>1</v>
      </c>
      <c r="K645" s="2" t="s">
        <v>1168</v>
      </c>
      <c r="L645" s="28" t="s">
        <v>1174</v>
      </c>
      <c r="M645" s="20" t="s">
        <v>1167</v>
      </c>
      <c r="N645" s="47">
        <v>45642</v>
      </c>
      <c r="O645" s="20">
        <f>INDEX(Auxiliar!$D$5:$F$13,MATCH(Table1[[#This Row],[Tipologia_Testes]],Auxiliar!$B$5:$B$13,0),MATCH(Table1[[#This Row],[Complexidade]],Auxiliar!$D$4:$F$4,0))</f>
        <v>8</v>
      </c>
      <c r="P645" s="2"/>
      <c r="Q645" s="2"/>
      <c r="R645" s="151">
        <v>45561</v>
      </c>
      <c r="S645" s="151"/>
      <c r="T645" s="151">
        <v>45561</v>
      </c>
      <c r="U645" s="151">
        <v>45614</v>
      </c>
      <c r="V645" s="151">
        <v>45615</v>
      </c>
      <c r="W645" s="2">
        <f>VLOOKUP(Table1[[#This Row],[Status]],Auxiliar!$B$16:$D$24,3,0)*Table1[[#This Row],[Estimação (horas)]]</f>
        <v>8</v>
      </c>
      <c r="X645" s="165">
        <f>+VLOOKUP(CONCATENATE(Table1[[#This Row],[Tabela]],Table1[[#This Row],[Campo]]),'2. Status Detalhe Campos FY24'!A:J,9,FALSE)</f>
        <v>0</v>
      </c>
      <c r="Y645" s="491" t="e">
        <f>+VLOOKUP(A645,#REF!,1,FALSE)</f>
        <v>#REF!</v>
      </c>
    </row>
    <row r="646" spans="1:25" ht="17.899999999999999" hidden="1" customHeight="1">
      <c r="A646" t="str">
        <f>+Table1[[#This Row],[Tabela]]&amp;Table1[[#This Row],[Campo]]</f>
        <v>modesg_out_empr_info_nfinccm_capex_trnstn_algnd</v>
      </c>
      <c r="B646" s="2" t="s">
        <v>26</v>
      </c>
      <c r="C646" s="2" t="s">
        <v>310</v>
      </c>
      <c r="D646" s="2" t="s">
        <v>326</v>
      </c>
      <c r="E646" s="2" t="s">
        <v>38</v>
      </c>
      <c r="F646" s="2" t="s">
        <v>325</v>
      </c>
      <c r="G646" s="2" t="s">
        <v>257</v>
      </c>
      <c r="H646" s="56" t="str">
        <f>Table1[[#This Row],[Tabela]]&amp;Table1[[#This Row],[Campo]]</f>
        <v>modesg_out_empr_info_nfinccm_capex_trnstn_algnd</v>
      </c>
      <c r="I646" s="2" t="s">
        <v>612</v>
      </c>
      <c r="J646" s="42">
        <f>VLOOKUP(Table1[[#This Row],[Status]],Auxiliar!$B$16:$C$24,2,0)</f>
        <v>1</v>
      </c>
      <c r="K646" s="2" t="s">
        <v>1169</v>
      </c>
      <c r="L646" s="28" t="s">
        <v>1174</v>
      </c>
      <c r="M646" s="20" t="s">
        <v>1167</v>
      </c>
      <c r="N646" s="47">
        <v>45642</v>
      </c>
      <c r="O646" s="20">
        <f>INDEX(Auxiliar!$D$5:$F$13,MATCH(Table1[[#This Row],[Tipologia_Testes]],Auxiliar!$B$5:$B$13,0),MATCH(Table1[[#This Row],[Complexidade]],Auxiliar!$D$4:$F$4,0))</f>
        <v>8</v>
      </c>
      <c r="P646" s="2"/>
      <c r="Q646" s="2"/>
      <c r="R646" s="151">
        <v>45561</v>
      </c>
      <c r="S646" s="151"/>
      <c r="T646" s="151">
        <v>45561</v>
      </c>
      <c r="U646" s="151">
        <v>45614</v>
      </c>
      <c r="V646" s="151">
        <v>45615</v>
      </c>
      <c r="W646" s="2">
        <f>VLOOKUP(Table1[[#This Row],[Status]],Auxiliar!$B$16:$D$24,3,0)*Table1[[#This Row],[Estimação (horas)]]</f>
        <v>8</v>
      </c>
      <c r="X646" s="165">
        <f>+VLOOKUP(CONCATENATE(Table1[[#This Row],[Tabela]],Table1[[#This Row],[Campo]]),'2. Status Detalhe Campos FY24'!A:J,9,FALSE)</f>
        <v>0</v>
      </c>
      <c r="Y646" s="491" t="e">
        <f>+VLOOKUP(A646,#REF!,1,FALSE)</f>
        <v>#REF!</v>
      </c>
    </row>
    <row r="647" spans="1:25" ht="17.899999999999999" hidden="1" customHeight="1">
      <c r="A647" t="str">
        <f>+Table1[[#This Row],[Tabela]]&amp;Table1[[#This Row],[Campo]]</f>
        <v>modesg_out_empr_info_nfinccm_capex_trnstn_algnd</v>
      </c>
      <c r="B647" s="2" t="s">
        <v>26</v>
      </c>
      <c r="C647" s="2" t="s">
        <v>310</v>
      </c>
      <c r="D647" s="2" t="s">
        <v>326</v>
      </c>
      <c r="E647" s="2" t="s">
        <v>38</v>
      </c>
      <c r="F647" s="2" t="s">
        <v>325</v>
      </c>
      <c r="G647" s="2" t="s">
        <v>257</v>
      </c>
      <c r="H647" s="56" t="str">
        <f>Table1[[#This Row],[Tabela]]&amp;Table1[[#This Row],[Campo]]</f>
        <v>modesg_out_empr_info_nfinccm_capex_trnstn_algnd</v>
      </c>
      <c r="I647" s="2" t="s">
        <v>612</v>
      </c>
      <c r="J647" s="42">
        <f>VLOOKUP(Table1[[#This Row],[Status]],Auxiliar!$B$16:$C$24,2,0)</f>
        <v>1</v>
      </c>
      <c r="K647" s="2" t="s">
        <v>1171</v>
      </c>
      <c r="L647" s="28" t="s">
        <v>1174</v>
      </c>
      <c r="M647" s="20" t="s">
        <v>1167</v>
      </c>
      <c r="N647" s="47">
        <v>45642</v>
      </c>
      <c r="O647" s="20">
        <f>INDEX(Auxiliar!$D$5:$F$13,MATCH(Table1[[#This Row],[Tipologia_Testes]],Auxiliar!$B$5:$B$13,0),MATCH(Table1[[#This Row],[Complexidade]],Auxiliar!$D$4:$F$4,0))</f>
        <v>0.1</v>
      </c>
      <c r="P647" s="2"/>
      <c r="Q647" s="2"/>
      <c r="R647" s="151">
        <v>45561</v>
      </c>
      <c r="S647" s="151"/>
      <c r="T647" s="151">
        <v>45561</v>
      </c>
      <c r="U647" s="151">
        <v>45614</v>
      </c>
      <c r="V647" s="151">
        <v>45615</v>
      </c>
      <c r="W647" s="2">
        <f>VLOOKUP(Table1[[#This Row],[Status]],Auxiliar!$B$16:$D$24,3,0)*Table1[[#This Row],[Estimação (horas)]]</f>
        <v>0.1</v>
      </c>
      <c r="X647" s="165">
        <f>+VLOOKUP(CONCATENATE(Table1[[#This Row],[Tabela]],Table1[[#This Row],[Campo]]),'2. Status Detalhe Campos FY24'!A:J,9,FALSE)</f>
        <v>0</v>
      </c>
      <c r="Y647" s="491" t="e">
        <f>+VLOOKUP(A647,#REF!,1,FALSE)</f>
        <v>#REF!</v>
      </c>
    </row>
    <row r="648" spans="1:25" ht="17.899999999999999" hidden="1" customHeight="1">
      <c r="A648" t="str">
        <f>+Table1[[#This Row],[Tabela]]&amp;Table1[[#This Row],[Campo]]</f>
        <v>modesg_out_empr_info_nfinccm_capex_ttl_elgbl</v>
      </c>
      <c r="B648" s="2" t="s">
        <v>26</v>
      </c>
      <c r="C648" s="2" t="s">
        <v>310</v>
      </c>
      <c r="D648" s="2" t="s">
        <v>326</v>
      </c>
      <c r="E648" s="2" t="s">
        <v>38</v>
      </c>
      <c r="F648" s="2" t="s">
        <v>325</v>
      </c>
      <c r="G648" s="2" t="s">
        <v>255</v>
      </c>
      <c r="H648" s="56" t="str">
        <f>Table1[[#This Row],[Tabela]]&amp;Table1[[#This Row],[Campo]]</f>
        <v>modesg_out_empr_info_nfinccm_capex_ttl_elgbl</v>
      </c>
      <c r="I648" s="2" t="s">
        <v>612</v>
      </c>
      <c r="J648" s="42">
        <f>VLOOKUP(Table1[[#This Row],[Status]],Auxiliar!$B$16:$C$24,2,0)</f>
        <v>1</v>
      </c>
      <c r="K648" s="2" t="s">
        <v>1168</v>
      </c>
      <c r="L648" s="28" t="s">
        <v>1174</v>
      </c>
      <c r="M648" s="20" t="s">
        <v>1167</v>
      </c>
      <c r="N648" s="47">
        <v>45642</v>
      </c>
      <c r="O648" s="20">
        <f>INDEX(Auxiliar!$D$5:$F$13,MATCH(Table1[[#This Row],[Tipologia_Testes]],Auxiliar!$B$5:$B$13,0),MATCH(Table1[[#This Row],[Complexidade]],Auxiliar!$D$4:$F$4,0))</f>
        <v>8</v>
      </c>
      <c r="P648" s="2"/>
      <c r="Q648" s="2"/>
      <c r="R648" s="151">
        <v>45561</v>
      </c>
      <c r="S648" s="151"/>
      <c r="T648" s="151">
        <v>45561</v>
      </c>
      <c r="U648" s="151">
        <v>45614</v>
      </c>
      <c r="V648" s="151">
        <v>45615</v>
      </c>
      <c r="W648" s="2">
        <f>VLOOKUP(Table1[[#This Row],[Status]],Auxiliar!$B$16:$D$24,3,0)*Table1[[#This Row],[Estimação (horas)]]</f>
        <v>8</v>
      </c>
      <c r="X648" s="165">
        <f>+VLOOKUP(CONCATENATE(Table1[[#This Row],[Tabela]],Table1[[#This Row],[Campo]]),'2. Status Detalhe Campos FY24'!A:J,9,FALSE)</f>
        <v>0</v>
      </c>
      <c r="Y648" s="491" t="e">
        <f>+VLOOKUP(A648,#REF!,1,FALSE)</f>
        <v>#REF!</v>
      </c>
    </row>
    <row r="649" spans="1:25" ht="17.899999999999999" hidden="1" customHeight="1">
      <c r="A649" t="str">
        <f>+Table1[[#This Row],[Tabela]]&amp;Table1[[#This Row],[Campo]]</f>
        <v>modesg_out_empr_info_nfinccm_capex_ttl_elgbl</v>
      </c>
      <c r="B649" s="2" t="s">
        <v>26</v>
      </c>
      <c r="C649" s="2" t="s">
        <v>310</v>
      </c>
      <c r="D649" s="2" t="s">
        <v>326</v>
      </c>
      <c r="E649" s="2" t="s">
        <v>38</v>
      </c>
      <c r="F649" s="2" t="s">
        <v>325</v>
      </c>
      <c r="G649" s="2" t="s">
        <v>255</v>
      </c>
      <c r="H649" s="56" t="str">
        <f>Table1[[#This Row],[Tabela]]&amp;Table1[[#This Row],[Campo]]</f>
        <v>modesg_out_empr_info_nfinccm_capex_ttl_elgbl</v>
      </c>
      <c r="I649" s="2" t="s">
        <v>612</v>
      </c>
      <c r="J649" s="42">
        <f>VLOOKUP(Table1[[#This Row],[Status]],Auxiliar!$B$16:$C$24,2,0)</f>
        <v>1</v>
      </c>
      <c r="K649" s="2" t="s">
        <v>1169</v>
      </c>
      <c r="L649" s="28" t="s">
        <v>1174</v>
      </c>
      <c r="M649" s="20" t="s">
        <v>1167</v>
      </c>
      <c r="N649" s="47">
        <v>45642</v>
      </c>
      <c r="O649" s="20">
        <f>INDEX(Auxiliar!$D$5:$F$13,MATCH(Table1[[#This Row],[Tipologia_Testes]],Auxiliar!$B$5:$B$13,0),MATCH(Table1[[#This Row],[Complexidade]],Auxiliar!$D$4:$F$4,0))</f>
        <v>8</v>
      </c>
      <c r="P649" s="2"/>
      <c r="Q649" s="2"/>
      <c r="R649" s="151">
        <v>45561</v>
      </c>
      <c r="S649" s="151"/>
      <c r="T649" s="151">
        <v>45561</v>
      </c>
      <c r="U649" s="151">
        <v>45614</v>
      </c>
      <c r="V649" s="151">
        <v>45615</v>
      </c>
      <c r="W649" s="2">
        <f>VLOOKUP(Table1[[#This Row],[Status]],Auxiliar!$B$16:$D$24,3,0)*Table1[[#This Row],[Estimação (horas)]]</f>
        <v>8</v>
      </c>
      <c r="X649" s="165">
        <f>+VLOOKUP(CONCATENATE(Table1[[#This Row],[Tabela]],Table1[[#This Row],[Campo]]),'2. Status Detalhe Campos FY24'!A:J,9,FALSE)</f>
        <v>0</v>
      </c>
      <c r="Y649" s="491" t="e">
        <f>+VLOOKUP(A649,#REF!,1,FALSE)</f>
        <v>#REF!</v>
      </c>
    </row>
    <row r="650" spans="1:25" ht="17.899999999999999" hidden="1" customHeight="1">
      <c r="A650" t="str">
        <f>+Table1[[#This Row],[Tabela]]&amp;Table1[[#This Row],[Campo]]</f>
        <v>modesg_out_empr_info_nfinccm_capex_ttl_elgbl</v>
      </c>
      <c r="B650" s="2" t="s">
        <v>26</v>
      </c>
      <c r="C650" s="2" t="s">
        <v>310</v>
      </c>
      <c r="D650" s="2" t="s">
        <v>326</v>
      </c>
      <c r="E650" s="2" t="s">
        <v>38</v>
      </c>
      <c r="F650" s="2" t="s">
        <v>325</v>
      </c>
      <c r="G650" s="2" t="s">
        <v>255</v>
      </c>
      <c r="H650" s="56" t="str">
        <f>Table1[[#This Row],[Tabela]]&amp;Table1[[#This Row],[Campo]]</f>
        <v>modesg_out_empr_info_nfinccm_capex_ttl_elgbl</v>
      </c>
      <c r="I650" s="2" t="s">
        <v>612</v>
      </c>
      <c r="J650" s="42">
        <f>VLOOKUP(Table1[[#This Row],[Status]],Auxiliar!$B$16:$C$24,2,0)</f>
        <v>1</v>
      </c>
      <c r="K650" s="2" t="s">
        <v>1171</v>
      </c>
      <c r="L650" s="28" t="s">
        <v>1174</v>
      </c>
      <c r="M650" s="20" t="s">
        <v>1167</v>
      </c>
      <c r="N650" s="47">
        <v>45642</v>
      </c>
      <c r="O650" s="20">
        <f>INDEX(Auxiliar!$D$5:$F$13,MATCH(Table1[[#This Row],[Tipologia_Testes]],Auxiliar!$B$5:$B$13,0),MATCH(Table1[[#This Row],[Complexidade]],Auxiliar!$D$4:$F$4,0))</f>
        <v>0.1</v>
      </c>
      <c r="P650" s="2"/>
      <c r="Q650" s="2"/>
      <c r="R650" s="151">
        <v>45561</v>
      </c>
      <c r="S650" s="151"/>
      <c r="T650" s="151">
        <v>45561</v>
      </c>
      <c r="U650" s="151">
        <v>45614</v>
      </c>
      <c r="V650" s="151">
        <v>45615</v>
      </c>
      <c r="W650" s="2">
        <f>VLOOKUP(Table1[[#This Row],[Status]],Auxiliar!$B$16:$D$24,3,0)*Table1[[#This Row],[Estimação (horas)]]</f>
        <v>0.1</v>
      </c>
      <c r="X650" s="165">
        <f>+VLOOKUP(CONCATENATE(Table1[[#This Row],[Tabela]],Table1[[#This Row],[Campo]]),'2. Status Detalhe Campos FY24'!A:J,9,FALSE)</f>
        <v>0</v>
      </c>
      <c r="Y650" s="491" t="e">
        <f>+VLOOKUP(A650,#REF!,1,FALSE)</f>
        <v>#REF!</v>
      </c>
    </row>
    <row r="651" spans="1:25" ht="17.899999999999999" hidden="1" customHeight="1">
      <c r="A651" t="str">
        <f>+Table1[[#This Row],[Tabela]]&amp;Table1[[#This Row],[Campo]]</f>
        <v>modesg_out_empr_info_nfinccm_trnvr_enblng_algnd</v>
      </c>
      <c r="B651" s="2" t="s">
        <v>26</v>
      </c>
      <c r="C651" s="2" t="s">
        <v>310</v>
      </c>
      <c r="D651" s="2" t="s">
        <v>326</v>
      </c>
      <c r="E651" s="2" t="s">
        <v>38</v>
      </c>
      <c r="F651" s="2" t="s">
        <v>325</v>
      </c>
      <c r="G651" s="2" t="s">
        <v>252</v>
      </c>
      <c r="H651" s="56" t="str">
        <f>Table1[[#This Row],[Tabela]]&amp;Table1[[#This Row],[Campo]]</f>
        <v>modesg_out_empr_info_nfinccm_trnvr_enblng_algnd</v>
      </c>
      <c r="I651" s="2" t="s">
        <v>612</v>
      </c>
      <c r="J651" s="42">
        <f>VLOOKUP(Table1[[#This Row],[Status]],Auxiliar!$B$16:$C$24,2,0)</f>
        <v>1</v>
      </c>
      <c r="K651" s="2" t="s">
        <v>1168</v>
      </c>
      <c r="L651" s="28" t="s">
        <v>1174</v>
      </c>
      <c r="M651" s="20" t="s">
        <v>1167</v>
      </c>
      <c r="N651" s="47">
        <v>45642</v>
      </c>
      <c r="O651" s="20">
        <f>INDEX(Auxiliar!$D$5:$F$13,MATCH(Table1[[#This Row],[Tipologia_Testes]],Auxiliar!$B$5:$B$13,0),MATCH(Table1[[#This Row],[Complexidade]],Auxiliar!$D$4:$F$4,0))</f>
        <v>8</v>
      </c>
      <c r="P651" s="2"/>
      <c r="Q651" s="2"/>
      <c r="R651" s="151">
        <v>45561</v>
      </c>
      <c r="S651" s="151"/>
      <c r="T651" s="151">
        <v>45561</v>
      </c>
      <c r="U651" s="151">
        <v>45614</v>
      </c>
      <c r="V651" s="151">
        <v>45615</v>
      </c>
      <c r="W651" s="2">
        <f>VLOOKUP(Table1[[#This Row],[Status]],Auxiliar!$B$16:$D$24,3,0)*Table1[[#This Row],[Estimação (horas)]]</f>
        <v>8</v>
      </c>
      <c r="X651" s="165">
        <f>+VLOOKUP(CONCATENATE(Table1[[#This Row],[Tabela]],Table1[[#This Row],[Campo]]),'2. Status Detalhe Campos FY24'!A:J,9,FALSE)</f>
        <v>0</v>
      </c>
      <c r="Y651" s="491" t="e">
        <f>+VLOOKUP(A651,#REF!,1,FALSE)</f>
        <v>#REF!</v>
      </c>
    </row>
    <row r="652" spans="1:25" ht="17.899999999999999" hidden="1" customHeight="1">
      <c r="A652" t="str">
        <f>+Table1[[#This Row],[Tabela]]&amp;Table1[[#This Row],[Campo]]</f>
        <v>modesg_out_empr_info_nfinccm_trnvr_enblng_algnd</v>
      </c>
      <c r="B652" s="2" t="s">
        <v>26</v>
      </c>
      <c r="C652" s="2" t="s">
        <v>310</v>
      </c>
      <c r="D652" s="2" t="s">
        <v>326</v>
      </c>
      <c r="E652" s="2" t="s">
        <v>38</v>
      </c>
      <c r="F652" s="2" t="s">
        <v>325</v>
      </c>
      <c r="G652" s="2" t="s">
        <v>252</v>
      </c>
      <c r="H652" s="56" t="str">
        <f>Table1[[#This Row],[Tabela]]&amp;Table1[[#This Row],[Campo]]</f>
        <v>modesg_out_empr_info_nfinccm_trnvr_enblng_algnd</v>
      </c>
      <c r="I652" s="2" t="s">
        <v>612</v>
      </c>
      <c r="J652" s="42">
        <f>VLOOKUP(Table1[[#This Row],[Status]],Auxiliar!$B$16:$C$24,2,0)</f>
        <v>1</v>
      </c>
      <c r="K652" s="2" t="s">
        <v>1169</v>
      </c>
      <c r="L652" s="28" t="s">
        <v>1174</v>
      </c>
      <c r="M652" s="20" t="s">
        <v>1167</v>
      </c>
      <c r="N652" s="47">
        <v>45642</v>
      </c>
      <c r="O652" s="20">
        <f>INDEX(Auxiliar!$D$5:$F$13,MATCH(Table1[[#This Row],[Tipologia_Testes]],Auxiliar!$B$5:$B$13,0),MATCH(Table1[[#This Row],[Complexidade]],Auxiliar!$D$4:$F$4,0))</f>
        <v>8</v>
      </c>
      <c r="P652" s="2"/>
      <c r="Q652" s="2"/>
      <c r="R652" s="151">
        <v>45561</v>
      </c>
      <c r="S652" s="151"/>
      <c r="T652" s="151">
        <v>45561</v>
      </c>
      <c r="U652" s="151">
        <v>45614</v>
      </c>
      <c r="V652" s="151">
        <v>45615</v>
      </c>
      <c r="W652" s="2">
        <f>VLOOKUP(Table1[[#This Row],[Status]],Auxiliar!$B$16:$D$24,3,0)*Table1[[#This Row],[Estimação (horas)]]</f>
        <v>8</v>
      </c>
      <c r="X652" s="165">
        <f>+VLOOKUP(CONCATENATE(Table1[[#This Row],[Tabela]],Table1[[#This Row],[Campo]]),'2. Status Detalhe Campos FY24'!A:J,9,FALSE)</f>
        <v>0</v>
      </c>
      <c r="Y652" s="491" t="e">
        <f>+VLOOKUP(A652,#REF!,1,FALSE)</f>
        <v>#REF!</v>
      </c>
    </row>
    <row r="653" spans="1:25" ht="17.899999999999999" hidden="1" customHeight="1">
      <c r="A653" t="str">
        <f>+Table1[[#This Row],[Tabela]]&amp;Table1[[#This Row],[Campo]]</f>
        <v>modesg_out_empr_info_nfinccm_trnvr_enblng_algnd</v>
      </c>
      <c r="B653" s="2" t="s">
        <v>26</v>
      </c>
      <c r="C653" s="2" t="s">
        <v>310</v>
      </c>
      <c r="D653" s="2" t="s">
        <v>326</v>
      </c>
      <c r="E653" s="2" t="s">
        <v>38</v>
      </c>
      <c r="F653" s="2" t="s">
        <v>325</v>
      </c>
      <c r="G653" s="2" t="s">
        <v>252</v>
      </c>
      <c r="H653" s="56" t="str">
        <f>Table1[[#This Row],[Tabela]]&amp;Table1[[#This Row],[Campo]]</f>
        <v>modesg_out_empr_info_nfinccm_trnvr_enblng_algnd</v>
      </c>
      <c r="I653" s="2" t="s">
        <v>612</v>
      </c>
      <c r="J653" s="42">
        <f>VLOOKUP(Table1[[#This Row],[Status]],Auxiliar!$B$16:$C$24,2,0)</f>
        <v>1</v>
      </c>
      <c r="K653" s="2" t="s">
        <v>1171</v>
      </c>
      <c r="L653" s="28" t="s">
        <v>1174</v>
      </c>
      <c r="M653" s="20" t="s">
        <v>1167</v>
      </c>
      <c r="N653" s="47">
        <v>45642</v>
      </c>
      <c r="O653" s="20">
        <f>INDEX(Auxiliar!$D$5:$F$13,MATCH(Table1[[#This Row],[Tipologia_Testes]],Auxiliar!$B$5:$B$13,0),MATCH(Table1[[#This Row],[Complexidade]],Auxiliar!$D$4:$F$4,0))</f>
        <v>0.1</v>
      </c>
      <c r="P653" s="2"/>
      <c r="Q653" s="2"/>
      <c r="R653" s="151">
        <v>45561</v>
      </c>
      <c r="S653" s="151"/>
      <c r="T653" s="151">
        <v>45561</v>
      </c>
      <c r="U653" s="151">
        <v>45614</v>
      </c>
      <c r="V653" s="151">
        <v>45615</v>
      </c>
      <c r="W653" s="2">
        <f>VLOOKUP(Table1[[#This Row],[Status]],Auxiliar!$B$16:$D$24,3,0)*Table1[[#This Row],[Estimação (horas)]]</f>
        <v>0.1</v>
      </c>
      <c r="X653" s="165">
        <f>+VLOOKUP(CONCATENATE(Table1[[#This Row],[Tabela]],Table1[[#This Row],[Campo]]),'2. Status Detalhe Campos FY24'!A:J,9,FALSE)</f>
        <v>0</v>
      </c>
      <c r="Y653" s="491" t="e">
        <f>+VLOOKUP(A653,#REF!,1,FALSE)</f>
        <v>#REF!</v>
      </c>
    </row>
    <row r="654" spans="1:25" ht="17.899999999999999" hidden="1" customHeight="1">
      <c r="A654" t="str">
        <f>+Table1[[#This Row],[Tabela]]&amp;Table1[[#This Row],[Campo]]</f>
        <v>modesg_out_empr_info_nfinccm_trnvr_own_prfrmnce_algnd</v>
      </c>
      <c r="B654" s="2" t="s">
        <v>26</v>
      </c>
      <c r="C654" s="2" t="s">
        <v>310</v>
      </c>
      <c r="D654" s="2" t="s">
        <v>326</v>
      </c>
      <c r="E654" s="2" t="s">
        <v>38</v>
      </c>
      <c r="F654" s="2" t="s">
        <v>325</v>
      </c>
      <c r="G654" s="2" t="s">
        <v>254</v>
      </c>
      <c r="H654" s="56" t="str">
        <f>Table1[[#This Row],[Tabela]]&amp;Table1[[#This Row],[Campo]]</f>
        <v>modesg_out_empr_info_nfinccm_trnvr_own_prfrmnce_algnd</v>
      </c>
      <c r="I654" s="2" t="s">
        <v>612</v>
      </c>
      <c r="J654" s="42">
        <f>VLOOKUP(Table1[[#This Row],[Status]],Auxiliar!$B$16:$C$24,2,0)</f>
        <v>1</v>
      </c>
      <c r="K654" s="2" t="s">
        <v>1168</v>
      </c>
      <c r="L654" s="28" t="s">
        <v>1174</v>
      </c>
      <c r="M654" s="20" t="s">
        <v>1167</v>
      </c>
      <c r="N654" s="47">
        <v>45642</v>
      </c>
      <c r="O654" s="20">
        <f>INDEX(Auxiliar!$D$5:$F$13,MATCH(Table1[[#This Row],[Tipologia_Testes]],Auxiliar!$B$5:$B$13,0),MATCH(Table1[[#This Row],[Complexidade]],Auxiliar!$D$4:$F$4,0))</f>
        <v>8</v>
      </c>
      <c r="P654" s="2"/>
      <c r="Q654" s="2"/>
      <c r="R654" s="151">
        <v>45561</v>
      </c>
      <c r="S654" s="151"/>
      <c r="T654" s="151">
        <v>45561</v>
      </c>
      <c r="U654" s="151">
        <v>45614</v>
      </c>
      <c r="V654" s="151">
        <v>45615</v>
      </c>
      <c r="W654" s="2">
        <f>VLOOKUP(Table1[[#This Row],[Status]],Auxiliar!$B$16:$D$24,3,0)*Table1[[#This Row],[Estimação (horas)]]</f>
        <v>8</v>
      </c>
      <c r="X654" s="165">
        <f>+VLOOKUP(CONCATENATE(Table1[[#This Row],[Tabela]],Table1[[#This Row],[Campo]]),'2. Status Detalhe Campos FY24'!A:J,9,FALSE)</f>
        <v>0</v>
      </c>
      <c r="Y654" s="491" t="e">
        <f>+VLOOKUP(A654,#REF!,1,FALSE)</f>
        <v>#REF!</v>
      </c>
    </row>
    <row r="655" spans="1:25" ht="17.899999999999999" hidden="1" customHeight="1">
      <c r="A655" t="str">
        <f>+Table1[[#This Row],[Tabela]]&amp;Table1[[#This Row],[Campo]]</f>
        <v>modesg_out_empr_info_nfinccm_trnvr_own_prfrmnce_algnd</v>
      </c>
      <c r="B655" s="2" t="s">
        <v>26</v>
      </c>
      <c r="C655" s="2" t="s">
        <v>310</v>
      </c>
      <c r="D655" s="2" t="s">
        <v>326</v>
      </c>
      <c r="E655" s="2" t="s">
        <v>38</v>
      </c>
      <c r="F655" s="2" t="s">
        <v>325</v>
      </c>
      <c r="G655" s="2" t="s">
        <v>254</v>
      </c>
      <c r="H655" s="56" t="str">
        <f>Table1[[#This Row],[Tabela]]&amp;Table1[[#This Row],[Campo]]</f>
        <v>modesg_out_empr_info_nfinccm_trnvr_own_prfrmnce_algnd</v>
      </c>
      <c r="I655" s="2" t="s">
        <v>612</v>
      </c>
      <c r="J655" s="42">
        <f>VLOOKUP(Table1[[#This Row],[Status]],Auxiliar!$B$16:$C$24,2,0)</f>
        <v>1</v>
      </c>
      <c r="K655" s="2" t="s">
        <v>1169</v>
      </c>
      <c r="L655" s="28" t="s">
        <v>1174</v>
      </c>
      <c r="M655" s="20" t="s">
        <v>1167</v>
      </c>
      <c r="N655" s="47">
        <v>45642</v>
      </c>
      <c r="O655" s="20">
        <f>INDEX(Auxiliar!$D$5:$F$13,MATCH(Table1[[#This Row],[Tipologia_Testes]],Auxiliar!$B$5:$B$13,0),MATCH(Table1[[#This Row],[Complexidade]],Auxiliar!$D$4:$F$4,0))</f>
        <v>8</v>
      </c>
      <c r="P655" s="2"/>
      <c r="Q655" s="2"/>
      <c r="R655" s="151">
        <v>45561</v>
      </c>
      <c r="S655" s="151"/>
      <c r="T655" s="151">
        <v>45561</v>
      </c>
      <c r="U655" s="151">
        <v>45614</v>
      </c>
      <c r="V655" s="151">
        <v>45615</v>
      </c>
      <c r="W655" s="2">
        <f>VLOOKUP(Table1[[#This Row],[Status]],Auxiliar!$B$16:$D$24,3,0)*Table1[[#This Row],[Estimação (horas)]]</f>
        <v>8</v>
      </c>
      <c r="X655" s="165">
        <f>+VLOOKUP(CONCATENATE(Table1[[#This Row],[Tabela]],Table1[[#This Row],[Campo]]),'2. Status Detalhe Campos FY24'!A:J,9,FALSE)</f>
        <v>0</v>
      </c>
      <c r="Y655" s="491" t="e">
        <f>+VLOOKUP(A655,#REF!,1,FALSE)</f>
        <v>#REF!</v>
      </c>
    </row>
    <row r="656" spans="1:25" ht="17.899999999999999" hidden="1" customHeight="1">
      <c r="A656" t="str">
        <f>+Table1[[#This Row],[Tabela]]&amp;Table1[[#This Row],[Campo]]</f>
        <v>modesg_out_empr_info_nfinccm_trnvr_own_prfrmnce_algnd</v>
      </c>
      <c r="B656" s="2" t="s">
        <v>26</v>
      </c>
      <c r="C656" s="2" t="s">
        <v>310</v>
      </c>
      <c r="D656" s="2" t="s">
        <v>326</v>
      </c>
      <c r="E656" s="2" t="s">
        <v>38</v>
      </c>
      <c r="F656" s="2" t="s">
        <v>325</v>
      </c>
      <c r="G656" s="2" t="s">
        <v>254</v>
      </c>
      <c r="H656" s="56" t="str">
        <f>Table1[[#This Row],[Tabela]]&amp;Table1[[#This Row],[Campo]]</f>
        <v>modesg_out_empr_info_nfinccm_trnvr_own_prfrmnce_algnd</v>
      </c>
      <c r="I656" s="2" t="s">
        <v>612</v>
      </c>
      <c r="J656" s="42">
        <f>VLOOKUP(Table1[[#This Row],[Status]],Auxiliar!$B$16:$C$24,2,0)</f>
        <v>1</v>
      </c>
      <c r="K656" s="2" t="s">
        <v>1171</v>
      </c>
      <c r="L656" s="28" t="s">
        <v>1174</v>
      </c>
      <c r="M656" s="20" t="s">
        <v>1167</v>
      </c>
      <c r="N656" s="47">
        <v>45642</v>
      </c>
      <c r="O656" s="20">
        <f>INDEX(Auxiliar!$D$5:$F$13,MATCH(Table1[[#This Row],[Tipologia_Testes]],Auxiliar!$B$5:$B$13,0),MATCH(Table1[[#This Row],[Complexidade]],Auxiliar!$D$4:$F$4,0))</f>
        <v>0.1</v>
      </c>
      <c r="P656" s="2"/>
      <c r="Q656" s="2"/>
      <c r="R656" s="151">
        <v>45561</v>
      </c>
      <c r="S656" s="151"/>
      <c r="T656" s="151">
        <v>45561</v>
      </c>
      <c r="U656" s="151">
        <v>45614</v>
      </c>
      <c r="V656" s="151">
        <v>45615</v>
      </c>
      <c r="W656" s="2">
        <f>VLOOKUP(Table1[[#This Row],[Status]],Auxiliar!$B$16:$D$24,3,0)*Table1[[#This Row],[Estimação (horas)]]</f>
        <v>0.1</v>
      </c>
      <c r="X656" s="165">
        <f>+VLOOKUP(CONCATENATE(Table1[[#This Row],[Tabela]],Table1[[#This Row],[Campo]]),'2. Status Detalhe Campos FY24'!A:J,9,FALSE)</f>
        <v>0</v>
      </c>
      <c r="Y656" s="491" t="e">
        <f>+VLOOKUP(A656,#REF!,1,FALSE)</f>
        <v>#REF!</v>
      </c>
    </row>
    <row r="657" spans="1:25" ht="17.899999999999999" hidden="1" customHeight="1">
      <c r="A657" t="str">
        <f>+Table1[[#This Row],[Tabela]]&amp;Table1[[#This Row],[Campo]]</f>
        <v>modesg_out_empr_info_nfinccm_trnvr_trnstn_alignd</v>
      </c>
      <c r="B657" s="2" t="s">
        <v>26</v>
      </c>
      <c r="C657" s="2" t="s">
        <v>310</v>
      </c>
      <c r="D657" s="2" t="s">
        <v>326</v>
      </c>
      <c r="E657" s="2" t="s">
        <v>38</v>
      </c>
      <c r="F657" s="2" t="s">
        <v>325</v>
      </c>
      <c r="G657" s="2" t="s">
        <v>253</v>
      </c>
      <c r="H657" s="56" t="str">
        <f>Table1[[#This Row],[Tabela]]&amp;Table1[[#This Row],[Campo]]</f>
        <v>modesg_out_empr_info_nfinccm_trnvr_trnstn_alignd</v>
      </c>
      <c r="I657" s="2" t="s">
        <v>612</v>
      </c>
      <c r="J657" s="42">
        <f>VLOOKUP(Table1[[#This Row],[Status]],Auxiliar!$B$16:$C$24,2,0)</f>
        <v>1</v>
      </c>
      <c r="K657" s="2" t="s">
        <v>1168</v>
      </c>
      <c r="L657" s="28" t="s">
        <v>1174</v>
      </c>
      <c r="M657" s="20" t="s">
        <v>1167</v>
      </c>
      <c r="N657" s="47">
        <v>45642</v>
      </c>
      <c r="O657" s="20">
        <f>INDEX(Auxiliar!$D$5:$F$13,MATCH(Table1[[#This Row],[Tipologia_Testes]],Auxiliar!$B$5:$B$13,0),MATCH(Table1[[#This Row],[Complexidade]],Auxiliar!$D$4:$F$4,0))</f>
        <v>8</v>
      </c>
      <c r="P657" s="2"/>
      <c r="Q657" s="2"/>
      <c r="R657" s="151">
        <v>45561</v>
      </c>
      <c r="S657" s="151"/>
      <c r="T657" s="151">
        <v>45561</v>
      </c>
      <c r="U657" s="151">
        <v>45614</v>
      </c>
      <c r="V657" s="151">
        <v>45615</v>
      </c>
      <c r="W657" s="2">
        <f>VLOOKUP(Table1[[#This Row],[Status]],Auxiliar!$B$16:$D$24,3,0)*Table1[[#This Row],[Estimação (horas)]]</f>
        <v>8</v>
      </c>
      <c r="X657" s="165">
        <f>+VLOOKUP(CONCATENATE(Table1[[#This Row],[Tabela]],Table1[[#This Row],[Campo]]),'2. Status Detalhe Campos FY24'!A:J,9,FALSE)</f>
        <v>0</v>
      </c>
      <c r="Y657" s="491" t="e">
        <f>+VLOOKUP(A657,#REF!,1,FALSE)</f>
        <v>#REF!</v>
      </c>
    </row>
    <row r="658" spans="1:25" ht="17.899999999999999" hidden="1" customHeight="1">
      <c r="A658" t="str">
        <f>+Table1[[#This Row],[Tabela]]&amp;Table1[[#This Row],[Campo]]</f>
        <v>modesg_out_empr_info_nfinccm_trnvr_trnstn_alignd</v>
      </c>
      <c r="B658" s="2" t="s">
        <v>26</v>
      </c>
      <c r="C658" s="2" t="s">
        <v>310</v>
      </c>
      <c r="D658" s="2" t="s">
        <v>326</v>
      </c>
      <c r="E658" s="2" t="s">
        <v>38</v>
      </c>
      <c r="F658" s="2" t="s">
        <v>325</v>
      </c>
      <c r="G658" s="2" t="s">
        <v>253</v>
      </c>
      <c r="H658" s="56" t="str">
        <f>Table1[[#This Row],[Tabela]]&amp;Table1[[#This Row],[Campo]]</f>
        <v>modesg_out_empr_info_nfinccm_trnvr_trnstn_alignd</v>
      </c>
      <c r="I658" s="2" t="s">
        <v>612</v>
      </c>
      <c r="J658" s="42">
        <f>VLOOKUP(Table1[[#This Row],[Status]],Auxiliar!$B$16:$C$24,2,0)</f>
        <v>1</v>
      </c>
      <c r="K658" s="2" t="s">
        <v>1169</v>
      </c>
      <c r="L658" s="28" t="s">
        <v>1174</v>
      </c>
      <c r="M658" s="20" t="s">
        <v>1167</v>
      </c>
      <c r="N658" s="47">
        <v>45642</v>
      </c>
      <c r="O658" s="20">
        <f>INDEX(Auxiliar!$D$5:$F$13,MATCH(Table1[[#This Row],[Tipologia_Testes]],Auxiliar!$B$5:$B$13,0),MATCH(Table1[[#This Row],[Complexidade]],Auxiliar!$D$4:$F$4,0))</f>
        <v>8</v>
      </c>
      <c r="P658" s="2"/>
      <c r="Q658" s="2"/>
      <c r="R658" s="151">
        <v>45561</v>
      </c>
      <c r="S658" s="151"/>
      <c r="T658" s="151">
        <v>45561</v>
      </c>
      <c r="U658" s="151">
        <v>45614</v>
      </c>
      <c r="V658" s="151">
        <v>45615</v>
      </c>
      <c r="W658" s="2">
        <f>VLOOKUP(Table1[[#This Row],[Status]],Auxiliar!$B$16:$D$24,3,0)*Table1[[#This Row],[Estimação (horas)]]</f>
        <v>8</v>
      </c>
      <c r="X658" s="165">
        <f>+VLOOKUP(CONCATENATE(Table1[[#This Row],[Tabela]],Table1[[#This Row],[Campo]]),'2. Status Detalhe Campos FY24'!A:J,9,FALSE)</f>
        <v>0</v>
      </c>
      <c r="Y658" s="491" t="e">
        <f>+VLOOKUP(A658,#REF!,1,FALSE)</f>
        <v>#REF!</v>
      </c>
    </row>
    <row r="659" spans="1:25" ht="17.899999999999999" hidden="1" customHeight="1">
      <c r="A659" t="str">
        <f>+Table1[[#This Row],[Tabela]]&amp;Table1[[#This Row],[Campo]]</f>
        <v>modesg_out_empr_info_nfinccm_trnvr_trnstn_alignd</v>
      </c>
      <c r="B659" s="2" t="s">
        <v>26</v>
      </c>
      <c r="C659" s="2" t="s">
        <v>310</v>
      </c>
      <c r="D659" s="2" t="s">
        <v>326</v>
      </c>
      <c r="E659" s="2" t="s">
        <v>38</v>
      </c>
      <c r="F659" s="2" t="s">
        <v>325</v>
      </c>
      <c r="G659" s="2" t="s">
        <v>253</v>
      </c>
      <c r="H659" s="56" t="str">
        <f>Table1[[#This Row],[Tabela]]&amp;Table1[[#This Row],[Campo]]</f>
        <v>modesg_out_empr_info_nfinccm_trnvr_trnstn_alignd</v>
      </c>
      <c r="I659" s="2" t="s">
        <v>612</v>
      </c>
      <c r="J659" s="42">
        <f>VLOOKUP(Table1[[#This Row],[Status]],Auxiliar!$B$16:$C$24,2,0)</f>
        <v>1</v>
      </c>
      <c r="K659" s="2" t="s">
        <v>1171</v>
      </c>
      <c r="L659" s="28" t="s">
        <v>1174</v>
      </c>
      <c r="M659" s="20" t="s">
        <v>1167</v>
      </c>
      <c r="N659" s="47">
        <v>45642</v>
      </c>
      <c r="O659" s="20">
        <f>INDEX(Auxiliar!$D$5:$F$13,MATCH(Table1[[#This Row],[Tipologia_Testes]],Auxiliar!$B$5:$B$13,0),MATCH(Table1[[#This Row],[Complexidade]],Auxiliar!$D$4:$F$4,0))</f>
        <v>0.1</v>
      </c>
      <c r="P659" s="2"/>
      <c r="Q659" s="2"/>
      <c r="R659" s="151">
        <v>45561</v>
      </c>
      <c r="S659" s="151"/>
      <c r="T659" s="151">
        <v>45561</v>
      </c>
      <c r="U659" s="151">
        <v>45614</v>
      </c>
      <c r="V659" s="151">
        <v>45615</v>
      </c>
      <c r="W659" s="2">
        <f>VLOOKUP(Table1[[#This Row],[Status]],Auxiliar!$B$16:$D$24,3,0)*Table1[[#This Row],[Estimação (horas)]]</f>
        <v>0.1</v>
      </c>
      <c r="X659" s="165">
        <f>+VLOOKUP(CONCATENATE(Table1[[#This Row],[Tabela]],Table1[[#This Row],[Campo]]),'2. Status Detalhe Campos FY24'!A:J,9,FALSE)</f>
        <v>0</v>
      </c>
      <c r="Y659" s="491" t="e">
        <f>+VLOOKUP(A659,#REF!,1,FALSE)</f>
        <v>#REF!</v>
      </c>
    </row>
    <row r="660" spans="1:25" ht="17.899999999999999" hidden="1" customHeight="1">
      <c r="A660" t="str">
        <f>+Table1[[#This Row],[Tabela]]&amp;Table1[[#This Row],[Campo]]</f>
        <v>modesg_out_empr_info_nfinccm_trnvr_ttl_elgbl</v>
      </c>
      <c r="B660" s="2" t="s">
        <v>26</v>
      </c>
      <c r="C660" s="2" t="s">
        <v>310</v>
      </c>
      <c r="D660" s="2" t="s">
        <v>326</v>
      </c>
      <c r="E660" s="2" t="s">
        <v>38</v>
      </c>
      <c r="F660" s="2" t="s">
        <v>325</v>
      </c>
      <c r="G660" s="2" t="s">
        <v>251</v>
      </c>
      <c r="H660" s="56" t="str">
        <f>Table1[[#This Row],[Tabela]]&amp;Table1[[#This Row],[Campo]]</f>
        <v>modesg_out_empr_info_nfinccm_trnvr_ttl_elgbl</v>
      </c>
      <c r="I660" s="2" t="s">
        <v>612</v>
      </c>
      <c r="J660" s="42">
        <f>VLOOKUP(Table1[[#This Row],[Status]],Auxiliar!$B$16:$C$24,2,0)</f>
        <v>1</v>
      </c>
      <c r="K660" s="2" t="s">
        <v>1168</v>
      </c>
      <c r="L660" s="28" t="s">
        <v>1174</v>
      </c>
      <c r="M660" s="20" t="s">
        <v>1167</v>
      </c>
      <c r="N660" s="47">
        <v>45642</v>
      </c>
      <c r="O660" s="20">
        <f>INDEX(Auxiliar!$D$5:$F$13,MATCH(Table1[[#This Row],[Tipologia_Testes]],Auxiliar!$B$5:$B$13,0),MATCH(Table1[[#This Row],[Complexidade]],Auxiliar!$D$4:$F$4,0))</f>
        <v>8</v>
      </c>
      <c r="P660" s="2"/>
      <c r="Q660" s="2"/>
      <c r="R660" s="151">
        <v>45561</v>
      </c>
      <c r="S660" s="151"/>
      <c r="T660" s="151">
        <v>45561</v>
      </c>
      <c r="U660" s="151">
        <v>45614</v>
      </c>
      <c r="V660" s="151">
        <v>45615</v>
      </c>
      <c r="W660" s="2">
        <f>VLOOKUP(Table1[[#This Row],[Status]],Auxiliar!$B$16:$D$24,3,0)*Table1[[#This Row],[Estimação (horas)]]</f>
        <v>8</v>
      </c>
      <c r="X660" s="165">
        <f>+VLOOKUP(CONCATENATE(Table1[[#This Row],[Tabela]],Table1[[#This Row],[Campo]]),'2. Status Detalhe Campos FY24'!A:J,9,FALSE)</f>
        <v>0</v>
      </c>
      <c r="Y660" s="491" t="e">
        <f>+VLOOKUP(A660,#REF!,1,FALSE)</f>
        <v>#REF!</v>
      </c>
    </row>
    <row r="661" spans="1:25" ht="17.899999999999999" hidden="1" customHeight="1">
      <c r="A661" t="str">
        <f>+Table1[[#This Row],[Tabela]]&amp;Table1[[#This Row],[Campo]]</f>
        <v>modesg_out_empr_info_nfinccm_trnvr_ttl_elgbl</v>
      </c>
      <c r="B661" s="2" t="s">
        <v>26</v>
      </c>
      <c r="C661" s="2" t="s">
        <v>310</v>
      </c>
      <c r="D661" s="2" t="s">
        <v>326</v>
      </c>
      <c r="E661" s="2" t="s">
        <v>38</v>
      </c>
      <c r="F661" s="2" t="s">
        <v>325</v>
      </c>
      <c r="G661" s="2" t="s">
        <v>251</v>
      </c>
      <c r="H661" s="56" t="str">
        <f>Table1[[#This Row],[Tabela]]&amp;Table1[[#This Row],[Campo]]</f>
        <v>modesg_out_empr_info_nfinccm_trnvr_ttl_elgbl</v>
      </c>
      <c r="I661" s="2" t="s">
        <v>612</v>
      </c>
      <c r="J661" s="42">
        <f>VLOOKUP(Table1[[#This Row],[Status]],Auxiliar!$B$16:$C$24,2,0)</f>
        <v>1</v>
      </c>
      <c r="K661" s="2" t="s">
        <v>1169</v>
      </c>
      <c r="L661" s="28" t="s">
        <v>1174</v>
      </c>
      <c r="M661" s="20" t="s">
        <v>1167</v>
      </c>
      <c r="N661" s="47">
        <v>45642</v>
      </c>
      <c r="O661" s="20">
        <f>INDEX(Auxiliar!$D$5:$F$13,MATCH(Table1[[#This Row],[Tipologia_Testes]],Auxiliar!$B$5:$B$13,0),MATCH(Table1[[#This Row],[Complexidade]],Auxiliar!$D$4:$F$4,0))</f>
        <v>8</v>
      </c>
      <c r="P661" s="2"/>
      <c r="Q661" s="2"/>
      <c r="R661" s="151">
        <v>45561</v>
      </c>
      <c r="S661" s="151"/>
      <c r="T661" s="151">
        <v>45561</v>
      </c>
      <c r="U661" s="151">
        <v>45614</v>
      </c>
      <c r="V661" s="151">
        <v>45615</v>
      </c>
      <c r="W661" s="2">
        <f>VLOOKUP(Table1[[#This Row],[Status]],Auxiliar!$B$16:$D$24,3,0)*Table1[[#This Row],[Estimação (horas)]]</f>
        <v>8</v>
      </c>
      <c r="X661" s="165">
        <f>+VLOOKUP(CONCATENATE(Table1[[#This Row],[Tabela]],Table1[[#This Row],[Campo]]),'2. Status Detalhe Campos FY24'!A:J,9,FALSE)</f>
        <v>0</v>
      </c>
      <c r="Y661" s="491" t="e">
        <f>+VLOOKUP(A661,#REF!,1,FALSE)</f>
        <v>#REF!</v>
      </c>
    </row>
    <row r="662" spans="1:25" ht="17.899999999999999" hidden="1" customHeight="1">
      <c r="A662" t="str">
        <f>+Table1[[#This Row],[Tabela]]&amp;Table1[[#This Row],[Campo]]</f>
        <v>modesg_out_empr_info_nfinccm_trnvr_ttl_elgbl</v>
      </c>
      <c r="B662" s="2" t="s">
        <v>26</v>
      </c>
      <c r="C662" s="2" t="s">
        <v>310</v>
      </c>
      <c r="D662" s="2" t="s">
        <v>326</v>
      </c>
      <c r="E662" s="2" t="s">
        <v>38</v>
      </c>
      <c r="F662" s="2" t="s">
        <v>325</v>
      </c>
      <c r="G662" s="2" t="s">
        <v>251</v>
      </c>
      <c r="H662" s="56" t="str">
        <f>Table1[[#This Row],[Tabela]]&amp;Table1[[#This Row],[Campo]]</f>
        <v>modesg_out_empr_info_nfinccm_trnvr_ttl_elgbl</v>
      </c>
      <c r="I662" s="2" t="s">
        <v>612</v>
      </c>
      <c r="J662" s="42">
        <f>VLOOKUP(Table1[[#This Row],[Status]],Auxiliar!$B$16:$C$24,2,0)</f>
        <v>1</v>
      </c>
      <c r="K662" s="2" t="s">
        <v>1171</v>
      </c>
      <c r="L662" s="28" t="s">
        <v>1174</v>
      </c>
      <c r="M662" s="20" t="s">
        <v>1167</v>
      </c>
      <c r="N662" s="47">
        <v>45642</v>
      </c>
      <c r="O662" s="20">
        <f>INDEX(Auxiliar!$D$5:$F$13,MATCH(Table1[[#This Row],[Tipologia_Testes]],Auxiliar!$B$5:$B$13,0),MATCH(Table1[[#This Row],[Complexidade]],Auxiliar!$D$4:$F$4,0))</f>
        <v>0.1</v>
      </c>
      <c r="P662" s="2"/>
      <c r="Q662" s="2"/>
      <c r="R662" s="151">
        <v>45561</v>
      </c>
      <c r="S662" s="151"/>
      <c r="T662" s="151">
        <v>45561</v>
      </c>
      <c r="U662" s="151">
        <v>45614</v>
      </c>
      <c r="V662" s="151">
        <v>45615</v>
      </c>
      <c r="W662" s="2">
        <f>VLOOKUP(Table1[[#This Row],[Status]],Auxiliar!$B$16:$D$24,3,0)*Table1[[#This Row],[Estimação (horas)]]</f>
        <v>0.1</v>
      </c>
      <c r="X662" s="165">
        <f>+VLOOKUP(CONCATENATE(Table1[[#This Row],[Tabela]],Table1[[#This Row],[Campo]]),'2. Status Detalhe Campos FY24'!A:J,9,FALSE)</f>
        <v>0</v>
      </c>
      <c r="Y662" s="491" t="e">
        <f>+VLOOKUP(A662,#REF!,1,FALSE)</f>
        <v>#REF!</v>
      </c>
    </row>
    <row r="663" spans="1:25" ht="17.899999999999999" hidden="1" customHeight="1">
      <c r="A663" t="str">
        <f>+Table1[[#This Row],[Tabela]]&amp;Table1[[#This Row],[Campo]]</f>
        <v>modesg_out_empr_info_nfinppc_trnvr_ttl_elgbl</v>
      </c>
      <c r="B663" s="2" t="s">
        <v>26</v>
      </c>
      <c r="C663" s="2" t="s">
        <v>310</v>
      </c>
      <c r="D663" s="2" t="s">
        <v>326</v>
      </c>
      <c r="E663" s="2" t="s">
        <v>38</v>
      </c>
      <c r="F663" s="2" t="s">
        <v>325</v>
      </c>
      <c r="G663" s="12" t="s">
        <v>259</v>
      </c>
      <c r="H663" s="56" t="str">
        <f>Table1[[#This Row],[Tabela]]&amp;Table1[[#This Row],[Campo]]</f>
        <v>modesg_out_empr_info_nfinppc_trnvr_ttl_elgbl</v>
      </c>
      <c r="I663" s="2" t="s">
        <v>612</v>
      </c>
      <c r="J663" s="44">
        <f>VLOOKUP(Table1[[#This Row],[Status]],Auxiliar!$B$16:$C$24,2,0)</f>
        <v>1</v>
      </c>
      <c r="K663" s="20"/>
      <c r="L663" s="240"/>
      <c r="M663" s="20"/>
      <c r="N663" s="47">
        <v>45695</v>
      </c>
      <c r="O663" s="20" t="e">
        <f>INDEX(Auxiliar!$D$5:$F$11,MATCH(Table1[[#This Row],[Tipologia_Testes]],Auxiliar!$B$5:$B$11,0),MATCH(Table1[[#This Row],[Complexidade]],Auxiliar!$D$4:$F$4,0))</f>
        <v>#N/A</v>
      </c>
      <c r="P663" s="2"/>
      <c r="Q663" s="2"/>
      <c r="R663" s="151"/>
      <c r="S663" s="151"/>
      <c r="T663" s="151"/>
      <c r="U663" s="151"/>
      <c r="V663" s="151"/>
      <c r="W663" s="2" t="e">
        <f>VLOOKUP(Table1[[#This Row],[Status]],Auxiliar!$B$16:$D$24,3,0)*Table1[[#This Row],[Estimação (horas)]]</f>
        <v>#N/A</v>
      </c>
      <c r="X663" s="165">
        <f>+VLOOKUP(CONCATENATE(Table1[[#This Row],[Tabela]],Table1[[#This Row],[Campo]]),'2. Status Detalhe Campos FY24'!A:J,9,FALSE)</f>
        <v>0</v>
      </c>
      <c r="Y663" s="491" t="e">
        <f>+VLOOKUP(A663,#REF!,1,FALSE)</f>
        <v>#REF!</v>
      </c>
    </row>
    <row r="664" spans="1:25" ht="17.899999999999999" hidden="1" customHeight="1">
      <c r="A664" t="str">
        <f>+Table1[[#This Row],[Tabela]]&amp;Table1[[#This Row],[Campo]]</f>
        <v>modesg_out_empr_info_nfinppc_turnover_own_prfrmnce_algnd</v>
      </c>
      <c r="B664" s="2" t="s">
        <v>26</v>
      </c>
      <c r="C664" s="2" t="s">
        <v>310</v>
      </c>
      <c r="D664" s="2" t="s">
        <v>326</v>
      </c>
      <c r="E664" s="2" t="s">
        <v>38</v>
      </c>
      <c r="F664" s="2" t="s">
        <v>325</v>
      </c>
      <c r="G664" s="12" t="s">
        <v>260</v>
      </c>
      <c r="H664" s="56" t="str">
        <f>Table1[[#This Row],[Tabela]]&amp;Table1[[#This Row],[Campo]]</f>
        <v>modesg_out_empr_info_nfinppc_turnover_own_prfrmnce_algnd</v>
      </c>
      <c r="I664" s="2" t="s">
        <v>612</v>
      </c>
      <c r="J664" s="44">
        <f>VLOOKUP(Table1[[#This Row],[Status]],Auxiliar!$B$16:$C$24,2,0)</f>
        <v>1</v>
      </c>
      <c r="K664" s="20"/>
      <c r="L664" s="240"/>
      <c r="M664" s="20"/>
      <c r="N664" s="47">
        <v>45695</v>
      </c>
      <c r="O664" s="20" t="e">
        <f>INDEX(Auxiliar!$D$5:$F$11,MATCH(Table1[[#This Row],[Tipologia_Testes]],Auxiliar!$B$5:$B$11,0),MATCH(Table1[[#This Row],[Complexidade]],Auxiliar!$D$4:$F$4,0))</f>
        <v>#N/A</v>
      </c>
      <c r="P664" s="2"/>
      <c r="Q664" s="2"/>
      <c r="R664" s="151"/>
      <c r="S664" s="151"/>
      <c r="T664" s="151"/>
      <c r="U664" s="151"/>
      <c r="V664" s="151"/>
      <c r="W664" s="2" t="e">
        <f>VLOOKUP(Table1[[#This Row],[Status]],Auxiliar!$B$16:$D$24,3,0)*Table1[[#This Row],[Estimação (horas)]]</f>
        <v>#N/A</v>
      </c>
      <c r="X664" s="165">
        <f>+VLOOKUP(CONCATENATE(Table1[[#This Row],[Tabela]],Table1[[#This Row],[Campo]]),'2. Status Detalhe Campos FY24'!A:J,9,FALSE)</f>
        <v>0</v>
      </c>
      <c r="Y664" s="491" t="e">
        <f>+VLOOKUP(A664,#REF!,1,FALSE)</f>
        <v>#REF!</v>
      </c>
    </row>
    <row r="665" spans="1:25" ht="17.899999999999999" hidden="1" customHeight="1">
      <c r="A665" t="str">
        <f>+Table1[[#This Row],[Tabela]]&amp;Table1[[#This Row],[Campo]]</f>
        <v>modesg_out_empr_info_nfinppc_capex_ttl_elgbl</v>
      </c>
      <c r="B665" s="2" t="s">
        <v>26</v>
      </c>
      <c r="C665" s="2" t="s">
        <v>310</v>
      </c>
      <c r="D665" s="2" t="s">
        <v>326</v>
      </c>
      <c r="E665" s="2" t="s">
        <v>38</v>
      </c>
      <c r="F665" s="2" t="s">
        <v>325</v>
      </c>
      <c r="G665" s="12" t="s">
        <v>261</v>
      </c>
      <c r="H665" s="56" t="str">
        <f>Table1[[#This Row],[Tabela]]&amp;Table1[[#This Row],[Campo]]</f>
        <v>modesg_out_empr_info_nfinppc_capex_ttl_elgbl</v>
      </c>
      <c r="I665" s="2" t="s">
        <v>612</v>
      </c>
      <c r="J665" s="44">
        <f>VLOOKUP(Table1[[#This Row],[Status]],Auxiliar!$B$16:$C$24,2,0)</f>
        <v>1</v>
      </c>
      <c r="K665" s="20"/>
      <c r="L665" s="240"/>
      <c r="M665" s="20"/>
      <c r="N665" s="47">
        <v>45695</v>
      </c>
      <c r="O665" s="20" t="e">
        <f>INDEX(Auxiliar!$D$5:$F$11,MATCH(Table1[[#This Row],[Tipologia_Testes]],Auxiliar!$B$5:$B$11,0),MATCH(Table1[[#This Row],[Complexidade]],Auxiliar!$D$4:$F$4,0))</f>
        <v>#N/A</v>
      </c>
      <c r="P665" s="2"/>
      <c r="Q665" s="2"/>
      <c r="R665" s="151"/>
      <c r="S665" s="151"/>
      <c r="T665" s="151"/>
      <c r="U665" s="151"/>
      <c r="V665" s="151"/>
      <c r="W665" s="2" t="e">
        <f>VLOOKUP(Table1[[#This Row],[Status]],Auxiliar!$B$16:$D$24,3,0)*Table1[[#This Row],[Estimação (horas)]]</f>
        <v>#N/A</v>
      </c>
      <c r="X665" s="165">
        <f>+VLOOKUP(CONCATENATE(Table1[[#This Row],[Tabela]],Table1[[#This Row],[Campo]]),'2. Status Detalhe Campos FY24'!A:J,9,FALSE)</f>
        <v>0</v>
      </c>
      <c r="Y665" s="491" t="e">
        <f>+VLOOKUP(A665,#REF!,1,FALSE)</f>
        <v>#REF!</v>
      </c>
    </row>
    <row r="666" spans="1:25" ht="17.899999999999999" hidden="1" customHeight="1">
      <c r="A666" t="str">
        <f>+Table1[[#This Row],[Tabela]]&amp;Table1[[#This Row],[Campo]]</f>
        <v>modesg_out_empr_info_nfinppc_capex_own_prfrmnce_algnd</v>
      </c>
      <c r="B666" s="2" t="s">
        <v>26</v>
      </c>
      <c r="C666" s="2" t="s">
        <v>310</v>
      </c>
      <c r="D666" s="2" t="s">
        <v>326</v>
      </c>
      <c r="E666" s="2" t="s">
        <v>38</v>
      </c>
      <c r="F666" s="2" t="s">
        <v>325</v>
      </c>
      <c r="G666" s="12" t="s">
        <v>262</v>
      </c>
      <c r="H666" s="56" t="str">
        <f>Table1[[#This Row],[Tabela]]&amp;Table1[[#This Row],[Campo]]</f>
        <v>modesg_out_empr_info_nfinppc_capex_own_prfrmnce_algnd</v>
      </c>
      <c r="I666" s="2" t="s">
        <v>612</v>
      </c>
      <c r="J666" s="44">
        <f>VLOOKUP(Table1[[#This Row],[Status]],Auxiliar!$B$16:$C$24,2,0)</f>
        <v>1</v>
      </c>
      <c r="K666" s="20"/>
      <c r="L666" s="240"/>
      <c r="M666" s="20"/>
      <c r="N666" s="47">
        <v>45695</v>
      </c>
      <c r="O666" s="20" t="e">
        <f>INDEX(Auxiliar!$D$5:$F$11,MATCH(Table1[[#This Row],[Tipologia_Testes]],Auxiliar!$B$5:$B$11,0),MATCH(Table1[[#This Row],[Complexidade]],Auxiliar!$D$4:$F$4,0))</f>
        <v>#N/A</v>
      </c>
      <c r="P666" s="2"/>
      <c r="Q666" s="2"/>
      <c r="R666" s="151"/>
      <c r="S666" s="151"/>
      <c r="T666" s="151"/>
      <c r="U666" s="151"/>
      <c r="V666" s="151"/>
      <c r="W666" s="2" t="e">
        <f>VLOOKUP(Table1[[#This Row],[Status]],Auxiliar!$B$16:$D$24,3,0)*Table1[[#This Row],[Estimação (horas)]]</f>
        <v>#N/A</v>
      </c>
      <c r="X666" s="165">
        <f>+VLOOKUP(CONCATENATE(Table1[[#This Row],[Tabela]],Table1[[#This Row],[Campo]]),'2. Status Detalhe Campos FY24'!A:J,9,FALSE)</f>
        <v>0</v>
      </c>
      <c r="Y666" s="491" t="e">
        <f>+VLOOKUP(A666,#REF!,1,FALSE)</f>
        <v>#REF!</v>
      </c>
    </row>
    <row r="667" spans="1:25" ht="17.899999999999999" hidden="1" customHeight="1">
      <c r="A667" t="str">
        <f>+Table1[[#This Row],[Tabela]]&amp;Table1[[#This Row],[Campo]]</f>
        <v>modesg_out_empr_info_nfinbio_trnvr_ttl_elgbl</v>
      </c>
      <c r="B667" s="2" t="s">
        <v>26</v>
      </c>
      <c r="C667" s="2" t="s">
        <v>310</v>
      </c>
      <c r="D667" s="2" t="s">
        <v>326</v>
      </c>
      <c r="E667" s="2" t="s">
        <v>38</v>
      </c>
      <c r="F667" s="2" t="s">
        <v>325</v>
      </c>
      <c r="G667" s="12" t="s">
        <v>263</v>
      </c>
      <c r="H667" s="56" t="str">
        <f>Table1[[#This Row],[Tabela]]&amp;Table1[[#This Row],[Campo]]</f>
        <v>modesg_out_empr_info_nfinbio_trnvr_ttl_elgbl</v>
      </c>
      <c r="I667" s="2" t="s">
        <v>612</v>
      </c>
      <c r="J667" s="44">
        <f>VLOOKUP(Table1[[#This Row],[Status]],Auxiliar!$B$16:$C$24,2,0)</f>
        <v>1</v>
      </c>
      <c r="K667" s="20"/>
      <c r="L667" s="240"/>
      <c r="M667" s="20"/>
      <c r="N667" s="47">
        <v>45695</v>
      </c>
      <c r="O667" s="20" t="e">
        <f>INDEX(Auxiliar!$D$5:$F$11,MATCH(Table1[[#This Row],[Tipologia_Testes]],Auxiliar!$B$5:$B$11,0),MATCH(Table1[[#This Row],[Complexidade]],Auxiliar!$D$4:$F$4,0))</f>
        <v>#N/A</v>
      </c>
      <c r="P667" s="2"/>
      <c r="Q667" s="2"/>
      <c r="R667" s="151"/>
      <c r="S667" s="151"/>
      <c r="T667" s="151"/>
      <c r="U667" s="151"/>
      <c r="V667" s="151"/>
      <c r="W667" s="2" t="e">
        <f>VLOOKUP(Table1[[#This Row],[Status]],Auxiliar!$B$16:$D$24,3,0)*Table1[[#This Row],[Estimação (horas)]]</f>
        <v>#N/A</v>
      </c>
      <c r="X667" s="165">
        <f>+VLOOKUP(CONCATENATE(Table1[[#This Row],[Tabela]],Table1[[#This Row],[Campo]]),'2. Status Detalhe Campos FY24'!A:J,9,FALSE)</f>
        <v>0</v>
      </c>
      <c r="Y667" s="491" t="e">
        <f>+VLOOKUP(A667,#REF!,1,FALSE)</f>
        <v>#REF!</v>
      </c>
    </row>
    <row r="668" spans="1:25" ht="17.899999999999999" hidden="1" customHeight="1">
      <c r="A668" t="str">
        <f>+Table1[[#This Row],[Tabela]]&amp;Table1[[#This Row],[Campo]]</f>
        <v>modesg_out_empr_info_nfinbio_turnover_own_prfrmnce_algnd</v>
      </c>
      <c r="B668" s="2" t="s">
        <v>26</v>
      </c>
      <c r="C668" s="2" t="s">
        <v>310</v>
      </c>
      <c r="D668" s="2" t="s">
        <v>326</v>
      </c>
      <c r="E668" s="2" t="s">
        <v>38</v>
      </c>
      <c r="F668" s="2" t="s">
        <v>325</v>
      </c>
      <c r="G668" s="12" t="s">
        <v>264</v>
      </c>
      <c r="H668" s="56" t="str">
        <f>Table1[[#This Row],[Tabela]]&amp;Table1[[#This Row],[Campo]]</f>
        <v>modesg_out_empr_info_nfinbio_turnover_own_prfrmnce_algnd</v>
      </c>
      <c r="I668" s="2" t="s">
        <v>612</v>
      </c>
      <c r="J668" s="44">
        <f>VLOOKUP(Table1[[#This Row],[Status]],Auxiliar!$B$16:$C$24,2,0)</f>
        <v>1</v>
      </c>
      <c r="K668" s="20"/>
      <c r="L668" s="240"/>
      <c r="M668" s="20"/>
      <c r="N668" s="47">
        <v>45695</v>
      </c>
      <c r="O668" s="20" t="e">
        <f>INDEX(Auxiliar!$D$5:$F$11,MATCH(Table1[[#This Row],[Tipologia_Testes]],Auxiliar!$B$5:$B$11,0),MATCH(Table1[[#This Row],[Complexidade]],Auxiliar!$D$4:$F$4,0))</f>
        <v>#N/A</v>
      </c>
      <c r="P668" s="2"/>
      <c r="Q668" s="2"/>
      <c r="R668" s="151"/>
      <c r="S668" s="151"/>
      <c r="T668" s="151"/>
      <c r="U668" s="151"/>
      <c r="V668" s="151"/>
      <c r="W668" s="2" t="e">
        <f>VLOOKUP(Table1[[#This Row],[Status]],Auxiliar!$B$16:$D$24,3,0)*Table1[[#This Row],[Estimação (horas)]]</f>
        <v>#N/A</v>
      </c>
      <c r="X668" s="165">
        <f>+VLOOKUP(CONCATENATE(Table1[[#This Row],[Tabela]],Table1[[#This Row],[Campo]]),'2. Status Detalhe Campos FY24'!A:J,9,FALSE)</f>
        <v>0</v>
      </c>
      <c r="Y668" s="491" t="e">
        <f>+VLOOKUP(A668,#REF!,1,FALSE)</f>
        <v>#REF!</v>
      </c>
    </row>
    <row r="669" spans="1:25" ht="17.899999999999999" hidden="1" customHeight="1">
      <c r="A669" t="str">
        <f>+Table1[[#This Row],[Tabela]]&amp;Table1[[#This Row],[Campo]]</f>
        <v>modesg_out_empr_info_nfinbio_capex_ttl_elgbl</v>
      </c>
      <c r="B669" s="2" t="s">
        <v>26</v>
      </c>
      <c r="C669" s="2" t="s">
        <v>310</v>
      </c>
      <c r="D669" s="2" t="s">
        <v>326</v>
      </c>
      <c r="E669" s="2" t="s">
        <v>38</v>
      </c>
      <c r="F669" s="2" t="s">
        <v>325</v>
      </c>
      <c r="G669" s="12" t="s">
        <v>265</v>
      </c>
      <c r="H669" s="56" t="str">
        <f>Table1[[#This Row],[Tabela]]&amp;Table1[[#This Row],[Campo]]</f>
        <v>modesg_out_empr_info_nfinbio_capex_ttl_elgbl</v>
      </c>
      <c r="I669" s="2" t="s">
        <v>612</v>
      </c>
      <c r="J669" s="44">
        <f>VLOOKUP(Table1[[#This Row],[Status]],Auxiliar!$B$16:$C$24,2,0)</f>
        <v>1</v>
      </c>
      <c r="K669" s="20"/>
      <c r="L669" s="240"/>
      <c r="M669" s="20"/>
      <c r="N669" s="47">
        <v>45695</v>
      </c>
      <c r="O669" s="20" t="e">
        <f>INDEX(Auxiliar!$D$5:$F$11,MATCH(Table1[[#This Row],[Tipologia_Testes]],Auxiliar!$B$5:$B$11,0),MATCH(Table1[[#This Row],[Complexidade]],Auxiliar!$D$4:$F$4,0))</f>
        <v>#N/A</v>
      </c>
      <c r="P669" s="2"/>
      <c r="Q669" s="2"/>
      <c r="R669" s="151"/>
      <c r="S669" s="151"/>
      <c r="T669" s="151"/>
      <c r="U669" s="151"/>
      <c r="V669" s="151"/>
      <c r="W669" s="2" t="e">
        <f>VLOOKUP(Table1[[#This Row],[Status]],Auxiliar!$B$16:$D$24,3,0)*Table1[[#This Row],[Estimação (horas)]]</f>
        <v>#N/A</v>
      </c>
      <c r="X669" s="165">
        <f>+VLOOKUP(CONCATENATE(Table1[[#This Row],[Tabela]],Table1[[#This Row],[Campo]]),'2. Status Detalhe Campos FY24'!A:J,9,FALSE)</f>
        <v>0</v>
      </c>
      <c r="Y669" s="491" t="e">
        <f>+VLOOKUP(A669,#REF!,1,FALSE)</f>
        <v>#REF!</v>
      </c>
    </row>
    <row r="670" spans="1:25" ht="17.899999999999999" hidden="1" customHeight="1">
      <c r="A670" t="str">
        <f>+Table1[[#This Row],[Tabela]]&amp;Table1[[#This Row],[Campo]]</f>
        <v>modesg_out_empr_info_nfinbio_capex_own_prfrmnce_algnd</v>
      </c>
      <c r="B670" s="2" t="s">
        <v>26</v>
      </c>
      <c r="C670" s="2" t="s">
        <v>310</v>
      </c>
      <c r="D670" s="2" t="s">
        <v>326</v>
      </c>
      <c r="E670" s="2" t="s">
        <v>38</v>
      </c>
      <c r="F670" s="2" t="s">
        <v>325</v>
      </c>
      <c r="G670" s="12" t="s">
        <v>266</v>
      </c>
      <c r="H670" s="56" t="str">
        <f>Table1[[#This Row],[Tabela]]&amp;Table1[[#This Row],[Campo]]</f>
        <v>modesg_out_empr_info_nfinbio_capex_own_prfrmnce_algnd</v>
      </c>
      <c r="I670" s="2" t="s">
        <v>612</v>
      </c>
      <c r="J670" s="44">
        <f>VLOOKUP(Table1[[#This Row],[Status]],Auxiliar!$B$16:$C$24,2,0)</f>
        <v>1</v>
      </c>
      <c r="K670" s="20"/>
      <c r="L670" s="240"/>
      <c r="M670" s="20"/>
      <c r="N670" s="47">
        <v>45695</v>
      </c>
      <c r="O670" s="20" t="e">
        <f>INDEX(Auxiliar!$D$5:$F$11,MATCH(Table1[[#This Row],[Tipologia_Testes]],Auxiliar!$B$5:$B$11,0),MATCH(Table1[[#This Row],[Complexidade]],Auxiliar!$D$4:$F$4,0))</f>
        <v>#N/A</v>
      </c>
      <c r="P670" s="2"/>
      <c r="Q670" s="2"/>
      <c r="R670" s="151"/>
      <c r="S670" s="151"/>
      <c r="T670" s="151"/>
      <c r="U670" s="151"/>
      <c r="V670" s="151"/>
      <c r="W670" s="2" t="e">
        <f>VLOOKUP(Table1[[#This Row],[Status]],Auxiliar!$B$16:$D$24,3,0)*Table1[[#This Row],[Estimação (horas)]]</f>
        <v>#N/A</v>
      </c>
      <c r="X670" s="165">
        <f>+VLOOKUP(CONCATENATE(Table1[[#This Row],[Tabela]],Table1[[#This Row],[Campo]]),'2. Status Detalhe Campos FY24'!A:J,9,FALSE)</f>
        <v>0</v>
      </c>
      <c r="Y670" s="491" t="e">
        <f>+VLOOKUP(A670,#REF!,1,FALSE)</f>
        <v>#REF!</v>
      </c>
    </row>
    <row r="671" spans="1:25" ht="17.899999999999999" hidden="1" customHeight="1">
      <c r="A671" t="str">
        <f>+Table1[[#This Row],[Tabela]]&amp;Table1[[#This Row],[Campo]]</f>
        <v>modesg_out_empr_info_nfinwtr_trnvr_ttl_elgbl</v>
      </c>
      <c r="B671" s="2" t="s">
        <v>26</v>
      </c>
      <c r="C671" s="2" t="s">
        <v>310</v>
      </c>
      <c r="D671" s="2" t="s">
        <v>326</v>
      </c>
      <c r="E671" s="2" t="s">
        <v>38</v>
      </c>
      <c r="F671" s="2" t="s">
        <v>325</v>
      </c>
      <c r="G671" s="12" t="s">
        <v>267</v>
      </c>
      <c r="H671" s="56" t="str">
        <f>Table1[[#This Row],[Tabela]]&amp;Table1[[#This Row],[Campo]]</f>
        <v>modesg_out_empr_info_nfinwtr_trnvr_ttl_elgbl</v>
      </c>
      <c r="I671" s="2" t="s">
        <v>612</v>
      </c>
      <c r="J671" s="44">
        <f>VLOOKUP(Table1[[#This Row],[Status]],Auxiliar!$B$16:$C$24,2,0)</f>
        <v>1</v>
      </c>
      <c r="K671" s="20"/>
      <c r="L671" s="240"/>
      <c r="M671" s="20"/>
      <c r="N671" s="47">
        <v>45695</v>
      </c>
      <c r="O671" s="20" t="e">
        <f>INDEX(Auxiliar!$D$5:$F$11,MATCH(Table1[[#This Row],[Tipologia_Testes]],Auxiliar!$B$5:$B$11,0),MATCH(Table1[[#This Row],[Complexidade]],Auxiliar!$D$4:$F$4,0))</f>
        <v>#N/A</v>
      </c>
      <c r="P671" s="2"/>
      <c r="Q671" s="2"/>
      <c r="R671" s="151"/>
      <c r="S671" s="151"/>
      <c r="T671" s="151"/>
      <c r="U671" s="151"/>
      <c r="V671" s="151"/>
      <c r="W671" s="2" t="e">
        <f>VLOOKUP(Table1[[#This Row],[Status]],Auxiliar!$B$16:$D$24,3,0)*Table1[[#This Row],[Estimação (horas)]]</f>
        <v>#N/A</v>
      </c>
      <c r="X671" s="165">
        <f>+VLOOKUP(CONCATENATE(Table1[[#This Row],[Tabela]],Table1[[#This Row],[Campo]]),'2. Status Detalhe Campos FY24'!A:J,9,FALSE)</f>
        <v>0</v>
      </c>
      <c r="Y671" s="491" t="e">
        <f>+VLOOKUP(A671,#REF!,1,FALSE)</f>
        <v>#REF!</v>
      </c>
    </row>
    <row r="672" spans="1:25" ht="17.899999999999999" hidden="1" customHeight="1">
      <c r="A672" t="str">
        <f>+Table1[[#This Row],[Tabela]]&amp;Table1[[#This Row],[Campo]]</f>
        <v>modesg_out_empr_info_nfinwtr_trnvr_enblng_alignd</v>
      </c>
      <c r="B672" s="2" t="s">
        <v>26</v>
      </c>
      <c r="C672" s="2" t="s">
        <v>310</v>
      </c>
      <c r="D672" s="2" t="s">
        <v>326</v>
      </c>
      <c r="E672" s="2" t="s">
        <v>38</v>
      </c>
      <c r="F672" s="2" t="s">
        <v>325</v>
      </c>
      <c r="G672" s="12" t="s">
        <v>268</v>
      </c>
      <c r="H672" s="56" t="str">
        <f>Table1[[#This Row],[Tabela]]&amp;Table1[[#This Row],[Campo]]</f>
        <v>modesg_out_empr_info_nfinwtr_trnvr_enblng_alignd</v>
      </c>
      <c r="I672" s="2" t="s">
        <v>612</v>
      </c>
      <c r="J672" s="44">
        <f>VLOOKUP(Table1[[#This Row],[Status]],Auxiliar!$B$16:$C$24,2,0)</f>
        <v>1</v>
      </c>
      <c r="K672" s="20"/>
      <c r="L672" s="240"/>
      <c r="M672" s="20"/>
      <c r="N672" s="47">
        <v>45695</v>
      </c>
      <c r="O672" s="20" t="e">
        <f>INDEX(Auxiliar!$D$5:$F$11,MATCH(Table1[[#This Row],[Tipologia_Testes]],Auxiliar!$B$5:$B$11,0),MATCH(Table1[[#This Row],[Complexidade]],Auxiliar!$D$4:$F$4,0))</f>
        <v>#N/A</v>
      </c>
      <c r="P672" s="2"/>
      <c r="Q672" s="2"/>
      <c r="R672" s="151"/>
      <c r="S672" s="151"/>
      <c r="T672" s="151"/>
      <c r="U672" s="151"/>
      <c r="V672" s="151"/>
      <c r="W672" s="2" t="e">
        <f>VLOOKUP(Table1[[#This Row],[Status]],Auxiliar!$B$16:$D$24,3,0)*Table1[[#This Row],[Estimação (horas)]]</f>
        <v>#N/A</v>
      </c>
      <c r="X672" s="165">
        <f>+VLOOKUP(CONCATENATE(Table1[[#This Row],[Tabela]],Table1[[#This Row],[Campo]]),'2. Status Detalhe Campos FY24'!A:J,9,FALSE)</f>
        <v>0</v>
      </c>
      <c r="Y672" s="491" t="e">
        <f>+VLOOKUP(A672,#REF!,1,FALSE)</f>
        <v>#REF!</v>
      </c>
    </row>
    <row r="673" spans="1:25" ht="17.899999999999999" hidden="1" customHeight="1">
      <c r="A673" t="str">
        <f>+Table1[[#This Row],[Tabela]]&amp;Table1[[#This Row],[Campo]]</f>
        <v>modesg_out_empr_info_nfinwtr_turnover_own_prfrmnce_algnd</v>
      </c>
      <c r="B673" s="2" t="s">
        <v>26</v>
      </c>
      <c r="C673" s="2" t="s">
        <v>310</v>
      </c>
      <c r="D673" s="2" t="s">
        <v>326</v>
      </c>
      <c r="E673" s="2" t="s">
        <v>38</v>
      </c>
      <c r="F673" s="2" t="s">
        <v>325</v>
      </c>
      <c r="G673" s="12" t="s">
        <v>269</v>
      </c>
      <c r="H673" s="56" t="str">
        <f>Table1[[#This Row],[Tabela]]&amp;Table1[[#This Row],[Campo]]</f>
        <v>modesg_out_empr_info_nfinwtr_turnover_own_prfrmnce_algnd</v>
      </c>
      <c r="I673" s="2" t="s">
        <v>612</v>
      </c>
      <c r="J673" s="44">
        <f>VLOOKUP(Table1[[#This Row],[Status]],Auxiliar!$B$16:$C$24,2,0)</f>
        <v>1</v>
      </c>
      <c r="K673" s="20"/>
      <c r="L673" s="240"/>
      <c r="M673" s="20"/>
      <c r="N673" s="47">
        <v>45695</v>
      </c>
      <c r="O673" s="20" t="e">
        <f>INDEX(Auxiliar!$D$5:$F$11,MATCH(Table1[[#This Row],[Tipologia_Testes]],Auxiliar!$B$5:$B$11,0),MATCH(Table1[[#This Row],[Complexidade]],Auxiliar!$D$4:$F$4,0))</f>
        <v>#N/A</v>
      </c>
      <c r="P673" s="2"/>
      <c r="Q673" s="2"/>
      <c r="R673" s="151"/>
      <c r="S673" s="151"/>
      <c r="T673" s="151"/>
      <c r="U673" s="151"/>
      <c r="V673" s="151"/>
      <c r="W673" s="2" t="e">
        <f>VLOOKUP(Table1[[#This Row],[Status]],Auxiliar!$B$16:$D$24,3,0)*Table1[[#This Row],[Estimação (horas)]]</f>
        <v>#N/A</v>
      </c>
      <c r="X673" s="165">
        <f>+VLOOKUP(CONCATENATE(Table1[[#This Row],[Tabela]],Table1[[#This Row],[Campo]]),'2. Status Detalhe Campos FY24'!A:J,9,FALSE)</f>
        <v>0</v>
      </c>
      <c r="Y673" s="491" t="e">
        <f>+VLOOKUP(A673,#REF!,1,FALSE)</f>
        <v>#REF!</v>
      </c>
    </row>
    <row r="674" spans="1:25" ht="17.899999999999999" hidden="1" customHeight="1">
      <c r="A674" t="str">
        <f>+Table1[[#This Row],[Tabela]]&amp;Table1[[#This Row],[Campo]]</f>
        <v>modesg_out_empr_info_nfinwtr_capex_ttl_elgbl</v>
      </c>
      <c r="B674" s="2" t="s">
        <v>26</v>
      </c>
      <c r="C674" s="2" t="s">
        <v>310</v>
      </c>
      <c r="D674" s="2" t="s">
        <v>326</v>
      </c>
      <c r="E674" s="2" t="s">
        <v>38</v>
      </c>
      <c r="F674" s="2" t="s">
        <v>325</v>
      </c>
      <c r="G674" s="12" t="s">
        <v>270</v>
      </c>
      <c r="H674" s="56" t="str">
        <f>Table1[[#This Row],[Tabela]]&amp;Table1[[#This Row],[Campo]]</f>
        <v>modesg_out_empr_info_nfinwtr_capex_ttl_elgbl</v>
      </c>
      <c r="I674" s="2" t="s">
        <v>612</v>
      </c>
      <c r="J674" s="44">
        <f>VLOOKUP(Table1[[#This Row],[Status]],Auxiliar!$B$16:$C$24,2,0)</f>
        <v>1</v>
      </c>
      <c r="K674" s="20"/>
      <c r="L674" s="240"/>
      <c r="M674" s="20"/>
      <c r="N674" s="47">
        <v>45695</v>
      </c>
      <c r="O674" s="20" t="e">
        <f>INDEX(Auxiliar!$D$5:$F$11,MATCH(Table1[[#This Row],[Tipologia_Testes]],Auxiliar!$B$5:$B$11,0),MATCH(Table1[[#This Row],[Complexidade]],Auxiliar!$D$4:$F$4,0))</f>
        <v>#N/A</v>
      </c>
      <c r="P674" s="2"/>
      <c r="Q674" s="2"/>
      <c r="R674" s="151"/>
      <c r="S674" s="151"/>
      <c r="T674" s="151"/>
      <c r="U674" s="151"/>
      <c r="V674" s="151"/>
      <c r="W674" s="2" t="e">
        <f>VLOOKUP(Table1[[#This Row],[Status]],Auxiliar!$B$16:$D$24,3,0)*Table1[[#This Row],[Estimação (horas)]]</f>
        <v>#N/A</v>
      </c>
      <c r="X674" s="165">
        <f>+VLOOKUP(CONCATENATE(Table1[[#This Row],[Tabela]],Table1[[#This Row],[Campo]]),'2. Status Detalhe Campos FY24'!A:J,9,FALSE)</f>
        <v>0</v>
      </c>
      <c r="Y674" s="491" t="e">
        <f>+VLOOKUP(A674,#REF!,1,FALSE)</f>
        <v>#REF!</v>
      </c>
    </row>
    <row r="675" spans="1:25" ht="17.899999999999999" hidden="1" customHeight="1">
      <c r="A675" t="str">
        <f>+Table1[[#This Row],[Tabela]]&amp;Table1[[#This Row],[Campo]]</f>
        <v>modesg_out_empr_info_nfinwtr_capex_enblng_algnd</v>
      </c>
      <c r="B675" s="2" t="s">
        <v>26</v>
      </c>
      <c r="C675" s="2" t="s">
        <v>310</v>
      </c>
      <c r="D675" s="2" t="s">
        <v>326</v>
      </c>
      <c r="E675" s="2" t="s">
        <v>38</v>
      </c>
      <c r="F675" s="2" t="s">
        <v>325</v>
      </c>
      <c r="G675" s="12" t="s">
        <v>271</v>
      </c>
      <c r="H675" s="56" t="str">
        <f>Table1[[#This Row],[Tabela]]&amp;Table1[[#This Row],[Campo]]</f>
        <v>modesg_out_empr_info_nfinwtr_capex_enblng_algnd</v>
      </c>
      <c r="I675" s="2" t="s">
        <v>612</v>
      </c>
      <c r="J675" s="44">
        <f>VLOOKUP(Table1[[#This Row],[Status]],Auxiliar!$B$16:$C$24,2,0)</f>
        <v>1</v>
      </c>
      <c r="K675" s="20"/>
      <c r="L675" s="240"/>
      <c r="M675" s="20"/>
      <c r="N675" s="47">
        <v>45695</v>
      </c>
      <c r="O675" s="20" t="e">
        <f>INDEX(Auxiliar!$D$5:$F$11,MATCH(Table1[[#This Row],[Tipologia_Testes]],Auxiliar!$B$5:$B$11,0),MATCH(Table1[[#This Row],[Complexidade]],Auxiliar!$D$4:$F$4,0))</f>
        <v>#N/A</v>
      </c>
      <c r="P675" s="2"/>
      <c r="Q675" s="2"/>
      <c r="R675" s="151"/>
      <c r="S675" s="151"/>
      <c r="T675" s="151"/>
      <c r="U675" s="151"/>
      <c r="V675" s="151"/>
      <c r="W675" s="2" t="e">
        <f>VLOOKUP(Table1[[#This Row],[Status]],Auxiliar!$B$16:$D$24,3,0)*Table1[[#This Row],[Estimação (horas)]]</f>
        <v>#N/A</v>
      </c>
      <c r="X675" s="165">
        <f>+VLOOKUP(CONCATENATE(Table1[[#This Row],[Tabela]],Table1[[#This Row],[Campo]]),'2. Status Detalhe Campos FY24'!A:J,9,FALSE)</f>
        <v>0</v>
      </c>
      <c r="Y675" s="491" t="e">
        <f>+VLOOKUP(A675,#REF!,1,FALSE)</f>
        <v>#REF!</v>
      </c>
    </row>
    <row r="676" spans="1:25" ht="17.899999999999999" hidden="1" customHeight="1">
      <c r="A676" t="str">
        <f>+Table1[[#This Row],[Tabela]]&amp;Table1[[#This Row],[Campo]]</f>
        <v>modesg_out_empr_info_nfinwtr_capex_own_prfrmnce_algnd</v>
      </c>
      <c r="B676" s="2" t="s">
        <v>26</v>
      </c>
      <c r="C676" s="2" t="s">
        <v>310</v>
      </c>
      <c r="D676" s="2" t="s">
        <v>326</v>
      </c>
      <c r="E676" s="2" t="s">
        <v>38</v>
      </c>
      <c r="F676" s="2" t="s">
        <v>325</v>
      </c>
      <c r="G676" s="12" t="s">
        <v>272</v>
      </c>
      <c r="H676" s="56" t="str">
        <f>Table1[[#This Row],[Tabela]]&amp;Table1[[#This Row],[Campo]]</f>
        <v>modesg_out_empr_info_nfinwtr_capex_own_prfrmnce_algnd</v>
      </c>
      <c r="I676" s="2" t="s">
        <v>612</v>
      </c>
      <c r="J676" s="44">
        <f>VLOOKUP(Table1[[#This Row],[Status]],Auxiliar!$B$16:$C$24,2,0)</f>
        <v>1</v>
      </c>
      <c r="K676" s="20"/>
      <c r="L676" s="240"/>
      <c r="M676" s="20"/>
      <c r="N676" s="47">
        <v>45695</v>
      </c>
      <c r="O676" s="20" t="e">
        <f>INDEX(Auxiliar!$D$5:$F$11,MATCH(Table1[[#This Row],[Tipologia_Testes]],Auxiliar!$B$5:$B$11,0),MATCH(Table1[[#This Row],[Complexidade]],Auxiliar!$D$4:$F$4,0))</f>
        <v>#N/A</v>
      </c>
      <c r="P676" s="2"/>
      <c r="Q676" s="2"/>
      <c r="R676" s="151"/>
      <c r="S676" s="151"/>
      <c r="T676" s="151"/>
      <c r="U676" s="151"/>
      <c r="V676" s="151"/>
      <c r="W676" s="2" t="e">
        <f>VLOOKUP(Table1[[#This Row],[Status]],Auxiliar!$B$16:$D$24,3,0)*Table1[[#This Row],[Estimação (horas)]]</f>
        <v>#N/A</v>
      </c>
      <c r="X676" s="165">
        <f>+VLOOKUP(CONCATENATE(Table1[[#This Row],[Tabela]],Table1[[#This Row],[Campo]]),'2. Status Detalhe Campos FY24'!A:J,9,FALSE)</f>
        <v>0</v>
      </c>
      <c r="Y676" s="491" t="e">
        <f>+VLOOKUP(A676,#REF!,1,FALSE)</f>
        <v>#REF!</v>
      </c>
    </row>
    <row r="677" spans="1:25" ht="17.899999999999999" hidden="1" customHeight="1">
      <c r="A677" t="str">
        <f>+Table1[[#This Row],[Tabela]]&amp;Table1[[#This Row],[Campo]]</f>
        <v>modesg_out_empr_info_nfince_trnvr_ttl_elgbl</v>
      </c>
      <c r="B677" s="2" t="s">
        <v>26</v>
      </c>
      <c r="C677" s="2" t="s">
        <v>310</v>
      </c>
      <c r="D677" s="2" t="s">
        <v>326</v>
      </c>
      <c r="E677" s="2" t="s">
        <v>38</v>
      </c>
      <c r="F677" s="2" t="s">
        <v>325</v>
      </c>
      <c r="G677" s="12" t="s">
        <v>273</v>
      </c>
      <c r="H677" s="56" t="str">
        <f>Table1[[#This Row],[Tabela]]&amp;Table1[[#This Row],[Campo]]</f>
        <v>modesg_out_empr_info_nfince_trnvr_ttl_elgbl</v>
      </c>
      <c r="I677" s="2" t="s">
        <v>612</v>
      </c>
      <c r="J677" s="44">
        <f>VLOOKUP(Table1[[#This Row],[Status]],Auxiliar!$B$16:$C$24,2,0)</f>
        <v>1</v>
      </c>
      <c r="K677" s="20"/>
      <c r="L677" s="240"/>
      <c r="M677" s="20"/>
      <c r="N677" s="47">
        <v>45695</v>
      </c>
      <c r="O677" s="20" t="e">
        <f>INDEX(Auxiliar!$D$5:$F$11,MATCH(Table1[[#This Row],[Tipologia_Testes]],Auxiliar!$B$5:$B$11,0),MATCH(Table1[[#This Row],[Complexidade]],Auxiliar!$D$4:$F$4,0))</f>
        <v>#N/A</v>
      </c>
      <c r="P677" s="2"/>
      <c r="Q677" s="2"/>
      <c r="R677" s="151"/>
      <c r="S677" s="151"/>
      <c r="T677" s="151"/>
      <c r="U677" s="151"/>
      <c r="V677" s="151"/>
      <c r="W677" s="2" t="e">
        <f>VLOOKUP(Table1[[#This Row],[Status]],Auxiliar!$B$16:$D$24,3,0)*Table1[[#This Row],[Estimação (horas)]]</f>
        <v>#N/A</v>
      </c>
      <c r="X677" s="165">
        <f>+VLOOKUP(CONCATENATE(Table1[[#This Row],[Tabela]],Table1[[#This Row],[Campo]]),'2. Status Detalhe Campos FY24'!A:J,9,FALSE)</f>
        <v>0</v>
      </c>
      <c r="Y677" s="491" t="e">
        <f>+VLOOKUP(A677,#REF!,1,FALSE)</f>
        <v>#REF!</v>
      </c>
    </row>
    <row r="678" spans="1:25" ht="17.899999999999999" hidden="1" customHeight="1">
      <c r="A678" t="str">
        <f>+Table1[[#This Row],[Tabela]]&amp;Table1[[#This Row],[Campo]]</f>
        <v>modesg_out_empr_info_nfince_trnvr_enblng_alignd</v>
      </c>
      <c r="B678" s="2" t="s">
        <v>26</v>
      </c>
      <c r="C678" s="2" t="s">
        <v>310</v>
      </c>
      <c r="D678" s="2" t="s">
        <v>326</v>
      </c>
      <c r="E678" s="2" t="s">
        <v>38</v>
      </c>
      <c r="F678" s="2" t="s">
        <v>325</v>
      </c>
      <c r="G678" s="12" t="s">
        <v>274</v>
      </c>
      <c r="H678" s="56" t="str">
        <f>Table1[[#This Row],[Tabela]]&amp;Table1[[#This Row],[Campo]]</f>
        <v>modesg_out_empr_info_nfince_trnvr_enblng_alignd</v>
      </c>
      <c r="I678" s="2" t="s">
        <v>612</v>
      </c>
      <c r="J678" s="44">
        <f>VLOOKUP(Table1[[#This Row],[Status]],Auxiliar!$B$16:$C$24,2,0)</f>
        <v>1</v>
      </c>
      <c r="K678" s="20"/>
      <c r="L678" s="240"/>
      <c r="M678" s="20"/>
      <c r="N678" s="47">
        <v>45695</v>
      </c>
      <c r="O678" s="20" t="e">
        <f>INDEX(Auxiliar!$D$5:$F$11,MATCH(Table1[[#This Row],[Tipologia_Testes]],Auxiliar!$B$5:$B$11,0),MATCH(Table1[[#This Row],[Complexidade]],Auxiliar!$D$4:$F$4,0))</f>
        <v>#N/A</v>
      </c>
      <c r="P678" s="2"/>
      <c r="Q678" s="2"/>
      <c r="R678" s="151"/>
      <c r="S678" s="151"/>
      <c r="T678" s="151"/>
      <c r="U678" s="151"/>
      <c r="V678" s="151"/>
      <c r="W678" s="2" t="e">
        <f>VLOOKUP(Table1[[#This Row],[Status]],Auxiliar!$B$16:$D$24,3,0)*Table1[[#This Row],[Estimação (horas)]]</f>
        <v>#N/A</v>
      </c>
      <c r="X678" s="165">
        <f>+VLOOKUP(CONCATENATE(Table1[[#This Row],[Tabela]],Table1[[#This Row],[Campo]]),'2. Status Detalhe Campos FY24'!A:J,9,FALSE)</f>
        <v>0</v>
      </c>
      <c r="Y678" s="491" t="e">
        <f>+VLOOKUP(A678,#REF!,1,FALSE)</f>
        <v>#REF!</v>
      </c>
    </row>
    <row r="679" spans="1:25" ht="17.899999999999999" hidden="1" customHeight="1">
      <c r="A679" t="str">
        <f>+Table1[[#This Row],[Tabela]]&amp;Table1[[#This Row],[Campo]]</f>
        <v>modesg_out_empr_info_nfince_turnover_own_prfrmnce_algnd</v>
      </c>
      <c r="B679" s="2" t="s">
        <v>26</v>
      </c>
      <c r="C679" s="2" t="s">
        <v>310</v>
      </c>
      <c r="D679" s="2" t="s">
        <v>326</v>
      </c>
      <c r="E679" s="2" t="s">
        <v>38</v>
      </c>
      <c r="F679" s="2" t="s">
        <v>325</v>
      </c>
      <c r="G679" s="12" t="s">
        <v>275</v>
      </c>
      <c r="H679" s="56" t="str">
        <f>Table1[[#This Row],[Tabela]]&amp;Table1[[#This Row],[Campo]]</f>
        <v>modesg_out_empr_info_nfince_turnover_own_prfrmnce_algnd</v>
      </c>
      <c r="I679" s="2" t="s">
        <v>612</v>
      </c>
      <c r="J679" s="44">
        <f>VLOOKUP(Table1[[#This Row],[Status]],Auxiliar!$B$16:$C$24,2,0)</f>
        <v>1</v>
      </c>
      <c r="K679" s="20"/>
      <c r="L679" s="240"/>
      <c r="M679" s="20"/>
      <c r="N679" s="47">
        <v>45695</v>
      </c>
      <c r="O679" s="20" t="e">
        <f>INDEX(Auxiliar!$D$5:$F$11,MATCH(Table1[[#This Row],[Tipologia_Testes]],Auxiliar!$B$5:$B$11,0),MATCH(Table1[[#This Row],[Complexidade]],Auxiliar!$D$4:$F$4,0))</f>
        <v>#N/A</v>
      </c>
      <c r="P679" s="2"/>
      <c r="Q679" s="2"/>
      <c r="R679" s="151"/>
      <c r="S679" s="151"/>
      <c r="T679" s="151"/>
      <c r="U679" s="151"/>
      <c r="V679" s="151"/>
      <c r="W679" s="2" t="e">
        <f>VLOOKUP(Table1[[#This Row],[Status]],Auxiliar!$B$16:$D$24,3,0)*Table1[[#This Row],[Estimação (horas)]]</f>
        <v>#N/A</v>
      </c>
      <c r="X679" s="165">
        <f>+VLOOKUP(CONCATENATE(Table1[[#This Row],[Tabela]],Table1[[#This Row],[Campo]]),'2. Status Detalhe Campos FY24'!A:J,9,FALSE)</f>
        <v>0</v>
      </c>
      <c r="Y679" s="491" t="e">
        <f>+VLOOKUP(A679,#REF!,1,FALSE)</f>
        <v>#REF!</v>
      </c>
    </row>
    <row r="680" spans="1:25" ht="17.899999999999999" hidden="1" customHeight="1">
      <c r="A680" t="str">
        <f>+Table1[[#This Row],[Tabela]]&amp;Table1[[#This Row],[Campo]]</f>
        <v>modesg_out_empr_info_nfince_capex_ttl_elgbl</v>
      </c>
      <c r="B680" s="2" t="s">
        <v>26</v>
      </c>
      <c r="C680" s="2" t="s">
        <v>310</v>
      </c>
      <c r="D680" s="2" t="s">
        <v>326</v>
      </c>
      <c r="E680" s="2" t="s">
        <v>38</v>
      </c>
      <c r="F680" s="2" t="s">
        <v>325</v>
      </c>
      <c r="G680" s="12" t="s">
        <v>276</v>
      </c>
      <c r="H680" s="56" t="str">
        <f>Table1[[#This Row],[Tabela]]&amp;Table1[[#This Row],[Campo]]</f>
        <v>modesg_out_empr_info_nfince_capex_ttl_elgbl</v>
      </c>
      <c r="I680" s="2" t="s">
        <v>612</v>
      </c>
      <c r="J680" s="44">
        <f>VLOOKUP(Table1[[#This Row],[Status]],Auxiliar!$B$16:$C$24,2,0)</f>
        <v>1</v>
      </c>
      <c r="K680" s="20"/>
      <c r="L680" s="240"/>
      <c r="M680" s="20"/>
      <c r="N680" s="47">
        <v>45695</v>
      </c>
      <c r="O680" s="20" t="e">
        <f>INDEX(Auxiliar!$D$5:$F$11,MATCH(Table1[[#This Row],[Tipologia_Testes]],Auxiliar!$B$5:$B$11,0),MATCH(Table1[[#This Row],[Complexidade]],Auxiliar!$D$4:$F$4,0))</f>
        <v>#N/A</v>
      </c>
      <c r="P680" s="2"/>
      <c r="Q680" s="2"/>
      <c r="R680" s="151"/>
      <c r="S680" s="151"/>
      <c r="T680" s="151"/>
      <c r="U680" s="151"/>
      <c r="V680" s="151"/>
      <c r="W680" s="2" t="e">
        <f>VLOOKUP(Table1[[#This Row],[Status]],Auxiliar!$B$16:$D$24,3,0)*Table1[[#This Row],[Estimação (horas)]]</f>
        <v>#N/A</v>
      </c>
      <c r="X680" s="165">
        <f>+VLOOKUP(CONCATENATE(Table1[[#This Row],[Tabela]],Table1[[#This Row],[Campo]]),'2. Status Detalhe Campos FY24'!A:J,9,FALSE)</f>
        <v>0</v>
      </c>
      <c r="Y680" s="491" t="e">
        <f>+VLOOKUP(A680,#REF!,1,FALSE)</f>
        <v>#REF!</v>
      </c>
    </row>
    <row r="681" spans="1:25" ht="17.899999999999999" hidden="1" customHeight="1">
      <c r="A681" t="str">
        <f>+Table1[[#This Row],[Tabela]]&amp;Table1[[#This Row],[Campo]]</f>
        <v>modesg_out_empr_info_nfince_capex_enblng_algnd</v>
      </c>
      <c r="B681" s="2" t="s">
        <v>26</v>
      </c>
      <c r="C681" s="2" t="s">
        <v>310</v>
      </c>
      <c r="D681" s="2" t="s">
        <v>326</v>
      </c>
      <c r="E681" s="2" t="s">
        <v>38</v>
      </c>
      <c r="F681" s="2" t="s">
        <v>325</v>
      </c>
      <c r="G681" s="12" t="s">
        <v>277</v>
      </c>
      <c r="H681" s="56" t="str">
        <f>Table1[[#This Row],[Tabela]]&amp;Table1[[#This Row],[Campo]]</f>
        <v>modesg_out_empr_info_nfince_capex_enblng_algnd</v>
      </c>
      <c r="I681" s="2" t="s">
        <v>612</v>
      </c>
      <c r="J681" s="44">
        <f>VLOOKUP(Table1[[#This Row],[Status]],Auxiliar!$B$16:$C$24,2,0)</f>
        <v>1</v>
      </c>
      <c r="K681" s="20"/>
      <c r="L681" s="240"/>
      <c r="M681" s="20"/>
      <c r="N681" s="47">
        <v>45695</v>
      </c>
      <c r="O681" s="20" t="e">
        <f>INDEX(Auxiliar!$D$5:$F$11,MATCH(Table1[[#This Row],[Tipologia_Testes]],Auxiliar!$B$5:$B$11,0),MATCH(Table1[[#This Row],[Complexidade]],Auxiliar!$D$4:$F$4,0))</f>
        <v>#N/A</v>
      </c>
      <c r="P681" s="2"/>
      <c r="Q681" s="2"/>
      <c r="R681" s="151"/>
      <c r="S681" s="151"/>
      <c r="T681" s="151"/>
      <c r="U681" s="151"/>
      <c r="V681" s="151"/>
      <c r="W681" s="2" t="e">
        <f>VLOOKUP(Table1[[#This Row],[Status]],Auxiliar!$B$16:$D$24,3,0)*Table1[[#This Row],[Estimação (horas)]]</f>
        <v>#N/A</v>
      </c>
      <c r="X681" s="165">
        <f>+VLOOKUP(CONCATENATE(Table1[[#This Row],[Tabela]],Table1[[#This Row],[Campo]]),'2. Status Detalhe Campos FY24'!A:J,9,FALSE)</f>
        <v>0</v>
      </c>
      <c r="Y681" s="491" t="e">
        <f>+VLOOKUP(A681,#REF!,1,FALSE)</f>
        <v>#REF!</v>
      </c>
    </row>
    <row r="682" spans="1:25" ht="17.899999999999999" hidden="1" customHeight="1">
      <c r="A682" t="str">
        <f>+Table1[[#This Row],[Tabela]]&amp;Table1[[#This Row],[Campo]]</f>
        <v>modesg_out_empr_info_nfince_capex_own_prfrmnce_algnd</v>
      </c>
      <c r="B682" s="2" t="s">
        <v>26</v>
      </c>
      <c r="C682" s="2" t="s">
        <v>310</v>
      </c>
      <c r="D682" s="2" t="s">
        <v>326</v>
      </c>
      <c r="E682" s="2" t="s">
        <v>38</v>
      </c>
      <c r="F682" s="2" t="s">
        <v>325</v>
      </c>
      <c r="G682" s="12" t="s">
        <v>278</v>
      </c>
      <c r="H682" s="56" t="str">
        <f>Table1[[#This Row],[Tabela]]&amp;Table1[[#This Row],[Campo]]</f>
        <v>modesg_out_empr_info_nfince_capex_own_prfrmnce_algnd</v>
      </c>
      <c r="I682" s="2" t="s">
        <v>612</v>
      </c>
      <c r="J682" s="44">
        <f>VLOOKUP(Table1[[#This Row],[Status]],Auxiliar!$B$16:$C$24,2,0)</f>
        <v>1</v>
      </c>
      <c r="K682" s="20"/>
      <c r="L682" s="240"/>
      <c r="M682" s="20"/>
      <c r="N682" s="47">
        <v>45695</v>
      </c>
      <c r="O682" s="20" t="e">
        <f>INDEX(Auxiliar!$D$5:$F$11,MATCH(Table1[[#This Row],[Tipologia_Testes]],Auxiliar!$B$5:$B$11,0),MATCH(Table1[[#This Row],[Complexidade]],Auxiliar!$D$4:$F$4,0))</f>
        <v>#N/A</v>
      </c>
      <c r="P682" s="2"/>
      <c r="Q682" s="2"/>
      <c r="R682" s="352"/>
      <c r="S682" s="151"/>
      <c r="T682" s="151"/>
      <c r="U682" s="151"/>
      <c r="V682" s="151"/>
      <c r="W682" s="2" t="e">
        <f>VLOOKUP(Table1[[#This Row],[Status]],Auxiliar!$B$16:$D$24,3,0)*Table1[[#This Row],[Estimação (horas)]]</f>
        <v>#N/A</v>
      </c>
      <c r="X682" s="165">
        <f>+VLOOKUP(CONCATENATE(Table1[[#This Row],[Tabela]],Table1[[#This Row],[Campo]]),'2. Status Detalhe Campos FY24'!A:J,9,FALSE)</f>
        <v>0</v>
      </c>
      <c r="Y682" s="491" t="e">
        <f>+VLOOKUP(A682,#REF!,1,FALSE)</f>
        <v>#REF!</v>
      </c>
    </row>
    <row r="683" spans="1:25" ht="17.899999999999999" hidden="1" customHeight="1">
      <c r="A683" t="str">
        <f>+Table1[[#This Row],[Tabela]]&amp;Table1[[#This Row],[Campo]]</f>
        <v>modesg_out_empr_info_nfincod_nace_esg</v>
      </c>
      <c r="B683" s="2" t="s">
        <v>26</v>
      </c>
      <c r="C683" s="2" t="s">
        <v>310</v>
      </c>
      <c r="D683" s="2" t="s">
        <v>326</v>
      </c>
      <c r="E683" s="2" t="s">
        <v>38</v>
      </c>
      <c r="F683" s="2" t="s">
        <v>325</v>
      </c>
      <c r="G683" s="2" t="s">
        <v>281</v>
      </c>
      <c r="H683" s="56" t="str">
        <f>Table1[[#This Row],[Tabela]]&amp;Table1[[#This Row],[Campo]]</f>
        <v>modesg_out_empr_info_nfincod_nace_esg</v>
      </c>
      <c r="I683" s="2" t="s">
        <v>612</v>
      </c>
      <c r="J683" s="42">
        <f>VLOOKUP(Table1[[#This Row],[Status]],Auxiliar!$B$16:$C$24,2,0)</f>
        <v>1</v>
      </c>
      <c r="K683" s="2" t="s">
        <v>1168</v>
      </c>
      <c r="L683" s="28" t="s">
        <v>1166</v>
      </c>
      <c r="M683" s="20" t="s">
        <v>1167</v>
      </c>
      <c r="N683" s="47">
        <v>45350</v>
      </c>
      <c r="O683" s="20">
        <f>INDEX(Auxiliar!$D$5:$F$13,MATCH(Table1[[#This Row],[Tipologia_Testes]],Auxiliar!$B$5:$B$13,0),MATCH(Table1[[#This Row],[Complexidade]],Auxiliar!$D$4:$F$4,0))</f>
        <v>8</v>
      </c>
      <c r="P683" s="2"/>
      <c r="Q683" s="2"/>
      <c r="R683" s="151">
        <v>45560</v>
      </c>
      <c r="S683" s="151"/>
      <c r="T683" s="151">
        <v>45561</v>
      </c>
      <c r="U683" s="151">
        <v>45614</v>
      </c>
      <c r="V683" s="151">
        <v>45615</v>
      </c>
      <c r="W683" s="2">
        <f>VLOOKUP(Table1[[#This Row],[Status]],Auxiliar!$B$16:$D$24,3,0)*Table1[[#This Row],[Estimação (horas)]]</f>
        <v>8</v>
      </c>
      <c r="X683" s="165">
        <f>+VLOOKUP(CONCATENATE(Table1[[#This Row],[Tabela]],Table1[[#This Row],[Campo]]),'2. Status Detalhe Campos FY24'!A:J,9,FALSE)</f>
        <v>0</v>
      </c>
      <c r="Y683" s="491" t="e">
        <f>+VLOOKUP(A683,#REF!,1,FALSE)</f>
        <v>#REF!</v>
      </c>
    </row>
    <row r="684" spans="1:25" ht="17.899999999999999" hidden="1" customHeight="1">
      <c r="A684" t="str">
        <f>+Table1[[#This Row],[Tabela]]&amp;Table1[[#This Row],[Campo]]</f>
        <v>modesg_out_empr_info_nfincod_nace_esg</v>
      </c>
      <c r="B684" s="2" t="s">
        <v>26</v>
      </c>
      <c r="C684" s="2" t="s">
        <v>310</v>
      </c>
      <c r="D684" s="2" t="s">
        <v>326</v>
      </c>
      <c r="E684" s="2" t="s">
        <v>38</v>
      </c>
      <c r="F684" s="2" t="s">
        <v>325</v>
      </c>
      <c r="G684" s="2" t="s">
        <v>281</v>
      </c>
      <c r="H684" s="56" t="str">
        <f>Table1[[#This Row],[Tabela]]&amp;Table1[[#This Row],[Campo]]</f>
        <v>modesg_out_empr_info_nfincod_nace_esg</v>
      </c>
      <c r="I684" s="2" t="s">
        <v>612</v>
      </c>
      <c r="J684" s="42">
        <f>VLOOKUP(Table1[[#This Row],[Status]],Auxiliar!$B$16:$C$24,2,0)</f>
        <v>1</v>
      </c>
      <c r="K684" s="2" t="s">
        <v>1169</v>
      </c>
      <c r="L684" s="28" t="s">
        <v>1166</v>
      </c>
      <c r="M684" s="20" t="s">
        <v>1167</v>
      </c>
      <c r="N684" s="47">
        <v>45350</v>
      </c>
      <c r="O684" s="20">
        <f>INDEX(Auxiliar!$D$5:$F$13,MATCH(Table1[[#This Row],[Tipologia_Testes]],Auxiliar!$B$5:$B$13,0),MATCH(Table1[[#This Row],[Complexidade]],Auxiliar!$D$4:$F$4,0))</f>
        <v>8</v>
      </c>
      <c r="P684" s="2"/>
      <c r="Q684" s="2"/>
      <c r="R684" s="151">
        <v>45560</v>
      </c>
      <c r="S684" s="151"/>
      <c r="T684" s="151">
        <v>45561</v>
      </c>
      <c r="U684" s="151">
        <v>45614</v>
      </c>
      <c r="V684" s="151">
        <v>45615</v>
      </c>
      <c r="W684" s="2">
        <f>VLOOKUP(Table1[[#This Row],[Status]],Auxiliar!$B$16:$D$24,3,0)*Table1[[#This Row],[Estimação (horas)]]</f>
        <v>8</v>
      </c>
      <c r="X684" s="165">
        <f>+VLOOKUP(CONCATENATE(Table1[[#This Row],[Tabela]],Table1[[#This Row],[Campo]]),'2. Status Detalhe Campos FY24'!A:J,9,FALSE)</f>
        <v>0</v>
      </c>
      <c r="Y684" s="491" t="e">
        <f>+VLOOKUP(A684,#REF!,1,FALSE)</f>
        <v>#REF!</v>
      </c>
    </row>
    <row r="685" spans="1:25" ht="17.899999999999999" hidden="1" customHeight="1">
      <c r="A685" t="str">
        <f>+Table1[[#This Row],[Tabela]]&amp;Table1[[#This Row],[Campo]]</f>
        <v>modesg_out_empr_info_nfincod_nace_esg</v>
      </c>
      <c r="B685" s="2" t="s">
        <v>26</v>
      </c>
      <c r="C685" s="2" t="s">
        <v>310</v>
      </c>
      <c r="D685" s="2" t="s">
        <v>326</v>
      </c>
      <c r="E685" s="2" t="s">
        <v>38</v>
      </c>
      <c r="F685" s="2" t="s">
        <v>325</v>
      </c>
      <c r="G685" s="2" t="s">
        <v>281</v>
      </c>
      <c r="H685" s="56" t="str">
        <f>Table1[[#This Row],[Tabela]]&amp;Table1[[#This Row],[Campo]]</f>
        <v>modesg_out_empr_info_nfincod_nace_esg</v>
      </c>
      <c r="I685" s="2" t="s">
        <v>612</v>
      </c>
      <c r="J685" s="42">
        <f>VLOOKUP(Table1[[#This Row],[Status]],Auxiliar!$B$16:$C$24,2,0)</f>
        <v>1</v>
      </c>
      <c r="K685" s="2" t="s">
        <v>1171</v>
      </c>
      <c r="L685" s="28" t="s">
        <v>1166</v>
      </c>
      <c r="M685" s="20" t="s">
        <v>1167</v>
      </c>
      <c r="N685" s="47">
        <v>45350</v>
      </c>
      <c r="O685" s="20">
        <f>INDEX(Auxiliar!$D$5:$F$13,MATCH(Table1[[#This Row],[Tipologia_Testes]],Auxiliar!$B$5:$B$13,0),MATCH(Table1[[#This Row],[Complexidade]],Auxiliar!$D$4:$F$4,0))</f>
        <v>0.1</v>
      </c>
      <c r="P685" s="2"/>
      <c r="Q685" s="2"/>
      <c r="R685" s="151">
        <v>45560</v>
      </c>
      <c r="S685" s="151"/>
      <c r="T685" s="151">
        <v>45561</v>
      </c>
      <c r="U685" s="151">
        <v>45614</v>
      </c>
      <c r="V685" s="151">
        <v>45615</v>
      </c>
      <c r="W685" s="2">
        <f>VLOOKUP(Table1[[#This Row],[Status]],Auxiliar!$B$16:$D$24,3,0)*Table1[[#This Row],[Estimação (horas)]]</f>
        <v>0.1</v>
      </c>
      <c r="X685" s="165">
        <f>+VLOOKUP(CONCATENATE(Table1[[#This Row],[Tabela]],Table1[[#This Row],[Campo]]),'2. Status Detalhe Campos FY24'!A:J,9,FALSE)</f>
        <v>0</v>
      </c>
      <c r="Y685" s="491" t="e">
        <f>+VLOOKUP(A685,#REF!,1,FALSE)</f>
        <v>#REF!</v>
      </c>
    </row>
    <row r="686" spans="1:25" ht="17.899999999999999" hidden="1" customHeight="1">
      <c r="A686" t="str">
        <f>+Table1[[#This Row],[Tabela]]&amp;Table1[[#This Row],[Campo]]</f>
        <v>modesg_out_empr_info_nfinflg_emprs_excl_paris</v>
      </c>
      <c r="B686" s="2" t="s">
        <v>26</v>
      </c>
      <c r="C686" s="2" t="s">
        <v>310</v>
      </c>
      <c r="D686" s="2" t="s">
        <v>326</v>
      </c>
      <c r="E686" s="2" t="s">
        <v>38</v>
      </c>
      <c r="F686" s="2" t="s">
        <v>325</v>
      </c>
      <c r="G686" s="2" t="s">
        <v>327</v>
      </c>
      <c r="H686" s="56" t="str">
        <f>Table1[[#This Row],[Tabela]]&amp;Table1[[#This Row],[Campo]]</f>
        <v>modesg_out_empr_info_nfinflg_emprs_excl_paris</v>
      </c>
      <c r="I686" s="2" t="s">
        <v>612</v>
      </c>
      <c r="J686" s="42">
        <f>VLOOKUP(Table1[[#This Row],[Status]],Auxiliar!$B$16:$C$24,2,0)</f>
        <v>1</v>
      </c>
      <c r="K686" s="2" t="s">
        <v>1168</v>
      </c>
      <c r="L686" s="28" t="s">
        <v>1174</v>
      </c>
      <c r="M686" s="20" t="s">
        <v>1176</v>
      </c>
      <c r="N686" s="47">
        <v>45674</v>
      </c>
      <c r="O686" s="20">
        <f>INDEX(Auxiliar!$D$5:$F$13,MATCH(Table1[[#This Row],[Tipologia_Testes]],Auxiliar!$B$5:$B$13,0),MATCH(Table1[[#This Row],[Complexidade]],Auxiliar!$D$4:$F$4,0))</f>
        <v>4</v>
      </c>
      <c r="P686" s="166" t="s">
        <v>1200</v>
      </c>
      <c r="Q686" s="2"/>
      <c r="R686" s="151">
        <v>45553</v>
      </c>
      <c r="S686" s="151"/>
      <c r="T686" s="151">
        <v>45553</v>
      </c>
      <c r="U686" s="151">
        <v>45614</v>
      </c>
      <c r="V686" s="151">
        <v>45615</v>
      </c>
      <c r="W686" s="2">
        <f>VLOOKUP(Table1[[#This Row],[Status]],Auxiliar!$B$16:$D$24,3,0)*Table1[[#This Row],[Estimação (horas)]]</f>
        <v>4</v>
      </c>
      <c r="X686" s="165">
        <f>+VLOOKUP(CONCATENATE(Table1[[#This Row],[Tabela]],Table1[[#This Row],[Campo]]),'2. Status Detalhe Campos FY24'!A:J,9,FALSE)</f>
        <v>0</v>
      </c>
      <c r="Y686" s="491" t="e">
        <f>+VLOOKUP(A686,#REF!,1,FALSE)</f>
        <v>#REF!</v>
      </c>
    </row>
    <row r="687" spans="1:25" ht="17.899999999999999" hidden="1" customHeight="1">
      <c r="A687" t="str">
        <f>+Table1[[#This Row],[Tabela]]&amp;Table1[[#This Row],[Campo]]</f>
        <v>modesg_out_empr_info_nfinflg_emprs_excl_paris</v>
      </c>
      <c r="B687" s="2" t="s">
        <v>26</v>
      </c>
      <c r="C687" s="2" t="s">
        <v>310</v>
      </c>
      <c r="D687" s="2" t="s">
        <v>326</v>
      </c>
      <c r="E687" s="2" t="s">
        <v>38</v>
      </c>
      <c r="F687" s="2" t="s">
        <v>325</v>
      </c>
      <c r="G687" s="2" t="s">
        <v>327</v>
      </c>
      <c r="H687" s="56" t="str">
        <f>Table1[[#This Row],[Tabela]]&amp;Table1[[#This Row],[Campo]]</f>
        <v>modesg_out_empr_info_nfinflg_emprs_excl_paris</v>
      </c>
      <c r="I687" s="2" t="s">
        <v>612</v>
      </c>
      <c r="J687" s="42">
        <f>VLOOKUP(Table1[[#This Row],[Status]],Auxiliar!$B$16:$C$24,2,0)</f>
        <v>1</v>
      </c>
      <c r="K687" s="2" t="s">
        <v>1169</v>
      </c>
      <c r="L687" s="28" t="s">
        <v>1174</v>
      </c>
      <c r="M687" s="20" t="s">
        <v>1176</v>
      </c>
      <c r="N687" s="47">
        <v>45674</v>
      </c>
      <c r="O687" s="20">
        <f>INDEX(Auxiliar!$D$5:$F$13,MATCH(Table1[[#This Row],[Tipologia_Testes]],Auxiliar!$B$5:$B$13,0),MATCH(Table1[[#This Row],[Complexidade]],Auxiliar!$D$4:$F$4,0))</f>
        <v>4</v>
      </c>
      <c r="P687" s="166" t="s">
        <v>1200</v>
      </c>
      <c r="Q687" s="2"/>
      <c r="R687" s="151">
        <v>45553</v>
      </c>
      <c r="S687" s="151"/>
      <c r="T687" s="151">
        <v>45553</v>
      </c>
      <c r="U687" s="151">
        <v>45614</v>
      </c>
      <c r="V687" s="151">
        <v>45615</v>
      </c>
      <c r="W687" s="2">
        <f>VLOOKUP(Table1[[#This Row],[Status]],Auxiliar!$B$16:$D$24,3,0)*Table1[[#This Row],[Estimação (horas)]]</f>
        <v>4</v>
      </c>
      <c r="X687" s="165">
        <f>+VLOOKUP(CONCATENATE(Table1[[#This Row],[Tabela]],Table1[[#This Row],[Campo]]),'2. Status Detalhe Campos FY24'!A:J,9,FALSE)</f>
        <v>0</v>
      </c>
      <c r="Y687" s="491" t="e">
        <f>+VLOOKUP(A687,#REF!,1,FALSE)</f>
        <v>#REF!</v>
      </c>
    </row>
    <row r="688" spans="1:25" ht="17.899999999999999" hidden="1" customHeight="1">
      <c r="A688" t="str">
        <f>+Table1[[#This Row],[Tabela]]&amp;Table1[[#This Row],[Campo]]</f>
        <v>modesg_out_empr_info_nfinflg_emprs_excl_paris</v>
      </c>
      <c r="B688" s="2" t="s">
        <v>26</v>
      </c>
      <c r="C688" s="2" t="s">
        <v>310</v>
      </c>
      <c r="D688" s="2" t="s">
        <v>326</v>
      </c>
      <c r="E688" s="2" t="s">
        <v>38</v>
      </c>
      <c r="F688" s="2" t="s">
        <v>325</v>
      </c>
      <c r="G688" s="2" t="s">
        <v>327</v>
      </c>
      <c r="H688" s="56" t="str">
        <f>Table1[[#This Row],[Tabela]]&amp;Table1[[#This Row],[Campo]]</f>
        <v>modesg_out_empr_info_nfinflg_emprs_excl_paris</v>
      </c>
      <c r="I688" s="2" t="s">
        <v>612</v>
      </c>
      <c r="J688" s="42">
        <f>VLOOKUP(Table1[[#This Row],[Status]],Auxiliar!$B$16:$C$24,2,0)</f>
        <v>1</v>
      </c>
      <c r="K688" s="2" t="s">
        <v>1171</v>
      </c>
      <c r="L688" s="28" t="s">
        <v>1174</v>
      </c>
      <c r="M688" s="20" t="s">
        <v>1176</v>
      </c>
      <c r="N688" s="47">
        <v>45674</v>
      </c>
      <c r="O688" s="20">
        <f>INDEX(Auxiliar!$D$5:$F$13,MATCH(Table1[[#This Row],[Tipologia_Testes]],Auxiliar!$B$5:$B$13,0),MATCH(Table1[[#This Row],[Complexidade]],Auxiliar!$D$4:$F$4,0))</f>
        <v>0.1</v>
      </c>
      <c r="P688" s="166" t="s">
        <v>1200</v>
      </c>
      <c r="Q688" s="2"/>
      <c r="R688" s="151">
        <v>45553</v>
      </c>
      <c r="S688" s="151"/>
      <c r="T688" s="151">
        <v>45553</v>
      </c>
      <c r="U688" s="151">
        <v>45614</v>
      </c>
      <c r="V688" s="151">
        <v>45615</v>
      </c>
      <c r="W688" s="2">
        <f>VLOOKUP(Table1[[#This Row],[Status]],Auxiliar!$B$16:$D$24,3,0)*Table1[[#This Row],[Estimação (horas)]]</f>
        <v>0.1</v>
      </c>
      <c r="X688" s="165">
        <f>+VLOOKUP(CONCATENATE(Table1[[#This Row],[Tabela]],Table1[[#This Row],[Campo]]),'2. Status Detalhe Campos FY24'!A:J,9,FALSE)</f>
        <v>0</v>
      </c>
      <c r="Y688" s="491" t="e">
        <f>+VLOOKUP(A688,#REF!,1,FALSE)</f>
        <v>#REF!</v>
      </c>
    </row>
    <row r="689" spans="1:25" ht="17.899999999999999" hidden="1" customHeight="1">
      <c r="A689" t="str">
        <f>+Table1[[#This Row],[Tabela]]&amp;Table1[[#This Row],[Campo]]</f>
        <v>modesg_out_empr_info_nfinflg_nfrd</v>
      </c>
      <c r="B689" s="2" t="s">
        <v>26</v>
      </c>
      <c r="C689" s="2" t="s">
        <v>310</v>
      </c>
      <c r="D689" s="2" t="s">
        <v>326</v>
      </c>
      <c r="E689" s="2" t="s">
        <v>38</v>
      </c>
      <c r="F689" s="2" t="s">
        <v>325</v>
      </c>
      <c r="G689" s="2" t="s">
        <v>244</v>
      </c>
      <c r="H689" s="56" t="str">
        <f>Table1[[#This Row],[Tabela]]&amp;Table1[[#This Row],[Campo]]</f>
        <v>modesg_out_empr_info_nfinflg_nfrd</v>
      </c>
      <c r="I689" s="2" t="s">
        <v>612</v>
      </c>
      <c r="J689" s="42">
        <f>VLOOKUP(Table1[[#This Row],[Status]],Auxiliar!$B$16:$C$24,2,0)</f>
        <v>1</v>
      </c>
      <c r="K689" s="2" t="s">
        <v>1168</v>
      </c>
      <c r="L689" s="28" t="s">
        <v>1174</v>
      </c>
      <c r="M689" s="20" t="s">
        <v>1176</v>
      </c>
      <c r="N689" s="47">
        <v>45674</v>
      </c>
      <c r="O689" s="20">
        <f>INDEX(Auxiliar!$D$5:$F$13,MATCH(Table1[[#This Row],[Tipologia_Testes]],Auxiliar!$B$5:$B$13,0),MATCH(Table1[[#This Row],[Complexidade]],Auxiliar!$D$4:$F$4,0))</f>
        <v>4</v>
      </c>
      <c r="P689" s="166" t="s">
        <v>1200</v>
      </c>
      <c r="Q689" s="2"/>
      <c r="R689" s="151">
        <v>45553</v>
      </c>
      <c r="S689" s="151"/>
      <c r="T689" s="151">
        <v>45553</v>
      </c>
      <c r="U689" s="151">
        <v>45614</v>
      </c>
      <c r="V689" s="151">
        <v>45615</v>
      </c>
      <c r="W689" s="2">
        <f>VLOOKUP(Table1[[#This Row],[Status]],Auxiliar!$B$16:$D$24,3,0)*Table1[[#This Row],[Estimação (horas)]]</f>
        <v>4</v>
      </c>
      <c r="X689" s="165">
        <f>+VLOOKUP(CONCATENATE(Table1[[#This Row],[Tabela]],Table1[[#This Row],[Campo]]),'2. Status Detalhe Campos FY24'!A:J,9,FALSE)</f>
        <v>0</v>
      </c>
      <c r="Y689" s="491" t="e">
        <f>+VLOOKUP(A689,#REF!,1,FALSE)</f>
        <v>#REF!</v>
      </c>
    </row>
    <row r="690" spans="1:25" ht="17.899999999999999" hidden="1" customHeight="1">
      <c r="A690" t="str">
        <f>+Table1[[#This Row],[Tabela]]&amp;Table1[[#This Row],[Campo]]</f>
        <v>modesg_out_empr_info_nfinflg_nfrd</v>
      </c>
      <c r="B690" s="2" t="s">
        <v>26</v>
      </c>
      <c r="C690" s="2" t="s">
        <v>310</v>
      </c>
      <c r="D690" s="2" t="s">
        <v>326</v>
      </c>
      <c r="E690" s="2" t="s">
        <v>38</v>
      </c>
      <c r="F690" s="2" t="s">
        <v>325</v>
      </c>
      <c r="G690" s="2" t="s">
        <v>244</v>
      </c>
      <c r="H690" s="56" t="str">
        <f>Table1[[#This Row],[Tabela]]&amp;Table1[[#This Row],[Campo]]</f>
        <v>modesg_out_empr_info_nfinflg_nfrd</v>
      </c>
      <c r="I690" s="2" t="s">
        <v>612</v>
      </c>
      <c r="J690" s="42">
        <f>VLOOKUP(Table1[[#This Row],[Status]],Auxiliar!$B$16:$C$24,2,0)</f>
        <v>1</v>
      </c>
      <c r="K690" s="2" t="s">
        <v>1169</v>
      </c>
      <c r="L690" s="28" t="s">
        <v>1174</v>
      </c>
      <c r="M690" s="20" t="s">
        <v>1176</v>
      </c>
      <c r="N690" s="47">
        <v>45674</v>
      </c>
      <c r="O690" s="20">
        <f>INDEX(Auxiliar!$D$5:$F$13,MATCH(Table1[[#This Row],[Tipologia_Testes]],Auxiliar!$B$5:$B$13,0),MATCH(Table1[[#This Row],[Complexidade]],Auxiliar!$D$4:$F$4,0))</f>
        <v>4</v>
      </c>
      <c r="P690" s="166" t="s">
        <v>1200</v>
      </c>
      <c r="Q690" s="2"/>
      <c r="R690" s="151">
        <v>45553</v>
      </c>
      <c r="S690" s="151"/>
      <c r="T690" s="151">
        <v>45553</v>
      </c>
      <c r="U690" s="151">
        <v>45614</v>
      </c>
      <c r="V690" s="151">
        <v>45615</v>
      </c>
      <c r="W690" s="2">
        <f>VLOOKUP(Table1[[#This Row],[Status]],Auxiliar!$B$16:$D$24,3,0)*Table1[[#This Row],[Estimação (horas)]]</f>
        <v>4</v>
      </c>
      <c r="X690" s="165">
        <f>+VLOOKUP(CONCATENATE(Table1[[#This Row],[Tabela]],Table1[[#This Row],[Campo]]),'2. Status Detalhe Campos FY24'!A:J,9,FALSE)</f>
        <v>0</v>
      </c>
      <c r="Y690" s="491" t="e">
        <f>+VLOOKUP(A690,#REF!,1,FALSE)</f>
        <v>#REF!</v>
      </c>
    </row>
    <row r="691" spans="1:25" ht="17.899999999999999" hidden="1" customHeight="1">
      <c r="A691" t="str">
        <f>+Table1[[#This Row],[Tabela]]&amp;Table1[[#This Row],[Campo]]</f>
        <v>modesg_out_empr_info_nfinflg_nfrd</v>
      </c>
      <c r="B691" s="2" t="s">
        <v>26</v>
      </c>
      <c r="C691" s="2" t="s">
        <v>310</v>
      </c>
      <c r="D691" s="2" t="s">
        <v>326</v>
      </c>
      <c r="E691" s="2" t="s">
        <v>38</v>
      </c>
      <c r="F691" s="2" t="s">
        <v>325</v>
      </c>
      <c r="G691" s="2" t="s">
        <v>244</v>
      </c>
      <c r="H691" s="56" t="str">
        <f>Table1[[#This Row],[Tabela]]&amp;Table1[[#This Row],[Campo]]</f>
        <v>modesg_out_empr_info_nfinflg_nfrd</v>
      </c>
      <c r="I691" s="2" t="s">
        <v>612</v>
      </c>
      <c r="J691" s="42">
        <f>VLOOKUP(Table1[[#This Row],[Status]],Auxiliar!$B$16:$C$24,2,0)</f>
        <v>1</v>
      </c>
      <c r="K691" s="2" t="s">
        <v>1171</v>
      </c>
      <c r="L691" s="28" t="s">
        <v>1174</v>
      </c>
      <c r="M691" s="20" t="s">
        <v>1176</v>
      </c>
      <c r="N691" s="47">
        <v>45674</v>
      </c>
      <c r="O691" s="20">
        <f>INDEX(Auxiliar!$D$5:$F$13,MATCH(Table1[[#This Row],[Tipologia_Testes]],Auxiliar!$B$5:$B$13,0),MATCH(Table1[[#This Row],[Complexidade]],Auxiliar!$D$4:$F$4,0))</f>
        <v>0.1</v>
      </c>
      <c r="P691" s="166" t="s">
        <v>1200</v>
      </c>
      <c r="Q691" s="2"/>
      <c r="R691" s="151">
        <v>45553</v>
      </c>
      <c r="S691" s="151"/>
      <c r="T691" s="151">
        <v>45553</v>
      </c>
      <c r="U691" s="151">
        <v>45614</v>
      </c>
      <c r="V691" s="151">
        <v>45615</v>
      </c>
      <c r="W691" s="2">
        <f>VLOOKUP(Table1[[#This Row],[Status]],Auxiliar!$B$16:$D$24,3,0)*Table1[[#This Row],[Estimação (horas)]]</f>
        <v>0.1</v>
      </c>
      <c r="X691" s="165">
        <f>+VLOOKUP(CONCATENATE(Table1[[#This Row],[Tabela]],Table1[[#This Row],[Campo]]),'2. Status Detalhe Campos FY24'!A:J,9,FALSE)</f>
        <v>0</v>
      </c>
      <c r="Y691" s="491" t="e">
        <f>+VLOOKUP(A691,#REF!,1,FALSE)</f>
        <v>#REF!</v>
      </c>
    </row>
    <row r="692" spans="1:25" ht="17.899999999999999" hidden="1" customHeight="1">
      <c r="A692" t="str">
        <f>+Table1[[#This Row],[Tabela]]&amp;Table1[[#This Row],[Campo]]</f>
        <v>modesg_out_empr_info_nfinflg_rsc_fsc_agd</v>
      </c>
      <c r="B692" s="2" t="s">
        <v>26</v>
      </c>
      <c r="C692" s="2" t="s">
        <v>310</v>
      </c>
      <c r="D692" s="2" t="s">
        <v>326</v>
      </c>
      <c r="E692" s="2" t="s">
        <v>38</v>
      </c>
      <c r="F692" s="2" t="s">
        <v>325</v>
      </c>
      <c r="G692" s="2" t="s">
        <v>282</v>
      </c>
      <c r="H692" s="56" t="str">
        <f>Table1[[#This Row],[Tabela]]&amp;Table1[[#This Row],[Campo]]</f>
        <v>modesg_out_empr_info_nfinflg_rsc_fsc_agd</v>
      </c>
      <c r="I692" s="2" t="s">
        <v>612</v>
      </c>
      <c r="J692" s="42">
        <f>VLOOKUP(Table1[[#This Row],[Status]],Auxiliar!$B$16:$C$24,2,0)</f>
        <v>1</v>
      </c>
      <c r="K692" s="2" t="s">
        <v>1168</v>
      </c>
      <c r="L692" s="28" t="s">
        <v>1166</v>
      </c>
      <c r="M692" s="20" t="s">
        <v>1167</v>
      </c>
      <c r="N692" s="47">
        <v>45358</v>
      </c>
      <c r="O692" s="20">
        <f>INDEX(Auxiliar!$D$5:$F$13,MATCH(Table1[[#This Row],[Tipologia_Testes]],Auxiliar!$B$5:$B$13,0),MATCH(Table1[[#This Row],[Complexidade]],Auxiliar!$D$4:$F$4,0))</f>
        <v>8</v>
      </c>
      <c r="P692" s="2"/>
      <c r="Q692" s="2"/>
      <c r="R692" s="151">
        <v>45569</v>
      </c>
      <c r="S692" s="151"/>
      <c r="T692" s="151">
        <v>45569</v>
      </c>
      <c r="U692" s="151">
        <v>45624</v>
      </c>
      <c r="V692" s="151">
        <v>45639</v>
      </c>
      <c r="W692" s="2">
        <f>VLOOKUP(Table1[[#This Row],[Status]],Auxiliar!$B$16:$D$24,3,0)*Table1[[#This Row],[Estimação (horas)]]</f>
        <v>8</v>
      </c>
      <c r="X692" s="165">
        <f>+VLOOKUP(CONCATENATE(Table1[[#This Row],[Tabela]],Table1[[#This Row],[Campo]]),'2. Status Detalhe Campos FY24'!A:J,9,FALSE)</f>
        <v>0</v>
      </c>
      <c r="Y692" s="491" t="e">
        <f>+VLOOKUP(A692,#REF!,1,FALSE)</f>
        <v>#REF!</v>
      </c>
    </row>
    <row r="693" spans="1:25" ht="17.899999999999999" hidden="1" customHeight="1">
      <c r="A693" t="str">
        <f>+Table1[[#This Row],[Tabela]]&amp;Table1[[#This Row],[Campo]]</f>
        <v>modesg_out_empr_info_nfinflg_rsc_fsc_agd</v>
      </c>
      <c r="B693" s="2" t="s">
        <v>26</v>
      </c>
      <c r="C693" s="2" t="s">
        <v>310</v>
      </c>
      <c r="D693" s="2" t="s">
        <v>326</v>
      </c>
      <c r="E693" s="2" t="s">
        <v>38</v>
      </c>
      <c r="F693" s="2" t="s">
        <v>325</v>
      </c>
      <c r="G693" s="2" t="s">
        <v>282</v>
      </c>
      <c r="H693" s="56" t="str">
        <f>Table1[[#This Row],[Tabela]]&amp;Table1[[#This Row],[Campo]]</f>
        <v>modesg_out_empr_info_nfinflg_rsc_fsc_agd</v>
      </c>
      <c r="I693" s="2" t="s">
        <v>612</v>
      </c>
      <c r="J693" s="42">
        <f>VLOOKUP(Table1[[#This Row],[Status]],Auxiliar!$B$16:$C$24,2,0)</f>
        <v>1</v>
      </c>
      <c r="K693" s="2" t="s">
        <v>1169</v>
      </c>
      <c r="L693" s="28" t="s">
        <v>1166</v>
      </c>
      <c r="M693" s="20" t="s">
        <v>1167</v>
      </c>
      <c r="N693" s="47">
        <v>45358</v>
      </c>
      <c r="O693" s="20">
        <f>INDEX(Auxiliar!$D$5:$F$13,MATCH(Table1[[#This Row],[Tipologia_Testes]],Auxiliar!$B$5:$B$13,0),MATCH(Table1[[#This Row],[Complexidade]],Auxiliar!$D$4:$F$4,0))</f>
        <v>8</v>
      </c>
      <c r="P693" s="2"/>
      <c r="Q693" s="2"/>
      <c r="R693" s="151">
        <v>45569</v>
      </c>
      <c r="S693" s="151"/>
      <c r="T693" s="151">
        <v>45569</v>
      </c>
      <c r="U693" s="151">
        <v>45624</v>
      </c>
      <c r="V693" s="151">
        <v>45639</v>
      </c>
      <c r="W693" s="2">
        <f>VLOOKUP(Table1[[#This Row],[Status]],Auxiliar!$B$16:$D$24,3,0)*Table1[[#This Row],[Estimação (horas)]]</f>
        <v>8</v>
      </c>
      <c r="X693" s="165">
        <f>+VLOOKUP(CONCATENATE(Table1[[#This Row],[Tabela]],Table1[[#This Row],[Campo]]),'2. Status Detalhe Campos FY24'!A:J,9,FALSE)</f>
        <v>0</v>
      </c>
      <c r="Y693" s="491" t="e">
        <f>+VLOOKUP(A693,#REF!,1,FALSE)</f>
        <v>#REF!</v>
      </c>
    </row>
    <row r="694" spans="1:25" ht="17.899999999999999" hidden="1" customHeight="1">
      <c r="A694" t="str">
        <f>+Table1[[#This Row],[Tabela]]&amp;Table1[[#This Row],[Campo]]</f>
        <v>modesg_out_empr_info_nfinflg_rsc_fsc_agd</v>
      </c>
      <c r="B694" s="2" t="s">
        <v>26</v>
      </c>
      <c r="C694" s="2" t="s">
        <v>310</v>
      </c>
      <c r="D694" s="2" t="s">
        <v>326</v>
      </c>
      <c r="E694" s="2" t="s">
        <v>38</v>
      </c>
      <c r="F694" s="2" t="s">
        <v>325</v>
      </c>
      <c r="G694" s="2" t="s">
        <v>282</v>
      </c>
      <c r="H694" s="56" t="str">
        <f>Table1[[#This Row],[Tabela]]&amp;Table1[[#This Row],[Campo]]</f>
        <v>modesg_out_empr_info_nfinflg_rsc_fsc_agd</v>
      </c>
      <c r="I694" s="2" t="s">
        <v>612</v>
      </c>
      <c r="J694" s="42">
        <f>VLOOKUP(Table1[[#This Row],[Status]],Auxiliar!$B$16:$C$24,2,0)</f>
        <v>1</v>
      </c>
      <c r="K694" s="2" t="s">
        <v>1171</v>
      </c>
      <c r="L694" s="28" t="s">
        <v>1166</v>
      </c>
      <c r="M694" s="20" t="s">
        <v>1167</v>
      </c>
      <c r="N694" s="47">
        <v>45358</v>
      </c>
      <c r="O694" s="20">
        <f>INDEX(Auxiliar!$D$5:$F$13,MATCH(Table1[[#This Row],[Tipologia_Testes]],Auxiliar!$B$5:$B$13,0),MATCH(Table1[[#This Row],[Complexidade]],Auxiliar!$D$4:$F$4,0))</f>
        <v>0.1</v>
      </c>
      <c r="P694" s="2"/>
      <c r="Q694" s="2"/>
      <c r="R694" s="151">
        <v>45569</v>
      </c>
      <c r="S694" s="151"/>
      <c r="T694" s="151">
        <v>45569</v>
      </c>
      <c r="U694" s="151">
        <v>45624</v>
      </c>
      <c r="V694" s="151">
        <v>45639</v>
      </c>
      <c r="W694" s="2">
        <f>VLOOKUP(Table1[[#This Row],[Status]],Auxiliar!$B$16:$D$24,3,0)*Table1[[#This Row],[Estimação (horas)]]</f>
        <v>0.1</v>
      </c>
      <c r="X694" s="165">
        <f>+VLOOKUP(CONCATENATE(Table1[[#This Row],[Tabela]],Table1[[#This Row],[Campo]]),'2. Status Detalhe Campos FY24'!A:J,9,FALSE)</f>
        <v>0</v>
      </c>
      <c r="Y694" s="491" t="e">
        <f>+VLOOKUP(A694,#REF!,1,FALSE)</f>
        <v>#REF!</v>
      </c>
    </row>
    <row r="695" spans="1:25" ht="17.899999999999999" hidden="1" customHeight="1">
      <c r="A695" t="str">
        <f>+Table1[[#This Row],[Tabela]]&amp;Table1[[#This Row],[Campo]]</f>
        <v>modesg_out_empr_info_nfinflg_rsc_fsc_crnc</v>
      </c>
      <c r="B695" s="2" t="s">
        <v>26</v>
      </c>
      <c r="C695" s="2" t="s">
        <v>310</v>
      </c>
      <c r="D695" s="2" t="s">
        <v>326</v>
      </c>
      <c r="E695" s="2" t="s">
        <v>38</v>
      </c>
      <c r="F695" s="2" t="s">
        <v>325</v>
      </c>
      <c r="G695" s="2" t="s">
        <v>283</v>
      </c>
      <c r="H695" s="56" t="str">
        <f>Table1[[#This Row],[Tabela]]&amp;Table1[[#This Row],[Campo]]</f>
        <v>modesg_out_empr_info_nfinflg_rsc_fsc_crnc</v>
      </c>
      <c r="I695" s="2" t="s">
        <v>612</v>
      </c>
      <c r="J695" s="42">
        <f>VLOOKUP(Table1[[#This Row],[Status]],Auxiliar!$B$16:$C$24,2,0)</f>
        <v>1</v>
      </c>
      <c r="K695" s="2" t="s">
        <v>1168</v>
      </c>
      <c r="L695" s="28" t="s">
        <v>1166</v>
      </c>
      <c r="M695" s="20" t="s">
        <v>1167</v>
      </c>
      <c r="N695" s="47">
        <v>45358</v>
      </c>
      <c r="O695" s="20">
        <f>INDEX(Auxiliar!$D$5:$F$13,MATCH(Table1[[#This Row],[Tipologia_Testes]],Auxiliar!$B$5:$B$13,0),MATCH(Table1[[#This Row],[Complexidade]],Auxiliar!$D$4:$F$4,0))</f>
        <v>8</v>
      </c>
      <c r="P695" s="2"/>
      <c r="Q695" s="2"/>
      <c r="R695" s="151">
        <v>45569</v>
      </c>
      <c r="S695" s="151"/>
      <c r="T695" s="151">
        <v>45569</v>
      </c>
      <c r="U695" s="151">
        <v>45624</v>
      </c>
      <c r="V695" s="151">
        <v>45639</v>
      </c>
      <c r="W695" s="2">
        <f>VLOOKUP(Table1[[#This Row],[Status]],Auxiliar!$B$16:$D$24,3,0)*Table1[[#This Row],[Estimação (horas)]]</f>
        <v>8</v>
      </c>
      <c r="X695" s="165">
        <f>+VLOOKUP(CONCATENATE(Table1[[#This Row],[Tabela]],Table1[[#This Row],[Campo]]),'2. Status Detalhe Campos FY24'!A:J,9,FALSE)</f>
        <v>0</v>
      </c>
      <c r="Y695" s="491" t="e">
        <f>+VLOOKUP(A695,#REF!,1,FALSE)</f>
        <v>#REF!</v>
      </c>
    </row>
    <row r="696" spans="1:25" ht="17.899999999999999" hidden="1" customHeight="1">
      <c r="A696" t="str">
        <f>+Table1[[#This Row],[Tabela]]&amp;Table1[[#This Row],[Campo]]</f>
        <v>modesg_out_empr_info_nfinflg_rsc_fsc_crnc</v>
      </c>
      <c r="B696" s="2" t="s">
        <v>26</v>
      </c>
      <c r="C696" s="2" t="s">
        <v>310</v>
      </c>
      <c r="D696" s="2" t="s">
        <v>326</v>
      </c>
      <c r="E696" s="2" t="s">
        <v>38</v>
      </c>
      <c r="F696" s="2" t="s">
        <v>325</v>
      </c>
      <c r="G696" s="2" t="s">
        <v>283</v>
      </c>
      <c r="H696" s="56" t="str">
        <f>Table1[[#This Row],[Tabela]]&amp;Table1[[#This Row],[Campo]]</f>
        <v>modesg_out_empr_info_nfinflg_rsc_fsc_crnc</v>
      </c>
      <c r="I696" s="2" t="s">
        <v>612</v>
      </c>
      <c r="J696" s="42">
        <f>VLOOKUP(Table1[[#This Row],[Status]],Auxiliar!$B$16:$C$24,2,0)</f>
        <v>1</v>
      </c>
      <c r="K696" s="2" t="s">
        <v>1169</v>
      </c>
      <c r="L696" s="28" t="s">
        <v>1166</v>
      </c>
      <c r="M696" s="20" t="s">
        <v>1167</v>
      </c>
      <c r="N696" s="47">
        <v>45358</v>
      </c>
      <c r="O696" s="20">
        <f>INDEX(Auxiliar!$D$5:$F$13,MATCH(Table1[[#This Row],[Tipologia_Testes]],Auxiliar!$B$5:$B$13,0),MATCH(Table1[[#This Row],[Complexidade]],Auxiliar!$D$4:$F$4,0))</f>
        <v>8</v>
      </c>
      <c r="P696" s="2"/>
      <c r="Q696" s="2"/>
      <c r="R696" s="151">
        <v>45569</v>
      </c>
      <c r="S696" s="151"/>
      <c r="T696" s="151">
        <v>45569</v>
      </c>
      <c r="U696" s="151">
        <v>45624</v>
      </c>
      <c r="V696" s="151">
        <v>45639</v>
      </c>
      <c r="W696" s="2">
        <f>VLOOKUP(Table1[[#This Row],[Status]],Auxiliar!$B$16:$D$24,3,0)*Table1[[#This Row],[Estimação (horas)]]</f>
        <v>8</v>
      </c>
      <c r="X696" s="165">
        <f>+VLOOKUP(CONCATENATE(Table1[[#This Row],[Tabela]],Table1[[#This Row],[Campo]]),'2. Status Detalhe Campos FY24'!A:J,9,FALSE)</f>
        <v>0</v>
      </c>
      <c r="Y696" s="491" t="e">
        <f>+VLOOKUP(A696,#REF!,1,FALSE)</f>
        <v>#REF!</v>
      </c>
    </row>
    <row r="697" spans="1:25" ht="17.899999999999999" hidden="1" customHeight="1">
      <c r="A697" t="str">
        <f>+Table1[[#This Row],[Tabela]]&amp;Table1[[#This Row],[Campo]]</f>
        <v>modesg_out_empr_info_nfinflg_rsc_fsc_crnc</v>
      </c>
      <c r="B697" s="2" t="s">
        <v>26</v>
      </c>
      <c r="C697" s="2" t="s">
        <v>310</v>
      </c>
      <c r="D697" s="2" t="s">
        <v>326</v>
      </c>
      <c r="E697" s="2" t="s">
        <v>38</v>
      </c>
      <c r="F697" s="2" t="s">
        <v>325</v>
      </c>
      <c r="G697" s="2" t="s">
        <v>283</v>
      </c>
      <c r="H697" s="56" t="str">
        <f>Table1[[#This Row],[Tabela]]&amp;Table1[[#This Row],[Campo]]</f>
        <v>modesg_out_empr_info_nfinflg_rsc_fsc_crnc</v>
      </c>
      <c r="I697" s="2" t="s">
        <v>612</v>
      </c>
      <c r="J697" s="42">
        <f>VLOOKUP(Table1[[#This Row],[Status]],Auxiliar!$B$16:$C$24,2,0)</f>
        <v>1</v>
      </c>
      <c r="K697" s="2" t="s">
        <v>1171</v>
      </c>
      <c r="L697" s="28" t="s">
        <v>1166</v>
      </c>
      <c r="M697" s="20" t="s">
        <v>1167</v>
      </c>
      <c r="N697" s="47">
        <v>45358</v>
      </c>
      <c r="O697" s="20">
        <f>INDEX(Auxiliar!$D$5:$F$13,MATCH(Table1[[#This Row],[Tipologia_Testes]],Auxiliar!$B$5:$B$13,0),MATCH(Table1[[#This Row],[Complexidade]],Auxiliar!$D$4:$F$4,0))</f>
        <v>0.1</v>
      </c>
      <c r="P697" s="2"/>
      <c r="Q697" s="2"/>
      <c r="R697" s="151">
        <v>45569</v>
      </c>
      <c r="S697" s="151"/>
      <c r="T697" s="151">
        <v>45569</v>
      </c>
      <c r="U697" s="151">
        <v>45624</v>
      </c>
      <c r="V697" s="151">
        <v>45639</v>
      </c>
      <c r="W697" s="2">
        <f>VLOOKUP(Table1[[#This Row],[Status]],Auxiliar!$B$16:$D$24,3,0)*Table1[[#This Row],[Estimação (horas)]]</f>
        <v>0.1</v>
      </c>
      <c r="X697" s="165">
        <f>+VLOOKUP(CONCATENATE(Table1[[#This Row],[Tabela]],Table1[[#This Row],[Campo]]),'2. Status Detalhe Campos FY24'!A:J,9,FALSE)</f>
        <v>0</v>
      </c>
      <c r="Y697" s="491" t="e">
        <f>+VLOOKUP(A697,#REF!,1,FALSE)</f>
        <v>#REF!</v>
      </c>
    </row>
    <row r="698" spans="1:25" ht="17.899999999999999" hidden="1" customHeight="1">
      <c r="A698" t="str">
        <f>+Table1[[#This Row],[Tabela]]&amp;Table1[[#This Row],[Campo]]</f>
        <v>modesg_out_empr_info_nfinorigem_alinhamentos</v>
      </c>
      <c r="B698" s="2" t="s">
        <v>26</v>
      </c>
      <c r="C698" s="2" t="s">
        <v>310</v>
      </c>
      <c r="D698" s="2" t="s">
        <v>326</v>
      </c>
      <c r="E698" s="2" t="s">
        <v>38</v>
      </c>
      <c r="F698" s="2" t="s">
        <v>325</v>
      </c>
      <c r="G698" s="2" t="s">
        <v>328</v>
      </c>
      <c r="H698" s="56" t="str">
        <f>Table1[[#This Row],[Tabela]]&amp;Table1[[#This Row],[Campo]]</f>
        <v>modesg_out_empr_info_nfinorigem_alinhamentos</v>
      </c>
      <c r="I698" s="2" t="s">
        <v>612</v>
      </c>
      <c r="J698" s="42">
        <f>VLOOKUP(Table1[[#This Row],[Status]],Auxiliar!$B$16:$C$24,2,0)</f>
        <v>1</v>
      </c>
      <c r="K698" s="2" t="s">
        <v>1168</v>
      </c>
      <c r="L698" s="28" t="s">
        <v>1174</v>
      </c>
      <c r="M698" s="20" t="s">
        <v>1175</v>
      </c>
      <c r="N698" s="47">
        <v>45667</v>
      </c>
      <c r="O698" s="20">
        <f>INDEX(Auxiliar!$D$5:$F$13,MATCH(Table1[[#This Row],[Tipologia_Testes]],Auxiliar!$B$5:$B$13,0),MATCH(Table1[[#This Row],[Complexidade]],Auxiliar!$D$4:$F$4,0))</f>
        <v>2</v>
      </c>
      <c r="P698" s="2"/>
      <c r="Q698" s="2"/>
      <c r="R698" s="151">
        <v>45569</v>
      </c>
      <c r="S698" s="151"/>
      <c r="T698" s="151">
        <v>45569</v>
      </c>
      <c r="U698" s="151">
        <v>45614</v>
      </c>
      <c r="V698" s="151">
        <v>45615</v>
      </c>
      <c r="W698" s="2">
        <f>VLOOKUP(Table1[[#This Row],[Status]],Auxiliar!$B$16:$D$24,3,0)*Table1[[#This Row],[Estimação (horas)]]</f>
        <v>2</v>
      </c>
      <c r="X698" s="165">
        <f>+VLOOKUP(CONCATENATE(Table1[[#This Row],[Tabela]],Table1[[#This Row],[Campo]]),'2. Status Detalhe Campos FY24'!A:J,9,FALSE)</f>
        <v>0</v>
      </c>
      <c r="Y698" s="491" t="e">
        <f>+VLOOKUP(A698,#REF!,1,FALSE)</f>
        <v>#REF!</v>
      </c>
    </row>
    <row r="699" spans="1:25" ht="17.899999999999999" hidden="1" customHeight="1">
      <c r="A699" t="str">
        <f>+Table1[[#This Row],[Tabela]]&amp;Table1[[#This Row],[Campo]]</f>
        <v>modesg_out_empr_info_nfinorigem_alinhamentos</v>
      </c>
      <c r="B699" s="2" t="s">
        <v>26</v>
      </c>
      <c r="C699" s="2" t="s">
        <v>310</v>
      </c>
      <c r="D699" s="2" t="s">
        <v>326</v>
      </c>
      <c r="E699" s="2" t="s">
        <v>38</v>
      </c>
      <c r="F699" s="2" t="s">
        <v>325</v>
      </c>
      <c r="G699" s="2" t="s">
        <v>328</v>
      </c>
      <c r="H699" s="56" t="str">
        <f>Table1[[#This Row],[Tabela]]&amp;Table1[[#This Row],[Campo]]</f>
        <v>modesg_out_empr_info_nfinorigem_alinhamentos</v>
      </c>
      <c r="I699" s="2" t="s">
        <v>612</v>
      </c>
      <c r="J699" s="42">
        <f>VLOOKUP(Table1[[#This Row],[Status]],Auxiliar!$B$16:$C$24,2,0)</f>
        <v>1</v>
      </c>
      <c r="K699" s="2" t="s">
        <v>1169</v>
      </c>
      <c r="L699" s="28" t="s">
        <v>1174</v>
      </c>
      <c r="M699" s="20" t="s">
        <v>1175</v>
      </c>
      <c r="N699" s="47">
        <v>45667</v>
      </c>
      <c r="O699" s="20">
        <f>INDEX(Auxiliar!$D$5:$F$13,MATCH(Table1[[#This Row],[Tipologia_Testes]],Auxiliar!$B$5:$B$13,0),MATCH(Table1[[#This Row],[Complexidade]],Auxiliar!$D$4:$F$4,0))</f>
        <v>2</v>
      </c>
      <c r="P699" s="2"/>
      <c r="Q699" s="2"/>
      <c r="R699" s="151">
        <v>45569</v>
      </c>
      <c r="S699" s="151"/>
      <c r="T699" s="151">
        <v>45569</v>
      </c>
      <c r="U699" s="151">
        <v>45614</v>
      </c>
      <c r="V699" s="151">
        <v>45615</v>
      </c>
      <c r="W699" s="2">
        <f>VLOOKUP(Table1[[#This Row],[Status]],Auxiliar!$B$16:$D$24,3,0)*Table1[[#This Row],[Estimação (horas)]]</f>
        <v>2</v>
      </c>
      <c r="X699" s="165">
        <f>+VLOOKUP(CONCATENATE(Table1[[#This Row],[Tabela]],Table1[[#This Row],[Campo]]),'2. Status Detalhe Campos FY24'!A:J,9,FALSE)</f>
        <v>0</v>
      </c>
      <c r="Y699" s="491" t="e">
        <f>+VLOOKUP(A699,#REF!,1,FALSE)</f>
        <v>#REF!</v>
      </c>
    </row>
    <row r="700" spans="1:25" ht="17.899999999999999" hidden="1" customHeight="1">
      <c r="A700" t="str">
        <f>+Table1[[#This Row],[Tabela]]&amp;Table1[[#This Row],[Campo]]</f>
        <v>modesg_out_empr_info_nfinorigem_alinhamentos</v>
      </c>
      <c r="B700" s="2" t="s">
        <v>26</v>
      </c>
      <c r="C700" s="2" t="s">
        <v>310</v>
      </c>
      <c r="D700" s="2" t="s">
        <v>326</v>
      </c>
      <c r="E700" s="2" t="s">
        <v>38</v>
      </c>
      <c r="F700" s="2" t="s">
        <v>325</v>
      </c>
      <c r="G700" s="2" t="s">
        <v>328</v>
      </c>
      <c r="H700" s="56" t="str">
        <f>Table1[[#This Row],[Tabela]]&amp;Table1[[#This Row],[Campo]]</f>
        <v>modesg_out_empr_info_nfinorigem_alinhamentos</v>
      </c>
      <c r="I700" s="2" t="s">
        <v>612</v>
      </c>
      <c r="J700" s="42">
        <f>VLOOKUP(Table1[[#This Row],[Status]],Auxiliar!$B$16:$C$24,2,0)</f>
        <v>1</v>
      </c>
      <c r="K700" s="2" t="s">
        <v>1171</v>
      </c>
      <c r="L700" s="28" t="s">
        <v>1174</v>
      </c>
      <c r="M700" s="20" t="s">
        <v>1175</v>
      </c>
      <c r="N700" s="47">
        <v>45667</v>
      </c>
      <c r="O700" s="20">
        <f>INDEX(Auxiliar!$D$5:$F$13,MATCH(Table1[[#This Row],[Tipologia_Testes]],Auxiliar!$B$5:$B$13,0),MATCH(Table1[[#This Row],[Complexidade]],Auxiliar!$D$4:$F$4,0))</f>
        <v>0.1</v>
      </c>
      <c r="P700" s="2"/>
      <c r="Q700" s="2"/>
      <c r="R700" s="151">
        <v>45569</v>
      </c>
      <c r="S700" s="151"/>
      <c r="T700" s="151">
        <v>45569</v>
      </c>
      <c r="U700" s="151">
        <v>45614</v>
      </c>
      <c r="V700" s="151">
        <v>45615</v>
      </c>
      <c r="W700" s="2">
        <f>VLOOKUP(Table1[[#This Row],[Status]],Auxiliar!$B$16:$D$24,3,0)*Table1[[#This Row],[Estimação (horas)]]</f>
        <v>0.1</v>
      </c>
      <c r="X700" s="165">
        <f>+VLOOKUP(CONCATENATE(Table1[[#This Row],[Tabela]],Table1[[#This Row],[Campo]]),'2. Status Detalhe Campos FY24'!A:J,9,FALSE)</f>
        <v>0</v>
      </c>
      <c r="Y700" s="491" t="e">
        <f>+VLOOKUP(A700,#REF!,1,FALSE)</f>
        <v>#REF!</v>
      </c>
    </row>
    <row r="701" spans="1:25" ht="17.899999999999999" hidden="1" customHeight="1">
      <c r="A701" t="str">
        <f>+Table1[[#This Row],[Tabela]]&amp;Table1[[#This Row],[Campo]]</f>
        <v>modesg_out_empr_info_nfinorigem_flg_emprs_excl_paris</v>
      </c>
      <c r="B701" s="2" t="s">
        <v>26</v>
      </c>
      <c r="C701" s="2" t="s">
        <v>310</v>
      </c>
      <c r="D701" s="2" t="s">
        <v>326</v>
      </c>
      <c r="E701" s="2" t="s">
        <v>38</v>
      </c>
      <c r="F701" s="2" t="s">
        <v>325</v>
      </c>
      <c r="G701" s="2" t="s">
        <v>329</v>
      </c>
      <c r="H701" s="56" t="str">
        <f>Table1[[#This Row],[Tabela]]&amp;Table1[[#This Row],[Campo]]</f>
        <v>modesg_out_empr_info_nfinorigem_flg_emprs_excl_paris</v>
      </c>
      <c r="I701" s="2" t="s">
        <v>612</v>
      </c>
      <c r="J701" s="42">
        <f>VLOOKUP(Table1[[#This Row],[Status]],Auxiliar!$B$16:$C$24,2,0)</f>
        <v>1</v>
      </c>
      <c r="K701" s="2" t="s">
        <v>1168</v>
      </c>
      <c r="L701" s="28" t="s">
        <v>1174</v>
      </c>
      <c r="M701" s="20" t="s">
        <v>1175</v>
      </c>
      <c r="N701" s="47">
        <v>45674</v>
      </c>
      <c r="O701" s="20">
        <f>INDEX(Auxiliar!$D$5:$F$13,MATCH(Table1[[#This Row],[Tipologia_Testes]],Auxiliar!$B$5:$B$13,0),MATCH(Table1[[#This Row],[Complexidade]],Auxiliar!$D$4:$F$4,0))</f>
        <v>2</v>
      </c>
      <c r="P701" s="166" t="s">
        <v>1200</v>
      </c>
      <c r="Q701" s="2"/>
      <c r="R701" s="151">
        <v>45553</v>
      </c>
      <c r="S701" s="151"/>
      <c r="T701" s="151">
        <v>45553</v>
      </c>
      <c r="U701" s="151">
        <v>45614</v>
      </c>
      <c r="V701" s="151">
        <v>45615</v>
      </c>
      <c r="W701" s="2">
        <f>VLOOKUP(Table1[[#This Row],[Status]],Auxiliar!$B$16:$D$24,3,0)*Table1[[#This Row],[Estimação (horas)]]</f>
        <v>2</v>
      </c>
      <c r="X701" s="165">
        <f>+VLOOKUP(CONCATENATE(Table1[[#This Row],[Tabela]],Table1[[#This Row],[Campo]]),'2. Status Detalhe Campos FY24'!A:J,9,FALSE)</f>
        <v>0</v>
      </c>
      <c r="Y701" s="491" t="e">
        <f>+VLOOKUP(A701,#REF!,1,FALSE)</f>
        <v>#REF!</v>
      </c>
    </row>
    <row r="702" spans="1:25" ht="17.899999999999999" hidden="1" customHeight="1">
      <c r="A702" t="str">
        <f>+Table1[[#This Row],[Tabela]]&amp;Table1[[#This Row],[Campo]]</f>
        <v>modesg_out_empr_info_nfinorigem_flg_emprs_excl_paris</v>
      </c>
      <c r="B702" s="2" t="s">
        <v>26</v>
      </c>
      <c r="C702" s="2" t="s">
        <v>310</v>
      </c>
      <c r="D702" s="2" t="s">
        <v>326</v>
      </c>
      <c r="E702" s="2" t="s">
        <v>38</v>
      </c>
      <c r="F702" s="2" t="s">
        <v>325</v>
      </c>
      <c r="G702" s="2" t="s">
        <v>329</v>
      </c>
      <c r="H702" s="56" t="str">
        <f>Table1[[#This Row],[Tabela]]&amp;Table1[[#This Row],[Campo]]</f>
        <v>modesg_out_empr_info_nfinorigem_flg_emprs_excl_paris</v>
      </c>
      <c r="I702" s="2" t="s">
        <v>612</v>
      </c>
      <c r="J702" s="42">
        <f>VLOOKUP(Table1[[#This Row],[Status]],Auxiliar!$B$16:$C$24,2,0)</f>
        <v>1</v>
      </c>
      <c r="K702" s="2" t="s">
        <v>1169</v>
      </c>
      <c r="L702" s="28" t="s">
        <v>1174</v>
      </c>
      <c r="M702" s="20" t="s">
        <v>1175</v>
      </c>
      <c r="N702" s="47">
        <v>45674</v>
      </c>
      <c r="O702" s="20">
        <f>INDEX(Auxiliar!$D$5:$F$13,MATCH(Table1[[#This Row],[Tipologia_Testes]],Auxiliar!$B$5:$B$13,0),MATCH(Table1[[#This Row],[Complexidade]],Auxiliar!$D$4:$F$4,0))</f>
        <v>2</v>
      </c>
      <c r="P702" s="166" t="s">
        <v>1200</v>
      </c>
      <c r="Q702" s="2"/>
      <c r="R702" s="151">
        <v>45553</v>
      </c>
      <c r="S702" s="151"/>
      <c r="T702" s="151">
        <v>45553</v>
      </c>
      <c r="U702" s="151">
        <v>45614</v>
      </c>
      <c r="V702" s="151">
        <v>45615</v>
      </c>
      <c r="W702" s="2">
        <f>VLOOKUP(Table1[[#This Row],[Status]],Auxiliar!$B$16:$D$24,3,0)*Table1[[#This Row],[Estimação (horas)]]</f>
        <v>2</v>
      </c>
      <c r="X702" s="165">
        <f>+VLOOKUP(CONCATENATE(Table1[[#This Row],[Tabela]],Table1[[#This Row],[Campo]]),'2. Status Detalhe Campos FY24'!A:J,9,FALSE)</f>
        <v>0</v>
      </c>
      <c r="Y702" s="491" t="e">
        <f>+VLOOKUP(A702,#REF!,1,FALSE)</f>
        <v>#REF!</v>
      </c>
    </row>
    <row r="703" spans="1:25" ht="17.899999999999999" hidden="1" customHeight="1">
      <c r="A703" t="str">
        <f>+Table1[[#This Row],[Tabela]]&amp;Table1[[#This Row],[Campo]]</f>
        <v>modesg_out_empr_info_nfinorigem_flg_emprs_excl_paris</v>
      </c>
      <c r="B703" s="2" t="s">
        <v>26</v>
      </c>
      <c r="C703" s="2" t="s">
        <v>310</v>
      </c>
      <c r="D703" s="2" t="s">
        <v>326</v>
      </c>
      <c r="E703" s="2" t="s">
        <v>38</v>
      </c>
      <c r="F703" s="2" t="s">
        <v>325</v>
      </c>
      <c r="G703" s="2" t="s">
        <v>329</v>
      </c>
      <c r="H703" s="56" t="str">
        <f>Table1[[#This Row],[Tabela]]&amp;Table1[[#This Row],[Campo]]</f>
        <v>modesg_out_empr_info_nfinorigem_flg_emprs_excl_paris</v>
      </c>
      <c r="I703" s="2" t="s">
        <v>612</v>
      </c>
      <c r="J703" s="42">
        <f>VLOOKUP(Table1[[#This Row],[Status]],Auxiliar!$B$16:$C$24,2,0)</f>
        <v>1</v>
      </c>
      <c r="K703" s="2" t="s">
        <v>1171</v>
      </c>
      <c r="L703" s="28" t="s">
        <v>1174</v>
      </c>
      <c r="M703" s="20" t="s">
        <v>1175</v>
      </c>
      <c r="N703" s="47">
        <v>45674</v>
      </c>
      <c r="O703" s="20">
        <f>INDEX(Auxiliar!$D$5:$F$13,MATCH(Table1[[#This Row],[Tipologia_Testes]],Auxiliar!$B$5:$B$13,0),MATCH(Table1[[#This Row],[Complexidade]],Auxiliar!$D$4:$F$4,0))</f>
        <v>0.1</v>
      </c>
      <c r="P703" s="166" t="s">
        <v>1200</v>
      </c>
      <c r="Q703" s="2"/>
      <c r="R703" s="151">
        <v>45553</v>
      </c>
      <c r="S703" s="151"/>
      <c r="T703" s="151">
        <v>45553</v>
      </c>
      <c r="U703" s="151">
        <v>45614</v>
      </c>
      <c r="V703" s="151">
        <v>45615</v>
      </c>
      <c r="W703" s="2">
        <f>VLOOKUP(Table1[[#This Row],[Status]],Auxiliar!$B$16:$D$24,3,0)*Table1[[#This Row],[Estimação (horas)]]</f>
        <v>0.1</v>
      </c>
      <c r="X703" s="165">
        <f>+VLOOKUP(CONCATENATE(Table1[[#This Row],[Tabela]],Table1[[#This Row],[Campo]]),'2. Status Detalhe Campos FY24'!A:J,9,FALSE)</f>
        <v>0</v>
      </c>
      <c r="Y703" s="491" t="e">
        <f>+VLOOKUP(A703,#REF!,1,FALSE)</f>
        <v>#REF!</v>
      </c>
    </row>
    <row r="704" spans="1:25" ht="17.899999999999999" hidden="1" customHeight="1">
      <c r="A704" t="str">
        <f>+Table1[[#This Row],[Tabela]]&amp;Table1[[#This Row],[Campo]]</f>
        <v>modesg_out_empr_info_nfinorigem_flg_nfrd</v>
      </c>
      <c r="B704" s="2" t="s">
        <v>26</v>
      </c>
      <c r="C704" s="2" t="s">
        <v>310</v>
      </c>
      <c r="D704" s="2" t="s">
        <v>326</v>
      </c>
      <c r="E704" s="2" t="s">
        <v>38</v>
      </c>
      <c r="F704" s="2" t="s">
        <v>325</v>
      </c>
      <c r="G704" s="2" t="s">
        <v>330</v>
      </c>
      <c r="H704" s="56" t="str">
        <f>Table1[[#This Row],[Tabela]]&amp;Table1[[#This Row],[Campo]]</f>
        <v>modesg_out_empr_info_nfinorigem_flg_nfrd</v>
      </c>
      <c r="I704" s="2" t="s">
        <v>612</v>
      </c>
      <c r="J704" s="42">
        <f>VLOOKUP(Table1[[#This Row],[Status]],Auxiliar!$B$16:$C$24,2,0)</f>
        <v>1</v>
      </c>
      <c r="K704" s="2" t="s">
        <v>1168</v>
      </c>
      <c r="L704" s="28" t="s">
        <v>1174</v>
      </c>
      <c r="M704" s="20" t="s">
        <v>1175</v>
      </c>
      <c r="N704" s="47">
        <v>45667</v>
      </c>
      <c r="O704" s="20">
        <f>INDEX(Auxiliar!$D$5:$F$13,MATCH(Table1[[#This Row],[Tipologia_Testes]],Auxiliar!$B$5:$B$13,0),MATCH(Table1[[#This Row],[Complexidade]],Auxiliar!$D$4:$F$4,0))</f>
        <v>2</v>
      </c>
      <c r="P704" s="166" t="s">
        <v>1200</v>
      </c>
      <c r="Q704" s="2"/>
      <c r="R704" s="151">
        <v>45553</v>
      </c>
      <c r="S704" s="151"/>
      <c r="T704" s="151">
        <v>45553</v>
      </c>
      <c r="U704" s="151">
        <v>45614</v>
      </c>
      <c r="V704" s="151">
        <v>45615</v>
      </c>
      <c r="W704" s="2">
        <f>VLOOKUP(Table1[[#This Row],[Status]],Auxiliar!$B$16:$D$24,3,0)*Table1[[#This Row],[Estimação (horas)]]</f>
        <v>2</v>
      </c>
      <c r="X704" s="165">
        <f>+VLOOKUP(CONCATENATE(Table1[[#This Row],[Tabela]],Table1[[#This Row],[Campo]]),'2. Status Detalhe Campos FY24'!A:J,9,FALSE)</f>
        <v>0</v>
      </c>
      <c r="Y704" s="491" t="e">
        <f>+VLOOKUP(A704,#REF!,1,FALSE)</f>
        <v>#REF!</v>
      </c>
    </row>
    <row r="705" spans="1:25" ht="17.899999999999999" hidden="1" customHeight="1">
      <c r="A705" t="str">
        <f>+Table1[[#This Row],[Tabela]]&amp;Table1[[#This Row],[Campo]]</f>
        <v>modesg_out_empr_info_nfinorigem_flg_nfrd</v>
      </c>
      <c r="B705" s="2" t="s">
        <v>26</v>
      </c>
      <c r="C705" s="2" t="s">
        <v>310</v>
      </c>
      <c r="D705" s="2" t="s">
        <v>326</v>
      </c>
      <c r="E705" s="2" t="s">
        <v>38</v>
      </c>
      <c r="F705" s="2" t="s">
        <v>325</v>
      </c>
      <c r="G705" s="2" t="s">
        <v>330</v>
      </c>
      <c r="H705" s="56" t="str">
        <f>Table1[[#This Row],[Tabela]]&amp;Table1[[#This Row],[Campo]]</f>
        <v>modesg_out_empr_info_nfinorigem_flg_nfrd</v>
      </c>
      <c r="I705" s="2" t="s">
        <v>612</v>
      </c>
      <c r="J705" s="42">
        <f>VLOOKUP(Table1[[#This Row],[Status]],Auxiliar!$B$16:$C$24,2,0)</f>
        <v>1</v>
      </c>
      <c r="K705" s="2" t="s">
        <v>1169</v>
      </c>
      <c r="L705" s="28" t="s">
        <v>1174</v>
      </c>
      <c r="M705" s="20" t="s">
        <v>1175</v>
      </c>
      <c r="N705" s="47">
        <v>45667</v>
      </c>
      <c r="O705" s="20">
        <f>INDEX(Auxiliar!$D$5:$F$13,MATCH(Table1[[#This Row],[Tipologia_Testes]],Auxiliar!$B$5:$B$13,0),MATCH(Table1[[#This Row],[Complexidade]],Auxiliar!$D$4:$F$4,0))</f>
        <v>2</v>
      </c>
      <c r="P705" s="166" t="s">
        <v>1200</v>
      </c>
      <c r="Q705" s="2"/>
      <c r="R705" s="151">
        <v>45553</v>
      </c>
      <c r="S705" s="151"/>
      <c r="T705" s="151">
        <v>45553</v>
      </c>
      <c r="U705" s="151">
        <v>45614</v>
      </c>
      <c r="V705" s="151">
        <v>45615</v>
      </c>
      <c r="W705" s="2">
        <f>VLOOKUP(Table1[[#This Row],[Status]],Auxiliar!$B$16:$D$24,3,0)*Table1[[#This Row],[Estimação (horas)]]</f>
        <v>2</v>
      </c>
      <c r="X705" s="165">
        <f>+VLOOKUP(CONCATENATE(Table1[[#This Row],[Tabela]],Table1[[#This Row],[Campo]]),'2. Status Detalhe Campos FY24'!A:J,9,FALSE)</f>
        <v>0</v>
      </c>
      <c r="Y705" s="491" t="e">
        <f>+VLOOKUP(A705,#REF!,1,FALSE)</f>
        <v>#REF!</v>
      </c>
    </row>
    <row r="706" spans="1:25" ht="17.899999999999999" hidden="1" customHeight="1">
      <c r="A706" t="str">
        <f>+Table1[[#This Row],[Tabela]]&amp;Table1[[#This Row],[Campo]]</f>
        <v>modesg_out_empr_info_nfinorigem_flg_nfrd</v>
      </c>
      <c r="B706" s="2" t="s">
        <v>26</v>
      </c>
      <c r="C706" s="2" t="s">
        <v>310</v>
      </c>
      <c r="D706" s="2" t="s">
        <v>326</v>
      </c>
      <c r="E706" s="2" t="s">
        <v>38</v>
      </c>
      <c r="F706" s="2" t="s">
        <v>325</v>
      </c>
      <c r="G706" s="2" t="s">
        <v>330</v>
      </c>
      <c r="H706" s="56" t="str">
        <f>Table1[[#This Row],[Tabela]]&amp;Table1[[#This Row],[Campo]]</f>
        <v>modesg_out_empr_info_nfinorigem_flg_nfrd</v>
      </c>
      <c r="I706" s="2" t="s">
        <v>612</v>
      </c>
      <c r="J706" s="42">
        <f>VLOOKUP(Table1[[#This Row],[Status]],Auxiliar!$B$16:$C$24,2,0)</f>
        <v>1</v>
      </c>
      <c r="K706" s="2" t="s">
        <v>1171</v>
      </c>
      <c r="L706" s="28" t="s">
        <v>1174</v>
      </c>
      <c r="M706" s="20" t="s">
        <v>1175</v>
      </c>
      <c r="N706" s="47">
        <v>45667</v>
      </c>
      <c r="O706" s="20">
        <f>INDEX(Auxiliar!$D$5:$F$13,MATCH(Table1[[#This Row],[Tipologia_Testes]],Auxiliar!$B$5:$B$13,0),MATCH(Table1[[#This Row],[Complexidade]],Auxiliar!$D$4:$F$4,0))</f>
        <v>0.1</v>
      </c>
      <c r="P706" s="166" t="s">
        <v>1200</v>
      </c>
      <c r="Q706" s="2"/>
      <c r="R706" s="151">
        <v>45553</v>
      </c>
      <c r="S706" s="151"/>
      <c r="T706" s="151">
        <v>45553</v>
      </c>
      <c r="U706" s="151">
        <v>45614</v>
      </c>
      <c r="V706" s="151">
        <v>45615</v>
      </c>
      <c r="W706" s="2">
        <f>VLOOKUP(Table1[[#This Row],[Status]],Auxiliar!$B$16:$D$24,3,0)*Table1[[#This Row],[Estimação (horas)]]</f>
        <v>0.1</v>
      </c>
      <c r="X706" s="165">
        <f>+VLOOKUP(CONCATENATE(Table1[[#This Row],[Tabela]],Table1[[#This Row],[Campo]]),'2. Status Detalhe Campos FY24'!A:J,9,FALSE)</f>
        <v>0</v>
      </c>
      <c r="Y706" s="491" t="e">
        <f>+VLOOKUP(A706,#REF!,1,FALSE)</f>
        <v>#REF!</v>
      </c>
    </row>
    <row r="707" spans="1:25" ht="17.899999999999999" hidden="1" customHeight="1">
      <c r="A707" t="str">
        <f>+Table1[[#This Row],[Tabela]]&amp;Table1[[#This Row],[Campo]]</f>
        <v>modesg_out_empr_info_nfinorigem_flg_rsc_fsc_agd</v>
      </c>
      <c r="B707" s="2" t="s">
        <v>26</v>
      </c>
      <c r="C707" s="2" t="s">
        <v>310</v>
      </c>
      <c r="D707" s="2" t="s">
        <v>326</v>
      </c>
      <c r="E707" s="2" t="s">
        <v>38</v>
      </c>
      <c r="F707" s="2" t="s">
        <v>325</v>
      </c>
      <c r="G707" s="2" t="s">
        <v>317</v>
      </c>
      <c r="H707" s="56" t="str">
        <f>Table1[[#This Row],[Tabela]]&amp;Table1[[#This Row],[Campo]]</f>
        <v>modesg_out_empr_info_nfinorigem_flg_rsc_fsc_agd</v>
      </c>
      <c r="I707" s="2" t="s">
        <v>612</v>
      </c>
      <c r="J707" s="42">
        <f>VLOOKUP(Table1[[#This Row],[Status]],Auxiliar!$B$16:$C$24,2,0)</f>
        <v>1</v>
      </c>
      <c r="K707" s="2" t="s">
        <v>1168</v>
      </c>
      <c r="L707" s="28" t="s">
        <v>1174</v>
      </c>
      <c r="M707" s="20" t="s">
        <v>1175</v>
      </c>
      <c r="N707" s="47">
        <v>45358</v>
      </c>
      <c r="O707" s="20">
        <f>INDEX(Auxiliar!$D$5:$F$13,MATCH(Table1[[#This Row],[Tipologia_Testes]],Auxiliar!$B$5:$B$13,0),MATCH(Table1[[#This Row],[Complexidade]],Auxiliar!$D$4:$F$4,0))</f>
        <v>2</v>
      </c>
      <c r="P707" s="2"/>
      <c r="Q707" s="2"/>
      <c r="R707" s="151">
        <v>45569</v>
      </c>
      <c r="S707" s="151"/>
      <c r="T707" s="151">
        <v>45569</v>
      </c>
      <c r="U707" s="151">
        <v>45624</v>
      </c>
      <c r="V707" s="151">
        <v>45639</v>
      </c>
      <c r="W707" s="2">
        <f>VLOOKUP(Table1[[#This Row],[Status]],Auxiliar!$B$16:$D$24,3,0)*Table1[[#This Row],[Estimação (horas)]]</f>
        <v>2</v>
      </c>
      <c r="X707" s="165">
        <f>+VLOOKUP(CONCATENATE(Table1[[#This Row],[Tabela]],Table1[[#This Row],[Campo]]),'2. Status Detalhe Campos FY24'!A:J,9,FALSE)</f>
        <v>0</v>
      </c>
      <c r="Y707" s="491" t="e">
        <f>+VLOOKUP(A707,#REF!,1,FALSE)</f>
        <v>#REF!</v>
      </c>
    </row>
    <row r="708" spans="1:25" ht="17.899999999999999" hidden="1" customHeight="1">
      <c r="A708" t="str">
        <f>+Table1[[#This Row],[Tabela]]&amp;Table1[[#This Row],[Campo]]</f>
        <v>modesg_out_empr_info_nfinorigem_flg_rsc_fsc_agd</v>
      </c>
      <c r="B708" s="2" t="s">
        <v>26</v>
      </c>
      <c r="C708" s="2" t="s">
        <v>310</v>
      </c>
      <c r="D708" s="2" t="s">
        <v>326</v>
      </c>
      <c r="E708" s="2" t="s">
        <v>38</v>
      </c>
      <c r="F708" s="2" t="s">
        <v>325</v>
      </c>
      <c r="G708" s="2" t="s">
        <v>317</v>
      </c>
      <c r="H708" s="56" t="str">
        <f>Table1[[#This Row],[Tabela]]&amp;Table1[[#This Row],[Campo]]</f>
        <v>modesg_out_empr_info_nfinorigem_flg_rsc_fsc_agd</v>
      </c>
      <c r="I708" s="2" t="s">
        <v>612</v>
      </c>
      <c r="J708" s="42">
        <f>VLOOKUP(Table1[[#This Row],[Status]],Auxiliar!$B$16:$C$24,2,0)</f>
        <v>1</v>
      </c>
      <c r="K708" s="2" t="s">
        <v>1169</v>
      </c>
      <c r="L708" s="28" t="s">
        <v>1174</v>
      </c>
      <c r="M708" s="20" t="s">
        <v>1175</v>
      </c>
      <c r="N708" s="47">
        <v>45358</v>
      </c>
      <c r="O708" s="20">
        <f>INDEX(Auxiliar!$D$5:$F$13,MATCH(Table1[[#This Row],[Tipologia_Testes]],Auxiliar!$B$5:$B$13,0),MATCH(Table1[[#This Row],[Complexidade]],Auxiliar!$D$4:$F$4,0))</f>
        <v>2</v>
      </c>
      <c r="P708" s="2"/>
      <c r="Q708" s="2"/>
      <c r="R708" s="151">
        <v>45569</v>
      </c>
      <c r="S708" s="151"/>
      <c r="T708" s="151">
        <v>45569</v>
      </c>
      <c r="U708" s="151">
        <v>45624</v>
      </c>
      <c r="V708" s="151">
        <v>45639</v>
      </c>
      <c r="W708" s="2">
        <f>VLOOKUP(Table1[[#This Row],[Status]],Auxiliar!$B$16:$D$24,3,0)*Table1[[#This Row],[Estimação (horas)]]</f>
        <v>2</v>
      </c>
      <c r="X708" s="165">
        <f>+VLOOKUP(CONCATENATE(Table1[[#This Row],[Tabela]],Table1[[#This Row],[Campo]]),'2. Status Detalhe Campos FY24'!A:J,9,FALSE)</f>
        <v>0</v>
      </c>
      <c r="Y708" s="491" t="e">
        <f>+VLOOKUP(A708,#REF!,1,FALSE)</f>
        <v>#REF!</v>
      </c>
    </row>
    <row r="709" spans="1:25" ht="17.899999999999999" hidden="1" customHeight="1">
      <c r="A709" t="str">
        <f>+Table1[[#This Row],[Tabela]]&amp;Table1[[#This Row],[Campo]]</f>
        <v>modesg_out_empr_info_nfinorigem_flg_rsc_fsc_agd</v>
      </c>
      <c r="B709" s="2" t="s">
        <v>26</v>
      </c>
      <c r="C709" s="2" t="s">
        <v>310</v>
      </c>
      <c r="D709" s="2" t="s">
        <v>326</v>
      </c>
      <c r="E709" s="2" t="s">
        <v>38</v>
      </c>
      <c r="F709" s="2" t="s">
        <v>325</v>
      </c>
      <c r="G709" s="2" t="s">
        <v>317</v>
      </c>
      <c r="H709" s="56" t="str">
        <f>Table1[[#This Row],[Tabela]]&amp;Table1[[#This Row],[Campo]]</f>
        <v>modesg_out_empr_info_nfinorigem_flg_rsc_fsc_agd</v>
      </c>
      <c r="I709" s="2" t="s">
        <v>612</v>
      </c>
      <c r="J709" s="42">
        <f>VLOOKUP(Table1[[#This Row],[Status]],Auxiliar!$B$16:$C$24,2,0)</f>
        <v>1</v>
      </c>
      <c r="K709" s="2" t="s">
        <v>1171</v>
      </c>
      <c r="L709" s="28" t="s">
        <v>1174</v>
      </c>
      <c r="M709" s="20" t="s">
        <v>1175</v>
      </c>
      <c r="N709" s="47">
        <v>45358</v>
      </c>
      <c r="O709" s="20">
        <f>INDEX(Auxiliar!$D$5:$F$13,MATCH(Table1[[#This Row],[Tipologia_Testes]],Auxiliar!$B$5:$B$13,0),MATCH(Table1[[#This Row],[Complexidade]],Auxiliar!$D$4:$F$4,0))</f>
        <v>0.1</v>
      </c>
      <c r="P709" s="2"/>
      <c r="Q709" s="2"/>
      <c r="R709" s="151">
        <v>45569</v>
      </c>
      <c r="S709" s="151"/>
      <c r="T709" s="151">
        <v>45569</v>
      </c>
      <c r="U709" s="151">
        <v>45624</v>
      </c>
      <c r="V709" s="151">
        <v>45639</v>
      </c>
      <c r="W709" s="2">
        <f>VLOOKUP(Table1[[#This Row],[Status]],Auxiliar!$B$16:$D$24,3,0)*Table1[[#This Row],[Estimação (horas)]]</f>
        <v>0.1</v>
      </c>
      <c r="X709" s="165">
        <f>+VLOOKUP(CONCATENATE(Table1[[#This Row],[Tabela]],Table1[[#This Row],[Campo]]),'2. Status Detalhe Campos FY24'!A:J,9,FALSE)</f>
        <v>0</v>
      </c>
      <c r="Y709" s="491" t="e">
        <f>+VLOOKUP(A709,#REF!,1,FALSE)</f>
        <v>#REF!</v>
      </c>
    </row>
    <row r="710" spans="1:25" ht="17.899999999999999" hidden="1" customHeight="1">
      <c r="A710" t="str">
        <f>+Table1[[#This Row],[Tabela]]&amp;Table1[[#This Row],[Campo]]</f>
        <v>modesg_out_empr_info_nfinorigem_flg_rsc_fsc_crnc</v>
      </c>
      <c r="B710" s="2" t="s">
        <v>26</v>
      </c>
      <c r="C710" s="2" t="s">
        <v>310</v>
      </c>
      <c r="D710" s="2" t="s">
        <v>326</v>
      </c>
      <c r="E710" s="2" t="s">
        <v>38</v>
      </c>
      <c r="F710" s="2" t="s">
        <v>325</v>
      </c>
      <c r="G710" s="2" t="s">
        <v>318</v>
      </c>
      <c r="H710" s="56" t="str">
        <f>Table1[[#This Row],[Tabela]]&amp;Table1[[#This Row],[Campo]]</f>
        <v>modesg_out_empr_info_nfinorigem_flg_rsc_fsc_crnc</v>
      </c>
      <c r="I710" s="2" t="s">
        <v>612</v>
      </c>
      <c r="J710" s="42">
        <f>VLOOKUP(Table1[[#This Row],[Status]],Auxiliar!$B$16:$C$24,2,0)</f>
        <v>1</v>
      </c>
      <c r="K710" s="2" t="s">
        <v>1168</v>
      </c>
      <c r="L710" s="28" t="s">
        <v>1174</v>
      </c>
      <c r="M710" s="20" t="s">
        <v>1175</v>
      </c>
      <c r="N710" s="47">
        <v>45358</v>
      </c>
      <c r="O710" s="20">
        <f>INDEX(Auxiliar!$D$5:$F$13,MATCH(Table1[[#This Row],[Tipologia_Testes]],Auxiliar!$B$5:$B$13,0),MATCH(Table1[[#This Row],[Complexidade]],Auxiliar!$D$4:$F$4,0))</f>
        <v>2</v>
      </c>
      <c r="P710" s="2"/>
      <c r="Q710" s="2"/>
      <c r="R710" s="151">
        <v>45569</v>
      </c>
      <c r="S710" s="151"/>
      <c r="T710" s="151">
        <v>45569</v>
      </c>
      <c r="U710" s="151">
        <v>45624</v>
      </c>
      <c r="V710" s="151">
        <v>45639</v>
      </c>
      <c r="W710" s="2">
        <f>VLOOKUP(Table1[[#This Row],[Status]],Auxiliar!$B$16:$D$24,3,0)*Table1[[#This Row],[Estimação (horas)]]</f>
        <v>2</v>
      </c>
      <c r="X710" s="165">
        <f>+VLOOKUP(CONCATENATE(Table1[[#This Row],[Tabela]],Table1[[#This Row],[Campo]]),'2. Status Detalhe Campos FY24'!A:J,9,FALSE)</f>
        <v>0</v>
      </c>
      <c r="Y710" s="491" t="e">
        <f>+VLOOKUP(A710,#REF!,1,FALSE)</f>
        <v>#REF!</v>
      </c>
    </row>
    <row r="711" spans="1:25" ht="17.899999999999999" hidden="1" customHeight="1">
      <c r="A711" t="str">
        <f>+Table1[[#This Row],[Tabela]]&amp;Table1[[#This Row],[Campo]]</f>
        <v>modesg_out_empr_info_nfinorigem_flg_rsc_fsc_crnc</v>
      </c>
      <c r="B711" s="2" t="s">
        <v>26</v>
      </c>
      <c r="C711" s="2" t="s">
        <v>310</v>
      </c>
      <c r="D711" s="2" t="s">
        <v>326</v>
      </c>
      <c r="E711" s="2" t="s">
        <v>38</v>
      </c>
      <c r="F711" s="2" t="s">
        <v>325</v>
      </c>
      <c r="G711" s="2" t="s">
        <v>318</v>
      </c>
      <c r="H711" s="56" t="str">
        <f>Table1[[#This Row],[Tabela]]&amp;Table1[[#This Row],[Campo]]</f>
        <v>modesg_out_empr_info_nfinorigem_flg_rsc_fsc_crnc</v>
      </c>
      <c r="I711" s="2" t="s">
        <v>612</v>
      </c>
      <c r="J711" s="42">
        <f>VLOOKUP(Table1[[#This Row],[Status]],Auxiliar!$B$16:$C$24,2,0)</f>
        <v>1</v>
      </c>
      <c r="K711" s="2" t="s">
        <v>1169</v>
      </c>
      <c r="L711" s="28" t="s">
        <v>1174</v>
      </c>
      <c r="M711" s="20" t="s">
        <v>1175</v>
      </c>
      <c r="N711" s="47">
        <v>45358</v>
      </c>
      <c r="O711" s="20">
        <f>INDEX(Auxiliar!$D$5:$F$13,MATCH(Table1[[#This Row],[Tipologia_Testes]],Auxiliar!$B$5:$B$13,0),MATCH(Table1[[#This Row],[Complexidade]],Auxiliar!$D$4:$F$4,0))</f>
        <v>2</v>
      </c>
      <c r="P711" s="2"/>
      <c r="Q711" s="2"/>
      <c r="R711" s="151">
        <v>45569</v>
      </c>
      <c r="S711" s="151"/>
      <c r="T711" s="151">
        <v>45569</v>
      </c>
      <c r="U711" s="151">
        <v>45624</v>
      </c>
      <c r="V711" s="151">
        <v>45639</v>
      </c>
      <c r="W711" s="2">
        <f>VLOOKUP(Table1[[#This Row],[Status]],Auxiliar!$B$16:$D$24,3,0)*Table1[[#This Row],[Estimação (horas)]]</f>
        <v>2</v>
      </c>
      <c r="X711" s="165">
        <f>+VLOOKUP(CONCATENATE(Table1[[#This Row],[Tabela]],Table1[[#This Row],[Campo]]),'2. Status Detalhe Campos FY24'!A:J,9,FALSE)</f>
        <v>0</v>
      </c>
      <c r="Y711" s="491" t="e">
        <f>+VLOOKUP(A711,#REF!,1,FALSE)</f>
        <v>#REF!</v>
      </c>
    </row>
    <row r="712" spans="1:25" ht="17.899999999999999" hidden="1" customHeight="1">
      <c r="A712" t="str">
        <f>+Table1[[#This Row],[Tabela]]&amp;Table1[[#This Row],[Campo]]</f>
        <v>modesg_out_empr_info_nfinorigem_flg_rsc_fsc_crnc</v>
      </c>
      <c r="B712" s="2" t="s">
        <v>26</v>
      </c>
      <c r="C712" s="2" t="s">
        <v>310</v>
      </c>
      <c r="D712" s="2" t="s">
        <v>326</v>
      </c>
      <c r="E712" s="2" t="s">
        <v>38</v>
      </c>
      <c r="F712" s="2" t="s">
        <v>325</v>
      </c>
      <c r="G712" s="2" t="s">
        <v>318</v>
      </c>
      <c r="H712" s="56" t="str">
        <f>Table1[[#This Row],[Tabela]]&amp;Table1[[#This Row],[Campo]]</f>
        <v>modesg_out_empr_info_nfinorigem_flg_rsc_fsc_crnc</v>
      </c>
      <c r="I712" s="2" t="s">
        <v>612</v>
      </c>
      <c r="J712" s="42">
        <f>VLOOKUP(Table1[[#This Row],[Status]],Auxiliar!$B$16:$C$24,2,0)</f>
        <v>1</v>
      </c>
      <c r="K712" s="2" t="s">
        <v>1171</v>
      </c>
      <c r="L712" s="28" t="s">
        <v>1174</v>
      </c>
      <c r="M712" s="20" t="s">
        <v>1175</v>
      </c>
      <c r="N712" s="47">
        <v>45358</v>
      </c>
      <c r="O712" s="20">
        <f>INDEX(Auxiliar!$D$5:$F$13,MATCH(Table1[[#This Row],[Tipologia_Testes]],Auxiliar!$B$5:$B$13,0),MATCH(Table1[[#This Row],[Complexidade]],Auxiliar!$D$4:$F$4,0))</f>
        <v>0.1</v>
      </c>
      <c r="P712" s="2"/>
      <c r="Q712" s="2"/>
      <c r="R712" s="151">
        <v>45569</v>
      </c>
      <c r="S712" s="151"/>
      <c r="T712" s="151">
        <v>45569</v>
      </c>
      <c r="U712" s="151">
        <v>45624</v>
      </c>
      <c r="V712" s="151">
        <v>45639</v>
      </c>
      <c r="W712" s="2">
        <f>VLOOKUP(Table1[[#This Row],[Status]],Auxiliar!$B$16:$D$24,3,0)*Table1[[#This Row],[Estimação (horas)]]</f>
        <v>0.1</v>
      </c>
      <c r="X712" s="165">
        <f>+VLOOKUP(CONCATENATE(Table1[[#This Row],[Tabela]],Table1[[#This Row],[Campo]]),'2. Status Detalhe Campos FY24'!A:J,9,FALSE)</f>
        <v>0</v>
      </c>
      <c r="Y712" s="491" t="e">
        <f>+VLOOKUP(A712,#REF!,1,FALSE)</f>
        <v>#REF!</v>
      </c>
    </row>
    <row r="713" spans="1:25" ht="17.899999999999999" hidden="1" customHeight="1">
      <c r="A713" t="str">
        <f>+Table1[[#This Row],[Tabela]]&amp;Table1[[#This Row],[Campo]]</f>
        <v>modesg_out_empr_info_nfinorigem_scp1_emss</v>
      </c>
      <c r="B713" s="2" t="s">
        <v>26</v>
      </c>
      <c r="C713" s="2" t="s">
        <v>310</v>
      </c>
      <c r="D713" s="2" t="s">
        <v>326</v>
      </c>
      <c r="E713" s="2" t="s">
        <v>38</v>
      </c>
      <c r="F713" s="2" t="s">
        <v>325</v>
      </c>
      <c r="G713" s="2" t="s">
        <v>319</v>
      </c>
      <c r="H713" s="56" t="str">
        <f>Table1[[#This Row],[Tabela]]&amp;Table1[[#This Row],[Campo]]</f>
        <v>modesg_out_empr_info_nfinorigem_scp1_emss</v>
      </c>
      <c r="I713" s="2" t="s">
        <v>612</v>
      </c>
      <c r="J713" s="42">
        <f>VLOOKUP(Table1[[#This Row],[Status]],Auxiliar!$B$16:$C$24,2,0)</f>
        <v>1</v>
      </c>
      <c r="K713" s="2" t="s">
        <v>1168</v>
      </c>
      <c r="L713" s="28" t="s">
        <v>1174</v>
      </c>
      <c r="M713" s="20" t="s">
        <v>1175</v>
      </c>
      <c r="N713" s="47">
        <v>45716</v>
      </c>
      <c r="O713" s="20">
        <f>INDEX(Auxiliar!$D$5:$F$13,MATCH(Table1[[#This Row],[Tipologia_Testes]],Auxiliar!$B$5:$B$13,0),MATCH(Table1[[#This Row],[Complexidade]],Auxiliar!$D$4:$F$4,0))</f>
        <v>2</v>
      </c>
      <c r="P713" s="2"/>
      <c r="Q713" s="2"/>
      <c r="R713" s="151">
        <v>45569</v>
      </c>
      <c r="S713" s="151"/>
      <c r="T713" s="151">
        <v>45569</v>
      </c>
      <c r="U713" s="151">
        <v>45621</v>
      </c>
      <c r="V713" s="151">
        <v>45622</v>
      </c>
      <c r="W713" s="2">
        <f>VLOOKUP(Table1[[#This Row],[Status]],Auxiliar!$B$16:$D$24,3,0)*Table1[[#This Row],[Estimação (horas)]]</f>
        <v>2</v>
      </c>
      <c r="X713" s="165">
        <f>+VLOOKUP(CONCATENATE(Table1[[#This Row],[Tabela]],Table1[[#This Row],[Campo]]),'2. Status Detalhe Campos FY24'!A:J,9,FALSE)</f>
        <v>0</v>
      </c>
      <c r="Y713" s="491" t="e">
        <f>+VLOOKUP(A713,#REF!,1,FALSE)</f>
        <v>#REF!</v>
      </c>
    </row>
    <row r="714" spans="1:25" ht="17.899999999999999" hidden="1" customHeight="1">
      <c r="A714" t="str">
        <f>+Table1[[#This Row],[Tabela]]&amp;Table1[[#This Row],[Campo]]</f>
        <v>modesg_out_empr_info_nfinorigem_scp1_emss</v>
      </c>
      <c r="B714" s="2" t="s">
        <v>26</v>
      </c>
      <c r="C714" s="2" t="s">
        <v>310</v>
      </c>
      <c r="D714" s="2" t="s">
        <v>326</v>
      </c>
      <c r="E714" s="2" t="s">
        <v>38</v>
      </c>
      <c r="F714" s="2" t="s">
        <v>325</v>
      </c>
      <c r="G714" s="2" t="s">
        <v>319</v>
      </c>
      <c r="H714" s="56" t="str">
        <f>Table1[[#This Row],[Tabela]]&amp;Table1[[#This Row],[Campo]]</f>
        <v>modesg_out_empr_info_nfinorigem_scp1_emss</v>
      </c>
      <c r="I714" s="2" t="s">
        <v>612</v>
      </c>
      <c r="J714" s="42">
        <f>VLOOKUP(Table1[[#This Row],[Status]],Auxiliar!$B$16:$C$24,2,0)</f>
        <v>1</v>
      </c>
      <c r="K714" s="2" t="s">
        <v>1169</v>
      </c>
      <c r="L714" s="28" t="s">
        <v>1174</v>
      </c>
      <c r="M714" s="20" t="s">
        <v>1175</v>
      </c>
      <c r="N714" s="47">
        <v>45716</v>
      </c>
      <c r="O714" s="20">
        <f>INDEX(Auxiliar!$D$5:$F$13,MATCH(Table1[[#This Row],[Tipologia_Testes]],Auxiliar!$B$5:$B$13,0),MATCH(Table1[[#This Row],[Complexidade]],Auxiliar!$D$4:$F$4,0))</f>
        <v>2</v>
      </c>
      <c r="P714" s="2"/>
      <c r="Q714" s="2"/>
      <c r="R714" s="151">
        <v>45569</v>
      </c>
      <c r="S714" s="151"/>
      <c r="T714" s="151">
        <v>45569</v>
      </c>
      <c r="U714" s="151">
        <v>45621</v>
      </c>
      <c r="V714" s="151">
        <v>45622</v>
      </c>
      <c r="W714" s="2">
        <f>VLOOKUP(Table1[[#This Row],[Status]],Auxiliar!$B$16:$D$24,3,0)*Table1[[#This Row],[Estimação (horas)]]</f>
        <v>2</v>
      </c>
      <c r="X714" s="165">
        <f>+VLOOKUP(CONCATENATE(Table1[[#This Row],[Tabela]],Table1[[#This Row],[Campo]]),'2. Status Detalhe Campos FY24'!A:J,9,FALSE)</f>
        <v>0</v>
      </c>
      <c r="Y714" s="491" t="e">
        <f>+VLOOKUP(A714,#REF!,1,FALSE)</f>
        <v>#REF!</v>
      </c>
    </row>
    <row r="715" spans="1:25" ht="17.899999999999999" hidden="1" customHeight="1">
      <c r="A715" t="str">
        <f>+Table1[[#This Row],[Tabela]]&amp;Table1[[#This Row],[Campo]]</f>
        <v>modesg_out_empr_info_nfinorigem_scp1_emss</v>
      </c>
      <c r="B715" s="2" t="s">
        <v>26</v>
      </c>
      <c r="C715" s="2" t="s">
        <v>310</v>
      </c>
      <c r="D715" s="2" t="s">
        <v>326</v>
      </c>
      <c r="E715" s="2" t="s">
        <v>38</v>
      </c>
      <c r="F715" s="2" t="s">
        <v>325</v>
      </c>
      <c r="G715" s="2" t="s">
        <v>319</v>
      </c>
      <c r="H715" s="56" t="str">
        <f>Table1[[#This Row],[Tabela]]&amp;Table1[[#This Row],[Campo]]</f>
        <v>modesg_out_empr_info_nfinorigem_scp1_emss</v>
      </c>
      <c r="I715" s="2" t="s">
        <v>612</v>
      </c>
      <c r="J715" s="42">
        <f>VLOOKUP(Table1[[#This Row],[Status]],Auxiliar!$B$16:$C$24,2,0)</f>
        <v>1</v>
      </c>
      <c r="K715" s="2" t="s">
        <v>1171</v>
      </c>
      <c r="L715" s="28" t="s">
        <v>1174</v>
      </c>
      <c r="M715" s="20" t="s">
        <v>1175</v>
      </c>
      <c r="N715" s="47">
        <v>45716</v>
      </c>
      <c r="O715" s="20">
        <f>INDEX(Auxiliar!$D$5:$F$13,MATCH(Table1[[#This Row],[Tipologia_Testes]],Auxiliar!$B$5:$B$13,0),MATCH(Table1[[#This Row],[Complexidade]],Auxiliar!$D$4:$F$4,0))</f>
        <v>0.1</v>
      </c>
      <c r="P715" s="2"/>
      <c r="Q715" s="2"/>
      <c r="R715" s="151">
        <v>45569</v>
      </c>
      <c r="S715" s="151"/>
      <c r="T715" s="151">
        <v>45569</v>
      </c>
      <c r="U715" s="151">
        <v>45621</v>
      </c>
      <c r="V715" s="151">
        <v>45622</v>
      </c>
      <c r="W715" s="2">
        <f>VLOOKUP(Table1[[#This Row],[Status]],Auxiliar!$B$16:$D$24,3,0)*Table1[[#This Row],[Estimação (horas)]]</f>
        <v>0.1</v>
      </c>
      <c r="X715" s="165">
        <f>+VLOOKUP(CONCATENATE(Table1[[#This Row],[Tabela]],Table1[[#This Row],[Campo]]),'2. Status Detalhe Campos FY24'!A:J,9,FALSE)</f>
        <v>0</v>
      </c>
      <c r="Y715" s="491" t="e">
        <f>+VLOOKUP(A715,#REF!,1,FALSE)</f>
        <v>#REF!</v>
      </c>
    </row>
    <row r="716" spans="1:25" ht="17.899999999999999" hidden="1" customHeight="1">
      <c r="A716" t="str">
        <f>+Table1[[#This Row],[Tabela]]&amp;Table1[[#This Row],[Campo]]</f>
        <v>modesg_out_empr_info_nfinorigem_scp2_emss</v>
      </c>
      <c r="B716" s="2" t="s">
        <v>26</v>
      </c>
      <c r="C716" s="2" t="s">
        <v>310</v>
      </c>
      <c r="D716" s="2" t="s">
        <v>326</v>
      </c>
      <c r="E716" s="2" t="s">
        <v>38</v>
      </c>
      <c r="F716" s="2" t="s">
        <v>325</v>
      </c>
      <c r="G716" s="2" t="s">
        <v>320</v>
      </c>
      <c r="H716" s="56" t="str">
        <f>Table1[[#This Row],[Tabela]]&amp;Table1[[#This Row],[Campo]]</f>
        <v>modesg_out_empr_info_nfinorigem_scp2_emss</v>
      </c>
      <c r="I716" s="2" t="s">
        <v>612</v>
      </c>
      <c r="J716" s="42">
        <f>VLOOKUP(Table1[[#This Row],[Status]],Auxiliar!$B$16:$C$24,2,0)</f>
        <v>1</v>
      </c>
      <c r="K716" s="2" t="s">
        <v>1168</v>
      </c>
      <c r="L716" s="28" t="s">
        <v>1174</v>
      </c>
      <c r="M716" s="20" t="s">
        <v>1175</v>
      </c>
      <c r="N716" s="47">
        <v>45716</v>
      </c>
      <c r="O716" s="20">
        <f>INDEX(Auxiliar!$D$5:$F$13,MATCH(Table1[[#This Row],[Tipologia_Testes]],Auxiliar!$B$5:$B$13,0),MATCH(Table1[[#This Row],[Complexidade]],Auxiliar!$D$4:$F$4,0))</f>
        <v>2</v>
      </c>
      <c r="P716" s="2"/>
      <c r="Q716" s="2"/>
      <c r="R716" s="151">
        <v>45569</v>
      </c>
      <c r="S716" s="151"/>
      <c r="T716" s="151">
        <v>45569</v>
      </c>
      <c r="U716" s="151">
        <v>45621</v>
      </c>
      <c r="V716" s="151">
        <v>45622</v>
      </c>
      <c r="W716" s="2">
        <f>VLOOKUP(Table1[[#This Row],[Status]],Auxiliar!$B$16:$D$24,3,0)*Table1[[#This Row],[Estimação (horas)]]</f>
        <v>2</v>
      </c>
      <c r="X716" s="165">
        <f>+VLOOKUP(CONCATENATE(Table1[[#This Row],[Tabela]],Table1[[#This Row],[Campo]]),'2. Status Detalhe Campos FY24'!A:J,9,FALSE)</f>
        <v>0</v>
      </c>
      <c r="Y716" s="491" t="e">
        <f>+VLOOKUP(A716,#REF!,1,FALSE)</f>
        <v>#REF!</v>
      </c>
    </row>
    <row r="717" spans="1:25" ht="17.899999999999999" hidden="1" customHeight="1">
      <c r="A717" t="str">
        <f>+Table1[[#This Row],[Tabela]]&amp;Table1[[#This Row],[Campo]]</f>
        <v>modesg_out_empr_info_nfinorigem_scp2_emss</v>
      </c>
      <c r="B717" s="2" t="s">
        <v>26</v>
      </c>
      <c r="C717" s="2" t="s">
        <v>310</v>
      </c>
      <c r="D717" s="2" t="s">
        <v>326</v>
      </c>
      <c r="E717" s="2" t="s">
        <v>38</v>
      </c>
      <c r="F717" s="2" t="s">
        <v>325</v>
      </c>
      <c r="G717" s="2" t="s">
        <v>320</v>
      </c>
      <c r="H717" s="56" t="str">
        <f>Table1[[#This Row],[Tabela]]&amp;Table1[[#This Row],[Campo]]</f>
        <v>modesg_out_empr_info_nfinorigem_scp2_emss</v>
      </c>
      <c r="I717" s="2" t="s">
        <v>612</v>
      </c>
      <c r="J717" s="42">
        <f>VLOOKUP(Table1[[#This Row],[Status]],Auxiliar!$B$16:$C$24,2,0)</f>
        <v>1</v>
      </c>
      <c r="K717" s="2" t="s">
        <v>1169</v>
      </c>
      <c r="L717" s="28" t="s">
        <v>1174</v>
      </c>
      <c r="M717" s="20" t="s">
        <v>1175</v>
      </c>
      <c r="N717" s="47">
        <v>45716</v>
      </c>
      <c r="O717" s="20">
        <f>INDEX(Auxiliar!$D$5:$F$13,MATCH(Table1[[#This Row],[Tipologia_Testes]],Auxiliar!$B$5:$B$13,0),MATCH(Table1[[#This Row],[Complexidade]],Auxiliar!$D$4:$F$4,0))</f>
        <v>2</v>
      </c>
      <c r="P717" s="2"/>
      <c r="Q717" s="2"/>
      <c r="R717" s="151">
        <v>45569</v>
      </c>
      <c r="S717" s="151"/>
      <c r="T717" s="151">
        <v>45569</v>
      </c>
      <c r="U717" s="151">
        <v>45621</v>
      </c>
      <c r="V717" s="151">
        <v>45622</v>
      </c>
      <c r="W717" s="2">
        <f>VLOOKUP(Table1[[#This Row],[Status]],Auxiliar!$B$16:$D$24,3,0)*Table1[[#This Row],[Estimação (horas)]]</f>
        <v>2</v>
      </c>
      <c r="X717" s="165">
        <f>+VLOOKUP(CONCATENATE(Table1[[#This Row],[Tabela]],Table1[[#This Row],[Campo]]),'2. Status Detalhe Campos FY24'!A:J,9,FALSE)</f>
        <v>0</v>
      </c>
      <c r="Y717" s="491" t="e">
        <f>+VLOOKUP(A717,#REF!,1,FALSE)</f>
        <v>#REF!</v>
      </c>
    </row>
    <row r="718" spans="1:25" ht="17.899999999999999" hidden="1" customHeight="1">
      <c r="A718" t="str">
        <f>+Table1[[#This Row],[Tabela]]&amp;Table1[[#This Row],[Campo]]</f>
        <v>modesg_out_empr_info_nfinorigem_scp2_emss</v>
      </c>
      <c r="B718" s="2" t="s">
        <v>26</v>
      </c>
      <c r="C718" s="2" t="s">
        <v>310</v>
      </c>
      <c r="D718" s="2" t="s">
        <v>326</v>
      </c>
      <c r="E718" s="2" t="s">
        <v>38</v>
      </c>
      <c r="F718" s="2" t="s">
        <v>325</v>
      </c>
      <c r="G718" s="2" t="s">
        <v>320</v>
      </c>
      <c r="H718" s="56" t="str">
        <f>Table1[[#This Row],[Tabela]]&amp;Table1[[#This Row],[Campo]]</f>
        <v>modesg_out_empr_info_nfinorigem_scp2_emss</v>
      </c>
      <c r="I718" s="2" t="s">
        <v>612</v>
      </c>
      <c r="J718" s="42">
        <f>VLOOKUP(Table1[[#This Row],[Status]],Auxiliar!$B$16:$C$24,2,0)</f>
        <v>1</v>
      </c>
      <c r="K718" s="2" t="s">
        <v>1171</v>
      </c>
      <c r="L718" s="28" t="s">
        <v>1174</v>
      </c>
      <c r="M718" s="20" t="s">
        <v>1175</v>
      </c>
      <c r="N718" s="47">
        <v>45716</v>
      </c>
      <c r="O718" s="20">
        <f>INDEX(Auxiliar!$D$5:$F$13,MATCH(Table1[[#This Row],[Tipologia_Testes]],Auxiliar!$B$5:$B$13,0),MATCH(Table1[[#This Row],[Complexidade]],Auxiliar!$D$4:$F$4,0))</f>
        <v>0.1</v>
      </c>
      <c r="P718" s="2"/>
      <c r="Q718" s="2"/>
      <c r="R718" s="151">
        <v>45569</v>
      </c>
      <c r="S718" s="151"/>
      <c r="T718" s="151">
        <v>45569</v>
      </c>
      <c r="U718" s="151">
        <v>45621</v>
      </c>
      <c r="V718" s="151">
        <v>45622</v>
      </c>
      <c r="W718" s="2">
        <f>VLOOKUP(Table1[[#This Row],[Status]],Auxiliar!$B$16:$D$24,3,0)*Table1[[#This Row],[Estimação (horas)]]</f>
        <v>0.1</v>
      </c>
      <c r="X718" s="165">
        <f>+VLOOKUP(CONCATENATE(Table1[[#This Row],[Tabela]],Table1[[#This Row],[Campo]]),'2. Status Detalhe Campos FY24'!A:J,9,FALSE)</f>
        <v>0</v>
      </c>
      <c r="Y718" s="491" t="e">
        <f>+VLOOKUP(A718,#REF!,1,FALSE)</f>
        <v>#REF!</v>
      </c>
    </row>
    <row r="719" spans="1:25" ht="17.899999999999999" hidden="1" customHeight="1">
      <c r="A719" t="str">
        <f>+Table1[[#This Row],[Tabela]]&amp;Table1[[#This Row],[Campo]]</f>
        <v>modesg_out_empr_info_nfinorigem_scp3_emss</v>
      </c>
      <c r="B719" s="2" t="s">
        <v>26</v>
      </c>
      <c r="C719" s="2" t="s">
        <v>310</v>
      </c>
      <c r="D719" s="2" t="s">
        <v>326</v>
      </c>
      <c r="E719" s="2" t="s">
        <v>38</v>
      </c>
      <c r="F719" s="2" t="s">
        <v>325</v>
      </c>
      <c r="G719" s="2" t="s">
        <v>321</v>
      </c>
      <c r="H719" s="56" t="str">
        <f>Table1[[#This Row],[Tabela]]&amp;Table1[[#This Row],[Campo]]</f>
        <v>modesg_out_empr_info_nfinorigem_scp3_emss</v>
      </c>
      <c r="I719" s="2" t="s">
        <v>612</v>
      </c>
      <c r="J719" s="42">
        <f>VLOOKUP(Table1[[#This Row],[Status]],Auxiliar!$B$16:$C$24,2,0)</f>
        <v>1</v>
      </c>
      <c r="K719" s="2" t="s">
        <v>1168</v>
      </c>
      <c r="L719" s="28" t="s">
        <v>1174</v>
      </c>
      <c r="M719" s="20" t="s">
        <v>1175</v>
      </c>
      <c r="N719" s="47">
        <v>45716</v>
      </c>
      <c r="O719" s="20">
        <f>INDEX(Auxiliar!$D$5:$F$13,MATCH(Table1[[#This Row],[Tipologia_Testes]],Auxiliar!$B$5:$B$13,0),MATCH(Table1[[#This Row],[Complexidade]],Auxiliar!$D$4:$F$4,0))</f>
        <v>2</v>
      </c>
      <c r="P719" s="2"/>
      <c r="Q719" s="2"/>
      <c r="R719" s="151">
        <v>45569</v>
      </c>
      <c r="S719" s="151"/>
      <c r="T719" s="151">
        <v>45569</v>
      </c>
      <c r="U719" s="151">
        <v>45621</v>
      </c>
      <c r="V719" s="151">
        <v>45622</v>
      </c>
      <c r="W719" s="2">
        <f>VLOOKUP(Table1[[#This Row],[Status]],Auxiliar!$B$16:$D$24,3,0)*Table1[[#This Row],[Estimação (horas)]]</f>
        <v>2</v>
      </c>
      <c r="X719" s="165">
        <f>+VLOOKUP(CONCATENATE(Table1[[#This Row],[Tabela]],Table1[[#This Row],[Campo]]),'2. Status Detalhe Campos FY24'!A:J,9,FALSE)</f>
        <v>0</v>
      </c>
      <c r="Y719" s="491" t="e">
        <f>+VLOOKUP(A719,#REF!,1,FALSE)</f>
        <v>#REF!</v>
      </c>
    </row>
    <row r="720" spans="1:25" ht="17.899999999999999" hidden="1" customHeight="1">
      <c r="A720" t="str">
        <f>+Table1[[#This Row],[Tabela]]&amp;Table1[[#This Row],[Campo]]</f>
        <v>modesg_out_empr_info_nfinorigem_scp3_emss</v>
      </c>
      <c r="B720" s="2" t="s">
        <v>26</v>
      </c>
      <c r="C720" s="2" t="s">
        <v>310</v>
      </c>
      <c r="D720" s="2" t="s">
        <v>326</v>
      </c>
      <c r="E720" s="2" t="s">
        <v>38</v>
      </c>
      <c r="F720" s="2" t="s">
        <v>325</v>
      </c>
      <c r="G720" s="2" t="s">
        <v>321</v>
      </c>
      <c r="H720" s="56" t="str">
        <f>Table1[[#This Row],[Tabela]]&amp;Table1[[#This Row],[Campo]]</f>
        <v>modesg_out_empr_info_nfinorigem_scp3_emss</v>
      </c>
      <c r="I720" s="2" t="s">
        <v>612</v>
      </c>
      <c r="J720" s="42">
        <f>VLOOKUP(Table1[[#This Row],[Status]],Auxiliar!$B$16:$C$24,2,0)</f>
        <v>1</v>
      </c>
      <c r="K720" s="2" t="s">
        <v>1169</v>
      </c>
      <c r="L720" s="28" t="s">
        <v>1174</v>
      </c>
      <c r="M720" s="20" t="s">
        <v>1175</v>
      </c>
      <c r="N720" s="47">
        <v>45716</v>
      </c>
      <c r="O720" s="20">
        <f>INDEX(Auxiliar!$D$5:$F$13,MATCH(Table1[[#This Row],[Tipologia_Testes]],Auxiliar!$B$5:$B$13,0),MATCH(Table1[[#This Row],[Complexidade]],Auxiliar!$D$4:$F$4,0))</f>
        <v>2</v>
      </c>
      <c r="P720" s="2"/>
      <c r="Q720" s="2"/>
      <c r="R720" s="151">
        <v>45569</v>
      </c>
      <c r="S720" s="151"/>
      <c r="T720" s="151">
        <v>45569</v>
      </c>
      <c r="U720" s="151">
        <v>45621</v>
      </c>
      <c r="V720" s="151">
        <v>45622</v>
      </c>
      <c r="W720" s="2">
        <f>VLOOKUP(Table1[[#This Row],[Status]],Auxiliar!$B$16:$D$24,3,0)*Table1[[#This Row],[Estimação (horas)]]</f>
        <v>2</v>
      </c>
      <c r="X720" s="165">
        <f>+VLOOKUP(CONCATENATE(Table1[[#This Row],[Tabela]],Table1[[#This Row],[Campo]]),'2. Status Detalhe Campos FY24'!A:J,9,FALSE)</f>
        <v>0</v>
      </c>
      <c r="Y720" s="491" t="e">
        <f>+VLOOKUP(A720,#REF!,1,FALSE)</f>
        <v>#REF!</v>
      </c>
    </row>
    <row r="721" spans="1:25" ht="17.899999999999999" hidden="1" customHeight="1">
      <c r="A721" t="str">
        <f>+Table1[[#This Row],[Tabela]]&amp;Table1[[#This Row],[Campo]]</f>
        <v>modesg_out_empr_info_nfinorigem_scp3_emss</v>
      </c>
      <c r="B721" s="2" t="s">
        <v>26</v>
      </c>
      <c r="C721" s="2" t="s">
        <v>310</v>
      </c>
      <c r="D721" s="2" t="s">
        <v>326</v>
      </c>
      <c r="E721" s="2" t="s">
        <v>38</v>
      </c>
      <c r="F721" s="2" t="s">
        <v>325</v>
      </c>
      <c r="G721" s="2" t="s">
        <v>321</v>
      </c>
      <c r="H721" s="56" t="str">
        <f>Table1[[#This Row],[Tabela]]&amp;Table1[[#This Row],[Campo]]</f>
        <v>modesg_out_empr_info_nfinorigem_scp3_emss</v>
      </c>
      <c r="I721" s="2" t="s">
        <v>612</v>
      </c>
      <c r="J721" s="42">
        <f>VLOOKUP(Table1[[#This Row],[Status]],Auxiliar!$B$16:$C$24,2,0)</f>
        <v>1</v>
      </c>
      <c r="K721" s="2" t="s">
        <v>1171</v>
      </c>
      <c r="L721" s="28" t="s">
        <v>1174</v>
      </c>
      <c r="M721" s="20" t="s">
        <v>1175</v>
      </c>
      <c r="N721" s="47">
        <v>45716</v>
      </c>
      <c r="O721" s="20">
        <f>INDEX(Auxiliar!$D$5:$F$13,MATCH(Table1[[#This Row],[Tipologia_Testes]],Auxiliar!$B$5:$B$13,0),MATCH(Table1[[#This Row],[Complexidade]],Auxiliar!$D$4:$F$4,0))</f>
        <v>0.1</v>
      </c>
      <c r="P721" s="2"/>
      <c r="Q721" s="2"/>
      <c r="R721" s="151">
        <v>45569</v>
      </c>
      <c r="S721" s="151"/>
      <c r="T721" s="151">
        <v>45569</v>
      </c>
      <c r="U721" s="151">
        <v>45621</v>
      </c>
      <c r="V721" s="151">
        <v>45622</v>
      </c>
      <c r="W721" s="2">
        <f>VLOOKUP(Table1[[#This Row],[Status]],Auxiliar!$B$16:$D$24,3,0)*Table1[[#This Row],[Estimação (horas)]]</f>
        <v>0.1</v>
      </c>
      <c r="X721" s="165">
        <f>+VLOOKUP(CONCATENATE(Table1[[#This Row],[Tabela]],Table1[[#This Row],[Campo]]),'2. Status Detalhe Campos FY24'!A:J,9,FALSE)</f>
        <v>0</v>
      </c>
      <c r="Y721" s="491" t="e">
        <f>+VLOOKUP(A721,#REF!,1,FALSE)</f>
        <v>#REF!</v>
      </c>
    </row>
    <row r="722" spans="1:25" ht="17.899999999999999" hidden="1" customHeight="1">
      <c r="A722" t="str">
        <f>+Table1[[#This Row],[Tabela]]&amp;Table1[[#This Row],[Campo]]</f>
        <v>modesg_out_empr_info_nfinref_date</v>
      </c>
      <c r="B722" s="2" t="s">
        <v>26</v>
      </c>
      <c r="C722" s="2" t="s">
        <v>310</v>
      </c>
      <c r="D722" s="2" t="s">
        <v>326</v>
      </c>
      <c r="E722" s="2" t="s">
        <v>38</v>
      </c>
      <c r="F722" s="2" t="s">
        <v>325</v>
      </c>
      <c r="G722" s="2" t="s">
        <v>208</v>
      </c>
      <c r="H722" s="56" t="str">
        <f>Table1[[#This Row],[Tabela]]&amp;Table1[[#This Row],[Campo]]</f>
        <v>modesg_out_empr_info_nfinref_date</v>
      </c>
      <c r="I722" s="3" t="s">
        <v>612</v>
      </c>
      <c r="J722" s="54">
        <f>VLOOKUP(Table1[[#This Row],[Status]],Auxiliar!$B$16:$C$24,2,0)</f>
        <v>1</v>
      </c>
      <c r="K722" s="2" t="s">
        <v>1168</v>
      </c>
      <c r="L722" s="28" t="s">
        <v>1174</v>
      </c>
      <c r="M722" s="20" t="s">
        <v>1175</v>
      </c>
      <c r="N722" s="47">
        <v>45485</v>
      </c>
      <c r="O722" s="20">
        <f>INDEX(Auxiliar!$D$5:$F$13,MATCH(Table1[[#This Row],[Tipologia_Testes]],Auxiliar!$B$5:$B$13,0),MATCH(Table1[[#This Row],[Complexidade]],Auxiliar!$D$4:$F$4,0))</f>
        <v>2</v>
      </c>
      <c r="P722" s="2"/>
      <c r="Q722" s="2" t="s">
        <v>1185</v>
      </c>
      <c r="R722" s="151">
        <v>45261</v>
      </c>
      <c r="S722" s="151"/>
      <c r="T722" s="151"/>
      <c r="U722" s="151"/>
      <c r="V722" s="151"/>
      <c r="W722" s="2">
        <f>VLOOKUP(Table1[[#This Row],[Status]],Auxiliar!$B$16:$D$24,3,0)*Table1[[#This Row],[Estimação (horas)]]</f>
        <v>2</v>
      </c>
      <c r="X722" s="165">
        <f>+VLOOKUP(CONCATENATE(Table1[[#This Row],[Tabela]],Table1[[#This Row],[Campo]]),'2. Status Detalhe Campos FY24'!A:J,9,FALSE)</f>
        <v>0</v>
      </c>
      <c r="Y722" s="491" t="e">
        <f>+VLOOKUP(A722,#REF!,1,FALSE)</f>
        <v>#REF!</v>
      </c>
    </row>
    <row r="723" spans="1:25" ht="17.899999999999999" hidden="1" customHeight="1">
      <c r="A723" t="str">
        <f>+Table1[[#This Row],[Tabela]]&amp;Table1[[#This Row],[Campo]]</f>
        <v>modesg_out_empr_info_nfinref_date</v>
      </c>
      <c r="B723" s="2" t="s">
        <v>26</v>
      </c>
      <c r="C723" s="2" t="s">
        <v>310</v>
      </c>
      <c r="D723" s="2" t="s">
        <v>326</v>
      </c>
      <c r="E723" s="2" t="s">
        <v>38</v>
      </c>
      <c r="F723" s="2" t="s">
        <v>325</v>
      </c>
      <c r="G723" s="2" t="s">
        <v>208</v>
      </c>
      <c r="H723" s="56" t="str">
        <f>Table1[[#This Row],[Tabela]]&amp;Table1[[#This Row],[Campo]]</f>
        <v>modesg_out_empr_info_nfinref_date</v>
      </c>
      <c r="I723" s="3" t="s">
        <v>612</v>
      </c>
      <c r="J723" s="54">
        <f>VLOOKUP(Table1[[#This Row],[Status]],Auxiliar!$B$16:$C$24,2,0)</f>
        <v>1</v>
      </c>
      <c r="K723" s="2" t="s">
        <v>1169</v>
      </c>
      <c r="L723" s="28" t="s">
        <v>1174</v>
      </c>
      <c r="M723" s="20" t="s">
        <v>1175</v>
      </c>
      <c r="N723" s="47">
        <v>45485</v>
      </c>
      <c r="O723" s="20">
        <f>INDEX(Auxiliar!$D$5:$F$13,MATCH(Table1[[#This Row],[Tipologia_Testes]],Auxiliar!$B$5:$B$13,0),MATCH(Table1[[#This Row],[Complexidade]],Auxiliar!$D$4:$F$4,0))</f>
        <v>2</v>
      </c>
      <c r="P723" s="2"/>
      <c r="Q723" s="2" t="s">
        <v>1185</v>
      </c>
      <c r="R723" s="151">
        <v>45261</v>
      </c>
      <c r="S723" s="151"/>
      <c r="T723" s="151"/>
      <c r="U723" s="151"/>
      <c r="V723" s="151"/>
      <c r="W723" s="2">
        <f>VLOOKUP(Table1[[#This Row],[Status]],Auxiliar!$B$16:$D$24,3,0)*Table1[[#This Row],[Estimação (horas)]]</f>
        <v>2</v>
      </c>
      <c r="X723" s="165">
        <f>+VLOOKUP(CONCATENATE(Table1[[#This Row],[Tabela]],Table1[[#This Row],[Campo]]),'2. Status Detalhe Campos FY24'!A:J,9,FALSE)</f>
        <v>0</v>
      </c>
      <c r="Y723" s="491" t="e">
        <f>+VLOOKUP(A723,#REF!,1,FALSE)</f>
        <v>#REF!</v>
      </c>
    </row>
    <row r="724" spans="1:25" ht="17.899999999999999" hidden="1" customHeight="1">
      <c r="A724" t="str">
        <f>+Table1[[#This Row],[Tabela]]&amp;Table1[[#This Row],[Campo]]</f>
        <v>modesg_out_empr_info_nfinref_date</v>
      </c>
      <c r="B724" s="2" t="s">
        <v>26</v>
      </c>
      <c r="C724" s="2" t="s">
        <v>310</v>
      </c>
      <c r="D724" s="2" t="s">
        <v>326</v>
      </c>
      <c r="E724" s="2" t="s">
        <v>38</v>
      </c>
      <c r="F724" s="2" t="s">
        <v>325</v>
      </c>
      <c r="G724" s="2" t="s">
        <v>208</v>
      </c>
      <c r="H724" s="56" t="str">
        <f>Table1[[#This Row],[Tabela]]&amp;Table1[[#This Row],[Campo]]</f>
        <v>modesg_out_empr_info_nfinref_date</v>
      </c>
      <c r="I724" s="3" t="s">
        <v>612</v>
      </c>
      <c r="J724" s="54">
        <f>VLOOKUP(Table1[[#This Row],[Status]],Auxiliar!$B$16:$C$24,2,0)</f>
        <v>1</v>
      </c>
      <c r="K724" s="2" t="s">
        <v>1171</v>
      </c>
      <c r="L724" s="28" t="s">
        <v>1174</v>
      </c>
      <c r="M724" s="20" t="s">
        <v>1175</v>
      </c>
      <c r="N724" s="47">
        <v>45485</v>
      </c>
      <c r="O724" s="20">
        <f>INDEX(Auxiliar!$D$5:$F$13,MATCH(Table1[[#This Row],[Tipologia_Testes]],Auxiliar!$B$5:$B$13,0),MATCH(Table1[[#This Row],[Complexidade]],Auxiliar!$D$4:$F$4,0))</f>
        <v>0.1</v>
      </c>
      <c r="P724" s="2"/>
      <c r="Q724" s="2" t="s">
        <v>1185</v>
      </c>
      <c r="R724" s="151">
        <v>45261</v>
      </c>
      <c r="S724" s="151"/>
      <c r="T724" s="151"/>
      <c r="U724" s="151"/>
      <c r="V724" s="151"/>
      <c r="W724" s="2">
        <f>VLOOKUP(Table1[[#This Row],[Status]],Auxiliar!$B$16:$D$24,3,0)*Table1[[#This Row],[Estimação (horas)]]</f>
        <v>0.1</v>
      </c>
      <c r="X724" s="165">
        <f>+VLOOKUP(CONCATENATE(Table1[[#This Row],[Tabela]],Table1[[#This Row],[Campo]]),'2. Status Detalhe Campos FY24'!A:J,9,FALSE)</f>
        <v>0</v>
      </c>
      <c r="Y724" s="491" t="e">
        <f>+VLOOKUP(A724,#REF!,1,FALSE)</f>
        <v>#REF!</v>
      </c>
    </row>
    <row r="725" spans="1:25" ht="17.899999999999999" hidden="1" customHeight="1">
      <c r="A725" t="str">
        <f>+Table1[[#This Row],[Tabela]]&amp;Table1[[#This Row],[Campo]]</f>
        <v>modesg_out_empr_info_nfinscp1_emss</v>
      </c>
      <c r="B725" s="2" t="s">
        <v>26</v>
      </c>
      <c r="C725" s="2" t="s">
        <v>310</v>
      </c>
      <c r="D725" s="2" t="s">
        <v>326</v>
      </c>
      <c r="E725" s="2" t="s">
        <v>38</v>
      </c>
      <c r="F725" s="2" t="s">
        <v>325</v>
      </c>
      <c r="G725" s="2" t="s">
        <v>285</v>
      </c>
      <c r="H725" s="56" t="str">
        <f>Table1[[#This Row],[Tabela]]&amp;Table1[[#This Row],[Campo]]</f>
        <v>modesg_out_empr_info_nfinscp1_emss</v>
      </c>
      <c r="I725" s="2" t="s">
        <v>612</v>
      </c>
      <c r="J725" s="42">
        <f>VLOOKUP(Table1[[#This Row],[Status]],Auxiliar!$B$16:$C$24,2,0)</f>
        <v>1</v>
      </c>
      <c r="K725" s="2" t="s">
        <v>1168</v>
      </c>
      <c r="L725" s="28" t="s">
        <v>1174</v>
      </c>
      <c r="M725" s="20" t="s">
        <v>1176</v>
      </c>
      <c r="N725" s="47">
        <v>45716</v>
      </c>
      <c r="O725" s="20">
        <f>INDEX(Auxiliar!$D$5:$F$13,MATCH(Table1[[#This Row],[Tipologia_Testes]],Auxiliar!$B$5:$B$13,0),MATCH(Table1[[#This Row],[Complexidade]],Auxiliar!$D$4:$F$4,0))</f>
        <v>4</v>
      </c>
      <c r="P725" s="2"/>
      <c r="Q725" s="2"/>
      <c r="R725" s="151">
        <v>45569</v>
      </c>
      <c r="S725" s="151"/>
      <c r="T725" s="151">
        <v>45569</v>
      </c>
      <c r="U725" s="151">
        <v>45621</v>
      </c>
      <c r="V725" s="151">
        <v>45622</v>
      </c>
      <c r="W725" s="2">
        <f>VLOOKUP(Table1[[#This Row],[Status]],Auxiliar!$B$16:$D$24,3,0)*Table1[[#This Row],[Estimação (horas)]]</f>
        <v>4</v>
      </c>
      <c r="X725" s="165">
        <f>+VLOOKUP(CONCATENATE(Table1[[#This Row],[Tabela]],Table1[[#This Row],[Campo]]),'2. Status Detalhe Campos FY24'!A:J,9,FALSE)</f>
        <v>0</v>
      </c>
      <c r="Y725" s="491" t="e">
        <f>+VLOOKUP(A725,#REF!,1,FALSE)</f>
        <v>#REF!</v>
      </c>
    </row>
    <row r="726" spans="1:25" ht="17.899999999999999" hidden="1" customHeight="1">
      <c r="A726" t="str">
        <f>+Table1[[#This Row],[Tabela]]&amp;Table1[[#This Row],[Campo]]</f>
        <v>modesg_out_empr_info_nfinscp1_emss</v>
      </c>
      <c r="B726" s="2" t="s">
        <v>26</v>
      </c>
      <c r="C726" s="2" t="s">
        <v>310</v>
      </c>
      <c r="D726" s="2" t="s">
        <v>326</v>
      </c>
      <c r="E726" s="2" t="s">
        <v>38</v>
      </c>
      <c r="F726" s="2" t="s">
        <v>325</v>
      </c>
      <c r="G726" s="2" t="s">
        <v>285</v>
      </c>
      <c r="H726" s="56" t="str">
        <f>Table1[[#This Row],[Tabela]]&amp;Table1[[#This Row],[Campo]]</f>
        <v>modesg_out_empr_info_nfinscp1_emss</v>
      </c>
      <c r="I726" s="2" t="s">
        <v>612</v>
      </c>
      <c r="J726" s="42">
        <f>VLOOKUP(Table1[[#This Row],[Status]],Auxiliar!$B$16:$C$24,2,0)</f>
        <v>1</v>
      </c>
      <c r="K726" s="2" t="s">
        <v>1169</v>
      </c>
      <c r="L726" s="28" t="s">
        <v>1174</v>
      </c>
      <c r="M726" s="20" t="s">
        <v>1176</v>
      </c>
      <c r="N726" s="47">
        <v>45716</v>
      </c>
      <c r="O726" s="20">
        <f>INDEX(Auxiliar!$D$5:$F$13,MATCH(Table1[[#This Row],[Tipologia_Testes]],Auxiliar!$B$5:$B$13,0),MATCH(Table1[[#This Row],[Complexidade]],Auxiliar!$D$4:$F$4,0))</f>
        <v>4</v>
      </c>
      <c r="P726" s="2"/>
      <c r="Q726" s="2"/>
      <c r="R726" s="151">
        <v>45569</v>
      </c>
      <c r="S726" s="151"/>
      <c r="T726" s="151">
        <v>45569</v>
      </c>
      <c r="U726" s="151">
        <v>45621</v>
      </c>
      <c r="V726" s="151">
        <v>45622</v>
      </c>
      <c r="W726" s="2">
        <f>VLOOKUP(Table1[[#This Row],[Status]],Auxiliar!$B$16:$D$24,3,0)*Table1[[#This Row],[Estimação (horas)]]</f>
        <v>4</v>
      </c>
      <c r="X726" s="165">
        <f>+VLOOKUP(CONCATENATE(Table1[[#This Row],[Tabela]],Table1[[#This Row],[Campo]]),'2. Status Detalhe Campos FY24'!A:J,9,FALSE)</f>
        <v>0</v>
      </c>
      <c r="Y726" s="491" t="e">
        <f>+VLOOKUP(A726,#REF!,1,FALSE)</f>
        <v>#REF!</v>
      </c>
    </row>
    <row r="727" spans="1:25" ht="17.899999999999999" hidden="1" customHeight="1">
      <c r="A727" t="str">
        <f>+Table1[[#This Row],[Tabela]]&amp;Table1[[#This Row],[Campo]]</f>
        <v>modesg_out_empr_info_nfinscp1_emss</v>
      </c>
      <c r="B727" s="2" t="s">
        <v>26</v>
      </c>
      <c r="C727" s="2" t="s">
        <v>310</v>
      </c>
      <c r="D727" s="2" t="s">
        <v>326</v>
      </c>
      <c r="E727" s="2" t="s">
        <v>38</v>
      </c>
      <c r="F727" s="2" t="s">
        <v>325</v>
      </c>
      <c r="G727" s="2" t="s">
        <v>285</v>
      </c>
      <c r="H727" s="56" t="str">
        <f>Table1[[#This Row],[Tabela]]&amp;Table1[[#This Row],[Campo]]</f>
        <v>modesg_out_empr_info_nfinscp1_emss</v>
      </c>
      <c r="I727" s="2" t="s">
        <v>612</v>
      </c>
      <c r="J727" s="42">
        <f>VLOOKUP(Table1[[#This Row],[Status]],Auxiliar!$B$16:$C$24,2,0)</f>
        <v>1</v>
      </c>
      <c r="K727" s="2" t="s">
        <v>1171</v>
      </c>
      <c r="L727" s="28" t="s">
        <v>1174</v>
      </c>
      <c r="M727" s="20" t="s">
        <v>1176</v>
      </c>
      <c r="N727" s="47">
        <v>45716</v>
      </c>
      <c r="O727" s="20">
        <f>INDEX(Auxiliar!$D$5:$F$13,MATCH(Table1[[#This Row],[Tipologia_Testes]],Auxiliar!$B$5:$B$13,0),MATCH(Table1[[#This Row],[Complexidade]],Auxiliar!$D$4:$F$4,0))</f>
        <v>0.1</v>
      </c>
      <c r="P727" s="2"/>
      <c r="Q727" s="2"/>
      <c r="R727" s="151">
        <v>45569</v>
      </c>
      <c r="S727" s="151"/>
      <c r="T727" s="151">
        <v>45569</v>
      </c>
      <c r="U727" s="151">
        <v>45621</v>
      </c>
      <c r="V727" s="151">
        <v>45622</v>
      </c>
      <c r="W727" s="2">
        <f>VLOOKUP(Table1[[#This Row],[Status]],Auxiliar!$B$16:$D$24,3,0)*Table1[[#This Row],[Estimação (horas)]]</f>
        <v>0.1</v>
      </c>
      <c r="X727" s="165">
        <f>+VLOOKUP(CONCATENATE(Table1[[#This Row],[Tabela]],Table1[[#This Row],[Campo]]),'2. Status Detalhe Campos FY24'!A:J,9,FALSE)</f>
        <v>0</v>
      </c>
      <c r="Y727" s="491" t="e">
        <f>+VLOOKUP(A727,#REF!,1,FALSE)</f>
        <v>#REF!</v>
      </c>
    </row>
    <row r="728" spans="1:25" ht="17.899999999999999" hidden="1" customHeight="1">
      <c r="A728" t="str">
        <f>+Table1[[#This Row],[Tabela]]&amp;Table1[[#This Row],[Campo]]</f>
        <v>modesg_out_empr_info_nfinscp2_emss</v>
      </c>
      <c r="B728" s="2" t="s">
        <v>26</v>
      </c>
      <c r="C728" s="2" t="s">
        <v>310</v>
      </c>
      <c r="D728" s="2" t="s">
        <v>326</v>
      </c>
      <c r="E728" s="2" t="s">
        <v>38</v>
      </c>
      <c r="F728" s="2" t="s">
        <v>325</v>
      </c>
      <c r="G728" s="2" t="s">
        <v>286</v>
      </c>
      <c r="H728" s="56" t="str">
        <f>Table1[[#This Row],[Tabela]]&amp;Table1[[#This Row],[Campo]]</f>
        <v>modesg_out_empr_info_nfinscp2_emss</v>
      </c>
      <c r="I728" s="2" t="s">
        <v>612</v>
      </c>
      <c r="J728" s="42">
        <f>VLOOKUP(Table1[[#This Row],[Status]],Auxiliar!$B$16:$C$24,2,0)</f>
        <v>1</v>
      </c>
      <c r="K728" s="2" t="s">
        <v>1168</v>
      </c>
      <c r="L728" s="28" t="s">
        <v>1174</v>
      </c>
      <c r="M728" s="20" t="s">
        <v>1176</v>
      </c>
      <c r="N728" s="47">
        <v>45716</v>
      </c>
      <c r="O728" s="20">
        <f>INDEX(Auxiliar!$D$5:$F$13,MATCH(Table1[[#This Row],[Tipologia_Testes]],Auxiliar!$B$5:$B$13,0),MATCH(Table1[[#This Row],[Complexidade]],Auxiliar!$D$4:$F$4,0))</f>
        <v>4</v>
      </c>
      <c r="P728" s="2"/>
      <c r="Q728" s="2"/>
      <c r="R728" s="151">
        <v>45569</v>
      </c>
      <c r="S728" s="151"/>
      <c r="T728" s="151">
        <v>45569</v>
      </c>
      <c r="U728" s="151">
        <v>45621</v>
      </c>
      <c r="V728" s="151">
        <v>45622</v>
      </c>
      <c r="W728" s="2">
        <f>VLOOKUP(Table1[[#This Row],[Status]],Auxiliar!$B$16:$D$24,3,0)*Table1[[#This Row],[Estimação (horas)]]</f>
        <v>4</v>
      </c>
      <c r="X728" s="165">
        <f>+VLOOKUP(CONCATENATE(Table1[[#This Row],[Tabela]],Table1[[#This Row],[Campo]]),'2. Status Detalhe Campos FY24'!A:J,9,FALSE)</f>
        <v>0</v>
      </c>
      <c r="Y728" s="491" t="e">
        <f>+VLOOKUP(A728,#REF!,1,FALSE)</f>
        <v>#REF!</v>
      </c>
    </row>
    <row r="729" spans="1:25" ht="17.899999999999999" hidden="1" customHeight="1">
      <c r="A729" t="str">
        <f>+Table1[[#This Row],[Tabela]]&amp;Table1[[#This Row],[Campo]]</f>
        <v>modesg_out_empr_info_nfinscp2_emss</v>
      </c>
      <c r="B729" s="2" t="s">
        <v>26</v>
      </c>
      <c r="C729" s="2" t="s">
        <v>310</v>
      </c>
      <c r="D729" s="2" t="s">
        <v>326</v>
      </c>
      <c r="E729" s="2" t="s">
        <v>38</v>
      </c>
      <c r="F729" s="2" t="s">
        <v>325</v>
      </c>
      <c r="G729" s="2" t="s">
        <v>286</v>
      </c>
      <c r="H729" s="56" t="str">
        <f>Table1[[#This Row],[Tabela]]&amp;Table1[[#This Row],[Campo]]</f>
        <v>modesg_out_empr_info_nfinscp2_emss</v>
      </c>
      <c r="I729" s="2" t="s">
        <v>612</v>
      </c>
      <c r="J729" s="42">
        <f>VLOOKUP(Table1[[#This Row],[Status]],Auxiliar!$B$16:$C$24,2,0)</f>
        <v>1</v>
      </c>
      <c r="K729" s="2" t="s">
        <v>1169</v>
      </c>
      <c r="L729" s="28" t="s">
        <v>1174</v>
      </c>
      <c r="M729" s="20" t="s">
        <v>1176</v>
      </c>
      <c r="N729" s="47">
        <v>45716</v>
      </c>
      <c r="O729" s="20">
        <f>INDEX(Auxiliar!$D$5:$F$13,MATCH(Table1[[#This Row],[Tipologia_Testes]],Auxiliar!$B$5:$B$13,0),MATCH(Table1[[#This Row],[Complexidade]],Auxiliar!$D$4:$F$4,0))</f>
        <v>4</v>
      </c>
      <c r="P729" s="2"/>
      <c r="Q729" s="2"/>
      <c r="R729" s="151">
        <v>45569</v>
      </c>
      <c r="S729" s="151"/>
      <c r="T729" s="151">
        <v>45569</v>
      </c>
      <c r="U729" s="151">
        <v>45621</v>
      </c>
      <c r="V729" s="151">
        <v>45622</v>
      </c>
      <c r="W729" s="2">
        <f>VLOOKUP(Table1[[#This Row],[Status]],Auxiliar!$B$16:$D$24,3,0)*Table1[[#This Row],[Estimação (horas)]]</f>
        <v>4</v>
      </c>
      <c r="X729" s="165">
        <f>+VLOOKUP(CONCATENATE(Table1[[#This Row],[Tabela]],Table1[[#This Row],[Campo]]),'2. Status Detalhe Campos FY24'!A:J,9,FALSE)</f>
        <v>0</v>
      </c>
      <c r="Y729" s="491" t="e">
        <f>+VLOOKUP(A729,#REF!,1,FALSE)</f>
        <v>#REF!</v>
      </c>
    </row>
    <row r="730" spans="1:25" ht="17.899999999999999" hidden="1" customHeight="1">
      <c r="A730" t="str">
        <f>+Table1[[#This Row],[Tabela]]&amp;Table1[[#This Row],[Campo]]</f>
        <v>modesg_out_empr_info_nfinscp2_emss</v>
      </c>
      <c r="B730" s="2" t="s">
        <v>26</v>
      </c>
      <c r="C730" s="2" t="s">
        <v>310</v>
      </c>
      <c r="D730" s="2" t="s">
        <v>326</v>
      </c>
      <c r="E730" s="2" t="s">
        <v>38</v>
      </c>
      <c r="F730" s="2" t="s">
        <v>325</v>
      </c>
      <c r="G730" s="2" t="s">
        <v>286</v>
      </c>
      <c r="H730" s="56" t="str">
        <f>Table1[[#This Row],[Tabela]]&amp;Table1[[#This Row],[Campo]]</f>
        <v>modesg_out_empr_info_nfinscp2_emss</v>
      </c>
      <c r="I730" s="2" t="s">
        <v>612</v>
      </c>
      <c r="J730" s="42">
        <f>VLOOKUP(Table1[[#This Row],[Status]],Auxiliar!$B$16:$C$24,2,0)</f>
        <v>1</v>
      </c>
      <c r="K730" s="2" t="s">
        <v>1171</v>
      </c>
      <c r="L730" s="28" t="s">
        <v>1174</v>
      </c>
      <c r="M730" s="20" t="s">
        <v>1176</v>
      </c>
      <c r="N730" s="47">
        <v>45716</v>
      </c>
      <c r="O730" s="20">
        <f>INDEX(Auxiliar!$D$5:$F$13,MATCH(Table1[[#This Row],[Tipologia_Testes]],Auxiliar!$B$5:$B$13,0),MATCH(Table1[[#This Row],[Complexidade]],Auxiliar!$D$4:$F$4,0))</f>
        <v>0.1</v>
      </c>
      <c r="P730" s="2"/>
      <c r="Q730" s="2"/>
      <c r="R730" s="151">
        <v>45569</v>
      </c>
      <c r="S730" s="151"/>
      <c r="T730" s="151">
        <v>45569</v>
      </c>
      <c r="U730" s="151">
        <v>45621</v>
      </c>
      <c r="V730" s="151">
        <v>45622</v>
      </c>
      <c r="W730" s="2">
        <f>VLOOKUP(Table1[[#This Row],[Status]],Auxiliar!$B$16:$D$24,3,0)*Table1[[#This Row],[Estimação (horas)]]</f>
        <v>0.1</v>
      </c>
      <c r="X730" s="165">
        <f>+VLOOKUP(CONCATENATE(Table1[[#This Row],[Tabela]],Table1[[#This Row],[Campo]]),'2. Status Detalhe Campos FY24'!A:J,9,FALSE)</f>
        <v>0</v>
      </c>
      <c r="Y730" s="491" t="e">
        <f>+VLOOKUP(A730,#REF!,1,FALSE)</f>
        <v>#REF!</v>
      </c>
    </row>
    <row r="731" spans="1:25" ht="17.899999999999999" hidden="1" customHeight="1">
      <c r="A731" t="str">
        <f>+Table1[[#This Row],[Tabela]]&amp;Table1[[#This Row],[Campo]]</f>
        <v>modesg_out_empr_info_nfinscp3_emss</v>
      </c>
      <c r="B731" s="2" t="s">
        <v>26</v>
      </c>
      <c r="C731" s="2" t="s">
        <v>310</v>
      </c>
      <c r="D731" s="2" t="s">
        <v>326</v>
      </c>
      <c r="E731" s="2" t="s">
        <v>38</v>
      </c>
      <c r="F731" s="2" t="s">
        <v>325</v>
      </c>
      <c r="G731" s="2" t="s">
        <v>287</v>
      </c>
      <c r="H731" s="56" t="str">
        <f>Table1[[#This Row],[Tabela]]&amp;Table1[[#This Row],[Campo]]</f>
        <v>modesg_out_empr_info_nfinscp3_emss</v>
      </c>
      <c r="I731" s="2" t="s">
        <v>612</v>
      </c>
      <c r="J731" s="42">
        <f>VLOOKUP(Table1[[#This Row],[Status]],Auxiliar!$B$16:$C$24,2,0)</f>
        <v>1</v>
      </c>
      <c r="K731" s="2" t="s">
        <v>1168</v>
      </c>
      <c r="L731" s="28" t="s">
        <v>1174</v>
      </c>
      <c r="M731" s="20" t="s">
        <v>1176</v>
      </c>
      <c r="N731" s="47">
        <v>45716</v>
      </c>
      <c r="O731" s="20">
        <f>INDEX(Auxiliar!$D$5:$F$13,MATCH(Table1[[#This Row],[Tipologia_Testes]],Auxiliar!$B$5:$B$13,0),MATCH(Table1[[#This Row],[Complexidade]],Auxiliar!$D$4:$F$4,0))</f>
        <v>4</v>
      </c>
      <c r="P731" s="2"/>
      <c r="Q731" s="2"/>
      <c r="R731" s="151">
        <v>45569</v>
      </c>
      <c r="S731" s="151"/>
      <c r="T731" s="151">
        <v>45569</v>
      </c>
      <c r="U731" s="151">
        <v>45621</v>
      </c>
      <c r="V731" s="151">
        <v>45622</v>
      </c>
      <c r="W731" s="2">
        <f>VLOOKUP(Table1[[#This Row],[Status]],Auxiliar!$B$16:$D$24,3,0)*Table1[[#This Row],[Estimação (horas)]]</f>
        <v>4</v>
      </c>
      <c r="X731" s="165">
        <f>+VLOOKUP(CONCATENATE(Table1[[#This Row],[Tabela]],Table1[[#This Row],[Campo]]),'2. Status Detalhe Campos FY24'!A:J,9,FALSE)</f>
        <v>0</v>
      </c>
      <c r="Y731" s="491" t="e">
        <f>+VLOOKUP(A731,#REF!,1,FALSE)</f>
        <v>#REF!</v>
      </c>
    </row>
    <row r="732" spans="1:25" ht="17.899999999999999" hidden="1" customHeight="1">
      <c r="A732" t="str">
        <f>+Table1[[#This Row],[Tabela]]&amp;Table1[[#This Row],[Campo]]</f>
        <v>modesg_out_empr_info_nfinscp3_emss</v>
      </c>
      <c r="B732" s="2" t="s">
        <v>26</v>
      </c>
      <c r="C732" s="2" t="s">
        <v>310</v>
      </c>
      <c r="D732" s="2" t="s">
        <v>326</v>
      </c>
      <c r="E732" s="2" t="s">
        <v>38</v>
      </c>
      <c r="F732" s="2" t="s">
        <v>325</v>
      </c>
      <c r="G732" s="2" t="s">
        <v>287</v>
      </c>
      <c r="H732" s="56" t="str">
        <f>Table1[[#This Row],[Tabela]]&amp;Table1[[#This Row],[Campo]]</f>
        <v>modesg_out_empr_info_nfinscp3_emss</v>
      </c>
      <c r="I732" s="2" t="s">
        <v>612</v>
      </c>
      <c r="J732" s="42">
        <f>VLOOKUP(Table1[[#This Row],[Status]],Auxiliar!$B$16:$C$24,2,0)</f>
        <v>1</v>
      </c>
      <c r="K732" s="2" t="s">
        <v>1169</v>
      </c>
      <c r="L732" s="28" t="s">
        <v>1174</v>
      </c>
      <c r="M732" s="20" t="s">
        <v>1176</v>
      </c>
      <c r="N732" s="47">
        <v>45716</v>
      </c>
      <c r="O732" s="20">
        <f>INDEX(Auxiliar!$D$5:$F$13,MATCH(Table1[[#This Row],[Tipologia_Testes]],Auxiliar!$B$5:$B$13,0),MATCH(Table1[[#This Row],[Complexidade]],Auxiliar!$D$4:$F$4,0))</f>
        <v>4</v>
      </c>
      <c r="P732" s="2"/>
      <c r="Q732" s="2"/>
      <c r="R732" s="151">
        <v>45569</v>
      </c>
      <c r="S732" s="151"/>
      <c r="T732" s="151">
        <v>45569</v>
      </c>
      <c r="U732" s="151">
        <v>45621</v>
      </c>
      <c r="V732" s="151">
        <v>45622</v>
      </c>
      <c r="W732" s="2">
        <f>VLOOKUP(Table1[[#This Row],[Status]],Auxiliar!$B$16:$D$24,3,0)*Table1[[#This Row],[Estimação (horas)]]</f>
        <v>4</v>
      </c>
      <c r="X732" s="165">
        <f>+VLOOKUP(CONCATENATE(Table1[[#This Row],[Tabela]],Table1[[#This Row],[Campo]]),'2. Status Detalhe Campos FY24'!A:J,9,FALSE)</f>
        <v>0</v>
      </c>
      <c r="Y732" s="491" t="e">
        <f>+VLOOKUP(A732,#REF!,1,FALSE)</f>
        <v>#REF!</v>
      </c>
    </row>
    <row r="733" spans="1:25" ht="17.899999999999999" hidden="1" customHeight="1">
      <c r="A733" t="str">
        <f>+Table1[[#This Row],[Tabela]]&amp;Table1[[#This Row],[Campo]]</f>
        <v>modesg_out_empr_info_nfinscp3_emss</v>
      </c>
      <c r="B733" s="2" t="s">
        <v>26</v>
      </c>
      <c r="C733" s="2" t="s">
        <v>310</v>
      </c>
      <c r="D733" s="2" t="s">
        <v>326</v>
      </c>
      <c r="E733" s="2" t="s">
        <v>38</v>
      </c>
      <c r="F733" s="2" t="s">
        <v>325</v>
      </c>
      <c r="G733" s="2" t="s">
        <v>287</v>
      </c>
      <c r="H733" s="56" t="str">
        <f>Table1[[#This Row],[Tabela]]&amp;Table1[[#This Row],[Campo]]</f>
        <v>modesg_out_empr_info_nfinscp3_emss</v>
      </c>
      <c r="I733" s="2" t="s">
        <v>612</v>
      </c>
      <c r="J733" s="42">
        <f>VLOOKUP(Table1[[#This Row],[Status]],Auxiliar!$B$16:$C$24,2,0)</f>
        <v>1</v>
      </c>
      <c r="K733" s="2" t="s">
        <v>1171</v>
      </c>
      <c r="L733" s="28" t="s">
        <v>1174</v>
      </c>
      <c r="M733" s="20" t="s">
        <v>1176</v>
      </c>
      <c r="N733" s="47">
        <v>45716</v>
      </c>
      <c r="O733" s="20">
        <f>INDEX(Auxiliar!$D$5:$F$13,MATCH(Table1[[#This Row],[Tipologia_Testes]],Auxiliar!$B$5:$B$13,0),MATCH(Table1[[#This Row],[Complexidade]],Auxiliar!$D$4:$F$4,0))</f>
        <v>0.1</v>
      </c>
      <c r="P733" s="2"/>
      <c r="Q733" s="2"/>
      <c r="R733" s="151">
        <v>45569</v>
      </c>
      <c r="S733" s="151"/>
      <c r="T733" s="151">
        <v>45569</v>
      </c>
      <c r="U733" s="151">
        <v>45621</v>
      </c>
      <c r="V733" s="151">
        <v>45622</v>
      </c>
      <c r="W733" s="2">
        <f>VLOOKUP(Table1[[#This Row],[Status]],Auxiliar!$B$16:$D$24,3,0)*Table1[[#This Row],[Estimação (horas)]]</f>
        <v>0.1</v>
      </c>
      <c r="X733" s="165">
        <f>+VLOOKUP(CONCATENATE(Table1[[#This Row],[Tabela]],Table1[[#This Row],[Campo]]),'2. Status Detalhe Campos FY24'!A:J,9,FALSE)</f>
        <v>0</v>
      </c>
      <c r="Y733" s="491" t="e">
        <f>+VLOOKUP(A733,#REF!,1,FALSE)</f>
        <v>#REF!</v>
      </c>
    </row>
    <row r="734" spans="1:25" ht="17.899999999999999" hidden="1" customHeight="1">
      <c r="A734" t="str">
        <f>+Table1[[#This Row],[Tabela]]&amp;Table1[[#This Row],[Campo]]</f>
        <v>modesg_out_empr_info_nfindivida_total</v>
      </c>
      <c r="B734" s="2" t="s">
        <v>26</v>
      </c>
      <c r="C734" s="2" t="s">
        <v>310</v>
      </c>
      <c r="D734" s="2" t="s">
        <v>326</v>
      </c>
      <c r="E734" s="2" t="s">
        <v>38</v>
      </c>
      <c r="F734" s="2" t="s">
        <v>325</v>
      </c>
      <c r="G734" s="2" t="s">
        <v>295</v>
      </c>
      <c r="H734" s="56" t="str">
        <f>Table1[[#This Row],[Tabela]]&amp;Table1[[#This Row],[Campo]]</f>
        <v>modesg_out_empr_info_nfindivida_total</v>
      </c>
      <c r="I734" s="2" t="s">
        <v>612</v>
      </c>
      <c r="J734" s="42">
        <f>VLOOKUP(Table1[[#This Row],[Status]],Auxiliar!$B$16:$C$24,2,0)</f>
        <v>1</v>
      </c>
      <c r="K734" s="2" t="s">
        <v>1168</v>
      </c>
      <c r="L734" s="28" t="s">
        <v>1174</v>
      </c>
      <c r="M734" s="20" t="s">
        <v>1176</v>
      </c>
      <c r="N734" s="47">
        <v>45716</v>
      </c>
      <c r="O734" s="20">
        <f>INDEX(Auxiliar!$D$5:$F$11,MATCH(Table1[[#This Row],[Tipologia_Testes]],Auxiliar!$B$5:$B$11,0),MATCH(Table1[[#This Row],[Complexidade]],Auxiliar!$D$4:$F$4,0))</f>
        <v>4</v>
      </c>
      <c r="P734" s="2"/>
      <c r="Q734" s="2"/>
      <c r="R734" s="151"/>
      <c r="S734" s="151"/>
      <c r="T734" s="151"/>
      <c r="U734" s="151"/>
      <c r="V734" s="151"/>
      <c r="W734" s="2">
        <f>VLOOKUP(Table1[[#This Row],[Status]],Auxiliar!$B$16:$D$24,3,0)*Table1[[#This Row],[Estimação (horas)]]</f>
        <v>4</v>
      </c>
      <c r="X734" s="165">
        <f>+VLOOKUP(CONCATENATE(Table1[[#This Row],[Tabela]],Table1[[#This Row],[Campo]]),'2. Status Detalhe Campos FY24'!A:J,9,FALSE)</f>
        <v>0</v>
      </c>
      <c r="Y734" s="491" t="e">
        <f>+VLOOKUP(A734,#REF!,1,FALSE)</f>
        <v>#REF!</v>
      </c>
    </row>
    <row r="735" spans="1:25" ht="17.899999999999999" hidden="1" customHeight="1">
      <c r="A735" t="str">
        <f>+Table1[[#This Row],[Tabela]]&amp;Table1[[#This Row],[Campo]]</f>
        <v>modesg_out_empr_info_nfincapital_proprio</v>
      </c>
      <c r="B735" s="2" t="s">
        <v>26</v>
      </c>
      <c r="C735" s="2" t="s">
        <v>310</v>
      </c>
      <c r="D735" s="2" t="s">
        <v>326</v>
      </c>
      <c r="E735" s="2" t="s">
        <v>38</v>
      </c>
      <c r="F735" s="2" t="s">
        <v>325</v>
      </c>
      <c r="G735" s="2" t="s">
        <v>296</v>
      </c>
      <c r="H735" s="56" t="str">
        <f>Table1[[#This Row],[Tabela]]&amp;Table1[[#This Row],[Campo]]</f>
        <v>modesg_out_empr_info_nfincapital_proprio</v>
      </c>
      <c r="I735" s="2" t="s">
        <v>612</v>
      </c>
      <c r="J735" s="42">
        <f>VLOOKUP(Table1[[#This Row],[Status]],Auxiliar!$B$16:$C$24,2,0)</f>
        <v>1</v>
      </c>
      <c r="K735" s="2" t="s">
        <v>1168</v>
      </c>
      <c r="L735" s="28" t="s">
        <v>1174</v>
      </c>
      <c r="M735" s="20" t="s">
        <v>1176</v>
      </c>
      <c r="N735" s="47">
        <v>45716</v>
      </c>
      <c r="O735" s="20">
        <f>INDEX(Auxiliar!$D$5:$F$11,MATCH(Table1[[#This Row],[Tipologia_Testes]],Auxiliar!$B$5:$B$11,0),MATCH(Table1[[#This Row],[Complexidade]],Auxiliar!$D$4:$F$4,0))</f>
        <v>4</v>
      </c>
      <c r="P735" s="2"/>
      <c r="Q735" s="2"/>
      <c r="R735" s="151"/>
      <c r="S735" s="151"/>
      <c r="T735" s="151"/>
      <c r="U735" s="151"/>
      <c r="V735" s="151"/>
      <c r="W735" s="2">
        <f>VLOOKUP(Table1[[#This Row],[Status]],Auxiliar!$B$16:$D$24,3,0)*Table1[[#This Row],[Estimação (horas)]]</f>
        <v>4</v>
      </c>
      <c r="X735" s="165">
        <f>+VLOOKUP(CONCATENATE(Table1[[#This Row],[Tabela]],Table1[[#This Row],[Campo]]),'2. Status Detalhe Campos FY24'!A:J,9,FALSE)</f>
        <v>0</v>
      </c>
      <c r="Y735" s="491" t="e">
        <f>+VLOOKUP(A735,#REF!,1,FALSE)</f>
        <v>#REF!</v>
      </c>
    </row>
    <row r="736" spans="1:25" ht="17.899999999999999" hidden="1" customHeight="1">
      <c r="A736" t="str">
        <f>+Table1[[#This Row],[Tabela]]&amp;Table1[[#This Row],[Campo]]</f>
        <v>modesg_out_empr_info_nfinzcliente</v>
      </c>
      <c r="B736" s="2" t="s">
        <v>26</v>
      </c>
      <c r="C736" s="2" t="s">
        <v>310</v>
      </c>
      <c r="D736" s="2" t="s">
        <v>326</v>
      </c>
      <c r="E736" s="2" t="s">
        <v>38</v>
      </c>
      <c r="F736" s="2" t="s">
        <v>325</v>
      </c>
      <c r="G736" s="2" t="s">
        <v>209</v>
      </c>
      <c r="H736" s="56" t="str">
        <f>Table1[[#This Row],[Tabela]]&amp;Table1[[#This Row],[Campo]]</f>
        <v>modesg_out_empr_info_nfinzcliente</v>
      </c>
      <c r="I736" s="2" t="s">
        <v>612</v>
      </c>
      <c r="J736" s="54">
        <f>VLOOKUP(Table1[[#This Row],[Status]],Auxiliar!$B$16:$C$24,2,0)</f>
        <v>1</v>
      </c>
      <c r="K736" s="2" t="s">
        <v>1168</v>
      </c>
      <c r="L736" s="28" t="s">
        <v>1174</v>
      </c>
      <c r="M736" s="20" t="s">
        <v>1175</v>
      </c>
      <c r="N736" s="47">
        <v>45561</v>
      </c>
      <c r="O736" s="20">
        <f>INDEX(Auxiliar!$D$5:$F$13,MATCH(Table1[[#This Row],[Tipologia_Testes]],Auxiliar!$B$5:$B$13,0),MATCH(Table1[[#This Row],[Complexidade]],Auxiliar!$D$4:$F$4,0))</f>
        <v>2</v>
      </c>
      <c r="P736" s="2" t="s">
        <v>1201</v>
      </c>
      <c r="Q736" s="2"/>
      <c r="R736" s="151"/>
      <c r="S736" s="151"/>
      <c r="T736" s="151"/>
      <c r="U736" s="151"/>
      <c r="V736" s="151"/>
      <c r="W736" s="2">
        <f>VLOOKUP(Table1[[#This Row],[Status]],Auxiliar!$B$16:$D$24,3,0)*Table1[[#This Row],[Estimação (horas)]]</f>
        <v>2</v>
      </c>
      <c r="X736" s="165">
        <f>+VLOOKUP(CONCATENATE(Table1[[#This Row],[Tabela]],Table1[[#This Row],[Campo]]),'2. Status Detalhe Campos FY24'!A:J,9,FALSE)</f>
        <v>0</v>
      </c>
      <c r="Y736" s="491" t="e">
        <f>+VLOOKUP(A736,#REF!,1,FALSE)</f>
        <v>#REF!</v>
      </c>
    </row>
    <row r="737" spans="1:25" ht="17.899999999999999" hidden="1" customHeight="1">
      <c r="A737" t="str">
        <f>+Table1[[#This Row],[Tabela]]&amp;Table1[[#This Row],[Campo]]</f>
        <v>modesg_out_empr_info_nfinzcliente</v>
      </c>
      <c r="B737" s="2" t="s">
        <v>26</v>
      </c>
      <c r="C737" s="2" t="s">
        <v>310</v>
      </c>
      <c r="D737" s="2" t="s">
        <v>326</v>
      </c>
      <c r="E737" s="2" t="s">
        <v>38</v>
      </c>
      <c r="F737" s="2" t="s">
        <v>325</v>
      </c>
      <c r="G737" s="2" t="s">
        <v>209</v>
      </c>
      <c r="H737" s="56" t="str">
        <f>Table1[[#This Row],[Tabela]]&amp;Table1[[#This Row],[Campo]]</f>
        <v>modesg_out_empr_info_nfinzcliente</v>
      </c>
      <c r="I737" s="2" t="s">
        <v>612</v>
      </c>
      <c r="J737" s="54">
        <f>VLOOKUP(Table1[[#This Row],[Status]],Auxiliar!$B$16:$C$24,2,0)</f>
        <v>1</v>
      </c>
      <c r="K737" s="2" t="s">
        <v>1169</v>
      </c>
      <c r="L737" s="28" t="s">
        <v>1174</v>
      </c>
      <c r="M737" s="20" t="s">
        <v>1175</v>
      </c>
      <c r="N737" s="47">
        <v>45561</v>
      </c>
      <c r="O737" s="20">
        <f>INDEX(Auxiliar!$D$5:$F$13,MATCH(Table1[[#This Row],[Tipologia_Testes]],Auxiliar!$B$5:$B$13,0),MATCH(Table1[[#This Row],[Complexidade]],Auxiliar!$D$4:$F$4,0))</f>
        <v>2</v>
      </c>
      <c r="P737" s="2" t="s">
        <v>1201</v>
      </c>
      <c r="Q737" s="2"/>
      <c r="R737" s="151"/>
      <c r="S737" s="151"/>
      <c r="T737" s="151"/>
      <c r="U737" s="151"/>
      <c r="V737" s="151"/>
      <c r="W737" s="2">
        <f>VLOOKUP(Table1[[#This Row],[Status]],Auxiliar!$B$16:$D$24,3,0)*Table1[[#This Row],[Estimação (horas)]]</f>
        <v>2</v>
      </c>
      <c r="X737" s="165">
        <f>+VLOOKUP(CONCATENATE(Table1[[#This Row],[Tabela]],Table1[[#This Row],[Campo]]),'2. Status Detalhe Campos FY24'!A:J,9,FALSE)</f>
        <v>0</v>
      </c>
      <c r="Y737" s="491" t="e">
        <f>+VLOOKUP(A737,#REF!,1,FALSE)</f>
        <v>#REF!</v>
      </c>
    </row>
    <row r="738" spans="1:25" ht="23.9" hidden="1" customHeight="1">
      <c r="A738" t="str">
        <f>+Table1[[#This Row],[Tabela]]&amp;Table1[[#This Row],[Campo]]</f>
        <v>modesg_out_empr_info_nfinzcliente</v>
      </c>
      <c r="B738" s="2" t="s">
        <v>26</v>
      </c>
      <c r="C738" s="2" t="s">
        <v>310</v>
      </c>
      <c r="D738" s="2" t="s">
        <v>326</v>
      </c>
      <c r="E738" s="2" t="s">
        <v>38</v>
      </c>
      <c r="F738" s="2" t="s">
        <v>325</v>
      </c>
      <c r="G738" s="2" t="s">
        <v>209</v>
      </c>
      <c r="H738" s="56" t="str">
        <f>Table1[[#This Row],[Tabela]]&amp;Table1[[#This Row],[Campo]]</f>
        <v>modesg_out_empr_info_nfinzcliente</v>
      </c>
      <c r="I738" s="2" t="s">
        <v>612</v>
      </c>
      <c r="J738" s="54">
        <f>VLOOKUP(Table1[[#This Row],[Status]],Auxiliar!$B$16:$C$24,2,0)</f>
        <v>1</v>
      </c>
      <c r="K738" s="2" t="s">
        <v>1171</v>
      </c>
      <c r="L738" s="28" t="s">
        <v>1174</v>
      </c>
      <c r="M738" s="20" t="s">
        <v>1175</v>
      </c>
      <c r="N738" s="47">
        <v>45561</v>
      </c>
      <c r="O738" s="20">
        <f>INDEX(Auxiliar!$D$5:$F$13,MATCH(Table1[[#This Row],[Tipologia_Testes]],Auxiliar!$B$5:$B$13,0),MATCH(Table1[[#This Row],[Complexidade]],Auxiliar!$D$4:$F$4,0))</f>
        <v>0.1</v>
      </c>
      <c r="P738" s="2" t="s">
        <v>1201</v>
      </c>
      <c r="Q738" s="2"/>
      <c r="R738" s="151"/>
      <c r="S738" s="151"/>
      <c r="T738" s="151"/>
      <c r="U738" s="151"/>
      <c r="V738" s="151"/>
      <c r="W738" s="2">
        <f>VLOOKUP(Table1[[#This Row],[Status]],Auxiliar!$B$16:$D$24,3,0)*Table1[[#This Row],[Estimação (horas)]]</f>
        <v>0.1</v>
      </c>
      <c r="X738" s="165">
        <f>+VLOOKUP(CONCATENATE(Table1[[#This Row],[Tabela]],Table1[[#This Row],[Campo]]),'2. Status Detalhe Campos FY24'!A:J,9,FALSE)</f>
        <v>0</v>
      </c>
      <c r="Y738" s="491" t="e">
        <f>+VLOOKUP(A738,#REF!,1,FALSE)</f>
        <v>#REF!</v>
      </c>
    </row>
    <row r="739" spans="1:25" ht="17.899999999999999" hidden="1" customHeight="1">
      <c r="A739" t="str">
        <f>+Table1[[#This Row],[Tabela]]&amp;Table1[[#This Row],[Campo]]</f>
        <v>modesg_out_emss_vclsn.a.</v>
      </c>
      <c r="B739" s="2" t="s">
        <v>26</v>
      </c>
      <c r="C739" s="2" t="s">
        <v>310</v>
      </c>
      <c r="D739" s="2" t="s">
        <v>332</v>
      </c>
      <c r="E739" s="2" t="s">
        <v>38</v>
      </c>
      <c r="F739" s="2" t="s">
        <v>331</v>
      </c>
      <c r="G739" s="2" t="s">
        <v>38</v>
      </c>
      <c r="H739" s="56" t="str">
        <f>Table1[[#This Row],[Tabela]]&amp;Table1[[#This Row],[Campo]]</f>
        <v>modesg_out_emss_vclsn.a.</v>
      </c>
      <c r="I739" s="3" t="s">
        <v>612</v>
      </c>
      <c r="J739" s="42">
        <f>VLOOKUP(Table1[[#This Row],[Status]],Auxiliar!$B$16:$C$24,2,0)</f>
        <v>1</v>
      </c>
      <c r="K739" s="2" t="s">
        <v>1165</v>
      </c>
      <c r="L739" s="28" t="s">
        <v>1174</v>
      </c>
      <c r="M739" s="20" t="s">
        <v>1175</v>
      </c>
      <c r="N739" s="47">
        <v>45632</v>
      </c>
      <c r="O739" s="20">
        <f>INDEX(Auxiliar!$D$5:$F$13,MATCH(Table1[[#This Row],[Tipologia_Testes]],Auxiliar!$B$5:$B$13,0),MATCH(Table1[[#This Row],[Complexidade]],Auxiliar!$D$4:$F$4,0))</f>
        <v>8</v>
      </c>
      <c r="P739" s="22" t="s">
        <v>1202</v>
      </c>
      <c r="Q739" s="2"/>
      <c r="R739" s="151">
        <v>45560</v>
      </c>
      <c r="S739" s="151"/>
      <c r="T739" s="151">
        <v>45560</v>
      </c>
      <c r="U739" s="151">
        <v>45607</v>
      </c>
      <c r="V739" s="151">
        <v>45608</v>
      </c>
      <c r="W739" s="2">
        <f>VLOOKUP(Table1[[#This Row],[Status]],Auxiliar!$B$16:$D$24,3,0)*Table1[[#This Row],[Estimação (horas)]]</f>
        <v>8</v>
      </c>
      <c r="X739" s="165">
        <f>+VLOOKUP(CONCATENATE(Table1[[#This Row],[Tabela]],Table1[[#This Row],[Campo]]),'2. Status Detalhe Campos FY24'!A:J,9,FALSE)</f>
        <v>0</v>
      </c>
      <c r="Y739" s="491" t="e">
        <f>+VLOOKUP(A739,#REF!,1,FALSE)</f>
        <v>#REF!</v>
      </c>
    </row>
    <row r="740" spans="1:25" ht="17.899999999999999" hidden="1" customHeight="1">
      <c r="A740" t="str">
        <f>+Table1[[#This Row],[Tabela]]&amp;Table1[[#This Row],[Campo]]</f>
        <v>modesg_out_emss_vclscempbem</v>
      </c>
      <c r="B740" s="2" t="s">
        <v>26</v>
      </c>
      <c r="C740" s="2" t="s">
        <v>310</v>
      </c>
      <c r="D740" s="2" t="s">
        <v>332</v>
      </c>
      <c r="E740" s="2" t="s">
        <v>38</v>
      </c>
      <c r="F740" s="2" t="s">
        <v>331</v>
      </c>
      <c r="G740" s="2" t="s">
        <v>313</v>
      </c>
      <c r="H740" s="56" t="str">
        <f>Table1[[#This Row],[Tabela]]&amp;Table1[[#This Row],[Campo]]</f>
        <v>modesg_out_emss_vclscempbem</v>
      </c>
      <c r="I740" s="3" t="s">
        <v>612</v>
      </c>
      <c r="J740" s="54">
        <f>VLOOKUP(Table1[[#This Row],[Status]],Auxiliar!$B$16:$C$24,2,0)</f>
        <v>1</v>
      </c>
      <c r="K740" s="2" t="s">
        <v>1168</v>
      </c>
      <c r="L740" s="28" t="s">
        <v>1174</v>
      </c>
      <c r="M740" s="20" t="s">
        <v>1175</v>
      </c>
      <c r="N740" s="47">
        <v>45485</v>
      </c>
      <c r="O740" s="20">
        <f>INDEX(Auxiliar!$D$5:$F$13,MATCH(Table1[[#This Row],[Tipologia_Testes]],Auxiliar!$B$5:$B$13,0),MATCH(Table1[[#This Row],[Complexidade]],Auxiliar!$D$4:$F$4,0))</f>
        <v>2</v>
      </c>
      <c r="P740" s="2"/>
      <c r="Q740" s="2"/>
      <c r="R740" s="151">
        <v>45261</v>
      </c>
      <c r="S740" s="151"/>
      <c r="T740" s="151"/>
      <c r="U740" s="151"/>
      <c r="V740" s="151"/>
      <c r="W740" s="2">
        <f>VLOOKUP(Table1[[#This Row],[Status]],Auxiliar!$B$16:$D$24,3,0)*Table1[[#This Row],[Estimação (horas)]]</f>
        <v>2</v>
      </c>
      <c r="X740" s="165">
        <f>+VLOOKUP(CONCATENATE(Table1[[#This Row],[Tabela]],Table1[[#This Row],[Campo]]),'2. Status Detalhe Campos FY24'!A:J,9,FALSE)</f>
        <v>0</v>
      </c>
      <c r="Y740" s="491" t="e">
        <f>+VLOOKUP(A740,#REF!,1,FALSE)</f>
        <v>#REF!</v>
      </c>
    </row>
    <row r="741" spans="1:25" ht="17.899999999999999" hidden="1" customHeight="1">
      <c r="A741" t="str">
        <f>+Table1[[#This Row],[Tabela]]&amp;Table1[[#This Row],[Campo]]</f>
        <v>modesg_out_emss_vclscempbem</v>
      </c>
      <c r="B741" s="2" t="s">
        <v>26</v>
      </c>
      <c r="C741" s="2" t="s">
        <v>310</v>
      </c>
      <c r="D741" s="2" t="s">
        <v>332</v>
      </c>
      <c r="E741" s="2" t="s">
        <v>38</v>
      </c>
      <c r="F741" s="2" t="s">
        <v>331</v>
      </c>
      <c r="G741" s="2" t="s">
        <v>313</v>
      </c>
      <c r="H741" s="56" t="str">
        <f>Table1[[#This Row],[Tabela]]&amp;Table1[[#This Row],[Campo]]</f>
        <v>modesg_out_emss_vclscempbem</v>
      </c>
      <c r="I741" s="3" t="s">
        <v>612</v>
      </c>
      <c r="J741" s="54">
        <f>VLOOKUP(Table1[[#This Row],[Status]],Auxiliar!$B$16:$C$24,2,0)</f>
        <v>1</v>
      </c>
      <c r="K741" s="2" t="s">
        <v>1169</v>
      </c>
      <c r="L741" s="28" t="s">
        <v>1174</v>
      </c>
      <c r="M741" s="20" t="s">
        <v>1175</v>
      </c>
      <c r="N741" s="47">
        <v>45485</v>
      </c>
      <c r="O741" s="20">
        <f>INDEX(Auxiliar!$D$5:$F$13,MATCH(Table1[[#This Row],[Tipologia_Testes]],Auxiliar!$B$5:$B$13,0),MATCH(Table1[[#This Row],[Complexidade]],Auxiliar!$D$4:$F$4,0))</f>
        <v>2</v>
      </c>
      <c r="P741" s="2"/>
      <c r="Q741" s="2"/>
      <c r="R741" s="151">
        <v>45261</v>
      </c>
      <c r="S741" s="151"/>
      <c r="T741" s="151"/>
      <c r="U741" s="151"/>
      <c r="V741" s="151"/>
      <c r="W741" s="2">
        <f>VLOOKUP(Table1[[#This Row],[Status]],Auxiliar!$B$16:$D$24,3,0)*Table1[[#This Row],[Estimação (horas)]]</f>
        <v>2</v>
      </c>
      <c r="X741" s="165">
        <f>+VLOOKUP(CONCATENATE(Table1[[#This Row],[Tabela]],Table1[[#This Row],[Campo]]),'2. Status Detalhe Campos FY24'!A:J,9,FALSE)</f>
        <v>0</v>
      </c>
      <c r="Y741" s="491" t="e">
        <f>+VLOOKUP(A741,#REF!,1,FALSE)</f>
        <v>#REF!</v>
      </c>
    </row>
    <row r="742" spans="1:25" ht="17.899999999999999" hidden="1" customHeight="1">
      <c r="A742" t="str">
        <f>+Table1[[#This Row],[Tabela]]&amp;Table1[[#This Row],[Campo]]</f>
        <v>modesg_out_emss_vclscempbem</v>
      </c>
      <c r="B742" s="2" t="s">
        <v>26</v>
      </c>
      <c r="C742" s="2" t="s">
        <v>310</v>
      </c>
      <c r="D742" s="2" t="s">
        <v>332</v>
      </c>
      <c r="E742" s="2" t="s">
        <v>38</v>
      </c>
      <c r="F742" s="2" t="s">
        <v>331</v>
      </c>
      <c r="G742" s="2" t="s">
        <v>313</v>
      </c>
      <c r="H742" s="56" t="str">
        <f>Table1[[#This Row],[Tabela]]&amp;Table1[[#This Row],[Campo]]</f>
        <v>modesg_out_emss_vclscempbem</v>
      </c>
      <c r="I742" s="3" t="s">
        <v>612</v>
      </c>
      <c r="J742" s="54">
        <f>VLOOKUP(Table1[[#This Row],[Status]],Auxiliar!$B$16:$C$24,2,0)</f>
        <v>1</v>
      </c>
      <c r="K742" s="2" t="s">
        <v>1171</v>
      </c>
      <c r="L742" s="28" t="s">
        <v>1174</v>
      </c>
      <c r="M742" s="20" t="s">
        <v>1175</v>
      </c>
      <c r="N742" s="47">
        <v>45485</v>
      </c>
      <c r="O742" s="20">
        <f>INDEX(Auxiliar!$D$5:$F$13,MATCH(Table1[[#This Row],[Tipologia_Testes]],Auxiliar!$B$5:$B$13,0),MATCH(Table1[[#This Row],[Complexidade]],Auxiliar!$D$4:$F$4,0))</f>
        <v>0.1</v>
      </c>
      <c r="P742" s="2"/>
      <c r="Q742" s="2"/>
      <c r="R742" s="151">
        <v>45261</v>
      </c>
      <c r="S742" s="151"/>
      <c r="T742" s="151"/>
      <c r="U742" s="151"/>
      <c r="V742" s="151"/>
      <c r="W742" s="2">
        <f>VLOOKUP(Table1[[#This Row],[Status]],Auxiliar!$B$16:$D$24,3,0)*Table1[[#This Row],[Estimação (horas)]]</f>
        <v>0.1</v>
      </c>
      <c r="X742" s="165">
        <f>+VLOOKUP(CONCATENATE(Table1[[#This Row],[Tabela]],Table1[[#This Row],[Campo]]),'2. Status Detalhe Campos FY24'!A:J,9,FALSE)</f>
        <v>0</v>
      </c>
      <c r="Y742" s="491" t="e">
        <f>+VLOOKUP(A742,#REF!,1,FALSE)</f>
        <v>#REF!</v>
      </c>
    </row>
    <row r="743" spans="1:25" ht="17.899999999999999" hidden="1" customHeight="1">
      <c r="A743" t="str">
        <f>+Table1[[#This Row],[Tabela]]&amp;Table1[[#This Row],[Campo]]</f>
        <v>modesg_out_emss_vclsckbalbem</v>
      </c>
      <c r="B743" s="2" t="s">
        <v>26</v>
      </c>
      <c r="C743" s="2" t="s">
        <v>310</v>
      </c>
      <c r="D743" s="2" t="s">
        <v>332</v>
      </c>
      <c r="E743" s="2" t="s">
        <v>38</v>
      </c>
      <c r="F743" s="2" t="s">
        <v>331</v>
      </c>
      <c r="G743" s="2" t="s">
        <v>314</v>
      </c>
      <c r="H743" s="56" t="str">
        <f>Table1[[#This Row],[Tabela]]&amp;Table1[[#This Row],[Campo]]</f>
        <v>modesg_out_emss_vclsckbalbem</v>
      </c>
      <c r="I743" s="3" t="s">
        <v>612</v>
      </c>
      <c r="J743" s="54">
        <f>VLOOKUP(Table1[[#This Row],[Status]],Auxiliar!$B$16:$C$24,2,0)</f>
        <v>1</v>
      </c>
      <c r="K743" s="2" t="s">
        <v>1168</v>
      </c>
      <c r="L743" s="28" t="s">
        <v>1174</v>
      </c>
      <c r="M743" s="20" t="s">
        <v>1175</v>
      </c>
      <c r="N743" s="47">
        <v>45485</v>
      </c>
      <c r="O743" s="20">
        <f>INDEX(Auxiliar!$D$5:$F$13,MATCH(Table1[[#This Row],[Tipologia_Testes]],Auxiliar!$B$5:$B$13,0),MATCH(Table1[[#This Row],[Complexidade]],Auxiliar!$D$4:$F$4,0))</f>
        <v>2</v>
      </c>
      <c r="P743" s="2"/>
      <c r="Q743" s="2"/>
      <c r="R743" s="151">
        <v>45261</v>
      </c>
      <c r="S743" s="151"/>
      <c r="T743" s="151"/>
      <c r="U743" s="151"/>
      <c r="V743" s="151"/>
      <c r="W743" s="2">
        <f>VLOOKUP(Table1[[#This Row],[Status]],Auxiliar!$B$16:$D$24,3,0)*Table1[[#This Row],[Estimação (horas)]]</f>
        <v>2</v>
      </c>
      <c r="X743" s="165">
        <f>+VLOOKUP(CONCATENATE(Table1[[#This Row],[Tabela]],Table1[[#This Row],[Campo]]),'2. Status Detalhe Campos FY24'!A:J,9,FALSE)</f>
        <v>0</v>
      </c>
      <c r="Y743" s="491" t="e">
        <f>+VLOOKUP(A743,#REF!,1,FALSE)</f>
        <v>#REF!</v>
      </c>
    </row>
    <row r="744" spans="1:25" ht="17.899999999999999" hidden="1" customHeight="1">
      <c r="A744" t="str">
        <f>+Table1[[#This Row],[Tabela]]&amp;Table1[[#This Row],[Campo]]</f>
        <v>modesg_out_emss_vclsckbalbem</v>
      </c>
      <c r="B744" s="2" t="s">
        <v>26</v>
      </c>
      <c r="C744" s="2" t="s">
        <v>310</v>
      </c>
      <c r="D744" s="2" t="s">
        <v>332</v>
      </c>
      <c r="E744" s="2" t="s">
        <v>38</v>
      </c>
      <c r="F744" s="2" t="s">
        <v>331</v>
      </c>
      <c r="G744" s="2" t="s">
        <v>314</v>
      </c>
      <c r="H744" s="56" t="str">
        <f>Table1[[#This Row],[Tabela]]&amp;Table1[[#This Row],[Campo]]</f>
        <v>modesg_out_emss_vclsckbalbem</v>
      </c>
      <c r="I744" s="3" t="s">
        <v>612</v>
      </c>
      <c r="J744" s="54">
        <f>VLOOKUP(Table1[[#This Row],[Status]],Auxiliar!$B$16:$C$24,2,0)</f>
        <v>1</v>
      </c>
      <c r="K744" s="2" t="s">
        <v>1169</v>
      </c>
      <c r="L744" s="28" t="s">
        <v>1174</v>
      </c>
      <c r="M744" s="20" t="s">
        <v>1175</v>
      </c>
      <c r="N744" s="47">
        <v>45485</v>
      </c>
      <c r="O744" s="20">
        <f>INDEX(Auxiliar!$D$5:$F$13,MATCH(Table1[[#This Row],[Tipologia_Testes]],Auxiliar!$B$5:$B$13,0),MATCH(Table1[[#This Row],[Complexidade]],Auxiliar!$D$4:$F$4,0))</f>
        <v>2</v>
      </c>
      <c r="P744" s="2"/>
      <c r="Q744" s="2"/>
      <c r="R744" s="151">
        <v>45261</v>
      </c>
      <c r="S744" s="151"/>
      <c r="T744" s="151"/>
      <c r="U744" s="151"/>
      <c r="V744" s="151"/>
      <c r="W744" s="2">
        <f>VLOOKUP(Table1[[#This Row],[Status]],Auxiliar!$B$16:$D$24,3,0)*Table1[[#This Row],[Estimação (horas)]]</f>
        <v>2</v>
      </c>
      <c r="X744" s="165">
        <f>+VLOOKUP(CONCATENATE(Table1[[#This Row],[Tabela]],Table1[[#This Row],[Campo]]),'2. Status Detalhe Campos FY24'!A:J,9,FALSE)</f>
        <v>0</v>
      </c>
      <c r="Y744" s="491" t="e">
        <f>+VLOOKUP(A744,#REF!,1,FALSE)</f>
        <v>#REF!</v>
      </c>
    </row>
    <row r="745" spans="1:25" ht="17.899999999999999" hidden="1" customHeight="1">
      <c r="A745" t="str">
        <f>+Table1[[#This Row],[Tabela]]&amp;Table1[[#This Row],[Campo]]</f>
        <v>modesg_out_emss_vclsckbalbem</v>
      </c>
      <c r="B745" s="2" t="s">
        <v>26</v>
      </c>
      <c r="C745" s="2" t="s">
        <v>310</v>
      </c>
      <c r="D745" s="2" t="s">
        <v>332</v>
      </c>
      <c r="E745" s="2" t="s">
        <v>38</v>
      </c>
      <c r="F745" s="2" t="s">
        <v>331</v>
      </c>
      <c r="G745" s="2" t="s">
        <v>314</v>
      </c>
      <c r="H745" s="56" t="str">
        <f>Table1[[#This Row],[Tabela]]&amp;Table1[[#This Row],[Campo]]</f>
        <v>modesg_out_emss_vclsckbalbem</v>
      </c>
      <c r="I745" s="3" t="s">
        <v>612</v>
      </c>
      <c r="J745" s="54">
        <f>VLOOKUP(Table1[[#This Row],[Status]],Auxiliar!$B$16:$C$24,2,0)</f>
        <v>1</v>
      </c>
      <c r="K745" s="2" t="s">
        <v>1171</v>
      </c>
      <c r="L745" s="28" t="s">
        <v>1174</v>
      </c>
      <c r="M745" s="20" t="s">
        <v>1175</v>
      </c>
      <c r="N745" s="47">
        <v>45485</v>
      </c>
      <c r="O745" s="20">
        <f>INDEX(Auxiliar!$D$5:$F$13,MATCH(Table1[[#This Row],[Tipologia_Testes]],Auxiliar!$B$5:$B$13,0),MATCH(Table1[[#This Row],[Complexidade]],Auxiliar!$D$4:$F$4,0))</f>
        <v>0.1</v>
      </c>
      <c r="P745" s="2"/>
      <c r="Q745" s="2"/>
      <c r="R745" s="151">
        <v>45261</v>
      </c>
      <c r="S745" s="151"/>
      <c r="T745" s="151"/>
      <c r="U745" s="151"/>
      <c r="V745" s="151"/>
      <c r="W745" s="2">
        <f>VLOOKUP(Table1[[#This Row],[Status]],Auxiliar!$B$16:$D$24,3,0)*Table1[[#This Row],[Estimação (horas)]]</f>
        <v>0.1</v>
      </c>
      <c r="X745" s="165">
        <f>+VLOOKUP(CONCATENATE(Table1[[#This Row],[Tabela]],Table1[[#This Row],[Campo]]),'2. Status Detalhe Campos FY24'!A:J,9,FALSE)</f>
        <v>0</v>
      </c>
      <c r="Y745" s="491" t="e">
        <f>+VLOOKUP(A745,#REF!,1,FALSE)</f>
        <v>#REF!</v>
      </c>
    </row>
    <row r="746" spans="1:25" ht="17.899999999999999" hidden="1" customHeight="1">
      <c r="A746" t="str">
        <f>+Table1[[#This Row],[Tabela]]&amp;Table1[[#This Row],[Campo]]</f>
        <v>modesg_out_emss_vclsckctabem</v>
      </c>
      <c r="B746" s="2" t="s">
        <v>26</v>
      </c>
      <c r="C746" s="2" t="s">
        <v>310</v>
      </c>
      <c r="D746" s="2" t="s">
        <v>332</v>
      </c>
      <c r="E746" s="2" t="s">
        <v>38</v>
      </c>
      <c r="F746" s="2" t="s">
        <v>331</v>
      </c>
      <c r="G746" s="2" t="s">
        <v>315</v>
      </c>
      <c r="H746" s="56" t="str">
        <f>Table1[[#This Row],[Tabela]]&amp;Table1[[#This Row],[Campo]]</f>
        <v>modesg_out_emss_vclsckctabem</v>
      </c>
      <c r="I746" s="3" t="s">
        <v>612</v>
      </c>
      <c r="J746" s="54">
        <f>VLOOKUP(Table1[[#This Row],[Status]],Auxiliar!$B$16:$C$24,2,0)</f>
        <v>1</v>
      </c>
      <c r="K746" s="2" t="s">
        <v>1168</v>
      </c>
      <c r="L746" s="28" t="s">
        <v>1174</v>
      </c>
      <c r="M746" s="20" t="s">
        <v>1175</v>
      </c>
      <c r="N746" s="47">
        <v>45485</v>
      </c>
      <c r="O746" s="20">
        <f>INDEX(Auxiliar!$D$5:$F$13,MATCH(Table1[[#This Row],[Tipologia_Testes]],Auxiliar!$B$5:$B$13,0),MATCH(Table1[[#This Row],[Complexidade]],Auxiliar!$D$4:$F$4,0))</f>
        <v>2</v>
      </c>
      <c r="P746" s="2"/>
      <c r="Q746" s="2"/>
      <c r="R746" s="151">
        <v>45261</v>
      </c>
      <c r="S746" s="151"/>
      <c r="T746" s="151"/>
      <c r="U746" s="151"/>
      <c r="V746" s="151"/>
      <c r="W746" s="2">
        <f>VLOOKUP(Table1[[#This Row],[Status]],Auxiliar!$B$16:$D$24,3,0)*Table1[[#This Row],[Estimação (horas)]]</f>
        <v>2</v>
      </c>
      <c r="X746" s="165">
        <f>+VLOOKUP(CONCATENATE(Table1[[#This Row],[Tabela]],Table1[[#This Row],[Campo]]),'2. Status Detalhe Campos FY24'!A:J,9,FALSE)</f>
        <v>0</v>
      </c>
      <c r="Y746" s="491" t="e">
        <f>+VLOOKUP(A746,#REF!,1,FALSE)</f>
        <v>#REF!</v>
      </c>
    </row>
    <row r="747" spans="1:25" ht="17.899999999999999" hidden="1" customHeight="1">
      <c r="A747" t="str">
        <f>+Table1[[#This Row],[Tabela]]&amp;Table1[[#This Row],[Campo]]</f>
        <v>modesg_out_emss_vclsckctabem</v>
      </c>
      <c r="B747" s="2" t="s">
        <v>26</v>
      </c>
      <c r="C747" s="2" t="s">
        <v>310</v>
      </c>
      <c r="D747" s="2" t="s">
        <v>332</v>
      </c>
      <c r="E747" s="2" t="s">
        <v>38</v>
      </c>
      <c r="F747" s="2" t="s">
        <v>331</v>
      </c>
      <c r="G747" s="2" t="s">
        <v>315</v>
      </c>
      <c r="H747" s="56" t="str">
        <f>Table1[[#This Row],[Tabela]]&amp;Table1[[#This Row],[Campo]]</f>
        <v>modesg_out_emss_vclsckctabem</v>
      </c>
      <c r="I747" s="3" t="s">
        <v>612</v>
      </c>
      <c r="J747" s="54">
        <f>VLOOKUP(Table1[[#This Row],[Status]],Auxiliar!$B$16:$C$24,2,0)</f>
        <v>1</v>
      </c>
      <c r="K747" s="2" t="s">
        <v>1169</v>
      </c>
      <c r="L747" s="28" t="s">
        <v>1174</v>
      </c>
      <c r="M747" s="20" t="s">
        <v>1175</v>
      </c>
      <c r="N747" s="47">
        <v>45485</v>
      </c>
      <c r="O747" s="20">
        <f>INDEX(Auxiliar!$D$5:$F$13,MATCH(Table1[[#This Row],[Tipologia_Testes]],Auxiliar!$B$5:$B$13,0),MATCH(Table1[[#This Row],[Complexidade]],Auxiliar!$D$4:$F$4,0))</f>
        <v>2</v>
      </c>
      <c r="P747" s="2"/>
      <c r="Q747" s="2"/>
      <c r="R747" s="151">
        <v>45261</v>
      </c>
      <c r="S747" s="151"/>
      <c r="T747" s="151"/>
      <c r="U747" s="151"/>
      <c r="V747" s="151"/>
      <c r="W747" s="2">
        <f>VLOOKUP(Table1[[#This Row],[Status]],Auxiliar!$B$16:$D$24,3,0)*Table1[[#This Row],[Estimação (horas)]]</f>
        <v>2</v>
      </c>
      <c r="X747" s="165">
        <f>+VLOOKUP(CONCATENATE(Table1[[#This Row],[Tabela]],Table1[[#This Row],[Campo]]),'2. Status Detalhe Campos FY24'!A:J,9,FALSE)</f>
        <v>0</v>
      </c>
      <c r="Y747" s="491" t="e">
        <f>+VLOOKUP(A747,#REF!,1,FALSE)</f>
        <v>#REF!</v>
      </c>
    </row>
    <row r="748" spans="1:25" ht="17.899999999999999" hidden="1" customHeight="1">
      <c r="A748" t="str">
        <f>+Table1[[#This Row],[Tabela]]&amp;Table1[[#This Row],[Campo]]</f>
        <v>modesg_out_emss_vclsckctabem</v>
      </c>
      <c r="B748" s="2" t="s">
        <v>26</v>
      </c>
      <c r="C748" s="2" t="s">
        <v>310</v>
      </c>
      <c r="D748" s="2" t="s">
        <v>332</v>
      </c>
      <c r="E748" s="2" t="s">
        <v>38</v>
      </c>
      <c r="F748" s="2" t="s">
        <v>331</v>
      </c>
      <c r="G748" s="2" t="s">
        <v>315</v>
      </c>
      <c r="H748" s="56" t="str">
        <f>Table1[[#This Row],[Tabela]]&amp;Table1[[#This Row],[Campo]]</f>
        <v>modesg_out_emss_vclsckctabem</v>
      </c>
      <c r="I748" s="3" t="s">
        <v>612</v>
      </c>
      <c r="J748" s="54">
        <f>VLOOKUP(Table1[[#This Row],[Status]],Auxiliar!$B$16:$C$24,2,0)</f>
        <v>1</v>
      </c>
      <c r="K748" s="2" t="s">
        <v>1171</v>
      </c>
      <c r="L748" s="28" t="s">
        <v>1174</v>
      </c>
      <c r="M748" s="20" t="s">
        <v>1175</v>
      </c>
      <c r="N748" s="47">
        <v>45485</v>
      </c>
      <c r="O748" s="20">
        <f>INDEX(Auxiliar!$D$5:$F$13,MATCH(Table1[[#This Row],[Tipologia_Testes]],Auxiliar!$B$5:$B$13,0),MATCH(Table1[[#This Row],[Complexidade]],Auxiliar!$D$4:$F$4,0))</f>
        <v>0.1</v>
      </c>
      <c r="P748" s="2"/>
      <c r="Q748" s="2"/>
      <c r="R748" s="151">
        <v>45261</v>
      </c>
      <c r="S748" s="151"/>
      <c r="T748" s="151"/>
      <c r="U748" s="151"/>
      <c r="V748" s="151"/>
      <c r="W748" s="2">
        <f>VLOOKUP(Table1[[#This Row],[Status]],Auxiliar!$B$16:$D$24,3,0)*Table1[[#This Row],[Estimação (horas)]]</f>
        <v>0.1</v>
      </c>
      <c r="X748" s="165">
        <f>+VLOOKUP(CONCATENATE(Table1[[#This Row],[Tabela]],Table1[[#This Row],[Campo]]),'2. Status Detalhe Campos FY24'!A:J,9,FALSE)</f>
        <v>0</v>
      </c>
      <c r="Y748" s="491" t="e">
        <f>+VLOOKUP(A748,#REF!,1,FALSE)</f>
        <v>#REF!</v>
      </c>
    </row>
    <row r="749" spans="1:25" ht="17.899999999999999" hidden="1" customHeight="1">
      <c r="A749" t="str">
        <f>+Table1[[#This Row],[Tabela]]&amp;Table1[[#This Row],[Campo]]</f>
        <v>modesg_out_emss_vclsckrefbem</v>
      </c>
      <c r="B749" s="2" t="s">
        <v>26</v>
      </c>
      <c r="C749" s="2" t="s">
        <v>310</v>
      </c>
      <c r="D749" s="2" t="s">
        <v>332</v>
      </c>
      <c r="E749" s="2" t="s">
        <v>38</v>
      </c>
      <c r="F749" s="2" t="s">
        <v>331</v>
      </c>
      <c r="G749" s="2" t="s">
        <v>316</v>
      </c>
      <c r="H749" s="56" t="str">
        <f>Table1[[#This Row],[Tabela]]&amp;Table1[[#This Row],[Campo]]</f>
        <v>modesg_out_emss_vclsckrefbem</v>
      </c>
      <c r="I749" s="3" t="s">
        <v>612</v>
      </c>
      <c r="J749" s="54">
        <f>VLOOKUP(Table1[[#This Row],[Status]],Auxiliar!$B$16:$C$24,2,0)</f>
        <v>1</v>
      </c>
      <c r="K749" s="2" t="s">
        <v>1168</v>
      </c>
      <c r="L749" s="28" t="s">
        <v>1174</v>
      </c>
      <c r="M749" s="20" t="s">
        <v>1175</v>
      </c>
      <c r="N749" s="47">
        <v>45485</v>
      </c>
      <c r="O749" s="20">
        <f>INDEX(Auxiliar!$D$5:$F$13,MATCH(Table1[[#This Row],[Tipologia_Testes]],Auxiliar!$B$5:$B$13,0),MATCH(Table1[[#This Row],[Complexidade]],Auxiliar!$D$4:$F$4,0))</f>
        <v>2</v>
      </c>
      <c r="P749" s="2"/>
      <c r="Q749" s="2"/>
      <c r="R749" s="151">
        <v>45261</v>
      </c>
      <c r="S749" s="151"/>
      <c r="T749" s="151"/>
      <c r="U749" s="151"/>
      <c r="V749" s="151"/>
      <c r="W749" s="2">
        <f>VLOOKUP(Table1[[#This Row],[Status]],Auxiliar!$B$16:$D$24,3,0)*Table1[[#This Row],[Estimação (horas)]]</f>
        <v>2</v>
      </c>
      <c r="X749" s="165">
        <f>+VLOOKUP(CONCATENATE(Table1[[#This Row],[Tabela]],Table1[[#This Row],[Campo]]),'2. Status Detalhe Campos FY24'!A:J,9,FALSE)</f>
        <v>0</v>
      </c>
      <c r="Y749" s="491" t="e">
        <f>+VLOOKUP(A749,#REF!,1,FALSE)</f>
        <v>#REF!</v>
      </c>
    </row>
    <row r="750" spans="1:25" ht="17.899999999999999" hidden="1" customHeight="1">
      <c r="A750" t="str">
        <f>+Table1[[#This Row],[Tabela]]&amp;Table1[[#This Row],[Campo]]</f>
        <v>modesg_out_emss_vclsckrefbem</v>
      </c>
      <c r="B750" s="2" t="s">
        <v>26</v>
      </c>
      <c r="C750" s="2" t="s">
        <v>310</v>
      </c>
      <c r="D750" s="2" t="s">
        <v>332</v>
      </c>
      <c r="E750" s="2" t="s">
        <v>38</v>
      </c>
      <c r="F750" s="2" t="s">
        <v>331</v>
      </c>
      <c r="G750" s="2" t="s">
        <v>316</v>
      </c>
      <c r="H750" s="56" t="str">
        <f>Table1[[#This Row],[Tabela]]&amp;Table1[[#This Row],[Campo]]</f>
        <v>modesg_out_emss_vclsckrefbem</v>
      </c>
      <c r="I750" s="3" t="s">
        <v>612</v>
      </c>
      <c r="J750" s="54">
        <f>VLOOKUP(Table1[[#This Row],[Status]],Auxiliar!$B$16:$C$24,2,0)</f>
        <v>1</v>
      </c>
      <c r="K750" s="2" t="s">
        <v>1169</v>
      </c>
      <c r="L750" s="28" t="s">
        <v>1174</v>
      </c>
      <c r="M750" s="20" t="s">
        <v>1175</v>
      </c>
      <c r="N750" s="47">
        <v>45485</v>
      </c>
      <c r="O750" s="20">
        <f>INDEX(Auxiliar!$D$5:$F$13,MATCH(Table1[[#This Row],[Tipologia_Testes]],Auxiliar!$B$5:$B$13,0),MATCH(Table1[[#This Row],[Complexidade]],Auxiliar!$D$4:$F$4,0))</f>
        <v>2</v>
      </c>
      <c r="P750" s="2"/>
      <c r="Q750" s="2"/>
      <c r="R750" s="151">
        <v>45261</v>
      </c>
      <c r="S750" s="151"/>
      <c r="T750" s="151"/>
      <c r="U750" s="151"/>
      <c r="V750" s="151"/>
      <c r="W750" s="2">
        <f>VLOOKUP(Table1[[#This Row],[Status]],Auxiliar!$B$16:$D$24,3,0)*Table1[[#This Row],[Estimação (horas)]]</f>
        <v>2</v>
      </c>
      <c r="X750" s="165">
        <f>+VLOOKUP(CONCATENATE(Table1[[#This Row],[Tabela]],Table1[[#This Row],[Campo]]),'2. Status Detalhe Campos FY24'!A:J,9,FALSE)</f>
        <v>0</v>
      </c>
      <c r="Y750" s="491" t="e">
        <f>+VLOOKUP(A750,#REF!,1,FALSE)</f>
        <v>#REF!</v>
      </c>
    </row>
    <row r="751" spans="1:25" ht="17.899999999999999" hidden="1" customHeight="1">
      <c r="A751" t="str">
        <f>+Table1[[#This Row],[Tabela]]&amp;Table1[[#This Row],[Campo]]</f>
        <v>modesg_out_emss_vclsckrefbem</v>
      </c>
      <c r="B751" s="2" t="s">
        <v>26</v>
      </c>
      <c r="C751" s="2" t="s">
        <v>310</v>
      </c>
      <c r="D751" s="2" t="s">
        <v>332</v>
      </c>
      <c r="E751" s="2" t="s">
        <v>38</v>
      </c>
      <c r="F751" s="2" t="s">
        <v>331</v>
      </c>
      <c r="G751" s="2" t="s">
        <v>316</v>
      </c>
      <c r="H751" s="56" t="str">
        <f>Table1[[#This Row],[Tabela]]&amp;Table1[[#This Row],[Campo]]</f>
        <v>modesg_out_emss_vclsckrefbem</v>
      </c>
      <c r="I751" s="3" t="s">
        <v>612</v>
      </c>
      <c r="J751" s="54">
        <f>VLOOKUP(Table1[[#This Row],[Status]],Auxiliar!$B$16:$C$24,2,0)</f>
        <v>1</v>
      </c>
      <c r="K751" s="2" t="s">
        <v>1171</v>
      </c>
      <c r="L751" s="28" t="s">
        <v>1174</v>
      </c>
      <c r="M751" s="20" t="s">
        <v>1175</v>
      </c>
      <c r="N751" s="47">
        <v>45485</v>
      </c>
      <c r="O751" s="20">
        <f>INDEX(Auxiliar!$D$5:$F$13,MATCH(Table1[[#This Row],[Tipologia_Testes]],Auxiliar!$B$5:$B$13,0),MATCH(Table1[[#This Row],[Complexidade]],Auxiliar!$D$4:$F$4,0))</f>
        <v>0.1</v>
      </c>
      <c r="P751" s="2"/>
      <c r="Q751" s="2"/>
      <c r="R751" s="151">
        <v>45261</v>
      </c>
      <c r="S751" s="151"/>
      <c r="T751" s="151"/>
      <c r="U751" s="151"/>
      <c r="V751" s="151"/>
      <c r="W751" s="2">
        <f>VLOOKUP(Table1[[#This Row],[Status]],Auxiliar!$B$16:$D$24,3,0)*Table1[[#This Row],[Estimação (horas)]]</f>
        <v>0.1</v>
      </c>
      <c r="X751" s="165">
        <f>+VLOOKUP(CONCATENATE(Table1[[#This Row],[Tabela]],Table1[[#This Row],[Campo]]),'2. Status Detalhe Campos FY24'!A:J,9,FALSE)</f>
        <v>0</v>
      </c>
      <c r="Y751" s="491" t="e">
        <f>+VLOOKUP(A751,#REF!,1,FALSE)</f>
        <v>#REF!</v>
      </c>
    </row>
    <row r="752" spans="1:25" ht="17.899999999999999" hidden="1" customHeight="1">
      <c r="A752" t="str">
        <f>+Table1[[#This Row],[Tabela]]&amp;Table1[[#This Row],[Campo]]</f>
        <v>modesg_out_emss_vclscnsm_co2</v>
      </c>
      <c r="B752" s="2" t="s">
        <v>26</v>
      </c>
      <c r="C752" s="2" t="s">
        <v>310</v>
      </c>
      <c r="D752" s="2" t="s">
        <v>332</v>
      </c>
      <c r="E752" s="2" t="s">
        <v>38</v>
      </c>
      <c r="F752" s="2" t="s">
        <v>331</v>
      </c>
      <c r="G752" s="2" t="s">
        <v>188</v>
      </c>
      <c r="H752" s="56" t="str">
        <f>Table1[[#This Row],[Tabela]]&amp;Table1[[#This Row],[Campo]]</f>
        <v>modesg_out_emss_vclscnsm_co2</v>
      </c>
      <c r="I752" s="2" t="s">
        <v>612</v>
      </c>
      <c r="J752" s="42">
        <f>VLOOKUP(Table1[[#This Row],[Status]],Auxiliar!$B$16:$C$24,2,0)</f>
        <v>1</v>
      </c>
      <c r="K752" s="2" t="s">
        <v>1168</v>
      </c>
      <c r="L752" s="28" t="s">
        <v>1166</v>
      </c>
      <c r="M752" s="20" t="s">
        <v>1176</v>
      </c>
      <c r="N752" s="47">
        <v>45618</v>
      </c>
      <c r="O752" s="20">
        <f>INDEX(Auxiliar!$D$5:$F$13,MATCH(Table1[[#This Row],[Tipologia_Testes]],Auxiliar!$B$5:$B$13,0),MATCH(Table1[[#This Row],[Complexidade]],Auxiliar!$D$4:$F$4,0))</f>
        <v>4</v>
      </c>
      <c r="P752" s="2" t="s">
        <v>1203</v>
      </c>
      <c r="Q752" s="2"/>
      <c r="R752" s="151">
        <v>45559</v>
      </c>
      <c r="S752" s="151"/>
      <c r="T752" s="151">
        <v>45559</v>
      </c>
      <c r="U752" s="151">
        <v>45607</v>
      </c>
      <c r="V752" s="151">
        <v>45608</v>
      </c>
      <c r="W752" s="2">
        <f>VLOOKUP(Table1[[#This Row],[Status]],Auxiliar!$B$16:$D$24,3,0)*Table1[[#This Row],[Estimação (horas)]]</f>
        <v>4</v>
      </c>
      <c r="X752" s="165">
        <f>+VLOOKUP(CONCATENATE(Table1[[#This Row],[Tabela]],Table1[[#This Row],[Campo]]),'2. Status Detalhe Campos FY24'!A:J,9,FALSE)</f>
        <v>0</v>
      </c>
      <c r="Y752" s="491" t="e">
        <f>+VLOOKUP(A752,#REF!,1,FALSE)</f>
        <v>#REF!</v>
      </c>
    </row>
    <row r="753" spans="1:25" ht="17.899999999999999" hidden="1" customHeight="1">
      <c r="A753" t="str">
        <f>+Table1[[#This Row],[Tabela]]&amp;Table1[[#This Row],[Campo]]</f>
        <v>modesg_out_emss_vclscnsm_co2</v>
      </c>
      <c r="B753" s="2" t="s">
        <v>26</v>
      </c>
      <c r="C753" s="2" t="s">
        <v>310</v>
      </c>
      <c r="D753" s="2" t="s">
        <v>332</v>
      </c>
      <c r="E753" s="2" t="s">
        <v>38</v>
      </c>
      <c r="F753" s="2" t="s">
        <v>331</v>
      </c>
      <c r="G753" s="2" t="s">
        <v>188</v>
      </c>
      <c r="H753" s="56" t="str">
        <f>Table1[[#This Row],[Tabela]]&amp;Table1[[#This Row],[Campo]]</f>
        <v>modesg_out_emss_vclscnsm_co2</v>
      </c>
      <c r="I753" s="2" t="s">
        <v>612</v>
      </c>
      <c r="J753" s="42">
        <f>VLOOKUP(Table1[[#This Row],[Status]],Auxiliar!$B$16:$C$24,2,0)</f>
        <v>1</v>
      </c>
      <c r="K753" s="2" t="s">
        <v>1169</v>
      </c>
      <c r="L753" s="28" t="s">
        <v>1166</v>
      </c>
      <c r="M753" s="20" t="s">
        <v>1176</v>
      </c>
      <c r="N753" s="47">
        <v>45618</v>
      </c>
      <c r="O753" s="20">
        <f>INDEX(Auxiliar!$D$5:$F$13,MATCH(Table1[[#This Row],[Tipologia_Testes]],Auxiliar!$B$5:$B$13,0),MATCH(Table1[[#This Row],[Complexidade]],Auxiliar!$D$4:$F$4,0))</f>
        <v>4</v>
      </c>
      <c r="P753" s="2" t="s">
        <v>1203</v>
      </c>
      <c r="Q753" s="2"/>
      <c r="R753" s="151">
        <v>45559</v>
      </c>
      <c r="S753" s="151"/>
      <c r="T753" s="151">
        <v>45559</v>
      </c>
      <c r="U753" s="151">
        <v>45607</v>
      </c>
      <c r="V753" s="151">
        <v>45608</v>
      </c>
      <c r="W753" s="2">
        <f>VLOOKUP(Table1[[#This Row],[Status]],Auxiliar!$B$16:$D$24,3,0)*Table1[[#This Row],[Estimação (horas)]]</f>
        <v>4</v>
      </c>
      <c r="X753" s="165">
        <f>+VLOOKUP(CONCATENATE(Table1[[#This Row],[Tabela]],Table1[[#This Row],[Campo]]),'2. Status Detalhe Campos FY24'!A:J,9,FALSE)</f>
        <v>0</v>
      </c>
      <c r="Y753" s="491" t="e">
        <f>+VLOOKUP(A753,#REF!,1,FALSE)</f>
        <v>#REF!</v>
      </c>
    </row>
    <row r="754" spans="1:25" ht="17.899999999999999" hidden="1" customHeight="1">
      <c r="A754" t="str">
        <f>+Table1[[#This Row],[Tabela]]&amp;Table1[[#This Row],[Campo]]</f>
        <v>modesg_out_emss_vclscnsm_co2</v>
      </c>
      <c r="B754" s="2" t="s">
        <v>26</v>
      </c>
      <c r="C754" s="2" t="s">
        <v>310</v>
      </c>
      <c r="D754" s="2" t="s">
        <v>332</v>
      </c>
      <c r="E754" s="2" t="s">
        <v>38</v>
      </c>
      <c r="F754" s="2" t="s">
        <v>331</v>
      </c>
      <c r="G754" s="2" t="s">
        <v>188</v>
      </c>
      <c r="H754" s="56" t="str">
        <f>Table1[[#This Row],[Tabela]]&amp;Table1[[#This Row],[Campo]]</f>
        <v>modesg_out_emss_vclscnsm_co2</v>
      </c>
      <c r="I754" s="2" t="s">
        <v>612</v>
      </c>
      <c r="J754" s="42">
        <f>VLOOKUP(Table1[[#This Row],[Status]],Auxiliar!$B$16:$C$24,2,0)</f>
        <v>1</v>
      </c>
      <c r="K754" s="2" t="s">
        <v>1171</v>
      </c>
      <c r="L754" s="28" t="s">
        <v>1166</v>
      </c>
      <c r="M754" s="20" t="s">
        <v>1176</v>
      </c>
      <c r="N754" s="47">
        <v>45618</v>
      </c>
      <c r="O754" s="20">
        <f>INDEX(Auxiliar!$D$5:$F$13,MATCH(Table1[[#This Row],[Tipologia_Testes]],Auxiliar!$B$5:$B$13,0),MATCH(Table1[[#This Row],[Complexidade]],Auxiliar!$D$4:$F$4,0))</f>
        <v>0.1</v>
      </c>
      <c r="P754" s="2" t="s">
        <v>1203</v>
      </c>
      <c r="Q754" s="2"/>
      <c r="R754" s="151">
        <v>45559</v>
      </c>
      <c r="S754" s="151"/>
      <c r="T754" s="151">
        <v>45559</v>
      </c>
      <c r="U754" s="151">
        <v>45607</v>
      </c>
      <c r="V754" s="151">
        <v>45608</v>
      </c>
      <c r="W754" s="2">
        <f>VLOOKUP(Table1[[#This Row],[Status]],Auxiliar!$B$16:$D$24,3,0)*Table1[[#This Row],[Estimação (horas)]]</f>
        <v>0.1</v>
      </c>
      <c r="X754" s="165">
        <f>+VLOOKUP(CONCATENATE(Table1[[#This Row],[Tabela]],Table1[[#This Row],[Campo]]),'2. Status Detalhe Campos FY24'!A:J,9,FALSE)</f>
        <v>0</v>
      </c>
      <c r="Y754" s="491" t="e">
        <f>+VLOOKUP(A754,#REF!,1,FALSE)</f>
        <v>#REF!</v>
      </c>
    </row>
    <row r="755" spans="1:25" ht="17.899999999999999" hidden="1" customHeight="1">
      <c r="A755" t="str">
        <f>+Table1[[#This Row],[Tabela]]&amp;Table1[[#This Row],[Campo]]</f>
        <v>modesg_out_emss_vclsorigem_scp1_emss</v>
      </c>
      <c r="B755" s="2" t="s">
        <v>26</v>
      </c>
      <c r="C755" s="2" t="s">
        <v>310</v>
      </c>
      <c r="D755" s="2" t="s">
        <v>332</v>
      </c>
      <c r="E755" s="2" t="s">
        <v>38</v>
      </c>
      <c r="F755" s="2" t="s">
        <v>331</v>
      </c>
      <c r="G755" s="2" t="s">
        <v>319</v>
      </c>
      <c r="H755" s="56" t="str">
        <f>Table1[[#This Row],[Tabela]]&amp;Table1[[#This Row],[Campo]]</f>
        <v>modesg_out_emss_vclsorigem_scp1_emss</v>
      </c>
      <c r="I755" s="2" t="s">
        <v>612</v>
      </c>
      <c r="J755" s="42">
        <f>VLOOKUP(Table1[[#This Row],[Status]],Auxiliar!$B$16:$C$24,2,0)</f>
        <v>1</v>
      </c>
      <c r="K755" s="2" t="s">
        <v>1168</v>
      </c>
      <c r="L755" s="28" t="s">
        <v>1166</v>
      </c>
      <c r="M755" s="20" t="s">
        <v>1176</v>
      </c>
      <c r="N755" s="47">
        <v>45632</v>
      </c>
      <c r="O755" s="20">
        <f>INDEX(Auxiliar!$D$5:$F$13,MATCH(Table1[[#This Row],[Tipologia_Testes]],Auxiliar!$B$5:$B$13,0),MATCH(Table1[[#This Row],[Complexidade]],Auxiliar!$D$4:$F$4,0))</f>
        <v>4</v>
      </c>
      <c r="P755" s="2"/>
      <c r="Q755" s="2"/>
      <c r="R755" s="151">
        <v>45566</v>
      </c>
      <c r="S755" s="151"/>
      <c r="T755" s="151">
        <v>45621</v>
      </c>
      <c r="U755" s="151">
        <v>45607</v>
      </c>
      <c r="V755" s="151">
        <v>45608</v>
      </c>
      <c r="W755" s="2">
        <f>VLOOKUP(Table1[[#This Row],[Status]],Auxiliar!$B$16:$D$24,3,0)*Table1[[#This Row],[Estimação (horas)]]</f>
        <v>4</v>
      </c>
      <c r="X755" s="165">
        <f>+VLOOKUP(CONCATENATE(Table1[[#This Row],[Tabela]],Table1[[#This Row],[Campo]]),'2. Status Detalhe Campos FY24'!A:J,9,FALSE)</f>
        <v>0</v>
      </c>
      <c r="Y755" s="491" t="e">
        <f>+VLOOKUP(A755,#REF!,1,FALSE)</f>
        <v>#REF!</v>
      </c>
    </row>
    <row r="756" spans="1:25" ht="17.899999999999999" hidden="1" customHeight="1">
      <c r="A756" t="str">
        <f>+Table1[[#This Row],[Tabela]]&amp;Table1[[#This Row],[Campo]]</f>
        <v>modesg_out_emss_vclsorigem_scp1_emss</v>
      </c>
      <c r="B756" s="2" t="s">
        <v>26</v>
      </c>
      <c r="C756" s="2" t="s">
        <v>310</v>
      </c>
      <c r="D756" s="2" t="s">
        <v>332</v>
      </c>
      <c r="E756" s="2" t="s">
        <v>38</v>
      </c>
      <c r="F756" s="2" t="s">
        <v>331</v>
      </c>
      <c r="G756" s="2" t="s">
        <v>319</v>
      </c>
      <c r="H756" s="56" t="str">
        <f>Table1[[#This Row],[Tabela]]&amp;Table1[[#This Row],[Campo]]</f>
        <v>modesg_out_emss_vclsorigem_scp1_emss</v>
      </c>
      <c r="I756" s="2" t="s">
        <v>612</v>
      </c>
      <c r="J756" s="42">
        <f>VLOOKUP(Table1[[#This Row],[Status]],Auxiliar!$B$16:$C$24,2,0)</f>
        <v>1</v>
      </c>
      <c r="K756" s="2" t="s">
        <v>1169</v>
      </c>
      <c r="L756" s="28" t="s">
        <v>1166</v>
      </c>
      <c r="M756" s="20" t="s">
        <v>1176</v>
      </c>
      <c r="N756" s="47">
        <v>45632</v>
      </c>
      <c r="O756" s="20">
        <f>INDEX(Auxiliar!$D$5:$F$13,MATCH(Table1[[#This Row],[Tipologia_Testes]],Auxiliar!$B$5:$B$13,0),MATCH(Table1[[#This Row],[Complexidade]],Auxiliar!$D$4:$F$4,0))</f>
        <v>4</v>
      </c>
      <c r="P756" s="2"/>
      <c r="Q756" s="2"/>
      <c r="R756" s="151">
        <v>45566</v>
      </c>
      <c r="S756" s="151"/>
      <c r="T756" s="151">
        <v>45621</v>
      </c>
      <c r="U756" s="151">
        <v>45607</v>
      </c>
      <c r="V756" s="151">
        <v>45608</v>
      </c>
      <c r="W756" s="2">
        <f>VLOOKUP(Table1[[#This Row],[Status]],Auxiliar!$B$16:$D$24,3,0)*Table1[[#This Row],[Estimação (horas)]]</f>
        <v>4</v>
      </c>
      <c r="X756" s="165">
        <f>+VLOOKUP(CONCATENATE(Table1[[#This Row],[Tabela]],Table1[[#This Row],[Campo]]),'2. Status Detalhe Campos FY24'!A:J,9,FALSE)</f>
        <v>0</v>
      </c>
      <c r="Y756" s="491" t="e">
        <f>+VLOOKUP(A756,#REF!,1,FALSE)</f>
        <v>#REF!</v>
      </c>
    </row>
    <row r="757" spans="1:25" ht="17.899999999999999" hidden="1" customHeight="1">
      <c r="A757" t="str">
        <f>+Table1[[#This Row],[Tabela]]&amp;Table1[[#This Row],[Campo]]</f>
        <v>modesg_out_emss_vclsorigem_scp1_emss</v>
      </c>
      <c r="B757" s="2" t="s">
        <v>26</v>
      </c>
      <c r="C757" s="2" t="s">
        <v>310</v>
      </c>
      <c r="D757" s="2" t="s">
        <v>332</v>
      </c>
      <c r="E757" s="2" t="s">
        <v>38</v>
      </c>
      <c r="F757" s="2" t="s">
        <v>331</v>
      </c>
      <c r="G757" s="2" t="s">
        <v>319</v>
      </c>
      <c r="H757" s="56" t="str">
        <f>Table1[[#This Row],[Tabela]]&amp;Table1[[#This Row],[Campo]]</f>
        <v>modesg_out_emss_vclsorigem_scp1_emss</v>
      </c>
      <c r="I757" s="2" t="s">
        <v>612</v>
      </c>
      <c r="J757" s="42">
        <f>VLOOKUP(Table1[[#This Row],[Status]],Auxiliar!$B$16:$C$24,2,0)</f>
        <v>1</v>
      </c>
      <c r="K757" s="2" t="s">
        <v>1171</v>
      </c>
      <c r="L757" s="28" t="s">
        <v>1166</v>
      </c>
      <c r="M757" s="20" t="s">
        <v>1176</v>
      </c>
      <c r="N757" s="47">
        <v>45632</v>
      </c>
      <c r="O757" s="20">
        <f>INDEX(Auxiliar!$D$5:$F$13,MATCH(Table1[[#This Row],[Tipologia_Testes]],Auxiliar!$B$5:$B$13,0),MATCH(Table1[[#This Row],[Complexidade]],Auxiliar!$D$4:$F$4,0))</f>
        <v>0.1</v>
      </c>
      <c r="P757" s="2"/>
      <c r="Q757" s="2"/>
      <c r="R757" s="151">
        <v>45566</v>
      </c>
      <c r="S757" s="151"/>
      <c r="T757" s="151">
        <v>45621</v>
      </c>
      <c r="U757" s="151">
        <v>45607</v>
      </c>
      <c r="V757" s="151">
        <v>45608</v>
      </c>
      <c r="W757" s="2">
        <f>VLOOKUP(Table1[[#This Row],[Status]],Auxiliar!$B$16:$D$24,3,0)*Table1[[#This Row],[Estimação (horas)]]</f>
        <v>0.1</v>
      </c>
      <c r="X757" s="165">
        <f>+VLOOKUP(CONCATENATE(Table1[[#This Row],[Tabela]],Table1[[#This Row],[Campo]]),'2. Status Detalhe Campos FY24'!A:J,9,FALSE)</f>
        <v>0</v>
      </c>
      <c r="Y757" s="491" t="e">
        <f>+VLOOKUP(A757,#REF!,1,FALSE)</f>
        <v>#REF!</v>
      </c>
    </row>
    <row r="758" spans="1:25" ht="17.899999999999999" hidden="1" customHeight="1">
      <c r="A758" t="str">
        <f>+Table1[[#This Row],[Tabela]]&amp;Table1[[#This Row],[Campo]]</f>
        <v>modesg_out_emss_vclsorigem_scp2_emss</v>
      </c>
      <c r="B758" s="2" t="s">
        <v>26</v>
      </c>
      <c r="C758" s="2" t="s">
        <v>310</v>
      </c>
      <c r="D758" s="2" t="s">
        <v>332</v>
      </c>
      <c r="E758" s="2" t="s">
        <v>38</v>
      </c>
      <c r="F758" s="2" t="s">
        <v>331</v>
      </c>
      <c r="G758" s="2" t="s">
        <v>320</v>
      </c>
      <c r="H758" s="56" t="str">
        <f>Table1[[#This Row],[Tabela]]&amp;Table1[[#This Row],[Campo]]</f>
        <v>modesg_out_emss_vclsorigem_scp2_emss</v>
      </c>
      <c r="I758" s="2" t="s">
        <v>612</v>
      </c>
      <c r="J758" s="42">
        <f>VLOOKUP(Table1[[#This Row],[Status]],Auxiliar!$B$16:$C$24,2,0)</f>
        <v>1</v>
      </c>
      <c r="K758" s="2" t="s">
        <v>1168</v>
      </c>
      <c r="L758" s="28" t="s">
        <v>1166</v>
      </c>
      <c r="M758" s="20" t="s">
        <v>1176</v>
      </c>
      <c r="N758" s="47">
        <v>45632</v>
      </c>
      <c r="O758" s="20">
        <f>INDEX(Auxiliar!$D$5:$F$13,MATCH(Table1[[#This Row],[Tipologia_Testes]],Auxiliar!$B$5:$B$13,0),MATCH(Table1[[#This Row],[Complexidade]],Auxiliar!$D$4:$F$4,0))</f>
        <v>4</v>
      </c>
      <c r="P758" s="2"/>
      <c r="Q758" s="2"/>
      <c r="R758" s="151">
        <v>45566</v>
      </c>
      <c r="S758" s="151"/>
      <c r="T758" s="151">
        <v>45621</v>
      </c>
      <c r="U758" s="151">
        <v>45607</v>
      </c>
      <c r="V758" s="151">
        <v>45608</v>
      </c>
      <c r="W758" s="2">
        <f>VLOOKUP(Table1[[#This Row],[Status]],Auxiliar!$B$16:$D$24,3,0)*Table1[[#This Row],[Estimação (horas)]]</f>
        <v>4</v>
      </c>
      <c r="X758" s="165">
        <f>+VLOOKUP(CONCATENATE(Table1[[#This Row],[Tabela]],Table1[[#This Row],[Campo]]),'2. Status Detalhe Campos FY24'!A:J,9,FALSE)</f>
        <v>0</v>
      </c>
      <c r="Y758" s="491" t="e">
        <f>+VLOOKUP(A758,#REF!,1,FALSE)</f>
        <v>#REF!</v>
      </c>
    </row>
    <row r="759" spans="1:25" ht="17.899999999999999" hidden="1" customHeight="1">
      <c r="A759" t="str">
        <f>+Table1[[#This Row],[Tabela]]&amp;Table1[[#This Row],[Campo]]</f>
        <v>modesg_out_emss_vclsorigem_scp2_emss</v>
      </c>
      <c r="B759" s="2" t="s">
        <v>26</v>
      </c>
      <c r="C759" s="2" t="s">
        <v>310</v>
      </c>
      <c r="D759" s="2" t="s">
        <v>332</v>
      </c>
      <c r="E759" s="2" t="s">
        <v>38</v>
      </c>
      <c r="F759" s="2" t="s">
        <v>331</v>
      </c>
      <c r="G759" s="2" t="s">
        <v>320</v>
      </c>
      <c r="H759" s="56" t="str">
        <f>Table1[[#This Row],[Tabela]]&amp;Table1[[#This Row],[Campo]]</f>
        <v>modesg_out_emss_vclsorigem_scp2_emss</v>
      </c>
      <c r="I759" s="2" t="s">
        <v>612</v>
      </c>
      <c r="J759" s="42">
        <f>VLOOKUP(Table1[[#This Row],[Status]],Auxiliar!$B$16:$C$24,2,0)</f>
        <v>1</v>
      </c>
      <c r="K759" s="2" t="s">
        <v>1169</v>
      </c>
      <c r="L759" s="28" t="s">
        <v>1166</v>
      </c>
      <c r="M759" s="20" t="s">
        <v>1176</v>
      </c>
      <c r="N759" s="47">
        <v>45632</v>
      </c>
      <c r="O759" s="20">
        <f>INDEX(Auxiliar!$D$5:$F$13,MATCH(Table1[[#This Row],[Tipologia_Testes]],Auxiliar!$B$5:$B$13,0),MATCH(Table1[[#This Row],[Complexidade]],Auxiliar!$D$4:$F$4,0))</f>
        <v>4</v>
      </c>
      <c r="P759" s="2"/>
      <c r="Q759" s="2"/>
      <c r="R759" s="151">
        <v>45566</v>
      </c>
      <c r="S759" s="151"/>
      <c r="T759" s="151">
        <v>45621</v>
      </c>
      <c r="U759" s="151">
        <v>45607</v>
      </c>
      <c r="V759" s="151">
        <v>45608</v>
      </c>
      <c r="W759" s="2">
        <f>VLOOKUP(Table1[[#This Row],[Status]],Auxiliar!$B$16:$D$24,3,0)*Table1[[#This Row],[Estimação (horas)]]</f>
        <v>4</v>
      </c>
      <c r="X759" s="165">
        <f>+VLOOKUP(CONCATENATE(Table1[[#This Row],[Tabela]],Table1[[#This Row],[Campo]]),'2. Status Detalhe Campos FY24'!A:J,9,FALSE)</f>
        <v>0</v>
      </c>
      <c r="Y759" s="491" t="e">
        <f>+VLOOKUP(A759,#REF!,1,FALSE)</f>
        <v>#REF!</v>
      </c>
    </row>
    <row r="760" spans="1:25" ht="17.899999999999999" hidden="1" customHeight="1">
      <c r="A760" t="str">
        <f>+Table1[[#This Row],[Tabela]]&amp;Table1[[#This Row],[Campo]]</f>
        <v>modesg_out_emss_vclsorigem_scp2_emss</v>
      </c>
      <c r="B760" s="2" t="s">
        <v>26</v>
      </c>
      <c r="C760" s="2" t="s">
        <v>310</v>
      </c>
      <c r="D760" s="2" t="s">
        <v>332</v>
      </c>
      <c r="E760" s="2" t="s">
        <v>38</v>
      </c>
      <c r="F760" s="2" t="s">
        <v>331</v>
      </c>
      <c r="G760" s="2" t="s">
        <v>320</v>
      </c>
      <c r="H760" s="56" t="str">
        <f>Table1[[#This Row],[Tabela]]&amp;Table1[[#This Row],[Campo]]</f>
        <v>modesg_out_emss_vclsorigem_scp2_emss</v>
      </c>
      <c r="I760" s="2" t="s">
        <v>612</v>
      </c>
      <c r="J760" s="42">
        <f>VLOOKUP(Table1[[#This Row],[Status]],Auxiliar!$B$16:$C$24,2,0)</f>
        <v>1</v>
      </c>
      <c r="K760" s="2" t="s">
        <v>1171</v>
      </c>
      <c r="L760" s="28" t="s">
        <v>1166</v>
      </c>
      <c r="M760" s="20" t="s">
        <v>1176</v>
      </c>
      <c r="N760" s="47">
        <v>45632</v>
      </c>
      <c r="O760" s="20">
        <f>INDEX(Auxiliar!$D$5:$F$13,MATCH(Table1[[#This Row],[Tipologia_Testes]],Auxiliar!$B$5:$B$13,0),MATCH(Table1[[#This Row],[Complexidade]],Auxiliar!$D$4:$F$4,0))</f>
        <v>0.1</v>
      </c>
      <c r="P760" s="2"/>
      <c r="Q760" s="2"/>
      <c r="R760" s="151">
        <v>45566</v>
      </c>
      <c r="S760" s="151"/>
      <c r="T760" s="151">
        <v>45621</v>
      </c>
      <c r="U760" s="151">
        <v>45607</v>
      </c>
      <c r="V760" s="151">
        <v>45608</v>
      </c>
      <c r="W760" s="2">
        <f>VLOOKUP(Table1[[#This Row],[Status]],Auxiliar!$B$16:$D$24,3,0)*Table1[[#This Row],[Estimação (horas)]]</f>
        <v>0.1</v>
      </c>
      <c r="X760" s="165">
        <f>+VLOOKUP(CONCATENATE(Table1[[#This Row],[Tabela]],Table1[[#This Row],[Campo]]),'2. Status Detalhe Campos FY24'!A:J,9,FALSE)</f>
        <v>0</v>
      </c>
      <c r="Y760" s="491" t="e">
        <f>+VLOOKUP(A760,#REF!,1,FALSE)</f>
        <v>#REF!</v>
      </c>
    </row>
    <row r="761" spans="1:25" ht="17.899999999999999" hidden="1" customHeight="1">
      <c r="A761" t="str">
        <f>+Table1[[#This Row],[Tabela]]&amp;Table1[[#This Row],[Campo]]</f>
        <v>modesg_out_emss_vclsorigem_scp3_emss</v>
      </c>
      <c r="B761" s="2" t="s">
        <v>26</v>
      </c>
      <c r="C761" s="2" t="s">
        <v>310</v>
      </c>
      <c r="D761" s="2" t="s">
        <v>332</v>
      </c>
      <c r="E761" s="2" t="s">
        <v>38</v>
      </c>
      <c r="F761" s="2" t="s">
        <v>331</v>
      </c>
      <c r="G761" s="2" t="s">
        <v>321</v>
      </c>
      <c r="H761" s="56" t="str">
        <f>Table1[[#This Row],[Tabela]]&amp;Table1[[#This Row],[Campo]]</f>
        <v>modesg_out_emss_vclsorigem_scp3_emss</v>
      </c>
      <c r="I761" s="2" t="s">
        <v>612</v>
      </c>
      <c r="J761" s="42">
        <f>VLOOKUP(Table1[[#This Row],[Status]],Auxiliar!$B$16:$C$24,2,0)</f>
        <v>1</v>
      </c>
      <c r="K761" s="2" t="s">
        <v>1168</v>
      </c>
      <c r="L761" s="28" t="s">
        <v>1166</v>
      </c>
      <c r="M761" s="20" t="s">
        <v>1176</v>
      </c>
      <c r="N761" s="47">
        <v>45618</v>
      </c>
      <c r="O761" s="20">
        <f>INDEX(Auxiliar!$D$5:$F$13,MATCH(Table1[[#This Row],[Tipologia_Testes]],Auxiliar!$B$5:$B$13,0),MATCH(Table1[[#This Row],[Complexidade]],Auxiliar!$D$4:$F$4,0))</f>
        <v>4</v>
      </c>
      <c r="P761" s="2"/>
      <c r="Q761" s="2"/>
      <c r="R761" s="151">
        <v>45566</v>
      </c>
      <c r="S761" s="151"/>
      <c r="T761" s="151">
        <v>45569</v>
      </c>
      <c r="U761" s="151">
        <v>45607</v>
      </c>
      <c r="V761" s="151">
        <v>45608</v>
      </c>
      <c r="W761" s="2">
        <f>VLOOKUP(Table1[[#This Row],[Status]],Auxiliar!$B$16:$D$24,3,0)*Table1[[#This Row],[Estimação (horas)]]</f>
        <v>4</v>
      </c>
      <c r="X761" s="165">
        <f>+VLOOKUP(CONCATENATE(Table1[[#This Row],[Tabela]],Table1[[#This Row],[Campo]]),'2. Status Detalhe Campos FY24'!A:J,9,FALSE)</f>
        <v>0</v>
      </c>
      <c r="Y761" s="491" t="e">
        <f>+VLOOKUP(A761,#REF!,1,FALSE)</f>
        <v>#REF!</v>
      </c>
    </row>
    <row r="762" spans="1:25" ht="17.899999999999999" hidden="1" customHeight="1">
      <c r="A762" t="str">
        <f>+Table1[[#This Row],[Tabela]]&amp;Table1[[#This Row],[Campo]]</f>
        <v>modesg_out_emss_vclsorigem_scp3_emss</v>
      </c>
      <c r="B762" s="2" t="s">
        <v>26</v>
      </c>
      <c r="C762" s="2" t="s">
        <v>310</v>
      </c>
      <c r="D762" s="2" t="s">
        <v>332</v>
      </c>
      <c r="E762" s="2" t="s">
        <v>38</v>
      </c>
      <c r="F762" s="2" t="s">
        <v>331</v>
      </c>
      <c r="G762" s="2" t="s">
        <v>321</v>
      </c>
      <c r="H762" s="56" t="str">
        <f>Table1[[#This Row],[Tabela]]&amp;Table1[[#This Row],[Campo]]</f>
        <v>modesg_out_emss_vclsorigem_scp3_emss</v>
      </c>
      <c r="I762" s="2" t="s">
        <v>612</v>
      </c>
      <c r="J762" s="42">
        <f>VLOOKUP(Table1[[#This Row],[Status]],Auxiliar!$B$16:$C$24,2,0)</f>
        <v>1</v>
      </c>
      <c r="K762" s="2" t="s">
        <v>1169</v>
      </c>
      <c r="L762" s="28" t="s">
        <v>1166</v>
      </c>
      <c r="M762" s="20" t="s">
        <v>1176</v>
      </c>
      <c r="N762" s="47">
        <v>45618</v>
      </c>
      <c r="O762" s="20">
        <f>INDEX(Auxiliar!$D$5:$F$13,MATCH(Table1[[#This Row],[Tipologia_Testes]],Auxiliar!$B$5:$B$13,0),MATCH(Table1[[#This Row],[Complexidade]],Auxiliar!$D$4:$F$4,0))</f>
        <v>4</v>
      </c>
      <c r="P762" s="2"/>
      <c r="Q762" s="2"/>
      <c r="R762" s="151">
        <v>45566</v>
      </c>
      <c r="S762" s="151"/>
      <c r="T762" s="151">
        <v>45569</v>
      </c>
      <c r="U762" s="151">
        <v>45607</v>
      </c>
      <c r="V762" s="151">
        <v>45608</v>
      </c>
      <c r="W762" s="2">
        <f>VLOOKUP(Table1[[#This Row],[Status]],Auxiliar!$B$16:$D$24,3,0)*Table1[[#This Row],[Estimação (horas)]]</f>
        <v>4</v>
      </c>
      <c r="X762" s="165">
        <f>+VLOOKUP(CONCATENATE(Table1[[#This Row],[Tabela]],Table1[[#This Row],[Campo]]),'2. Status Detalhe Campos FY24'!A:J,9,FALSE)</f>
        <v>0</v>
      </c>
      <c r="Y762" s="491" t="e">
        <f>+VLOOKUP(A762,#REF!,1,FALSE)</f>
        <v>#REF!</v>
      </c>
    </row>
    <row r="763" spans="1:25" ht="17.899999999999999" hidden="1" customHeight="1">
      <c r="A763" t="str">
        <f>+Table1[[#This Row],[Tabela]]&amp;Table1[[#This Row],[Campo]]</f>
        <v>modesg_out_emss_vclsorigem_scp3_emss</v>
      </c>
      <c r="B763" s="2" t="s">
        <v>26</v>
      </c>
      <c r="C763" s="2" t="s">
        <v>310</v>
      </c>
      <c r="D763" s="2" t="s">
        <v>332</v>
      </c>
      <c r="E763" s="2" t="s">
        <v>38</v>
      </c>
      <c r="F763" s="2" t="s">
        <v>331</v>
      </c>
      <c r="G763" s="2" t="s">
        <v>321</v>
      </c>
      <c r="H763" s="56" t="str">
        <f>Table1[[#This Row],[Tabela]]&amp;Table1[[#This Row],[Campo]]</f>
        <v>modesg_out_emss_vclsorigem_scp3_emss</v>
      </c>
      <c r="I763" s="2" t="s">
        <v>612</v>
      </c>
      <c r="J763" s="42">
        <f>VLOOKUP(Table1[[#This Row],[Status]],Auxiliar!$B$16:$C$24,2,0)</f>
        <v>1</v>
      </c>
      <c r="K763" s="2" t="s">
        <v>1171</v>
      </c>
      <c r="L763" s="28" t="s">
        <v>1166</v>
      </c>
      <c r="M763" s="20" t="s">
        <v>1176</v>
      </c>
      <c r="N763" s="47">
        <v>45618</v>
      </c>
      <c r="O763" s="20">
        <f>INDEX(Auxiliar!$D$5:$F$13,MATCH(Table1[[#This Row],[Tipologia_Testes]],Auxiliar!$B$5:$B$13,0),MATCH(Table1[[#This Row],[Complexidade]],Auxiliar!$D$4:$F$4,0))</f>
        <v>0.1</v>
      </c>
      <c r="P763" s="2"/>
      <c r="Q763" s="2"/>
      <c r="R763" s="151">
        <v>45566</v>
      </c>
      <c r="S763" s="151"/>
      <c r="T763" s="151">
        <v>45569</v>
      </c>
      <c r="U763" s="151">
        <v>45607</v>
      </c>
      <c r="V763" s="151">
        <v>45608</v>
      </c>
      <c r="W763" s="2">
        <f>VLOOKUP(Table1[[#This Row],[Status]],Auxiliar!$B$16:$D$24,3,0)*Table1[[#This Row],[Estimação (horas)]]</f>
        <v>0.1</v>
      </c>
      <c r="X763" s="165">
        <f>+VLOOKUP(CONCATENATE(Table1[[#This Row],[Tabela]],Table1[[#This Row],[Campo]]),'2. Status Detalhe Campos FY24'!A:J,9,FALSE)</f>
        <v>0</v>
      </c>
      <c r="Y763" s="491" t="e">
        <f>+VLOOKUP(A763,#REF!,1,FALSE)</f>
        <v>#REF!</v>
      </c>
    </row>
    <row r="764" spans="1:25" ht="17.899999999999999" hidden="1" customHeight="1">
      <c r="A764" t="str">
        <f>+Table1[[#This Row],[Tabela]]&amp;Table1[[#This Row],[Campo]]</f>
        <v>modesg_out_emss_vclsref_date</v>
      </c>
      <c r="B764" s="2" t="s">
        <v>26</v>
      </c>
      <c r="C764" s="2" t="s">
        <v>310</v>
      </c>
      <c r="D764" s="2" t="s">
        <v>332</v>
      </c>
      <c r="E764" s="2" t="s">
        <v>38</v>
      </c>
      <c r="F764" s="2" t="s">
        <v>331</v>
      </c>
      <c r="G764" s="2" t="s">
        <v>208</v>
      </c>
      <c r="H764" s="56" t="str">
        <f>Table1[[#This Row],[Tabela]]&amp;Table1[[#This Row],[Campo]]</f>
        <v>modesg_out_emss_vclsref_date</v>
      </c>
      <c r="I764" s="3" t="s">
        <v>612</v>
      </c>
      <c r="J764" s="54">
        <f>VLOOKUP(Table1[[#This Row],[Status]],Auxiliar!$B$16:$C$24,2,0)</f>
        <v>1</v>
      </c>
      <c r="K764" s="2" t="s">
        <v>1168</v>
      </c>
      <c r="L764" s="28" t="s">
        <v>1174</v>
      </c>
      <c r="M764" s="20" t="s">
        <v>1175</v>
      </c>
      <c r="N764" s="47">
        <v>45485</v>
      </c>
      <c r="O764" s="20">
        <f>INDEX(Auxiliar!$D$5:$F$13,MATCH(Table1[[#This Row],[Tipologia_Testes]],Auxiliar!$B$5:$B$13,0),MATCH(Table1[[#This Row],[Complexidade]],Auxiliar!$D$4:$F$4,0))</f>
        <v>2</v>
      </c>
      <c r="P764" s="2"/>
      <c r="Q764" s="2"/>
      <c r="R764" s="151">
        <v>45261</v>
      </c>
      <c r="S764" s="151"/>
      <c r="T764" s="151"/>
      <c r="U764" s="151"/>
      <c r="V764" s="151"/>
      <c r="W764" s="2">
        <f>VLOOKUP(Table1[[#This Row],[Status]],Auxiliar!$B$16:$D$24,3,0)*Table1[[#This Row],[Estimação (horas)]]</f>
        <v>2</v>
      </c>
      <c r="X764" s="165">
        <f>+VLOOKUP(CONCATENATE(Table1[[#This Row],[Tabela]],Table1[[#This Row],[Campo]]),'2. Status Detalhe Campos FY24'!A:J,9,FALSE)</f>
        <v>0</v>
      </c>
      <c r="Y764" s="491" t="e">
        <f>+VLOOKUP(A764,#REF!,1,FALSE)</f>
        <v>#REF!</v>
      </c>
    </row>
    <row r="765" spans="1:25" ht="17.899999999999999" hidden="1" customHeight="1">
      <c r="A765" t="str">
        <f>+Table1[[#This Row],[Tabela]]&amp;Table1[[#This Row],[Campo]]</f>
        <v>modesg_out_emss_vclsref_date</v>
      </c>
      <c r="B765" s="2" t="s">
        <v>26</v>
      </c>
      <c r="C765" s="2" t="s">
        <v>310</v>
      </c>
      <c r="D765" s="2" t="s">
        <v>332</v>
      </c>
      <c r="E765" s="2" t="s">
        <v>38</v>
      </c>
      <c r="F765" s="2" t="s">
        <v>331</v>
      </c>
      <c r="G765" s="2" t="s">
        <v>208</v>
      </c>
      <c r="H765" s="56" t="str">
        <f>Table1[[#This Row],[Tabela]]&amp;Table1[[#This Row],[Campo]]</f>
        <v>modesg_out_emss_vclsref_date</v>
      </c>
      <c r="I765" s="3" t="s">
        <v>612</v>
      </c>
      <c r="J765" s="54">
        <f>VLOOKUP(Table1[[#This Row],[Status]],Auxiliar!$B$16:$C$24,2,0)</f>
        <v>1</v>
      </c>
      <c r="K765" s="2" t="s">
        <v>1169</v>
      </c>
      <c r="L765" s="28" t="s">
        <v>1174</v>
      </c>
      <c r="M765" s="20" t="s">
        <v>1175</v>
      </c>
      <c r="N765" s="47">
        <v>45485</v>
      </c>
      <c r="O765" s="20">
        <f>INDEX(Auxiliar!$D$5:$F$13,MATCH(Table1[[#This Row],[Tipologia_Testes]],Auxiliar!$B$5:$B$13,0),MATCH(Table1[[#This Row],[Complexidade]],Auxiliar!$D$4:$F$4,0))</f>
        <v>2</v>
      </c>
      <c r="P765" s="2"/>
      <c r="Q765" s="2"/>
      <c r="R765" s="151">
        <v>45261</v>
      </c>
      <c r="S765" s="151"/>
      <c r="T765" s="151"/>
      <c r="U765" s="151"/>
      <c r="V765" s="151"/>
      <c r="W765" s="2">
        <f>VLOOKUP(Table1[[#This Row],[Status]],Auxiliar!$B$16:$D$24,3,0)*Table1[[#This Row],[Estimação (horas)]]</f>
        <v>2</v>
      </c>
      <c r="X765" s="165">
        <f>+VLOOKUP(CONCATENATE(Table1[[#This Row],[Tabela]],Table1[[#This Row],[Campo]]),'2. Status Detalhe Campos FY24'!A:J,9,FALSE)</f>
        <v>0</v>
      </c>
      <c r="Y765" s="491" t="e">
        <f>+VLOOKUP(A765,#REF!,1,FALSE)</f>
        <v>#REF!</v>
      </c>
    </row>
    <row r="766" spans="1:25" ht="69.650000000000006" hidden="1" customHeight="1">
      <c r="A766" t="str">
        <f>+Table1[[#This Row],[Tabela]]&amp;Table1[[#This Row],[Campo]]</f>
        <v>modesg_out_emss_vclsref_date</v>
      </c>
      <c r="B766" s="2" t="s">
        <v>26</v>
      </c>
      <c r="C766" s="2" t="s">
        <v>310</v>
      </c>
      <c r="D766" s="2" t="s">
        <v>332</v>
      </c>
      <c r="E766" s="2" t="s">
        <v>38</v>
      </c>
      <c r="F766" s="2" t="s">
        <v>331</v>
      </c>
      <c r="G766" s="2" t="s">
        <v>208</v>
      </c>
      <c r="H766" s="56" t="str">
        <f>Table1[[#This Row],[Tabela]]&amp;Table1[[#This Row],[Campo]]</f>
        <v>modesg_out_emss_vclsref_date</v>
      </c>
      <c r="I766" s="3" t="s">
        <v>612</v>
      </c>
      <c r="J766" s="54">
        <f>VLOOKUP(Table1[[#This Row],[Status]],Auxiliar!$B$16:$C$24,2,0)</f>
        <v>1</v>
      </c>
      <c r="K766" s="2" t="s">
        <v>1171</v>
      </c>
      <c r="L766" s="28" t="s">
        <v>1174</v>
      </c>
      <c r="M766" s="20" t="s">
        <v>1175</v>
      </c>
      <c r="N766" s="47">
        <v>45485</v>
      </c>
      <c r="O766" s="20">
        <f>INDEX(Auxiliar!$D$5:$F$13,MATCH(Table1[[#This Row],[Tipologia_Testes]],Auxiliar!$B$5:$B$13,0),MATCH(Table1[[#This Row],[Complexidade]],Auxiliar!$D$4:$F$4,0))</f>
        <v>0.1</v>
      </c>
      <c r="P766" s="2"/>
      <c r="Q766" s="2"/>
      <c r="R766" s="151">
        <v>45261</v>
      </c>
      <c r="S766" s="151"/>
      <c r="T766" s="151"/>
      <c r="U766" s="151"/>
      <c r="V766" s="151"/>
      <c r="W766" s="2">
        <f>VLOOKUP(Table1[[#This Row],[Status]],Auxiliar!$B$16:$D$24,3,0)*Table1[[#This Row],[Estimação (horas)]]</f>
        <v>0.1</v>
      </c>
      <c r="X766" s="165">
        <f>+VLOOKUP(CONCATENATE(Table1[[#This Row],[Tabela]],Table1[[#This Row],[Campo]]),'2. Status Detalhe Campos FY24'!A:J,9,FALSE)</f>
        <v>0</v>
      </c>
      <c r="Y766" s="491" t="e">
        <f>+VLOOKUP(A766,#REF!,1,FALSE)</f>
        <v>#REF!</v>
      </c>
    </row>
    <row r="767" spans="1:25" ht="69.650000000000006" hidden="1" customHeight="1">
      <c r="A767" t="str">
        <f>+Table1[[#This Row],[Tabela]]&amp;Table1[[#This Row],[Campo]]</f>
        <v>modesg_out_emss_vclsscp1_emss</v>
      </c>
      <c r="B767" s="2" t="s">
        <v>26</v>
      </c>
      <c r="C767" s="2" t="s">
        <v>310</v>
      </c>
      <c r="D767" s="2" t="s">
        <v>332</v>
      </c>
      <c r="E767" s="2" t="s">
        <v>38</v>
      </c>
      <c r="F767" s="2" t="s">
        <v>331</v>
      </c>
      <c r="G767" s="2" t="s">
        <v>285</v>
      </c>
      <c r="H767" s="56" t="str">
        <f>Table1[[#This Row],[Tabela]]&amp;Table1[[#This Row],[Campo]]</f>
        <v>modesg_out_emss_vclsscp1_emss</v>
      </c>
      <c r="I767" s="3" t="s">
        <v>612</v>
      </c>
      <c r="J767" s="42">
        <f>VLOOKUP(Table1[[#This Row],[Status]],Auxiliar!$B$16:$C$24,2,0)</f>
        <v>1</v>
      </c>
      <c r="K767" s="2" t="s">
        <v>1168</v>
      </c>
      <c r="L767" s="28" t="s">
        <v>1166</v>
      </c>
      <c r="M767" s="20" t="s">
        <v>1167</v>
      </c>
      <c r="N767" s="47">
        <v>45632</v>
      </c>
      <c r="O767" s="20">
        <f>INDEX(Auxiliar!$D$5:$F$13,MATCH(Table1[[#This Row],[Tipologia_Testes]],Auxiliar!$B$5:$B$13,0),MATCH(Table1[[#This Row],[Complexidade]],Auxiliar!$D$4:$F$4,0))</f>
        <v>8</v>
      </c>
      <c r="P767" s="22" t="s">
        <v>1204</v>
      </c>
      <c r="Q767" s="2"/>
      <c r="R767" s="151">
        <v>45566</v>
      </c>
      <c r="S767" s="151"/>
      <c r="T767" s="151">
        <v>45621</v>
      </c>
      <c r="U767" s="151">
        <v>45607</v>
      </c>
      <c r="V767" s="151">
        <v>45608</v>
      </c>
      <c r="W767" s="2">
        <f>VLOOKUP(Table1[[#This Row],[Status]],Auxiliar!$B$16:$D$24,3,0)*Table1[[#This Row],[Estimação (horas)]]</f>
        <v>8</v>
      </c>
      <c r="X767" s="165">
        <f>+VLOOKUP(CONCATENATE(Table1[[#This Row],[Tabela]],Table1[[#This Row],[Campo]]),'2. Status Detalhe Campos FY24'!A:J,9,FALSE)</f>
        <v>0</v>
      </c>
      <c r="Y767" s="491" t="e">
        <f>+VLOOKUP(A767,#REF!,1,FALSE)</f>
        <v>#REF!</v>
      </c>
    </row>
    <row r="768" spans="1:25" ht="69.650000000000006" hidden="1" customHeight="1">
      <c r="A768" t="str">
        <f>+Table1[[#This Row],[Tabela]]&amp;Table1[[#This Row],[Campo]]</f>
        <v>modesg_out_emss_vclsscp1_emss</v>
      </c>
      <c r="B768" s="2" t="s">
        <v>26</v>
      </c>
      <c r="C768" s="2" t="s">
        <v>310</v>
      </c>
      <c r="D768" s="2" t="s">
        <v>332</v>
      </c>
      <c r="E768" s="2" t="s">
        <v>38</v>
      </c>
      <c r="F768" s="2" t="s">
        <v>331</v>
      </c>
      <c r="G768" s="2" t="s">
        <v>285</v>
      </c>
      <c r="H768" s="56" t="str">
        <f>Table1[[#This Row],[Tabela]]&amp;Table1[[#This Row],[Campo]]</f>
        <v>modesg_out_emss_vclsscp1_emss</v>
      </c>
      <c r="I768" s="3" t="s">
        <v>612</v>
      </c>
      <c r="J768" s="42">
        <f>VLOOKUP(Table1[[#This Row],[Status]],Auxiliar!$B$16:$C$24,2,0)</f>
        <v>1</v>
      </c>
      <c r="K768" s="2" t="s">
        <v>1169</v>
      </c>
      <c r="L768" s="28" t="s">
        <v>1166</v>
      </c>
      <c r="M768" s="20" t="s">
        <v>1167</v>
      </c>
      <c r="N768" s="47">
        <v>45632</v>
      </c>
      <c r="O768" s="20">
        <f>INDEX(Auxiliar!$D$5:$F$13,MATCH(Table1[[#This Row],[Tipologia_Testes]],Auxiliar!$B$5:$B$13,0),MATCH(Table1[[#This Row],[Complexidade]],Auxiliar!$D$4:$F$4,0))</f>
        <v>8</v>
      </c>
      <c r="P768" s="22" t="s">
        <v>1204</v>
      </c>
      <c r="Q768" s="2"/>
      <c r="R768" s="151">
        <v>45566</v>
      </c>
      <c r="S768" s="151"/>
      <c r="T768" s="151">
        <v>45621</v>
      </c>
      <c r="U768" s="151">
        <v>45607</v>
      </c>
      <c r="V768" s="151">
        <v>45608</v>
      </c>
      <c r="W768" s="2">
        <f>VLOOKUP(Table1[[#This Row],[Status]],Auxiliar!$B$16:$D$24,3,0)*Table1[[#This Row],[Estimação (horas)]]</f>
        <v>8</v>
      </c>
      <c r="X768" s="165">
        <f>+VLOOKUP(CONCATENATE(Table1[[#This Row],[Tabela]],Table1[[#This Row],[Campo]]),'2. Status Detalhe Campos FY24'!A:J,9,FALSE)</f>
        <v>0</v>
      </c>
      <c r="Y768" s="491" t="e">
        <f>+VLOOKUP(A768,#REF!,1,FALSE)</f>
        <v>#REF!</v>
      </c>
    </row>
    <row r="769" spans="1:25" ht="69.650000000000006" hidden="1" customHeight="1">
      <c r="A769" t="str">
        <f>+Table1[[#This Row],[Tabela]]&amp;Table1[[#This Row],[Campo]]</f>
        <v>modesg_out_emss_vclsscp1_emss</v>
      </c>
      <c r="B769" s="2" t="s">
        <v>26</v>
      </c>
      <c r="C769" s="2" t="s">
        <v>310</v>
      </c>
      <c r="D769" s="2" t="s">
        <v>332</v>
      </c>
      <c r="E769" s="2" t="s">
        <v>38</v>
      </c>
      <c r="F769" s="2" t="s">
        <v>331</v>
      </c>
      <c r="G769" s="2" t="s">
        <v>285</v>
      </c>
      <c r="H769" s="56" t="str">
        <f>Table1[[#This Row],[Tabela]]&amp;Table1[[#This Row],[Campo]]</f>
        <v>modesg_out_emss_vclsscp1_emss</v>
      </c>
      <c r="I769" s="3" t="s">
        <v>612</v>
      </c>
      <c r="J769" s="42">
        <f>VLOOKUP(Table1[[#This Row],[Status]],Auxiliar!$B$16:$C$24,2,0)</f>
        <v>1</v>
      </c>
      <c r="K769" s="2" t="s">
        <v>1171</v>
      </c>
      <c r="L769" s="28" t="s">
        <v>1166</v>
      </c>
      <c r="M769" s="20" t="s">
        <v>1167</v>
      </c>
      <c r="N769" s="47">
        <v>45632</v>
      </c>
      <c r="O769" s="20">
        <f>INDEX(Auxiliar!$D$5:$F$13,MATCH(Table1[[#This Row],[Tipologia_Testes]],Auxiliar!$B$5:$B$13,0),MATCH(Table1[[#This Row],[Complexidade]],Auxiliar!$D$4:$F$4,0))</f>
        <v>0.1</v>
      </c>
      <c r="P769" s="22" t="s">
        <v>1204</v>
      </c>
      <c r="Q769" s="2"/>
      <c r="R769" s="151">
        <v>45566</v>
      </c>
      <c r="S769" s="151"/>
      <c r="T769" s="151">
        <v>45621</v>
      </c>
      <c r="U769" s="151">
        <v>45607</v>
      </c>
      <c r="V769" s="151">
        <v>45608</v>
      </c>
      <c r="W769" s="2">
        <f>VLOOKUP(Table1[[#This Row],[Status]],Auxiliar!$B$16:$D$24,3,0)*Table1[[#This Row],[Estimação (horas)]]</f>
        <v>0.1</v>
      </c>
      <c r="X769" s="165">
        <f>+VLOOKUP(CONCATENATE(Table1[[#This Row],[Tabela]],Table1[[#This Row],[Campo]]),'2. Status Detalhe Campos FY24'!A:J,9,FALSE)</f>
        <v>0</v>
      </c>
      <c r="Y769" s="491" t="e">
        <f>+VLOOKUP(A769,#REF!,1,FALSE)</f>
        <v>#REF!</v>
      </c>
    </row>
    <row r="770" spans="1:25" ht="69.650000000000006" hidden="1" customHeight="1">
      <c r="A770" t="str">
        <f>+Table1[[#This Row],[Tabela]]&amp;Table1[[#This Row],[Campo]]</f>
        <v>modesg_out_emss_vclsscp2_emss</v>
      </c>
      <c r="B770" s="2" t="s">
        <v>26</v>
      </c>
      <c r="C770" s="2" t="s">
        <v>310</v>
      </c>
      <c r="D770" s="2" t="s">
        <v>332</v>
      </c>
      <c r="E770" s="2" t="s">
        <v>38</v>
      </c>
      <c r="F770" s="2" t="s">
        <v>331</v>
      </c>
      <c r="G770" s="2" t="s">
        <v>286</v>
      </c>
      <c r="H770" s="56" t="str">
        <f>Table1[[#This Row],[Tabela]]&amp;Table1[[#This Row],[Campo]]</f>
        <v>modesg_out_emss_vclsscp2_emss</v>
      </c>
      <c r="I770" s="3" t="s">
        <v>612</v>
      </c>
      <c r="J770" s="42">
        <f>VLOOKUP(Table1[[#This Row],[Status]],Auxiliar!$B$16:$C$24,2,0)</f>
        <v>1</v>
      </c>
      <c r="K770" s="2" t="s">
        <v>1168</v>
      </c>
      <c r="L770" s="28" t="s">
        <v>1166</v>
      </c>
      <c r="M770" s="20" t="s">
        <v>1167</v>
      </c>
      <c r="N770" s="47">
        <v>45632</v>
      </c>
      <c r="O770" s="20">
        <f>INDEX(Auxiliar!$D$5:$F$13,MATCH(Table1[[#This Row],[Tipologia_Testes]],Auxiliar!$B$5:$B$13,0),MATCH(Table1[[#This Row],[Complexidade]],Auxiliar!$D$4:$F$4,0))</f>
        <v>8</v>
      </c>
      <c r="P770" s="22" t="s">
        <v>1204</v>
      </c>
      <c r="Q770" s="2"/>
      <c r="R770" s="151">
        <v>45566</v>
      </c>
      <c r="S770" s="151"/>
      <c r="T770" s="151">
        <v>45621</v>
      </c>
      <c r="U770" s="151">
        <v>45607</v>
      </c>
      <c r="V770" s="151">
        <v>45608</v>
      </c>
      <c r="W770" s="2">
        <f>VLOOKUP(Table1[[#This Row],[Status]],Auxiliar!$B$16:$D$24,3,0)*Table1[[#This Row],[Estimação (horas)]]</f>
        <v>8</v>
      </c>
      <c r="X770" s="165">
        <f>+VLOOKUP(CONCATENATE(Table1[[#This Row],[Tabela]],Table1[[#This Row],[Campo]]),'2. Status Detalhe Campos FY24'!A:J,9,FALSE)</f>
        <v>0</v>
      </c>
      <c r="Y770" s="491" t="e">
        <f>+VLOOKUP(A770,#REF!,1,FALSE)</f>
        <v>#REF!</v>
      </c>
    </row>
    <row r="771" spans="1:25" ht="69.650000000000006" hidden="1" customHeight="1">
      <c r="A771" t="str">
        <f>+Table1[[#This Row],[Tabela]]&amp;Table1[[#This Row],[Campo]]</f>
        <v>modesg_out_emss_vclsscp2_emss</v>
      </c>
      <c r="B771" s="2" t="s">
        <v>26</v>
      </c>
      <c r="C771" s="2" t="s">
        <v>310</v>
      </c>
      <c r="D771" s="2" t="s">
        <v>332</v>
      </c>
      <c r="E771" s="2" t="s">
        <v>38</v>
      </c>
      <c r="F771" s="2" t="s">
        <v>331</v>
      </c>
      <c r="G771" s="2" t="s">
        <v>286</v>
      </c>
      <c r="H771" s="56" t="str">
        <f>Table1[[#This Row],[Tabela]]&amp;Table1[[#This Row],[Campo]]</f>
        <v>modesg_out_emss_vclsscp2_emss</v>
      </c>
      <c r="I771" s="3" t="s">
        <v>612</v>
      </c>
      <c r="J771" s="42">
        <f>VLOOKUP(Table1[[#This Row],[Status]],Auxiliar!$B$16:$C$24,2,0)</f>
        <v>1</v>
      </c>
      <c r="K771" s="2" t="s">
        <v>1169</v>
      </c>
      <c r="L771" s="28" t="s">
        <v>1166</v>
      </c>
      <c r="M771" s="20" t="s">
        <v>1167</v>
      </c>
      <c r="N771" s="47">
        <v>45632</v>
      </c>
      <c r="O771" s="20">
        <f>INDEX(Auxiliar!$D$5:$F$13,MATCH(Table1[[#This Row],[Tipologia_Testes]],Auxiliar!$B$5:$B$13,0),MATCH(Table1[[#This Row],[Complexidade]],Auxiliar!$D$4:$F$4,0))</f>
        <v>8</v>
      </c>
      <c r="P771" s="22" t="s">
        <v>1204</v>
      </c>
      <c r="Q771" s="2"/>
      <c r="R771" s="151">
        <v>45566</v>
      </c>
      <c r="S771" s="151"/>
      <c r="T771" s="151">
        <v>45621</v>
      </c>
      <c r="U771" s="151">
        <v>45607</v>
      </c>
      <c r="V771" s="151">
        <v>45608</v>
      </c>
      <c r="W771" s="2">
        <f>VLOOKUP(Table1[[#This Row],[Status]],Auxiliar!$B$16:$D$24,3,0)*Table1[[#This Row],[Estimação (horas)]]</f>
        <v>8</v>
      </c>
      <c r="X771" s="165">
        <f>+VLOOKUP(CONCATENATE(Table1[[#This Row],[Tabela]],Table1[[#This Row],[Campo]]),'2. Status Detalhe Campos FY24'!A:J,9,FALSE)</f>
        <v>0</v>
      </c>
      <c r="Y771" s="491" t="e">
        <f>+VLOOKUP(A771,#REF!,1,FALSE)</f>
        <v>#REF!</v>
      </c>
    </row>
    <row r="772" spans="1:25" ht="69.650000000000006" hidden="1" customHeight="1">
      <c r="A772" t="str">
        <f>+Table1[[#This Row],[Tabela]]&amp;Table1[[#This Row],[Campo]]</f>
        <v>modesg_out_emss_vclsscp2_emss</v>
      </c>
      <c r="B772" s="2" t="s">
        <v>26</v>
      </c>
      <c r="C772" s="2" t="s">
        <v>310</v>
      </c>
      <c r="D772" s="2" t="s">
        <v>332</v>
      </c>
      <c r="E772" s="2" t="s">
        <v>38</v>
      </c>
      <c r="F772" s="2" t="s">
        <v>331</v>
      </c>
      <c r="G772" s="2" t="s">
        <v>286</v>
      </c>
      <c r="H772" s="56" t="str">
        <f>Table1[[#This Row],[Tabela]]&amp;Table1[[#This Row],[Campo]]</f>
        <v>modesg_out_emss_vclsscp2_emss</v>
      </c>
      <c r="I772" s="3" t="s">
        <v>612</v>
      </c>
      <c r="J772" s="42">
        <f>VLOOKUP(Table1[[#This Row],[Status]],Auxiliar!$B$16:$C$24,2,0)</f>
        <v>1</v>
      </c>
      <c r="K772" s="2" t="s">
        <v>1171</v>
      </c>
      <c r="L772" s="28" t="s">
        <v>1166</v>
      </c>
      <c r="M772" s="20" t="s">
        <v>1167</v>
      </c>
      <c r="N772" s="47">
        <v>45632</v>
      </c>
      <c r="O772" s="20">
        <f>INDEX(Auxiliar!$D$5:$F$13,MATCH(Table1[[#This Row],[Tipologia_Testes]],Auxiliar!$B$5:$B$13,0),MATCH(Table1[[#This Row],[Complexidade]],Auxiliar!$D$4:$F$4,0))</f>
        <v>0.1</v>
      </c>
      <c r="P772" s="22" t="s">
        <v>1204</v>
      </c>
      <c r="Q772" s="2"/>
      <c r="R772" s="151">
        <v>45566</v>
      </c>
      <c r="S772" s="151"/>
      <c r="T772" s="151">
        <v>45621</v>
      </c>
      <c r="U772" s="151">
        <v>45607</v>
      </c>
      <c r="V772" s="151">
        <v>45608</v>
      </c>
      <c r="W772" s="2">
        <f>VLOOKUP(Table1[[#This Row],[Status]],Auxiliar!$B$16:$D$24,3,0)*Table1[[#This Row],[Estimação (horas)]]</f>
        <v>0.1</v>
      </c>
      <c r="X772" s="165">
        <f>+VLOOKUP(CONCATENATE(Table1[[#This Row],[Tabela]],Table1[[#This Row],[Campo]]),'2. Status Detalhe Campos FY24'!A:J,9,FALSE)</f>
        <v>0</v>
      </c>
      <c r="Y772" s="491" t="e">
        <f>+VLOOKUP(A772,#REF!,1,FALSE)</f>
        <v>#REF!</v>
      </c>
    </row>
    <row r="773" spans="1:25" ht="69.650000000000006" hidden="1" customHeight="1">
      <c r="A773" t="str">
        <f>+Table1[[#This Row],[Tabela]]&amp;Table1[[#This Row],[Campo]]</f>
        <v>modesg_out_emss_vclsscp3_emss</v>
      </c>
      <c r="B773" s="2" t="s">
        <v>26</v>
      </c>
      <c r="C773" s="2" t="s">
        <v>310</v>
      </c>
      <c r="D773" s="2" t="s">
        <v>332</v>
      </c>
      <c r="E773" s="2" t="s">
        <v>38</v>
      </c>
      <c r="F773" s="2" t="s">
        <v>331</v>
      </c>
      <c r="G773" s="2" t="s">
        <v>287</v>
      </c>
      <c r="H773" s="56" t="str">
        <f>Table1[[#This Row],[Tabela]]&amp;Table1[[#This Row],[Campo]]</f>
        <v>modesg_out_emss_vclsscp3_emss</v>
      </c>
      <c r="I773" s="2" t="s">
        <v>612</v>
      </c>
      <c r="J773" s="42">
        <f>VLOOKUP(Table1[[#This Row],[Status]],Auxiliar!$B$16:$C$24,2,0)</f>
        <v>1</v>
      </c>
      <c r="K773" s="2" t="s">
        <v>1168</v>
      </c>
      <c r="L773" s="28" t="s">
        <v>1166</v>
      </c>
      <c r="M773" s="20" t="s">
        <v>1167</v>
      </c>
      <c r="N773" s="47">
        <v>45618</v>
      </c>
      <c r="O773" s="20">
        <f>INDEX(Auxiliar!$D$5:$F$13,MATCH(Table1[[#This Row],[Tipologia_Testes]],Auxiliar!$B$5:$B$13,0),MATCH(Table1[[#This Row],[Complexidade]],Auxiliar!$D$4:$F$4,0))</f>
        <v>8</v>
      </c>
      <c r="P773" s="22" t="s">
        <v>1204</v>
      </c>
      <c r="Q773" s="2"/>
      <c r="R773" s="151">
        <v>45566</v>
      </c>
      <c r="S773" s="151"/>
      <c r="T773" s="151">
        <v>45569</v>
      </c>
      <c r="U773" s="151">
        <v>45607</v>
      </c>
      <c r="V773" s="151">
        <v>45608</v>
      </c>
      <c r="W773" s="2">
        <f>VLOOKUP(Table1[[#This Row],[Status]],Auxiliar!$B$16:$D$24,3,0)*Table1[[#This Row],[Estimação (horas)]]</f>
        <v>8</v>
      </c>
      <c r="X773" s="165">
        <f>+VLOOKUP(CONCATENATE(Table1[[#This Row],[Tabela]],Table1[[#This Row],[Campo]]),'2. Status Detalhe Campos FY24'!A:J,9,FALSE)</f>
        <v>0</v>
      </c>
      <c r="Y773" s="491" t="e">
        <f>+VLOOKUP(A773,#REF!,1,FALSE)</f>
        <v>#REF!</v>
      </c>
    </row>
    <row r="774" spans="1:25" ht="69.650000000000006" hidden="1" customHeight="1">
      <c r="A774" t="str">
        <f>+Table1[[#This Row],[Tabela]]&amp;Table1[[#This Row],[Campo]]</f>
        <v>modesg_out_emss_vclsscp3_emss</v>
      </c>
      <c r="B774" s="2" t="s">
        <v>26</v>
      </c>
      <c r="C774" s="2" t="s">
        <v>310</v>
      </c>
      <c r="D774" s="2" t="s">
        <v>332</v>
      </c>
      <c r="E774" s="2" t="s">
        <v>38</v>
      </c>
      <c r="F774" s="2" t="s">
        <v>331</v>
      </c>
      <c r="G774" s="2" t="s">
        <v>287</v>
      </c>
      <c r="H774" s="56" t="str">
        <f>Table1[[#This Row],[Tabela]]&amp;Table1[[#This Row],[Campo]]</f>
        <v>modesg_out_emss_vclsscp3_emss</v>
      </c>
      <c r="I774" s="2" t="s">
        <v>612</v>
      </c>
      <c r="J774" s="42">
        <f>VLOOKUP(Table1[[#This Row],[Status]],Auxiliar!$B$16:$C$24,2,0)</f>
        <v>1</v>
      </c>
      <c r="K774" s="2" t="s">
        <v>1169</v>
      </c>
      <c r="L774" s="28" t="s">
        <v>1166</v>
      </c>
      <c r="M774" s="20" t="s">
        <v>1167</v>
      </c>
      <c r="N774" s="47">
        <v>45618</v>
      </c>
      <c r="O774" s="20">
        <f>INDEX(Auxiliar!$D$5:$F$13,MATCH(Table1[[#This Row],[Tipologia_Testes]],Auxiliar!$B$5:$B$13,0),MATCH(Table1[[#This Row],[Complexidade]],Auxiliar!$D$4:$F$4,0))</f>
        <v>8</v>
      </c>
      <c r="P774" s="22" t="s">
        <v>1204</v>
      </c>
      <c r="Q774" s="2"/>
      <c r="R774" s="151">
        <v>45566</v>
      </c>
      <c r="S774" s="151"/>
      <c r="T774" s="151">
        <v>45569</v>
      </c>
      <c r="U774" s="151">
        <v>45607</v>
      </c>
      <c r="V774" s="151">
        <v>45608</v>
      </c>
      <c r="W774" s="2">
        <f>VLOOKUP(Table1[[#This Row],[Status]],Auxiliar!$B$16:$D$24,3,0)*Table1[[#This Row],[Estimação (horas)]]</f>
        <v>8</v>
      </c>
      <c r="X774" s="165">
        <f>+VLOOKUP(CONCATENATE(Table1[[#This Row],[Tabela]],Table1[[#This Row],[Campo]]),'2. Status Detalhe Campos FY24'!A:J,9,FALSE)</f>
        <v>0</v>
      </c>
      <c r="Y774" s="491" t="e">
        <f>+VLOOKUP(A774,#REF!,1,FALSE)</f>
        <v>#REF!</v>
      </c>
    </row>
    <row r="775" spans="1:25" ht="17.899999999999999" hidden="1" customHeight="1">
      <c r="A775" t="str">
        <f>+Table1[[#This Row],[Tabela]]&amp;Table1[[#This Row],[Campo]]</f>
        <v>modesg_out_emss_vclsscp3_emss</v>
      </c>
      <c r="B775" s="2" t="s">
        <v>26</v>
      </c>
      <c r="C775" s="2" t="s">
        <v>310</v>
      </c>
      <c r="D775" s="2" t="s">
        <v>332</v>
      </c>
      <c r="E775" s="2" t="s">
        <v>38</v>
      </c>
      <c r="F775" s="2" t="s">
        <v>331</v>
      </c>
      <c r="G775" s="2" t="s">
        <v>287</v>
      </c>
      <c r="H775" s="56" t="str">
        <f>Table1[[#This Row],[Tabela]]&amp;Table1[[#This Row],[Campo]]</f>
        <v>modesg_out_emss_vclsscp3_emss</v>
      </c>
      <c r="I775" s="2" t="s">
        <v>612</v>
      </c>
      <c r="J775" s="42">
        <f>VLOOKUP(Table1[[#This Row],[Status]],Auxiliar!$B$16:$C$24,2,0)</f>
        <v>1</v>
      </c>
      <c r="K775" s="2" t="s">
        <v>1171</v>
      </c>
      <c r="L775" s="28" t="s">
        <v>1166</v>
      </c>
      <c r="M775" s="20" t="s">
        <v>1167</v>
      </c>
      <c r="N775" s="47">
        <v>45618</v>
      </c>
      <c r="O775" s="20">
        <f>INDEX(Auxiliar!$D$5:$F$13,MATCH(Table1[[#This Row],[Tipologia_Testes]],Auxiliar!$B$5:$B$13,0),MATCH(Table1[[#This Row],[Complexidade]],Auxiliar!$D$4:$F$4,0))</f>
        <v>0.1</v>
      </c>
      <c r="P775" s="22" t="s">
        <v>1204</v>
      </c>
      <c r="Q775" s="2"/>
      <c r="R775" s="151">
        <v>45566</v>
      </c>
      <c r="S775" s="151"/>
      <c r="T775" s="151">
        <v>45569</v>
      </c>
      <c r="U775" s="151">
        <v>45607</v>
      </c>
      <c r="V775" s="151">
        <v>45608</v>
      </c>
      <c r="W775" s="2">
        <f>VLOOKUP(Table1[[#This Row],[Status]],Auxiliar!$B$16:$D$24,3,0)*Table1[[#This Row],[Estimação (horas)]]</f>
        <v>0.1</v>
      </c>
      <c r="X775" s="165">
        <f>+VLOOKUP(CONCATENATE(Table1[[#This Row],[Tabela]],Table1[[#This Row],[Campo]]),'2. Status Detalhe Campos FY24'!A:J,9,FALSE)</f>
        <v>0</v>
      </c>
      <c r="Y775" s="491" t="e">
        <f>+VLOOKUP(A775,#REF!,1,FALSE)</f>
        <v>#REF!</v>
      </c>
    </row>
    <row r="776" spans="1:25" ht="17.899999999999999" hidden="1" customHeight="1">
      <c r="A776" t="str">
        <f>+Table1[[#This Row],[Tabela]]&amp;Table1[[#This Row],[Campo]]</f>
        <v>modesg_out_emss_vclsunidade_funcional_scp1_emss</v>
      </c>
      <c r="B776" s="2" t="s">
        <v>26</v>
      </c>
      <c r="C776" s="2" t="s">
        <v>310</v>
      </c>
      <c r="D776" s="2" t="s">
        <v>332</v>
      </c>
      <c r="E776" s="2" t="s">
        <v>38</v>
      </c>
      <c r="F776" s="2" t="s">
        <v>331</v>
      </c>
      <c r="G776" s="2" t="s">
        <v>322</v>
      </c>
      <c r="H776" s="56" t="str">
        <f>Table1[[#This Row],[Tabela]]&amp;Table1[[#This Row],[Campo]]</f>
        <v>modesg_out_emss_vclsunidade_funcional_scp1_emss</v>
      </c>
      <c r="I776" s="3" t="s">
        <v>612</v>
      </c>
      <c r="J776" s="54">
        <f>VLOOKUP(Table1[[#This Row],[Status]],Auxiliar!$B$16:$C$24,2,0)</f>
        <v>1</v>
      </c>
      <c r="K776" s="2" t="s">
        <v>1168</v>
      </c>
      <c r="L776" s="28" t="s">
        <v>1174</v>
      </c>
      <c r="M776" s="20" t="s">
        <v>1175</v>
      </c>
      <c r="N776" s="47">
        <v>45485</v>
      </c>
      <c r="O776" s="20">
        <f>INDEX(Auxiliar!$D$5:$F$13,MATCH(Table1[[#This Row],[Tipologia_Testes]],Auxiliar!$B$5:$B$13,0),MATCH(Table1[[#This Row],[Complexidade]],Auxiliar!$D$4:$F$4,0))</f>
        <v>2</v>
      </c>
      <c r="P776" s="2"/>
      <c r="Q776" s="2"/>
      <c r="R776" s="151">
        <v>45261</v>
      </c>
      <c r="S776" s="151"/>
      <c r="T776" s="151"/>
      <c r="U776" s="151"/>
      <c r="V776" s="151"/>
      <c r="W776" s="2">
        <f>VLOOKUP(Table1[[#This Row],[Status]],Auxiliar!$B$16:$D$24,3,0)*Table1[[#This Row],[Estimação (horas)]]</f>
        <v>2</v>
      </c>
      <c r="X776" s="165">
        <f>+VLOOKUP(CONCATENATE(Table1[[#This Row],[Tabela]],Table1[[#This Row],[Campo]]),'2. Status Detalhe Campos FY24'!A:J,9,FALSE)</f>
        <v>0</v>
      </c>
      <c r="Y776" s="491" t="e">
        <f>+VLOOKUP(A776,#REF!,1,FALSE)</f>
        <v>#REF!</v>
      </c>
    </row>
    <row r="777" spans="1:25" ht="17.899999999999999" hidden="1" customHeight="1">
      <c r="A777" t="str">
        <f>+Table1[[#This Row],[Tabela]]&amp;Table1[[#This Row],[Campo]]</f>
        <v>modesg_out_emss_vclsunidade_funcional_scp1_emss</v>
      </c>
      <c r="B777" s="2" t="s">
        <v>26</v>
      </c>
      <c r="C777" s="2" t="s">
        <v>310</v>
      </c>
      <c r="D777" s="2" t="s">
        <v>332</v>
      </c>
      <c r="E777" s="2" t="s">
        <v>38</v>
      </c>
      <c r="F777" s="2" t="s">
        <v>331</v>
      </c>
      <c r="G777" s="2" t="s">
        <v>322</v>
      </c>
      <c r="H777" s="56" t="str">
        <f>Table1[[#This Row],[Tabela]]&amp;Table1[[#This Row],[Campo]]</f>
        <v>modesg_out_emss_vclsunidade_funcional_scp1_emss</v>
      </c>
      <c r="I777" s="3" t="s">
        <v>612</v>
      </c>
      <c r="J777" s="54">
        <f>VLOOKUP(Table1[[#This Row],[Status]],Auxiliar!$B$16:$C$24,2,0)</f>
        <v>1</v>
      </c>
      <c r="K777" s="2" t="s">
        <v>1169</v>
      </c>
      <c r="L777" s="28" t="s">
        <v>1174</v>
      </c>
      <c r="M777" s="20" t="s">
        <v>1175</v>
      </c>
      <c r="N777" s="47">
        <v>45485</v>
      </c>
      <c r="O777" s="20">
        <f>INDEX(Auxiliar!$D$5:$F$13,MATCH(Table1[[#This Row],[Tipologia_Testes]],Auxiliar!$B$5:$B$13,0),MATCH(Table1[[#This Row],[Complexidade]],Auxiliar!$D$4:$F$4,0))</f>
        <v>2</v>
      </c>
      <c r="P777" s="2"/>
      <c r="Q777" s="2"/>
      <c r="R777" s="151">
        <v>45261</v>
      </c>
      <c r="S777" s="151"/>
      <c r="T777" s="151"/>
      <c r="U777" s="151"/>
      <c r="V777" s="151"/>
      <c r="W777" s="2">
        <f>VLOOKUP(Table1[[#This Row],[Status]],Auxiliar!$B$16:$D$24,3,0)*Table1[[#This Row],[Estimação (horas)]]</f>
        <v>2</v>
      </c>
      <c r="X777" s="165">
        <f>+VLOOKUP(CONCATENATE(Table1[[#This Row],[Tabela]],Table1[[#This Row],[Campo]]),'2. Status Detalhe Campos FY24'!A:J,9,FALSE)</f>
        <v>0</v>
      </c>
      <c r="Y777" s="491" t="e">
        <f>+VLOOKUP(A777,#REF!,1,FALSE)</f>
        <v>#REF!</v>
      </c>
    </row>
    <row r="778" spans="1:25" ht="17.899999999999999" hidden="1" customHeight="1">
      <c r="A778" t="str">
        <f>+Table1[[#This Row],[Tabela]]&amp;Table1[[#This Row],[Campo]]</f>
        <v>modesg_out_emss_vclsunidade_funcional_scp1_emss</v>
      </c>
      <c r="B778" s="2" t="s">
        <v>26</v>
      </c>
      <c r="C778" s="2" t="s">
        <v>310</v>
      </c>
      <c r="D778" s="2" t="s">
        <v>332</v>
      </c>
      <c r="E778" s="2" t="s">
        <v>38</v>
      </c>
      <c r="F778" s="2" t="s">
        <v>331</v>
      </c>
      <c r="G778" s="2" t="s">
        <v>322</v>
      </c>
      <c r="H778" s="56" t="str">
        <f>Table1[[#This Row],[Tabela]]&amp;Table1[[#This Row],[Campo]]</f>
        <v>modesg_out_emss_vclsunidade_funcional_scp1_emss</v>
      </c>
      <c r="I778" s="3" t="s">
        <v>612</v>
      </c>
      <c r="J778" s="54">
        <f>VLOOKUP(Table1[[#This Row],[Status]],Auxiliar!$B$16:$C$24,2,0)</f>
        <v>1</v>
      </c>
      <c r="K778" s="2" t="s">
        <v>1171</v>
      </c>
      <c r="L778" s="28" t="s">
        <v>1174</v>
      </c>
      <c r="M778" s="20" t="s">
        <v>1175</v>
      </c>
      <c r="N778" s="47">
        <v>45485</v>
      </c>
      <c r="O778" s="20">
        <f>INDEX(Auxiliar!$D$5:$F$13,MATCH(Table1[[#This Row],[Tipologia_Testes]],Auxiliar!$B$5:$B$13,0),MATCH(Table1[[#This Row],[Complexidade]],Auxiliar!$D$4:$F$4,0))</f>
        <v>0.1</v>
      </c>
      <c r="P778" s="2"/>
      <c r="Q778" s="2"/>
      <c r="R778" s="151">
        <v>45261</v>
      </c>
      <c r="S778" s="151"/>
      <c r="T778" s="151"/>
      <c r="U778" s="151"/>
      <c r="V778" s="151"/>
      <c r="W778" s="2">
        <f>VLOOKUP(Table1[[#This Row],[Status]],Auxiliar!$B$16:$D$24,3,0)*Table1[[#This Row],[Estimação (horas)]]</f>
        <v>0.1</v>
      </c>
      <c r="X778" s="165">
        <f>+VLOOKUP(CONCATENATE(Table1[[#This Row],[Tabela]],Table1[[#This Row],[Campo]]),'2. Status Detalhe Campos FY24'!A:J,9,FALSE)</f>
        <v>0</v>
      </c>
      <c r="Y778" s="491" t="e">
        <f>+VLOOKUP(A778,#REF!,1,FALSE)</f>
        <v>#REF!</v>
      </c>
    </row>
    <row r="779" spans="1:25" ht="17.899999999999999" hidden="1" customHeight="1">
      <c r="A779" t="str">
        <f>+Table1[[#This Row],[Tabela]]&amp;Table1[[#This Row],[Campo]]</f>
        <v>modesg_out_emss_vclsunidade_funcional_scp2_emss</v>
      </c>
      <c r="B779" s="2" t="s">
        <v>26</v>
      </c>
      <c r="C779" s="2" t="s">
        <v>310</v>
      </c>
      <c r="D779" s="2" t="s">
        <v>332</v>
      </c>
      <c r="E779" s="2" t="s">
        <v>38</v>
      </c>
      <c r="F779" s="2" t="s">
        <v>331</v>
      </c>
      <c r="G779" s="2" t="s">
        <v>323</v>
      </c>
      <c r="H779" s="56" t="str">
        <f>Table1[[#This Row],[Tabela]]&amp;Table1[[#This Row],[Campo]]</f>
        <v>modesg_out_emss_vclsunidade_funcional_scp2_emss</v>
      </c>
      <c r="I779" s="3" t="s">
        <v>612</v>
      </c>
      <c r="J779" s="54">
        <f>VLOOKUP(Table1[[#This Row],[Status]],Auxiliar!$B$16:$C$24,2,0)</f>
        <v>1</v>
      </c>
      <c r="K779" s="2" t="s">
        <v>1168</v>
      </c>
      <c r="L779" s="28" t="s">
        <v>1174</v>
      </c>
      <c r="M779" s="20" t="s">
        <v>1175</v>
      </c>
      <c r="N779" s="47">
        <v>45485</v>
      </c>
      <c r="O779" s="20">
        <f>INDEX(Auxiliar!$D$5:$F$13,MATCH(Table1[[#This Row],[Tipologia_Testes]],Auxiliar!$B$5:$B$13,0),MATCH(Table1[[#This Row],[Complexidade]],Auxiliar!$D$4:$F$4,0))</f>
        <v>2</v>
      </c>
      <c r="P779" s="2"/>
      <c r="Q779" s="2"/>
      <c r="R779" s="151">
        <v>45261</v>
      </c>
      <c r="S779" s="151"/>
      <c r="T779" s="151"/>
      <c r="U779" s="151"/>
      <c r="V779" s="151"/>
      <c r="W779" s="2">
        <f>VLOOKUP(Table1[[#This Row],[Status]],Auxiliar!$B$16:$D$24,3,0)*Table1[[#This Row],[Estimação (horas)]]</f>
        <v>2</v>
      </c>
      <c r="X779" s="165">
        <f>+VLOOKUP(CONCATENATE(Table1[[#This Row],[Tabela]],Table1[[#This Row],[Campo]]),'2. Status Detalhe Campos FY24'!A:J,9,FALSE)</f>
        <v>0</v>
      </c>
      <c r="Y779" s="491" t="e">
        <f>+VLOOKUP(A779,#REF!,1,FALSE)</f>
        <v>#REF!</v>
      </c>
    </row>
    <row r="780" spans="1:25" ht="17.899999999999999" hidden="1" customHeight="1">
      <c r="A780" t="str">
        <f>+Table1[[#This Row],[Tabela]]&amp;Table1[[#This Row],[Campo]]</f>
        <v>modesg_out_emss_vclsunidade_funcional_scp2_emss</v>
      </c>
      <c r="B780" s="2" t="s">
        <v>26</v>
      </c>
      <c r="C780" s="2" t="s">
        <v>310</v>
      </c>
      <c r="D780" s="2" t="s">
        <v>332</v>
      </c>
      <c r="E780" s="2" t="s">
        <v>38</v>
      </c>
      <c r="F780" s="2" t="s">
        <v>331</v>
      </c>
      <c r="G780" s="2" t="s">
        <v>323</v>
      </c>
      <c r="H780" s="56" t="str">
        <f>Table1[[#This Row],[Tabela]]&amp;Table1[[#This Row],[Campo]]</f>
        <v>modesg_out_emss_vclsunidade_funcional_scp2_emss</v>
      </c>
      <c r="I780" s="3" t="s">
        <v>612</v>
      </c>
      <c r="J780" s="54">
        <f>VLOOKUP(Table1[[#This Row],[Status]],Auxiliar!$B$16:$C$24,2,0)</f>
        <v>1</v>
      </c>
      <c r="K780" s="2" t="s">
        <v>1169</v>
      </c>
      <c r="L780" s="28" t="s">
        <v>1174</v>
      </c>
      <c r="M780" s="20" t="s">
        <v>1175</v>
      </c>
      <c r="N780" s="47">
        <v>45485</v>
      </c>
      <c r="O780" s="20">
        <f>INDEX(Auxiliar!$D$5:$F$13,MATCH(Table1[[#This Row],[Tipologia_Testes]],Auxiliar!$B$5:$B$13,0),MATCH(Table1[[#This Row],[Complexidade]],Auxiliar!$D$4:$F$4,0))</f>
        <v>2</v>
      </c>
      <c r="P780" s="2"/>
      <c r="Q780" s="2"/>
      <c r="R780" s="151">
        <v>45261</v>
      </c>
      <c r="S780" s="151"/>
      <c r="T780" s="151"/>
      <c r="U780" s="151"/>
      <c r="V780" s="151"/>
      <c r="W780" s="2">
        <f>VLOOKUP(Table1[[#This Row],[Status]],Auxiliar!$B$16:$D$24,3,0)*Table1[[#This Row],[Estimação (horas)]]</f>
        <v>2</v>
      </c>
      <c r="X780" s="165">
        <f>+VLOOKUP(CONCATENATE(Table1[[#This Row],[Tabela]],Table1[[#This Row],[Campo]]),'2. Status Detalhe Campos FY24'!A:J,9,FALSE)</f>
        <v>0</v>
      </c>
      <c r="Y780" s="491" t="e">
        <f>+VLOOKUP(A780,#REF!,1,FALSE)</f>
        <v>#REF!</v>
      </c>
    </row>
    <row r="781" spans="1:25" ht="17.899999999999999" hidden="1" customHeight="1">
      <c r="A781" t="str">
        <f>+Table1[[#This Row],[Tabela]]&amp;Table1[[#This Row],[Campo]]</f>
        <v>modesg_out_emss_vclsunidade_funcional_scp2_emss</v>
      </c>
      <c r="B781" s="2" t="s">
        <v>26</v>
      </c>
      <c r="C781" s="2" t="s">
        <v>310</v>
      </c>
      <c r="D781" s="2" t="s">
        <v>332</v>
      </c>
      <c r="E781" s="2" t="s">
        <v>38</v>
      </c>
      <c r="F781" s="2" t="s">
        <v>331</v>
      </c>
      <c r="G781" s="2" t="s">
        <v>323</v>
      </c>
      <c r="H781" s="56" t="str">
        <f>Table1[[#This Row],[Tabela]]&amp;Table1[[#This Row],[Campo]]</f>
        <v>modesg_out_emss_vclsunidade_funcional_scp2_emss</v>
      </c>
      <c r="I781" s="3" t="s">
        <v>612</v>
      </c>
      <c r="J781" s="54">
        <f>VLOOKUP(Table1[[#This Row],[Status]],Auxiliar!$B$16:$C$24,2,0)</f>
        <v>1</v>
      </c>
      <c r="K781" s="2" t="s">
        <v>1171</v>
      </c>
      <c r="L781" s="28" t="s">
        <v>1174</v>
      </c>
      <c r="M781" s="20" t="s">
        <v>1175</v>
      </c>
      <c r="N781" s="47">
        <v>45485</v>
      </c>
      <c r="O781" s="20">
        <f>INDEX(Auxiliar!$D$5:$F$13,MATCH(Table1[[#This Row],[Tipologia_Testes]],Auxiliar!$B$5:$B$13,0),MATCH(Table1[[#This Row],[Complexidade]],Auxiliar!$D$4:$F$4,0))</f>
        <v>0.1</v>
      </c>
      <c r="P781" s="2"/>
      <c r="Q781" s="2"/>
      <c r="R781" s="151">
        <v>45261</v>
      </c>
      <c r="S781" s="151"/>
      <c r="T781" s="151"/>
      <c r="U781" s="151"/>
      <c r="V781" s="151"/>
      <c r="W781" s="2">
        <f>VLOOKUP(Table1[[#This Row],[Status]],Auxiliar!$B$16:$D$24,3,0)*Table1[[#This Row],[Estimação (horas)]]</f>
        <v>0.1</v>
      </c>
      <c r="X781" s="165">
        <f>+VLOOKUP(CONCATENATE(Table1[[#This Row],[Tabela]],Table1[[#This Row],[Campo]]),'2. Status Detalhe Campos FY24'!A:J,9,FALSE)</f>
        <v>0</v>
      </c>
      <c r="Y781" s="491" t="e">
        <f>+VLOOKUP(A781,#REF!,1,FALSE)</f>
        <v>#REF!</v>
      </c>
    </row>
    <row r="782" spans="1:25" ht="17.899999999999999" hidden="1" customHeight="1">
      <c r="A782" t="str">
        <f>+Table1[[#This Row],[Tabela]]&amp;Table1[[#This Row],[Campo]]</f>
        <v>modesg_out_emss_vclsunidade_funcional_scp3_emss</v>
      </c>
      <c r="B782" s="2" t="s">
        <v>26</v>
      </c>
      <c r="C782" s="2" t="s">
        <v>310</v>
      </c>
      <c r="D782" s="2" t="s">
        <v>332</v>
      </c>
      <c r="E782" s="2" t="s">
        <v>38</v>
      </c>
      <c r="F782" s="2" t="s">
        <v>331</v>
      </c>
      <c r="G782" s="2" t="s">
        <v>324</v>
      </c>
      <c r="H782" s="56" t="str">
        <f>Table1[[#This Row],[Tabela]]&amp;Table1[[#This Row],[Campo]]</f>
        <v>modesg_out_emss_vclsunidade_funcional_scp3_emss</v>
      </c>
      <c r="I782" s="3" t="s">
        <v>612</v>
      </c>
      <c r="J782" s="54">
        <f>VLOOKUP(Table1[[#This Row],[Status]],Auxiliar!$B$16:$C$24,2,0)</f>
        <v>1</v>
      </c>
      <c r="K782" s="2" t="s">
        <v>1168</v>
      </c>
      <c r="L782" s="28" t="s">
        <v>1174</v>
      </c>
      <c r="M782" s="20" t="s">
        <v>1175</v>
      </c>
      <c r="N782" s="47">
        <v>45485</v>
      </c>
      <c r="O782" s="20">
        <f>INDEX(Auxiliar!$D$5:$F$13,MATCH(Table1[[#This Row],[Tipologia_Testes]],Auxiliar!$B$5:$B$13,0),MATCH(Table1[[#This Row],[Complexidade]],Auxiliar!$D$4:$F$4,0))</f>
        <v>2</v>
      </c>
      <c r="P782" s="2"/>
      <c r="Q782" s="2"/>
      <c r="R782" s="151">
        <v>45261</v>
      </c>
      <c r="S782" s="151"/>
      <c r="T782" s="151"/>
      <c r="U782" s="151"/>
      <c r="V782" s="151"/>
      <c r="W782" s="2">
        <f>VLOOKUP(Table1[[#This Row],[Status]],Auxiliar!$B$16:$D$24,3,0)*Table1[[#This Row],[Estimação (horas)]]</f>
        <v>2</v>
      </c>
      <c r="X782" s="165">
        <f>+VLOOKUP(CONCATENATE(Table1[[#This Row],[Tabela]],Table1[[#This Row],[Campo]]),'2. Status Detalhe Campos FY24'!A:J,9,FALSE)</f>
        <v>0</v>
      </c>
      <c r="Y782" s="491" t="e">
        <f>+VLOOKUP(A782,#REF!,1,FALSE)</f>
        <v>#REF!</v>
      </c>
    </row>
    <row r="783" spans="1:25" ht="17.899999999999999" hidden="1" customHeight="1">
      <c r="A783" t="str">
        <f>+Table1[[#This Row],[Tabela]]&amp;Table1[[#This Row],[Campo]]</f>
        <v>modesg_out_emss_vclsunidade_funcional_scp3_emss</v>
      </c>
      <c r="B783" s="2" t="s">
        <v>26</v>
      </c>
      <c r="C783" s="2" t="s">
        <v>310</v>
      </c>
      <c r="D783" s="2" t="s">
        <v>332</v>
      </c>
      <c r="E783" s="2" t="s">
        <v>38</v>
      </c>
      <c r="F783" s="2" t="s">
        <v>331</v>
      </c>
      <c r="G783" s="2" t="s">
        <v>324</v>
      </c>
      <c r="H783" s="56" t="str">
        <f>Table1[[#This Row],[Tabela]]&amp;Table1[[#This Row],[Campo]]</f>
        <v>modesg_out_emss_vclsunidade_funcional_scp3_emss</v>
      </c>
      <c r="I783" s="3" t="s">
        <v>612</v>
      </c>
      <c r="J783" s="54">
        <f>VLOOKUP(Table1[[#This Row],[Status]],Auxiliar!$B$16:$C$24,2,0)</f>
        <v>1</v>
      </c>
      <c r="K783" s="2" t="s">
        <v>1169</v>
      </c>
      <c r="L783" s="28" t="s">
        <v>1174</v>
      </c>
      <c r="M783" s="20" t="s">
        <v>1175</v>
      </c>
      <c r="N783" s="47">
        <v>45485</v>
      </c>
      <c r="O783" s="20">
        <f>INDEX(Auxiliar!$D$5:$F$13,MATCH(Table1[[#This Row],[Tipologia_Testes]],Auxiliar!$B$5:$B$13,0),MATCH(Table1[[#This Row],[Complexidade]],Auxiliar!$D$4:$F$4,0))</f>
        <v>2</v>
      </c>
      <c r="P783" s="2"/>
      <c r="Q783" s="2"/>
      <c r="R783" s="151">
        <v>45261</v>
      </c>
      <c r="S783" s="151"/>
      <c r="T783" s="151"/>
      <c r="U783" s="151"/>
      <c r="V783" s="151"/>
      <c r="W783" s="2">
        <f>VLOOKUP(Table1[[#This Row],[Status]],Auxiliar!$B$16:$D$24,3,0)*Table1[[#This Row],[Estimação (horas)]]</f>
        <v>2</v>
      </c>
      <c r="X783" s="165">
        <f>+VLOOKUP(CONCATENATE(Table1[[#This Row],[Tabela]],Table1[[#This Row],[Campo]]),'2. Status Detalhe Campos FY24'!A:J,9,FALSE)</f>
        <v>0</v>
      </c>
      <c r="Y783" s="491" t="e">
        <f>+VLOOKUP(A783,#REF!,1,FALSE)</f>
        <v>#REF!</v>
      </c>
    </row>
    <row r="784" spans="1:25" ht="18" hidden="1" customHeight="1">
      <c r="A784" t="str">
        <f>+Table1[[#This Row],[Tabela]]&amp;Table1[[#This Row],[Campo]]</f>
        <v>modesg_out_emss_vclsunidade_funcional_scp3_emss</v>
      </c>
      <c r="B784" s="2" t="s">
        <v>26</v>
      </c>
      <c r="C784" s="2" t="s">
        <v>310</v>
      </c>
      <c r="D784" s="2" t="s">
        <v>332</v>
      </c>
      <c r="E784" s="2" t="s">
        <v>38</v>
      </c>
      <c r="F784" s="2" t="s">
        <v>331</v>
      </c>
      <c r="G784" s="2" t="s">
        <v>324</v>
      </c>
      <c r="H784" s="56" t="str">
        <f>Table1[[#This Row],[Tabela]]&amp;Table1[[#This Row],[Campo]]</f>
        <v>modesg_out_emss_vclsunidade_funcional_scp3_emss</v>
      </c>
      <c r="I784" s="3" t="s">
        <v>612</v>
      </c>
      <c r="J784" s="54">
        <f>VLOOKUP(Table1[[#This Row],[Status]],Auxiliar!$B$16:$C$24,2,0)</f>
        <v>1</v>
      </c>
      <c r="K784" s="2" t="s">
        <v>1171</v>
      </c>
      <c r="L784" s="28" t="s">
        <v>1174</v>
      </c>
      <c r="M784" s="20" t="s">
        <v>1175</v>
      </c>
      <c r="N784" s="47">
        <v>45485</v>
      </c>
      <c r="O784" s="20">
        <f>INDEX(Auxiliar!$D$5:$F$13,MATCH(Table1[[#This Row],[Tipologia_Testes]],Auxiliar!$B$5:$B$13,0),MATCH(Table1[[#This Row],[Complexidade]],Auxiliar!$D$4:$F$4,0))</f>
        <v>0.1</v>
      </c>
      <c r="P784" s="2"/>
      <c r="Q784" s="2"/>
      <c r="R784" s="151">
        <v>45261</v>
      </c>
      <c r="S784" s="151"/>
      <c r="T784" s="151"/>
      <c r="U784" s="151"/>
      <c r="V784" s="151"/>
      <c r="W784" s="2">
        <f>VLOOKUP(Table1[[#This Row],[Status]],Auxiliar!$B$16:$D$24,3,0)*Table1[[#This Row],[Estimação (horas)]]</f>
        <v>0.1</v>
      </c>
      <c r="X784" s="165">
        <f>+VLOOKUP(CONCATENATE(Table1[[#This Row],[Tabela]],Table1[[#This Row],[Campo]]),'2. Status Detalhe Campos FY24'!A:J,9,FALSE)</f>
        <v>0</v>
      </c>
      <c r="Y784" s="491" t="e">
        <f>+VLOOKUP(A784,#REF!,1,FALSE)</f>
        <v>#REF!</v>
      </c>
    </row>
    <row r="785" spans="1:25" ht="17.899999999999999" hidden="1" customHeight="1">
      <c r="A785" t="str">
        <f>+Table1[[#This Row],[Tabela]]&amp;Table1[[#This Row],[Campo]]</f>
        <v>modesg_out_sfics_taxon_europeian.a.</v>
      </c>
      <c r="B785" s="2" t="s">
        <v>26</v>
      </c>
      <c r="C785" s="2" t="s">
        <v>310</v>
      </c>
      <c r="D785" s="2" t="s">
        <v>334</v>
      </c>
      <c r="E785" s="2" t="s">
        <v>38</v>
      </c>
      <c r="F785" s="2" t="s">
        <v>2079</v>
      </c>
      <c r="G785" s="2" t="s">
        <v>38</v>
      </c>
      <c r="H785" s="56" t="str">
        <f>Table1[[#This Row],[Tabela]]&amp;Table1[[#This Row],[Campo]]</f>
        <v>modesg_out_sfics_taxon_europeian.a.</v>
      </c>
      <c r="I785" s="2" t="s">
        <v>612</v>
      </c>
      <c r="J785" s="42">
        <f>VLOOKUP(Table1[[#This Row],[Status]],Auxiliar!$B$16:$C$24,2,0)</f>
        <v>1</v>
      </c>
      <c r="K785" s="2" t="s">
        <v>1165</v>
      </c>
      <c r="L785" s="28" t="s">
        <v>1166</v>
      </c>
      <c r="M785" s="20" t="s">
        <v>1167</v>
      </c>
      <c r="N785" s="47">
        <v>45695</v>
      </c>
      <c r="O785" s="20">
        <f>INDEX(Auxiliar!$D$5:$F$13,MATCH(Table1[[#This Row],[Tipologia_Testes]],Auxiliar!$B$5:$B$13,0),MATCH(Table1[[#This Row],[Complexidade]],Auxiliar!$D$4:$F$4,0))</f>
        <v>8</v>
      </c>
      <c r="P785" s="22" t="s">
        <v>1205</v>
      </c>
      <c r="Q785" s="2"/>
      <c r="R785" s="151">
        <v>45563</v>
      </c>
      <c r="S785" s="151"/>
      <c r="T785" s="151">
        <v>45563</v>
      </c>
      <c r="U785" s="151">
        <v>45624</v>
      </c>
      <c r="V785" s="151">
        <v>45629</v>
      </c>
      <c r="W785" s="2">
        <f>VLOOKUP(Table1[[#This Row],[Status]],Auxiliar!$B$16:$D$24,3,0)*Table1[[#This Row],[Estimação (horas)]]</f>
        <v>8</v>
      </c>
      <c r="X785" s="165">
        <f>+VLOOKUP(CONCATENATE(Table1[[#This Row],[Tabela]],Table1[[#This Row],[Campo]]),'2. Status Detalhe Campos FY24'!A:J,9,FALSE)</f>
        <v>0</v>
      </c>
      <c r="Y785" s="491" t="e">
        <f>+VLOOKUP(A785,#REF!,1,FALSE)</f>
        <v>#REF!</v>
      </c>
    </row>
    <row r="786" spans="1:25" ht="17.899999999999999" hidden="1" customHeight="1">
      <c r="A786" t="str">
        <f>+Table1[[#This Row],[Tabela]]&amp;Table1[[#This Row],[Campo]]</f>
        <v>modesg_out_sfics_taxon_europeiacbalcao</v>
      </c>
      <c r="B786" s="2" t="s">
        <v>26</v>
      </c>
      <c r="C786" s="2" t="s">
        <v>310</v>
      </c>
      <c r="D786" s="2" t="s">
        <v>334</v>
      </c>
      <c r="E786" s="2" t="s">
        <v>38</v>
      </c>
      <c r="F786" s="2" t="s">
        <v>2079</v>
      </c>
      <c r="G786" s="2" t="s">
        <v>183</v>
      </c>
      <c r="H786" s="56" t="str">
        <f>Table1[[#This Row],[Tabela]]&amp;Table1[[#This Row],[Campo]]</f>
        <v>modesg_out_sfics_taxon_europeiacbalcao</v>
      </c>
      <c r="I786" s="2" t="s">
        <v>612</v>
      </c>
      <c r="J786" s="42">
        <f>VLOOKUP(Table1[[#This Row],[Status]],Auxiliar!$B$16:$C$24,2,0)</f>
        <v>1</v>
      </c>
      <c r="K786" s="2" t="s">
        <v>1168</v>
      </c>
      <c r="L786" s="28" t="s">
        <v>1174</v>
      </c>
      <c r="M786" s="20" t="s">
        <v>1175</v>
      </c>
      <c r="N786" s="47">
        <v>45695</v>
      </c>
      <c r="O786" s="20">
        <f>INDEX(Auxiliar!$D$5:$F$13,MATCH(Table1[[#This Row],[Tipologia_Testes]],Auxiliar!$B$5:$B$13,0),MATCH(Table1[[#This Row],[Complexidade]],Auxiliar!$D$4:$F$4,0))</f>
        <v>2</v>
      </c>
      <c r="P786" s="2"/>
      <c r="Q786" s="2"/>
      <c r="R786" s="151">
        <v>45563</v>
      </c>
      <c r="S786" s="151"/>
      <c r="T786" s="151">
        <v>45563</v>
      </c>
      <c r="U786" s="151">
        <v>45624</v>
      </c>
      <c r="V786" s="151">
        <v>45629</v>
      </c>
      <c r="W786" s="2">
        <f>VLOOKUP(Table1[[#This Row],[Status]],Auxiliar!$B$16:$D$24,3,0)*Table1[[#This Row],[Estimação (horas)]]</f>
        <v>2</v>
      </c>
      <c r="X786" s="165">
        <f>+VLOOKUP(CONCATENATE(Table1[[#This Row],[Tabela]],Table1[[#This Row],[Campo]]),'2. Status Detalhe Campos FY24'!A:J,9,FALSE)</f>
        <v>0</v>
      </c>
      <c r="Y786" s="491" t="e">
        <f>+VLOOKUP(A786,#REF!,1,FALSE)</f>
        <v>#REF!</v>
      </c>
    </row>
    <row r="787" spans="1:25" ht="17.899999999999999" hidden="1" customHeight="1">
      <c r="A787" t="str">
        <f>+Table1[[#This Row],[Tabela]]&amp;Table1[[#This Row],[Campo]]</f>
        <v>modesg_out_sfics_taxon_europeiacbalcao</v>
      </c>
      <c r="B787" s="2" t="s">
        <v>26</v>
      </c>
      <c r="C787" s="2" t="s">
        <v>310</v>
      </c>
      <c r="D787" s="2" t="s">
        <v>334</v>
      </c>
      <c r="E787" s="2" t="s">
        <v>38</v>
      </c>
      <c r="F787" s="2" t="s">
        <v>2079</v>
      </c>
      <c r="G787" s="2" t="s">
        <v>183</v>
      </c>
      <c r="H787" s="56" t="str">
        <f>Table1[[#This Row],[Tabela]]&amp;Table1[[#This Row],[Campo]]</f>
        <v>modesg_out_sfics_taxon_europeiacbalcao</v>
      </c>
      <c r="I787" s="2" t="s">
        <v>612</v>
      </c>
      <c r="J787" s="42">
        <f>VLOOKUP(Table1[[#This Row],[Status]],Auxiliar!$B$16:$C$24,2,0)</f>
        <v>1</v>
      </c>
      <c r="K787" s="2" t="s">
        <v>1169</v>
      </c>
      <c r="L787" s="28" t="s">
        <v>1174</v>
      </c>
      <c r="M787" s="20" t="s">
        <v>1175</v>
      </c>
      <c r="N787" s="47">
        <v>45695</v>
      </c>
      <c r="O787" s="20">
        <f>INDEX(Auxiliar!$D$5:$F$13,MATCH(Table1[[#This Row],[Tipologia_Testes]],Auxiliar!$B$5:$B$13,0),MATCH(Table1[[#This Row],[Complexidade]],Auxiliar!$D$4:$F$4,0))</f>
        <v>2</v>
      </c>
      <c r="P787" s="2"/>
      <c r="Q787" s="2"/>
      <c r="R787" s="151">
        <v>45563</v>
      </c>
      <c r="S787" s="151"/>
      <c r="T787" s="151">
        <v>45563</v>
      </c>
      <c r="U787" s="151">
        <v>45624</v>
      </c>
      <c r="V787" s="151">
        <v>45629</v>
      </c>
      <c r="W787" s="2">
        <f>VLOOKUP(Table1[[#This Row],[Status]],Auxiliar!$B$16:$D$24,3,0)*Table1[[#This Row],[Estimação (horas)]]</f>
        <v>2</v>
      </c>
      <c r="X787" s="165">
        <f>+VLOOKUP(CONCATENATE(Table1[[#This Row],[Tabela]],Table1[[#This Row],[Campo]]),'2. Status Detalhe Campos FY24'!A:J,9,FALSE)</f>
        <v>0</v>
      </c>
      <c r="Y787" s="491" t="e">
        <f>+VLOOKUP(A787,#REF!,1,FALSE)</f>
        <v>#REF!</v>
      </c>
    </row>
    <row r="788" spans="1:25" ht="17.899999999999999" hidden="1" customHeight="1">
      <c r="A788" t="str">
        <f>+Table1[[#This Row],[Tabela]]&amp;Table1[[#This Row],[Campo]]</f>
        <v>modesg_out_sfics_taxon_europeiacbalcao</v>
      </c>
      <c r="B788" s="2" t="s">
        <v>26</v>
      </c>
      <c r="C788" s="2" t="s">
        <v>310</v>
      </c>
      <c r="D788" s="2" t="s">
        <v>334</v>
      </c>
      <c r="E788" s="2" t="s">
        <v>38</v>
      </c>
      <c r="F788" s="2" t="s">
        <v>2079</v>
      </c>
      <c r="G788" s="2" t="s">
        <v>183</v>
      </c>
      <c r="H788" s="56" t="str">
        <f>Table1[[#This Row],[Tabela]]&amp;Table1[[#This Row],[Campo]]</f>
        <v>modesg_out_sfics_taxon_europeiacbalcao</v>
      </c>
      <c r="I788" s="2" t="s">
        <v>612</v>
      </c>
      <c r="J788" s="42">
        <f>VLOOKUP(Table1[[#This Row],[Status]],Auxiliar!$B$16:$C$24,2,0)</f>
        <v>1</v>
      </c>
      <c r="K788" s="2" t="s">
        <v>1171</v>
      </c>
      <c r="L788" s="28" t="s">
        <v>1174</v>
      </c>
      <c r="M788" s="20" t="s">
        <v>1175</v>
      </c>
      <c r="N788" s="47">
        <v>45695</v>
      </c>
      <c r="O788" s="20">
        <f>INDEX(Auxiliar!$D$5:$F$13,MATCH(Table1[[#This Row],[Tipologia_Testes]],Auxiliar!$B$5:$B$13,0),MATCH(Table1[[#This Row],[Complexidade]],Auxiliar!$D$4:$F$4,0))</f>
        <v>0.1</v>
      </c>
      <c r="P788" s="2"/>
      <c r="Q788" s="2"/>
      <c r="R788" s="151">
        <v>45563</v>
      </c>
      <c r="S788" s="151"/>
      <c r="T788" s="151">
        <v>45563</v>
      </c>
      <c r="U788" s="151">
        <v>45624</v>
      </c>
      <c r="V788" s="151">
        <v>45629</v>
      </c>
      <c r="W788" s="2">
        <f>VLOOKUP(Table1[[#This Row],[Status]],Auxiliar!$B$16:$D$24,3,0)*Table1[[#This Row],[Estimação (horas)]]</f>
        <v>0.1</v>
      </c>
      <c r="X788" s="165">
        <f>+VLOOKUP(CONCATENATE(Table1[[#This Row],[Tabela]],Table1[[#This Row],[Campo]]),'2. Status Detalhe Campos FY24'!A:J,9,FALSE)</f>
        <v>0</v>
      </c>
      <c r="Y788" s="491" t="e">
        <f>+VLOOKUP(A788,#REF!,1,FALSE)</f>
        <v>#REF!</v>
      </c>
    </row>
    <row r="789" spans="1:25" ht="17.899999999999999" hidden="1" customHeight="1">
      <c r="A789" t="str">
        <f>+Table1[[#This Row],[Tabela]]&amp;Table1[[#This Row],[Campo]]</f>
        <v>modesg_out_sfics_taxon_europeiacempresa</v>
      </c>
      <c r="B789" s="2" t="s">
        <v>26</v>
      </c>
      <c r="C789" s="2" t="s">
        <v>310</v>
      </c>
      <c r="D789" s="2" t="s">
        <v>334</v>
      </c>
      <c r="E789" s="2" t="s">
        <v>38</v>
      </c>
      <c r="F789" s="2" t="s">
        <v>2079</v>
      </c>
      <c r="G789" s="2" t="s">
        <v>184</v>
      </c>
      <c r="H789" s="56" t="str">
        <f>Table1[[#This Row],[Tabela]]&amp;Table1[[#This Row],[Campo]]</f>
        <v>modesg_out_sfics_taxon_europeiacempresa</v>
      </c>
      <c r="I789" s="2" t="s">
        <v>612</v>
      </c>
      <c r="J789" s="42">
        <f>VLOOKUP(Table1[[#This Row],[Status]],Auxiliar!$B$16:$C$24,2,0)</f>
        <v>1</v>
      </c>
      <c r="K789" s="2" t="s">
        <v>1168</v>
      </c>
      <c r="L789" s="28" t="s">
        <v>1174</v>
      </c>
      <c r="M789" s="20" t="s">
        <v>1175</v>
      </c>
      <c r="N789" s="47">
        <v>45695</v>
      </c>
      <c r="O789" s="20">
        <f>INDEX(Auxiliar!$D$5:$F$13,MATCH(Table1[[#This Row],[Tipologia_Testes]],Auxiliar!$B$5:$B$13,0),MATCH(Table1[[#This Row],[Complexidade]],Auxiliar!$D$4:$F$4,0))</f>
        <v>2</v>
      </c>
      <c r="P789" s="2"/>
      <c r="Q789" s="2"/>
      <c r="R789" s="151">
        <v>45563</v>
      </c>
      <c r="S789" s="151"/>
      <c r="T789" s="151">
        <v>45563</v>
      </c>
      <c r="U789" s="151">
        <v>45624</v>
      </c>
      <c r="V789" s="151">
        <v>45629</v>
      </c>
      <c r="W789" s="2">
        <f>VLOOKUP(Table1[[#This Row],[Status]],Auxiliar!$B$16:$D$24,3,0)*Table1[[#This Row],[Estimação (horas)]]</f>
        <v>2</v>
      </c>
      <c r="X789" s="165">
        <f>+VLOOKUP(CONCATENATE(Table1[[#This Row],[Tabela]],Table1[[#This Row],[Campo]]),'2. Status Detalhe Campos FY24'!A:J,9,FALSE)</f>
        <v>0</v>
      </c>
      <c r="Y789" s="491" t="e">
        <f>+VLOOKUP(A789,#REF!,1,FALSE)</f>
        <v>#REF!</v>
      </c>
    </row>
    <row r="790" spans="1:25" ht="17.899999999999999" hidden="1" customHeight="1">
      <c r="A790" t="str">
        <f>+Table1[[#This Row],[Tabela]]&amp;Table1[[#This Row],[Campo]]</f>
        <v>modesg_out_sfics_taxon_europeiacempresa</v>
      </c>
      <c r="B790" s="2" t="s">
        <v>26</v>
      </c>
      <c r="C790" s="2" t="s">
        <v>310</v>
      </c>
      <c r="D790" s="2" t="s">
        <v>334</v>
      </c>
      <c r="E790" s="2" t="s">
        <v>38</v>
      </c>
      <c r="F790" s="2" t="s">
        <v>2079</v>
      </c>
      <c r="G790" s="2" t="s">
        <v>184</v>
      </c>
      <c r="H790" s="56" t="str">
        <f>Table1[[#This Row],[Tabela]]&amp;Table1[[#This Row],[Campo]]</f>
        <v>modesg_out_sfics_taxon_europeiacempresa</v>
      </c>
      <c r="I790" s="2" t="s">
        <v>612</v>
      </c>
      <c r="J790" s="42">
        <f>VLOOKUP(Table1[[#This Row],[Status]],Auxiliar!$B$16:$C$24,2,0)</f>
        <v>1</v>
      </c>
      <c r="K790" s="2" t="s">
        <v>1169</v>
      </c>
      <c r="L790" s="28" t="s">
        <v>1174</v>
      </c>
      <c r="M790" s="20" t="s">
        <v>1175</v>
      </c>
      <c r="N790" s="47">
        <v>45695</v>
      </c>
      <c r="O790" s="20">
        <f>INDEX(Auxiliar!$D$5:$F$13,MATCH(Table1[[#This Row],[Tipologia_Testes]],Auxiliar!$B$5:$B$13,0),MATCH(Table1[[#This Row],[Complexidade]],Auxiliar!$D$4:$F$4,0))</f>
        <v>2</v>
      </c>
      <c r="P790" s="2"/>
      <c r="Q790" s="2"/>
      <c r="R790" s="151">
        <v>45563</v>
      </c>
      <c r="S790" s="151"/>
      <c r="T790" s="151">
        <v>45563</v>
      </c>
      <c r="U790" s="151">
        <v>45624</v>
      </c>
      <c r="V790" s="151">
        <v>45629</v>
      </c>
      <c r="W790" s="2">
        <f>VLOOKUP(Table1[[#This Row],[Status]],Auxiliar!$B$16:$D$24,3,0)*Table1[[#This Row],[Estimação (horas)]]</f>
        <v>2</v>
      </c>
      <c r="X790" s="165">
        <f>+VLOOKUP(CONCATENATE(Table1[[#This Row],[Tabela]],Table1[[#This Row],[Campo]]),'2. Status Detalhe Campos FY24'!A:J,9,FALSE)</f>
        <v>0</v>
      </c>
      <c r="Y790" s="491" t="e">
        <f>+VLOOKUP(A790,#REF!,1,FALSE)</f>
        <v>#REF!</v>
      </c>
    </row>
    <row r="791" spans="1:25" ht="17.899999999999999" hidden="1" customHeight="1">
      <c r="A791" t="str">
        <f>+Table1[[#This Row],[Tabela]]&amp;Table1[[#This Row],[Campo]]</f>
        <v>modesg_out_sfics_taxon_europeiacempresa</v>
      </c>
      <c r="B791" s="2" t="s">
        <v>26</v>
      </c>
      <c r="C791" s="2" t="s">
        <v>310</v>
      </c>
      <c r="D791" s="2" t="s">
        <v>334</v>
      </c>
      <c r="E791" s="2" t="s">
        <v>38</v>
      </c>
      <c r="F791" s="2" t="s">
        <v>2079</v>
      </c>
      <c r="G791" s="2" t="s">
        <v>184</v>
      </c>
      <c r="H791" s="56" t="str">
        <f>Table1[[#This Row],[Tabela]]&amp;Table1[[#This Row],[Campo]]</f>
        <v>modesg_out_sfics_taxon_europeiacempresa</v>
      </c>
      <c r="I791" s="2" t="s">
        <v>612</v>
      </c>
      <c r="J791" s="42">
        <f>VLOOKUP(Table1[[#This Row],[Status]],Auxiliar!$B$16:$C$24,2,0)</f>
        <v>1</v>
      </c>
      <c r="K791" s="2" t="s">
        <v>1171</v>
      </c>
      <c r="L791" s="28" t="s">
        <v>1174</v>
      </c>
      <c r="M791" s="20" t="s">
        <v>1175</v>
      </c>
      <c r="N791" s="47">
        <v>45695</v>
      </c>
      <c r="O791" s="20">
        <f>INDEX(Auxiliar!$D$5:$F$13,MATCH(Table1[[#This Row],[Tipologia_Testes]],Auxiliar!$B$5:$B$13,0),MATCH(Table1[[#This Row],[Complexidade]],Auxiliar!$D$4:$F$4,0))</f>
        <v>0.1</v>
      </c>
      <c r="P791" s="2"/>
      <c r="Q791" s="2"/>
      <c r="R791" s="151">
        <v>45563</v>
      </c>
      <c r="S791" s="151"/>
      <c r="T791" s="151">
        <v>45563</v>
      </c>
      <c r="U791" s="151">
        <v>45624</v>
      </c>
      <c r="V791" s="151">
        <v>45629</v>
      </c>
      <c r="W791" s="2">
        <f>VLOOKUP(Table1[[#This Row],[Status]],Auxiliar!$B$16:$D$24,3,0)*Table1[[#This Row],[Estimação (horas)]]</f>
        <v>0.1</v>
      </c>
      <c r="X791" s="165">
        <f>+VLOOKUP(CONCATENATE(Table1[[#This Row],[Tabela]],Table1[[#This Row],[Campo]]),'2. Status Detalhe Campos FY24'!A:J,9,FALSE)</f>
        <v>0</v>
      </c>
      <c r="Y791" s="491" t="e">
        <f>+VLOOKUP(A791,#REF!,1,FALSE)</f>
        <v>#REF!</v>
      </c>
    </row>
    <row r="792" spans="1:25" ht="17.899999999999999" hidden="1" customHeight="1">
      <c r="A792" t="str">
        <f>+Table1[[#This Row],[Tabela]]&amp;Table1[[#This Row],[Campo]]</f>
        <v>modesg_out_sfics_taxon_europeiacnumecta</v>
      </c>
      <c r="B792" s="2" t="s">
        <v>26</v>
      </c>
      <c r="C792" s="2" t="s">
        <v>310</v>
      </c>
      <c r="D792" s="2" t="s">
        <v>334</v>
      </c>
      <c r="E792" s="2" t="s">
        <v>38</v>
      </c>
      <c r="F792" s="2" t="s">
        <v>2079</v>
      </c>
      <c r="G792" s="2" t="s">
        <v>189</v>
      </c>
      <c r="H792" s="56" t="str">
        <f>Table1[[#This Row],[Tabela]]&amp;Table1[[#This Row],[Campo]]</f>
        <v>modesg_out_sfics_taxon_europeiacnumecta</v>
      </c>
      <c r="I792" s="2" t="s">
        <v>612</v>
      </c>
      <c r="J792" s="42">
        <f>VLOOKUP(Table1[[#This Row],[Status]],Auxiliar!$B$16:$C$24,2,0)</f>
        <v>1</v>
      </c>
      <c r="K792" s="2" t="s">
        <v>1168</v>
      </c>
      <c r="L792" s="28" t="s">
        <v>1174</v>
      </c>
      <c r="M792" s="20" t="s">
        <v>1175</v>
      </c>
      <c r="N792" s="47">
        <v>45695</v>
      </c>
      <c r="O792" s="20">
        <f>INDEX(Auxiliar!$D$5:$F$13,MATCH(Table1[[#This Row],[Tipologia_Testes]],Auxiliar!$B$5:$B$13,0),MATCH(Table1[[#This Row],[Complexidade]],Auxiliar!$D$4:$F$4,0))</f>
        <v>2</v>
      </c>
      <c r="P792" s="2"/>
      <c r="Q792" s="2"/>
      <c r="R792" s="151">
        <v>45563</v>
      </c>
      <c r="S792" s="151"/>
      <c r="T792" s="151">
        <v>45563</v>
      </c>
      <c r="U792" s="151">
        <v>45624</v>
      </c>
      <c r="V792" s="151">
        <v>45629</v>
      </c>
      <c r="W792" s="2">
        <f>VLOOKUP(Table1[[#This Row],[Status]],Auxiliar!$B$16:$D$24,3,0)*Table1[[#This Row],[Estimação (horas)]]</f>
        <v>2</v>
      </c>
      <c r="X792" s="165">
        <f>+VLOOKUP(CONCATENATE(Table1[[#This Row],[Tabela]],Table1[[#This Row],[Campo]]),'2. Status Detalhe Campos FY24'!A:J,9,FALSE)</f>
        <v>0</v>
      </c>
      <c r="Y792" s="491" t="e">
        <f>+VLOOKUP(A792,#REF!,1,FALSE)</f>
        <v>#REF!</v>
      </c>
    </row>
    <row r="793" spans="1:25" ht="17.899999999999999" hidden="1" customHeight="1">
      <c r="A793" t="str">
        <f>+Table1[[#This Row],[Tabela]]&amp;Table1[[#This Row],[Campo]]</f>
        <v>modesg_out_sfics_taxon_europeiacnumecta</v>
      </c>
      <c r="B793" s="2" t="s">
        <v>26</v>
      </c>
      <c r="C793" s="2" t="s">
        <v>310</v>
      </c>
      <c r="D793" s="2" t="s">
        <v>334</v>
      </c>
      <c r="E793" s="2" t="s">
        <v>38</v>
      </c>
      <c r="F793" s="2" t="s">
        <v>2079</v>
      </c>
      <c r="G793" s="2" t="s">
        <v>189</v>
      </c>
      <c r="H793" s="56" t="str">
        <f>Table1[[#This Row],[Tabela]]&amp;Table1[[#This Row],[Campo]]</f>
        <v>modesg_out_sfics_taxon_europeiacnumecta</v>
      </c>
      <c r="I793" s="2" t="s">
        <v>612</v>
      </c>
      <c r="J793" s="42">
        <f>VLOOKUP(Table1[[#This Row],[Status]],Auxiliar!$B$16:$C$24,2,0)</f>
        <v>1</v>
      </c>
      <c r="K793" s="2" t="s">
        <v>1169</v>
      </c>
      <c r="L793" s="28" t="s">
        <v>1174</v>
      </c>
      <c r="M793" s="20" t="s">
        <v>1175</v>
      </c>
      <c r="N793" s="47">
        <v>45695</v>
      </c>
      <c r="O793" s="20">
        <f>INDEX(Auxiliar!$D$5:$F$13,MATCH(Table1[[#This Row],[Tipologia_Testes]],Auxiliar!$B$5:$B$13,0),MATCH(Table1[[#This Row],[Complexidade]],Auxiliar!$D$4:$F$4,0))</f>
        <v>2</v>
      </c>
      <c r="P793" s="2"/>
      <c r="Q793" s="2"/>
      <c r="R793" s="151">
        <v>45563</v>
      </c>
      <c r="S793" s="151"/>
      <c r="T793" s="151">
        <v>45563</v>
      </c>
      <c r="U793" s="151">
        <v>45624</v>
      </c>
      <c r="V793" s="151">
        <v>45629</v>
      </c>
      <c r="W793" s="2">
        <f>VLOOKUP(Table1[[#This Row],[Status]],Auxiliar!$B$16:$D$24,3,0)*Table1[[#This Row],[Estimação (horas)]]</f>
        <v>2</v>
      </c>
      <c r="X793" s="165">
        <f>+VLOOKUP(CONCATENATE(Table1[[#This Row],[Tabela]],Table1[[#This Row],[Campo]]),'2. Status Detalhe Campos FY24'!A:J,9,FALSE)</f>
        <v>0</v>
      </c>
      <c r="Y793" s="491" t="e">
        <f>+VLOOKUP(A793,#REF!,1,FALSE)</f>
        <v>#REF!</v>
      </c>
    </row>
    <row r="794" spans="1:25" ht="17.899999999999999" hidden="1" customHeight="1">
      <c r="A794" t="str">
        <f>+Table1[[#This Row],[Tabela]]&amp;Table1[[#This Row],[Campo]]</f>
        <v>modesg_out_sfics_taxon_europeiacnumecta</v>
      </c>
      <c r="B794" s="2" t="s">
        <v>26</v>
      </c>
      <c r="C794" s="2" t="s">
        <v>310</v>
      </c>
      <c r="D794" s="2" t="s">
        <v>334</v>
      </c>
      <c r="E794" s="2" t="s">
        <v>38</v>
      </c>
      <c r="F794" s="2" t="s">
        <v>2079</v>
      </c>
      <c r="G794" s="2" t="s">
        <v>189</v>
      </c>
      <c r="H794" s="56" t="str">
        <f>Table1[[#This Row],[Tabela]]&amp;Table1[[#This Row],[Campo]]</f>
        <v>modesg_out_sfics_taxon_europeiacnumecta</v>
      </c>
      <c r="I794" s="2" t="s">
        <v>612</v>
      </c>
      <c r="J794" s="42">
        <f>VLOOKUP(Table1[[#This Row],[Status]],Auxiliar!$B$16:$C$24,2,0)</f>
        <v>1</v>
      </c>
      <c r="K794" s="2" t="s">
        <v>1171</v>
      </c>
      <c r="L794" s="28" t="s">
        <v>1174</v>
      </c>
      <c r="M794" s="20" t="s">
        <v>1175</v>
      </c>
      <c r="N794" s="47">
        <v>45695</v>
      </c>
      <c r="O794" s="20">
        <f>INDEX(Auxiliar!$D$5:$F$13,MATCH(Table1[[#This Row],[Tipologia_Testes]],Auxiliar!$B$5:$B$13,0),MATCH(Table1[[#This Row],[Complexidade]],Auxiliar!$D$4:$F$4,0))</f>
        <v>0.1</v>
      </c>
      <c r="P794" s="2"/>
      <c r="Q794" s="2"/>
      <c r="R794" s="151">
        <v>45563</v>
      </c>
      <c r="S794" s="151"/>
      <c r="T794" s="151">
        <v>45563</v>
      </c>
      <c r="U794" s="151">
        <v>45624</v>
      </c>
      <c r="V794" s="151">
        <v>45629</v>
      </c>
      <c r="W794" s="2">
        <f>VLOOKUP(Table1[[#This Row],[Status]],Auxiliar!$B$16:$D$24,3,0)*Table1[[#This Row],[Estimação (horas)]]</f>
        <v>0.1</v>
      </c>
      <c r="X794" s="165">
        <f>+VLOOKUP(CONCATENATE(Table1[[#This Row],[Tabela]],Table1[[#This Row],[Campo]]),'2. Status Detalhe Campos FY24'!A:J,9,FALSE)</f>
        <v>0</v>
      </c>
      <c r="Y794" s="491" t="e">
        <f>+VLOOKUP(A794,#REF!,1,FALSE)</f>
        <v>#REF!</v>
      </c>
    </row>
    <row r="795" spans="1:25" ht="17.899999999999999" hidden="1" customHeight="1">
      <c r="A795" t="str">
        <f>+Table1[[#This Row],[Tabela]]&amp;Table1[[#This Row],[Campo]]</f>
        <v>modesg_out_sfics_taxon_europeiacod_regra</v>
      </c>
      <c r="B795" s="2" t="s">
        <v>26</v>
      </c>
      <c r="C795" s="2" t="s">
        <v>310</v>
      </c>
      <c r="D795" s="2" t="s">
        <v>334</v>
      </c>
      <c r="E795" s="2" t="s">
        <v>38</v>
      </c>
      <c r="F795" s="2" t="s">
        <v>2079</v>
      </c>
      <c r="G795" s="2" t="s">
        <v>191</v>
      </c>
      <c r="H795" s="56" t="str">
        <f>Table1[[#This Row],[Tabela]]&amp;Table1[[#This Row],[Campo]]</f>
        <v>modesg_out_sfics_taxon_europeiacod_regra</v>
      </c>
      <c r="I795" s="2" t="s">
        <v>611</v>
      </c>
      <c r="J795" s="42">
        <f>VLOOKUP(Table1[[#This Row],[Status]],Auxiliar!$B$16:$C$24,2,0)</f>
        <v>0</v>
      </c>
      <c r="K795" s="2" t="s">
        <v>1168</v>
      </c>
      <c r="L795" s="28" t="s">
        <v>1166</v>
      </c>
      <c r="M795" s="20" t="s">
        <v>1175</v>
      </c>
      <c r="N795" s="47">
        <v>45695</v>
      </c>
      <c r="O795" s="20">
        <f>INDEX(Auxiliar!$D$5:$F$13,MATCH(Table1[[#This Row],[Tipologia_Testes]],Auxiliar!$B$5:$B$13,0),MATCH(Table1[[#This Row],[Complexidade]],Auxiliar!$D$4:$F$4,0))</f>
        <v>2</v>
      </c>
      <c r="P795" s="2" t="s">
        <v>1206</v>
      </c>
      <c r="Q795" s="2"/>
      <c r="R795" s="151">
        <v>45563</v>
      </c>
      <c r="S795" s="151"/>
      <c r="T795" s="151">
        <v>45563</v>
      </c>
      <c r="U795" s="151">
        <v>45624</v>
      </c>
      <c r="V795" s="151">
        <v>45629</v>
      </c>
      <c r="W795" s="2">
        <f>VLOOKUP(Table1[[#This Row],[Status]],Auxiliar!$B$16:$D$24,3,0)*Table1[[#This Row],[Estimação (horas)]]</f>
        <v>0</v>
      </c>
      <c r="X795" s="165">
        <f>+VLOOKUP(CONCATENATE(Table1[[#This Row],[Tabela]],Table1[[#This Row],[Campo]]),'2. Status Detalhe Campos FY24'!A:J,9,FALSE)</f>
        <v>0</v>
      </c>
      <c r="Y795" s="491" t="e">
        <f>+VLOOKUP(A795,#REF!,1,FALSE)</f>
        <v>#REF!</v>
      </c>
    </row>
    <row r="796" spans="1:25" ht="17.899999999999999" hidden="1" customHeight="1">
      <c r="A796" t="str">
        <f>+Table1[[#This Row],[Tabela]]&amp;Table1[[#This Row],[Campo]]</f>
        <v>modesg_out_sfics_taxon_europeiacod_regra</v>
      </c>
      <c r="B796" s="2" t="s">
        <v>26</v>
      </c>
      <c r="C796" s="2" t="s">
        <v>310</v>
      </c>
      <c r="D796" s="2" t="s">
        <v>334</v>
      </c>
      <c r="E796" s="2" t="s">
        <v>38</v>
      </c>
      <c r="F796" s="2" t="s">
        <v>2079</v>
      </c>
      <c r="G796" s="2" t="s">
        <v>191</v>
      </c>
      <c r="H796" s="56" t="str">
        <f>Table1[[#This Row],[Tabela]]&amp;Table1[[#This Row],[Campo]]</f>
        <v>modesg_out_sfics_taxon_europeiacod_regra</v>
      </c>
      <c r="I796" s="2" t="s">
        <v>611</v>
      </c>
      <c r="J796" s="42">
        <f>VLOOKUP(Table1[[#This Row],[Status]],Auxiliar!$B$16:$C$24,2,0)</f>
        <v>0</v>
      </c>
      <c r="K796" s="2" t="s">
        <v>1169</v>
      </c>
      <c r="L796" s="28" t="s">
        <v>1166</v>
      </c>
      <c r="M796" s="20" t="s">
        <v>1175</v>
      </c>
      <c r="N796" s="47">
        <v>45695</v>
      </c>
      <c r="O796" s="20">
        <f>INDEX(Auxiliar!$D$5:$F$13,MATCH(Table1[[#This Row],[Tipologia_Testes]],Auxiliar!$B$5:$B$13,0),MATCH(Table1[[#This Row],[Complexidade]],Auxiliar!$D$4:$F$4,0))</f>
        <v>2</v>
      </c>
      <c r="P796" s="2" t="s">
        <v>1206</v>
      </c>
      <c r="Q796" s="2"/>
      <c r="R796" s="151">
        <v>45563</v>
      </c>
      <c r="S796" s="151"/>
      <c r="T796" s="151">
        <v>45563</v>
      </c>
      <c r="U796" s="151">
        <v>45624</v>
      </c>
      <c r="V796" s="151">
        <v>45629</v>
      </c>
      <c r="W796" s="2">
        <f>VLOOKUP(Table1[[#This Row],[Status]],Auxiliar!$B$16:$D$24,3,0)*Table1[[#This Row],[Estimação (horas)]]</f>
        <v>0</v>
      </c>
      <c r="X796" s="165">
        <f>+VLOOKUP(CONCATENATE(Table1[[#This Row],[Tabela]],Table1[[#This Row],[Campo]]),'2. Status Detalhe Campos FY24'!A:J,9,FALSE)</f>
        <v>0</v>
      </c>
      <c r="Y796" s="491" t="e">
        <f>+VLOOKUP(A796,#REF!,1,FALSE)</f>
        <v>#REF!</v>
      </c>
    </row>
    <row r="797" spans="1:25" ht="17.899999999999999" hidden="1" customHeight="1">
      <c r="A797" t="str">
        <f>+Table1[[#This Row],[Tabela]]&amp;Table1[[#This Row],[Campo]]</f>
        <v>modesg_out_sfics_taxon_europeiacod_regra</v>
      </c>
      <c r="B797" s="2" t="s">
        <v>26</v>
      </c>
      <c r="C797" s="2" t="s">
        <v>310</v>
      </c>
      <c r="D797" s="2" t="s">
        <v>334</v>
      </c>
      <c r="E797" s="2" t="s">
        <v>38</v>
      </c>
      <c r="F797" s="2" t="s">
        <v>2079</v>
      </c>
      <c r="G797" s="2" t="s">
        <v>191</v>
      </c>
      <c r="H797" s="56" t="str">
        <f>Table1[[#This Row],[Tabela]]&amp;Table1[[#This Row],[Campo]]</f>
        <v>modesg_out_sfics_taxon_europeiacod_regra</v>
      </c>
      <c r="I797" s="2" t="s">
        <v>611</v>
      </c>
      <c r="J797" s="42">
        <f>VLOOKUP(Table1[[#This Row],[Status]],Auxiliar!$B$16:$C$24,2,0)</f>
        <v>0</v>
      </c>
      <c r="K797" s="2" t="s">
        <v>1171</v>
      </c>
      <c r="L797" s="28" t="s">
        <v>1166</v>
      </c>
      <c r="M797" s="20" t="s">
        <v>1175</v>
      </c>
      <c r="N797" s="47">
        <v>45695</v>
      </c>
      <c r="O797" s="20">
        <f>INDEX(Auxiliar!$D$5:$F$13,MATCH(Table1[[#This Row],[Tipologia_Testes]],Auxiliar!$B$5:$B$13,0),MATCH(Table1[[#This Row],[Complexidade]],Auxiliar!$D$4:$F$4,0))</f>
        <v>0.1</v>
      </c>
      <c r="P797" s="2" t="s">
        <v>1206</v>
      </c>
      <c r="Q797" s="2"/>
      <c r="R797" s="151">
        <v>45563</v>
      </c>
      <c r="S797" s="151"/>
      <c r="T797" s="151">
        <v>45563</v>
      </c>
      <c r="U797" s="151">
        <v>45624</v>
      </c>
      <c r="V797" s="151">
        <v>45629</v>
      </c>
      <c r="W797" s="2">
        <f>VLOOKUP(Table1[[#This Row],[Status]],Auxiliar!$B$16:$D$24,3,0)*Table1[[#This Row],[Estimação (horas)]]</f>
        <v>0</v>
      </c>
      <c r="X797" s="165">
        <f>+VLOOKUP(CONCATENATE(Table1[[#This Row],[Tabela]],Table1[[#This Row],[Campo]]),'2. Status Detalhe Campos FY24'!A:J,9,FALSE)</f>
        <v>0</v>
      </c>
      <c r="Y797" s="491" t="e">
        <f>+VLOOKUP(A797,#REF!,1,FALSE)</f>
        <v>#REF!</v>
      </c>
    </row>
    <row r="798" spans="1:25" ht="17.899999999999999" hidden="1" customHeight="1">
      <c r="A798" t="str">
        <f>+Table1[[#This Row],[Tabela]]&amp;Table1[[#This Row],[Campo]]</f>
        <v>modesg_out_sfics_taxon_europeiaordem</v>
      </c>
      <c r="B798" s="2" t="s">
        <v>26</v>
      </c>
      <c r="C798" s="2" t="s">
        <v>310</v>
      </c>
      <c r="D798" s="2" t="s">
        <v>334</v>
      </c>
      <c r="E798" s="2" t="s">
        <v>38</v>
      </c>
      <c r="F798" s="2" t="s">
        <v>2079</v>
      </c>
      <c r="G798" s="2" t="s">
        <v>211</v>
      </c>
      <c r="H798" s="56" t="str">
        <f>Table1[[#This Row],[Tabela]]&amp;Table1[[#This Row],[Campo]]</f>
        <v>modesg_out_sfics_taxon_europeiaordem</v>
      </c>
      <c r="I798" s="2" t="s">
        <v>611</v>
      </c>
      <c r="J798" s="42">
        <f>VLOOKUP(Table1[[#This Row],[Status]],Auxiliar!$B$16:$C$24,2,0)</f>
        <v>0</v>
      </c>
      <c r="K798" s="2" t="s">
        <v>1168</v>
      </c>
      <c r="L798" s="28" t="s">
        <v>1207</v>
      </c>
      <c r="M798" s="20" t="s">
        <v>1175</v>
      </c>
      <c r="N798" s="47">
        <v>45546</v>
      </c>
      <c r="O798" s="20">
        <f>INDEX(Auxiliar!$D$5:$F$13,MATCH(Table1[[#This Row],[Tipologia_Testes]],Auxiliar!$B$5:$B$13,0),MATCH(Table1[[#This Row],[Complexidade]],Auxiliar!$D$4:$F$4,0))</f>
        <v>2</v>
      </c>
      <c r="P798" s="2"/>
      <c r="Q798" s="2"/>
      <c r="R798" s="151">
        <v>45562</v>
      </c>
      <c r="S798" s="151"/>
      <c r="T798" s="151">
        <v>45562</v>
      </c>
      <c r="U798" s="151"/>
      <c r="V798" s="151"/>
      <c r="W798" s="2">
        <f>VLOOKUP(Table1[[#This Row],[Status]],Auxiliar!$B$16:$D$24,3,0)*Table1[[#This Row],[Estimação (horas)]]</f>
        <v>0</v>
      </c>
      <c r="X798" s="165">
        <f>+VLOOKUP(CONCATENATE(Table1[[#This Row],[Tabela]],Table1[[#This Row],[Campo]]),'2. Status Detalhe Campos FY24'!A:J,9,FALSE)</f>
        <v>0</v>
      </c>
      <c r="Y798" s="491" t="e">
        <f>+VLOOKUP(A798,#REF!,1,FALSE)</f>
        <v>#REF!</v>
      </c>
    </row>
    <row r="799" spans="1:25" ht="17.899999999999999" hidden="1" customHeight="1">
      <c r="A799" t="str">
        <f>+Table1[[#This Row],[Tabela]]&amp;Table1[[#This Row],[Campo]]</f>
        <v>modesg_out_sfics_taxon_europeiaordem</v>
      </c>
      <c r="B799" s="2" t="s">
        <v>26</v>
      </c>
      <c r="C799" s="2" t="s">
        <v>310</v>
      </c>
      <c r="D799" s="2" t="s">
        <v>334</v>
      </c>
      <c r="E799" s="2" t="s">
        <v>38</v>
      </c>
      <c r="F799" s="2" t="s">
        <v>2079</v>
      </c>
      <c r="G799" s="2" t="s">
        <v>211</v>
      </c>
      <c r="H799" s="56" t="str">
        <f>Table1[[#This Row],[Tabela]]&amp;Table1[[#This Row],[Campo]]</f>
        <v>modesg_out_sfics_taxon_europeiaordem</v>
      </c>
      <c r="I799" s="2" t="s">
        <v>611</v>
      </c>
      <c r="J799" s="42">
        <f>VLOOKUP(Table1[[#This Row],[Status]],Auxiliar!$B$16:$C$24,2,0)</f>
        <v>0</v>
      </c>
      <c r="K799" s="2" t="s">
        <v>1169</v>
      </c>
      <c r="L799" s="28" t="s">
        <v>1207</v>
      </c>
      <c r="M799" s="20" t="s">
        <v>1175</v>
      </c>
      <c r="N799" s="47">
        <v>45546</v>
      </c>
      <c r="O799" s="20">
        <f>INDEX(Auxiliar!$D$5:$F$13,MATCH(Table1[[#This Row],[Tipologia_Testes]],Auxiliar!$B$5:$B$13,0),MATCH(Table1[[#This Row],[Complexidade]],Auxiliar!$D$4:$F$4,0))</f>
        <v>2</v>
      </c>
      <c r="P799" s="2"/>
      <c r="Q799" s="2"/>
      <c r="R799" s="151">
        <v>45562</v>
      </c>
      <c r="S799" s="151"/>
      <c r="T799" s="151">
        <v>45562</v>
      </c>
      <c r="U799" s="151"/>
      <c r="V799" s="151"/>
      <c r="W799" s="2">
        <f>VLOOKUP(Table1[[#This Row],[Status]],Auxiliar!$B$16:$D$24,3,0)*Table1[[#This Row],[Estimação (horas)]]</f>
        <v>0</v>
      </c>
      <c r="X799" s="165">
        <f>+VLOOKUP(CONCATENATE(Table1[[#This Row],[Tabela]],Table1[[#This Row],[Campo]]),'2. Status Detalhe Campos FY24'!A:J,9,FALSE)</f>
        <v>0</v>
      </c>
      <c r="Y799" s="491" t="e">
        <f>+VLOOKUP(A799,#REF!,1,FALSE)</f>
        <v>#REF!</v>
      </c>
    </row>
    <row r="800" spans="1:25" ht="17.899999999999999" hidden="1" customHeight="1">
      <c r="A800" t="str">
        <f>+Table1[[#This Row],[Tabela]]&amp;Table1[[#This Row],[Campo]]</f>
        <v>modesg_out_sfics_taxon_europeiaordem</v>
      </c>
      <c r="B800" s="2" t="s">
        <v>26</v>
      </c>
      <c r="C800" s="2" t="s">
        <v>310</v>
      </c>
      <c r="D800" s="2" t="s">
        <v>334</v>
      </c>
      <c r="E800" s="2" t="s">
        <v>38</v>
      </c>
      <c r="F800" s="2" t="s">
        <v>2079</v>
      </c>
      <c r="G800" s="2" t="s">
        <v>211</v>
      </c>
      <c r="H800" s="56" t="str">
        <f>Table1[[#This Row],[Tabela]]&amp;Table1[[#This Row],[Campo]]</f>
        <v>modesg_out_sfics_taxon_europeiaordem</v>
      </c>
      <c r="I800" s="2" t="s">
        <v>611</v>
      </c>
      <c r="J800" s="42">
        <f>VLOOKUP(Table1[[#This Row],[Status]],Auxiliar!$B$16:$C$24,2,0)</f>
        <v>0</v>
      </c>
      <c r="K800" s="2" t="s">
        <v>1171</v>
      </c>
      <c r="L800" s="28" t="s">
        <v>1207</v>
      </c>
      <c r="M800" s="20" t="s">
        <v>1175</v>
      </c>
      <c r="N800" s="47">
        <v>45546</v>
      </c>
      <c r="O800" s="20">
        <f>INDEX(Auxiliar!$D$5:$F$13,MATCH(Table1[[#This Row],[Tipologia_Testes]],Auxiliar!$B$5:$B$13,0),MATCH(Table1[[#This Row],[Complexidade]],Auxiliar!$D$4:$F$4,0))</f>
        <v>0.1</v>
      </c>
      <c r="P800" s="2"/>
      <c r="Q800" s="2"/>
      <c r="R800" s="151">
        <v>45562</v>
      </c>
      <c r="S800" s="151"/>
      <c r="T800" s="151">
        <v>45562</v>
      </c>
      <c r="U800" s="151"/>
      <c r="V800" s="151"/>
      <c r="W800" s="2">
        <f>VLOOKUP(Table1[[#This Row],[Status]],Auxiliar!$B$16:$D$24,3,0)*Table1[[#This Row],[Estimação (horas)]]</f>
        <v>0</v>
      </c>
      <c r="X800" s="165">
        <f>+VLOOKUP(CONCATENATE(Table1[[#This Row],[Tabela]],Table1[[#This Row],[Campo]]),'2. Status Detalhe Campos FY24'!A:J,9,FALSE)</f>
        <v>0</v>
      </c>
      <c r="Y800" s="491" t="e">
        <f>+VLOOKUP(A800,#REF!,1,FALSE)</f>
        <v>#REF!</v>
      </c>
    </row>
    <row r="801" spans="1:25" ht="139.4" hidden="1" customHeight="1">
      <c r="A801" t="str">
        <f>+Table1[[#This Row],[Tabela]]&amp;Table1[[#This Row],[Campo]]</f>
        <v>modesg_out_sfics_taxon_europeianivel</v>
      </c>
      <c r="B801" s="2" t="s">
        <v>26</v>
      </c>
      <c r="C801" s="2" t="s">
        <v>310</v>
      </c>
      <c r="D801" s="2" t="s">
        <v>334</v>
      </c>
      <c r="E801" s="2" t="s">
        <v>38</v>
      </c>
      <c r="F801" s="2" t="s">
        <v>2079</v>
      </c>
      <c r="G801" s="2" t="s">
        <v>2407</v>
      </c>
      <c r="H801" s="56" t="str">
        <f>Table1[[#This Row],[Tabela]]&amp;Table1[[#This Row],[Campo]]</f>
        <v>modesg_out_sfics_taxon_europeianivel</v>
      </c>
      <c r="I801" s="2" t="s">
        <v>611</v>
      </c>
      <c r="J801" s="42">
        <f>VLOOKUP(Table1[[#This Row],[Status]],Auxiliar!$B$16:$C$24,2,0)</f>
        <v>0</v>
      </c>
      <c r="K801" s="2" t="s">
        <v>1171</v>
      </c>
      <c r="L801" s="28" t="s">
        <v>1166</v>
      </c>
      <c r="M801" s="20" t="s">
        <v>1175</v>
      </c>
      <c r="N801" s="47">
        <v>45695</v>
      </c>
      <c r="O801" s="20">
        <f>INDEX(Auxiliar!$D$5:$F$13,MATCH(Table1[[#This Row],[Tipologia_Testes]],Auxiliar!$B$5:$B$13,0),MATCH(Table1[[#This Row],[Complexidade]],Auxiliar!$D$4:$F$4,0))</f>
        <v>0.1</v>
      </c>
      <c r="P801" s="2" t="s">
        <v>1206</v>
      </c>
      <c r="Q801" s="2"/>
      <c r="R801" s="151">
        <v>45563</v>
      </c>
      <c r="S801" s="151"/>
      <c r="T801" s="151">
        <v>45563</v>
      </c>
      <c r="U801" s="151">
        <v>45624</v>
      </c>
      <c r="V801" s="151">
        <v>45629</v>
      </c>
      <c r="W801" s="2">
        <f>VLOOKUP(Table1[[#This Row],[Status]],Auxiliar!$B$16:$D$24,3,0)*Table1[[#This Row],[Estimação (horas)]]</f>
        <v>0</v>
      </c>
      <c r="X801" s="165">
        <f>+VLOOKUP(CONCATENATE(Table1[[#This Row],[Tabela]],Table1[[#This Row],[Campo]]),'2. Status Detalhe Campos FY24'!A:J,9,FALSE)</f>
        <v>0</v>
      </c>
      <c r="Y801" s="491" t="e">
        <f>+VLOOKUP(A801,#REF!,1,FALSE)</f>
        <v>#REF!</v>
      </c>
    </row>
    <row r="802" spans="1:25" ht="139.4" hidden="1" customHeight="1">
      <c r="A802" t="str">
        <f>+Table1[[#This Row],[Tabela]]&amp;Table1[[#This Row],[Campo]]</f>
        <v>modesg_out_sfics_taxon_europeiamontante_pndrc</v>
      </c>
      <c r="B802" s="2" t="s">
        <v>26</v>
      </c>
      <c r="C802" s="2" t="s">
        <v>310</v>
      </c>
      <c r="D802" s="2" t="s">
        <v>334</v>
      </c>
      <c r="E802" s="2" t="s">
        <v>38</v>
      </c>
      <c r="F802" s="2" t="s">
        <v>2079</v>
      </c>
      <c r="G802" s="2" t="s">
        <v>202</v>
      </c>
      <c r="H802" s="56" t="str">
        <f>Table1[[#This Row],[Tabela]]&amp;Table1[[#This Row],[Campo]]</f>
        <v>modesg_out_sfics_taxon_europeiamontante_pndrc</v>
      </c>
      <c r="I802" s="2" t="s">
        <v>612</v>
      </c>
      <c r="J802" s="42">
        <f>VLOOKUP(Table1[[#This Row],[Status]],Auxiliar!$B$16:$C$24,2,0)</f>
        <v>1</v>
      </c>
      <c r="K802" s="2" t="s">
        <v>1168</v>
      </c>
      <c r="L802" s="28" t="s">
        <v>1166</v>
      </c>
      <c r="M802" s="20" t="s">
        <v>1167</v>
      </c>
      <c r="N802" s="47">
        <v>45695</v>
      </c>
      <c r="O802" s="20">
        <f>INDEX(Auxiliar!$D$5:$F$13,MATCH(Table1[[#This Row],[Tipologia_Testes]],Auxiliar!$B$5:$B$13,0),MATCH(Table1[[#This Row],[Complexidade]],Auxiliar!$D$4:$F$4,0))</f>
        <v>8</v>
      </c>
      <c r="P802" s="22" t="s">
        <v>1208</v>
      </c>
      <c r="Q802" s="2"/>
      <c r="R802" s="151">
        <v>45563</v>
      </c>
      <c r="S802" s="151"/>
      <c r="T802" s="151">
        <v>45563</v>
      </c>
      <c r="U802" s="151">
        <v>45624</v>
      </c>
      <c r="V802" s="151">
        <v>45629</v>
      </c>
      <c r="W802" s="2">
        <f>VLOOKUP(Table1[[#This Row],[Status]],Auxiliar!$B$16:$D$24,3,0)*Table1[[#This Row],[Estimação (horas)]]</f>
        <v>8</v>
      </c>
      <c r="X802" s="165">
        <f>+VLOOKUP(CONCATENATE(Table1[[#This Row],[Tabela]],Table1[[#This Row],[Campo]]),'2. Status Detalhe Campos FY24'!A:J,9,FALSE)</f>
        <v>0</v>
      </c>
      <c r="Y802" s="491" t="e">
        <f>+VLOOKUP(A802,#REF!,1,FALSE)</f>
        <v>#REF!</v>
      </c>
    </row>
    <row r="803" spans="1:25" ht="139.4" hidden="1" customHeight="1">
      <c r="A803" t="str">
        <f>+Table1[[#This Row],[Tabela]]&amp;Table1[[#This Row],[Campo]]</f>
        <v>modesg_out_sfics_taxon_europeiamontante_pndrc</v>
      </c>
      <c r="B803" s="2" t="s">
        <v>26</v>
      </c>
      <c r="C803" s="2" t="s">
        <v>310</v>
      </c>
      <c r="D803" s="2" t="s">
        <v>334</v>
      </c>
      <c r="E803" s="2" t="s">
        <v>38</v>
      </c>
      <c r="F803" s="2" t="s">
        <v>2079</v>
      </c>
      <c r="G803" s="2" t="s">
        <v>202</v>
      </c>
      <c r="H803" s="56" t="str">
        <f>Table1[[#This Row],[Tabela]]&amp;Table1[[#This Row],[Campo]]</f>
        <v>modesg_out_sfics_taxon_europeiamontante_pndrc</v>
      </c>
      <c r="I803" s="2" t="s">
        <v>612</v>
      </c>
      <c r="J803" s="42">
        <f>VLOOKUP(Table1[[#This Row],[Status]],Auxiliar!$B$16:$C$24,2,0)</f>
        <v>1</v>
      </c>
      <c r="K803" s="2" t="s">
        <v>1169</v>
      </c>
      <c r="L803" s="28" t="s">
        <v>1166</v>
      </c>
      <c r="M803" s="20" t="s">
        <v>1167</v>
      </c>
      <c r="N803" s="47">
        <v>45695</v>
      </c>
      <c r="O803" s="20">
        <f>INDEX(Auxiliar!$D$5:$F$13,MATCH(Table1[[#This Row],[Tipologia_Testes]],Auxiliar!$B$5:$B$13,0),MATCH(Table1[[#This Row],[Complexidade]],Auxiliar!$D$4:$F$4,0))</f>
        <v>8</v>
      </c>
      <c r="P803" s="22" t="s">
        <v>1208</v>
      </c>
      <c r="Q803" s="2"/>
      <c r="R803" s="151">
        <v>45563</v>
      </c>
      <c r="S803" s="151"/>
      <c r="T803" s="151">
        <v>45563</v>
      </c>
      <c r="U803" s="151">
        <v>45624</v>
      </c>
      <c r="V803" s="151">
        <v>45629</v>
      </c>
      <c r="W803" s="2">
        <f>VLOOKUP(Table1[[#This Row],[Status]],Auxiliar!$B$16:$D$24,3,0)*Table1[[#This Row],[Estimação (horas)]]</f>
        <v>8</v>
      </c>
      <c r="X803" s="165">
        <f>+VLOOKUP(CONCATENATE(Table1[[#This Row],[Tabela]],Table1[[#This Row],[Campo]]),'2. Status Detalhe Campos FY24'!A:J,9,FALSE)</f>
        <v>0</v>
      </c>
      <c r="Y803" s="491" t="e">
        <f>+VLOOKUP(A803,#REF!,1,FALSE)</f>
        <v>#REF!</v>
      </c>
    </row>
    <row r="804" spans="1:25" ht="52.4" hidden="1" customHeight="1">
      <c r="A804" t="str">
        <f>+Table1[[#This Row],[Tabela]]&amp;Table1[[#This Row],[Campo]]</f>
        <v>modesg_out_sfics_taxon_europeiamontante_pndrc</v>
      </c>
      <c r="B804" s="2" t="s">
        <v>26</v>
      </c>
      <c r="C804" s="2" t="s">
        <v>310</v>
      </c>
      <c r="D804" s="2" t="s">
        <v>334</v>
      </c>
      <c r="E804" s="2" t="s">
        <v>38</v>
      </c>
      <c r="F804" s="2" t="s">
        <v>2079</v>
      </c>
      <c r="G804" s="2" t="s">
        <v>202</v>
      </c>
      <c r="H804" s="56" t="str">
        <f>Table1[[#This Row],[Tabela]]&amp;Table1[[#This Row],[Campo]]</f>
        <v>modesg_out_sfics_taxon_europeiamontante_pndrc</v>
      </c>
      <c r="I804" s="2" t="s">
        <v>612</v>
      </c>
      <c r="J804" s="42">
        <f>VLOOKUP(Table1[[#This Row],[Status]],Auxiliar!$B$16:$C$24,2,0)</f>
        <v>1</v>
      </c>
      <c r="K804" s="2" t="s">
        <v>1171</v>
      </c>
      <c r="L804" s="28" t="s">
        <v>1166</v>
      </c>
      <c r="M804" s="20" t="s">
        <v>1167</v>
      </c>
      <c r="N804" s="47">
        <v>45695</v>
      </c>
      <c r="O804" s="20">
        <f>INDEX(Auxiliar!$D$5:$F$13,MATCH(Table1[[#This Row],[Tipologia_Testes]],Auxiliar!$B$5:$B$13,0),MATCH(Table1[[#This Row],[Complexidade]],Auxiliar!$D$4:$F$4,0))</f>
        <v>0.1</v>
      </c>
      <c r="P804" s="22" t="s">
        <v>1208</v>
      </c>
      <c r="Q804" s="2"/>
      <c r="R804" s="151">
        <v>45563</v>
      </c>
      <c r="S804" s="151"/>
      <c r="T804" s="151">
        <v>45563</v>
      </c>
      <c r="U804" s="151">
        <v>45624</v>
      </c>
      <c r="V804" s="151">
        <v>45629</v>
      </c>
      <c r="W804" s="2">
        <f>VLOOKUP(Table1[[#This Row],[Status]],Auxiliar!$B$16:$D$24,3,0)*Table1[[#This Row],[Estimação (horas)]]</f>
        <v>0.1</v>
      </c>
      <c r="X804" s="165">
        <f>+VLOOKUP(CONCATENATE(Table1[[#This Row],[Tabela]],Table1[[#This Row],[Campo]]),'2. Status Detalhe Campos FY24'!A:J,9,FALSE)</f>
        <v>0</v>
      </c>
      <c r="Y804" s="491" t="e">
        <f>+VLOOKUP(A804,#REF!,1,FALSE)</f>
        <v>#REF!</v>
      </c>
    </row>
    <row r="805" spans="1:25" ht="52.4" hidden="1" customHeight="1">
      <c r="A805" t="str">
        <f>+Table1[[#This Row],[Tabela]]&amp;Table1[[#This Row],[Campo]]</f>
        <v>modesg_out_sfics_taxon_europeianome_ctgr_sfics</v>
      </c>
      <c r="B805" s="2" t="s">
        <v>26</v>
      </c>
      <c r="C805" s="2" t="s">
        <v>310</v>
      </c>
      <c r="D805" s="2" t="s">
        <v>334</v>
      </c>
      <c r="E805" s="2" t="s">
        <v>38</v>
      </c>
      <c r="F805" s="2" t="s">
        <v>2079</v>
      </c>
      <c r="G805" s="2" t="s">
        <v>2047</v>
      </c>
      <c r="H805" s="56" t="str">
        <f>Table1[[#This Row],[Tabela]]&amp;Table1[[#This Row],[Campo]]</f>
        <v>modesg_out_sfics_taxon_europeianome_ctgr_sfics</v>
      </c>
      <c r="I805" s="2" t="s">
        <v>612</v>
      </c>
      <c r="J805" s="42">
        <f>VLOOKUP(Table1[[#This Row],[Status]],Auxiliar!$B$16:$C$24,2,0)</f>
        <v>1</v>
      </c>
      <c r="K805" s="2" t="s">
        <v>1168</v>
      </c>
      <c r="L805" s="28" t="s">
        <v>1166</v>
      </c>
      <c r="M805" s="20" t="s">
        <v>1167</v>
      </c>
      <c r="N805" s="47">
        <v>45695</v>
      </c>
      <c r="O805" s="20">
        <f>INDEX(Auxiliar!$D$5:$F$13,MATCH(Table1[[#This Row],[Tipologia_Testes]],Auxiliar!$B$5:$B$13,0),MATCH(Table1[[#This Row],[Complexidade]],Auxiliar!$D$4:$F$4,0))</f>
        <v>8</v>
      </c>
      <c r="P805" s="22" t="s">
        <v>1209</v>
      </c>
      <c r="Q805" s="2"/>
      <c r="R805" s="151">
        <v>45562</v>
      </c>
      <c r="S805" s="151"/>
      <c r="T805" s="151">
        <v>45562</v>
      </c>
      <c r="U805" s="151">
        <v>45624</v>
      </c>
      <c r="V805" s="151">
        <v>45629</v>
      </c>
      <c r="W805" s="2">
        <f>VLOOKUP(Table1[[#This Row],[Status]],Auxiliar!$B$16:$D$24,3,0)*Table1[[#This Row],[Estimação (horas)]]</f>
        <v>8</v>
      </c>
      <c r="X805" s="165">
        <f>+VLOOKUP(CONCATENATE(Table1[[#This Row],[Tabela]],Table1[[#This Row],[Campo]]),'2. Status Detalhe Campos FY24'!A:J,9,FALSE)</f>
        <v>0</v>
      </c>
      <c r="Y805" s="491" t="e">
        <f>+VLOOKUP(A805,#REF!,1,FALSE)</f>
        <v>#REF!</v>
      </c>
    </row>
    <row r="806" spans="1:25" ht="52.4" hidden="1" customHeight="1">
      <c r="A806" t="str">
        <f>+Table1[[#This Row],[Tabela]]&amp;Table1[[#This Row],[Campo]]</f>
        <v>modesg_out_sfics_taxon_europeianome_ctgr_sfics</v>
      </c>
      <c r="B806" s="2" t="s">
        <v>26</v>
      </c>
      <c r="C806" s="2" t="s">
        <v>310</v>
      </c>
      <c r="D806" s="2" t="s">
        <v>334</v>
      </c>
      <c r="E806" s="2" t="s">
        <v>38</v>
      </c>
      <c r="F806" s="2" t="s">
        <v>2079</v>
      </c>
      <c r="G806" s="2" t="s">
        <v>2047</v>
      </c>
      <c r="H806" s="56" t="str">
        <f>Table1[[#This Row],[Tabela]]&amp;Table1[[#This Row],[Campo]]</f>
        <v>modesg_out_sfics_taxon_europeianome_ctgr_sfics</v>
      </c>
      <c r="I806" s="2" t="s">
        <v>612</v>
      </c>
      <c r="J806" s="42">
        <f>VLOOKUP(Table1[[#This Row],[Status]],Auxiliar!$B$16:$C$24,2,0)</f>
        <v>1</v>
      </c>
      <c r="K806" s="2" t="s">
        <v>1169</v>
      </c>
      <c r="L806" s="28" t="s">
        <v>1166</v>
      </c>
      <c r="M806" s="20" t="s">
        <v>1167</v>
      </c>
      <c r="N806" s="47">
        <v>45695</v>
      </c>
      <c r="O806" s="20">
        <f>INDEX(Auxiliar!$D$5:$F$13,MATCH(Table1[[#This Row],[Tipologia_Testes]],Auxiliar!$B$5:$B$13,0),MATCH(Table1[[#This Row],[Complexidade]],Auxiliar!$D$4:$F$4,0))</f>
        <v>8</v>
      </c>
      <c r="P806" s="22" t="s">
        <v>1209</v>
      </c>
      <c r="Q806" s="2"/>
      <c r="R806" s="151">
        <v>45562</v>
      </c>
      <c r="S806" s="151"/>
      <c r="T806" s="151">
        <v>45562</v>
      </c>
      <c r="U806" s="151">
        <v>45624</v>
      </c>
      <c r="V806" s="151">
        <v>45629</v>
      </c>
      <c r="W806" s="2">
        <f>VLOOKUP(Table1[[#This Row],[Status]],Auxiliar!$B$16:$D$24,3,0)*Table1[[#This Row],[Estimação (horas)]]</f>
        <v>8</v>
      </c>
      <c r="X806" s="165">
        <f>+VLOOKUP(CONCATENATE(Table1[[#This Row],[Tabela]],Table1[[#This Row],[Campo]]),'2. Status Detalhe Campos FY24'!A:J,9,FALSE)</f>
        <v>0</v>
      </c>
      <c r="Y806" s="491" t="e">
        <f>+VLOOKUP(A806,#REF!,1,FALSE)</f>
        <v>#REF!</v>
      </c>
    </row>
    <row r="807" spans="1:25" ht="17.899999999999999" hidden="1" customHeight="1">
      <c r="A807" t="str">
        <f>+Table1[[#This Row],[Tabela]]&amp;Table1[[#This Row],[Campo]]</f>
        <v>modesg_out_sfics_taxon_europeianome_ctgr_sfics</v>
      </c>
      <c r="B807" s="2" t="s">
        <v>26</v>
      </c>
      <c r="C807" s="2" t="s">
        <v>310</v>
      </c>
      <c r="D807" s="2" t="s">
        <v>334</v>
      </c>
      <c r="E807" s="2" t="s">
        <v>38</v>
      </c>
      <c r="F807" s="2" t="s">
        <v>2079</v>
      </c>
      <c r="G807" s="2" t="s">
        <v>2047</v>
      </c>
      <c r="H807" s="56" t="str">
        <f>Table1[[#This Row],[Tabela]]&amp;Table1[[#This Row],[Campo]]</f>
        <v>modesg_out_sfics_taxon_europeianome_ctgr_sfics</v>
      </c>
      <c r="I807" s="2" t="s">
        <v>612</v>
      </c>
      <c r="J807" s="42">
        <f>VLOOKUP(Table1[[#This Row],[Status]],Auxiliar!$B$16:$C$24,2,0)</f>
        <v>1</v>
      </c>
      <c r="K807" s="2" t="s">
        <v>1171</v>
      </c>
      <c r="L807" s="28" t="s">
        <v>1166</v>
      </c>
      <c r="M807" s="20" t="s">
        <v>1167</v>
      </c>
      <c r="N807" s="47">
        <v>45695</v>
      </c>
      <c r="O807" s="20">
        <f>INDEX(Auxiliar!$D$5:$F$13,MATCH(Table1[[#This Row],[Tipologia_Testes]],Auxiliar!$B$5:$B$13,0),MATCH(Table1[[#This Row],[Complexidade]],Auxiliar!$D$4:$F$4,0))</f>
        <v>0.1</v>
      </c>
      <c r="P807" s="22" t="s">
        <v>1209</v>
      </c>
      <c r="Q807" s="2"/>
      <c r="R807" s="151">
        <v>45562</v>
      </c>
      <c r="S807" s="151"/>
      <c r="T807" s="151">
        <v>45562</v>
      </c>
      <c r="U807" s="151">
        <v>45624</v>
      </c>
      <c r="V807" s="151">
        <v>45629</v>
      </c>
      <c r="W807" s="2">
        <f>VLOOKUP(Table1[[#This Row],[Status]],Auxiliar!$B$16:$D$24,3,0)*Table1[[#This Row],[Estimação (horas)]]</f>
        <v>0.1</v>
      </c>
      <c r="X807" s="165">
        <f>+VLOOKUP(CONCATENATE(Table1[[#This Row],[Tabela]],Table1[[#This Row],[Campo]]),'2. Status Detalhe Campos FY24'!A:J,9,FALSE)</f>
        <v>0</v>
      </c>
      <c r="Y807" s="491" t="e">
        <f>+VLOOKUP(A807,#REF!,1,FALSE)</f>
        <v>#REF!</v>
      </c>
    </row>
    <row r="808" spans="1:25" ht="17.899999999999999" hidden="1" customHeight="1">
      <c r="A808" t="str">
        <f>+Table1[[#This Row],[Tabela]]&amp;Table1[[#This Row],[Campo]]</f>
        <v>modesg_out_sfics_taxon_europeianome_general_specific_purpose</v>
      </c>
      <c r="B808" s="2" t="s">
        <v>26</v>
      </c>
      <c r="C808" s="2" t="s">
        <v>310</v>
      </c>
      <c r="D808" s="2" t="s">
        <v>334</v>
      </c>
      <c r="E808" s="2" t="s">
        <v>38</v>
      </c>
      <c r="F808" s="2" t="s">
        <v>2079</v>
      </c>
      <c r="G808" s="2" t="s">
        <v>204</v>
      </c>
      <c r="H808" s="56" t="str">
        <f>Table1[[#This Row],[Tabela]]&amp;Table1[[#This Row],[Campo]]</f>
        <v>modesg_out_sfics_taxon_europeianome_general_specific_purpose</v>
      </c>
      <c r="I808" s="2" t="s">
        <v>615</v>
      </c>
      <c r="J808" s="42">
        <f>VLOOKUP(Table1[[#This Row],[Status]],Auxiliar!$B$16:$C$24,2,0)</f>
        <v>6</v>
      </c>
      <c r="K808" s="2" t="s">
        <v>1168</v>
      </c>
      <c r="L808" s="28" t="s">
        <v>1166</v>
      </c>
      <c r="M808" s="20" t="s">
        <v>1176</v>
      </c>
      <c r="N808" s="47">
        <v>45695</v>
      </c>
      <c r="O808" s="20">
        <f>INDEX(Auxiliar!$D$5:$F$13,MATCH(Table1[[#This Row],[Tipologia_Testes]],Auxiliar!$B$5:$B$13,0),MATCH(Table1[[#This Row],[Complexidade]],Auxiliar!$D$4:$F$4,0))</f>
        <v>4</v>
      </c>
      <c r="P808" s="2" t="s">
        <v>1210</v>
      </c>
      <c r="Q808" s="2"/>
      <c r="R808" s="151">
        <v>45563</v>
      </c>
      <c r="S808" s="151"/>
      <c r="T808" s="151">
        <v>45563</v>
      </c>
      <c r="U808" s="151">
        <v>45624</v>
      </c>
      <c r="V808" s="151">
        <v>45629</v>
      </c>
      <c r="W808" s="2">
        <f>VLOOKUP(Table1[[#This Row],[Status]],Auxiliar!$B$16:$D$24,3,0)*Table1[[#This Row],[Estimação (horas)]]</f>
        <v>1</v>
      </c>
      <c r="X808" s="165">
        <f>+VLOOKUP(CONCATENATE(Table1[[#This Row],[Tabela]],Table1[[#This Row],[Campo]]),'2. Status Detalhe Campos FY24'!A:J,9,FALSE)</f>
        <v>0</v>
      </c>
      <c r="Y808" s="491" t="e">
        <f>+VLOOKUP(A808,#REF!,1,FALSE)</f>
        <v>#REF!</v>
      </c>
    </row>
    <row r="809" spans="1:25" ht="17.899999999999999" hidden="1" customHeight="1">
      <c r="A809" t="str">
        <f>+Table1[[#This Row],[Tabela]]&amp;Table1[[#This Row],[Campo]]</f>
        <v>modesg_out_sfics_taxon_europeianome_general_specific_purpose</v>
      </c>
      <c r="B809" s="2" t="s">
        <v>26</v>
      </c>
      <c r="C809" s="2" t="s">
        <v>310</v>
      </c>
      <c r="D809" s="2" t="s">
        <v>334</v>
      </c>
      <c r="E809" s="2" t="s">
        <v>38</v>
      </c>
      <c r="F809" s="2" t="s">
        <v>2079</v>
      </c>
      <c r="G809" s="2" t="s">
        <v>204</v>
      </c>
      <c r="H809" s="56" t="str">
        <f>Table1[[#This Row],[Tabela]]&amp;Table1[[#This Row],[Campo]]</f>
        <v>modesg_out_sfics_taxon_europeianome_general_specific_purpose</v>
      </c>
      <c r="I809" s="2" t="s">
        <v>615</v>
      </c>
      <c r="J809" s="42">
        <f>VLOOKUP(Table1[[#This Row],[Status]],Auxiliar!$B$16:$C$24,2,0)</f>
        <v>6</v>
      </c>
      <c r="K809" s="2" t="s">
        <v>1169</v>
      </c>
      <c r="L809" s="28" t="s">
        <v>1166</v>
      </c>
      <c r="M809" s="20" t="s">
        <v>1176</v>
      </c>
      <c r="N809" s="47">
        <v>45695</v>
      </c>
      <c r="O809" s="20">
        <f>INDEX(Auxiliar!$D$5:$F$13,MATCH(Table1[[#This Row],[Tipologia_Testes]],Auxiliar!$B$5:$B$13,0),MATCH(Table1[[#This Row],[Complexidade]],Auxiliar!$D$4:$F$4,0))</f>
        <v>4</v>
      </c>
      <c r="P809" s="2" t="s">
        <v>1210</v>
      </c>
      <c r="Q809" s="2"/>
      <c r="R809" s="151">
        <v>45563</v>
      </c>
      <c r="S809" s="151"/>
      <c r="T809" s="151">
        <v>45563</v>
      </c>
      <c r="U809" s="151">
        <v>45624</v>
      </c>
      <c r="V809" s="151">
        <v>45629</v>
      </c>
      <c r="W809" s="2">
        <f>VLOOKUP(Table1[[#This Row],[Status]],Auxiliar!$B$16:$D$24,3,0)*Table1[[#This Row],[Estimação (horas)]]</f>
        <v>1</v>
      </c>
      <c r="X809" s="165">
        <f>+VLOOKUP(CONCATENATE(Table1[[#This Row],[Tabela]],Table1[[#This Row],[Campo]]),'2. Status Detalhe Campos FY24'!A:J,9,FALSE)</f>
        <v>0</v>
      </c>
      <c r="Y809" s="491" t="e">
        <f>+VLOOKUP(A809,#REF!,1,FALSE)</f>
        <v>#REF!</v>
      </c>
    </row>
    <row r="810" spans="1:25" ht="17.899999999999999" hidden="1" customHeight="1">
      <c r="A810" t="str">
        <f>+Table1[[#This Row],[Tabela]]&amp;Table1[[#This Row],[Campo]]</f>
        <v>modesg_out_sfics_taxon_europeianome_general_specific_purpose</v>
      </c>
      <c r="B810" s="2" t="s">
        <v>26</v>
      </c>
      <c r="C810" s="2" t="s">
        <v>310</v>
      </c>
      <c r="D810" s="2" t="s">
        <v>334</v>
      </c>
      <c r="E810" s="2" t="s">
        <v>38</v>
      </c>
      <c r="F810" s="2" t="s">
        <v>2079</v>
      </c>
      <c r="G810" s="2" t="s">
        <v>204</v>
      </c>
      <c r="H810" s="56" t="str">
        <f>Table1[[#This Row],[Tabela]]&amp;Table1[[#This Row],[Campo]]</f>
        <v>modesg_out_sfics_taxon_europeianome_general_specific_purpose</v>
      </c>
      <c r="I810" s="2" t="s">
        <v>615</v>
      </c>
      <c r="J810" s="42">
        <f>VLOOKUP(Table1[[#This Row],[Status]],Auxiliar!$B$16:$C$24,2,0)</f>
        <v>6</v>
      </c>
      <c r="K810" s="2" t="s">
        <v>1171</v>
      </c>
      <c r="L810" s="28" t="s">
        <v>1166</v>
      </c>
      <c r="M810" s="20" t="s">
        <v>1176</v>
      </c>
      <c r="N810" s="47">
        <v>45695</v>
      </c>
      <c r="O810" s="20">
        <f>INDEX(Auxiliar!$D$5:$F$13,MATCH(Table1[[#This Row],[Tipologia_Testes]],Auxiliar!$B$5:$B$13,0),MATCH(Table1[[#This Row],[Complexidade]],Auxiliar!$D$4:$F$4,0))</f>
        <v>0.1</v>
      </c>
      <c r="P810" s="2" t="s">
        <v>1210</v>
      </c>
      <c r="Q810" s="2"/>
      <c r="R810" s="151">
        <v>45563</v>
      </c>
      <c r="S810" s="151"/>
      <c r="T810" s="151">
        <v>45563</v>
      </c>
      <c r="U810" s="151">
        <v>45624</v>
      </c>
      <c r="V810" s="151">
        <v>45629</v>
      </c>
      <c r="W810" s="2">
        <f>VLOOKUP(Table1[[#This Row],[Status]],Auxiliar!$B$16:$D$24,3,0)*Table1[[#This Row],[Estimação (horas)]]</f>
        <v>2.5000000000000001E-2</v>
      </c>
      <c r="X810" s="165">
        <f>+VLOOKUP(CONCATENATE(Table1[[#This Row],[Tabela]],Table1[[#This Row],[Campo]]),'2. Status Detalhe Campos FY24'!A:J,9,FALSE)</f>
        <v>0</v>
      </c>
      <c r="Y810" s="491" t="e">
        <f>+VLOOKUP(A810,#REF!,1,FALSE)</f>
        <v>#REF!</v>
      </c>
    </row>
    <row r="811" spans="1:25" ht="17.899999999999999" hidden="1" customHeight="1">
      <c r="A811" t="str">
        <f>+Table1[[#This Row],[Tabela]]&amp;Table1[[#This Row],[Campo]]</f>
        <v>modesg_out_sfics_taxon_europeianome_purpose_esg_alinh_tax</v>
      </c>
      <c r="B811" s="2" t="s">
        <v>26</v>
      </c>
      <c r="C811" s="2" t="s">
        <v>310</v>
      </c>
      <c r="D811" s="2" t="s">
        <v>334</v>
      </c>
      <c r="E811" s="2" t="s">
        <v>38</v>
      </c>
      <c r="F811" s="2" t="s">
        <v>2079</v>
      </c>
      <c r="G811" s="2" t="s">
        <v>2058</v>
      </c>
      <c r="H811" s="56" t="str">
        <f>Table1[[#This Row],[Tabela]]&amp;Table1[[#This Row],[Campo]]</f>
        <v>modesg_out_sfics_taxon_europeianome_purpose_esg_alinh_tax</v>
      </c>
      <c r="I811" s="2" t="s">
        <v>615</v>
      </c>
      <c r="J811" s="42">
        <f>VLOOKUP(Table1[[#This Row],[Status]],Auxiliar!$B$16:$C$24,2,0)</f>
        <v>6</v>
      </c>
      <c r="K811" s="2" t="s">
        <v>1168</v>
      </c>
      <c r="L811" s="28" t="s">
        <v>1174</v>
      </c>
      <c r="M811" s="20" t="s">
        <v>1176</v>
      </c>
      <c r="N811" s="47">
        <v>45695</v>
      </c>
      <c r="O811" s="20">
        <f>INDEX(Auxiliar!$D$5:$F$13,MATCH(Table1[[#This Row],[Tipologia_Testes]],Auxiliar!$B$5:$B$13,0),MATCH(Table1[[#This Row],[Complexidade]],Auxiliar!$D$4:$F$4,0))</f>
        <v>4</v>
      </c>
      <c r="P811" s="2"/>
      <c r="Q811" s="2"/>
      <c r="R811" s="151">
        <v>45563</v>
      </c>
      <c r="S811" s="151"/>
      <c r="T811" s="151">
        <v>45563</v>
      </c>
      <c r="U811" s="151">
        <v>45624</v>
      </c>
      <c r="V811" s="151">
        <v>45629</v>
      </c>
      <c r="W811" s="2">
        <f>VLOOKUP(Table1[[#This Row],[Status]],Auxiliar!$B$16:$D$24,3,0)*Table1[[#This Row],[Estimação (horas)]]</f>
        <v>1</v>
      </c>
      <c r="X811" s="165">
        <f>+VLOOKUP(CONCATENATE(Table1[[#This Row],[Tabela]],Table1[[#This Row],[Campo]]),'2. Status Detalhe Campos FY24'!A:J,9,FALSE)</f>
        <v>0</v>
      </c>
      <c r="Y811" s="491" t="e">
        <f>+VLOOKUP(A811,#REF!,1,FALSE)</f>
        <v>#REF!</v>
      </c>
    </row>
    <row r="812" spans="1:25" ht="17.899999999999999" hidden="1" customHeight="1">
      <c r="A812" t="str">
        <f>+Table1[[#This Row],[Tabela]]&amp;Table1[[#This Row],[Campo]]</f>
        <v>modesg_out_sfics_taxon_europeianome_purpose_esg_alinh_tax</v>
      </c>
      <c r="B812" s="2" t="s">
        <v>26</v>
      </c>
      <c r="C812" s="2" t="s">
        <v>310</v>
      </c>
      <c r="D812" s="2" t="s">
        <v>334</v>
      </c>
      <c r="E812" s="2" t="s">
        <v>38</v>
      </c>
      <c r="F812" s="2" t="s">
        <v>2079</v>
      </c>
      <c r="G812" s="2" t="s">
        <v>2058</v>
      </c>
      <c r="H812" s="56" t="str">
        <f>Table1[[#This Row],[Tabela]]&amp;Table1[[#This Row],[Campo]]</f>
        <v>modesg_out_sfics_taxon_europeianome_purpose_esg_alinh_tax</v>
      </c>
      <c r="I812" s="2" t="s">
        <v>615</v>
      </c>
      <c r="J812" s="42">
        <f>VLOOKUP(Table1[[#This Row],[Status]],Auxiliar!$B$16:$C$24,2,0)</f>
        <v>6</v>
      </c>
      <c r="K812" s="2" t="s">
        <v>1169</v>
      </c>
      <c r="L812" s="28" t="s">
        <v>1174</v>
      </c>
      <c r="M812" s="20" t="s">
        <v>1176</v>
      </c>
      <c r="N812" s="47">
        <v>45695</v>
      </c>
      <c r="O812" s="20">
        <f>INDEX(Auxiliar!$D$5:$F$13,MATCH(Table1[[#This Row],[Tipologia_Testes]],Auxiliar!$B$5:$B$13,0),MATCH(Table1[[#This Row],[Complexidade]],Auxiliar!$D$4:$F$4,0))</f>
        <v>4</v>
      </c>
      <c r="P812" s="2"/>
      <c r="Q812" s="2"/>
      <c r="R812" s="151">
        <v>45563</v>
      </c>
      <c r="S812" s="151"/>
      <c r="T812" s="151">
        <v>45563</v>
      </c>
      <c r="U812" s="151">
        <v>45624</v>
      </c>
      <c r="V812" s="151">
        <v>45629</v>
      </c>
      <c r="W812" s="2">
        <f>VLOOKUP(Table1[[#This Row],[Status]],Auxiliar!$B$16:$D$24,3,0)*Table1[[#This Row],[Estimação (horas)]]</f>
        <v>1</v>
      </c>
      <c r="X812" s="165">
        <f>+VLOOKUP(CONCATENATE(Table1[[#This Row],[Tabela]],Table1[[#This Row],[Campo]]),'2. Status Detalhe Campos FY24'!A:J,9,FALSE)</f>
        <v>0</v>
      </c>
      <c r="Y812" s="491" t="e">
        <f>+VLOOKUP(A812,#REF!,1,FALSE)</f>
        <v>#REF!</v>
      </c>
    </row>
    <row r="813" spans="1:25" ht="17.899999999999999" hidden="1" customHeight="1">
      <c r="A813" t="str">
        <f>+Table1[[#This Row],[Tabela]]&amp;Table1[[#This Row],[Campo]]</f>
        <v>modesg_out_sfics_taxon_europeianome_purpose_esg_alinh_tax</v>
      </c>
      <c r="B813" s="2" t="s">
        <v>26</v>
      </c>
      <c r="C813" s="2" t="s">
        <v>310</v>
      </c>
      <c r="D813" s="2" t="s">
        <v>334</v>
      </c>
      <c r="E813" s="2" t="s">
        <v>38</v>
      </c>
      <c r="F813" s="2" t="s">
        <v>2079</v>
      </c>
      <c r="G813" s="2" t="s">
        <v>2058</v>
      </c>
      <c r="H813" s="56" t="str">
        <f>Table1[[#This Row],[Tabela]]&amp;Table1[[#This Row],[Campo]]</f>
        <v>modesg_out_sfics_taxon_europeianome_purpose_esg_alinh_tax</v>
      </c>
      <c r="I813" s="2" t="s">
        <v>615</v>
      </c>
      <c r="J813" s="42">
        <f>VLOOKUP(Table1[[#This Row],[Status]],Auxiliar!$B$16:$C$24,2,0)</f>
        <v>6</v>
      </c>
      <c r="K813" s="2" t="s">
        <v>1171</v>
      </c>
      <c r="L813" s="28" t="s">
        <v>1174</v>
      </c>
      <c r="M813" s="20" t="s">
        <v>1176</v>
      </c>
      <c r="N813" s="47">
        <v>45695</v>
      </c>
      <c r="O813" s="20">
        <f>INDEX(Auxiliar!$D$5:$F$13,MATCH(Table1[[#This Row],[Tipologia_Testes]],Auxiliar!$B$5:$B$13,0),MATCH(Table1[[#This Row],[Complexidade]],Auxiliar!$D$4:$F$4,0))</f>
        <v>0.1</v>
      </c>
      <c r="P813" s="2"/>
      <c r="Q813" s="2"/>
      <c r="R813" s="151">
        <v>45563</v>
      </c>
      <c r="S813" s="151"/>
      <c r="T813" s="151">
        <v>45563</v>
      </c>
      <c r="U813" s="151">
        <v>45624</v>
      </c>
      <c r="V813" s="151">
        <v>45629</v>
      </c>
      <c r="W813" s="2">
        <f>VLOOKUP(Table1[[#This Row],[Status]],Auxiliar!$B$16:$D$24,3,0)*Table1[[#This Row],[Estimação (horas)]]</f>
        <v>2.5000000000000001E-2</v>
      </c>
      <c r="X813" s="165">
        <f>+VLOOKUP(CONCATENATE(Table1[[#This Row],[Tabela]],Table1[[#This Row],[Campo]]),'2. Status Detalhe Campos FY24'!A:J,9,FALSE)</f>
        <v>0</v>
      </c>
      <c r="Y813" s="491" t="e">
        <f>+VLOOKUP(A813,#REF!,1,FALSE)</f>
        <v>#REF!</v>
      </c>
    </row>
    <row r="814" spans="1:25" ht="17.899999999999999" hidden="1" customHeight="1">
      <c r="A814" t="str">
        <f>+Table1[[#This Row],[Tabela]]&amp;Table1[[#This Row],[Campo]]</f>
        <v>modesg_out_sfics_taxon_europeianome_purpose_esg_nalinh_tax</v>
      </c>
      <c r="B814" s="2" t="s">
        <v>26</v>
      </c>
      <c r="C814" s="2" t="s">
        <v>310</v>
      </c>
      <c r="D814" s="2" t="s">
        <v>334</v>
      </c>
      <c r="E814" s="2" t="s">
        <v>38</v>
      </c>
      <c r="F814" s="2" t="s">
        <v>2079</v>
      </c>
      <c r="G814" s="2" t="s">
        <v>2059</v>
      </c>
      <c r="H814" s="56" t="str">
        <f>Table1[[#This Row],[Tabela]]&amp;Table1[[#This Row],[Campo]]</f>
        <v>modesg_out_sfics_taxon_europeianome_purpose_esg_nalinh_tax</v>
      </c>
      <c r="I814" s="2" t="s">
        <v>615</v>
      </c>
      <c r="J814" s="42">
        <f>VLOOKUP(Table1[[#This Row],[Status]],Auxiliar!$B$16:$C$24,2,0)</f>
        <v>6</v>
      </c>
      <c r="K814" s="2" t="s">
        <v>1168</v>
      </c>
      <c r="L814" s="28" t="s">
        <v>1174</v>
      </c>
      <c r="M814" s="20" t="s">
        <v>1176</v>
      </c>
      <c r="N814" s="47">
        <v>45695</v>
      </c>
      <c r="O814" s="20">
        <f>INDEX(Auxiliar!$D$5:$F$13,MATCH(Table1[[#This Row],[Tipologia_Testes]],Auxiliar!$B$5:$B$13,0),MATCH(Table1[[#This Row],[Complexidade]],Auxiliar!$D$4:$F$4,0))</f>
        <v>4</v>
      </c>
      <c r="P814" s="2"/>
      <c r="Q814" s="2"/>
      <c r="R814" s="151">
        <v>45563</v>
      </c>
      <c r="S814" s="151"/>
      <c r="T814" s="151">
        <v>45563</v>
      </c>
      <c r="U814" s="151">
        <v>45624</v>
      </c>
      <c r="V814" s="151">
        <v>45629</v>
      </c>
      <c r="W814" s="2">
        <f>VLOOKUP(Table1[[#This Row],[Status]],Auxiliar!$B$16:$D$24,3,0)*Table1[[#This Row],[Estimação (horas)]]</f>
        <v>1</v>
      </c>
      <c r="X814" s="165">
        <f>+VLOOKUP(CONCATENATE(Table1[[#This Row],[Tabela]],Table1[[#This Row],[Campo]]),'2. Status Detalhe Campos FY24'!A:J,9,FALSE)</f>
        <v>0</v>
      </c>
      <c r="Y814" s="491" t="e">
        <f>+VLOOKUP(A814,#REF!,1,FALSE)</f>
        <v>#REF!</v>
      </c>
    </row>
    <row r="815" spans="1:25" ht="17.899999999999999" hidden="1" customHeight="1">
      <c r="A815" t="str">
        <f>+Table1[[#This Row],[Tabela]]&amp;Table1[[#This Row],[Campo]]</f>
        <v>modesg_out_sfics_taxon_europeianome_purpose_esg_nalinh_tax</v>
      </c>
      <c r="B815" s="2" t="s">
        <v>26</v>
      </c>
      <c r="C815" s="2" t="s">
        <v>310</v>
      </c>
      <c r="D815" s="2" t="s">
        <v>334</v>
      </c>
      <c r="E815" s="2" t="s">
        <v>38</v>
      </c>
      <c r="F815" s="2" t="s">
        <v>2079</v>
      </c>
      <c r="G815" s="2" t="s">
        <v>2059</v>
      </c>
      <c r="H815" s="56" t="str">
        <f>Table1[[#This Row],[Tabela]]&amp;Table1[[#This Row],[Campo]]</f>
        <v>modesg_out_sfics_taxon_europeianome_purpose_esg_nalinh_tax</v>
      </c>
      <c r="I815" s="2" t="s">
        <v>615</v>
      </c>
      <c r="J815" s="42">
        <f>VLOOKUP(Table1[[#This Row],[Status]],Auxiliar!$B$16:$C$24,2,0)</f>
        <v>6</v>
      </c>
      <c r="K815" s="2" t="s">
        <v>1169</v>
      </c>
      <c r="L815" s="28" t="s">
        <v>1174</v>
      </c>
      <c r="M815" s="20" t="s">
        <v>1176</v>
      </c>
      <c r="N815" s="47">
        <v>45695</v>
      </c>
      <c r="O815" s="20">
        <f>INDEX(Auxiliar!$D$5:$F$13,MATCH(Table1[[#This Row],[Tipologia_Testes]],Auxiliar!$B$5:$B$13,0),MATCH(Table1[[#This Row],[Complexidade]],Auxiliar!$D$4:$F$4,0))</f>
        <v>4</v>
      </c>
      <c r="P815" s="2"/>
      <c r="Q815" s="2"/>
      <c r="R815" s="151">
        <v>45563</v>
      </c>
      <c r="S815" s="151"/>
      <c r="T815" s="151">
        <v>45563</v>
      </c>
      <c r="U815" s="151">
        <v>45624</v>
      </c>
      <c r="V815" s="151">
        <v>45629</v>
      </c>
      <c r="W815" s="2">
        <f>VLOOKUP(Table1[[#This Row],[Status]],Auxiliar!$B$16:$D$24,3,0)*Table1[[#This Row],[Estimação (horas)]]</f>
        <v>1</v>
      </c>
      <c r="X815" s="165">
        <f>+VLOOKUP(CONCATENATE(Table1[[#This Row],[Tabela]],Table1[[#This Row],[Campo]]),'2. Status Detalhe Campos FY24'!A:J,9,FALSE)</f>
        <v>0</v>
      </c>
      <c r="Y815" s="491" t="e">
        <f>+VLOOKUP(A815,#REF!,1,FALSE)</f>
        <v>#REF!</v>
      </c>
    </row>
    <row r="816" spans="1:25" ht="17.899999999999999" hidden="1" customHeight="1">
      <c r="A816" t="str">
        <f>+Table1[[#This Row],[Tabela]]&amp;Table1[[#This Row],[Campo]]</f>
        <v>modesg_out_sfics_taxon_europeianome_purpose_esg_nalinh_tax</v>
      </c>
      <c r="B816" s="2" t="s">
        <v>26</v>
      </c>
      <c r="C816" s="2" t="s">
        <v>310</v>
      </c>
      <c r="D816" s="2" t="s">
        <v>334</v>
      </c>
      <c r="E816" s="2" t="s">
        <v>38</v>
      </c>
      <c r="F816" s="2" t="s">
        <v>2079</v>
      </c>
      <c r="G816" s="2" t="s">
        <v>2059</v>
      </c>
      <c r="H816" s="56" t="str">
        <f>Table1[[#This Row],[Tabela]]&amp;Table1[[#This Row],[Campo]]</f>
        <v>modesg_out_sfics_taxon_europeianome_purpose_esg_nalinh_tax</v>
      </c>
      <c r="I816" s="2" t="s">
        <v>615</v>
      </c>
      <c r="J816" s="42">
        <f>VLOOKUP(Table1[[#This Row],[Status]],Auxiliar!$B$16:$C$24,2,0)</f>
        <v>6</v>
      </c>
      <c r="K816" s="2" t="s">
        <v>1171</v>
      </c>
      <c r="L816" s="28" t="s">
        <v>1174</v>
      </c>
      <c r="M816" s="20" t="s">
        <v>1176</v>
      </c>
      <c r="N816" s="47">
        <v>45695</v>
      </c>
      <c r="O816" s="20">
        <f>INDEX(Auxiliar!$D$5:$F$13,MATCH(Table1[[#This Row],[Tipologia_Testes]],Auxiliar!$B$5:$B$13,0),MATCH(Table1[[#This Row],[Complexidade]],Auxiliar!$D$4:$F$4,0))</f>
        <v>0.1</v>
      </c>
      <c r="P816" s="2"/>
      <c r="Q816" s="2"/>
      <c r="R816" s="151">
        <v>45563</v>
      </c>
      <c r="S816" s="151"/>
      <c r="T816" s="151">
        <v>45563</v>
      </c>
      <c r="U816" s="151">
        <v>45624</v>
      </c>
      <c r="V816" s="151">
        <v>45629</v>
      </c>
      <c r="W816" s="2">
        <f>VLOOKUP(Table1[[#This Row],[Status]],Auxiliar!$B$16:$D$24,3,0)*Table1[[#This Row],[Estimação (horas)]]</f>
        <v>2.5000000000000001E-2</v>
      </c>
      <c r="X816" s="165">
        <f>+VLOOKUP(CONCATENATE(Table1[[#This Row],[Tabela]],Table1[[#This Row],[Campo]]),'2. Status Detalhe Campos FY24'!A:J,9,FALSE)</f>
        <v>0</v>
      </c>
      <c r="Y816" s="491" t="e">
        <f>+VLOOKUP(A816,#REF!,1,FALSE)</f>
        <v>#REF!</v>
      </c>
    </row>
    <row r="817" spans="1:25" ht="17.899999999999999" hidden="1" customHeight="1">
      <c r="A817" t="str">
        <f>+Table1[[#This Row],[Tabela]]&amp;Table1[[#This Row],[Campo]]</f>
        <v>modesg_out_sfics_taxon_europeianome_specific_eligible</v>
      </c>
      <c r="B817" s="2" t="s">
        <v>26</v>
      </c>
      <c r="C817" s="2" t="s">
        <v>310</v>
      </c>
      <c r="D817" s="2" t="s">
        <v>334</v>
      </c>
      <c r="E817" s="2" t="s">
        <v>38</v>
      </c>
      <c r="F817" s="2" t="s">
        <v>2079</v>
      </c>
      <c r="G817" s="2" t="s">
        <v>206</v>
      </c>
      <c r="H817" s="56" t="str">
        <f>Table1[[#This Row],[Tabela]]&amp;Table1[[#This Row],[Campo]]</f>
        <v>modesg_out_sfics_taxon_europeianome_specific_eligible</v>
      </c>
      <c r="I817" s="2" t="s">
        <v>615</v>
      </c>
      <c r="J817" s="42">
        <f>VLOOKUP(Table1[[#This Row],[Status]],Auxiliar!$B$16:$C$24,2,0)</f>
        <v>6</v>
      </c>
      <c r="K817" s="2" t="s">
        <v>1168</v>
      </c>
      <c r="L817" s="28" t="s">
        <v>1166</v>
      </c>
      <c r="M817" s="20" t="s">
        <v>1176</v>
      </c>
      <c r="N817" s="47">
        <v>45695</v>
      </c>
      <c r="O817" s="20">
        <f>INDEX(Auxiliar!$D$5:$F$13,MATCH(Table1[[#This Row],[Tipologia_Testes]],Auxiliar!$B$5:$B$13,0),MATCH(Table1[[#This Row],[Complexidade]],Auxiliar!$D$4:$F$4,0))</f>
        <v>4</v>
      </c>
      <c r="P817" s="2" t="s">
        <v>1210</v>
      </c>
      <c r="Q817" s="2"/>
      <c r="R817" s="151">
        <v>45563</v>
      </c>
      <c r="S817" s="151"/>
      <c r="T817" s="151">
        <v>45563</v>
      </c>
      <c r="U817" s="151">
        <v>45624</v>
      </c>
      <c r="V817" s="151">
        <v>45629</v>
      </c>
      <c r="W817" s="2">
        <f>VLOOKUP(Table1[[#This Row],[Status]],Auxiliar!$B$16:$D$24,3,0)*Table1[[#This Row],[Estimação (horas)]]</f>
        <v>1</v>
      </c>
      <c r="X817" s="165">
        <f>+VLOOKUP(CONCATENATE(Table1[[#This Row],[Tabela]],Table1[[#This Row],[Campo]]),'2. Status Detalhe Campos FY24'!A:J,9,FALSE)</f>
        <v>0</v>
      </c>
      <c r="Y817" s="491" t="e">
        <f>+VLOOKUP(A817,#REF!,1,FALSE)</f>
        <v>#REF!</v>
      </c>
    </row>
    <row r="818" spans="1:25" ht="17.899999999999999" hidden="1" customHeight="1">
      <c r="A818" t="str">
        <f>+Table1[[#This Row],[Tabela]]&amp;Table1[[#This Row],[Campo]]</f>
        <v>modesg_out_sfics_taxon_europeianome_specific_eligible</v>
      </c>
      <c r="B818" s="2" t="s">
        <v>26</v>
      </c>
      <c r="C818" s="2" t="s">
        <v>310</v>
      </c>
      <c r="D818" s="2" t="s">
        <v>334</v>
      </c>
      <c r="E818" s="2" t="s">
        <v>38</v>
      </c>
      <c r="F818" s="2" t="s">
        <v>2079</v>
      </c>
      <c r="G818" s="2" t="s">
        <v>206</v>
      </c>
      <c r="H818" s="56" t="str">
        <f>Table1[[#This Row],[Tabela]]&amp;Table1[[#This Row],[Campo]]</f>
        <v>modesg_out_sfics_taxon_europeianome_specific_eligible</v>
      </c>
      <c r="I818" s="2" t="s">
        <v>615</v>
      </c>
      <c r="J818" s="42">
        <f>VLOOKUP(Table1[[#This Row],[Status]],Auxiliar!$B$16:$C$24,2,0)</f>
        <v>6</v>
      </c>
      <c r="K818" s="2" t="s">
        <v>1169</v>
      </c>
      <c r="L818" s="28" t="s">
        <v>1166</v>
      </c>
      <c r="M818" s="20" t="s">
        <v>1176</v>
      </c>
      <c r="N818" s="47">
        <v>45695</v>
      </c>
      <c r="O818" s="20">
        <f>INDEX(Auxiliar!$D$5:$F$13,MATCH(Table1[[#This Row],[Tipologia_Testes]],Auxiliar!$B$5:$B$13,0),MATCH(Table1[[#This Row],[Complexidade]],Auxiliar!$D$4:$F$4,0))</f>
        <v>4</v>
      </c>
      <c r="P818" s="2" t="s">
        <v>1210</v>
      </c>
      <c r="Q818" s="2"/>
      <c r="R818" s="151">
        <v>45563</v>
      </c>
      <c r="S818" s="151"/>
      <c r="T818" s="151">
        <v>45563</v>
      </c>
      <c r="U818" s="151">
        <v>45624</v>
      </c>
      <c r="V818" s="151">
        <v>45629</v>
      </c>
      <c r="W818" s="2">
        <f>VLOOKUP(Table1[[#This Row],[Status]],Auxiliar!$B$16:$D$24,3,0)*Table1[[#This Row],[Estimação (horas)]]</f>
        <v>1</v>
      </c>
      <c r="X818" s="165">
        <f>+VLOOKUP(CONCATENATE(Table1[[#This Row],[Tabela]],Table1[[#This Row],[Campo]]),'2. Status Detalhe Campos FY24'!A:J,9,FALSE)</f>
        <v>0</v>
      </c>
      <c r="Y818" s="491" t="e">
        <f>+VLOOKUP(A818,#REF!,1,FALSE)</f>
        <v>#REF!</v>
      </c>
    </row>
    <row r="819" spans="1:25" ht="17.899999999999999" hidden="1" customHeight="1">
      <c r="A819" t="str">
        <f>+Table1[[#This Row],[Tabela]]&amp;Table1[[#This Row],[Campo]]</f>
        <v>modesg_out_sfics_taxon_europeianome_specific_eligible</v>
      </c>
      <c r="B819" s="2" t="s">
        <v>26</v>
      </c>
      <c r="C819" s="2" t="s">
        <v>310</v>
      </c>
      <c r="D819" s="2" t="s">
        <v>334</v>
      </c>
      <c r="E819" s="2" t="s">
        <v>38</v>
      </c>
      <c r="F819" s="2" t="s">
        <v>2079</v>
      </c>
      <c r="G819" s="2" t="s">
        <v>206</v>
      </c>
      <c r="H819" s="56" t="str">
        <f>Table1[[#This Row],[Tabela]]&amp;Table1[[#This Row],[Campo]]</f>
        <v>modesg_out_sfics_taxon_europeianome_specific_eligible</v>
      </c>
      <c r="I819" s="2" t="s">
        <v>615</v>
      </c>
      <c r="J819" s="42">
        <f>VLOOKUP(Table1[[#This Row],[Status]],Auxiliar!$B$16:$C$24,2,0)</f>
        <v>6</v>
      </c>
      <c r="K819" s="2" t="s">
        <v>1171</v>
      </c>
      <c r="L819" s="28" t="s">
        <v>1166</v>
      </c>
      <c r="M819" s="20" t="s">
        <v>1176</v>
      </c>
      <c r="N819" s="47">
        <v>45695</v>
      </c>
      <c r="O819" s="20">
        <f>INDEX(Auxiliar!$D$5:$F$13,MATCH(Table1[[#This Row],[Tipologia_Testes]],Auxiliar!$B$5:$B$13,0),MATCH(Table1[[#This Row],[Complexidade]],Auxiliar!$D$4:$F$4,0))</f>
        <v>0.1</v>
      </c>
      <c r="P819" s="2" t="s">
        <v>1210</v>
      </c>
      <c r="Q819" s="2"/>
      <c r="R819" s="151">
        <v>45563</v>
      </c>
      <c r="S819" s="151"/>
      <c r="T819" s="151">
        <v>45563</v>
      </c>
      <c r="U819" s="151">
        <v>45624</v>
      </c>
      <c r="V819" s="151">
        <v>45629</v>
      </c>
      <c r="W819" s="2">
        <f>VLOOKUP(Table1[[#This Row],[Status]],Auxiliar!$B$16:$D$24,3,0)*Table1[[#This Row],[Estimação (horas)]]</f>
        <v>2.5000000000000001E-2</v>
      </c>
      <c r="X819" s="165">
        <f>+VLOOKUP(CONCATENATE(Table1[[#This Row],[Tabela]],Table1[[#This Row],[Campo]]),'2. Status Detalhe Campos FY24'!A:J,9,FALSE)</f>
        <v>0</v>
      </c>
      <c r="Y819" s="491" t="e">
        <f>+VLOOKUP(A819,#REF!,1,FALSE)</f>
        <v>#REF!</v>
      </c>
    </row>
    <row r="820" spans="1:25" ht="17.899999999999999" hidden="1" customHeight="1">
      <c r="A820" t="str">
        <f>+Table1[[#This Row],[Tabela]]&amp;Table1[[#This Row],[Campo]]</f>
        <v>modesg_out_sfics_taxon_europeianome_specific_sustainable</v>
      </c>
      <c r="B820" s="2" t="s">
        <v>26</v>
      </c>
      <c r="C820" s="2" t="s">
        <v>310</v>
      </c>
      <c r="D820" s="2" t="s">
        <v>334</v>
      </c>
      <c r="E820" s="2" t="s">
        <v>38</v>
      </c>
      <c r="F820" s="2" t="s">
        <v>2079</v>
      </c>
      <c r="G820" s="2" t="s">
        <v>207</v>
      </c>
      <c r="H820" s="56" t="str">
        <f>Table1[[#This Row],[Tabela]]&amp;Table1[[#This Row],[Campo]]</f>
        <v>modesg_out_sfics_taxon_europeianome_specific_sustainable</v>
      </c>
      <c r="I820" s="2" t="s">
        <v>615</v>
      </c>
      <c r="J820" s="42">
        <f>VLOOKUP(Table1[[#This Row],[Status]],Auxiliar!$B$16:$C$24,2,0)</f>
        <v>6</v>
      </c>
      <c r="K820" s="2" t="s">
        <v>1168</v>
      </c>
      <c r="L820" s="28" t="s">
        <v>1166</v>
      </c>
      <c r="M820" s="20" t="s">
        <v>1176</v>
      </c>
      <c r="N820" s="47">
        <v>45695</v>
      </c>
      <c r="O820" s="20">
        <f>INDEX(Auxiliar!$D$5:$F$13,MATCH(Table1[[#This Row],[Tipologia_Testes]],Auxiliar!$B$5:$B$13,0),MATCH(Table1[[#This Row],[Complexidade]],Auxiliar!$D$4:$F$4,0))</f>
        <v>4</v>
      </c>
      <c r="P820" s="2" t="s">
        <v>1210</v>
      </c>
      <c r="Q820" s="2"/>
      <c r="R820" s="151">
        <v>45563</v>
      </c>
      <c r="S820" s="151"/>
      <c r="T820" s="151">
        <v>45563</v>
      </c>
      <c r="U820" s="151">
        <v>45624</v>
      </c>
      <c r="V820" s="151">
        <v>45629</v>
      </c>
      <c r="W820" s="2">
        <f>VLOOKUP(Table1[[#This Row],[Status]],Auxiliar!$B$16:$D$24,3,0)*Table1[[#This Row],[Estimação (horas)]]</f>
        <v>1</v>
      </c>
      <c r="X820" s="165">
        <f>+VLOOKUP(CONCATENATE(Table1[[#This Row],[Tabela]],Table1[[#This Row],[Campo]]),'2. Status Detalhe Campos FY24'!A:J,9,FALSE)</f>
        <v>0</v>
      </c>
      <c r="Y820" s="491" t="e">
        <f>+VLOOKUP(A820,#REF!,1,FALSE)</f>
        <v>#REF!</v>
      </c>
    </row>
    <row r="821" spans="1:25" ht="17.899999999999999" hidden="1" customHeight="1">
      <c r="A821" t="str">
        <f>+Table1[[#This Row],[Tabela]]&amp;Table1[[#This Row],[Campo]]</f>
        <v>modesg_out_sfics_taxon_europeianome_specific_sustainable</v>
      </c>
      <c r="B821" s="2" t="s">
        <v>26</v>
      </c>
      <c r="C821" s="2" t="s">
        <v>310</v>
      </c>
      <c r="D821" s="2" t="s">
        <v>334</v>
      </c>
      <c r="E821" s="2" t="s">
        <v>38</v>
      </c>
      <c r="F821" s="2" t="s">
        <v>2079</v>
      </c>
      <c r="G821" s="2" t="s">
        <v>207</v>
      </c>
      <c r="H821" s="56" t="str">
        <f>Table1[[#This Row],[Tabela]]&amp;Table1[[#This Row],[Campo]]</f>
        <v>modesg_out_sfics_taxon_europeianome_specific_sustainable</v>
      </c>
      <c r="I821" s="2" t="s">
        <v>615</v>
      </c>
      <c r="J821" s="42">
        <f>VLOOKUP(Table1[[#This Row],[Status]],Auxiliar!$B$16:$C$24,2,0)</f>
        <v>6</v>
      </c>
      <c r="K821" s="2" t="s">
        <v>1169</v>
      </c>
      <c r="L821" s="28" t="s">
        <v>1166</v>
      </c>
      <c r="M821" s="20" t="s">
        <v>1176</v>
      </c>
      <c r="N821" s="47">
        <v>45695</v>
      </c>
      <c r="O821" s="20">
        <f>INDEX(Auxiliar!$D$5:$F$13,MATCH(Table1[[#This Row],[Tipologia_Testes]],Auxiliar!$B$5:$B$13,0),MATCH(Table1[[#This Row],[Complexidade]],Auxiliar!$D$4:$F$4,0))</f>
        <v>4</v>
      </c>
      <c r="P821" s="2" t="s">
        <v>1210</v>
      </c>
      <c r="Q821" s="2"/>
      <c r="R821" s="151">
        <v>45563</v>
      </c>
      <c r="S821" s="151"/>
      <c r="T821" s="151">
        <v>45563</v>
      </c>
      <c r="U821" s="151">
        <v>45624</v>
      </c>
      <c r="V821" s="151">
        <v>45629</v>
      </c>
      <c r="W821" s="2">
        <f>VLOOKUP(Table1[[#This Row],[Status]],Auxiliar!$B$16:$D$24,3,0)*Table1[[#This Row],[Estimação (horas)]]</f>
        <v>1</v>
      </c>
      <c r="X821" s="165">
        <f>+VLOOKUP(CONCATENATE(Table1[[#This Row],[Tabela]],Table1[[#This Row],[Campo]]),'2. Status Detalhe Campos FY24'!A:J,9,FALSE)</f>
        <v>0</v>
      </c>
      <c r="Y821" s="491" t="e">
        <f>+VLOOKUP(A821,#REF!,1,FALSE)</f>
        <v>#REF!</v>
      </c>
    </row>
    <row r="822" spans="1:25" ht="17.899999999999999" hidden="1" customHeight="1">
      <c r="A822" t="str">
        <f>+Table1[[#This Row],[Tabela]]&amp;Table1[[#This Row],[Campo]]</f>
        <v>modesg_out_sfics_taxon_europeianome_specific_sustainable</v>
      </c>
      <c r="B822" s="2" t="s">
        <v>26</v>
      </c>
      <c r="C822" s="2" t="s">
        <v>310</v>
      </c>
      <c r="D822" s="2" t="s">
        <v>334</v>
      </c>
      <c r="E822" s="2" t="s">
        <v>38</v>
      </c>
      <c r="F822" s="2" t="s">
        <v>2079</v>
      </c>
      <c r="G822" s="2" t="s">
        <v>207</v>
      </c>
      <c r="H822" s="56" t="str">
        <f>Table1[[#This Row],[Tabela]]&amp;Table1[[#This Row],[Campo]]</f>
        <v>modesg_out_sfics_taxon_europeianome_specific_sustainable</v>
      </c>
      <c r="I822" s="2" t="s">
        <v>615</v>
      </c>
      <c r="J822" s="42">
        <f>VLOOKUP(Table1[[#This Row],[Status]],Auxiliar!$B$16:$C$24,2,0)</f>
        <v>6</v>
      </c>
      <c r="K822" s="2" t="s">
        <v>1171</v>
      </c>
      <c r="L822" s="28" t="s">
        <v>1166</v>
      </c>
      <c r="M822" s="20" t="s">
        <v>1176</v>
      </c>
      <c r="N822" s="47">
        <v>45695</v>
      </c>
      <c r="O822" s="20">
        <f>INDEX(Auxiliar!$D$5:$F$13,MATCH(Table1[[#This Row],[Tipologia_Testes]],Auxiliar!$B$5:$B$13,0),MATCH(Table1[[#This Row],[Complexidade]],Auxiliar!$D$4:$F$4,0))</f>
        <v>0.1</v>
      </c>
      <c r="P822" s="2" t="s">
        <v>1210</v>
      </c>
      <c r="Q822" s="2"/>
      <c r="R822" s="151">
        <v>45563</v>
      </c>
      <c r="S822" s="151"/>
      <c r="T822" s="151">
        <v>45563</v>
      </c>
      <c r="U822" s="151">
        <v>45624</v>
      </c>
      <c r="V822" s="151">
        <v>45629</v>
      </c>
      <c r="W822" s="2">
        <f>VLOOKUP(Table1[[#This Row],[Status]],Auxiliar!$B$16:$D$24,3,0)*Table1[[#This Row],[Estimação (horas)]]</f>
        <v>2.5000000000000001E-2</v>
      </c>
      <c r="X822" s="165">
        <f>+VLOOKUP(CONCATENATE(Table1[[#This Row],[Tabela]],Table1[[#This Row],[Campo]]),'2. Status Detalhe Campos FY24'!A:J,9,FALSE)</f>
        <v>0</v>
      </c>
      <c r="Y822" s="491" t="e">
        <f>+VLOOKUP(A822,#REF!,1,FALSE)</f>
        <v>#REF!</v>
      </c>
    </row>
    <row r="823" spans="1:25" ht="17.899999999999999" hidden="1" customHeight="1">
      <c r="A823" t="str">
        <f>+Table1[[#This Row],[Tabela]]&amp;Table1[[#This Row],[Campo]]</f>
        <v>modesg_out_sfics_taxon_europeiasstnbl_indctr</v>
      </c>
      <c r="B823" s="2" t="s">
        <v>26</v>
      </c>
      <c r="C823" s="2" t="s">
        <v>310</v>
      </c>
      <c r="D823" s="2" t="s">
        <v>334</v>
      </c>
      <c r="E823" s="2" t="s">
        <v>38</v>
      </c>
      <c r="F823" s="2" t="s">
        <v>2079</v>
      </c>
      <c r="G823" s="2" t="s">
        <v>418</v>
      </c>
      <c r="H823" s="56" t="str">
        <f>Table1[[#This Row],[Tabela]]&amp;Table1[[#This Row],[Campo]]</f>
        <v>modesg_out_sfics_taxon_europeiasstnbl_indctr</v>
      </c>
      <c r="I823" s="2" t="s">
        <v>612</v>
      </c>
      <c r="J823" s="42">
        <f>VLOOKUP(Table1[[#This Row],[Status]],Auxiliar!$B$16:$C$24,2,0)</f>
        <v>1</v>
      </c>
      <c r="K823" s="2"/>
      <c r="L823" s="28"/>
      <c r="M823" s="20"/>
      <c r="N823" s="47">
        <v>45723</v>
      </c>
      <c r="O823" s="20" t="e">
        <f>INDEX(Auxiliar!$D$5:$F$11,MATCH(Table1[[#This Row],[Tipologia_Testes]],Auxiliar!$B$5:$B$11,0),MATCH(Table1[[#This Row],[Complexidade]],Auxiliar!$D$4:$F$4,0))</f>
        <v>#N/A</v>
      </c>
      <c r="P823" s="2"/>
      <c r="Q823" s="2"/>
      <c r="R823" s="151"/>
      <c r="S823" s="151"/>
      <c r="T823" s="151"/>
      <c r="U823" s="151"/>
      <c r="V823" s="151"/>
      <c r="W823" s="2" t="e">
        <f>VLOOKUP(Table1[[#This Row],[Status]],Auxiliar!$B$16:$D$24,3,0)*Table1[[#This Row],[Estimação (horas)]]</f>
        <v>#N/A</v>
      </c>
      <c r="X823" s="165">
        <f>+VLOOKUP(CONCATENATE(Table1[[#This Row],[Tabela]],Table1[[#This Row],[Campo]]),'2. Status Detalhe Campos FY24'!A:J,9,FALSE)</f>
        <v>0</v>
      </c>
      <c r="Y823" s="491" t="e">
        <f>+VLOOKUP(A823,#REF!,1,FALSE)</f>
        <v>#REF!</v>
      </c>
    </row>
    <row r="824" spans="1:25" ht="17.899999999999999" hidden="1" customHeight="1">
      <c r="A824" t="str">
        <f>+Table1[[#This Row],[Tabela]]&amp;Table1[[#This Row],[Campo]]</f>
        <v>modesg_out_sfics_taxon_europeiaorigem</v>
      </c>
      <c r="B824" s="2" t="s">
        <v>26</v>
      </c>
      <c r="C824" s="2" t="s">
        <v>310</v>
      </c>
      <c r="D824" s="2" t="s">
        <v>334</v>
      </c>
      <c r="E824" s="2" t="s">
        <v>38</v>
      </c>
      <c r="F824" s="2" t="s">
        <v>2079</v>
      </c>
      <c r="G824" s="2" t="s">
        <v>72</v>
      </c>
      <c r="H824" s="56" t="str">
        <f>Table1[[#This Row],[Tabela]]&amp;Table1[[#This Row],[Campo]]</f>
        <v>modesg_out_sfics_taxon_europeiaorigem</v>
      </c>
      <c r="I824" s="3" t="s">
        <v>611</v>
      </c>
      <c r="J824" s="54">
        <f>VLOOKUP(Table1[[#This Row],[Status]],Auxiliar!$B$16:$C$24,2,0)</f>
        <v>0</v>
      </c>
      <c r="K824" s="2" t="s">
        <v>1168</v>
      </c>
      <c r="L824" s="28" t="s">
        <v>1174</v>
      </c>
      <c r="M824" s="20" t="s">
        <v>1175</v>
      </c>
      <c r="N824" s="47">
        <v>45546</v>
      </c>
      <c r="O824" s="20">
        <f>INDEX(Auxiliar!$D$5:$F$13,MATCH(Table1[[#This Row],[Tipologia_Testes]],Auxiliar!$B$5:$B$13,0),MATCH(Table1[[#This Row],[Complexidade]],Auxiliar!$D$4:$F$4,0))</f>
        <v>2</v>
      </c>
      <c r="P824" s="2"/>
      <c r="Q824" s="2"/>
      <c r="R824" s="151">
        <v>45562</v>
      </c>
      <c r="S824" s="151"/>
      <c r="T824" s="151"/>
      <c r="U824" s="151"/>
      <c r="V824" s="151"/>
      <c r="W824" s="2">
        <f>VLOOKUP(Table1[[#This Row],[Status]],Auxiliar!$B$16:$D$24,3,0)*Table1[[#This Row],[Estimação (horas)]]</f>
        <v>0</v>
      </c>
      <c r="X824" s="165">
        <f>+VLOOKUP(CONCATENATE(Table1[[#This Row],[Tabela]],Table1[[#This Row],[Campo]]),'2. Status Detalhe Campos FY24'!A:J,9,FALSE)</f>
        <v>0</v>
      </c>
      <c r="Y824" s="491" t="e">
        <f>+VLOOKUP(A824,#REF!,1,FALSE)</f>
        <v>#REF!</v>
      </c>
    </row>
    <row r="825" spans="1:25" ht="17.899999999999999" hidden="1" customHeight="1">
      <c r="A825" t="str">
        <f>+Table1[[#This Row],[Tabela]]&amp;Table1[[#This Row],[Campo]]</f>
        <v>modesg_out_sfics_taxon_europeiaorigem</v>
      </c>
      <c r="B825" s="2" t="s">
        <v>26</v>
      </c>
      <c r="C825" s="2" t="s">
        <v>310</v>
      </c>
      <c r="D825" s="2" t="s">
        <v>334</v>
      </c>
      <c r="E825" s="2" t="s">
        <v>38</v>
      </c>
      <c r="F825" s="2" t="s">
        <v>2079</v>
      </c>
      <c r="G825" s="2" t="s">
        <v>72</v>
      </c>
      <c r="H825" s="56" t="str">
        <f>Table1[[#This Row],[Tabela]]&amp;Table1[[#This Row],[Campo]]</f>
        <v>modesg_out_sfics_taxon_europeiaorigem</v>
      </c>
      <c r="I825" s="3" t="s">
        <v>611</v>
      </c>
      <c r="J825" s="54">
        <f>VLOOKUP(Table1[[#This Row],[Status]],Auxiliar!$B$16:$C$24,2,0)</f>
        <v>0</v>
      </c>
      <c r="K825" s="2" t="s">
        <v>1169</v>
      </c>
      <c r="L825" s="28" t="s">
        <v>1174</v>
      </c>
      <c r="M825" s="20" t="s">
        <v>1175</v>
      </c>
      <c r="N825" s="47">
        <v>45546</v>
      </c>
      <c r="O825" s="20">
        <f>INDEX(Auxiliar!$D$5:$F$13,MATCH(Table1[[#This Row],[Tipologia_Testes]],Auxiliar!$B$5:$B$13,0),MATCH(Table1[[#This Row],[Complexidade]],Auxiliar!$D$4:$F$4,0))</f>
        <v>2</v>
      </c>
      <c r="P825" s="2"/>
      <c r="Q825" s="2"/>
      <c r="R825" s="151">
        <v>45562</v>
      </c>
      <c r="S825" s="151"/>
      <c r="T825" s="151"/>
      <c r="U825" s="151"/>
      <c r="V825" s="151"/>
      <c r="W825" s="2">
        <f>VLOOKUP(Table1[[#This Row],[Status]],Auxiliar!$B$16:$D$24,3,0)*Table1[[#This Row],[Estimação (horas)]]</f>
        <v>0</v>
      </c>
      <c r="X825" s="165">
        <f>+VLOOKUP(CONCATENATE(Table1[[#This Row],[Tabela]],Table1[[#This Row],[Campo]]),'2. Status Detalhe Campos FY24'!A:J,9,FALSE)</f>
        <v>0</v>
      </c>
      <c r="Y825" s="491" t="e">
        <f>+VLOOKUP(A825,#REF!,1,FALSE)</f>
        <v>#REF!</v>
      </c>
    </row>
    <row r="826" spans="1:25" ht="17.899999999999999" hidden="1" customHeight="1">
      <c r="A826" t="str">
        <f>+Table1[[#This Row],[Tabela]]&amp;Table1[[#This Row],[Campo]]</f>
        <v>modesg_out_sfics_taxon_europeiaorigem</v>
      </c>
      <c r="B826" s="2" t="s">
        <v>26</v>
      </c>
      <c r="C826" s="2" t="s">
        <v>310</v>
      </c>
      <c r="D826" s="2" t="s">
        <v>334</v>
      </c>
      <c r="E826" s="2" t="s">
        <v>38</v>
      </c>
      <c r="F826" s="2" t="s">
        <v>2079</v>
      </c>
      <c r="G826" s="2" t="s">
        <v>72</v>
      </c>
      <c r="H826" s="56" t="str">
        <f>Table1[[#This Row],[Tabela]]&amp;Table1[[#This Row],[Campo]]</f>
        <v>modesg_out_sfics_taxon_europeiaorigem</v>
      </c>
      <c r="I826" s="3" t="s">
        <v>611</v>
      </c>
      <c r="J826" s="54">
        <f>VLOOKUP(Table1[[#This Row],[Status]],Auxiliar!$B$16:$C$24,2,0)</f>
        <v>0</v>
      </c>
      <c r="K826" s="2" t="s">
        <v>1171</v>
      </c>
      <c r="L826" s="28" t="s">
        <v>1174</v>
      </c>
      <c r="M826" s="20" t="s">
        <v>1175</v>
      </c>
      <c r="N826" s="47">
        <v>45546</v>
      </c>
      <c r="O826" s="20">
        <f>INDEX(Auxiliar!$D$5:$F$13,MATCH(Table1[[#This Row],[Tipologia_Testes]],Auxiliar!$B$5:$B$13,0),MATCH(Table1[[#This Row],[Complexidade]],Auxiliar!$D$4:$F$4,0))</f>
        <v>0.1</v>
      </c>
      <c r="P826" s="2"/>
      <c r="Q826" s="2"/>
      <c r="R826" s="151">
        <v>45562</v>
      </c>
      <c r="S826" s="151"/>
      <c r="T826" s="151"/>
      <c r="U826" s="151"/>
      <c r="V826" s="151"/>
      <c r="W826" s="2">
        <f>VLOOKUP(Table1[[#This Row],[Status]],Auxiliar!$B$16:$D$24,3,0)*Table1[[#This Row],[Estimação (horas)]]</f>
        <v>0</v>
      </c>
      <c r="X826" s="165">
        <f>+VLOOKUP(CONCATENATE(Table1[[#This Row],[Tabela]],Table1[[#This Row],[Campo]]),'2. Status Detalhe Campos FY24'!A:J,9,FALSE)</f>
        <v>0</v>
      </c>
      <c r="Y826" s="491" t="e">
        <f>+VLOOKUP(A826,#REF!,1,FALSE)</f>
        <v>#REF!</v>
      </c>
    </row>
    <row r="827" spans="1:25" ht="17.899999999999999" hidden="1" customHeight="1">
      <c r="A827" t="str">
        <f>+Table1[[#This Row],[Tabela]]&amp;Table1[[#This Row],[Campo]]</f>
        <v>modesg_out_sfics_taxon_europeiaref_date</v>
      </c>
      <c r="B827" s="2" t="s">
        <v>26</v>
      </c>
      <c r="C827" s="2" t="s">
        <v>310</v>
      </c>
      <c r="D827" s="2" t="s">
        <v>334</v>
      </c>
      <c r="E827" s="2" t="s">
        <v>38</v>
      </c>
      <c r="F827" s="2" t="s">
        <v>2079</v>
      </c>
      <c r="G827" s="2" t="s">
        <v>208</v>
      </c>
      <c r="H827" s="56" t="str">
        <f>Table1[[#This Row],[Tabela]]&amp;Table1[[#This Row],[Campo]]</f>
        <v>modesg_out_sfics_taxon_europeiaref_date</v>
      </c>
      <c r="I827" s="2" t="s">
        <v>612</v>
      </c>
      <c r="J827" s="42">
        <f>VLOOKUP(Table1[[#This Row],[Status]],Auxiliar!$B$16:$C$24,2,0)</f>
        <v>1</v>
      </c>
      <c r="K827" s="2" t="s">
        <v>1168</v>
      </c>
      <c r="L827" s="28" t="s">
        <v>1174</v>
      </c>
      <c r="M827" s="20" t="s">
        <v>1175</v>
      </c>
      <c r="N827" s="47">
        <v>45695</v>
      </c>
      <c r="O827" s="20">
        <f>INDEX(Auxiliar!$D$5:$F$13,MATCH(Table1[[#This Row],[Tipologia_Testes]],Auxiliar!$B$5:$B$13,0),MATCH(Table1[[#This Row],[Complexidade]],Auxiliar!$D$4:$F$4,0))</f>
        <v>2</v>
      </c>
      <c r="P827" s="2"/>
      <c r="Q827" s="2"/>
      <c r="R827" s="151">
        <v>45563</v>
      </c>
      <c r="S827" s="151"/>
      <c r="T827" s="151">
        <v>45561</v>
      </c>
      <c r="U827" s="151">
        <v>45624</v>
      </c>
      <c r="V827" s="151">
        <v>45629</v>
      </c>
      <c r="W827" s="2">
        <f>VLOOKUP(Table1[[#This Row],[Status]],Auxiliar!$B$16:$D$24,3,0)*Table1[[#This Row],[Estimação (horas)]]</f>
        <v>2</v>
      </c>
      <c r="X827" s="165">
        <f>+VLOOKUP(CONCATENATE(Table1[[#This Row],[Tabela]],Table1[[#This Row],[Campo]]),'2. Status Detalhe Campos FY24'!A:J,9,FALSE)</f>
        <v>0</v>
      </c>
      <c r="Y827" s="491" t="e">
        <f>+VLOOKUP(A827,#REF!,1,FALSE)</f>
        <v>#REF!</v>
      </c>
    </row>
    <row r="828" spans="1:25" ht="17.899999999999999" hidden="1" customHeight="1">
      <c r="A828" t="str">
        <f>+Table1[[#This Row],[Tabela]]&amp;Table1[[#This Row],[Campo]]</f>
        <v>modesg_out_sfics_taxon_europeiaref_date</v>
      </c>
      <c r="B828" s="2" t="s">
        <v>26</v>
      </c>
      <c r="C828" s="2" t="s">
        <v>310</v>
      </c>
      <c r="D828" s="2" t="s">
        <v>334</v>
      </c>
      <c r="E828" s="2" t="s">
        <v>38</v>
      </c>
      <c r="F828" s="2" t="s">
        <v>2079</v>
      </c>
      <c r="G828" s="2" t="s">
        <v>208</v>
      </c>
      <c r="H828" s="56" t="str">
        <f>Table1[[#This Row],[Tabela]]&amp;Table1[[#This Row],[Campo]]</f>
        <v>modesg_out_sfics_taxon_europeiaref_date</v>
      </c>
      <c r="I828" s="2" t="s">
        <v>612</v>
      </c>
      <c r="J828" s="42">
        <f>VLOOKUP(Table1[[#This Row],[Status]],Auxiliar!$B$16:$C$24,2,0)</f>
        <v>1</v>
      </c>
      <c r="K828" s="2" t="s">
        <v>1169</v>
      </c>
      <c r="L828" s="28" t="s">
        <v>1174</v>
      </c>
      <c r="M828" s="20" t="s">
        <v>1175</v>
      </c>
      <c r="N828" s="47">
        <v>45695</v>
      </c>
      <c r="O828" s="20">
        <f>INDEX(Auxiliar!$D$5:$F$13,MATCH(Table1[[#This Row],[Tipologia_Testes]],Auxiliar!$B$5:$B$13,0),MATCH(Table1[[#This Row],[Complexidade]],Auxiliar!$D$4:$F$4,0))</f>
        <v>2</v>
      </c>
      <c r="P828" s="2"/>
      <c r="Q828" s="2"/>
      <c r="R828" s="151">
        <v>45563</v>
      </c>
      <c r="S828" s="151"/>
      <c r="T828" s="151">
        <v>45561</v>
      </c>
      <c r="U828" s="151">
        <v>45624</v>
      </c>
      <c r="V828" s="151">
        <v>45629</v>
      </c>
      <c r="W828" s="2">
        <f>VLOOKUP(Table1[[#This Row],[Status]],Auxiliar!$B$16:$D$24,3,0)*Table1[[#This Row],[Estimação (horas)]]</f>
        <v>2</v>
      </c>
      <c r="X828" s="165">
        <f>+VLOOKUP(CONCATENATE(Table1[[#This Row],[Tabela]],Table1[[#This Row],[Campo]]),'2. Status Detalhe Campos FY24'!A:J,9,FALSE)</f>
        <v>0</v>
      </c>
      <c r="Y828" s="491" t="e">
        <f>+VLOOKUP(A828,#REF!,1,FALSE)</f>
        <v>#REF!</v>
      </c>
    </row>
    <row r="829" spans="1:25" ht="17.899999999999999" hidden="1" customHeight="1">
      <c r="A829" t="str">
        <f>+Table1[[#This Row],[Tabela]]&amp;Table1[[#This Row],[Campo]]</f>
        <v>modesg_out_sfics_taxon_europeiaref_date</v>
      </c>
      <c r="B829" s="2" t="s">
        <v>26</v>
      </c>
      <c r="C829" s="2" t="s">
        <v>310</v>
      </c>
      <c r="D829" s="2" t="s">
        <v>334</v>
      </c>
      <c r="E829" s="2" t="s">
        <v>38</v>
      </c>
      <c r="F829" s="2" t="s">
        <v>2079</v>
      </c>
      <c r="G829" s="2" t="s">
        <v>208</v>
      </c>
      <c r="H829" s="56" t="str">
        <f>Table1[[#This Row],[Tabela]]&amp;Table1[[#This Row],[Campo]]</f>
        <v>modesg_out_sfics_taxon_europeiaref_date</v>
      </c>
      <c r="I829" s="2" t="s">
        <v>612</v>
      </c>
      <c r="J829" s="42">
        <f>VLOOKUP(Table1[[#This Row],[Status]],Auxiliar!$B$16:$C$24,2,0)</f>
        <v>1</v>
      </c>
      <c r="K829" s="2" t="s">
        <v>1171</v>
      </c>
      <c r="L829" s="28" t="s">
        <v>1174</v>
      </c>
      <c r="M829" s="20" t="s">
        <v>1175</v>
      </c>
      <c r="N829" s="47">
        <v>45695</v>
      </c>
      <c r="O829" s="20">
        <f>INDEX(Auxiliar!$D$5:$F$13,MATCH(Table1[[#This Row],[Tipologia_Testes]],Auxiliar!$B$5:$B$13,0),MATCH(Table1[[#This Row],[Complexidade]],Auxiliar!$D$4:$F$4,0))</f>
        <v>0.1</v>
      </c>
      <c r="P829" s="2"/>
      <c r="Q829" s="2"/>
      <c r="R829" s="151">
        <v>45563</v>
      </c>
      <c r="S829" s="151"/>
      <c r="T829" s="151">
        <v>45561</v>
      </c>
      <c r="U829" s="151">
        <v>45624</v>
      </c>
      <c r="V829" s="151">
        <v>45629</v>
      </c>
      <c r="W829" s="2">
        <f>VLOOKUP(Table1[[#This Row],[Status]],Auxiliar!$B$16:$D$24,3,0)*Table1[[#This Row],[Estimação (horas)]]</f>
        <v>0.1</v>
      </c>
      <c r="X829" s="165">
        <f>+VLOOKUP(CONCATENATE(Table1[[#This Row],[Tabela]],Table1[[#This Row],[Campo]]),'2. Status Detalhe Campos FY24'!A:J,9,FALSE)</f>
        <v>0</v>
      </c>
      <c r="Y829" s="491" t="e">
        <f>+VLOOKUP(A829,#REF!,1,FALSE)</f>
        <v>#REF!</v>
      </c>
    </row>
    <row r="830" spans="1:25" ht="17.899999999999999" hidden="1" customHeight="1">
      <c r="A830" t="str">
        <f>+Table1[[#This Row],[Tabela]]&amp;Table1[[#This Row],[Campo]]</f>
        <v>modesg_out_sfics_taxon_europeiazdeposit</v>
      </c>
      <c r="B830" s="2" t="s">
        <v>26</v>
      </c>
      <c r="C830" s="2" t="s">
        <v>310</v>
      </c>
      <c r="D830" s="2" t="s">
        <v>334</v>
      </c>
      <c r="E830" s="2" t="s">
        <v>38</v>
      </c>
      <c r="F830" s="2" t="s">
        <v>2079</v>
      </c>
      <c r="G830" s="2" t="s">
        <v>210</v>
      </c>
      <c r="H830" s="56" t="str">
        <f>Table1[[#This Row],[Tabela]]&amp;Table1[[#This Row],[Campo]]</f>
        <v>modesg_out_sfics_taxon_europeiazdeposit</v>
      </c>
      <c r="I830" s="2" t="s">
        <v>612</v>
      </c>
      <c r="J830" s="42">
        <f>VLOOKUP(Table1[[#This Row],[Status]],Auxiliar!$B$16:$C$24,2,0)</f>
        <v>1</v>
      </c>
      <c r="K830" s="2" t="s">
        <v>1168</v>
      </c>
      <c r="L830" s="28" t="s">
        <v>1174</v>
      </c>
      <c r="M830" s="20" t="s">
        <v>1176</v>
      </c>
      <c r="N830" s="47">
        <v>45695</v>
      </c>
      <c r="O830" s="20">
        <f>INDEX(Auxiliar!$D$5:$F$13,MATCH(Table1[[#This Row],[Tipologia_Testes]],Auxiliar!$B$5:$B$13,0),MATCH(Table1[[#This Row],[Complexidade]],Auxiliar!$D$4:$F$4,0))</f>
        <v>4</v>
      </c>
      <c r="P830" s="2"/>
      <c r="Q830" s="2"/>
      <c r="R830" s="151">
        <v>45563</v>
      </c>
      <c r="S830" s="151"/>
      <c r="T830" s="151">
        <v>45561</v>
      </c>
      <c r="U830" s="151">
        <v>45624</v>
      </c>
      <c r="V830" s="151">
        <v>45629</v>
      </c>
      <c r="W830" s="2">
        <f>VLOOKUP(Table1[[#This Row],[Status]],Auxiliar!$B$16:$D$24,3,0)*Table1[[#This Row],[Estimação (horas)]]</f>
        <v>4</v>
      </c>
      <c r="X830" s="165">
        <f>+VLOOKUP(CONCATENATE(Table1[[#This Row],[Tabela]],Table1[[#This Row],[Campo]]),'2. Status Detalhe Campos FY24'!A:J,9,FALSE)</f>
        <v>0</v>
      </c>
      <c r="Y830" s="491" t="e">
        <f>+VLOOKUP(A830,#REF!,1,FALSE)</f>
        <v>#REF!</v>
      </c>
    </row>
    <row r="831" spans="1:25" ht="17.899999999999999" hidden="1" customHeight="1">
      <c r="A831" t="str">
        <f>+Table1[[#This Row],[Tabela]]&amp;Table1[[#This Row],[Campo]]</f>
        <v>modesg_out_sfics_taxon_europeiazdeposit</v>
      </c>
      <c r="B831" s="2" t="s">
        <v>26</v>
      </c>
      <c r="C831" s="2" t="s">
        <v>310</v>
      </c>
      <c r="D831" s="2" t="s">
        <v>334</v>
      </c>
      <c r="E831" s="2" t="s">
        <v>38</v>
      </c>
      <c r="F831" s="2" t="s">
        <v>2079</v>
      </c>
      <c r="G831" s="2" t="s">
        <v>210</v>
      </c>
      <c r="H831" s="56" t="str">
        <f>Table1[[#This Row],[Tabela]]&amp;Table1[[#This Row],[Campo]]</f>
        <v>modesg_out_sfics_taxon_europeiazdeposit</v>
      </c>
      <c r="I831" s="2" t="s">
        <v>612</v>
      </c>
      <c r="J831" s="42">
        <f>VLOOKUP(Table1[[#This Row],[Status]],Auxiliar!$B$16:$C$24,2,0)</f>
        <v>1</v>
      </c>
      <c r="K831" s="2" t="s">
        <v>1169</v>
      </c>
      <c r="L831" s="28" t="s">
        <v>1174</v>
      </c>
      <c r="M831" s="20" t="s">
        <v>1176</v>
      </c>
      <c r="N831" s="47">
        <v>45695</v>
      </c>
      <c r="O831" s="20">
        <f>INDEX(Auxiliar!$D$5:$F$13,MATCH(Table1[[#This Row],[Tipologia_Testes]],Auxiliar!$B$5:$B$13,0),MATCH(Table1[[#This Row],[Complexidade]],Auxiliar!$D$4:$F$4,0))</f>
        <v>4</v>
      </c>
      <c r="P831" s="2"/>
      <c r="Q831" s="2"/>
      <c r="R831" s="151">
        <v>45563</v>
      </c>
      <c r="S831" s="151"/>
      <c r="T831" s="151">
        <v>45561</v>
      </c>
      <c r="U831" s="151">
        <v>45624</v>
      </c>
      <c r="V831" s="151">
        <v>45629</v>
      </c>
      <c r="W831" s="2">
        <f>VLOOKUP(Table1[[#This Row],[Status]],Auxiliar!$B$16:$D$24,3,0)*Table1[[#This Row],[Estimação (horas)]]</f>
        <v>4</v>
      </c>
      <c r="X831" s="165">
        <f>+VLOOKUP(CONCATENATE(Table1[[#This Row],[Tabela]],Table1[[#This Row],[Campo]]),'2. Status Detalhe Campos FY24'!A:J,9,FALSE)</f>
        <v>0</v>
      </c>
      <c r="Y831" s="491" t="e">
        <f>+VLOOKUP(A831,#REF!,1,FALSE)</f>
        <v>#REF!</v>
      </c>
    </row>
    <row r="832" spans="1:25" ht="17.899999999999999" hidden="1" customHeight="1">
      <c r="A832" t="str">
        <f>+Table1[[#This Row],[Tabela]]&amp;Table1[[#This Row],[Campo]]</f>
        <v>modesg_out_sfics_taxon_europeiazdeposit</v>
      </c>
      <c r="B832" s="2" t="s">
        <v>26</v>
      </c>
      <c r="C832" s="2" t="s">
        <v>310</v>
      </c>
      <c r="D832" s="2" t="s">
        <v>334</v>
      </c>
      <c r="E832" s="2" t="s">
        <v>38</v>
      </c>
      <c r="F832" s="2" t="s">
        <v>2079</v>
      </c>
      <c r="G832" s="2" t="s">
        <v>210</v>
      </c>
      <c r="H832" s="56" t="str">
        <f>Table1[[#This Row],[Tabela]]&amp;Table1[[#This Row],[Campo]]</f>
        <v>modesg_out_sfics_taxon_europeiazdeposit</v>
      </c>
      <c r="I832" s="2" t="s">
        <v>612</v>
      </c>
      <c r="J832" s="42">
        <f>VLOOKUP(Table1[[#This Row],[Status]],Auxiliar!$B$16:$C$24,2,0)</f>
        <v>1</v>
      </c>
      <c r="K832" s="2" t="s">
        <v>1171</v>
      </c>
      <c r="L832" s="28" t="s">
        <v>1174</v>
      </c>
      <c r="M832" s="20" t="s">
        <v>1176</v>
      </c>
      <c r="N832" s="47">
        <v>45695</v>
      </c>
      <c r="O832" s="20">
        <f>INDEX(Auxiliar!$D$5:$F$13,MATCH(Table1[[#This Row],[Tipologia_Testes]],Auxiliar!$B$5:$B$13,0),MATCH(Table1[[#This Row],[Complexidade]],Auxiliar!$D$4:$F$4,0))</f>
        <v>0.1</v>
      </c>
      <c r="P832" s="2"/>
      <c r="Q832" s="2"/>
      <c r="R832" s="151">
        <v>45563</v>
      </c>
      <c r="S832" s="151"/>
      <c r="T832" s="151">
        <v>45561</v>
      </c>
      <c r="U832" s="151">
        <v>45624</v>
      </c>
      <c r="V832" s="151">
        <v>45629</v>
      </c>
      <c r="W832" s="2">
        <f>VLOOKUP(Table1[[#This Row],[Status]],Auxiliar!$B$16:$D$24,3,0)*Table1[[#This Row],[Estimação (horas)]]</f>
        <v>0.1</v>
      </c>
      <c r="X832" s="165">
        <f>+VLOOKUP(CONCATENATE(Table1[[#This Row],[Tabela]],Table1[[#This Row],[Campo]]),'2. Status Detalhe Campos FY24'!A:J,9,FALSE)</f>
        <v>0</v>
      </c>
      <c r="Y832" s="491" t="e">
        <f>+VLOOKUP(A832,#REF!,1,FALSE)</f>
        <v>#REF!</v>
      </c>
    </row>
    <row r="833" spans="1:25" ht="87" hidden="1" customHeight="1">
      <c r="A833" t="str">
        <f>+Table1[[#This Row],[Tabela]]&amp;Table1[[#This Row],[Campo]]</f>
        <v>modesg_param_sfics_taxon_europeiacod_regra</v>
      </c>
      <c r="B833" s="2" t="s">
        <v>26</v>
      </c>
      <c r="C833" s="2" t="s">
        <v>181</v>
      </c>
      <c r="D833" s="2" t="s">
        <v>1211</v>
      </c>
      <c r="E833" s="2" t="s">
        <v>38</v>
      </c>
      <c r="F833" s="2" t="s">
        <v>2096</v>
      </c>
      <c r="G833" s="2" t="s">
        <v>191</v>
      </c>
      <c r="H833" s="56" t="str">
        <f>Table1[[#This Row],[Tabela]]&amp;Table1[[#This Row],[Campo]]</f>
        <v>modesg_param_sfics_taxon_europeiacod_regra</v>
      </c>
      <c r="I833" s="2" t="s">
        <v>612</v>
      </c>
      <c r="J833" s="54">
        <f>VLOOKUP(Table1[[#This Row],[Status]],Auxiliar!$B$16:$C$24,2,0)</f>
        <v>1</v>
      </c>
      <c r="K833" s="2" t="s">
        <v>1179</v>
      </c>
      <c r="L833" s="28" t="s">
        <v>1174</v>
      </c>
      <c r="M833" s="20" t="s">
        <v>1175</v>
      </c>
      <c r="N833" s="47">
        <v>45744</v>
      </c>
      <c r="O833" s="20">
        <f>INDEX(Auxiliar!$D$5:$F$13,MATCH(Table1[[#This Row],[Tipologia_Testes]],Auxiliar!$B$5:$B$13,0),MATCH(Table1[[#This Row],[Complexidade]],Auxiliar!$D$4:$F$4,0))</f>
        <v>0.5</v>
      </c>
      <c r="P833" s="2"/>
      <c r="Q833" s="2"/>
      <c r="R833" s="151">
        <v>45261</v>
      </c>
      <c r="S833" s="151"/>
      <c r="T833" s="151"/>
      <c r="U833" s="151">
        <v>45603</v>
      </c>
      <c r="V833" s="151"/>
      <c r="W833" s="2">
        <f>VLOOKUP(Table1[[#This Row],[Status]],Auxiliar!$B$16:$D$24,3,0)*Table1[[#This Row],[Estimação (horas)]]</f>
        <v>0.5</v>
      </c>
      <c r="X833" s="165">
        <f>+VLOOKUP(CONCATENATE(Table1[[#This Row],[Tabela]],Table1[[#This Row],[Campo]]),'2. Status Detalhe Campos FY24'!A:J,9,FALSE)</f>
        <v>0</v>
      </c>
      <c r="Y833" s="491" t="e">
        <f>+VLOOKUP(A833,#REF!,1,FALSE)</f>
        <v>#REF!</v>
      </c>
    </row>
    <row r="834" spans="1:25" ht="17.899999999999999" hidden="1" customHeight="1">
      <c r="A834" t="str">
        <f>+Table1[[#This Row],[Tabela]]&amp;Table1[[#This Row],[Campo]]</f>
        <v>modesg_param_sfics_taxon_europeiacod_regra</v>
      </c>
      <c r="B834" s="2" t="s">
        <v>26</v>
      </c>
      <c r="C834" s="2" t="s">
        <v>181</v>
      </c>
      <c r="D834" s="2" t="s">
        <v>1211</v>
      </c>
      <c r="E834" s="2" t="s">
        <v>38</v>
      </c>
      <c r="F834" s="2" t="s">
        <v>2096</v>
      </c>
      <c r="G834" s="2" t="s">
        <v>191</v>
      </c>
      <c r="H834" s="56" t="str">
        <f>Table1[[#This Row],[Tabela]]&amp;Table1[[#This Row],[Campo]]</f>
        <v>modesg_param_sfics_taxon_europeiacod_regra</v>
      </c>
      <c r="I834" s="2" t="s">
        <v>612</v>
      </c>
      <c r="J834" s="54">
        <f>VLOOKUP(Table1[[#This Row],[Status]],Auxiliar!$B$16:$C$24,2,0)</f>
        <v>1</v>
      </c>
      <c r="K834" s="2" t="s">
        <v>1171</v>
      </c>
      <c r="L834" s="28"/>
      <c r="M834" s="20"/>
      <c r="N834" s="47">
        <v>45744</v>
      </c>
      <c r="O834" s="20" t="e">
        <f>INDEX(Auxiliar!$D$5:$F$11,MATCH(Table1[[#This Row],[Tipologia_Testes]],Auxiliar!$B$5:$B$11,0),MATCH(Table1[[#This Row],[Complexidade]],Auxiliar!$D$4:$F$4,0))</f>
        <v>#N/A</v>
      </c>
      <c r="P834" s="2"/>
      <c r="Q834" s="2"/>
      <c r="R834" s="151"/>
      <c r="S834" s="151"/>
      <c r="T834" s="151"/>
      <c r="U834" s="151"/>
      <c r="V834" s="151"/>
      <c r="W834" s="2" t="e">
        <f>VLOOKUP(Table1[[#This Row],[Status]],Auxiliar!$B$16:$D$24,3,0)*Table1[[#This Row],[Estimação (horas)]]</f>
        <v>#N/A</v>
      </c>
      <c r="X834" s="165">
        <f>+VLOOKUP(CONCATENATE(Table1[[#This Row],[Tabela]],Table1[[#This Row],[Campo]]),'2. Status Detalhe Campos FY24'!A:J,9,FALSE)</f>
        <v>0</v>
      </c>
      <c r="Y834" s="491" t="e">
        <f>+VLOOKUP(A834,#REF!,1,FALSE)</f>
        <v>#REF!</v>
      </c>
    </row>
    <row r="835" spans="1:25" ht="17.899999999999999" hidden="1" customHeight="1">
      <c r="A835" t="str">
        <f>+Table1[[#This Row],[Tabela]]&amp;Table1[[#This Row],[Campo]]</f>
        <v>modesg_param_sfics_taxon_europeianivel</v>
      </c>
      <c r="B835" s="2" t="s">
        <v>26</v>
      </c>
      <c r="C835" s="2" t="s">
        <v>181</v>
      </c>
      <c r="D835" s="2" t="s">
        <v>1211</v>
      </c>
      <c r="E835" s="2" t="s">
        <v>38</v>
      </c>
      <c r="F835" s="2" t="s">
        <v>2096</v>
      </c>
      <c r="G835" s="2" t="s">
        <v>2407</v>
      </c>
      <c r="H835" s="56" t="str">
        <f>Table1[[#This Row],[Tabela]]&amp;Table1[[#This Row],[Campo]]</f>
        <v>modesg_param_sfics_taxon_europeianivel</v>
      </c>
      <c r="I835" s="2" t="s">
        <v>611</v>
      </c>
      <c r="J835" s="54">
        <f>VLOOKUP(Table1[[#This Row],[Status]],Auxiliar!$B$16:$C$24,2,0)</f>
        <v>0</v>
      </c>
      <c r="K835" s="2" t="s">
        <v>1179</v>
      </c>
      <c r="L835" s="28" t="s">
        <v>1174</v>
      </c>
      <c r="M835" s="20" t="s">
        <v>1175</v>
      </c>
      <c r="N835" s="47">
        <v>45695</v>
      </c>
      <c r="O835" s="20">
        <f>INDEX(Auxiliar!$D$5:$F$13,MATCH(Table1[[#This Row],[Tipologia_Testes]],Auxiliar!$B$5:$B$13,0),MATCH(Table1[[#This Row],[Complexidade]],Auxiliar!$D$4:$F$4,0))</f>
        <v>0.5</v>
      </c>
      <c r="P835" s="2"/>
      <c r="Q835" s="2"/>
      <c r="R835" s="151">
        <v>45261</v>
      </c>
      <c r="S835" s="151"/>
      <c r="T835" s="151"/>
      <c r="U835" s="151">
        <v>45603</v>
      </c>
      <c r="V835" s="151"/>
      <c r="W835" s="2">
        <f>VLOOKUP(Table1[[#This Row],[Status]],Auxiliar!$B$16:$D$24,3,0)*Table1[[#This Row],[Estimação (horas)]]</f>
        <v>0</v>
      </c>
      <c r="X835" s="165">
        <f>+VLOOKUP(CONCATENATE(Table1[[#This Row],[Tabela]],Table1[[#This Row],[Campo]]),'2. Status Detalhe Campos FY24'!A:J,9,FALSE)</f>
        <v>0</v>
      </c>
      <c r="Y835" s="491" t="e">
        <f>+VLOOKUP(A835,#REF!,1,FALSE)</f>
        <v>#REF!</v>
      </c>
    </row>
    <row r="836" spans="1:25" ht="17.899999999999999" hidden="1" customHeight="1">
      <c r="A836" t="str">
        <f>+Table1[[#This Row],[Tabela]]&amp;Table1[[#This Row],[Campo]]</f>
        <v>modesg_param_sfics_taxon_europeiaordem</v>
      </c>
      <c r="B836" s="2" t="s">
        <v>26</v>
      </c>
      <c r="C836" s="2" t="s">
        <v>181</v>
      </c>
      <c r="D836" s="2" t="s">
        <v>1211</v>
      </c>
      <c r="E836" s="2" t="s">
        <v>38</v>
      </c>
      <c r="F836" s="2" t="s">
        <v>2096</v>
      </c>
      <c r="G836" s="2" t="s">
        <v>211</v>
      </c>
      <c r="H836" s="56" t="str">
        <f>Table1[[#This Row],[Tabela]]&amp;Table1[[#This Row],[Campo]]</f>
        <v>modesg_param_sfics_taxon_europeiaordem</v>
      </c>
      <c r="I836" s="2" t="s">
        <v>612</v>
      </c>
      <c r="J836" s="54">
        <f>VLOOKUP(Table1[[#This Row],[Status]],Auxiliar!$B$16:$C$24,2,0)</f>
        <v>1</v>
      </c>
      <c r="K836" s="2"/>
      <c r="L836" s="28"/>
      <c r="M836" s="20"/>
      <c r="N836" s="47">
        <v>45744</v>
      </c>
      <c r="O836" s="20" t="e">
        <f>INDEX(Auxiliar!$D$5:$F$11,MATCH(Table1[[#This Row],[Tipologia_Testes]],Auxiliar!$B$5:$B$11,0),MATCH(Table1[[#This Row],[Complexidade]],Auxiliar!$D$4:$F$4,0))</f>
        <v>#N/A</v>
      </c>
      <c r="P836" s="2"/>
      <c r="Q836" s="2"/>
      <c r="R836" s="151"/>
      <c r="S836" s="151"/>
      <c r="T836" s="151"/>
      <c r="U836" s="151"/>
      <c r="V836" s="151"/>
      <c r="W836" s="2" t="e">
        <f>VLOOKUP(Table1[[#This Row],[Status]],Auxiliar!$B$16:$D$24,3,0)*Table1[[#This Row],[Estimação (horas)]]</f>
        <v>#N/A</v>
      </c>
      <c r="X836" s="165">
        <f>+VLOOKUP(CONCATENATE(Table1[[#This Row],[Tabela]],Table1[[#This Row],[Campo]]),'2. Status Detalhe Campos FY24'!A:J,9,FALSE)</f>
        <v>0</v>
      </c>
      <c r="Y836" s="491" t="e">
        <f>+VLOOKUP(A836,#REF!,1,FALSE)</f>
        <v>#REF!</v>
      </c>
    </row>
    <row r="837" spans="1:25" ht="17.899999999999999" hidden="1" customHeight="1">
      <c r="A837" t="str">
        <f>+Table1[[#This Row],[Tabela]]&amp;Table1[[#This Row],[Campo]]</f>
        <v>modesg_param_sfics_taxon_europeiagrupo_regra</v>
      </c>
      <c r="B837" s="2" t="s">
        <v>26</v>
      </c>
      <c r="C837" s="2" t="s">
        <v>181</v>
      </c>
      <c r="D837" s="2" t="s">
        <v>1211</v>
      </c>
      <c r="E837" s="2" t="s">
        <v>38</v>
      </c>
      <c r="F837" s="2" t="s">
        <v>2096</v>
      </c>
      <c r="G837" s="64" t="s">
        <v>2415</v>
      </c>
      <c r="H837" s="56" t="str">
        <f>Table1[[#This Row],[Tabela]]&amp;Table1[[#This Row],[Campo]]</f>
        <v>modesg_param_sfics_taxon_europeiagrupo_regra</v>
      </c>
      <c r="I837" s="2" t="s">
        <v>611</v>
      </c>
      <c r="J837" s="54">
        <f>VLOOKUP(Table1[[#This Row],[Status]],Auxiliar!$B$16:$C$24,2,0)</f>
        <v>0</v>
      </c>
      <c r="K837" s="2"/>
      <c r="L837" s="28"/>
      <c r="M837" s="20"/>
      <c r="N837" s="47">
        <v>45688</v>
      </c>
      <c r="O837" s="20" t="e">
        <f>INDEX(Auxiliar!$D$5:$F$11,MATCH(Table1[[#This Row],[Tipologia_Testes]],Auxiliar!$B$5:$B$11,0),MATCH(Table1[[#This Row],[Complexidade]],Auxiliar!$D$4:$F$4,0))</f>
        <v>#N/A</v>
      </c>
      <c r="P837" s="2"/>
      <c r="Q837" s="2"/>
      <c r="R837" s="151"/>
      <c r="S837" s="151"/>
      <c r="T837" s="151"/>
      <c r="U837" s="151"/>
      <c r="V837" s="151"/>
      <c r="W837" s="2" t="e">
        <f>VLOOKUP(Table1[[#This Row],[Status]],Auxiliar!$B$16:$D$24,3,0)*Table1[[#This Row],[Estimação (horas)]]</f>
        <v>#N/A</v>
      </c>
      <c r="X837" s="165">
        <f>+VLOOKUP(CONCATENATE(Table1[[#This Row],[Tabela]],Table1[[#This Row],[Campo]]),'2. Status Detalhe Campos FY24'!A:J,9,FALSE)</f>
        <v>0</v>
      </c>
      <c r="Y837" s="491" t="e">
        <f>+VLOOKUP(A837,#REF!,1,FALSE)</f>
        <v>#REF!</v>
      </c>
    </row>
    <row r="838" spans="1:25" ht="17.899999999999999" hidden="1" customHeight="1">
      <c r="A838" t="str">
        <f>+Table1[[#This Row],[Tabela]]&amp;Table1[[#This Row],[Campo]]</f>
        <v>modesg_param_sfics_taxon_europeiacfinalidad</v>
      </c>
      <c r="B838" s="2" t="s">
        <v>26</v>
      </c>
      <c r="C838" s="2" t="s">
        <v>181</v>
      </c>
      <c r="D838" s="2" t="s">
        <v>1211</v>
      </c>
      <c r="E838" s="2" t="s">
        <v>38</v>
      </c>
      <c r="F838" s="2" t="s">
        <v>2096</v>
      </c>
      <c r="G838" s="2" t="s">
        <v>200</v>
      </c>
      <c r="H838" s="56" t="str">
        <f>Table1[[#This Row],[Tabela]]&amp;Table1[[#This Row],[Campo]]</f>
        <v>modesg_param_sfics_taxon_europeiacfinalidad</v>
      </c>
      <c r="I838" s="2" t="s">
        <v>612</v>
      </c>
      <c r="J838" s="54">
        <f>VLOOKUP(Table1[[#This Row],[Status]],Auxiliar!$B$16:$C$24,2,0)</f>
        <v>1</v>
      </c>
      <c r="K838" s="2"/>
      <c r="L838" s="28"/>
      <c r="M838" s="20"/>
      <c r="N838" s="47">
        <v>45744</v>
      </c>
      <c r="O838" s="20" t="e">
        <f>INDEX(Auxiliar!$D$5:$F$11,MATCH(Table1[[#This Row],[Tipologia_Testes]],Auxiliar!$B$5:$B$11,0),MATCH(Table1[[#This Row],[Complexidade]],Auxiliar!$D$4:$F$4,0))</f>
        <v>#N/A</v>
      </c>
      <c r="P838" s="2"/>
      <c r="Q838" s="2"/>
      <c r="R838" s="151"/>
      <c r="S838" s="151"/>
      <c r="T838" s="151"/>
      <c r="U838" s="151"/>
      <c r="V838" s="151"/>
      <c r="W838" s="2" t="e">
        <f>VLOOKUP(Table1[[#This Row],[Status]],Auxiliar!$B$16:$D$24,3,0)*Table1[[#This Row],[Estimação (horas)]]</f>
        <v>#N/A</v>
      </c>
      <c r="X838" s="165">
        <f>+VLOOKUP(CONCATENATE(Table1[[#This Row],[Tabela]],Table1[[#This Row],[Campo]]),'2. Status Detalhe Campos FY24'!A:J,9,FALSE)</f>
        <v>0</v>
      </c>
      <c r="Y838" s="491" t="e">
        <f>+VLOOKUP(A838,#REF!,1,FALSE)</f>
        <v>#REF!</v>
      </c>
    </row>
    <row r="839" spans="1:25" ht="17.899999999999999" hidden="1" customHeight="1">
      <c r="A839" t="str">
        <f>+Table1[[#This Row],[Tabela]]&amp;Table1[[#This Row],[Campo]]</f>
        <v>modesg_param_sfics_taxon_europeianome_purpose_esg</v>
      </c>
      <c r="B839" s="2" t="s">
        <v>26</v>
      </c>
      <c r="C839" s="2" t="s">
        <v>181</v>
      </c>
      <c r="D839" s="2" t="s">
        <v>1211</v>
      </c>
      <c r="E839" s="2" t="s">
        <v>38</v>
      </c>
      <c r="F839" s="2" t="s">
        <v>2096</v>
      </c>
      <c r="G839" s="2" t="s">
        <v>205</v>
      </c>
      <c r="H839" s="56" t="str">
        <f>Table1[[#This Row],[Tabela]]&amp;Table1[[#This Row],[Campo]]</f>
        <v>modesg_param_sfics_taxon_europeianome_purpose_esg</v>
      </c>
      <c r="I839" s="2" t="s">
        <v>611</v>
      </c>
      <c r="J839" s="54">
        <f>VLOOKUP(Table1[[#This Row],[Status]],Auxiliar!$B$16:$C$24,2,0)</f>
        <v>0</v>
      </c>
      <c r="K839" s="2"/>
      <c r="L839" s="28"/>
      <c r="M839" s="20"/>
      <c r="N839" s="47">
        <v>45688</v>
      </c>
      <c r="O839" s="20" t="e">
        <f>INDEX(Auxiliar!$D$5:$F$11,MATCH(Table1[[#This Row],[Tipologia_Testes]],Auxiliar!$B$5:$B$11,0),MATCH(Table1[[#This Row],[Complexidade]],Auxiliar!$D$4:$F$4,0))</f>
        <v>#N/A</v>
      </c>
      <c r="P839" s="2"/>
      <c r="Q839" s="2"/>
      <c r="R839" s="151"/>
      <c r="S839" s="151"/>
      <c r="T839" s="151"/>
      <c r="U839" s="151"/>
      <c r="V839" s="151"/>
      <c r="W839" s="2" t="e">
        <f>VLOOKUP(Table1[[#This Row],[Status]],Auxiliar!$B$16:$D$24,3,0)*Table1[[#This Row],[Estimação (horas)]]</f>
        <v>#N/A</v>
      </c>
      <c r="X839" s="165">
        <f>+VLOOKUP(CONCATENATE(Table1[[#This Row],[Tabela]],Table1[[#This Row],[Campo]]),'2. Status Detalhe Campos FY24'!A:J,9,FALSE)</f>
        <v>0</v>
      </c>
      <c r="Y839" s="491" t="e">
        <f>+VLOOKUP(A839,#REF!,1,FALSE)</f>
        <v>#REF!</v>
      </c>
    </row>
    <row r="840" spans="1:25" ht="17.899999999999999" hidden="1" customHeight="1">
      <c r="A840" t="str">
        <f>+Table1[[#This Row],[Tabela]]&amp;Table1[[#This Row],[Campo]]</f>
        <v>modesg_param_sfics_taxon_europeiadominio</v>
      </c>
      <c r="B840" s="2" t="s">
        <v>26</v>
      </c>
      <c r="C840" s="2" t="s">
        <v>181</v>
      </c>
      <c r="D840" s="2" t="s">
        <v>1211</v>
      </c>
      <c r="E840" s="2" t="s">
        <v>38</v>
      </c>
      <c r="F840" s="2" t="s">
        <v>2096</v>
      </c>
      <c r="G840" s="2" t="s">
        <v>196</v>
      </c>
      <c r="H840" s="56" t="str">
        <f>Table1[[#This Row],[Tabela]]&amp;Table1[[#This Row],[Campo]]</f>
        <v>modesg_param_sfics_taxon_europeiadominio</v>
      </c>
      <c r="I840" s="2" t="s">
        <v>611</v>
      </c>
      <c r="J840" s="54">
        <f>VLOOKUP(Table1[[#This Row],[Status]],Auxiliar!$B$16:$C$24,2,0)</f>
        <v>0</v>
      </c>
      <c r="K840" s="2"/>
      <c r="L840" s="28"/>
      <c r="M840" s="20"/>
      <c r="N840" s="47">
        <v>45688</v>
      </c>
      <c r="O840" s="20" t="e">
        <f>INDEX(Auxiliar!$D$5:$F$11,MATCH(Table1[[#This Row],[Tipologia_Testes]],Auxiliar!$B$5:$B$11,0),MATCH(Table1[[#This Row],[Complexidade]],Auxiliar!$D$4:$F$4,0))</f>
        <v>#N/A</v>
      </c>
      <c r="P840" s="2"/>
      <c r="Q840" s="2"/>
      <c r="R840" s="151"/>
      <c r="S840" s="151"/>
      <c r="T840" s="151"/>
      <c r="U840" s="151"/>
      <c r="V840" s="151"/>
      <c r="W840" s="2" t="e">
        <f>VLOOKUP(Table1[[#This Row],[Status]],Auxiliar!$B$16:$D$24,3,0)*Table1[[#This Row],[Estimação (horas)]]</f>
        <v>#N/A</v>
      </c>
      <c r="X840" s="165">
        <f>+VLOOKUP(CONCATENATE(Table1[[#This Row],[Tabela]],Table1[[#This Row],[Campo]]),'2. Status Detalhe Campos FY24'!A:J,9,FALSE)</f>
        <v>0</v>
      </c>
      <c r="Y840" s="491" t="e">
        <f>+VLOOKUP(A840,#REF!,1,FALSE)</f>
        <v>#REF!</v>
      </c>
    </row>
    <row r="841" spans="1:25" ht="17.899999999999999" hidden="1" customHeight="1">
      <c r="A841" t="str">
        <f>+Table1[[#This Row],[Tabela]]&amp;Table1[[#This Row],[Campo]]</f>
        <v>modesg_param_sfics_taxon_europeianivel</v>
      </c>
      <c r="B841" s="2" t="s">
        <v>26</v>
      </c>
      <c r="C841" s="2" t="s">
        <v>181</v>
      </c>
      <c r="D841" s="2" t="s">
        <v>1211</v>
      </c>
      <c r="E841" s="2" t="s">
        <v>38</v>
      </c>
      <c r="F841" s="2" t="s">
        <v>2096</v>
      </c>
      <c r="G841" s="2" t="s">
        <v>2407</v>
      </c>
      <c r="H841" s="56" t="str">
        <f>Table1[[#This Row],[Tabela]]&amp;Table1[[#This Row],[Campo]]</f>
        <v>modesg_param_sfics_taxon_europeianivel</v>
      </c>
      <c r="I841" s="2" t="s">
        <v>611</v>
      </c>
      <c r="J841" s="54">
        <f>VLOOKUP(Table1[[#This Row],[Status]],Auxiliar!$B$16:$C$24,2,0)</f>
        <v>0</v>
      </c>
      <c r="K841" s="2" t="s">
        <v>1171</v>
      </c>
      <c r="L841" s="28"/>
      <c r="M841" s="20"/>
      <c r="N841" s="47">
        <v>45695</v>
      </c>
      <c r="O841" s="20" t="e">
        <f>INDEX(Auxiliar!$D$5:$F$11,MATCH(Table1[[#This Row],[Tipologia_Testes]],Auxiliar!$B$5:$B$11,0),MATCH(Table1[[#This Row],[Complexidade]],Auxiliar!$D$4:$F$4,0))</f>
        <v>#N/A</v>
      </c>
      <c r="P841" s="2"/>
      <c r="Q841" s="2"/>
      <c r="R841" s="151"/>
      <c r="S841" s="151"/>
      <c r="T841" s="151"/>
      <c r="U841" s="151"/>
      <c r="V841" s="151"/>
      <c r="W841" s="2" t="e">
        <f>VLOOKUP(Table1[[#This Row],[Status]],Auxiliar!$B$16:$D$24,3,0)*Table1[[#This Row],[Estimação (horas)]]</f>
        <v>#N/A</v>
      </c>
      <c r="X841" s="165">
        <f>+VLOOKUP(CONCATENATE(Table1[[#This Row],[Tabela]],Table1[[#This Row],[Campo]]),'2. Status Detalhe Campos FY24'!A:J,9,FALSE)</f>
        <v>0</v>
      </c>
      <c r="Y841" s="491" t="e">
        <f>+VLOOKUP(A841,#REF!,1,FALSE)</f>
        <v>#REF!</v>
      </c>
    </row>
    <row r="842" spans="1:25" ht="17.899999999999999" hidden="1" customHeight="1">
      <c r="A842" t="str">
        <f>+Table1[[#This Row],[Tabela]]&amp;Table1[[#This Row],[Campo]]</f>
        <v>modesg_param_sfics_taxon_europeiadscrc</v>
      </c>
      <c r="B842" s="2" t="s">
        <v>26</v>
      </c>
      <c r="C842" s="2" t="s">
        <v>181</v>
      </c>
      <c r="D842" s="2" t="s">
        <v>1211</v>
      </c>
      <c r="E842" s="2" t="s">
        <v>38</v>
      </c>
      <c r="F842" s="2" t="s">
        <v>2096</v>
      </c>
      <c r="G842" s="2" t="s">
        <v>197</v>
      </c>
      <c r="H842" s="56" t="str">
        <f>Table1[[#This Row],[Tabela]]&amp;Table1[[#This Row],[Campo]]</f>
        <v>modesg_param_sfics_taxon_europeiadscrc</v>
      </c>
      <c r="I842" s="2" t="s">
        <v>612</v>
      </c>
      <c r="J842" s="54">
        <f>VLOOKUP(Table1[[#This Row],[Status]],Auxiliar!$B$16:$C$24,2,0)</f>
        <v>1</v>
      </c>
      <c r="K842" s="2" t="s">
        <v>1179</v>
      </c>
      <c r="L842" s="28" t="s">
        <v>1174</v>
      </c>
      <c r="M842" s="20" t="s">
        <v>1175</v>
      </c>
      <c r="N842" s="47">
        <v>45744</v>
      </c>
      <c r="O842" s="20">
        <f>INDEX(Auxiliar!$D$5:$F$13,MATCH(Table1[[#This Row],[Tipologia_Testes]],Auxiliar!$B$5:$B$13,0),MATCH(Table1[[#This Row],[Complexidade]],Auxiliar!$D$4:$F$4,0))</f>
        <v>0.5</v>
      </c>
      <c r="P842" s="2"/>
      <c r="Q842" s="2"/>
      <c r="R842" s="151">
        <v>45261</v>
      </c>
      <c r="S842" s="151"/>
      <c r="T842" s="151"/>
      <c r="U842" s="151">
        <v>45603</v>
      </c>
      <c r="V842" s="151"/>
      <c r="W842" s="2">
        <f>VLOOKUP(Table1[[#This Row],[Status]],Auxiliar!$B$16:$D$24,3,0)*Table1[[#This Row],[Estimação (horas)]]</f>
        <v>0.5</v>
      </c>
      <c r="X842" s="165">
        <f>+VLOOKUP(CONCATENATE(Table1[[#This Row],[Tabela]],Table1[[#This Row],[Campo]]),'2. Status Detalhe Campos FY24'!A:J,9,FALSE)</f>
        <v>0</v>
      </c>
      <c r="Y842" s="491" t="e">
        <f>+VLOOKUP(A842,#REF!,1,FALSE)</f>
        <v>#REF!</v>
      </c>
    </row>
    <row r="843" spans="1:25" ht="17.899999999999999" hidden="1" customHeight="1">
      <c r="A843" t="str">
        <f>+Table1[[#This Row],[Tabela]]&amp;Table1[[#This Row],[Campo]]</f>
        <v>modesg_param_sfics_taxon_europeiadscrc</v>
      </c>
      <c r="B843" s="2" t="s">
        <v>26</v>
      </c>
      <c r="C843" s="2" t="s">
        <v>181</v>
      </c>
      <c r="D843" s="2" t="s">
        <v>1211</v>
      </c>
      <c r="E843" s="2" t="s">
        <v>38</v>
      </c>
      <c r="F843" s="2" t="s">
        <v>2096</v>
      </c>
      <c r="G843" s="2" t="s">
        <v>197</v>
      </c>
      <c r="H843" s="56" t="str">
        <f>Table1[[#This Row],[Tabela]]&amp;Table1[[#This Row],[Campo]]</f>
        <v>modesg_param_sfics_taxon_europeiadscrc</v>
      </c>
      <c r="I843" s="2" t="s">
        <v>612</v>
      </c>
      <c r="J843" s="54">
        <f>VLOOKUP(Table1[[#This Row],[Status]],Auxiliar!$B$16:$C$24,2,0)</f>
        <v>1</v>
      </c>
      <c r="K843" s="2" t="s">
        <v>1171</v>
      </c>
      <c r="L843" s="28" t="s">
        <v>1174</v>
      </c>
      <c r="M843" s="20" t="s">
        <v>1175</v>
      </c>
      <c r="N843" s="47">
        <v>45744</v>
      </c>
      <c r="O843" s="20">
        <f>INDEX(Auxiliar!$D$5:$F$13,MATCH(Table1[[#This Row],[Tipologia_Testes]],Auxiliar!$B$5:$B$13,0),MATCH(Table1[[#This Row],[Complexidade]],Auxiliar!$D$4:$F$4,0))</f>
        <v>0.1</v>
      </c>
      <c r="P843" s="2"/>
      <c r="Q843" s="2"/>
      <c r="R843" s="151">
        <v>45563</v>
      </c>
      <c r="S843" s="151"/>
      <c r="T843" s="151">
        <v>45563</v>
      </c>
      <c r="U843" s="151">
        <v>45603</v>
      </c>
      <c r="V843" s="151">
        <v>45604</v>
      </c>
      <c r="W843" s="2">
        <f>VLOOKUP(Table1[[#This Row],[Status]],Auxiliar!$B$16:$D$24,3,0)*Table1[[#This Row],[Estimação (horas)]]</f>
        <v>0.1</v>
      </c>
      <c r="X843" s="165">
        <f>+VLOOKUP(CONCATENATE(Table1[[#This Row],[Tabela]],Table1[[#This Row],[Campo]]),'2. Status Detalhe Campos FY24'!A:J,9,FALSE)</f>
        <v>0</v>
      </c>
      <c r="Y843" s="491" t="e">
        <f>+VLOOKUP(A843,#REF!,1,FALSE)</f>
        <v>#REF!</v>
      </c>
    </row>
    <row r="844" spans="1:25" ht="17.899999999999999" hidden="1" customHeight="1">
      <c r="A844" t="str">
        <f>+Table1[[#This Row],[Tabela]]&amp;Table1[[#This Row],[Campo]]</f>
        <v>modesg_param_sfics_taxon_europeiacomite</v>
      </c>
      <c r="B844" s="2" t="s">
        <v>26</v>
      </c>
      <c r="C844" s="2" t="s">
        <v>181</v>
      </c>
      <c r="D844" s="2" t="s">
        <v>1211</v>
      </c>
      <c r="E844" s="2" t="s">
        <v>38</v>
      </c>
      <c r="F844" s="2" t="s">
        <v>2096</v>
      </c>
      <c r="G844" s="2" t="s">
        <v>192</v>
      </c>
      <c r="H844" s="56" t="str">
        <f>Table1[[#This Row],[Tabela]]&amp;Table1[[#This Row],[Campo]]</f>
        <v>modesg_param_sfics_taxon_europeiacomite</v>
      </c>
      <c r="I844" s="2" t="s">
        <v>612</v>
      </c>
      <c r="J844" s="54">
        <f>VLOOKUP(Table1[[#This Row],[Status]],Auxiliar!$B$16:$C$24,2,0)</f>
        <v>1</v>
      </c>
      <c r="K844" s="2" t="s">
        <v>1179</v>
      </c>
      <c r="L844" s="28" t="s">
        <v>1174</v>
      </c>
      <c r="M844" s="20" t="s">
        <v>1175</v>
      </c>
      <c r="N844" s="47">
        <v>45744</v>
      </c>
      <c r="O844" s="20">
        <f>INDEX(Auxiliar!$D$5:$F$13,MATCH(Table1[[#This Row],[Tipologia_Testes]],Auxiliar!$B$5:$B$13,0),MATCH(Table1[[#This Row],[Complexidade]],Auxiliar!$D$4:$F$4,0))</f>
        <v>0.5</v>
      </c>
      <c r="P844" s="2"/>
      <c r="Q844" s="2"/>
      <c r="R844" s="151">
        <v>45261</v>
      </c>
      <c r="S844" s="151"/>
      <c r="T844" s="151"/>
      <c r="U844" s="151">
        <v>45603</v>
      </c>
      <c r="V844" s="151"/>
      <c r="W844" s="2">
        <f>VLOOKUP(Table1[[#This Row],[Status]],Auxiliar!$B$16:$D$24,3,0)*Table1[[#This Row],[Estimação (horas)]]</f>
        <v>0.5</v>
      </c>
      <c r="X844" s="165">
        <f>+VLOOKUP(CONCATENATE(Table1[[#This Row],[Tabela]],Table1[[#This Row],[Campo]]),'2. Status Detalhe Campos FY24'!A:J,9,FALSE)</f>
        <v>0</v>
      </c>
      <c r="Y844" s="491" t="e">
        <f>+VLOOKUP(A844,#REF!,1,FALSE)</f>
        <v>#REF!</v>
      </c>
    </row>
    <row r="845" spans="1:25" ht="17.899999999999999" hidden="1" customHeight="1">
      <c r="A845" t="str">
        <f>+Table1[[#This Row],[Tabela]]&amp;Table1[[#This Row],[Campo]]</f>
        <v>modesg_param_sfics_taxon_europeiacomite</v>
      </c>
      <c r="B845" s="2" t="s">
        <v>26</v>
      </c>
      <c r="C845" s="2" t="s">
        <v>181</v>
      </c>
      <c r="D845" s="2" t="s">
        <v>1211</v>
      </c>
      <c r="E845" s="2" t="s">
        <v>38</v>
      </c>
      <c r="F845" s="2" t="s">
        <v>2096</v>
      </c>
      <c r="G845" s="2" t="s">
        <v>192</v>
      </c>
      <c r="H845" s="56" t="str">
        <f>Table1[[#This Row],[Tabela]]&amp;Table1[[#This Row],[Campo]]</f>
        <v>modesg_param_sfics_taxon_europeiacomite</v>
      </c>
      <c r="I845" s="2" t="s">
        <v>612</v>
      </c>
      <c r="J845" s="54">
        <f>VLOOKUP(Table1[[#This Row],[Status]],Auxiliar!$B$16:$C$24,2,0)</f>
        <v>1</v>
      </c>
      <c r="K845" s="2" t="s">
        <v>1171</v>
      </c>
      <c r="L845" s="28" t="s">
        <v>1174</v>
      </c>
      <c r="M845" s="20" t="s">
        <v>1175</v>
      </c>
      <c r="N845" s="47">
        <v>45744</v>
      </c>
      <c r="O845" s="20">
        <f>INDEX(Auxiliar!$D$5:$F$13,MATCH(Table1[[#This Row],[Tipologia_Testes]],Auxiliar!$B$5:$B$13,0),MATCH(Table1[[#This Row],[Complexidade]],Auxiliar!$D$4:$F$4,0))</f>
        <v>0.1</v>
      </c>
      <c r="P845" s="2"/>
      <c r="Q845" s="2"/>
      <c r="R845" s="151">
        <v>45563</v>
      </c>
      <c r="S845" s="151"/>
      <c r="T845" s="151">
        <v>45563</v>
      </c>
      <c r="U845" s="151">
        <v>45603</v>
      </c>
      <c r="V845" s="151">
        <v>45604</v>
      </c>
      <c r="W845" s="2">
        <f>VLOOKUP(Table1[[#This Row],[Status]],Auxiliar!$B$16:$D$24,3,0)*Table1[[#This Row],[Estimação (horas)]]</f>
        <v>0.1</v>
      </c>
      <c r="X845" s="165">
        <f>+VLOOKUP(CONCATENATE(Table1[[#This Row],[Tabela]],Table1[[#This Row],[Campo]]),'2. Status Detalhe Campos FY24'!A:J,9,FALSE)</f>
        <v>0</v>
      </c>
      <c r="Y845" s="491" t="e">
        <f>+VLOOKUP(A845,#REF!,1,FALSE)</f>
        <v>#REF!</v>
      </c>
    </row>
    <row r="846" spans="1:25" ht="17.899999999999999" hidden="1" customHeight="1">
      <c r="A846" t="str">
        <f>+Table1[[#This Row],[Tabela]]&amp;Table1[[#This Row],[Campo]]</f>
        <v>modesg_param_sfics_taxon_europeiadata_aprvc</v>
      </c>
      <c r="B846" s="2" t="s">
        <v>26</v>
      </c>
      <c r="C846" s="2" t="s">
        <v>181</v>
      </c>
      <c r="D846" s="2" t="s">
        <v>1211</v>
      </c>
      <c r="E846" s="2" t="s">
        <v>38</v>
      </c>
      <c r="F846" s="2" t="s">
        <v>2096</v>
      </c>
      <c r="G846" s="2" t="s">
        <v>193</v>
      </c>
      <c r="H846" s="56" t="str">
        <f>Table1[[#This Row],[Tabela]]&amp;Table1[[#This Row],[Campo]]</f>
        <v>modesg_param_sfics_taxon_europeiadata_aprvc</v>
      </c>
      <c r="I846" s="2" t="s">
        <v>612</v>
      </c>
      <c r="J846" s="54">
        <f>VLOOKUP(Table1[[#This Row],[Status]],Auxiliar!$B$16:$C$24,2,0)</f>
        <v>1</v>
      </c>
      <c r="K846" s="2" t="s">
        <v>1179</v>
      </c>
      <c r="L846" s="28" t="s">
        <v>1174</v>
      </c>
      <c r="M846" s="20" t="s">
        <v>1175</v>
      </c>
      <c r="N846" s="47">
        <v>45744</v>
      </c>
      <c r="O846" s="20">
        <f>INDEX(Auxiliar!$D$5:$F$13,MATCH(Table1[[#This Row],[Tipologia_Testes]],Auxiliar!$B$5:$B$13,0),MATCH(Table1[[#This Row],[Complexidade]],Auxiliar!$D$4:$F$4,0))</f>
        <v>0.5</v>
      </c>
      <c r="P846" s="2"/>
      <c r="Q846" s="2"/>
      <c r="R846" s="151">
        <v>45261</v>
      </c>
      <c r="S846" s="151"/>
      <c r="T846" s="151"/>
      <c r="U846" s="151">
        <v>45603</v>
      </c>
      <c r="V846" s="151"/>
      <c r="W846" s="2">
        <f>VLOOKUP(Table1[[#This Row],[Status]],Auxiliar!$B$16:$D$24,3,0)*Table1[[#This Row],[Estimação (horas)]]</f>
        <v>0.5</v>
      </c>
      <c r="X846" s="165">
        <f>+VLOOKUP(CONCATENATE(Table1[[#This Row],[Tabela]],Table1[[#This Row],[Campo]]),'2. Status Detalhe Campos FY24'!A:J,9,FALSE)</f>
        <v>0</v>
      </c>
      <c r="Y846" s="491" t="e">
        <f>+VLOOKUP(A846,#REF!,1,FALSE)</f>
        <v>#REF!</v>
      </c>
    </row>
    <row r="847" spans="1:25" ht="17.899999999999999" hidden="1" customHeight="1">
      <c r="A847" t="str">
        <f>+Table1[[#This Row],[Tabela]]&amp;Table1[[#This Row],[Campo]]</f>
        <v>modesg_param_sfics_taxon_europeiadata_aprvc</v>
      </c>
      <c r="B847" s="2" t="s">
        <v>26</v>
      </c>
      <c r="C847" s="2" t="s">
        <v>181</v>
      </c>
      <c r="D847" s="2" t="s">
        <v>1211</v>
      </c>
      <c r="E847" s="2" t="s">
        <v>38</v>
      </c>
      <c r="F847" s="2" t="s">
        <v>2096</v>
      </c>
      <c r="G847" s="2" t="s">
        <v>193</v>
      </c>
      <c r="H847" s="56" t="str">
        <f>Table1[[#This Row],[Tabela]]&amp;Table1[[#This Row],[Campo]]</f>
        <v>modesg_param_sfics_taxon_europeiadata_aprvc</v>
      </c>
      <c r="I847" s="2" t="s">
        <v>612</v>
      </c>
      <c r="J847" s="54">
        <f>VLOOKUP(Table1[[#This Row],[Status]],Auxiliar!$B$16:$C$24,2,0)</f>
        <v>1</v>
      </c>
      <c r="K847" s="2" t="s">
        <v>1171</v>
      </c>
      <c r="L847" s="28"/>
      <c r="M847" s="20"/>
      <c r="N847" s="47">
        <v>45744</v>
      </c>
      <c r="O847" s="20" t="e">
        <f>INDEX(Auxiliar!$D$5:$F$11,MATCH(Table1[[#This Row],[Tipologia_Testes]],Auxiliar!$B$5:$B$11,0),MATCH(Table1[[#This Row],[Complexidade]],Auxiliar!$D$4:$F$4,0))</f>
        <v>#N/A</v>
      </c>
      <c r="P847" s="2"/>
      <c r="Q847" s="2"/>
      <c r="R847" s="151"/>
      <c r="S847" s="151"/>
      <c r="T847" s="151"/>
      <c r="U847" s="151"/>
      <c r="V847" s="151"/>
      <c r="W847" s="2" t="e">
        <f>VLOOKUP(Table1[[#This Row],[Status]],Auxiliar!$B$16:$D$24,3,0)*Table1[[#This Row],[Estimação (horas)]]</f>
        <v>#N/A</v>
      </c>
      <c r="X847" s="165">
        <f>+VLOOKUP(CONCATENATE(Table1[[#This Row],[Tabela]],Table1[[#This Row],[Campo]]),'2. Status Detalhe Campos FY24'!A:J,9,FALSE)</f>
        <v>0</v>
      </c>
      <c r="Y847" s="491" t="e">
        <f>+VLOOKUP(A847,#REF!,1,FALSE)</f>
        <v>#REF!</v>
      </c>
    </row>
    <row r="848" spans="1:25" ht="17.899999999999999" hidden="1" customHeight="1">
      <c r="A848" t="str">
        <f>+Table1[[#This Row],[Tabela]]&amp;Table1[[#This Row],[Campo]]</f>
        <v>modesg_param_sfics_taxon_europeiadata_inicial</v>
      </c>
      <c r="B848" s="2" t="s">
        <v>26</v>
      </c>
      <c r="C848" s="2" t="s">
        <v>181</v>
      </c>
      <c r="D848" s="2" t="s">
        <v>1211</v>
      </c>
      <c r="E848" s="2" t="s">
        <v>38</v>
      </c>
      <c r="F848" s="2" t="s">
        <v>2096</v>
      </c>
      <c r="G848" s="2" t="s">
        <v>195</v>
      </c>
      <c r="H848" s="56" t="str">
        <f>Table1[[#This Row],[Tabela]]&amp;Table1[[#This Row],[Campo]]</f>
        <v>modesg_param_sfics_taxon_europeiadata_inicial</v>
      </c>
      <c r="I848" s="2" t="s">
        <v>612</v>
      </c>
      <c r="J848" s="54">
        <f>VLOOKUP(Table1[[#This Row],[Status]],Auxiliar!$B$16:$C$24,2,0)</f>
        <v>1</v>
      </c>
      <c r="K848" s="2" t="s">
        <v>1179</v>
      </c>
      <c r="L848" s="28" t="s">
        <v>1174</v>
      </c>
      <c r="M848" s="20" t="s">
        <v>1175</v>
      </c>
      <c r="N848" s="47">
        <v>45744</v>
      </c>
      <c r="O848" s="20">
        <f>INDEX(Auxiliar!$D$5:$F$13,MATCH(Table1[[#This Row],[Tipologia_Testes]],Auxiliar!$B$5:$B$13,0),MATCH(Table1[[#This Row],[Complexidade]],Auxiliar!$D$4:$F$4,0))</f>
        <v>0.5</v>
      </c>
      <c r="P848" s="2"/>
      <c r="Q848" s="2"/>
      <c r="R848" s="151">
        <v>45261</v>
      </c>
      <c r="S848" s="151"/>
      <c r="T848" s="151"/>
      <c r="U848" s="151">
        <v>45603</v>
      </c>
      <c r="V848" s="151"/>
      <c r="W848" s="2">
        <f>VLOOKUP(Table1[[#This Row],[Status]],Auxiliar!$B$16:$D$24,3,0)*Table1[[#This Row],[Estimação (horas)]]</f>
        <v>0.5</v>
      </c>
      <c r="X848" s="165">
        <f>+VLOOKUP(CONCATENATE(Table1[[#This Row],[Tabela]],Table1[[#This Row],[Campo]]),'2. Status Detalhe Campos FY24'!A:J,9,FALSE)</f>
        <v>0</v>
      </c>
      <c r="Y848" s="491" t="e">
        <f>+VLOOKUP(A848,#REF!,1,FALSE)</f>
        <v>#REF!</v>
      </c>
    </row>
    <row r="849" spans="1:25" ht="17.899999999999999" hidden="1" customHeight="1">
      <c r="A849" t="str">
        <f>+Table1[[#This Row],[Tabela]]&amp;Table1[[#This Row],[Campo]]</f>
        <v>modesg_param_sfics_taxon_europeiadata_inicial</v>
      </c>
      <c r="B849" s="2" t="s">
        <v>26</v>
      </c>
      <c r="C849" s="2" t="s">
        <v>181</v>
      </c>
      <c r="D849" s="2" t="s">
        <v>1211</v>
      </c>
      <c r="E849" s="2" t="s">
        <v>38</v>
      </c>
      <c r="F849" s="2" t="s">
        <v>2096</v>
      </c>
      <c r="G849" s="2" t="s">
        <v>195</v>
      </c>
      <c r="H849" s="56" t="str">
        <f>Table1[[#This Row],[Tabela]]&amp;Table1[[#This Row],[Campo]]</f>
        <v>modesg_param_sfics_taxon_europeiadata_inicial</v>
      </c>
      <c r="I849" s="2" t="s">
        <v>612</v>
      </c>
      <c r="J849" s="54">
        <f>VLOOKUP(Table1[[#This Row],[Status]],Auxiliar!$B$16:$C$24,2,0)</f>
        <v>1</v>
      </c>
      <c r="K849" s="2" t="s">
        <v>1171</v>
      </c>
      <c r="L849" s="28"/>
      <c r="M849" s="20"/>
      <c r="N849" s="47">
        <v>45744</v>
      </c>
      <c r="O849" s="20" t="e">
        <f>INDEX(Auxiliar!$D$5:$F$11,MATCH(Table1[[#This Row],[Tipologia_Testes]],Auxiliar!$B$5:$B$11,0),MATCH(Table1[[#This Row],[Complexidade]],Auxiliar!$D$4:$F$4,0))</f>
        <v>#N/A</v>
      </c>
      <c r="P849" s="2"/>
      <c r="Q849" s="2"/>
      <c r="R849" s="151"/>
      <c r="S849" s="151"/>
      <c r="T849" s="151"/>
      <c r="U849" s="151"/>
      <c r="V849" s="151"/>
      <c r="W849" s="2" t="e">
        <f>VLOOKUP(Table1[[#This Row],[Status]],Auxiliar!$B$16:$D$24,3,0)*Table1[[#This Row],[Estimação (horas)]]</f>
        <v>#N/A</v>
      </c>
      <c r="X849" s="165">
        <f>+VLOOKUP(CONCATENATE(Table1[[#This Row],[Tabela]],Table1[[#This Row],[Campo]]),'2. Status Detalhe Campos FY24'!A:J,9,FALSE)</f>
        <v>0</v>
      </c>
      <c r="Y849" s="491" t="e">
        <f>+VLOOKUP(A849,#REF!,1,FALSE)</f>
        <v>#REF!</v>
      </c>
    </row>
    <row r="850" spans="1:25" ht="17.899999999999999" hidden="1" customHeight="1">
      <c r="A850" t="str">
        <f>+Table1[[#This Row],[Tabela]]&amp;Table1[[#This Row],[Campo]]</f>
        <v>modesg_param_sfics_taxon_europeiadata_final</v>
      </c>
      <c r="B850" s="2" t="s">
        <v>26</v>
      </c>
      <c r="C850" s="2" t="s">
        <v>181</v>
      </c>
      <c r="D850" s="2" t="s">
        <v>1211</v>
      </c>
      <c r="E850" s="2" t="s">
        <v>38</v>
      </c>
      <c r="F850" s="2" t="s">
        <v>2096</v>
      </c>
      <c r="G850" s="2" t="s">
        <v>194</v>
      </c>
      <c r="H850" s="56" t="str">
        <f>Table1[[#This Row],[Tabela]]&amp;Table1[[#This Row],[Campo]]</f>
        <v>modesg_param_sfics_taxon_europeiadata_final</v>
      </c>
      <c r="I850" s="2" t="s">
        <v>612</v>
      </c>
      <c r="J850" s="42">
        <f>VLOOKUP(Table1[[#This Row],[Status]],Auxiliar!$B$16:$C$24,2,0)</f>
        <v>1</v>
      </c>
      <c r="K850" s="2" t="s">
        <v>1179</v>
      </c>
      <c r="L850" s="28" t="s">
        <v>1166</v>
      </c>
      <c r="M850" s="20" t="s">
        <v>1175</v>
      </c>
      <c r="N850" s="47">
        <v>45744</v>
      </c>
      <c r="O850" s="20">
        <f>INDEX(Auxiliar!$D$5:$F$13,MATCH(Table1[[#This Row],[Tipologia_Testes]],Auxiliar!$B$5:$B$13,0),MATCH(Table1[[#This Row],[Complexidade]],Auxiliar!$D$4:$F$4,0))</f>
        <v>0.5</v>
      </c>
      <c r="P850" s="2" t="s">
        <v>1214</v>
      </c>
      <c r="Q850" s="2"/>
      <c r="R850" s="151">
        <v>45563</v>
      </c>
      <c r="S850" s="151"/>
      <c r="T850" s="151">
        <v>45563</v>
      </c>
      <c r="U850" s="151">
        <v>45603</v>
      </c>
      <c r="V850" s="151">
        <v>45604</v>
      </c>
      <c r="W850" s="2">
        <f>VLOOKUP(Table1[[#This Row],[Status]],Auxiliar!$B$16:$D$24,3,0)*Table1[[#This Row],[Estimação (horas)]]</f>
        <v>0.5</v>
      </c>
      <c r="X850" s="165">
        <f>+VLOOKUP(CONCATENATE(Table1[[#This Row],[Tabela]],Table1[[#This Row],[Campo]]),'2. Status Detalhe Campos FY24'!A:J,9,FALSE)</f>
        <v>0</v>
      </c>
      <c r="Y850" s="491" t="e">
        <f>+VLOOKUP(A850,#REF!,1,FALSE)</f>
        <v>#REF!</v>
      </c>
    </row>
    <row r="851" spans="1:25" ht="17.899999999999999" hidden="1" customHeight="1">
      <c r="A851" t="str">
        <f>+Table1[[#This Row],[Tabela]]&amp;Table1[[#This Row],[Campo]]</f>
        <v>modesg_param_sfics_taxon_europeiadata_final</v>
      </c>
      <c r="B851" s="2" t="s">
        <v>26</v>
      </c>
      <c r="C851" s="2" t="s">
        <v>181</v>
      </c>
      <c r="D851" s="2" t="s">
        <v>1211</v>
      </c>
      <c r="E851" s="2" t="s">
        <v>38</v>
      </c>
      <c r="F851" s="2" t="s">
        <v>2096</v>
      </c>
      <c r="G851" s="2" t="s">
        <v>194</v>
      </c>
      <c r="H851" s="56" t="str">
        <f>Table1[[#This Row],[Tabela]]&amp;Table1[[#This Row],[Campo]]</f>
        <v>modesg_param_sfics_taxon_europeiadata_final</v>
      </c>
      <c r="I851" s="2" t="s">
        <v>612</v>
      </c>
      <c r="J851" s="54">
        <f>VLOOKUP(Table1[[#This Row],[Status]],Auxiliar!$B$16:$C$24,2,0)</f>
        <v>1</v>
      </c>
      <c r="K851" s="2" t="s">
        <v>1171</v>
      </c>
      <c r="L851" s="28"/>
      <c r="M851" s="20"/>
      <c r="N851" s="47">
        <v>45744</v>
      </c>
      <c r="O851" s="20" t="e">
        <f>INDEX(Auxiliar!$D$5:$F$11,MATCH(Table1[[#This Row],[Tipologia_Testes]],Auxiliar!$B$5:$B$11,0),MATCH(Table1[[#This Row],[Complexidade]],Auxiliar!$D$4:$F$4,0))</f>
        <v>#N/A</v>
      </c>
      <c r="P851" s="2"/>
      <c r="Q851" s="2"/>
      <c r="R851" s="151"/>
      <c r="S851" s="151"/>
      <c r="T851" s="151"/>
      <c r="U851" s="151"/>
      <c r="V851" s="151"/>
      <c r="W851" s="2" t="e">
        <f>VLOOKUP(Table1[[#This Row],[Status]],Auxiliar!$B$16:$D$24,3,0)*Table1[[#This Row],[Estimação (horas)]]</f>
        <v>#N/A</v>
      </c>
      <c r="X851" s="165">
        <f>+VLOOKUP(CONCATENATE(Table1[[#This Row],[Tabela]],Table1[[#This Row],[Campo]]),'2. Status Detalhe Campos FY24'!A:J,9,FALSE)</f>
        <v>0</v>
      </c>
      <c r="Y851" s="491" t="e">
        <f>+VLOOKUP(A851,#REF!,1,FALSE)</f>
        <v>#REF!</v>
      </c>
    </row>
    <row r="852" spans="1:25" ht="17.899999999999999" hidden="1" customHeight="1">
      <c r="A852" t="str">
        <f>+Table1[[#This Row],[Tabela]]&amp;Table1[[#This Row],[Campo]]</f>
        <v>modesg_param_sfics_taxon_europeiazcliente</v>
      </c>
      <c r="B852" s="2" t="s">
        <v>26</v>
      </c>
      <c r="C852" s="2" t="s">
        <v>181</v>
      </c>
      <c r="D852" s="2" t="s">
        <v>1211</v>
      </c>
      <c r="E852" s="2" t="s">
        <v>38</v>
      </c>
      <c r="F852" s="2" t="s">
        <v>2096</v>
      </c>
      <c r="G852" s="2" t="s">
        <v>209</v>
      </c>
      <c r="H852" s="56" t="str">
        <f>Table1[[#This Row],[Tabela]]&amp;Table1[[#This Row],[Campo]]</f>
        <v>modesg_param_sfics_taxon_europeiazcliente</v>
      </c>
      <c r="I852" s="2" t="s">
        <v>612</v>
      </c>
      <c r="J852" s="54">
        <f>VLOOKUP(Table1[[#This Row],[Status]],Auxiliar!$B$16:$C$24,2,0)</f>
        <v>1</v>
      </c>
      <c r="K852" s="2" t="s">
        <v>1179</v>
      </c>
      <c r="L852" s="28" t="s">
        <v>1174</v>
      </c>
      <c r="M852" s="20" t="s">
        <v>1175</v>
      </c>
      <c r="N852" s="47">
        <v>45744</v>
      </c>
      <c r="O852" s="20">
        <f>INDEX(Auxiliar!$D$5:$F$13,MATCH(Table1[[#This Row],[Tipologia_Testes]],Auxiliar!$B$5:$B$13,0),MATCH(Table1[[#This Row],[Complexidade]],Auxiliar!$D$4:$F$4,0))</f>
        <v>0.5</v>
      </c>
      <c r="P852" s="2"/>
      <c r="Q852" s="2"/>
      <c r="R852" s="151">
        <v>45261</v>
      </c>
      <c r="S852" s="151"/>
      <c r="T852" s="151"/>
      <c r="U852" s="151">
        <v>45603</v>
      </c>
      <c r="V852" s="151"/>
      <c r="W852" s="2">
        <f>VLOOKUP(Table1[[#This Row],[Status]],Auxiliar!$B$16:$D$24,3,0)*Table1[[#This Row],[Estimação (horas)]]</f>
        <v>0.5</v>
      </c>
      <c r="X852" s="165">
        <f>+VLOOKUP(CONCATENATE(Table1[[#This Row],[Tabela]],Table1[[#This Row],[Campo]]),'2. Status Detalhe Campos FY24'!A:J,9,FALSE)</f>
        <v>0</v>
      </c>
      <c r="Y852" s="491" t="e">
        <f>+VLOOKUP(A852,#REF!,1,FALSE)</f>
        <v>#REF!</v>
      </c>
    </row>
    <row r="853" spans="1:25" ht="17.899999999999999" hidden="1" customHeight="1">
      <c r="A853" t="str">
        <f>+Table1[[#This Row],[Tabela]]&amp;Table1[[#This Row],[Campo]]</f>
        <v>modesg_param_sfics_taxon_europeiazcliente</v>
      </c>
      <c r="B853" s="2" t="s">
        <v>26</v>
      </c>
      <c r="C853" s="2" t="s">
        <v>181</v>
      </c>
      <c r="D853" s="2" t="s">
        <v>1211</v>
      </c>
      <c r="E853" s="2" t="s">
        <v>38</v>
      </c>
      <c r="F853" s="2" t="s">
        <v>2096</v>
      </c>
      <c r="G853" s="2" t="s">
        <v>209</v>
      </c>
      <c r="H853" s="56" t="str">
        <f>Table1[[#This Row],[Tabela]]&amp;Table1[[#This Row],[Campo]]</f>
        <v>modesg_param_sfics_taxon_europeiazcliente</v>
      </c>
      <c r="I853" s="2" t="s">
        <v>612</v>
      </c>
      <c r="J853" s="54">
        <f>VLOOKUP(Table1[[#This Row],[Status]],Auxiliar!$B$16:$C$24,2,0)</f>
        <v>1</v>
      </c>
      <c r="K853" s="2" t="s">
        <v>1171</v>
      </c>
      <c r="L853" s="28"/>
      <c r="M853" s="20"/>
      <c r="N853" s="47">
        <v>45744</v>
      </c>
      <c r="O853" s="20" t="e">
        <f>INDEX(Auxiliar!$D$5:$F$11,MATCH(Table1[[#This Row],[Tipologia_Testes]],Auxiliar!$B$5:$B$11,0),MATCH(Table1[[#This Row],[Complexidade]],Auxiliar!$D$4:$F$4,0))</f>
        <v>#N/A</v>
      </c>
      <c r="P853" s="2"/>
      <c r="Q853" s="2"/>
      <c r="R853" s="151"/>
      <c r="S853" s="151"/>
      <c r="T853" s="151"/>
      <c r="U853" s="151"/>
      <c r="V853" s="151"/>
      <c r="W853" s="2" t="e">
        <f>VLOOKUP(Table1[[#This Row],[Status]],Auxiliar!$B$16:$D$24,3,0)*Table1[[#This Row],[Estimação (horas)]]</f>
        <v>#N/A</v>
      </c>
      <c r="X853" s="165">
        <f>+VLOOKUP(CONCATENATE(Table1[[#This Row],[Tabela]],Table1[[#This Row],[Campo]]),'2. Status Detalhe Campos FY24'!A:J,9,FALSE)</f>
        <v>0</v>
      </c>
      <c r="Y853" s="491" t="e">
        <f>+VLOOKUP(A853,#REF!,1,FALSE)</f>
        <v>#REF!</v>
      </c>
    </row>
    <row r="854" spans="1:25" ht="17.899999999999999" hidden="1" customHeight="1">
      <c r="A854" t="str">
        <f>+Table1[[#This Row],[Tabela]]&amp;Table1[[#This Row],[Campo]]</f>
        <v>modesg_param_sfics_taxon_europeiacempcta</v>
      </c>
      <c r="B854" s="2" t="s">
        <v>26</v>
      </c>
      <c r="C854" s="2" t="s">
        <v>181</v>
      </c>
      <c r="D854" s="2" t="s">
        <v>1211</v>
      </c>
      <c r="E854" s="2" t="s">
        <v>38</v>
      </c>
      <c r="F854" s="2" t="s">
        <v>2096</v>
      </c>
      <c r="G854" s="2" t="s">
        <v>2402</v>
      </c>
      <c r="H854" s="56" t="str">
        <f>Table1[[#This Row],[Tabela]]&amp;Table1[[#This Row],[Campo]]</f>
        <v>modesg_param_sfics_taxon_europeiacempcta</v>
      </c>
      <c r="I854" s="2" t="s">
        <v>612</v>
      </c>
      <c r="J854" s="54">
        <f>VLOOKUP(Table1[[#This Row],[Status]],Auxiliar!$B$16:$C$24,2,0)</f>
        <v>1</v>
      </c>
      <c r="K854" s="2" t="s">
        <v>1179</v>
      </c>
      <c r="L854" s="28" t="s">
        <v>1174</v>
      </c>
      <c r="M854" s="20" t="s">
        <v>1175</v>
      </c>
      <c r="N854" s="47">
        <v>45744</v>
      </c>
      <c r="O854" s="20">
        <f>INDEX(Auxiliar!$D$5:$F$13,MATCH(Table1[[#This Row],[Tipologia_Testes]],Auxiliar!$B$5:$B$13,0),MATCH(Table1[[#This Row],[Complexidade]],Auxiliar!$D$4:$F$4,0))</f>
        <v>0.5</v>
      </c>
      <c r="P854" s="2"/>
      <c r="Q854" s="2"/>
      <c r="R854" s="151">
        <v>45261</v>
      </c>
      <c r="S854" s="151"/>
      <c r="T854" s="151"/>
      <c r="U854" s="151">
        <v>45603</v>
      </c>
      <c r="V854" s="151"/>
      <c r="W854" s="2">
        <f>VLOOKUP(Table1[[#This Row],[Status]],Auxiliar!$B$16:$D$24,3,0)*Table1[[#This Row],[Estimação (horas)]]</f>
        <v>0.5</v>
      </c>
      <c r="X854" s="165">
        <f>+VLOOKUP(CONCATENATE(Table1[[#This Row],[Tabela]],Table1[[#This Row],[Campo]]),'2. Status Detalhe Campos FY24'!A:J,9,FALSE)</f>
        <v>0</v>
      </c>
      <c r="Y854" s="491" t="e">
        <f>+VLOOKUP(A854,#REF!,1,FALSE)</f>
        <v>#REF!</v>
      </c>
    </row>
    <row r="855" spans="1:25" ht="17.899999999999999" hidden="1" customHeight="1">
      <c r="A855" t="str">
        <f>+Table1[[#This Row],[Tabela]]&amp;Table1[[#This Row],[Campo]]</f>
        <v>modesg_param_sfics_taxon_europeiacempcta</v>
      </c>
      <c r="B855" s="2" t="s">
        <v>26</v>
      </c>
      <c r="C855" s="2" t="s">
        <v>181</v>
      </c>
      <c r="D855" s="2" t="s">
        <v>1211</v>
      </c>
      <c r="E855" s="2" t="s">
        <v>38</v>
      </c>
      <c r="F855" s="2" t="s">
        <v>2096</v>
      </c>
      <c r="G855" s="2" t="s">
        <v>2402</v>
      </c>
      <c r="H855" s="56" t="str">
        <f>Table1[[#This Row],[Tabela]]&amp;Table1[[#This Row],[Campo]]</f>
        <v>modesg_param_sfics_taxon_europeiacempcta</v>
      </c>
      <c r="I855" s="2" t="s">
        <v>612</v>
      </c>
      <c r="J855" s="54">
        <f>VLOOKUP(Table1[[#This Row],[Status]],Auxiliar!$B$16:$C$24,2,0)</f>
        <v>1</v>
      </c>
      <c r="K855" s="2" t="s">
        <v>1171</v>
      </c>
      <c r="L855" s="28" t="s">
        <v>1174</v>
      </c>
      <c r="M855" s="20" t="s">
        <v>1175</v>
      </c>
      <c r="N855" s="47">
        <v>45744</v>
      </c>
      <c r="O855" s="20">
        <f>INDEX(Auxiliar!$D$5:$F$13,MATCH(Table1[[#This Row],[Tipologia_Testes]],Auxiliar!$B$5:$B$13,0),MATCH(Table1[[#This Row],[Complexidade]],Auxiliar!$D$4:$F$4,0))</f>
        <v>0.1</v>
      </c>
      <c r="P855" s="2"/>
      <c r="Q855" s="2"/>
      <c r="R855" s="151">
        <v>45563</v>
      </c>
      <c r="S855" s="151"/>
      <c r="T855" s="151">
        <v>45563</v>
      </c>
      <c r="U855" s="151">
        <v>45603</v>
      </c>
      <c r="V855" s="151">
        <v>45604</v>
      </c>
      <c r="W855" s="2">
        <f>VLOOKUP(Table1[[#This Row],[Status]],Auxiliar!$B$16:$D$24,3,0)*Table1[[#This Row],[Estimação (horas)]]</f>
        <v>0.1</v>
      </c>
      <c r="X855" s="165">
        <f>+VLOOKUP(CONCATENATE(Table1[[#This Row],[Tabela]],Table1[[#This Row],[Campo]]),'2. Status Detalhe Campos FY24'!A:J,9,FALSE)</f>
        <v>0</v>
      </c>
      <c r="Y855" s="491" t="e">
        <f>+VLOOKUP(A855,#REF!,1,FALSE)</f>
        <v>#REF!</v>
      </c>
    </row>
    <row r="856" spans="1:25" ht="17.899999999999999" hidden="1" customHeight="1">
      <c r="A856" t="str">
        <f>+Table1[[#This Row],[Tabela]]&amp;Table1[[#This Row],[Campo]]</f>
        <v>modesg_param_sfics_taxon_europeiackbalcao</v>
      </c>
      <c r="B856" s="2" t="s">
        <v>26</v>
      </c>
      <c r="C856" s="2" t="s">
        <v>181</v>
      </c>
      <c r="D856" s="2" t="s">
        <v>1211</v>
      </c>
      <c r="E856" s="2" t="s">
        <v>38</v>
      </c>
      <c r="F856" s="2" t="s">
        <v>2096</v>
      </c>
      <c r="G856" s="2" t="s">
        <v>457</v>
      </c>
      <c r="H856" s="56" t="str">
        <f>Table1[[#This Row],[Tabela]]&amp;Table1[[#This Row],[Campo]]</f>
        <v>modesg_param_sfics_taxon_europeiackbalcao</v>
      </c>
      <c r="I856" s="2" t="s">
        <v>612</v>
      </c>
      <c r="J856" s="42">
        <f>VLOOKUP(Table1[[#This Row],[Status]],Auxiliar!$B$16:$C$24,2,0)</f>
        <v>1</v>
      </c>
      <c r="K856" s="2" t="s">
        <v>1179</v>
      </c>
      <c r="L856" s="28" t="s">
        <v>641</v>
      </c>
      <c r="M856" s="20" t="s">
        <v>1175</v>
      </c>
      <c r="N856" s="47">
        <v>45744</v>
      </c>
      <c r="O856" s="20">
        <f>INDEX(Auxiliar!$D$5:$F$13,MATCH(Table1[[#This Row],[Tipologia_Testes]],Auxiliar!$B$5:$B$13,0),MATCH(Table1[[#This Row],[Complexidade]],Auxiliar!$D$4:$F$4,0))</f>
        <v>0.5</v>
      </c>
      <c r="P856" s="2" t="s">
        <v>1215</v>
      </c>
      <c r="Q856" s="2"/>
      <c r="R856" s="151">
        <v>45563</v>
      </c>
      <c r="S856" s="151"/>
      <c r="T856" s="151">
        <v>45563</v>
      </c>
      <c r="U856" s="151">
        <v>45603</v>
      </c>
      <c r="V856" s="151">
        <v>45604</v>
      </c>
      <c r="W856" s="2">
        <f>VLOOKUP(Table1[[#This Row],[Status]],Auxiliar!$B$16:$D$24,3,0)*Table1[[#This Row],[Estimação (horas)]]</f>
        <v>0.5</v>
      </c>
      <c r="X856" s="165">
        <f>+VLOOKUP(CONCATENATE(Table1[[#This Row],[Tabela]],Table1[[#This Row],[Campo]]),'2. Status Detalhe Campos FY24'!A:J,9,FALSE)</f>
        <v>0</v>
      </c>
      <c r="Y856" s="491" t="e">
        <f>+VLOOKUP(A856,#REF!,1,FALSE)</f>
        <v>#REF!</v>
      </c>
    </row>
    <row r="857" spans="1:25" ht="17.899999999999999" hidden="1" customHeight="1">
      <c r="A857" t="str">
        <f>+Table1[[#This Row],[Tabela]]&amp;Table1[[#This Row],[Campo]]</f>
        <v>modesg_param_sfics_taxon_europeiackbalcao</v>
      </c>
      <c r="B857" s="2" t="s">
        <v>26</v>
      </c>
      <c r="C857" s="2" t="s">
        <v>181</v>
      </c>
      <c r="D857" s="2" t="s">
        <v>1211</v>
      </c>
      <c r="E857" s="2" t="s">
        <v>38</v>
      </c>
      <c r="F857" s="2" t="s">
        <v>2096</v>
      </c>
      <c r="G857" s="2" t="s">
        <v>457</v>
      </c>
      <c r="H857" s="56" t="str">
        <f>Table1[[#This Row],[Tabela]]&amp;Table1[[#This Row],[Campo]]</f>
        <v>modesg_param_sfics_taxon_europeiackbalcao</v>
      </c>
      <c r="I857" s="2" t="s">
        <v>612</v>
      </c>
      <c r="J857" s="54">
        <f>VLOOKUP(Table1[[#This Row],[Status]],Auxiliar!$B$16:$C$24,2,0)</f>
        <v>1</v>
      </c>
      <c r="K857" s="2" t="s">
        <v>1171</v>
      </c>
      <c r="L857" s="28" t="s">
        <v>1174</v>
      </c>
      <c r="M857" s="20" t="s">
        <v>1175</v>
      </c>
      <c r="N857" s="47">
        <v>45744</v>
      </c>
      <c r="O857" s="20">
        <f>INDEX(Auxiliar!$D$5:$F$13,MATCH(Table1[[#This Row],[Tipologia_Testes]],Auxiliar!$B$5:$B$13,0),MATCH(Table1[[#This Row],[Complexidade]],Auxiliar!$D$4:$F$4,0))</f>
        <v>0.1</v>
      </c>
      <c r="P857" s="2"/>
      <c r="Q857" s="2"/>
      <c r="R857" s="151">
        <v>45545</v>
      </c>
      <c r="S857" s="151"/>
      <c r="T857" s="151"/>
      <c r="U857" s="151">
        <v>45603</v>
      </c>
      <c r="V857" s="151"/>
      <c r="W857" s="2">
        <f>VLOOKUP(Table1[[#This Row],[Status]],Auxiliar!$B$16:$D$24,3,0)*Table1[[#This Row],[Estimação (horas)]]</f>
        <v>0.1</v>
      </c>
      <c r="X857" s="165">
        <f>+VLOOKUP(CONCATENATE(Table1[[#This Row],[Tabela]],Table1[[#This Row],[Campo]]),'2. Status Detalhe Campos FY24'!A:J,9,FALSE)</f>
        <v>0</v>
      </c>
      <c r="Y857" s="491" t="e">
        <f>+VLOOKUP(A857,#REF!,1,FALSE)</f>
        <v>#REF!</v>
      </c>
    </row>
    <row r="858" spans="1:25" ht="17.899999999999999" hidden="1" customHeight="1">
      <c r="A858" t="str">
        <f>+Table1[[#This Row],[Tabela]]&amp;Table1[[#This Row],[Campo]]</f>
        <v>modesg_param_sfics_taxon_europeiacknumcta</v>
      </c>
      <c r="B858" s="2" t="s">
        <v>26</v>
      </c>
      <c r="C858" s="2" t="s">
        <v>181</v>
      </c>
      <c r="D858" s="2" t="s">
        <v>1211</v>
      </c>
      <c r="E858" s="2" t="s">
        <v>38</v>
      </c>
      <c r="F858" s="2" t="s">
        <v>2096</v>
      </c>
      <c r="G858" s="2" t="s">
        <v>458</v>
      </c>
      <c r="H858" s="56" t="str">
        <f>Table1[[#This Row],[Tabela]]&amp;Table1[[#This Row],[Campo]]</f>
        <v>modesg_param_sfics_taxon_europeiacknumcta</v>
      </c>
      <c r="I858" s="2" t="s">
        <v>612</v>
      </c>
      <c r="J858" s="54">
        <f>VLOOKUP(Table1[[#This Row],[Status]],Auxiliar!$B$16:$C$24,2,0)</f>
        <v>1</v>
      </c>
      <c r="K858" s="2" t="s">
        <v>1179</v>
      </c>
      <c r="L858" s="28" t="s">
        <v>1174</v>
      </c>
      <c r="M858" s="20" t="s">
        <v>1175</v>
      </c>
      <c r="N858" s="47">
        <v>45744</v>
      </c>
      <c r="O858" s="20">
        <f>INDEX(Auxiliar!$D$5:$F$13,MATCH(Table1[[#This Row],[Tipologia_Testes]],Auxiliar!$B$5:$B$13,0),MATCH(Table1[[#This Row],[Complexidade]],Auxiliar!$D$4:$F$4,0))</f>
        <v>0.5</v>
      </c>
      <c r="P858" s="2"/>
      <c r="Q858" s="2"/>
      <c r="R858" s="151">
        <v>45261</v>
      </c>
      <c r="S858" s="151"/>
      <c r="T858" s="151"/>
      <c r="U858" s="151">
        <v>45603</v>
      </c>
      <c r="V858" s="151"/>
      <c r="W858" s="2">
        <f>VLOOKUP(Table1[[#This Row],[Status]],Auxiliar!$B$16:$D$24,3,0)*Table1[[#This Row],[Estimação (horas)]]</f>
        <v>0.5</v>
      </c>
      <c r="X858" s="165">
        <f>+VLOOKUP(CONCATENATE(Table1[[#This Row],[Tabela]],Table1[[#This Row],[Campo]]),'2. Status Detalhe Campos FY24'!A:J,9,FALSE)</f>
        <v>0</v>
      </c>
      <c r="Y858" s="491" t="e">
        <f>+VLOOKUP(A858,#REF!,1,FALSE)</f>
        <v>#REF!</v>
      </c>
    </row>
    <row r="859" spans="1:25" ht="17.899999999999999" hidden="1" customHeight="1">
      <c r="A859" t="str">
        <f>+Table1[[#This Row],[Tabela]]&amp;Table1[[#This Row],[Campo]]</f>
        <v>modesg_param_sfics_taxon_europeiacnumecta</v>
      </c>
      <c r="B859" s="2" t="s">
        <v>26</v>
      </c>
      <c r="C859" s="2" t="s">
        <v>181</v>
      </c>
      <c r="D859" s="2" t="s">
        <v>1211</v>
      </c>
      <c r="E859" s="2" t="s">
        <v>38</v>
      </c>
      <c r="F859" s="2" t="s">
        <v>2096</v>
      </c>
      <c r="G859" s="2" t="s">
        <v>189</v>
      </c>
      <c r="H859" s="56" t="str">
        <f>Table1[[#This Row],[Tabela]]&amp;Table1[[#This Row],[Campo]]</f>
        <v>modesg_param_sfics_taxon_europeiacnumecta</v>
      </c>
      <c r="I859" s="2" t="s">
        <v>612</v>
      </c>
      <c r="J859" s="54">
        <f>VLOOKUP(Table1[[#This Row],[Status]],Auxiliar!$B$16:$C$24,2,0)</f>
        <v>1</v>
      </c>
      <c r="K859" s="2" t="s">
        <v>1171</v>
      </c>
      <c r="L859" s="28" t="s">
        <v>1174</v>
      </c>
      <c r="M859" s="20" t="s">
        <v>1175</v>
      </c>
      <c r="N859" s="47">
        <v>45744</v>
      </c>
      <c r="O859" s="20">
        <f>INDEX(Auxiliar!$D$5:$F$13,MATCH(Table1[[#This Row],[Tipologia_Testes]],Auxiliar!$B$5:$B$13,0),MATCH(Table1[[#This Row],[Complexidade]],Auxiliar!$D$4:$F$4,0))</f>
        <v>0.1</v>
      </c>
      <c r="P859" s="2"/>
      <c r="Q859" s="2"/>
      <c r="R859" s="151">
        <v>45563</v>
      </c>
      <c r="S859" s="151"/>
      <c r="T859" s="151">
        <v>45563</v>
      </c>
      <c r="U859" s="151">
        <v>45603</v>
      </c>
      <c r="V859" s="151">
        <v>45604</v>
      </c>
      <c r="W859" s="2">
        <f>VLOOKUP(Table1[[#This Row],[Status]],Auxiliar!$B$16:$D$24,3,0)*Table1[[#This Row],[Estimação (horas)]]</f>
        <v>0.1</v>
      </c>
      <c r="X859" s="165" t="e">
        <f>+VLOOKUP(CONCATENATE(Table1[[#This Row],[Tabela]],Table1[[#This Row],[Campo]]),'2. Status Detalhe Campos FY24'!A:J,9,FALSE)</f>
        <v>#N/A</v>
      </c>
      <c r="Y859" s="491" t="e">
        <f>+VLOOKUP(A859,#REF!,1,FALSE)</f>
        <v>#REF!</v>
      </c>
    </row>
    <row r="860" spans="1:25" ht="17.899999999999999" hidden="1" customHeight="1">
      <c r="A860" t="str">
        <f>+Table1[[#This Row],[Tabela]]&amp;Table1[[#This Row],[Campo]]</f>
        <v>modesg_param_sfics_taxon_europeiazdeposit</v>
      </c>
      <c r="B860" s="2" t="s">
        <v>26</v>
      </c>
      <c r="C860" s="2" t="s">
        <v>181</v>
      </c>
      <c r="D860" s="2" t="s">
        <v>1211</v>
      </c>
      <c r="E860" s="2" t="s">
        <v>38</v>
      </c>
      <c r="F860" s="2" t="s">
        <v>2096</v>
      </c>
      <c r="G860" s="2" t="s">
        <v>210</v>
      </c>
      <c r="H860" s="56" t="str">
        <f>Table1[[#This Row],[Tabela]]&amp;Table1[[#This Row],[Campo]]</f>
        <v>modesg_param_sfics_taxon_europeiazdeposit</v>
      </c>
      <c r="I860" s="2" t="s">
        <v>612</v>
      </c>
      <c r="J860" s="54">
        <f>VLOOKUP(Table1[[#This Row],[Status]],Auxiliar!$B$16:$C$24,2,0)</f>
        <v>1</v>
      </c>
      <c r="K860" s="2" t="s">
        <v>1179</v>
      </c>
      <c r="L860" s="28" t="s">
        <v>1174</v>
      </c>
      <c r="M860" s="20" t="s">
        <v>1175</v>
      </c>
      <c r="N860" s="47">
        <v>45744</v>
      </c>
      <c r="O860" s="20">
        <f>INDEX(Auxiliar!$D$5:$F$13,MATCH(Table1[[#This Row],[Tipologia_Testes]],Auxiliar!$B$5:$B$13,0),MATCH(Table1[[#This Row],[Complexidade]],Auxiliar!$D$4:$F$4,0))</f>
        <v>0.5</v>
      </c>
      <c r="P860" s="2"/>
      <c r="Q860" s="2"/>
      <c r="R860" s="151">
        <v>45261</v>
      </c>
      <c r="S860" s="151"/>
      <c r="T860" s="151"/>
      <c r="U860" s="151">
        <v>45603</v>
      </c>
      <c r="V860" s="151"/>
      <c r="W860" s="2">
        <f>VLOOKUP(Table1[[#This Row],[Status]],Auxiliar!$B$16:$D$24,3,0)*Table1[[#This Row],[Estimação (horas)]]</f>
        <v>0.5</v>
      </c>
      <c r="X860" s="165">
        <f>+VLOOKUP(CONCATENATE(Table1[[#This Row],[Tabela]],Table1[[#This Row],[Campo]]),'2. Status Detalhe Campos FY24'!A:J,9,FALSE)</f>
        <v>0</v>
      </c>
      <c r="Y860" s="491" t="e">
        <f>+VLOOKUP(A860,#REF!,1,FALSE)</f>
        <v>#REF!</v>
      </c>
    </row>
    <row r="861" spans="1:25" ht="17.899999999999999" hidden="1" customHeight="1">
      <c r="A861" t="str">
        <f>+Table1[[#This Row],[Tabela]]&amp;Table1[[#This Row],[Campo]]</f>
        <v>modesg_param_sfics_taxon_europeiacgarante_bem</v>
      </c>
      <c r="B861" s="2" t="s">
        <v>26</v>
      </c>
      <c r="C861" s="2" t="s">
        <v>181</v>
      </c>
      <c r="D861" s="2" t="s">
        <v>1211</v>
      </c>
      <c r="E861" s="2" t="s">
        <v>38</v>
      </c>
      <c r="F861" s="2" t="s">
        <v>2096</v>
      </c>
      <c r="G861" s="2" t="s">
        <v>2409</v>
      </c>
      <c r="H861" s="56" t="str">
        <f>Table1[[#This Row],[Tabela]]&amp;Table1[[#This Row],[Campo]]</f>
        <v>modesg_param_sfics_taxon_europeiacgarante_bem</v>
      </c>
      <c r="I861" s="2" t="s">
        <v>612</v>
      </c>
      <c r="J861" s="42">
        <f>VLOOKUP(Table1[[#This Row],[Status]],Auxiliar!$B$16:$C$24,2,0)</f>
        <v>1</v>
      </c>
      <c r="K861" s="2" t="s">
        <v>1179</v>
      </c>
      <c r="L861" s="28" t="s">
        <v>1174</v>
      </c>
      <c r="M861" s="20" t="s">
        <v>1175</v>
      </c>
      <c r="N861" s="47">
        <v>45744</v>
      </c>
      <c r="O861" s="20">
        <f>INDEX(Auxiliar!$D$5:$F$13,MATCH(Table1[[#This Row],[Tipologia_Testes]],Auxiliar!$B$5:$B$13,0),MATCH(Table1[[#This Row],[Complexidade]],Auxiliar!$D$4:$F$4,0))</f>
        <v>0.5</v>
      </c>
      <c r="P861" s="2"/>
      <c r="Q861" s="2"/>
      <c r="R861" s="151">
        <v>45563</v>
      </c>
      <c r="S861" s="151"/>
      <c r="T861" s="151">
        <v>45563</v>
      </c>
      <c r="U861" s="151">
        <v>45603</v>
      </c>
      <c r="V861" s="151">
        <v>45604</v>
      </c>
      <c r="W861" s="2">
        <f>VLOOKUP(Table1[[#This Row],[Status]],Auxiliar!$B$16:$D$24,3,0)*Table1[[#This Row],[Estimação (horas)]]</f>
        <v>0.5</v>
      </c>
      <c r="X861" s="165">
        <f>+VLOOKUP(CONCATENATE(Table1[[#This Row],[Tabela]],Table1[[#This Row],[Campo]]),'2. Status Detalhe Campos FY24'!A:J,9,FALSE)</f>
        <v>0</v>
      </c>
      <c r="Y861" s="491" t="e">
        <f>+VLOOKUP(A861,#REF!,1,FALSE)</f>
        <v>#REF!</v>
      </c>
    </row>
    <row r="862" spans="1:25" ht="17.899999999999999" hidden="1" customHeight="1">
      <c r="A862" t="str">
        <f>+Table1[[#This Row],[Tabela]]&amp;Table1[[#This Row],[Campo]]</f>
        <v>modesg_param_sfics_taxon_europeiazdeposit</v>
      </c>
      <c r="B862" s="2" t="s">
        <v>26</v>
      </c>
      <c r="C862" s="2" t="s">
        <v>181</v>
      </c>
      <c r="D862" s="2" t="s">
        <v>1211</v>
      </c>
      <c r="E862" s="2" t="s">
        <v>38</v>
      </c>
      <c r="F862" s="2" t="s">
        <v>2096</v>
      </c>
      <c r="G862" s="2" t="s">
        <v>210</v>
      </c>
      <c r="H862" s="56" t="str">
        <f>Table1[[#This Row],[Tabela]]&amp;Table1[[#This Row],[Campo]]</f>
        <v>modesg_param_sfics_taxon_europeiazdeposit</v>
      </c>
      <c r="I862" s="2" t="s">
        <v>612</v>
      </c>
      <c r="J862" s="54">
        <f>VLOOKUP(Table1[[#This Row],[Status]],Auxiliar!$B$16:$C$24,2,0)</f>
        <v>1</v>
      </c>
      <c r="K862" s="2" t="s">
        <v>1171</v>
      </c>
      <c r="L862" s="28" t="s">
        <v>1174</v>
      </c>
      <c r="M862" s="20" t="s">
        <v>1175</v>
      </c>
      <c r="N862" s="47">
        <v>45744</v>
      </c>
      <c r="O862" s="20">
        <f>INDEX(Auxiliar!$D$5:$F$13,MATCH(Table1[[#This Row],[Tipologia_Testes]],Auxiliar!$B$5:$B$13,0),MATCH(Table1[[#This Row],[Complexidade]],Auxiliar!$D$4:$F$4,0))</f>
        <v>0.1</v>
      </c>
      <c r="P862" s="2"/>
      <c r="Q862" s="2"/>
      <c r="R862" s="151">
        <v>45563</v>
      </c>
      <c r="S862" s="151"/>
      <c r="T862" s="151">
        <v>45563</v>
      </c>
      <c r="U862" s="151">
        <v>45603</v>
      </c>
      <c r="V862" s="151">
        <v>45604</v>
      </c>
      <c r="W862" s="2">
        <f>VLOOKUP(Table1[[#This Row],[Status]],Auxiliar!$B$16:$D$24,3,0)*Table1[[#This Row],[Estimação (horas)]]</f>
        <v>0.1</v>
      </c>
      <c r="X862" s="165">
        <f>+VLOOKUP(CONCATENATE(Table1[[#This Row],[Tabela]],Table1[[#This Row],[Campo]]),'2. Status Detalhe Campos FY24'!A:J,9,FALSE)</f>
        <v>0</v>
      </c>
      <c r="Y862" s="491" t="e">
        <f>+VLOOKUP(A862,#REF!,1,FALSE)</f>
        <v>#REF!</v>
      </c>
    </row>
    <row r="863" spans="1:25" ht="17.899999999999999" hidden="1" customHeight="1">
      <c r="A863" t="str">
        <f>+Table1[[#This Row],[Tabela]]&amp;Table1[[#This Row],[Campo]]</f>
        <v>modesg_param_sfics_taxon_europeiackmetamis</v>
      </c>
      <c r="B863" s="2" t="s">
        <v>26</v>
      </c>
      <c r="C863" s="2" t="s">
        <v>181</v>
      </c>
      <c r="D863" s="2" t="s">
        <v>1211</v>
      </c>
      <c r="E863" s="2" t="s">
        <v>38</v>
      </c>
      <c r="F863" s="2" t="s">
        <v>2096</v>
      </c>
      <c r="G863" s="2" t="s">
        <v>185</v>
      </c>
      <c r="H863" s="56" t="str">
        <f>Table1[[#This Row],[Tabela]]&amp;Table1[[#This Row],[Campo]]</f>
        <v>modesg_param_sfics_taxon_europeiackmetamis</v>
      </c>
      <c r="I863" s="2" t="s">
        <v>612</v>
      </c>
      <c r="J863" s="54">
        <f>VLOOKUP(Table1[[#This Row],[Status]],Auxiliar!$B$16:$C$24,2,0)</f>
        <v>1</v>
      </c>
      <c r="K863" s="2" t="s">
        <v>1179</v>
      </c>
      <c r="L863" s="28" t="s">
        <v>1174</v>
      </c>
      <c r="M863" s="20" t="s">
        <v>1175</v>
      </c>
      <c r="N863" s="47">
        <v>45744</v>
      </c>
      <c r="O863" s="20">
        <f>INDEX(Auxiliar!$D$5:$F$13,MATCH(Table1[[#This Row],[Tipologia_Testes]],Auxiliar!$B$5:$B$13,0),MATCH(Table1[[#This Row],[Complexidade]],Auxiliar!$D$4:$F$4,0))</f>
        <v>0.5</v>
      </c>
      <c r="P863" s="2"/>
      <c r="Q863" s="2"/>
      <c r="R863" s="151">
        <v>45261</v>
      </c>
      <c r="S863" s="151"/>
      <c r="T863" s="151"/>
      <c r="U863" s="151">
        <v>45603</v>
      </c>
      <c r="V863" s="151"/>
      <c r="W863" s="2">
        <f>VLOOKUP(Table1[[#This Row],[Status]],Auxiliar!$B$16:$D$24,3,0)*Table1[[#This Row],[Estimação (horas)]]</f>
        <v>0.5</v>
      </c>
      <c r="X863" s="165">
        <f>+VLOOKUP(CONCATENATE(Table1[[#This Row],[Tabela]],Table1[[#This Row],[Campo]]),'2. Status Detalhe Campos FY24'!A:J,9,FALSE)</f>
        <v>0</v>
      </c>
      <c r="Y863" s="491" t="e">
        <f>+VLOOKUP(A863,#REF!,1,FALSE)</f>
        <v>#REF!</v>
      </c>
    </row>
    <row r="864" spans="1:25" ht="17.899999999999999" hidden="1" customHeight="1">
      <c r="A864" t="str">
        <f>+Table1[[#This Row],[Tabela]]&amp;Table1[[#This Row],[Campo]]</f>
        <v>modesg_param_sfics_taxon_europeiackmetamis</v>
      </c>
      <c r="B864" s="2" t="s">
        <v>26</v>
      </c>
      <c r="C864" s="2" t="s">
        <v>181</v>
      </c>
      <c r="D864" s="2" t="s">
        <v>1211</v>
      </c>
      <c r="E864" s="2" t="s">
        <v>38</v>
      </c>
      <c r="F864" s="2" t="s">
        <v>2096</v>
      </c>
      <c r="G864" s="2" t="s">
        <v>185</v>
      </c>
      <c r="H864" s="56" t="str">
        <f>Table1[[#This Row],[Tabela]]&amp;Table1[[#This Row],[Campo]]</f>
        <v>modesg_param_sfics_taxon_europeiackmetamis</v>
      </c>
      <c r="I864" s="2" t="s">
        <v>612</v>
      </c>
      <c r="J864" s="54">
        <f>VLOOKUP(Table1[[#This Row],[Status]],Auxiliar!$B$16:$C$24,2,0)</f>
        <v>1</v>
      </c>
      <c r="K864" s="2" t="s">
        <v>1171</v>
      </c>
      <c r="L864" s="28"/>
      <c r="M864" s="20"/>
      <c r="N864" s="47">
        <v>45744</v>
      </c>
      <c r="O864" s="20" t="e">
        <f>INDEX(Auxiliar!$D$5:$F$11,MATCH(Table1[[#This Row],[Tipologia_Testes]],Auxiliar!$B$5:$B$11,0),MATCH(Table1[[#This Row],[Complexidade]],Auxiliar!$D$4:$F$4,0))</f>
        <v>#N/A</v>
      </c>
      <c r="P864" s="2"/>
      <c r="Q864" s="2"/>
      <c r="R864" s="151"/>
      <c r="S864" s="151"/>
      <c r="T864" s="151"/>
      <c r="U864" s="151"/>
      <c r="V864" s="151"/>
      <c r="W864" s="2" t="e">
        <f>VLOOKUP(Table1[[#This Row],[Status]],Auxiliar!$B$16:$D$24,3,0)*Table1[[#This Row],[Estimação (horas)]]</f>
        <v>#N/A</v>
      </c>
      <c r="X864" s="165">
        <f>+VLOOKUP(CONCATENATE(Table1[[#This Row],[Tabela]],Table1[[#This Row],[Campo]]),'2. Status Detalhe Campos FY24'!A:J,9,FALSE)</f>
        <v>0</v>
      </c>
      <c r="Y864" s="491" t="e">
        <f>+VLOOKUP(A864,#REF!,1,FALSE)</f>
        <v>#REF!</v>
      </c>
    </row>
    <row r="865" spans="1:25" ht="17.899999999999999" hidden="1" customHeight="1">
      <c r="A865" t="str">
        <f>+Table1[[#This Row],[Tabela]]&amp;Table1[[#This Row],[Campo]]</f>
        <v>modesg_param_sfics_taxon_europeiackprodmi</v>
      </c>
      <c r="B865" s="2" t="s">
        <v>26</v>
      </c>
      <c r="C865" s="2" t="s">
        <v>181</v>
      </c>
      <c r="D865" s="2" t="s">
        <v>1211</v>
      </c>
      <c r="E865" s="2" t="s">
        <v>38</v>
      </c>
      <c r="F865" s="2" t="s">
        <v>2096</v>
      </c>
      <c r="G865" s="2" t="s">
        <v>186</v>
      </c>
      <c r="H865" s="56" t="str">
        <f>Table1[[#This Row],[Tabela]]&amp;Table1[[#This Row],[Campo]]</f>
        <v>modesg_param_sfics_taxon_europeiackprodmi</v>
      </c>
      <c r="I865" s="2" t="s">
        <v>612</v>
      </c>
      <c r="J865" s="42">
        <f>VLOOKUP(Table1[[#This Row],[Status]],Auxiliar!$B$16:$C$24,2,0)</f>
        <v>1</v>
      </c>
      <c r="K865" s="2" t="s">
        <v>1179</v>
      </c>
      <c r="L865" s="28" t="s">
        <v>1174</v>
      </c>
      <c r="M865" s="20" t="s">
        <v>1175</v>
      </c>
      <c r="N865" s="47">
        <v>45744</v>
      </c>
      <c r="O865" s="20">
        <f>INDEX(Auxiliar!$D$5:$F$13,MATCH(Table1[[#This Row],[Tipologia_Testes]],Auxiliar!$B$5:$B$13,0),MATCH(Table1[[#This Row],[Complexidade]],Auxiliar!$D$4:$F$4,0))</f>
        <v>0.5</v>
      </c>
      <c r="P865" s="2"/>
      <c r="Q865" s="2"/>
      <c r="R865" s="151">
        <v>45561</v>
      </c>
      <c r="S865" s="151"/>
      <c r="T865" s="151">
        <v>45561</v>
      </c>
      <c r="U865" s="151">
        <v>45603</v>
      </c>
      <c r="V865" s="151">
        <v>45604</v>
      </c>
      <c r="W865" s="2">
        <f>VLOOKUP(Table1[[#This Row],[Status]],Auxiliar!$B$16:$D$24,3,0)*Table1[[#This Row],[Estimação (horas)]]</f>
        <v>0.5</v>
      </c>
      <c r="X865" s="165">
        <f>+VLOOKUP(CONCATENATE(Table1[[#This Row],[Tabela]],Table1[[#This Row],[Campo]]),'2. Status Detalhe Campos FY24'!A:J,9,FALSE)</f>
        <v>0</v>
      </c>
      <c r="Y865" s="491" t="e">
        <f>+VLOOKUP(A865,#REF!,1,FALSE)</f>
        <v>#REF!</v>
      </c>
    </row>
    <row r="866" spans="1:25" ht="17.899999999999999" hidden="1" customHeight="1">
      <c r="A866" t="str">
        <f>+Table1[[#This Row],[Tabela]]&amp;Table1[[#This Row],[Campo]]</f>
        <v>modesg_param_sfics_taxon_europeiackprodmi</v>
      </c>
      <c r="B866" s="2" t="s">
        <v>26</v>
      </c>
      <c r="C866" s="2" t="s">
        <v>181</v>
      </c>
      <c r="D866" s="2" t="s">
        <v>1211</v>
      </c>
      <c r="E866" s="2" t="s">
        <v>38</v>
      </c>
      <c r="F866" s="2" t="s">
        <v>2096</v>
      </c>
      <c r="G866" s="2" t="s">
        <v>186</v>
      </c>
      <c r="H866" s="56" t="str">
        <f>Table1[[#This Row],[Tabela]]&amp;Table1[[#This Row],[Campo]]</f>
        <v>modesg_param_sfics_taxon_europeiackprodmi</v>
      </c>
      <c r="I866" s="2" t="s">
        <v>612</v>
      </c>
      <c r="J866" s="54">
        <f>VLOOKUP(Table1[[#This Row],[Status]],Auxiliar!$B$16:$C$24,2,0)</f>
        <v>1</v>
      </c>
      <c r="K866" s="2" t="s">
        <v>1171</v>
      </c>
      <c r="L866" s="28"/>
      <c r="M866" s="20"/>
      <c r="N866" s="47">
        <v>45744</v>
      </c>
      <c r="O866" s="20" t="e">
        <f>INDEX(Auxiliar!$D$5:$F$11,MATCH(Table1[[#This Row],[Tipologia_Testes]],Auxiliar!$B$5:$B$11,0),MATCH(Table1[[#This Row],[Complexidade]],Auxiliar!$D$4:$F$4,0))</f>
        <v>#N/A</v>
      </c>
      <c r="P866" s="2"/>
      <c r="Q866" s="2"/>
      <c r="R866" s="151"/>
      <c r="S866" s="151"/>
      <c r="T866" s="151"/>
      <c r="U866" s="151"/>
      <c r="V866" s="151"/>
      <c r="W866" s="2" t="e">
        <f>VLOOKUP(Table1[[#This Row],[Status]],Auxiliar!$B$16:$D$24,3,0)*Table1[[#This Row],[Estimação (horas)]]</f>
        <v>#N/A</v>
      </c>
      <c r="X866" s="165">
        <f>+VLOOKUP(CONCATENATE(Table1[[#This Row],[Tabela]],Table1[[#This Row],[Campo]]),'2. Status Detalhe Campos FY24'!A:J,9,FALSE)</f>
        <v>0</v>
      </c>
      <c r="Y866" s="491" t="e">
        <f>+VLOOKUP(A866,#REF!,1,FALSE)</f>
        <v>#REF!</v>
      </c>
    </row>
    <row r="867" spans="1:25" ht="17.899999999999999" hidden="1" customHeight="1">
      <c r="A867" t="str">
        <f>+Table1[[#This Row],[Tabela]]&amp;Table1[[#This Row],[Campo]]</f>
        <v>modesg_param_sfics_taxon_europeiacmetanseg</v>
      </c>
      <c r="B867" s="2" t="s">
        <v>26</v>
      </c>
      <c r="C867" s="2" t="s">
        <v>181</v>
      </c>
      <c r="D867" s="2" t="s">
        <v>1211</v>
      </c>
      <c r="E867" s="2" t="s">
        <v>38</v>
      </c>
      <c r="F867" s="2" t="s">
        <v>2096</v>
      </c>
      <c r="G867" s="2" t="s">
        <v>187</v>
      </c>
      <c r="H867" s="56" t="str">
        <f>Table1[[#This Row],[Tabela]]&amp;Table1[[#This Row],[Campo]]</f>
        <v>modesg_param_sfics_taxon_europeiacmetanseg</v>
      </c>
      <c r="I867" s="2" t="s">
        <v>612</v>
      </c>
      <c r="J867" s="54">
        <f>VLOOKUP(Table1[[#This Row],[Status]],Auxiliar!$B$16:$C$24,2,0)</f>
        <v>1</v>
      </c>
      <c r="K867" s="2" t="s">
        <v>1179</v>
      </c>
      <c r="L867" s="28" t="s">
        <v>1174</v>
      </c>
      <c r="M867" s="20" t="s">
        <v>1175</v>
      </c>
      <c r="N867" s="47">
        <v>45744</v>
      </c>
      <c r="O867" s="20">
        <f>INDEX(Auxiliar!$D$5:$F$13,MATCH(Table1[[#This Row],[Tipologia_Testes]],Auxiliar!$B$5:$B$13,0),MATCH(Table1[[#This Row],[Complexidade]],Auxiliar!$D$4:$F$4,0))</f>
        <v>0.5</v>
      </c>
      <c r="P867" s="2"/>
      <c r="Q867" s="2"/>
      <c r="R867" s="151">
        <v>45261</v>
      </c>
      <c r="S867" s="151"/>
      <c r="T867" s="151"/>
      <c r="U867" s="151">
        <v>45603</v>
      </c>
      <c r="V867" s="151"/>
      <c r="W867" s="2">
        <f>VLOOKUP(Table1[[#This Row],[Status]],Auxiliar!$B$16:$D$24,3,0)*Table1[[#This Row],[Estimação (horas)]]</f>
        <v>0.5</v>
      </c>
      <c r="X867" s="165">
        <f>+VLOOKUP(CONCATENATE(Table1[[#This Row],[Tabela]],Table1[[#This Row],[Campo]]),'2. Status Detalhe Campos FY24'!A:J,9,FALSE)</f>
        <v>0</v>
      </c>
      <c r="Y867" s="491" t="e">
        <f>+VLOOKUP(A867,#REF!,1,FALSE)</f>
        <v>#REF!</v>
      </c>
    </row>
    <row r="868" spans="1:25" ht="17.899999999999999" hidden="1" customHeight="1">
      <c r="A868" t="str">
        <f>+Table1[[#This Row],[Tabela]]&amp;Table1[[#This Row],[Campo]]</f>
        <v>modesg_param_sfics_taxon_europeiacmetanseg</v>
      </c>
      <c r="B868" s="2" t="s">
        <v>26</v>
      </c>
      <c r="C868" s="2" t="s">
        <v>181</v>
      </c>
      <c r="D868" s="2" t="s">
        <v>1211</v>
      </c>
      <c r="E868" s="2" t="s">
        <v>38</v>
      </c>
      <c r="F868" s="2" t="s">
        <v>2096</v>
      </c>
      <c r="G868" s="2" t="s">
        <v>187</v>
      </c>
      <c r="H868" s="56" t="str">
        <f>Table1[[#This Row],[Tabela]]&amp;Table1[[#This Row],[Campo]]</f>
        <v>modesg_param_sfics_taxon_europeiacmetanseg</v>
      </c>
      <c r="I868" s="2" t="s">
        <v>612</v>
      </c>
      <c r="J868" s="54">
        <f>VLOOKUP(Table1[[#This Row],[Status]],Auxiliar!$B$16:$C$24,2,0)</f>
        <v>1</v>
      </c>
      <c r="K868" s="2" t="s">
        <v>1171</v>
      </c>
      <c r="L868" s="28"/>
      <c r="M868" s="20"/>
      <c r="N868" s="47">
        <v>45744</v>
      </c>
      <c r="O868" s="20" t="e">
        <f>INDEX(Auxiliar!$D$5:$F$11,MATCH(Table1[[#This Row],[Tipologia_Testes]],Auxiliar!$B$5:$B$11,0),MATCH(Table1[[#This Row],[Complexidade]],Auxiliar!$D$4:$F$4,0))</f>
        <v>#N/A</v>
      </c>
      <c r="P868" s="2"/>
      <c r="Q868" s="2"/>
      <c r="R868" s="151"/>
      <c r="S868" s="151"/>
      <c r="T868" s="151"/>
      <c r="U868" s="151"/>
      <c r="V868" s="151"/>
      <c r="W868" s="2" t="e">
        <f>VLOOKUP(Table1[[#This Row],[Status]],Auxiliar!$B$16:$D$24,3,0)*Table1[[#This Row],[Estimação (horas)]]</f>
        <v>#N/A</v>
      </c>
      <c r="X868" s="165">
        <f>+VLOOKUP(CONCATENATE(Table1[[#This Row],[Tabela]],Table1[[#This Row],[Campo]]),'2. Status Detalhe Campos FY24'!A:J,9,FALSE)</f>
        <v>0</v>
      </c>
      <c r="Y868" s="491" t="e">
        <f>+VLOOKUP(A868,#REF!,1,FALSE)</f>
        <v>#REF!</v>
      </c>
    </row>
    <row r="869" spans="1:25" ht="17.899999999999999" hidden="1" customHeight="1">
      <c r="A869" t="str">
        <f>+Table1[[#This Row],[Tabela]]&amp;Table1[[#This Row],[Campo]]</f>
        <v>modesg_param_sfics_taxon_europeiaepc</v>
      </c>
      <c r="B869" s="2" t="s">
        <v>26</v>
      </c>
      <c r="C869" s="2" t="s">
        <v>181</v>
      </c>
      <c r="D869" s="2" t="s">
        <v>1211</v>
      </c>
      <c r="E869" s="2" t="s">
        <v>38</v>
      </c>
      <c r="F869" s="2" t="s">
        <v>2096</v>
      </c>
      <c r="G869" s="2" t="s">
        <v>198</v>
      </c>
      <c r="H869" s="56" t="str">
        <f>Table1[[#This Row],[Tabela]]&amp;Table1[[#This Row],[Campo]]</f>
        <v>modesg_param_sfics_taxon_europeiaepc</v>
      </c>
      <c r="I869" s="2" t="s">
        <v>612</v>
      </c>
      <c r="J869" s="42">
        <f>VLOOKUP(Table1[[#This Row],[Status]],Auxiliar!$B$16:$C$24,2,0)</f>
        <v>1</v>
      </c>
      <c r="K869" s="2" t="s">
        <v>1179</v>
      </c>
      <c r="L869" s="28" t="s">
        <v>641</v>
      </c>
      <c r="M869" s="20" t="s">
        <v>1175</v>
      </c>
      <c r="N869" s="47">
        <v>45744</v>
      </c>
      <c r="O869" s="20">
        <f>INDEX(Auxiliar!$D$5:$F$13,MATCH(Table1[[#This Row],[Tipologia_Testes]],Auxiliar!$B$5:$B$13,0),MATCH(Table1[[#This Row],[Complexidade]],Auxiliar!$D$4:$F$4,0))</f>
        <v>0.5</v>
      </c>
      <c r="P869" s="2" t="s">
        <v>1215</v>
      </c>
      <c r="Q869" s="2"/>
      <c r="R869" s="151">
        <v>45563</v>
      </c>
      <c r="S869" s="151"/>
      <c r="T869" s="151">
        <v>45563</v>
      </c>
      <c r="U869" s="151">
        <v>45603</v>
      </c>
      <c r="V869" s="151">
        <v>45604</v>
      </c>
      <c r="W869" s="2">
        <f>VLOOKUP(Table1[[#This Row],[Status]],Auxiliar!$B$16:$D$24,3,0)*Table1[[#This Row],[Estimação (horas)]]</f>
        <v>0.5</v>
      </c>
      <c r="X869" s="165">
        <f>+VLOOKUP(CONCATENATE(Table1[[#This Row],[Tabela]],Table1[[#This Row],[Campo]]),'2. Status Detalhe Campos FY24'!A:J,9,FALSE)</f>
        <v>0</v>
      </c>
      <c r="Y869" s="491" t="e">
        <f>+VLOOKUP(A869,#REF!,1,FALSE)</f>
        <v>#REF!</v>
      </c>
    </row>
    <row r="870" spans="1:25" ht="17.899999999999999" hidden="1" customHeight="1">
      <c r="A870" t="str">
        <f>+Table1[[#This Row],[Tabela]]&amp;Table1[[#This Row],[Campo]]</f>
        <v>modesg_param_sfics_taxon_europeiaepc</v>
      </c>
      <c r="B870" s="2" t="s">
        <v>26</v>
      </c>
      <c r="C870" s="2" t="s">
        <v>181</v>
      </c>
      <c r="D870" s="2" t="s">
        <v>1211</v>
      </c>
      <c r="E870" s="2" t="s">
        <v>38</v>
      </c>
      <c r="F870" s="2" t="s">
        <v>2096</v>
      </c>
      <c r="G870" s="2" t="s">
        <v>198</v>
      </c>
      <c r="H870" s="56" t="str">
        <f>Table1[[#This Row],[Tabela]]&amp;Table1[[#This Row],[Campo]]</f>
        <v>modesg_param_sfics_taxon_europeiaepc</v>
      </c>
      <c r="I870" s="2" t="s">
        <v>612</v>
      </c>
      <c r="J870" s="54">
        <f>VLOOKUP(Table1[[#This Row],[Status]],Auxiliar!$B$16:$C$24,2,0)</f>
        <v>1</v>
      </c>
      <c r="K870" s="2" t="s">
        <v>1171</v>
      </c>
      <c r="L870" s="28" t="s">
        <v>1174</v>
      </c>
      <c r="M870" s="20" t="s">
        <v>1175</v>
      </c>
      <c r="N870" s="47">
        <v>45744</v>
      </c>
      <c r="O870" s="20">
        <f>INDEX(Auxiliar!$D$5:$F$13,MATCH(Table1[[#This Row],[Tipologia_Testes]],Auxiliar!$B$5:$B$13,0),MATCH(Table1[[#This Row],[Complexidade]],Auxiliar!$D$4:$F$4,0))</f>
        <v>0.1</v>
      </c>
      <c r="P870" s="2"/>
      <c r="Q870" s="2"/>
      <c r="R870" s="151">
        <v>45545</v>
      </c>
      <c r="S870" s="151"/>
      <c r="T870" s="151"/>
      <c r="U870" s="151">
        <v>45603</v>
      </c>
      <c r="V870" s="151"/>
      <c r="W870" s="2">
        <f>VLOOKUP(Table1[[#This Row],[Status]],Auxiliar!$B$16:$D$24,3,0)*Table1[[#This Row],[Estimação (horas)]]</f>
        <v>0.1</v>
      </c>
      <c r="X870" s="165">
        <f>+VLOOKUP(CONCATENATE(Table1[[#This Row],[Tabela]],Table1[[#This Row],[Campo]]),'2. Status Detalhe Campos FY24'!A:J,9,FALSE)</f>
        <v>0</v>
      </c>
      <c r="Y870" s="491" t="e">
        <f>+VLOOKUP(A870,#REF!,1,FALSE)</f>
        <v>#REF!</v>
      </c>
    </row>
    <row r="871" spans="1:25" ht="17.899999999999999" hidden="1" customHeight="1">
      <c r="A871" t="str">
        <f>+Table1[[#This Row],[Tabela]]&amp;Table1[[#This Row],[Campo]]</f>
        <v>modesg_param_sfics_taxon_europeiaambito</v>
      </c>
      <c r="B871" s="2" t="s">
        <v>26</v>
      </c>
      <c r="C871" s="2" t="s">
        <v>181</v>
      </c>
      <c r="D871" s="2" t="s">
        <v>1211</v>
      </c>
      <c r="E871" s="2" t="s">
        <v>38</v>
      </c>
      <c r="F871" s="2" t="s">
        <v>2096</v>
      </c>
      <c r="G871" s="2" t="s">
        <v>390</v>
      </c>
      <c r="H871" s="56" t="str">
        <f>Table1[[#This Row],[Tabela]]&amp;Table1[[#This Row],[Campo]]</f>
        <v>modesg_param_sfics_taxon_europeiaambito</v>
      </c>
      <c r="I871" s="2" t="s">
        <v>612</v>
      </c>
      <c r="J871" s="54">
        <f>VLOOKUP(Table1[[#This Row],[Status]],Auxiliar!$B$16:$C$24,2,0)</f>
        <v>1</v>
      </c>
      <c r="K871" s="2" t="s">
        <v>1179</v>
      </c>
      <c r="L871" s="28" t="s">
        <v>1174</v>
      </c>
      <c r="M871" s="20" t="s">
        <v>1175</v>
      </c>
      <c r="N871" s="47">
        <v>45744</v>
      </c>
      <c r="O871" s="20">
        <f>INDEX(Auxiliar!$D$5:$F$13,MATCH(Table1[[#This Row],[Tipologia_Testes]],Auxiliar!$B$5:$B$13,0),MATCH(Table1[[#This Row],[Complexidade]],Auxiliar!$D$4:$F$4,0))</f>
        <v>0.5</v>
      </c>
      <c r="P871" s="2"/>
      <c r="Q871" s="2"/>
      <c r="R871" s="151">
        <v>45261</v>
      </c>
      <c r="S871" s="151"/>
      <c r="T871" s="151"/>
      <c r="U871" s="151">
        <v>45603</v>
      </c>
      <c r="V871" s="151"/>
      <c r="W871" s="2">
        <f>VLOOKUP(Table1[[#This Row],[Status]],Auxiliar!$B$16:$D$24,3,0)*Table1[[#This Row],[Estimação (horas)]]</f>
        <v>0.5</v>
      </c>
      <c r="X871" s="165">
        <f>+VLOOKUP(CONCATENATE(Table1[[#This Row],[Tabela]],Table1[[#This Row],[Campo]]),'2. Status Detalhe Campos FY24'!A:J,9,FALSE)</f>
        <v>0</v>
      </c>
      <c r="Y871" s="491" t="e">
        <f>+VLOOKUP(A871,#REF!,1,FALSE)</f>
        <v>#REF!</v>
      </c>
    </row>
    <row r="872" spans="1:25" ht="17.899999999999999" hidden="1" customHeight="1">
      <c r="A872" t="str">
        <f>+Table1[[#This Row],[Tabela]]&amp;Table1[[#This Row],[Campo]]</f>
        <v>modesg_param_sfics_taxon_europeianome_ctgr_sfics</v>
      </c>
      <c r="B872" s="2" t="s">
        <v>26</v>
      </c>
      <c r="C872" s="2" t="s">
        <v>181</v>
      </c>
      <c r="D872" s="2" t="s">
        <v>1211</v>
      </c>
      <c r="E872" s="2" t="s">
        <v>38</v>
      </c>
      <c r="F872" s="2" t="s">
        <v>2096</v>
      </c>
      <c r="G872" s="2" t="s">
        <v>2047</v>
      </c>
      <c r="H872" s="56" t="str">
        <f>Table1[[#This Row],[Tabela]]&amp;Table1[[#This Row],[Campo]]</f>
        <v>modesg_param_sfics_taxon_europeianome_ctgr_sfics</v>
      </c>
      <c r="I872" s="2" t="s">
        <v>612</v>
      </c>
      <c r="J872" s="54">
        <f>VLOOKUP(Table1[[#This Row],[Status]],Auxiliar!$B$16:$C$24,2,0)</f>
        <v>1</v>
      </c>
      <c r="K872" s="2" t="s">
        <v>1171</v>
      </c>
      <c r="L872" s="28"/>
      <c r="M872" s="20"/>
      <c r="N872" s="47">
        <v>45744</v>
      </c>
      <c r="O872" s="20" t="e">
        <f>INDEX(Auxiliar!$D$5:$F$11,MATCH(Table1[[#This Row],[Tipologia_Testes]],Auxiliar!$B$5:$B$11,0),MATCH(Table1[[#This Row],[Complexidade]],Auxiliar!$D$4:$F$4,0))</f>
        <v>#N/A</v>
      </c>
      <c r="P872" s="2"/>
      <c r="Q872" s="2"/>
      <c r="R872" s="151"/>
      <c r="S872" s="151"/>
      <c r="T872" s="151"/>
      <c r="U872" s="151"/>
      <c r="V872" s="151"/>
      <c r="W872" s="2" t="e">
        <f>VLOOKUP(Table1[[#This Row],[Status]],Auxiliar!$B$16:$D$24,3,0)*Table1[[#This Row],[Estimação (horas)]]</f>
        <v>#N/A</v>
      </c>
      <c r="X872" s="165">
        <f>+VLOOKUP(CONCATENATE(Table1[[#This Row],[Tabela]],Table1[[#This Row],[Campo]]),'2. Status Detalhe Campos FY24'!A:J,9,FALSE)</f>
        <v>0</v>
      </c>
      <c r="Y872" s="491" t="e">
        <f>+VLOOKUP(A872,#REF!,1,FALSE)</f>
        <v>#REF!</v>
      </c>
    </row>
    <row r="873" spans="1:25" ht="17.899999999999999" hidden="1" customHeight="1">
      <c r="A873" t="str">
        <f>+Table1[[#This Row],[Tabela]]&amp;Table1[[#This Row],[Campo]]</f>
        <v>modesg_param_sfics_taxon_europeianome_ctgr_sfics</v>
      </c>
      <c r="B873" s="2" t="s">
        <v>26</v>
      </c>
      <c r="C873" s="2" t="s">
        <v>181</v>
      </c>
      <c r="D873" s="2" t="s">
        <v>1211</v>
      </c>
      <c r="E873" s="2" t="s">
        <v>38</v>
      </c>
      <c r="F873" s="2" t="s">
        <v>2096</v>
      </c>
      <c r="G873" s="2" t="s">
        <v>2047</v>
      </c>
      <c r="H873" s="56" t="str">
        <f>Table1[[#This Row],[Tabela]]&amp;Table1[[#This Row],[Campo]]</f>
        <v>modesg_param_sfics_taxon_europeianome_ctgr_sfics</v>
      </c>
      <c r="I873" s="2" t="s">
        <v>612</v>
      </c>
      <c r="J873" s="54">
        <f>VLOOKUP(Table1[[#This Row],[Status]],Auxiliar!$B$16:$C$24,2,0)</f>
        <v>1</v>
      </c>
      <c r="K873" s="2" t="s">
        <v>1179</v>
      </c>
      <c r="L873" s="28" t="s">
        <v>1174</v>
      </c>
      <c r="M873" s="20" t="s">
        <v>1175</v>
      </c>
      <c r="N873" s="47">
        <v>45744</v>
      </c>
      <c r="O873" s="20">
        <f>INDEX(Auxiliar!$D$5:$F$13,MATCH(Table1[[#This Row],[Tipologia_Testes]],Auxiliar!$B$5:$B$13,0),MATCH(Table1[[#This Row],[Complexidade]],Auxiliar!$D$4:$F$4,0))</f>
        <v>0.5</v>
      </c>
      <c r="P873" s="2"/>
      <c r="Q873" s="2"/>
      <c r="R873" s="151">
        <v>45261</v>
      </c>
      <c r="S873" s="151"/>
      <c r="T873" s="151"/>
      <c r="U873" s="151">
        <v>45603</v>
      </c>
      <c r="V873" s="151"/>
      <c r="W873" s="2">
        <f>VLOOKUP(Table1[[#This Row],[Status]],Auxiliar!$B$16:$D$24,3,0)*Table1[[#This Row],[Estimação (horas)]]</f>
        <v>0.5</v>
      </c>
      <c r="X873" s="165">
        <f>+VLOOKUP(CONCATENATE(Table1[[#This Row],[Tabela]],Table1[[#This Row],[Campo]]),'2. Status Detalhe Campos FY24'!A:J,9,FALSE)</f>
        <v>0</v>
      </c>
      <c r="Y873" s="491" t="e">
        <f>+VLOOKUP(A873,#REF!,1,FALSE)</f>
        <v>#REF!</v>
      </c>
    </row>
    <row r="874" spans="1:25" ht="17.899999999999999" hidden="1" customHeight="1">
      <c r="A874" t="str">
        <f>+Table1[[#This Row],[Tabela]]&amp;Table1[[#This Row],[Campo]]</f>
        <v>modesg_param_sfics_taxon_europeiasst_indctr_aux</v>
      </c>
      <c r="B874" s="2" t="s">
        <v>26</v>
      </c>
      <c r="C874" s="2" t="s">
        <v>181</v>
      </c>
      <c r="D874" s="2" t="s">
        <v>1211</v>
      </c>
      <c r="E874" s="2" t="s">
        <v>38</v>
      </c>
      <c r="F874" s="2" t="s">
        <v>2096</v>
      </c>
      <c r="G874" s="2" t="s">
        <v>2416</v>
      </c>
      <c r="H874" s="56" t="str">
        <f>Table1[[#This Row],[Tabela]]&amp;Table1[[#This Row],[Campo]]</f>
        <v>modesg_param_sfics_taxon_europeiasst_indctr_aux</v>
      </c>
      <c r="I874" s="2" t="s">
        <v>612</v>
      </c>
      <c r="J874" s="54">
        <f>VLOOKUP(Table1[[#This Row],[Status]],Auxiliar!$B$16:$C$24,2,0)</f>
        <v>1</v>
      </c>
      <c r="K874" s="2" t="s">
        <v>1179</v>
      </c>
      <c r="L874" s="28" t="s">
        <v>1174</v>
      </c>
      <c r="M874" s="20" t="s">
        <v>1175</v>
      </c>
      <c r="N874" s="47">
        <v>45744</v>
      </c>
      <c r="O874" s="20">
        <f>INDEX(Auxiliar!$D$5:$F$13,MATCH(Table1[[#This Row],[Tipologia_Testes]],Auxiliar!$B$5:$B$13,0),MATCH(Table1[[#This Row],[Complexidade]],Auxiliar!$D$4:$F$4,0))</f>
        <v>0.5</v>
      </c>
      <c r="P874" s="2"/>
      <c r="Q874" s="2"/>
      <c r="R874" s="151">
        <v>45261</v>
      </c>
      <c r="S874" s="151"/>
      <c r="T874" s="151"/>
      <c r="U874" s="151">
        <v>45603</v>
      </c>
      <c r="V874" s="151"/>
      <c r="W874" s="2">
        <f>VLOOKUP(Table1[[#This Row],[Status]],Auxiliar!$B$16:$D$24,3,0)*Table1[[#This Row],[Estimação (horas)]]</f>
        <v>0.5</v>
      </c>
      <c r="X874" s="165">
        <f>+VLOOKUP(CONCATENATE(Table1[[#This Row],[Tabela]],Table1[[#This Row],[Campo]]),'2. Status Detalhe Campos FY24'!A:J,9,FALSE)</f>
        <v>0</v>
      </c>
      <c r="Y874" s="491" t="e">
        <f>+VLOOKUP(A874,#REF!,1,FALSE)</f>
        <v>#REF!</v>
      </c>
    </row>
    <row r="875" spans="1:25" ht="17.899999999999999" hidden="1" customHeight="1">
      <c r="A875" t="str">
        <f>+Table1[[#This Row],[Tabela]]&amp;Table1[[#This Row],[Campo]]</f>
        <v>modesg_param_sfics_taxon_europeiamontante_pndrc</v>
      </c>
      <c r="B875" s="2" t="s">
        <v>26</v>
      </c>
      <c r="C875" s="2" t="s">
        <v>181</v>
      </c>
      <c r="D875" s="2" t="s">
        <v>1211</v>
      </c>
      <c r="E875" s="2" t="s">
        <v>38</v>
      </c>
      <c r="F875" s="2" t="s">
        <v>2096</v>
      </c>
      <c r="G875" s="2" t="s">
        <v>202</v>
      </c>
      <c r="H875" s="56" t="str">
        <f>Table1[[#This Row],[Tabela]]&amp;Table1[[#This Row],[Campo]]</f>
        <v>modesg_param_sfics_taxon_europeiamontante_pndrc</v>
      </c>
      <c r="I875" s="2" t="s">
        <v>612</v>
      </c>
      <c r="J875" s="54">
        <f>VLOOKUP(Table1[[#This Row],[Status]],Auxiliar!$B$16:$C$24,2,0)</f>
        <v>1</v>
      </c>
      <c r="K875" s="2" t="s">
        <v>1171</v>
      </c>
      <c r="L875" s="28"/>
      <c r="M875" s="20"/>
      <c r="N875" s="47">
        <v>45744</v>
      </c>
      <c r="O875" s="20" t="e">
        <f>INDEX(Auxiliar!$D$5:$F$11,MATCH(Table1[[#This Row],[Tipologia_Testes]],Auxiliar!$B$5:$B$11,0),MATCH(Table1[[#This Row],[Complexidade]],Auxiliar!$D$4:$F$4,0))</f>
        <v>#N/A</v>
      </c>
      <c r="P875" s="2"/>
      <c r="Q875" s="2"/>
      <c r="R875" s="151"/>
      <c r="S875" s="151"/>
      <c r="T875" s="151"/>
      <c r="U875" s="151"/>
      <c r="V875" s="151"/>
      <c r="W875" s="2" t="e">
        <f>VLOOKUP(Table1[[#This Row],[Status]],Auxiliar!$B$16:$D$24,3,0)*Table1[[#This Row],[Estimação (horas)]]</f>
        <v>#N/A</v>
      </c>
      <c r="X875" s="165">
        <f>+VLOOKUP(CONCATENATE(Table1[[#This Row],[Tabela]],Table1[[#This Row],[Campo]]),'2. Status Detalhe Campos FY24'!A:J,9,FALSE)</f>
        <v>0</v>
      </c>
      <c r="Y875" s="491" t="e">
        <f>+VLOOKUP(A875,#REF!,1,FALSE)</f>
        <v>#REF!</v>
      </c>
    </row>
    <row r="876" spans="1:25" ht="17.899999999999999" hidden="1" customHeight="1">
      <c r="A876" t="str">
        <f>+Table1[[#This Row],[Tabela]]&amp;Table1[[#This Row],[Campo]]</f>
        <v>modesg_param_sfics_taxon_europeiamontante_pndrc</v>
      </c>
      <c r="B876" s="2" t="s">
        <v>26</v>
      </c>
      <c r="C876" s="2" t="s">
        <v>181</v>
      </c>
      <c r="D876" s="2" t="s">
        <v>1211</v>
      </c>
      <c r="E876" s="2" t="s">
        <v>38</v>
      </c>
      <c r="F876" s="2" t="s">
        <v>2096</v>
      </c>
      <c r="G876" s="2" t="s">
        <v>202</v>
      </c>
      <c r="H876" s="56" t="str">
        <f>Table1[[#This Row],[Tabela]]&amp;Table1[[#This Row],[Campo]]</f>
        <v>modesg_param_sfics_taxon_europeiamontante_pndrc</v>
      </c>
      <c r="I876" s="2" t="s">
        <v>612</v>
      </c>
      <c r="J876" s="54">
        <f>VLOOKUP(Table1[[#This Row],[Status]],Auxiliar!$B$16:$C$24,2,0)</f>
        <v>1</v>
      </c>
      <c r="K876" s="2" t="s">
        <v>1179</v>
      </c>
      <c r="L876" s="28" t="s">
        <v>1174</v>
      </c>
      <c r="M876" s="20" t="s">
        <v>1175</v>
      </c>
      <c r="N876" s="47">
        <v>45744</v>
      </c>
      <c r="O876" s="20">
        <f>INDEX(Auxiliar!$D$5:$F$13,MATCH(Table1[[#This Row],[Tipologia_Testes]],Auxiliar!$B$5:$B$13,0),MATCH(Table1[[#This Row],[Complexidade]],Auxiliar!$D$4:$F$4,0))</f>
        <v>0.5</v>
      </c>
      <c r="P876" s="2"/>
      <c r="Q876" s="2"/>
      <c r="R876" s="151">
        <v>45261</v>
      </c>
      <c r="S876" s="151"/>
      <c r="T876" s="151"/>
      <c r="U876" s="151">
        <v>45603</v>
      </c>
      <c r="V876" s="151"/>
      <c r="W876" s="2">
        <f>VLOOKUP(Table1[[#This Row],[Status]],Auxiliar!$B$16:$D$24,3,0)*Table1[[#This Row],[Estimação (horas)]]</f>
        <v>0.5</v>
      </c>
      <c r="X876" s="165">
        <f>+VLOOKUP(CONCATENATE(Table1[[#This Row],[Tabela]],Table1[[#This Row],[Campo]]),'2. Status Detalhe Campos FY24'!A:J,9,FALSE)</f>
        <v>0</v>
      </c>
      <c r="Y876" s="491" t="e">
        <f>+VLOOKUP(A876,#REF!,1,FALSE)</f>
        <v>#REF!</v>
      </c>
    </row>
    <row r="877" spans="1:25" ht="17.899999999999999" hidden="1" customHeight="1">
      <c r="A877" t="str">
        <f>+Table1[[#This Row],[Tabela]]&amp;Table1[[#This Row],[Campo]]</f>
        <v>modesg_param_sfics_taxon_europeiacontraparte</v>
      </c>
      <c r="B877" s="2" t="s">
        <v>26</v>
      </c>
      <c r="C877" s="2" t="s">
        <v>181</v>
      </c>
      <c r="D877" s="2" t="s">
        <v>1211</v>
      </c>
      <c r="E877" s="2" t="s">
        <v>38</v>
      </c>
      <c r="F877" s="2" t="s">
        <v>2096</v>
      </c>
      <c r="G877" s="2" t="s">
        <v>394</v>
      </c>
      <c r="H877" s="56" t="str">
        <f>Table1[[#This Row],[Tabela]]&amp;Table1[[#This Row],[Campo]]</f>
        <v>modesg_param_sfics_taxon_europeiacontraparte</v>
      </c>
      <c r="I877" s="2" t="s">
        <v>612</v>
      </c>
      <c r="J877" s="54">
        <f>VLOOKUP(Table1[[#This Row],[Status]],Auxiliar!$B$16:$C$24,2,0)</f>
        <v>1</v>
      </c>
      <c r="K877" s="2" t="s">
        <v>1171</v>
      </c>
      <c r="L877" s="28"/>
      <c r="M877" s="20"/>
      <c r="N877" s="47">
        <v>45744</v>
      </c>
      <c r="O877" s="20" t="e">
        <f>INDEX(Auxiliar!$D$5:$F$11,MATCH(Table1[[#This Row],[Tipologia_Testes]],Auxiliar!$B$5:$B$11,0),MATCH(Table1[[#This Row],[Complexidade]],Auxiliar!$D$4:$F$4,0))</f>
        <v>#N/A</v>
      </c>
      <c r="P877" s="2"/>
      <c r="Q877" s="2"/>
      <c r="R877" s="151"/>
      <c r="S877" s="151"/>
      <c r="T877" s="151"/>
      <c r="U877" s="151"/>
      <c r="V877" s="151"/>
      <c r="W877" s="2" t="e">
        <f>VLOOKUP(Table1[[#This Row],[Status]],Auxiliar!$B$16:$D$24,3,0)*Table1[[#This Row],[Estimação (horas)]]</f>
        <v>#N/A</v>
      </c>
      <c r="X877" s="165">
        <f>+VLOOKUP(CONCATENATE(Table1[[#This Row],[Tabela]],Table1[[#This Row],[Campo]]),'2. Status Detalhe Campos FY24'!A:J,9,FALSE)</f>
        <v>0</v>
      </c>
      <c r="Y877" s="491" t="e">
        <f>+VLOOKUP(A877,#REF!,1,FALSE)</f>
        <v>#REF!</v>
      </c>
    </row>
    <row r="878" spans="1:25" ht="17.899999999999999" hidden="1" customHeight="1">
      <c r="A878" t="str">
        <f>+Table1[[#This Row],[Tabela]]&amp;Table1[[#This Row],[Campo]]</f>
        <v>modesg_param_sfics_taxon_europeiacontraparte</v>
      </c>
      <c r="B878" s="2" t="s">
        <v>26</v>
      </c>
      <c r="C878" s="2" t="s">
        <v>181</v>
      </c>
      <c r="D878" s="2" t="s">
        <v>1211</v>
      </c>
      <c r="E878" s="2" t="s">
        <v>38</v>
      </c>
      <c r="F878" s="2" t="s">
        <v>2096</v>
      </c>
      <c r="G878" s="2" t="s">
        <v>394</v>
      </c>
      <c r="H878" s="56" t="str">
        <f>Table1[[#This Row],[Tabela]]&amp;Table1[[#This Row],[Campo]]</f>
        <v>modesg_param_sfics_taxon_europeiacontraparte</v>
      </c>
      <c r="I878" s="2" t="s">
        <v>612</v>
      </c>
      <c r="J878" s="54">
        <f>VLOOKUP(Table1[[#This Row],[Status]],Auxiliar!$B$16:$C$24,2,0)</f>
        <v>1</v>
      </c>
      <c r="K878" s="2" t="s">
        <v>1179</v>
      </c>
      <c r="L878" s="28" t="s">
        <v>1174</v>
      </c>
      <c r="M878" s="20" t="s">
        <v>1175</v>
      </c>
      <c r="N878" s="47">
        <v>45744</v>
      </c>
      <c r="O878" s="20">
        <f>INDEX(Auxiliar!$D$5:$F$13,MATCH(Table1[[#This Row],[Tipologia_Testes]],Auxiliar!$B$5:$B$13,0),MATCH(Table1[[#This Row],[Complexidade]],Auxiliar!$D$4:$F$4,0))</f>
        <v>0.5</v>
      </c>
      <c r="P878" s="2"/>
      <c r="Q878" s="2"/>
      <c r="R878" s="151">
        <v>45261</v>
      </c>
      <c r="S878" s="151"/>
      <c r="T878" s="151"/>
      <c r="U878" s="151">
        <v>45603</v>
      </c>
      <c r="V878" s="151"/>
      <c r="W878" s="2">
        <f>VLOOKUP(Table1[[#This Row],[Status]],Auxiliar!$B$16:$D$24,3,0)*Table1[[#This Row],[Estimação (horas)]]</f>
        <v>0.5</v>
      </c>
      <c r="X878" s="165">
        <f>+VLOOKUP(CONCATENATE(Table1[[#This Row],[Tabela]],Table1[[#This Row],[Campo]]),'2. Status Detalhe Campos FY24'!A:J,9,FALSE)</f>
        <v>0</v>
      </c>
      <c r="Y878" s="491" t="e">
        <f>+VLOOKUP(A878,#REF!,1,FALSE)</f>
        <v>#REF!</v>
      </c>
    </row>
    <row r="879" spans="1:25" ht="17.899999999999999" hidden="1" customHeight="1">
      <c r="A879" t="str">
        <f>+Table1[[#This Row],[Tabela]]&amp;Table1[[#This Row],[Campo]]</f>
        <v>modesg_param_sfics_taxon_europeiaflag_project_finance</v>
      </c>
      <c r="B879" s="2" t="s">
        <v>26</v>
      </c>
      <c r="C879" s="2" t="s">
        <v>181</v>
      </c>
      <c r="D879" s="2" t="s">
        <v>1211</v>
      </c>
      <c r="E879" s="2" t="s">
        <v>38</v>
      </c>
      <c r="F879" s="2" t="s">
        <v>2096</v>
      </c>
      <c r="G879" s="2" t="s">
        <v>199</v>
      </c>
      <c r="H879" s="56" t="str">
        <f>Table1[[#This Row],[Tabela]]&amp;Table1[[#This Row],[Campo]]</f>
        <v>modesg_param_sfics_taxon_europeiaflag_project_finance</v>
      </c>
      <c r="I879" s="2" t="s">
        <v>612</v>
      </c>
      <c r="J879" s="54">
        <f>VLOOKUP(Table1[[#This Row],[Status]],Auxiliar!$B$16:$C$24,2,0)</f>
        <v>1</v>
      </c>
      <c r="K879" s="2" t="s">
        <v>1171</v>
      </c>
      <c r="L879" s="28"/>
      <c r="M879" s="20"/>
      <c r="N879" s="47">
        <v>45744</v>
      </c>
      <c r="O879" s="20" t="e">
        <f>INDEX(Auxiliar!$D$5:$F$11,MATCH(Table1[[#This Row],[Tipologia_Testes]],Auxiliar!$B$5:$B$11,0),MATCH(Table1[[#This Row],[Complexidade]],Auxiliar!$D$4:$F$4,0))</f>
        <v>#N/A</v>
      </c>
      <c r="P879" s="2"/>
      <c r="Q879" s="2"/>
      <c r="R879" s="151"/>
      <c r="S879" s="151"/>
      <c r="T879" s="151"/>
      <c r="U879" s="151"/>
      <c r="V879" s="151"/>
      <c r="W879" s="2" t="e">
        <f>VLOOKUP(Table1[[#This Row],[Status]],Auxiliar!$B$16:$D$24,3,0)*Table1[[#This Row],[Estimação (horas)]]</f>
        <v>#N/A</v>
      </c>
      <c r="X879" s="165">
        <f>+VLOOKUP(CONCATENATE(Table1[[#This Row],[Tabela]],Table1[[#This Row],[Campo]]),'2. Status Detalhe Campos FY24'!A:J,9,FALSE)</f>
        <v>0</v>
      </c>
      <c r="Y879" s="491" t="e">
        <f>+VLOOKUP(A879,#REF!,1,FALSE)</f>
        <v>#REF!</v>
      </c>
    </row>
    <row r="880" spans="1:25" ht="69.650000000000006" hidden="1" customHeight="1">
      <c r="A880" t="str">
        <f>+Table1[[#This Row],[Tabela]]&amp;Table1[[#This Row],[Campo]]</f>
        <v>modesg_param_sfics_taxon_europeiaflag_project_finance</v>
      </c>
      <c r="B880" s="2" t="s">
        <v>26</v>
      </c>
      <c r="C880" s="2" t="s">
        <v>181</v>
      </c>
      <c r="D880" s="2" t="s">
        <v>1211</v>
      </c>
      <c r="E880" s="2" t="s">
        <v>38</v>
      </c>
      <c r="F880" s="2" t="s">
        <v>2096</v>
      </c>
      <c r="G880" s="2" t="s">
        <v>199</v>
      </c>
      <c r="H880" s="56" t="str">
        <f>Table1[[#This Row],[Tabela]]&amp;Table1[[#This Row],[Campo]]</f>
        <v>modesg_param_sfics_taxon_europeiaflag_project_finance</v>
      </c>
      <c r="I880" s="2" t="s">
        <v>612</v>
      </c>
      <c r="J880" s="42">
        <f>VLOOKUP(Table1[[#This Row],[Status]],Auxiliar!$B$16:$C$24,2,0)</f>
        <v>1</v>
      </c>
      <c r="K880" s="2" t="s">
        <v>1179</v>
      </c>
      <c r="L880" s="28" t="s">
        <v>1166</v>
      </c>
      <c r="M880" s="20" t="s">
        <v>1175</v>
      </c>
      <c r="N880" s="47">
        <v>45744</v>
      </c>
      <c r="O880" s="20">
        <f>INDEX(Auxiliar!$D$5:$F$13,MATCH(Table1[[#This Row],[Tipologia_Testes]],Auxiliar!$B$5:$B$13,0),MATCH(Table1[[#This Row],[Complexidade]],Auxiliar!$D$4:$F$4,0))</f>
        <v>0.5</v>
      </c>
      <c r="P880" s="2"/>
      <c r="Q880" s="2"/>
      <c r="R880" s="151">
        <v>45563</v>
      </c>
      <c r="S880" s="151"/>
      <c r="T880" s="151">
        <v>45563</v>
      </c>
      <c r="U880" s="151">
        <v>45603</v>
      </c>
      <c r="V880" s="151">
        <v>45604</v>
      </c>
      <c r="W880" s="2">
        <f>VLOOKUP(Table1[[#This Row],[Status]],Auxiliar!$B$16:$D$24,3,0)*Table1[[#This Row],[Estimação (horas)]]</f>
        <v>0.5</v>
      </c>
      <c r="X880" s="165">
        <f>+VLOOKUP(CONCATENATE(Table1[[#This Row],[Tabela]],Table1[[#This Row],[Campo]]),'2. Status Detalhe Campos FY24'!A:J,9,FALSE)</f>
        <v>0</v>
      </c>
      <c r="Y880" s="491" t="e">
        <f>+VLOOKUP(A880,#REF!,1,FALSE)</f>
        <v>#REF!</v>
      </c>
    </row>
    <row r="881" spans="1:25" ht="69.650000000000006" hidden="1" customHeight="1">
      <c r="A881" t="str">
        <f>+Table1[[#This Row],[Tabela]]&amp;Table1[[#This Row],[Campo]]</f>
        <v>modesg_param_sfics_taxon_europeiaprdt_sprdt</v>
      </c>
      <c r="B881" s="2" t="s">
        <v>26</v>
      </c>
      <c r="C881" s="2" t="s">
        <v>181</v>
      </c>
      <c r="D881" s="2" t="s">
        <v>1211</v>
      </c>
      <c r="E881" s="2" t="s">
        <v>38</v>
      </c>
      <c r="F881" s="2" t="s">
        <v>2096</v>
      </c>
      <c r="G881" s="2" t="s">
        <v>2048</v>
      </c>
      <c r="H881" s="56" t="str">
        <f>Table1[[#This Row],[Tabela]]&amp;Table1[[#This Row],[Campo]]</f>
        <v>modesg_param_sfics_taxon_europeiaprdt_sprdt</v>
      </c>
      <c r="I881" s="2" t="s">
        <v>612</v>
      </c>
      <c r="J881" s="54">
        <f>VLOOKUP(Table1[[#This Row],[Status]],Auxiliar!$B$16:$C$24,2,0)</f>
        <v>1</v>
      </c>
      <c r="K881" s="2" t="s">
        <v>1171</v>
      </c>
      <c r="L881" s="28"/>
      <c r="M881" s="20"/>
      <c r="N881" s="47">
        <v>45744</v>
      </c>
      <c r="O881" s="20" t="e">
        <f>INDEX(Auxiliar!$D$5:$F$11,MATCH(Table1[[#This Row],[Tipologia_Testes]],Auxiliar!$B$5:$B$11,0),MATCH(Table1[[#This Row],[Complexidade]],Auxiliar!$D$4:$F$4,0))</f>
        <v>#N/A</v>
      </c>
      <c r="P881" s="2"/>
      <c r="Q881" s="2"/>
      <c r="R881" s="151"/>
      <c r="S881" s="151"/>
      <c r="T881" s="151"/>
      <c r="U881" s="151"/>
      <c r="V881" s="151"/>
      <c r="W881" s="2" t="e">
        <f>VLOOKUP(Table1[[#This Row],[Status]],Auxiliar!$B$16:$D$24,3,0)*Table1[[#This Row],[Estimação (horas)]]</f>
        <v>#N/A</v>
      </c>
      <c r="X881" s="165">
        <f>+VLOOKUP(CONCATENATE(Table1[[#This Row],[Tabela]],Table1[[#This Row],[Campo]]),'2. Status Detalhe Campos FY24'!A:J,9,FALSE)</f>
        <v>0</v>
      </c>
      <c r="Y881" s="491" t="e">
        <f>+VLOOKUP(A881,#REF!,1,FALSE)</f>
        <v>#REF!</v>
      </c>
    </row>
    <row r="882" spans="1:25" ht="17.899999999999999" hidden="1" customHeight="1">
      <c r="A882" t="str">
        <f>+Table1[[#This Row],[Tabela]]&amp;Table1[[#This Row],[Campo]]</f>
        <v>modesg_param_sfics_taxon_europeiaprdt_sprdt</v>
      </c>
      <c r="B882" s="2" t="s">
        <v>26</v>
      </c>
      <c r="C882" s="2" t="s">
        <v>181</v>
      </c>
      <c r="D882" s="2" t="s">
        <v>1211</v>
      </c>
      <c r="E882" s="2" t="s">
        <v>38</v>
      </c>
      <c r="F882" s="2" t="s">
        <v>2096</v>
      </c>
      <c r="G882" s="2" t="s">
        <v>2048</v>
      </c>
      <c r="H882" s="56" t="str">
        <f>Table1[[#This Row],[Tabela]]&amp;Table1[[#This Row],[Campo]]</f>
        <v>modesg_param_sfics_taxon_europeiaprdt_sprdt</v>
      </c>
      <c r="I882" s="2" t="s">
        <v>612</v>
      </c>
      <c r="J882" s="54">
        <f>VLOOKUP(Table1[[#This Row],[Status]],Auxiliar!$B$16:$C$24,2,0)</f>
        <v>1</v>
      </c>
      <c r="K882" s="2" t="s">
        <v>1179</v>
      </c>
      <c r="L882" s="28" t="s">
        <v>1174</v>
      </c>
      <c r="M882" s="20" t="s">
        <v>1175</v>
      </c>
      <c r="N882" s="47">
        <v>45744</v>
      </c>
      <c r="O882" s="20">
        <f>INDEX(Auxiliar!$D$5:$F$13,MATCH(Table1[[#This Row],[Tipologia_Testes]],Auxiliar!$B$5:$B$13,0),MATCH(Table1[[#This Row],[Complexidade]],Auxiliar!$D$4:$F$4,0))</f>
        <v>0.5</v>
      </c>
      <c r="P882" s="2"/>
      <c r="Q882" s="2"/>
      <c r="R882" s="151">
        <v>45261</v>
      </c>
      <c r="S882" s="151"/>
      <c r="T882" s="151"/>
      <c r="U882" s="151">
        <v>45603</v>
      </c>
      <c r="V882" s="151"/>
      <c r="W882" s="2">
        <f>VLOOKUP(Table1[[#This Row],[Status]],Auxiliar!$B$16:$D$24,3,0)*Table1[[#This Row],[Estimação (horas)]]</f>
        <v>0.5</v>
      </c>
      <c r="X882" s="165">
        <f>+VLOOKUP(CONCATENATE(Table1[[#This Row],[Tabela]],Table1[[#This Row],[Campo]]),'2. Status Detalhe Campos FY24'!A:J,9,FALSE)</f>
        <v>0</v>
      </c>
      <c r="Y882" s="491" t="e">
        <f>+VLOOKUP(A882,#REF!,1,FALSE)</f>
        <v>#REF!</v>
      </c>
    </row>
    <row r="883" spans="1:25" ht="17.899999999999999" hidden="1" customHeight="1">
      <c r="A883" t="str">
        <f>+Table1[[#This Row],[Tabela]]&amp;Table1[[#This Row],[Campo]]</f>
        <v>modesg_param_sfics_taxon_europeiaflg_csrd</v>
      </c>
      <c r="B883" s="2" t="s">
        <v>26</v>
      </c>
      <c r="C883" s="2" t="s">
        <v>181</v>
      </c>
      <c r="D883" s="2" t="s">
        <v>1211</v>
      </c>
      <c r="E883" s="2" t="s">
        <v>38</v>
      </c>
      <c r="F883" s="2" t="s">
        <v>2096</v>
      </c>
      <c r="G883" s="2" t="s">
        <v>2049</v>
      </c>
      <c r="H883" s="56" t="str">
        <f>Table1[[#This Row],[Tabela]]&amp;Table1[[#This Row],[Campo]]</f>
        <v>modesg_param_sfics_taxon_europeiaflg_csrd</v>
      </c>
      <c r="I883" s="2" t="s">
        <v>612</v>
      </c>
      <c r="J883" s="54">
        <f>VLOOKUP(Table1[[#This Row],[Status]],Auxiliar!$B$16:$C$24,2,0)</f>
        <v>1</v>
      </c>
      <c r="K883" s="2" t="s">
        <v>1171</v>
      </c>
      <c r="L883" s="28" t="s">
        <v>1174</v>
      </c>
      <c r="M883" s="20" t="s">
        <v>1175</v>
      </c>
      <c r="N883" s="47">
        <v>45744</v>
      </c>
      <c r="O883" s="20">
        <f>INDEX(Auxiliar!$D$5:$F$13,MATCH(Table1[[#This Row],[Tipologia_Testes]],Auxiliar!$B$5:$B$13,0),MATCH(Table1[[#This Row],[Complexidade]],Auxiliar!$D$4:$F$4,0))</f>
        <v>0.1</v>
      </c>
      <c r="P883" s="2"/>
      <c r="Q883" s="2"/>
      <c r="R883" s="151">
        <v>45563</v>
      </c>
      <c r="S883" s="151"/>
      <c r="T883" s="151">
        <v>45563</v>
      </c>
      <c r="U883" s="151">
        <v>45603</v>
      </c>
      <c r="V883" s="151">
        <v>45604</v>
      </c>
      <c r="W883" s="2">
        <f>VLOOKUP(Table1[[#This Row],[Status]],Auxiliar!$B$16:$D$24,3,0)*Table1[[#This Row],[Estimação (horas)]]</f>
        <v>0.1</v>
      </c>
      <c r="X883" s="165">
        <f>+VLOOKUP(CONCATENATE(Table1[[#This Row],[Tabela]],Table1[[#This Row],[Campo]]),'2. Status Detalhe Campos FY24'!A:J,9,FALSE)</f>
        <v>0</v>
      </c>
      <c r="Y883" s="491" t="e">
        <f>+VLOOKUP(A883,#REF!,1,FALSE)</f>
        <v>#REF!</v>
      </c>
    </row>
    <row r="884" spans="1:25" ht="17.899999999999999" hidden="1" customHeight="1">
      <c r="A884" t="str">
        <f>+Table1[[#This Row],[Tabela]]&amp;Table1[[#This Row],[Campo]]</f>
        <v>modesg_param_sfics_taxon_europeiaflg_csrd</v>
      </c>
      <c r="B884" s="2" t="s">
        <v>26</v>
      </c>
      <c r="C884" s="2" t="s">
        <v>181</v>
      </c>
      <c r="D884" s="2" t="s">
        <v>1211</v>
      </c>
      <c r="E884" s="2" t="s">
        <v>38</v>
      </c>
      <c r="F884" s="2" t="s">
        <v>2096</v>
      </c>
      <c r="G884" s="2" t="s">
        <v>2049</v>
      </c>
      <c r="H884" s="56" t="str">
        <f>Table1[[#This Row],[Tabela]]&amp;Table1[[#This Row],[Campo]]</f>
        <v>modesg_param_sfics_taxon_europeiaflg_csrd</v>
      </c>
      <c r="I884" s="2" t="s">
        <v>612</v>
      </c>
      <c r="J884" s="42">
        <f>VLOOKUP(Table1[[#This Row],[Status]],Auxiliar!$B$16:$C$24,2,0)</f>
        <v>1</v>
      </c>
      <c r="K884" s="2" t="s">
        <v>1179</v>
      </c>
      <c r="L884" s="28" t="s">
        <v>641</v>
      </c>
      <c r="M884" s="20" t="s">
        <v>1176</v>
      </c>
      <c r="N884" s="47">
        <v>45744</v>
      </c>
      <c r="O884" s="20">
        <f>INDEX(Auxiliar!$D$5:$F$13,MATCH(Table1[[#This Row],[Tipologia_Testes]],Auxiliar!$B$5:$B$13,0),MATCH(Table1[[#This Row],[Complexidade]],Auxiliar!$D$4:$F$4,0))</f>
        <v>0.5</v>
      </c>
      <c r="P884" s="2" t="s">
        <v>1216</v>
      </c>
      <c r="Q884" s="2"/>
      <c r="R884" s="151">
        <v>45563</v>
      </c>
      <c r="S884" s="151"/>
      <c r="T884" s="151">
        <v>45563</v>
      </c>
      <c r="U884" s="151">
        <v>45603</v>
      </c>
      <c r="V884" s="151">
        <v>45604</v>
      </c>
      <c r="W884" s="2">
        <f>VLOOKUP(Table1[[#This Row],[Status]],Auxiliar!$B$16:$D$24,3,0)*Table1[[#This Row],[Estimação (horas)]]</f>
        <v>0.5</v>
      </c>
      <c r="X884" s="165">
        <f>+VLOOKUP(CONCATENATE(Table1[[#This Row],[Tabela]],Table1[[#This Row],[Campo]]),'2. Status Detalhe Campos FY24'!A:J,9,FALSE)</f>
        <v>0</v>
      </c>
      <c r="Y884" s="491" t="e">
        <f>+VLOOKUP(A884,#REF!,1,FALSE)</f>
        <v>#REF!</v>
      </c>
    </row>
    <row r="885" spans="1:25" ht="17.899999999999999" hidden="1" customHeight="1">
      <c r="A885" t="str">
        <f>+Table1[[#This Row],[Tabela]]&amp;Table1[[#This Row],[Campo]]</f>
        <v>modesg_param_sfics_taxon_europeiacombustivel</v>
      </c>
      <c r="B885" s="2" t="s">
        <v>26</v>
      </c>
      <c r="C885" s="2" t="s">
        <v>181</v>
      </c>
      <c r="D885" s="2" t="s">
        <v>1211</v>
      </c>
      <c r="E885" s="2" t="s">
        <v>38</v>
      </c>
      <c r="F885" s="2" t="s">
        <v>2096</v>
      </c>
      <c r="G885" s="2" t="s">
        <v>2050</v>
      </c>
      <c r="H885" s="56" t="str">
        <f>Table1[[#This Row],[Tabela]]&amp;Table1[[#This Row],[Campo]]</f>
        <v>modesg_param_sfics_taxon_europeiacombustivel</v>
      </c>
      <c r="I885" s="2" t="s">
        <v>612</v>
      </c>
      <c r="J885" s="54">
        <f>VLOOKUP(Table1[[#This Row],[Status]],Auxiliar!$B$16:$C$24,2,0)</f>
        <v>1</v>
      </c>
      <c r="K885" s="2" t="s">
        <v>1171</v>
      </c>
      <c r="L885" s="28" t="s">
        <v>1174</v>
      </c>
      <c r="M885" s="20" t="s">
        <v>1175</v>
      </c>
      <c r="N885" s="47">
        <v>45744</v>
      </c>
      <c r="O885" s="20">
        <f>INDEX(Auxiliar!$D$5:$F$13,MATCH(Table1[[#This Row],[Tipologia_Testes]],Auxiliar!$B$5:$B$13,0),MATCH(Table1[[#This Row],[Complexidade]],Auxiliar!$D$4:$F$4,0))</f>
        <v>0.1</v>
      </c>
      <c r="P885" s="2"/>
      <c r="Q885" s="2"/>
      <c r="R885" s="151">
        <v>45563</v>
      </c>
      <c r="S885" s="151"/>
      <c r="T885" s="151">
        <v>45563</v>
      </c>
      <c r="U885" s="151">
        <v>45603</v>
      </c>
      <c r="V885" s="151">
        <v>45604</v>
      </c>
      <c r="W885" s="2">
        <f>VLOOKUP(Table1[[#This Row],[Status]],Auxiliar!$B$16:$D$24,3,0)*Table1[[#This Row],[Estimação (horas)]]</f>
        <v>0.1</v>
      </c>
      <c r="X885" s="165">
        <f>+VLOOKUP(CONCATENATE(Table1[[#This Row],[Tabela]],Table1[[#This Row],[Campo]]),'2. Status Detalhe Campos FY24'!A:J,9,FALSE)</f>
        <v>0</v>
      </c>
      <c r="Y885" s="491" t="e">
        <f>+VLOOKUP(A885,#REF!,1,FALSE)</f>
        <v>#REF!</v>
      </c>
    </row>
    <row r="886" spans="1:25" ht="17.899999999999999" hidden="1" customHeight="1">
      <c r="A886" t="str">
        <f>+Table1[[#This Row],[Tabela]]&amp;Table1[[#This Row],[Campo]]</f>
        <v>modesg_param_sfics_taxon_europeiacombustivel</v>
      </c>
      <c r="B886" s="2" t="s">
        <v>26</v>
      </c>
      <c r="C886" s="2" t="s">
        <v>181</v>
      </c>
      <c r="D886" s="2" t="s">
        <v>1211</v>
      </c>
      <c r="E886" s="2" t="s">
        <v>38</v>
      </c>
      <c r="F886" s="2" t="s">
        <v>2096</v>
      </c>
      <c r="G886" s="2" t="s">
        <v>2050</v>
      </c>
      <c r="H886" s="56" t="str">
        <f>Table1[[#This Row],[Tabela]]&amp;Table1[[#This Row],[Campo]]</f>
        <v>modesg_param_sfics_taxon_europeiacombustivel</v>
      </c>
      <c r="I886" s="2" t="s">
        <v>612</v>
      </c>
      <c r="J886" s="42">
        <f>VLOOKUP(Table1[[#This Row],[Status]],Auxiliar!$B$16:$C$24,2,0)</f>
        <v>1</v>
      </c>
      <c r="K886" s="2" t="s">
        <v>1179</v>
      </c>
      <c r="L886" s="28" t="s">
        <v>1174</v>
      </c>
      <c r="M886" s="20" t="s">
        <v>1175</v>
      </c>
      <c r="N886" s="47">
        <v>45744</v>
      </c>
      <c r="O886" s="20">
        <f>INDEX(Auxiliar!$D$5:$F$13,MATCH(Table1[[#This Row],[Tipologia_Testes]],Auxiliar!$B$5:$B$13,0),MATCH(Table1[[#This Row],[Complexidade]],Auxiliar!$D$4:$F$4,0))</f>
        <v>0.5</v>
      </c>
      <c r="P886" s="2"/>
      <c r="Q886" s="2"/>
      <c r="R886" s="151">
        <v>45561</v>
      </c>
      <c r="S886" s="151"/>
      <c r="T886" s="151">
        <v>45561</v>
      </c>
      <c r="U886" s="151">
        <v>45603</v>
      </c>
      <c r="V886" s="151">
        <v>45604</v>
      </c>
      <c r="W886" s="2">
        <f>VLOOKUP(Table1[[#This Row],[Status]],Auxiliar!$B$16:$D$24,3,0)*Table1[[#This Row],[Estimação (horas)]]</f>
        <v>0.5</v>
      </c>
      <c r="X886" s="165">
        <f>+VLOOKUP(CONCATENATE(Table1[[#This Row],[Tabela]],Table1[[#This Row],[Campo]]),'2. Status Detalhe Campos FY24'!A:J,9,FALSE)</f>
        <v>0</v>
      </c>
      <c r="Y886" s="491" t="e">
        <f>+VLOOKUP(A886,#REF!,1,FALSE)</f>
        <v>#REF!</v>
      </c>
    </row>
    <row r="887" spans="1:25" ht="17.899999999999999" hidden="1" customHeight="1">
      <c r="A887" t="str">
        <f>+Table1[[#This Row],[Tabela]]&amp;Table1[[#This Row],[Campo]]</f>
        <v>modesg_param_sfics_taxon_europeiaambito</v>
      </c>
      <c r="B887" s="2" t="s">
        <v>26</v>
      </c>
      <c r="C887" s="2" t="s">
        <v>181</v>
      </c>
      <c r="D887" s="2" t="s">
        <v>1211</v>
      </c>
      <c r="E887" s="2" t="s">
        <v>38</v>
      </c>
      <c r="F887" s="2" t="s">
        <v>2096</v>
      </c>
      <c r="G887" s="2" t="s">
        <v>390</v>
      </c>
      <c r="H887" s="56" t="str">
        <f>Table1[[#This Row],[Tabela]]&amp;Table1[[#This Row],[Campo]]</f>
        <v>modesg_param_sfics_taxon_europeiaambito</v>
      </c>
      <c r="I887" s="2" t="s">
        <v>612</v>
      </c>
      <c r="J887" s="54">
        <f>VLOOKUP(Table1[[#This Row],[Status]],Auxiliar!$B$16:$C$24,2,0)</f>
        <v>1</v>
      </c>
      <c r="K887" s="2" t="s">
        <v>1171</v>
      </c>
      <c r="L887" s="28"/>
      <c r="M887" s="20"/>
      <c r="N887" s="47">
        <v>45744</v>
      </c>
      <c r="O887" s="20" t="e">
        <f>INDEX(Auxiliar!$D$5:$F$11,MATCH(Table1[[#This Row],[Tipologia_Testes]],Auxiliar!$B$5:$B$11,0),MATCH(Table1[[#This Row],[Complexidade]],Auxiliar!$D$4:$F$4,0))</f>
        <v>#N/A</v>
      </c>
      <c r="P887" s="2"/>
      <c r="Q887" s="2"/>
      <c r="R887" s="151"/>
      <c r="S887" s="151"/>
      <c r="T887" s="151"/>
      <c r="U887" s="151"/>
      <c r="V887" s="151"/>
      <c r="W887" s="2" t="e">
        <f>VLOOKUP(Table1[[#This Row],[Status]],Auxiliar!$B$16:$D$24,3,0)*Table1[[#This Row],[Estimação (horas)]]</f>
        <v>#N/A</v>
      </c>
      <c r="X887" s="165">
        <f>+VLOOKUP(CONCATENATE(Table1[[#This Row],[Tabela]],Table1[[#This Row],[Campo]]),'2. Status Detalhe Campos FY24'!A:J,9,FALSE)</f>
        <v>0</v>
      </c>
      <c r="Y887" s="491" t="e">
        <f>+VLOOKUP(A887,#REF!,1,FALSE)</f>
        <v>#REF!</v>
      </c>
    </row>
    <row r="888" spans="1:25" ht="17.899999999999999" hidden="1" customHeight="1">
      <c r="A888" t="str">
        <f>+Table1[[#This Row],[Tabela]]&amp;Table1[[#This Row],[Campo]]</f>
        <v>modesg_param_sfics_taxon_europeiaco2</v>
      </c>
      <c r="B888" s="2" t="s">
        <v>26</v>
      </c>
      <c r="C888" s="2" t="s">
        <v>181</v>
      </c>
      <c r="D888" s="2" t="s">
        <v>1211</v>
      </c>
      <c r="E888" s="2" t="s">
        <v>38</v>
      </c>
      <c r="F888" s="2" t="s">
        <v>2096</v>
      </c>
      <c r="G888" s="2" t="s">
        <v>2051</v>
      </c>
      <c r="H888" s="56" t="str">
        <f>Table1[[#This Row],[Tabela]]&amp;Table1[[#This Row],[Campo]]</f>
        <v>modesg_param_sfics_taxon_europeiaco2</v>
      </c>
      <c r="I888" s="2" t="s">
        <v>612</v>
      </c>
      <c r="J888" s="42">
        <f>VLOOKUP(Table1[[#This Row],[Status]],Auxiliar!$B$16:$C$24,2,0)</f>
        <v>1</v>
      </c>
      <c r="K888" s="2" t="s">
        <v>1179</v>
      </c>
      <c r="L888" s="28" t="s">
        <v>1174</v>
      </c>
      <c r="M888" s="20" t="s">
        <v>1175</v>
      </c>
      <c r="N888" s="47">
        <v>45744</v>
      </c>
      <c r="O888" s="20">
        <f>INDEX(Auxiliar!$D$5:$F$13,MATCH(Table1[[#This Row],[Tipologia_Testes]],Auxiliar!$B$5:$B$13,0),MATCH(Table1[[#This Row],[Complexidade]],Auxiliar!$D$4:$F$4,0))</f>
        <v>0.5</v>
      </c>
      <c r="P888" s="2"/>
      <c r="Q888" s="2"/>
      <c r="R888" s="151">
        <v>45561</v>
      </c>
      <c r="S888" s="151"/>
      <c r="T888" s="151">
        <v>45561</v>
      </c>
      <c r="U888" s="151">
        <v>45603</v>
      </c>
      <c r="V888" s="151">
        <v>45604</v>
      </c>
      <c r="W888" s="2">
        <f>VLOOKUP(Table1[[#This Row],[Status]],Auxiliar!$B$16:$D$24,3,0)*Table1[[#This Row],[Estimação (horas)]]</f>
        <v>0.5</v>
      </c>
      <c r="X888" s="165">
        <f>+VLOOKUP(CONCATENATE(Table1[[#This Row],[Tabela]],Table1[[#This Row],[Campo]]),'2. Status Detalhe Campos FY24'!A:J,9,FALSE)</f>
        <v>0</v>
      </c>
      <c r="Y888" s="491" t="e">
        <f>+VLOOKUP(A888,#REF!,1,FALSE)</f>
        <v>#REF!</v>
      </c>
    </row>
    <row r="889" spans="1:25" ht="17.899999999999999" hidden="1" customHeight="1">
      <c r="A889" t="str">
        <f>+Table1[[#This Row],[Tabela]]&amp;Table1[[#This Row],[Campo]]</f>
        <v>modesg_param_sfics_taxon_europeiaco2</v>
      </c>
      <c r="B889" s="2" t="s">
        <v>26</v>
      </c>
      <c r="C889" s="2" t="s">
        <v>181</v>
      </c>
      <c r="D889" s="2" t="s">
        <v>1211</v>
      </c>
      <c r="E889" s="2" t="s">
        <v>38</v>
      </c>
      <c r="F889" s="2" t="s">
        <v>2096</v>
      </c>
      <c r="G889" s="2" t="s">
        <v>2051</v>
      </c>
      <c r="H889" s="56" t="str">
        <f>Table1[[#This Row],[Tabela]]&amp;Table1[[#This Row],[Campo]]</f>
        <v>modesg_param_sfics_taxon_europeiaco2</v>
      </c>
      <c r="I889" s="2" t="s">
        <v>612</v>
      </c>
      <c r="J889" s="54">
        <f>VLOOKUP(Table1[[#This Row],[Status]],Auxiliar!$B$16:$C$24,2,0)</f>
        <v>1</v>
      </c>
      <c r="K889" s="2" t="s">
        <v>1171</v>
      </c>
      <c r="L889" s="28"/>
      <c r="M889" s="20"/>
      <c r="N889" s="47">
        <v>45744</v>
      </c>
      <c r="O889" s="20" t="e">
        <f>INDEX(Auxiliar!$D$5:$F$11,MATCH(Table1[[#This Row],[Tipologia_Testes]],Auxiliar!$B$5:$B$11,0),MATCH(Table1[[#This Row],[Complexidade]],Auxiliar!$D$4:$F$4,0))</f>
        <v>#N/A</v>
      </c>
      <c r="P889" s="2"/>
      <c r="Q889" s="2"/>
      <c r="R889" s="151"/>
      <c r="S889" s="151"/>
      <c r="T889" s="151"/>
      <c r="U889" s="151"/>
      <c r="V889" s="151"/>
      <c r="W889" s="2" t="e">
        <f>VLOOKUP(Table1[[#This Row],[Status]],Auxiliar!$B$16:$D$24,3,0)*Table1[[#This Row],[Estimação (horas)]]</f>
        <v>#N/A</v>
      </c>
      <c r="X889" s="165">
        <f>+VLOOKUP(CONCATENATE(Table1[[#This Row],[Tabela]],Table1[[#This Row],[Campo]]),'2. Status Detalhe Campos FY24'!A:J,9,FALSE)</f>
        <v>0</v>
      </c>
      <c r="Y889" s="491" t="e">
        <f>+VLOOKUP(A889,#REF!,1,FALSE)</f>
        <v>#REF!</v>
      </c>
    </row>
    <row r="890" spans="1:25" ht="17.899999999999999" hidden="1" customHeight="1">
      <c r="A890" t="str">
        <f>+Table1[[#This Row],[Tabela]]&amp;Table1[[#This Row],[Campo]]</f>
        <v>modesg_param_sfics_taxon_europeiacfamilia</v>
      </c>
      <c r="B890" s="2" t="s">
        <v>26</v>
      </c>
      <c r="C890" s="2" t="s">
        <v>181</v>
      </c>
      <c r="D890" s="2" t="s">
        <v>1211</v>
      </c>
      <c r="E890" s="2" t="s">
        <v>38</v>
      </c>
      <c r="F890" s="2" t="s">
        <v>2096</v>
      </c>
      <c r="G890" s="2" t="s">
        <v>2052</v>
      </c>
      <c r="H890" s="56" t="str">
        <f>Table1[[#This Row],[Tabela]]&amp;Table1[[#This Row],[Campo]]</f>
        <v>modesg_param_sfics_taxon_europeiacfamilia</v>
      </c>
      <c r="I890" s="2" t="s">
        <v>612</v>
      </c>
      <c r="J890" s="42">
        <f>VLOOKUP(Table1[[#This Row],[Status]],Auxiliar!$B$16:$C$24,2,0)</f>
        <v>1</v>
      </c>
      <c r="K890" s="2" t="s">
        <v>1179</v>
      </c>
      <c r="L890" s="28" t="s">
        <v>641</v>
      </c>
      <c r="M890" s="20" t="s">
        <v>1175</v>
      </c>
      <c r="N890" s="47">
        <v>45744</v>
      </c>
      <c r="O890" s="20">
        <f>INDEX(Auxiliar!$D$5:$F$13,MATCH(Table1[[#This Row],[Tipologia_Testes]],Auxiliar!$B$5:$B$13,0),MATCH(Table1[[#This Row],[Complexidade]],Auxiliar!$D$4:$F$4,0))</f>
        <v>0.5</v>
      </c>
      <c r="P890" s="2"/>
      <c r="Q890" s="2"/>
      <c r="R890" s="151">
        <v>45563</v>
      </c>
      <c r="S890" s="151"/>
      <c r="T890" s="151">
        <v>45563</v>
      </c>
      <c r="U890" s="151">
        <v>45603</v>
      </c>
      <c r="V890" s="151">
        <v>45604</v>
      </c>
      <c r="W890" s="2">
        <f>VLOOKUP(Table1[[#This Row],[Status]],Auxiliar!$B$16:$D$24,3,0)*Table1[[#This Row],[Estimação (horas)]]</f>
        <v>0.5</v>
      </c>
      <c r="X890" s="165">
        <f>+VLOOKUP(CONCATENATE(Table1[[#This Row],[Tabela]],Table1[[#This Row],[Campo]]),'2. Status Detalhe Campos FY24'!A:J,9,FALSE)</f>
        <v>0</v>
      </c>
      <c r="Y890" s="491" t="e">
        <f>+VLOOKUP(A890,#REF!,1,FALSE)</f>
        <v>#REF!</v>
      </c>
    </row>
    <row r="891" spans="1:25" ht="17.899999999999999" hidden="1" customHeight="1">
      <c r="A891" t="str">
        <f>+Table1[[#This Row],[Tabela]]&amp;Table1[[#This Row],[Campo]]</f>
        <v>modesg_param_sfics_taxon_europeiacfamilia</v>
      </c>
      <c r="B891" s="2" t="s">
        <v>26</v>
      </c>
      <c r="C891" s="2" t="s">
        <v>181</v>
      </c>
      <c r="D891" s="2" t="s">
        <v>1211</v>
      </c>
      <c r="E891" s="2" t="s">
        <v>38</v>
      </c>
      <c r="F891" s="2" t="s">
        <v>2096</v>
      </c>
      <c r="G891" s="2" t="s">
        <v>2052</v>
      </c>
      <c r="H891" s="56" t="str">
        <f>Table1[[#This Row],[Tabela]]&amp;Table1[[#This Row],[Campo]]</f>
        <v>modesg_param_sfics_taxon_europeiacfamilia</v>
      </c>
      <c r="I891" s="2" t="s">
        <v>612</v>
      </c>
      <c r="J891" s="54">
        <f>VLOOKUP(Table1[[#This Row],[Status]],Auxiliar!$B$16:$C$24,2,0)</f>
        <v>1</v>
      </c>
      <c r="K891" s="2" t="s">
        <v>1171</v>
      </c>
      <c r="L891" s="28" t="s">
        <v>1174</v>
      </c>
      <c r="M891" s="20" t="s">
        <v>1175</v>
      </c>
      <c r="N891" s="47">
        <v>45744</v>
      </c>
      <c r="O891" s="20">
        <f>INDEX(Auxiliar!$D$5:$F$13,MATCH(Table1[[#This Row],[Tipologia_Testes]],Auxiliar!$B$5:$B$13,0),MATCH(Table1[[#This Row],[Complexidade]],Auxiliar!$D$4:$F$4,0))</f>
        <v>0.1</v>
      </c>
      <c r="P891" s="2"/>
      <c r="Q891" s="2"/>
      <c r="R891" s="151">
        <v>45563</v>
      </c>
      <c r="S891" s="151"/>
      <c r="T891" s="151">
        <v>45563</v>
      </c>
      <c r="U891" s="151">
        <v>45603</v>
      </c>
      <c r="V891" s="151">
        <v>45604</v>
      </c>
      <c r="W891" s="2">
        <f>VLOOKUP(Table1[[#This Row],[Status]],Auxiliar!$B$16:$D$24,3,0)*Table1[[#This Row],[Estimação (horas)]]</f>
        <v>0.1</v>
      </c>
      <c r="X891" s="165">
        <f>+VLOOKUP(CONCATENATE(Table1[[#This Row],[Tabela]],Table1[[#This Row],[Campo]]),'2. Status Detalhe Campos FY24'!A:J,9,FALSE)</f>
        <v>0</v>
      </c>
      <c r="Y891" s="491" t="e">
        <f>+VLOOKUP(A891,#REF!,1,FALSE)</f>
        <v>#REF!</v>
      </c>
    </row>
    <row r="892" spans="1:25" ht="17.899999999999999" hidden="1" customHeight="1">
      <c r="A892" t="str">
        <f>+Table1[[#This Row],[Tabela]]&amp;Table1[[#This Row],[Campo]]</f>
        <v>modesg_param_sfics_taxon_europeian.a.</v>
      </c>
      <c r="B892" s="2" t="s">
        <v>26</v>
      </c>
      <c r="C892" s="2" t="s">
        <v>181</v>
      </c>
      <c r="D892" s="2" t="s">
        <v>1211</v>
      </c>
      <c r="E892" s="2" t="s">
        <v>38</v>
      </c>
      <c r="F892" s="2" t="s">
        <v>2096</v>
      </c>
      <c r="G892" s="2" t="s">
        <v>38</v>
      </c>
      <c r="H892" s="56" t="str">
        <f>Table1[[#This Row],[Tabela]]&amp;Table1[[#This Row],[Campo]]</f>
        <v>modesg_param_sfics_taxon_europeian.a.</v>
      </c>
      <c r="I892" s="2" t="s">
        <v>612</v>
      </c>
      <c r="J892" s="42">
        <f>VLOOKUP(Table1[[#This Row],[Status]],Auxiliar!$B$16:$C$24,2,0)</f>
        <v>1</v>
      </c>
      <c r="K892" s="2" t="s">
        <v>1165</v>
      </c>
      <c r="L892" s="28" t="s">
        <v>1174</v>
      </c>
      <c r="M892" s="20" t="s">
        <v>1167</v>
      </c>
      <c r="N892" s="47">
        <v>45744</v>
      </c>
      <c r="O892" s="20">
        <f>INDEX(Auxiliar!$D$5:$F$13,MATCH(Table1[[#This Row],[Tipologia_Testes]],Auxiliar!$B$5:$B$13,0),MATCH(Table1[[#This Row],[Complexidade]],Auxiliar!$D$4:$F$4,0))</f>
        <v>8</v>
      </c>
      <c r="P892" s="22"/>
      <c r="Q892" s="2"/>
      <c r="R892" s="151">
        <v>45563</v>
      </c>
      <c r="S892" s="151"/>
      <c r="T892" s="151">
        <v>45563</v>
      </c>
      <c r="U892" s="151">
        <v>45603</v>
      </c>
      <c r="V892" s="151">
        <v>45604</v>
      </c>
      <c r="W892" s="2">
        <f>VLOOKUP(Table1[[#This Row],[Status]],Auxiliar!$B$16:$D$24,3,0)*Table1[[#This Row],[Estimação (horas)]]</f>
        <v>8</v>
      </c>
      <c r="X892" s="165">
        <f>+VLOOKUP(CONCATENATE(Table1[[#This Row],[Tabela]],Table1[[#This Row],[Campo]]),'2. Status Detalhe Campos FY24'!A:J,9,FALSE)</f>
        <v>0</v>
      </c>
      <c r="Y892" s="491" t="e">
        <f>+VLOOKUP(A892,#REF!,1,FALSE)</f>
        <v>#REF!</v>
      </c>
    </row>
    <row r="893" spans="1:25" ht="17.899999999999999" hidden="1" customHeight="1">
      <c r="A893" t="str">
        <f>+Table1[[#This Row],[Tabela]]&amp;Table1[[#This Row],[Campo]]</f>
        <v>modesg_param_sfics_taxon_europeian.a.</v>
      </c>
      <c r="B893" s="2" t="s">
        <v>26</v>
      </c>
      <c r="C893" s="2" t="s">
        <v>181</v>
      </c>
      <c r="D893" s="2" t="s">
        <v>1211</v>
      </c>
      <c r="E893" s="2" t="s">
        <v>38</v>
      </c>
      <c r="F893" s="2" t="s">
        <v>2096</v>
      </c>
      <c r="G893" s="2" t="s">
        <v>38</v>
      </c>
      <c r="H893" s="56" t="str">
        <f>Table1[[#This Row],[Tabela]]&amp;Table1[[#This Row],[Campo]]</f>
        <v>modesg_param_sfics_taxon_europeian.a.</v>
      </c>
      <c r="I893" s="2" t="s">
        <v>612</v>
      </c>
      <c r="J893" s="42">
        <f>VLOOKUP(Table1[[#This Row],[Status]],Auxiliar!$B$16:$C$24,2,0)</f>
        <v>1</v>
      </c>
      <c r="K893" s="2" t="s">
        <v>1212</v>
      </c>
      <c r="L893" s="28" t="s">
        <v>1174</v>
      </c>
      <c r="M893" s="20" t="s">
        <v>1175</v>
      </c>
      <c r="N893" s="47">
        <v>45744</v>
      </c>
      <c r="O893" s="20">
        <f>INDEX(Auxiliar!$D$5:$F$13,MATCH(Table1[[#This Row],[Tipologia_Testes]],Auxiliar!$B$5:$B$13,0),MATCH(Table1[[#This Row],[Complexidade]],Auxiliar!$D$4:$F$4,0))</f>
        <v>0.5</v>
      </c>
      <c r="P893" s="22" t="s">
        <v>1213</v>
      </c>
      <c r="Q893" s="2"/>
      <c r="R893" s="151">
        <v>45563</v>
      </c>
      <c r="S893" s="151"/>
      <c r="T893" s="151">
        <v>45563</v>
      </c>
      <c r="U893" s="151">
        <v>45603</v>
      </c>
      <c r="V893" s="151">
        <v>45604</v>
      </c>
      <c r="W893" s="2">
        <f>VLOOKUP(Table1[[#This Row],[Status]],Auxiliar!$B$16:$D$24,3,0)*Table1[[#This Row],[Estimação (horas)]]</f>
        <v>0.5</v>
      </c>
      <c r="X893" s="165">
        <f>+VLOOKUP(CONCATENATE(Table1[[#This Row],[Tabela]],Table1[[#This Row],[Campo]]),'2. Status Detalhe Campos FY24'!A:J,9,FALSE)</f>
        <v>0</v>
      </c>
      <c r="Y893" s="491" t="e">
        <f>+VLOOKUP(A893,#REF!,1,FALSE)</f>
        <v>#REF!</v>
      </c>
    </row>
    <row r="894" spans="1:25" ht="17.899999999999999" hidden="1" customHeight="1">
      <c r="A894" t="str">
        <f>+Table1[[#This Row],[Tabela]]&amp;Table1[[#This Row],[Campo]]</f>
        <v>modesg_param_sfics_taxon_europeiaflg_rsc_fsc_crnc</v>
      </c>
      <c r="B894" s="2" t="s">
        <v>26</v>
      </c>
      <c r="C894" s="2" t="s">
        <v>181</v>
      </c>
      <c r="D894" s="2" t="s">
        <v>1211</v>
      </c>
      <c r="E894" s="2" t="s">
        <v>38</v>
      </c>
      <c r="F894" s="2" t="s">
        <v>2096</v>
      </c>
      <c r="G894" s="2" t="s">
        <v>283</v>
      </c>
      <c r="H894" s="56" t="str">
        <f>Table1[[#This Row],[Tabela]]&amp;Table1[[#This Row],[Campo]]</f>
        <v>modesg_param_sfics_taxon_europeiaflg_rsc_fsc_crnc</v>
      </c>
      <c r="I894" s="2" t="s">
        <v>612</v>
      </c>
      <c r="J894" s="42">
        <f>VLOOKUP(Table1[[#This Row],[Status]],Auxiliar!$B$16:$C$24,2,0)</f>
        <v>1</v>
      </c>
      <c r="K894" s="2" t="s">
        <v>1179</v>
      </c>
      <c r="L894" s="28" t="s">
        <v>641</v>
      </c>
      <c r="M894" s="20" t="s">
        <v>1176</v>
      </c>
      <c r="N894" s="47">
        <v>45744</v>
      </c>
      <c r="O894" s="20">
        <f>INDEX(Auxiliar!$D$5:$F$13,MATCH(Table1[[#This Row],[Tipologia_Testes]],Auxiliar!$B$5:$B$13,0),MATCH(Table1[[#This Row],[Complexidade]],Auxiliar!$D$4:$F$4,0))</f>
        <v>0.5</v>
      </c>
      <c r="P894" s="2" t="s">
        <v>1216</v>
      </c>
      <c r="Q894" s="2"/>
      <c r="R894" s="151">
        <v>45563</v>
      </c>
      <c r="S894" s="151"/>
      <c r="T894" s="151">
        <v>45563</v>
      </c>
      <c r="U894" s="151">
        <v>45603</v>
      </c>
      <c r="V894" s="151">
        <v>45604</v>
      </c>
      <c r="W894" s="2">
        <f>VLOOKUP(Table1[[#This Row],[Status]],Auxiliar!$B$16:$D$24,3,0)*Table1[[#This Row],[Estimação (horas)]]</f>
        <v>0.5</v>
      </c>
      <c r="X894" s="165">
        <f>+VLOOKUP(CONCATENATE(Table1[[#This Row],[Tabela]],Table1[[#This Row],[Campo]]),'2. Status Detalhe Campos FY24'!A:J,9,FALSE)</f>
        <v>0</v>
      </c>
      <c r="Y894" s="491" t="e">
        <f>+VLOOKUP(A894,#REF!,1,FALSE)</f>
        <v>#REF!</v>
      </c>
    </row>
    <row r="895" spans="1:25" ht="17.899999999999999" hidden="1" customHeight="1">
      <c r="A895" t="str">
        <f>+Table1[[#This Row],[Tabela]]&amp;Table1[[#This Row],[Campo]]</f>
        <v>modesg_param_sfics_taxon_europeiaflg_rsc_fsc_crnc</v>
      </c>
      <c r="B895" s="2" t="s">
        <v>26</v>
      </c>
      <c r="C895" s="2" t="s">
        <v>181</v>
      </c>
      <c r="D895" s="2" t="s">
        <v>1211</v>
      </c>
      <c r="E895" s="2" t="s">
        <v>38</v>
      </c>
      <c r="F895" s="2" t="s">
        <v>2096</v>
      </c>
      <c r="G895" s="2" t="s">
        <v>283</v>
      </c>
      <c r="H895" s="56" t="str">
        <f>Table1[[#This Row],[Tabela]]&amp;Table1[[#This Row],[Campo]]</f>
        <v>modesg_param_sfics_taxon_europeiaflg_rsc_fsc_crnc</v>
      </c>
      <c r="I895" s="2" t="s">
        <v>612</v>
      </c>
      <c r="J895" s="54">
        <f>VLOOKUP(Table1[[#This Row],[Status]],Auxiliar!$B$16:$C$24,2,0)</f>
        <v>1</v>
      </c>
      <c r="K895" s="2" t="s">
        <v>1171</v>
      </c>
      <c r="L895" s="28" t="s">
        <v>1174</v>
      </c>
      <c r="M895" s="20" t="s">
        <v>1175</v>
      </c>
      <c r="N895" s="47">
        <v>45744</v>
      </c>
      <c r="O895" s="20">
        <f>INDEX(Auxiliar!$D$5:$F$13,MATCH(Table1[[#This Row],[Tipologia_Testes]],Auxiliar!$B$5:$B$13,0),MATCH(Table1[[#This Row],[Complexidade]],Auxiliar!$D$4:$F$4,0))</f>
        <v>0.1</v>
      </c>
      <c r="P895" s="2"/>
      <c r="Q895" s="2"/>
      <c r="R895" s="151">
        <v>45563</v>
      </c>
      <c r="S895" s="151"/>
      <c r="T895" s="151">
        <v>45563</v>
      </c>
      <c r="U895" s="151">
        <v>45603</v>
      </c>
      <c r="V895" s="151">
        <v>45604</v>
      </c>
      <c r="W895" s="2">
        <f>VLOOKUP(Table1[[#This Row],[Status]],Auxiliar!$B$16:$D$24,3,0)*Table1[[#This Row],[Estimação (horas)]]</f>
        <v>0.1</v>
      </c>
      <c r="X895" s="165">
        <f>+VLOOKUP(CONCATENATE(Table1[[#This Row],[Tabela]],Table1[[#This Row],[Campo]]),'2. Status Detalhe Campos FY24'!A:J,9,FALSE)</f>
        <v>0</v>
      </c>
      <c r="Y895" s="491" t="e">
        <f>+VLOOKUP(A895,#REF!,1,FALSE)</f>
        <v>#REF!</v>
      </c>
    </row>
    <row r="896" spans="1:25" ht="17.899999999999999" hidden="1" customHeight="1">
      <c r="A896" t="str">
        <f>+Table1[[#This Row],[Tabela]]&amp;Table1[[#This Row],[Campo]]</f>
        <v>modesg_param_sfics_taxon_europeiaflg_rsc_fsc_agd</v>
      </c>
      <c r="B896" s="2" t="s">
        <v>26</v>
      </c>
      <c r="C896" s="2" t="s">
        <v>181</v>
      </c>
      <c r="D896" s="2" t="s">
        <v>1211</v>
      </c>
      <c r="E896" s="2" t="s">
        <v>38</v>
      </c>
      <c r="F896" s="2" t="s">
        <v>2096</v>
      </c>
      <c r="G896" s="2" t="s">
        <v>282</v>
      </c>
      <c r="H896" s="56" t="str">
        <f>Table1[[#This Row],[Tabela]]&amp;Table1[[#This Row],[Campo]]</f>
        <v>modesg_param_sfics_taxon_europeiaflg_rsc_fsc_agd</v>
      </c>
      <c r="I896" s="2" t="s">
        <v>612</v>
      </c>
      <c r="J896" s="42">
        <f>VLOOKUP(Table1[[#This Row],[Status]],Auxiliar!$B$16:$C$24,2,0)</f>
        <v>1</v>
      </c>
      <c r="K896" s="2" t="s">
        <v>1179</v>
      </c>
      <c r="L896" s="28" t="s">
        <v>1174</v>
      </c>
      <c r="M896" s="20" t="s">
        <v>1175</v>
      </c>
      <c r="N896" s="47">
        <v>45744</v>
      </c>
      <c r="O896" s="20">
        <f>INDEX(Auxiliar!$D$5:$F$13,MATCH(Table1[[#This Row],[Tipologia_Testes]],Auxiliar!$B$5:$B$13,0),MATCH(Table1[[#This Row],[Complexidade]],Auxiliar!$D$4:$F$4,0))</f>
        <v>0.5</v>
      </c>
      <c r="P896" s="2"/>
      <c r="Q896" s="2"/>
      <c r="R896" s="151">
        <v>45563</v>
      </c>
      <c r="S896" s="151"/>
      <c r="T896" s="151">
        <v>45563</v>
      </c>
      <c r="U896" s="151">
        <v>45603</v>
      </c>
      <c r="V896" s="151">
        <v>45604</v>
      </c>
      <c r="W896" s="2">
        <f>VLOOKUP(Table1[[#This Row],[Status]],Auxiliar!$B$16:$D$24,3,0)*Table1[[#This Row],[Estimação (horas)]]</f>
        <v>0.5</v>
      </c>
      <c r="X896" s="165">
        <f>+VLOOKUP(CONCATENATE(Table1[[#This Row],[Tabela]],Table1[[#This Row],[Campo]]),'2. Status Detalhe Campos FY24'!A:J,9,FALSE)</f>
        <v>0</v>
      </c>
      <c r="Y896" s="491" t="e">
        <f>+VLOOKUP(A896,#REF!,1,FALSE)</f>
        <v>#REF!</v>
      </c>
    </row>
    <row r="897" spans="1:25" ht="17.899999999999999" hidden="1" customHeight="1">
      <c r="A897" t="str">
        <f>+Table1[[#This Row],[Tabela]]&amp;Table1[[#This Row],[Campo]]</f>
        <v>modesg_param_sfics_taxon_europeiaflg_rsc_fsc_agd</v>
      </c>
      <c r="B897" s="2" t="s">
        <v>26</v>
      </c>
      <c r="C897" s="2" t="s">
        <v>181</v>
      </c>
      <c r="D897" s="2" t="s">
        <v>1211</v>
      </c>
      <c r="E897" s="2" t="s">
        <v>38</v>
      </c>
      <c r="F897" s="2" t="s">
        <v>2096</v>
      </c>
      <c r="G897" s="2" t="s">
        <v>282</v>
      </c>
      <c r="H897" s="56" t="str">
        <f>Table1[[#This Row],[Tabela]]&amp;Table1[[#This Row],[Campo]]</f>
        <v>modesg_param_sfics_taxon_europeiaflg_rsc_fsc_agd</v>
      </c>
      <c r="I897" s="2" t="s">
        <v>612</v>
      </c>
      <c r="J897" s="54">
        <f>VLOOKUP(Table1[[#This Row],[Status]],Auxiliar!$B$16:$C$24,2,0)</f>
        <v>1</v>
      </c>
      <c r="K897" s="2" t="s">
        <v>1171</v>
      </c>
      <c r="L897" s="28" t="s">
        <v>1174</v>
      </c>
      <c r="M897" s="20" t="s">
        <v>1175</v>
      </c>
      <c r="N897" s="47">
        <v>45744</v>
      </c>
      <c r="O897" s="20">
        <f>INDEX(Auxiliar!$D$5:$F$13,MATCH(Table1[[#This Row],[Tipologia_Testes]],Auxiliar!$B$5:$B$13,0),MATCH(Table1[[#This Row],[Complexidade]],Auxiliar!$D$4:$F$4,0))</f>
        <v>0.1</v>
      </c>
      <c r="P897" s="2" t="s">
        <v>1194</v>
      </c>
      <c r="Q897" s="2"/>
      <c r="R897" s="151">
        <v>45561</v>
      </c>
      <c r="S897" s="151"/>
      <c r="T897" s="151">
        <v>45561</v>
      </c>
      <c r="U897" s="151"/>
      <c r="V897" s="151"/>
      <c r="W897" s="2">
        <f>VLOOKUP(Table1[[#This Row],[Status]],Auxiliar!$B$16:$D$24,3,0)*Table1[[#This Row],[Estimação (horas)]]</f>
        <v>0.1</v>
      </c>
      <c r="X897" s="165">
        <f>+VLOOKUP(CONCATENATE(Table1[[#This Row],[Tabela]],Table1[[#This Row],[Campo]]),'2. Status Detalhe Campos FY24'!A:J,9,FALSE)</f>
        <v>0</v>
      </c>
      <c r="Y897" s="491" t="e">
        <f>+VLOOKUP(A897,#REF!,1,FALSE)</f>
        <v>#REF!</v>
      </c>
    </row>
    <row r="898" spans="1:25" ht="17.899999999999999" hidden="1" customHeight="1">
      <c r="A898" t="str">
        <f>+Table1[[#This Row],[Tabela]]&amp;Table1[[#This Row],[Campo]]</f>
        <v>modesg_param_sfics_taxon_europeianet_floor_area</v>
      </c>
      <c r="B898" s="2" t="s">
        <v>26</v>
      </c>
      <c r="C898" s="2" t="s">
        <v>181</v>
      </c>
      <c r="D898" s="2" t="s">
        <v>1211</v>
      </c>
      <c r="E898" s="2" t="s">
        <v>38</v>
      </c>
      <c r="F898" s="2" t="s">
        <v>2096</v>
      </c>
      <c r="G898" s="27" t="s">
        <v>2400</v>
      </c>
      <c r="H898" s="56" t="str">
        <f>Table1[[#This Row],[Tabela]]&amp;Table1[[#This Row],[Campo]]</f>
        <v>modesg_param_sfics_taxon_europeianet_floor_area</v>
      </c>
      <c r="I898" s="2" t="s">
        <v>612</v>
      </c>
      <c r="J898" s="42">
        <f>VLOOKUP(Table1[[#This Row],[Status]],Auxiliar!$B$16:$C$24,2,0)</f>
        <v>1</v>
      </c>
      <c r="K898" s="2" t="s">
        <v>1179</v>
      </c>
      <c r="L898" s="28" t="s">
        <v>641</v>
      </c>
      <c r="M898" s="20" t="s">
        <v>1175</v>
      </c>
      <c r="N898" s="47">
        <v>45744</v>
      </c>
      <c r="O898" s="20">
        <f>INDEX(Auxiliar!$D$5:$F$13,MATCH(Table1[[#This Row],[Tipologia_Testes]],Auxiliar!$B$5:$B$13,0),MATCH(Table1[[#This Row],[Complexidade]],Auxiliar!$D$4:$F$4,0))</f>
        <v>0.5</v>
      </c>
      <c r="P898" s="2"/>
      <c r="Q898" s="2"/>
      <c r="R898" s="151">
        <v>45563</v>
      </c>
      <c r="S898" s="151"/>
      <c r="T898" s="151">
        <v>45563</v>
      </c>
      <c r="U898" s="151">
        <v>45603</v>
      </c>
      <c r="V898" s="151">
        <v>45604</v>
      </c>
      <c r="W898" s="2">
        <f>VLOOKUP(Table1[[#This Row],[Status]],Auxiliar!$B$16:$D$24,3,0)*Table1[[#This Row],[Estimação (horas)]]</f>
        <v>0.5</v>
      </c>
      <c r="X898" s="165">
        <f>+VLOOKUP(CONCATENATE(Table1[[#This Row],[Tabela]],Table1[[#This Row],[Campo]]),'2. Status Detalhe Campos FY24'!A:J,9,FALSE)</f>
        <v>0</v>
      </c>
      <c r="Y898" s="491" t="e">
        <f>+VLOOKUP(A898,#REF!,1,FALSE)</f>
        <v>#REF!</v>
      </c>
    </row>
    <row r="899" spans="1:25" ht="17.899999999999999" hidden="1" customHeight="1">
      <c r="A899" t="str">
        <f>+Table1[[#This Row],[Tabela]]&amp;Table1[[#This Row],[Campo]]</f>
        <v>modesg_param_sfics_taxon_europeianet_floor_area</v>
      </c>
      <c r="B899" s="2" t="s">
        <v>26</v>
      </c>
      <c r="C899" s="2" t="s">
        <v>181</v>
      </c>
      <c r="D899" s="2" t="s">
        <v>1211</v>
      </c>
      <c r="E899" s="2" t="s">
        <v>38</v>
      </c>
      <c r="F899" s="2" t="s">
        <v>2096</v>
      </c>
      <c r="G899" s="27" t="s">
        <v>2400</v>
      </c>
      <c r="H899" s="56" t="str">
        <f>Table1[[#This Row],[Tabela]]&amp;Table1[[#This Row],[Campo]]</f>
        <v>modesg_param_sfics_taxon_europeianet_floor_area</v>
      </c>
      <c r="I899" s="2" t="s">
        <v>612</v>
      </c>
      <c r="J899" s="54">
        <f>VLOOKUP(Table1[[#This Row],[Status]],Auxiliar!$B$16:$C$24,2,0)</f>
        <v>1</v>
      </c>
      <c r="K899" s="2" t="s">
        <v>1171</v>
      </c>
      <c r="L899" s="28" t="s">
        <v>1174</v>
      </c>
      <c r="M899" s="20" t="s">
        <v>1175</v>
      </c>
      <c r="N899" s="47">
        <v>45744</v>
      </c>
      <c r="O899" s="20">
        <f>INDEX(Auxiliar!$D$5:$F$13,MATCH(Table1[[#This Row],[Tipologia_Testes]],Auxiliar!$B$5:$B$13,0),MATCH(Table1[[#This Row],[Complexidade]],Auxiliar!$D$4:$F$4,0))</f>
        <v>0.1</v>
      </c>
      <c r="P899" s="2"/>
      <c r="Q899" s="2"/>
      <c r="R899" s="151">
        <v>45563</v>
      </c>
      <c r="S899" s="151"/>
      <c r="T899" s="151">
        <v>45563</v>
      </c>
      <c r="U899" s="151">
        <v>45603</v>
      </c>
      <c r="V899" s="151">
        <v>45604</v>
      </c>
      <c r="W899" s="2">
        <f>VLOOKUP(Table1[[#This Row],[Status]],Auxiliar!$B$16:$D$24,3,0)*Table1[[#This Row],[Estimação (horas)]]</f>
        <v>0.1</v>
      </c>
      <c r="X899" s="165">
        <f>+VLOOKUP(CONCATENATE(Table1[[#This Row],[Tabela]],Table1[[#This Row],[Campo]]),'2. Status Detalhe Campos FY24'!A:J,9,FALSE)</f>
        <v>0</v>
      </c>
      <c r="Y899" s="491" t="e">
        <f>+VLOOKUP(A899,#REF!,1,FALSE)</f>
        <v>#REF!</v>
      </c>
    </row>
    <row r="900" spans="1:25" ht="17.899999999999999" hidden="1" customHeight="1">
      <c r="A900" t="str">
        <f>+Table1[[#This Row],[Tabela]]&amp;Table1[[#This Row],[Campo]]</f>
        <v>modesg_param_sfics_taxon_europeianome_purpose_esg_nalinh_tax</v>
      </c>
      <c r="B900" s="2" t="s">
        <v>26</v>
      </c>
      <c r="C900" s="2" t="s">
        <v>181</v>
      </c>
      <c r="D900" s="2" t="s">
        <v>1211</v>
      </c>
      <c r="E900" s="2" t="s">
        <v>38</v>
      </c>
      <c r="F900" s="2" t="s">
        <v>2096</v>
      </c>
      <c r="G900" s="27" t="s">
        <v>2059</v>
      </c>
      <c r="H900" s="56" t="str">
        <f>Table1[[#This Row],[Tabela]]&amp;Table1[[#This Row],[Campo]]</f>
        <v>modesg_param_sfics_taxon_europeianome_purpose_esg_nalinh_tax</v>
      </c>
      <c r="I900" s="2" t="s">
        <v>612</v>
      </c>
      <c r="J900" s="42">
        <f>VLOOKUP(Table1[[#This Row],[Status]],Auxiliar!$B$16:$C$24,2,0)</f>
        <v>1</v>
      </c>
      <c r="K900" s="2" t="s">
        <v>1179</v>
      </c>
      <c r="L900" s="28" t="s">
        <v>1174</v>
      </c>
      <c r="M900" s="20" t="s">
        <v>1175</v>
      </c>
      <c r="N900" s="47">
        <v>45744</v>
      </c>
      <c r="O900" s="20">
        <f>INDEX(Auxiliar!$D$5:$F$13,MATCH(Table1[[#This Row],[Tipologia_Testes]],Auxiliar!$B$5:$B$13,0),MATCH(Table1[[#This Row],[Complexidade]],Auxiliar!$D$4:$F$4,0))</f>
        <v>0.5</v>
      </c>
      <c r="P900" s="2"/>
      <c r="Q900" s="2"/>
      <c r="R900" s="151">
        <v>45563</v>
      </c>
      <c r="S900" s="151"/>
      <c r="T900" s="151">
        <v>45563</v>
      </c>
      <c r="U900" s="151">
        <v>45603</v>
      </c>
      <c r="V900" s="151">
        <v>45604</v>
      </c>
      <c r="W900" s="2">
        <f>VLOOKUP(Table1[[#This Row],[Status]],Auxiliar!$B$16:$D$24,3,0)*Table1[[#This Row],[Estimação (horas)]]</f>
        <v>0.5</v>
      </c>
      <c r="X900" s="165">
        <f>+VLOOKUP(CONCATENATE(Table1[[#This Row],[Tabela]],Table1[[#This Row],[Campo]]),'2. Status Detalhe Campos FY24'!A:J,9,FALSE)</f>
        <v>0</v>
      </c>
      <c r="Y900" s="491" t="e">
        <f>+VLOOKUP(A900,#REF!,1,FALSE)</f>
        <v>#REF!</v>
      </c>
    </row>
    <row r="901" spans="1:25" ht="17.899999999999999" hidden="1" customHeight="1">
      <c r="A901" t="str">
        <f>+Table1[[#This Row],[Tabela]]&amp;Table1[[#This Row],[Campo]]</f>
        <v>modesg_param_sfics_taxon_europeianome_purpose_esg_nalinh_tax</v>
      </c>
      <c r="B901" s="2" t="s">
        <v>26</v>
      </c>
      <c r="C901" s="2" t="s">
        <v>181</v>
      </c>
      <c r="D901" s="2" t="s">
        <v>1211</v>
      </c>
      <c r="E901" s="2" t="s">
        <v>38</v>
      </c>
      <c r="F901" s="2" t="s">
        <v>2096</v>
      </c>
      <c r="G901" s="27" t="s">
        <v>2059</v>
      </c>
      <c r="H901" s="56" t="str">
        <f>Table1[[#This Row],[Tabela]]&amp;Table1[[#This Row],[Campo]]</f>
        <v>modesg_param_sfics_taxon_europeianome_purpose_esg_nalinh_tax</v>
      </c>
      <c r="I901" s="2" t="s">
        <v>612</v>
      </c>
      <c r="J901" s="54">
        <f>VLOOKUP(Table1[[#This Row],[Status]],Auxiliar!$B$16:$C$24,2,0)</f>
        <v>1</v>
      </c>
      <c r="K901" s="2" t="s">
        <v>1171</v>
      </c>
      <c r="L901" s="28" t="s">
        <v>1174</v>
      </c>
      <c r="M901" s="20" t="s">
        <v>1175</v>
      </c>
      <c r="N901" s="47">
        <v>45744</v>
      </c>
      <c r="O901" s="20">
        <f>INDEX(Auxiliar!$D$5:$F$13,MATCH(Table1[[#This Row],[Tipologia_Testes]],Auxiliar!$B$5:$B$13,0),MATCH(Table1[[#This Row],[Complexidade]],Auxiliar!$D$4:$F$4,0))</f>
        <v>0.1</v>
      </c>
      <c r="P901" s="2" t="s">
        <v>1194</v>
      </c>
      <c r="Q901" s="2"/>
      <c r="R901" s="151">
        <v>45561</v>
      </c>
      <c r="S901" s="151"/>
      <c r="T901" s="151">
        <v>45561</v>
      </c>
      <c r="U901" s="151"/>
      <c r="V901" s="151"/>
      <c r="W901" s="2">
        <f>VLOOKUP(Table1[[#This Row],[Status]],Auxiliar!$B$16:$D$24,3,0)*Table1[[#This Row],[Estimação (horas)]]</f>
        <v>0.1</v>
      </c>
      <c r="X901" s="165">
        <f>+VLOOKUP(CONCATENATE(Table1[[#This Row],[Tabela]],Table1[[#This Row],[Campo]]),'2. Status Detalhe Campos FY24'!A:J,9,FALSE)</f>
        <v>0</v>
      </c>
      <c r="Y901" s="491" t="e">
        <f>+VLOOKUP(A901,#REF!,1,FALSE)</f>
        <v>#REF!</v>
      </c>
    </row>
    <row r="902" spans="1:25" ht="17.899999999999999" hidden="1" customHeight="1">
      <c r="A902" t="str">
        <f>+Table1[[#This Row],[Tabela]]&amp;Table1[[#This Row],[Campo]]</f>
        <v>modesg_param_sfics_taxon_europeianome_purpose_esg_alinh_tax</v>
      </c>
      <c r="B902" s="2" t="s">
        <v>26</v>
      </c>
      <c r="C902" s="2" t="s">
        <v>181</v>
      </c>
      <c r="D902" s="2" t="s">
        <v>1211</v>
      </c>
      <c r="E902" s="2" t="s">
        <v>38</v>
      </c>
      <c r="F902" s="2" t="s">
        <v>2096</v>
      </c>
      <c r="G902" s="27" t="s">
        <v>2058</v>
      </c>
      <c r="H902" s="56" t="str">
        <f>Table1[[#This Row],[Tabela]]&amp;Table1[[#This Row],[Campo]]</f>
        <v>modesg_param_sfics_taxon_europeianome_purpose_esg_alinh_tax</v>
      </c>
      <c r="I902" s="2" t="s">
        <v>612</v>
      </c>
      <c r="J902" s="42">
        <f>VLOOKUP(Table1[[#This Row],[Status]],Auxiliar!$B$16:$C$24,2,0)</f>
        <v>1</v>
      </c>
      <c r="K902" s="2" t="s">
        <v>1179</v>
      </c>
      <c r="L902" s="28" t="s">
        <v>1174</v>
      </c>
      <c r="M902" s="20" t="s">
        <v>1175</v>
      </c>
      <c r="N902" s="47">
        <v>45744</v>
      </c>
      <c r="O902" s="20">
        <f>INDEX(Auxiliar!$D$5:$F$13,MATCH(Table1[[#This Row],[Tipologia_Testes]],Auxiliar!$B$5:$B$13,0),MATCH(Table1[[#This Row],[Complexidade]],Auxiliar!$D$4:$F$4,0))</f>
        <v>0.5</v>
      </c>
      <c r="P902" s="22" t="s">
        <v>1217</v>
      </c>
      <c r="Q902" s="2"/>
      <c r="R902" s="151">
        <v>45261</v>
      </c>
      <c r="S902" s="151"/>
      <c r="T902" s="151">
        <v>45563</v>
      </c>
      <c r="U902" s="151">
        <v>45603</v>
      </c>
      <c r="V902" s="151">
        <v>45604</v>
      </c>
      <c r="W902" s="2">
        <f>VLOOKUP(Table1[[#This Row],[Status]],Auxiliar!$B$16:$D$24,3,0)*Table1[[#This Row],[Estimação (horas)]]</f>
        <v>0.5</v>
      </c>
      <c r="X902" s="165">
        <f>+VLOOKUP(CONCATENATE(Table1[[#This Row],[Tabela]],Table1[[#This Row],[Campo]]),'2. Status Detalhe Campos FY24'!A:J,9,FALSE)</f>
        <v>0</v>
      </c>
      <c r="Y902" s="491" t="e">
        <f>+VLOOKUP(A902,#REF!,1,FALSE)</f>
        <v>#REF!</v>
      </c>
    </row>
    <row r="903" spans="1:25" ht="17.899999999999999" hidden="1" customHeight="1">
      <c r="A903" t="str">
        <f>+Table1[[#This Row],[Tabela]]&amp;Table1[[#This Row],[Campo]]</f>
        <v>modesg_param_sfics_taxon_europeianome_purpose_esg_alinh_tax</v>
      </c>
      <c r="B903" s="2" t="s">
        <v>26</v>
      </c>
      <c r="C903" s="2" t="s">
        <v>181</v>
      </c>
      <c r="D903" s="2" t="s">
        <v>1211</v>
      </c>
      <c r="E903" s="2" t="s">
        <v>38</v>
      </c>
      <c r="F903" s="2" t="s">
        <v>2096</v>
      </c>
      <c r="G903" s="27" t="s">
        <v>2058</v>
      </c>
      <c r="H903" s="56" t="str">
        <f>Table1[[#This Row],[Tabela]]&amp;Table1[[#This Row],[Campo]]</f>
        <v>modesg_param_sfics_taxon_europeianome_purpose_esg_alinh_tax</v>
      </c>
      <c r="I903" s="2" t="s">
        <v>612</v>
      </c>
      <c r="J903" s="54">
        <f>VLOOKUP(Table1[[#This Row],[Status]],Auxiliar!$B$16:$C$24,2,0)</f>
        <v>1</v>
      </c>
      <c r="K903" s="2" t="s">
        <v>1171</v>
      </c>
      <c r="L903" s="28" t="s">
        <v>1174</v>
      </c>
      <c r="M903" s="20" t="s">
        <v>1175</v>
      </c>
      <c r="N903" s="47">
        <v>45744</v>
      </c>
      <c r="O903" s="20">
        <f>INDEX(Auxiliar!$D$5:$F$13,MATCH(Table1[[#This Row],[Tipologia_Testes]],Auxiliar!$B$5:$B$13,0),MATCH(Table1[[#This Row],[Complexidade]],Auxiliar!$D$4:$F$4,0))</f>
        <v>0.1</v>
      </c>
      <c r="P903" s="2" t="s">
        <v>1194</v>
      </c>
      <c r="Q903" s="2"/>
      <c r="R903" s="151">
        <v>45561</v>
      </c>
      <c r="S903" s="151"/>
      <c r="T903" s="151">
        <v>45561</v>
      </c>
      <c r="U903" s="151"/>
      <c r="V903" s="151"/>
      <c r="W903" s="2">
        <f>VLOOKUP(Table1[[#This Row],[Status]],Auxiliar!$B$16:$D$24,3,0)*Table1[[#This Row],[Estimação (horas)]]</f>
        <v>0.1</v>
      </c>
      <c r="X903" s="165">
        <f>+VLOOKUP(CONCATENATE(Table1[[#This Row],[Tabela]],Table1[[#This Row],[Campo]]),'2. Status Detalhe Campos FY24'!A:J,9,FALSE)</f>
        <v>0</v>
      </c>
      <c r="Y903" s="491" t="e">
        <f>+VLOOKUP(A903,#REF!,1,FALSE)</f>
        <v>#REF!</v>
      </c>
    </row>
    <row r="904" spans="1:25" ht="17.899999999999999" hidden="1" customHeight="1">
      <c r="A904" t="str">
        <f>+Table1[[#This Row],[Tabela]]&amp;Table1[[#This Row],[Campo]]</f>
        <v>modesg_param_sfics_taxon_europeiacgarante_bem</v>
      </c>
      <c r="B904" s="2" t="s">
        <v>26</v>
      </c>
      <c r="C904" s="2" t="s">
        <v>181</v>
      </c>
      <c r="D904" s="2" t="s">
        <v>1211</v>
      </c>
      <c r="E904" s="2" t="s">
        <v>38</v>
      </c>
      <c r="F904" s="2" t="s">
        <v>2096</v>
      </c>
      <c r="G904" s="2" t="s">
        <v>2409</v>
      </c>
      <c r="H904" s="56" t="str">
        <f>Table1[[#This Row],[Tabela]]&amp;Table1[[#This Row],[Campo]]</f>
        <v>modesg_param_sfics_taxon_europeiacgarante_bem</v>
      </c>
      <c r="I904" s="2" t="s">
        <v>612</v>
      </c>
      <c r="J904" s="54">
        <f>VLOOKUP(Table1[[#This Row],[Status]],Auxiliar!$B$16:$C$24,2,0)</f>
        <v>1</v>
      </c>
      <c r="K904" s="2" t="s">
        <v>1171</v>
      </c>
      <c r="L904" s="28"/>
      <c r="M904" s="20"/>
      <c r="N904" s="47">
        <v>45744</v>
      </c>
      <c r="O904" s="20" t="e">
        <f>INDEX(Auxiliar!$D$5:$F$11,MATCH(Table1[[#This Row],[Tipologia_Testes]],Auxiliar!$B$5:$B$11,0),MATCH(Table1[[#This Row],[Complexidade]],Auxiliar!$D$4:$F$4,0))</f>
        <v>#N/A</v>
      </c>
      <c r="P904" s="2"/>
      <c r="Q904" s="2"/>
      <c r="R904" s="151"/>
      <c r="S904" s="151"/>
      <c r="T904" s="151"/>
      <c r="U904" s="151"/>
      <c r="V904" s="151"/>
      <c r="W904" s="2" t="e">
        <f>VLOOKUP(Table1[[#This Row],[Status]],Auxiliar!$B$16:$D$24,3,0)*Table1[[#This Row],[Estimação (horas)]]</f>
        <v>#N/A</v>
      </c>
      <c r="X904" s="165">
        <f>+VLOOKUP(CONCATENATE(Table1[[#This Row],[Tabela]],Table1[[#This Row],[Campo]]),'2. Status Detalhe Campos FY24'!A:J,9,FALSE)</f>
        <v>0</v>
      </c>
      <c r="Y904" s="491" t="e">
        <f>+VLOOKUP(A904,#REF!,1,FALSE)</f>
        <v>#REF!</v>
      </c>
    </row>
    <row r="905" spans="1:25" ht="17.899999999999999" hidden="1" customHeight="1">
      <c r="A905" t="str">
        <f>+Table1[[#This Row],[Tabela]]&amp;Table1[[#This Row],[Campo]]</f>
        <v>modesg_param_sfics_taxon_europeianome_general_specific_purpose</v>
      </c>
      <c r="B905" s="2" t="s">
        <v>26</v>
      </c>
      <c r="C905" s="2" t="s">
        <v>181</v>
      </c>
      <c r="D905" s="2" t="s">
        <v>1211</v>
      </c>
      <c r="E905" s="2" t="s">
        <v>38</v>
      </c>
      <c r="F905" s="2" t="s">
        <v>2096</v>
      </c>
      <c r="G905" s="27" t="s">
        <v>204</v>
      </c>
      <c r="H905" s="56" t="str">
        <f>Table1[[#This Row],[Tabela]]&amp;Table1[[#This Row],[Campo]]</f>
        <v>modesg_param_sfics_taxon_europeianome_general_specific_purpose</v>
      </c>
      <c r="I905" s="2" t="s">
        <v>612</v>
      </c>
      <c r="J905" s="42">
        <f>VLOOKUP(Table1[[#This Row],[Status]],Auxiliar!$B$16:$C$24,2,0)</f>
        <v>1</v>
      </c>
      <c r="K905" s="2" t="s">
        <v>1179</v>
      </c>
      <c r="L905" s="28" t="s">
        <v>1174</v>
      </c>
      <c r="M905" s="20" t="s">
        <v>1175</v>
      </c>
      <c r="N905" s="47">
        <v>45744</v>
      </c>
      <c r="O905" s="20">
        <f>INDEX(Auxiliar!$D$5:$F$13,MATCH(Table1[[#This Row],[Tipologia_Testes]],Auxiliar!$B$5:$B$13,0),MATCH(Table1[[#This Row],[Complexidade]],Auxiliar!$D$4:$F$4,0))</f>
        <v>0.5</v>
      </c>
      <c r="P905" s="22" t="s">
        <v>1217</v>
      </c>
      <c r="Q905" s="2"/>
      <c r="R905" s="151">
        <v>45261</v>
      </c>
      <c r="S905" s="151"/>
      <c r="T905" s="151">
        <v>45563</v>
      </c>
      <c r="U905" s="151">
        <v>45603</v>
      </c>
      <c r="V905" s="151">
        <v>45604</v>
      </c>
      <c r="W905" s="2">
        <f>VLOOKUP(Table1[[#This Row],[Status]],Auxiliar!$B$16:$D$24,3,0)*Table1[[#This Row],[Estimação (horas)]]</f>
        <v>0.5</v>
      </c>
      <c r="X905" s="165">
        <f>+VLOOKUP(CONCATENATE(Table1[[#This Row],[Tabela]],Table1[[#This Row],[Campo]]),'2. Status Detalhe Campos FY24'!A:J,9,FALSE)</f>
        <v>0</v>
      </c>
      <c r="Y905" s="491" t="e">
        <f>+VLOOKUP(A905,#REF!,1,FALSE)</f>
        <v>#REF!</v>
      </c>
    </row>
    <row r="906" spans="1:25" ht="17.899999999999999" hidden="1" customHeight="1">
      <c r="A906" t="str">
        <f>+Table1[[#This Row],[Tabela]]&amp;Table1[[#This Row],[Campo]]</f>
        <v>modesg_param_sfics_taxon_europeianome_general_specific_purpose</v>
      </c>
      <c r="B906" s="2" t="s">
        <v>26</v>
      </c>
      <c r="C906" s="2" t="s">
        <v>181</v>
      </c>
      <c r="D906" s="2" t="s">
        <v>1211</v>
      </c>
      <c r="E906" s="2" t="s">
        <v>38</v>
      </c>
      <c r="F906" s="2" t="s">
        <v>2096</v>
      </c>
      <c r="G906" s="27" t="s">
        <v>204</v>
      </c>
      <c r="H906" s="56" t="str">
        <f>Table1[[#This Row],[Tabela]]&amp;Table1[[#This Row],[Campo]]</f>
        <v>modesg_param_sfics_taxon_europeianome_general_specific_purpose</v>
      </c>
      <c r="I906" s="2" t="s">
        <v>612</v>
      </c>
      <c r="J906" s="54">
        <f>VLOOKUP(Table1[[#This Row],[Status]],Auxiliar!$B$16:$C$24,2,0)</f>
        <v>1</v>
      </c>
      <c r="K906" s="2" t="s">
        <v>1171</v>
      </c>
      <c r="L906" s="28" t="s">
        <v>1174</v>
      </c>
      <c r="M906" s="20" t="s">
        <v>1175</v>
      </c>
      <c r="N906" s="47">
        <v>45744</v>
      </c>
      <c r="O906" s="20">
        <f>INDEX(Auxiliar!$D$5:$F$13,MATCH(Table1[[#This Row],[Tipologia_Testes]],Auxiliar!$B$5:$B$13,0),MATCH(Table1[[#This Row],[Complexidade]],Auxiliar!$D$4:$F$4,0))</f>
        <v>0.1</v>
      </c>
      <c r="P906" s="2" t="s">
        <v>1194</v>
      </c>
      <c r="Q906" s="2"/>
      <c r="R906" s="151">
        <v>45561</v>
      </c>
      <c r="S906" s="151"/>
      <c r="T906" s="151">
        <v>45561</v>
      </c>
      <c r="U906" s="151"/>
      <c r="V906" s="151"/>
      <c r="W906" s="2">
        <f>VLOOKUP(Table1[[#This Row],[Status]],Auxiliar!$B$16:$D$24,3,0)*Table1[[#This Row],[Estimação (horas)]]</f>
        <v>0.1</v>
      </c>
      <c r="X906" s="165">
        <f>+VLOOKUP(CONCATENATE(Table1[[#This Row],[Tabela]],Table1[[#This Row],[Campo]]),'2. Status Detalhe Campos FY24'!A:J,9,FALSE)</f>
        <v>0</v>
      </c>
      <c r="Y906" s="491" t="e">
        <f>+VLOOKUP(A906,#REF!,1,FALSE)</f>
        <v>#REF!</v>
      </c>
    </row>
    <row r="907" spans="1:25" ht="17.899999999999999" hidden="1" customHeight="1">
      <c r="A907" t="str">
        <f>+Table1[[#This Row],[Tabela]]&amp;Table1[[#This Row],[Campo]]</f>
        <v>modesg_param_sfics_taxon_europeianome_specific_eligible</v>
      </c>
      <c r="B907" s="2" t="s">
        <v>26</v>
      </c>
      <c r="C907" s="2" t="s">
        <v>181</v>
      </c>
      <c r="D907" s="2" t="s">
        <v>1211</v>
      </c>
      <c r="E907" s="2" t="s">
        <v>38</v>
      </c>
      <c r="F907" s="2" t="s">
        <v>2096</v>
      </c>
      <c r="G907" s="27" t="s">
        <v>206</v>
      </c>
      <c r="H907" s="56" t="str">
        <f>Table1[[#This Row],[Tabela]]&amp;Table1[[#This Row],[Campo]]</f>
        <v>modesg_param_sfics_taxon_europeianome_specific_eligible</v>
      </c>
      <c r="I907" s="2" t="s">
        <v>612</v>
      </c>
      <c r="J907" s="42">
        <f>VLOOKUP(Table1[[#This Row],[Status]],Auxiliar!$B$16:$C$24,2,0)</f>
        <v>1</v>
      </c>
      <c r="K907" s="2" t="s">
        <v>1179</v>
      </c>
      <c r="L907" s="28" t="s">
        <v>1174</v>
      </c>
      <c r="M907" s="20" t="s">
        <v>1175</v>
      </c>
      <c r="N907" s="47">
        <v>45744</v>
      </c>
      <c r="O907" s="20">
        <f>INDEX(Auxiliar!$D$5:$F$13,MATCH(Table1[[#This Row],[Tipologia_Testes]],Auxiliar!$B$5:$B$13,0),MATCH(Table1[[#This Row],[Complexidade]],Auxiliar!$D$4:$F$4,0))</f>
        <v>0.5</v>
      </c>
      <c r="P907" s="2"/>
      <c r="Q907" s="2"/>
      <c r="R907" s="151">
        <v>45563</v>
      </c>
      <c r="S907" s="151"/>
      <c r="T907" s="151">
        <v>45563</v>
      </c>
      <c r="U907" s="151">
        <v>45603</v>
      </c>
      <c r="V907" s="151">
        <v>45604</v>
      </c>
      <c r="W907" s="2">
        <f>VLOOKUP(Table1[[#This Row],[Status]],Auxiliar!$B$16:$D$24,3,0)*Table1[[#This Row],[Estimação (horas)]]</f>
        <v>0.5</v>
      </c>
      <c r="X907" s="165">
        <f>+VLOOKUP(CONCATENATE(Table1[[#This Row],[Tabela]],Table1[[#This Row],[Campo]]),'2. Status Detalhe Campos FY24'!A:J,9,FALSE)</f>
        <v>0</v>
      </c>
      <c r="Y907" s="491" t="e">
        <f>+VLOOKUP(A907,#REF!,1,FALSE)</f>
        <v>#REF!</v>
      </c>
    </row>
    <row r="908" spans="1:25" ht="17.899999999999999" hidden="1" customHeight="1">
      <c r="A908" t="str">
        <f>+Table1[[#This Row],[Tabela]]&amp;Table1[[#This Row],[Campo]]</f>
        <v>modesg_param_sfics_taxon_europeianome_specific_eligible</v>
      </c>
      <c r="B908" s="2" t="s">
        <v>26</v>
      </c>
      <c r="C908" s="2" t="s">
        <v>181</v>
      </c>
      <c r="D908" s="2" t="s">
        <v>1211</v>
      </c>
      <c r="E908" s="2" t="s">
        <v>38</v>
      </c>
      <c r="F908" s="2" t="s">
        <v>2096</v>
      </c>
      <c r="G908" s="27" t="s">
        <v>206</v>
      </c>
      <c r="H908" s="56" t="str">
        <f>Table1[[#This Row],[Tabela]]&amp;Table1[[#This Row],[Campo]]</f>
        <v>modesg_param_sfics_taxon_europeianome_specific_eligible</v>
      </c>
      <c r="I908" s="2" t="s">
        <v>612</v>
      </c>
      <c r="J908" s="54">
        <f>VLOOKUP(Table1[[#This Row],[Status]],Auxiliar!$B$16:$C$24,2,0)</f>
        <v>1</v>
      </c>
      <c r="K908" s="2" t="s">
        <v>1171</v>
      </c>
      <c r="L908" s="28"/>
      <c r="M908" s="20"/>
      <c r="N908" s="47">
        <v>45744</v>
      </c>
      <c r="O908" s="20" t="e">
        <f>INDEX(Auxiliar!$D$5:$F$11,MATCH(Table1[[#This Row],[Tipologia_Testes]],Auxiliar!$B$5:$B$11,0),MATCH(Table1[[#This Row],[Complexidade]],Auxiliar!$D$4:$F$4,0))</f>
        <v>#N/A</v>
      </c>
      <c r="P908" s="2"/>
      <c r="Q908" s="2"/>
      <c r="R908" s="151"/>
      <c r="S908" s="151"/>
      <c r="T908" s="151"/>
      <c r="U908" s="151"/>
      <c r="V908" s="151"/>
      <c r="W908" s="2" t="e">
        <f>VLOOKUP(Table1[[#This Row],[Status]],Auxiliar!$B$16:$D$24,3,0)*Table1[[#This Row],[Estimação (horas)]]</f>
        <v>#N/A</v>
      </c>
      <c r="X908" s="165">
        <f>+VLOOKUP(CONCATENATE(Table1[[#This Row],[Tabela]],Table1[[#This Row],[Campo]]),'2. Status Detalhe Campos FY24'!A:J,9,FALSE)</f>
        <v>0</v>
      </c>
      <c r="Y908" s="491" t="e">
        <f>+VLOOKUP(A908,#REF!,1,FALSE)</f>
        <v>#REF!</v>
      </c>
    </row>
    <row r="909" spans="1:25" ht="17.899999999999999" hidden="1" customHeight="1">
      <c r="A909" t="str">
        <f>+Table1[[#This Row],[Tabela]]&amp;Table1[[#This Row],[Campo]]</f>
        <v>modesg_param_sfics_taxon_europeianome_specific_sustainable</v>
      </c>
      <c r="B909" s="2" t="s">
        <v>26</v>
      </c>
      <c r="C909" s="2" t="s">
        <v>181</v>
      </c>
      <c r="D909" s="2" t="s">
        <v>1211</v>
      </c>
      <c r="E909" s="2" t="s">
        <v>38</v>
      </c>
      <c r="F909" s="2" t="s">
        <v>2096</v>
      </c>
      <c r="G909" s="27" t="s">
        <v>207</v>
      </c>
      <c r="H909" s="56" t="str">
        <f>Table1[[#This Row],[Tabela]]&amp;Table1[[#This Row],[Campo]]</f>
        <v>modesg_param_sfics_taxon_europeianome_specific_sustainable</v>
      </c>
      <c r="I909" s="2" t="s">
        <v>612</v>
      </c>
      <c r="J909" s="54">
        <f>VLOOKUP(Table1[[#This Row],[Status]],Auxiliar!$B$16:$C$24,2,0)</f>
        <v>1</v>
      </c>
      <c r="K909" s="2" t="s">
        <v>1179</v>
      </c>
      <c r="L909" s="28" t="s">
        <v>1174</v>
      </c>
      <c r="M909" s="20" t="s">
        <v>1175</v>
      </c>
      <c r="N909" s="47">
        <v>45744</v>
      </c>
      <c r="O909" s="20">
        <f>INDEX(Auxiliar!$D$5:$F$13,MATCH(Table1[[#This Row],[Tipologia_Testes]],Auxiliar!$B$5:$B$13,0),MATCH(Table1[[#This Row],[Complexidade]],Auxiliar!$D$4:$F$4,0))</f>
        <v>0.5</v>
      </c>
      <c r="P909" s="2"/>
      <c r="Q909" s="2"/>
      <c r="R909" s="151">
        <v>45261</v>
      </c>
      <c r="S909" s="151"/>
      <c r="T909" s="151"/>
      <c r="U909" s="151">
        <v>45603</v>
      </c>
      <c r="V909" s="151"/>
      <c r="W909" s="2">
        <f>VLOOKUP(Table1[[#This Row],[Status]],Auxiliar!$B$16:$D$24,3,0)*Table1[[#This Row],[Estimação (horas)]]</f>
        <v>0.5</v>
      </c>
      <c r="X909" s="165">
        <f>+VLOOKUP(CONCATENATE(Table1[[#This Row],[Tabela]],Table1[[#This Row],[Campo]]),'2. Status Detalhe Campos FY24'!A:J,9,FALSE)</f>
        <v>0</v>
      </c>
      <c r="Y909" s="491" t="e">
        <f>+VLOOKUP(A909,#REF!,1,FALSE)</f>
        <v>#REF!</v>
      </c>
    </row>
    <row r="910" spans="1:25" ht="17.899999999999999" hidden="1" customHeight="1">
      <c r="A910" t="str">
        <f>+Table1[[#This Row],[Tabela]]&amp;Table1[[#This Row],[Campo]]</f>
        <v>modesg_param_sfics_taxon_europeianome_specific_sustainable</v>
      </c>
      <c r="B910" s="2" t="s">
        <v>26</v>
      </c>
      <c r="C910" s="2" t="s">
        <v>181</v>
      </c>
      <c r="D910" s="2" t="s">
        <v>1211</v>
      </c>
      <c r="E910" s="2" t="s">
        <v>38</v>
      </c>
      <c r="F910" s="2" t="s">
        <v>2096</v>
      </c>
      <c r="G910" s="27" t="s">
        <v>207</v>
      </c>
      <c r="H910" s="56" t="str">
        <f>Table1[[#This Row],[Tabela]]&amp;Table1[[#This Row],[Campo]]</f>
        <v>modesg_param_sfics_taxon_europeianome_specific_sustainable</v>
      </c>
      <c r="I910" s="2" t="s">
        <v>612</v>
      </c>
      <c r="J910" s="54">
        <f>VLOOKUP(Table1[[#This Row],[Status]],Auxiliar!$B$16:$C$24,2,0)</f>
        <v>1</v>
      </c>
      <c r="K910" s="2" t="s">
        <v>1171</v>
      </c>
      <c r="L910" s="28"/>
      <c r="M910" s="20"/>
      <c r="N910" s="47">
        <v>45744</v>
      </c>
      <c r="O910" s="20" t="e">
        <f>INDEX(Auxiliar!$D$5:$F$11,MATCH(Table1[[#This Row],[Tipologia_Testes]],Auxiliar!$B$5:$B$11,0),MATCH(Table1[[#This Row],[Complexidade]],Auxiliar!$D$4:$F$4,0))</f>
        <v>#N/A</v>
      </c>
      <c r="P910" s="2"/>
      <c r="Q910" s="2"/>
      <c r="R910" s="151"/>
      <c r="S910" s="151"/>
      <c r="T910" s="151"/>
      <c r="U910" s="151"/>
      <c r="V910" s="151"/>
      <c r="W910" s="2" t="e">
        <f>VLOOKUP(Table1[[#This Row],[Status]],Auxiliar!$B$16:$D$24,3,0)*Table1[[#This Row],[Estimação (horas)]]</f>
        <v>#N/A</v>
      </c>
      <c r="X910" s="165">
        <f>+VLOOKUP(CONCATENATE(Table1[[#This Row],[Tabela]],Table1[[#This Row],[Campo]]),'2. Status Detalhe Campos FY24'!A:J,9,FALSE)</f>
        <v>0</v>
      </c>
      <c r="Y910" s="491" t="e">
        <f>+VLOOKUP(A910,#REF!,1,FALSE)</f>
        <v>#REF!</v>
      </c>
    </row>
    <row r="911" spans="1:25" ht="17.899999999999999" hidden="1" customHeight="1">
      <c r="A911" t="str">
        <f>+Table1[[#This Row],[Tabela]]&amp;Table1[[#This Row],[Campo]]</f>
        <v>modesg_param_sfics_taxon_europeiaproperty_purpose_code</v>
      </c>
      <c r="B911" s="2" t="s">
        <v>26</v>
      </c>
      <c r="C911" s="2" t="s">
        <v>181</v>
      </c>
      <c r="D911" s="2" t="s">
        <v>1211</v>
      </c>
      <c r="E911" s="2" t="s">
        <v>38</v>
      </c>
      <c r="F911" s="2" t="s">
        <v>2096</v>
      </c>
      <c r="G911" s="2" t="s">
        <v>2053</v>
      </c>
      <c r="H911" s="56" t="str">
        <f>Table1[[#This Row],[Tabela]]&amp;Table1[[#This Row],[Campo]]</f>
        <v>modesg_param_sfics_taxon_europeiaproperty_purpose_code</v>
      </c>
      <c r="I911" s="2" t="s">
        <v>612</v>
      </c>
      <c r="J911" s="42">
        <f>VLOOKUP(Table1[[#This Row],[Status]],Auxiliar!$B$16:$C$24,2,0)</f>
        <v>1</v>
      </c>
      <c r="K911" s="2" t="s">
        <v>1179</v>
      </c>
      <c r="L911" s="28" t="s">
        <v>1174</v>
      </c>
      <c r="M911" s="20" t="s">
        <v>1175</v>
      </c>
      <c r="N911" s="47">
        <v>45744</v>
      </c>
      <c r="O911" s="20">
        <f>INDEX(Auxiliar!$D$5:$F$13,MATCH(Table1[[#This Row],[Tipologia_Testes]],Auxiliar!$B$5:$B$13,0),MATCH(Table1[[#This Row],[Complexidade]],Auxiliar!$D$4:$F$4,0))</f>
        <v>0.5</v>
      </c>
      <c r="P911" s="2"/>
      <c r="Q911" s="2"/>
      <c r="R911" s="151">
        <v>45561</v>
      </c>
      <c r="S911" s="151"/>
      <c r="T911" s="151">
        <v>45561</v>
      </c>
      <c r="U911" s="151">
        <v>45603</v>
      </c>
      <c r="V911" s="151">
        <v>45604</v>
      </c>
      <c r="W911" s="2">
        <f>VLOOKUP(Table1[[#This Row],[Status]],Auxiliar!$B$16:$D$24,3,0)*Table1[[#This Row],[Estimação (horas)]]</f>
        <v>0.5</v>
      </c>
      <c r="X911" s="165">
        <f>+VLOOKUP(CONCATENATE(Table1[[#This Row],[Tabela]],Table1[[#This Row],[Campo]]),'2. Status Detalhe Campos FY24'!A:J,9,FALSE)</f>
        <v>0</v>
      </c>
      <c r="Y911" s="491" t="e">
        <f>+VLOOKUP(A911,#REF!,1,FALSE)</f>
        <v>#REF!</v>
      </c>
    </row>
    <row r="912" spans="1:25" ht="17.899999999999999" hidden="1" customHeight="1">
      <c r="A912" t="str">
        <f>+Table1[[#This Row],[Tabela]]&amp;Table1[[#This Row],[Campo]]</f>
        <v>modesg_param_sfics_taxon_europeiaproperty_purpose_code</v>
      </c>
      <c r="B912" s="2" t="s">
        <v>26</v>
      </c>
      <c r="C912" s="2" t="s">
        <v>181</v>
      </c>
      <c r="D912" s="2" t="s">
        <v>1211</v>
      </c>
      <c r="E912" s="2" t="s">
        <v>38</v>
      </c>
      <c r="F912" s="2" t="s">
        <v>2096</v>
      </c>
      <c r="G912" s="2" t="s">
        <v>2053</v>
      </c>
      <c r="H912" s="56" t="str">
        <f>Table1[[#This Row],[Tabela]]&amp;Table1[[#This Row],[Campo]]</f>
        <v>modesg_param_sfics_taxon_europeiaproperty_purpose_code</v>
      </c>
      <c r="I912" s="2" t="s">
        <v>612</v>
      </c>
      <c r="J912" s="54">
        <f>VLOOKUP(Table1[[#This Row],[Status]],Auxiliar!$B$16:$C$24,2,0)</f>
        <v>1</v>
      </c>
      <c r="K912" s="2" t="s">
        <v>1171</v>
      </c>
      <c r="L912" s="28"/>
      <c r="M912" s="20"/>
      <c r="N912" s="47">
        <v>45744</v>
      </c>
      <c r="O912" s="20" t="e">
        <f>INDEX(Auxiliar!$D$5:$F$11,MATCH(Table1[[#This Row],[Tipologia_Testes]],Auxiliar!$B$5:$B$11,0),MATCH(Table1[[#This Row],[Complexidade]],Auxiliar!$D$4:$F$4,0))</f>
        <v>#N/A</v>
      </c>
      <c r="P912" s="2"/>
      <c r="Q912" s="2"/>
      <c r="R912" s="151"/>
      <c r="S912" s="151"/>
      <c r="T912" s="151"/>
      <c r="U912" s="151"/>
      <c r="V912" s="151"/>
      <c r="W912" s="2" t="e">
        <f>VLOOKUP(Table1[[#This Row],[Status]],Auxiliar!$B$16:$D$24,3,0)*Table1[[#This Row],[Estimação (horas)]]</f>
        <v>#N/A</v>
      </c>
      <c r="X912" s="165">
        <f>+VLOOKUP(CONCATENATE(Table1[[#This Row],[Tabela]],Table1[[#This Row],[Campo]]),'2. Status Detalhe Campos FY24'!A:J,9,FALSE)</f>
        <v>0</v>
      </c>
      <c r="Y912" s="491" t="e">
        <f>+VLOOKUP(A912,#REF!,1,FALSE)</f>
        <v>#REF!</v>
      </c>
    </row>
    <row r="913" spans="1:25" ht="17.899999999999999" hidden="1" customHeight="1">
      <c r="A913" t="str">
        <f>+Table1[[#This Row],[Tabela]]&amp;Table1[[#This Row],[Campo]]</f>
        <v>modesg_param_sfics_taxon_europeiadabertur</v>
      </c>
      <c r="B913" s="2" t="s">
        <v>26</v>
      </c>
      <c r="C913" s="2" t="s">
        <v>181</v>
      </c>
      <c r="D913" s="2" t="s">
        <v>1211</v>
      </c>
      <c r="E913" s="2" t="s">
        <v>38</v>
      </c>
      <c r="F913" s="2" t="s">
        <v>2096</v>
      </c>
      <c r="G913" s="2" t="s">
        <v>2054</v>
      </c>
      <c r="H913" s="56" t="str">
        <f>Table1[[#This Row],[Tabela]]&amp;Table1[[#This Row],[Campo]]</f>
        <v>modesg_param_sfics_taxon_europeiadabertur</v>
      </c>
      <c r="I913" s="2" t="s">
        <v>612</v>
      </c>
      <c r="J913" s="42">
        <f>VLOOKUP(Table1[[#This Row],[Status]],Auxiliar!$B$16:$C$24,2,0)</f>
        <v>1</v>
      </c>
      <c r="K913" s="2" t="s">
        <v>1179</v>
      </c>
      <c r="L913" s="28" t="s">
        <v>1174</v>
      </c>
      <c r="M913" s="20" t="s">
        <v>1175</v>
      </c>
      <c r="N913" s="47">
        <v>45744</v>
      </c>
      <c r="O913" s="20">
        <f>INDEX(Auxiliar!$D$5:$F$13,MATCH(Table1[[#This Row],[Tipologia_Testes]],Auxiliar!$B$5:$B$13,0),MATCH(Table1[[#This Row],[Complexidade]],Auxiliar!$D$4:$F$4,0))</f>
        <v>0.5</v>
      </c>
      <c r="P913" s="2"/>
      <c r="Q913" s="2"/>
      <c r="R913" s="151">
        <v>45563</v>
      </c>
      <c r="S913" s="151"/>
      <c r="T913" s="151">
        <v>45563</v>
      </c>
      <c r="U913" s="151">
        <v>45603</v>
      </c>
      <c r="V913" s="151">
        <v>45604</v>
      </c>
      <c r="W913" s="2">
        <f>VLOOKUP(Table1[[#This Row],[Status]],Auxiliar!$B$16:$D$24,3,0)*Table1[[#This Row],[Estimação (horas)]]</f>
        <v>0.5</v>
      </c>
      <c r="X913" s="165">
        <f>+VLOOKUP(CONCATENATE(Table1[[#This Row],[Tabela]],Table1[[#This Row],[Campo]]),'2. Status Detalhe Campos FY24'!A:J,9,FALSE)</f>
        <v>0</v>
      </c>
      <c r="Y913" s="491" t="e">
        <f>+VLOOKUP(A913,#REF!,1,FALSE)</f>
        <v>#REF!</v>
      </c>
    </row>
    <row r="914" spans="1:25" ht="17.899999999999999" hidden="1" customHeight="1">
      <c r="A914" t="str">
        <f>+Table1[[#This Row],[Tabela]]&amp;Table1[[#This Row],[Campo]]</f>
        <v>modesg_param_sfics_taxon_europeiadabertur</v>
      </c>
      <c r="B914" s="2" t="s">
        <v>26</v>
      </c>
      <c r="C914" s="2" t="s">
        <v>181</v>
      </c>
      <c r="D914" s="2" t="s">
        <v>1211</v>
      </c>
      <c r="E914" s="2" t="s">
        <v>38</v>
      </c>
      <c r="F914" s="2" t="s">
        <v>2096</v>
      </c>
      <c r="G914" s="2" t="s">
        <v>2054</v>
      </c>
      <c r="H914" s="56" t="str">
        <f>Table1[[#This Row],[Tabela]]&amp;Table1[[#This Row],[Campo]]</f>
        <v>modesg_param_sfics_taxon_europeiadabertur</v>
      </c>
      <c r="I914" s="2" t="s">
        <v>612</v>
      </c>
      <c r="J914" s="54">
        <f>VLOOKUP(Table1[[#This Row],[Status]],Auxiliar!$B$16:$C$24,2,0)</f>
        <v>1</v>
      </c>
      <c r="K914" s="2" t="s">
        <v>1171</v>
      </c>
      <c r="L914" s="28"/>
      <c r="M914" s="20"/>
      <c r="N914" s="47">
        <v>45744</v>
      </c>
      <c r="O914" s="20" t="e">
        <f>INDEX(Auxiliar!$D$5:$F$11,MATCH(Table1[[#This Row],[Tipologia_Testes]],Auxiliar!$B$5:$B$11,0),MATCH(Table1[[#This Row],[Complexidade]],Auxiliar!$D$4:$F$4,0))</f>
        <v>#N/A</v>
      </c>
      <c r="P914" s="2"/>
      <c r="Q914" s="2"/>
      <c r="R914" s="151"/>
      <c r="S914" s="151"/>
      <c r="T914" s="151"/>
      <c r="U914" s="151"/>
      <c r="V914" s="151"/>
      <c r="W914" s="2" t="e">
        <f>VLOOKUP(Table1[[#This Row],[Status]],Auxiliar!$B$16:$D$24,3,0)*Table1[[#This Row],[Estimação (horas)]]</f>
        <v>#N/A</v>
      </c>
      <c r="X914" s="165">
        <f>+VLOOKUP(CONCATENATE(Table1[[#This Row],[Tabela]],Table1[[#This Row],[Campo]]),'2. Status Detalhe Campos FY24'!A:J,9,FALSE)</f>
        <v>0</v>
      </c>
      <c r="Y914" s="491" t="e">
        <f>+VLOOKUP(A914,#REF!,1,FALSE)</f>
        <v>#REF!</v>
      </c>
    </row>
    <row r="915" spans="1:25" ht="17.899999999999999" hidden="1" customHeight="1">
      <c r="A915" t="str">
        <f>+Table1[[#This Row],[Tabela]]&amp;Table1[[#This Row],[Campo]]</f>
        <v>modesg_param_sfics_taxon_europeiatipo_eqp</v>
      </c>
      <c r="B915" s="2" t="s">
        <v>26</v>
      </c>
      <c r="C915" s="2" t="s">
        <v>181</v>
      </c>
      <c r="D915" s="2" t="s">
        <v>1211</v>
      </c>
      <c r="E915" s="2" t="s">
        <v>38</v>
      </c>
      <c r="F915" s="2" t="s">
        <v>2096</v>
      </c>
      <c r="G915" s="2" t="s">
        <v>2055</v>
      </c>
      <c r="H915" s="56" t="str">
        <f>Table1[[#This Row],[Tabela]]&amp;Table1[[#This Row],[Campo]]</f>
        <v>modesg_param_sfics_taxon_europeiatipo_eqp</v>
      </c>
      <c r="I915" s="2" t="s">
        <v>612</v>
      </c>
      <c r="J915" s="54">
        <f>VLOOKUP(Table1[[#This Row],[Status]],Auxiliar!$B$16:$C$24,2,0)</f>
        <v>1</v>
      </c>
      <c r="K915" s="2" t="s">
        <v>1179</v>
      </c>
      <c r="L915" s="28" t="s">
        <v>1174</v>
      </c>
      <c r="M915" s="20" t="s">
        <v>1175</v>
      </c>
      <c r="N915" s="47">
        <v>45744</v>
      </c>
      <c r="O915" s="20">
        <f>INDEX(Auxiliar!$D$5:$F$13,MATCH(Table1[[#This Row],[Tipologia_Testes]],Auxiliar!$B$5:$B$13,0),MATCH(Table1[[#This Row],[Complexidade]],Auxiliar!$D$4:$F$4,0))</f>
        <v>0.5</v>
      </c>
      <c r="P915" s="2"/>
      <c r="Q915" s="2"/>
      <c r="R915" s="151">
        <v>45261</v>
      </c>
      <c r="S915" s="151"/>
      <c r="T915" s="151"/>
      <c r="U915" s="151">
        <v>45603</v>
      </c>
      <c r="V915" s="151"/>
      <c r="W915" s="2">
        <f>VLOOKUP(Table1[[#This Row],[Status]],Auxiliar!$B$16:$D$24,3,0)*Table1[[#This Row],[Estimação (horas)]]</f>
        <v>0.5</v>
      </c>
      <c r="X915" s="165">
        <f>+VLOOKUP(CONCATENATE(Table1[[#This Row],[Tabela]],Table1[[#This Row],[Campo]]),'2. Status Detalhe Campos FY24'!A:J,9,FALSE)</f>
        <v>0</v>
      </c>
      <c r="Y915" s="491" t="e">
        <f>+VLOOKUP(A915,#REF!,1,FALSE)</f>
        <v>#REF!</v>
      </c>
    </row>
    <row r="916" spans="1:25" ht="17.899999999999999" hidden="1" customHeight="1">
      <c r="A916" t="str">
        <f>+Table1[[#This Row],[Tabela]]&amp;Table1[[#This Row],[Campo]]</f>
        <v>modesg_param_sfics_taxon_europeiatipo_eqp</v>
      </c>
      <c r="B916" s="2" t="s">
        <v>26</v>
      </c>
      <c r="C916" s="2" t="s">
        <v>181</v>
      </c>
      <c r="D916" s="2" t="s">
        <v>1211</v>
      </c>
      <c r="E916" s="2" t="s">
        <v>38</v>
      </c>
      <c r="F916" s="2" t="s">
        <v>2096</v>
      </c>
      <c r="G916" s="2" t="s">
        <v>2055</v>
      </c>
      <c r="H916" s="56" t="str">
        <f>Table1[[#This Row],[Tabela]]&amp;Table1[[#This Row],[Campo]]</f>
        <v>modesg_param_sfics_taxon_europeiatipo_eqp</v>
      </c>
      <c r="I916" s="2" t="s">
        <v>612</v>
      </c>
      <c r="J916" s="54">
        <f>VLOOKUP(Table1[[#This Row],[Status]],Auxiliar!$B$16:$C$24,2,0)</f>
        <v>1</v>
      </c>
      <c r="K916" s="2" t="s">
        <v>1171</v>
      </c>
      <c r="L916" s="28" t="s">
        <v>1174</v>
      </c>
      <c r="M916" s="20" t="s">
        <v>1175</v>
      </c>
      <c r="N916" s="47">
        <v>45744</v>
      </c>
      <c r="O916" s="20">
        <f>INDEX(Auxiliar!$D$5:$F$13,MATCH(Table1[[#This Row],[Tipologia_Testes]],Auxiliar!$B$5:$B$13,0),MATCH(Table1[[#This Row],[Complexidade]],Auxiliar!$D$4:$F$4,0))</f>
        <v>0.1</v>
      </c>
      <c r="P916" s="2"/>
      <c r="Q916" s="2"/>
      <c r="R916" s="151">
        <v>45563</v>
      </c>
      <c r="S916" s="151"/>
      <c r="T916" s="151">
        <v>45563</v>
      </c>
      <c r="U916" s="151">
        <v>45603</v>
      </c>
      <c r="V916" s="151">
        <v>45604</v>
      </c>
      <c r="W916" s="2">
        <f>VLOOKUP(Table1[[#This Row],[Status]],Auxiliar!$B$16:$D$24,3,0)*Table1[[#This Row],[Estimação (horas)]]</f>
        <v>0.1</v>
      </c>
      <c r="X916" s="165">
        <f>+VLOOKUP(CONCATENATE(Table1[[#This Row],[Tabela]],Table1[[#This Row],[Campo]]),'2. Status Detalhe Campos FY24'!A:J,9,FALSE)</f>
        <v>0</v>
      </c>
      <c r="Y916" s="491" t="e">
        <f>+VLOOKUP(A916,#REF!,1,FALSE)</f>
        <v>#REF!</v>
      </c>
    </row>
    <row r="917" spans="1:25" ht="17.899999999999999" hidden="1" customHeight="1">
      <c r="A917" t="str">
        <f>+Table1[[#This Row],[Tabela]]&amp;Table1[[#This Row],[Campo]]</f>
        <v>modesg_param_sfics_taxon_europeiaconstruction_year</v>
      </c>
      <c r="B917" s="2" t="s">
        <v>26</v>
      </c>
      <c r="C917" s="2" t="s">
        <v>181</v>
      </c>
      <c r="D917" s="2" t="s">
        <v>1211</v>
      </c>
      <c r="E917" s="2" t="s">
        <v>38</v>
      </c>
      <c r="F917" s="2" t="s">
        <v>2096</v>
      </c>
      <c r="G917" s="2" t="s">
        <v>2056</v>
      </c>
      <c r="H917" s="56" t="str">
        <f>Table1[[#This Row],[Tabela]]&amp;Table1[[#This Row],[Campo]]</f>
        <v>modesg_param_sfics_taxon_europeiaconstruction_year</v>
      </c>
      <c r="I917" s="2" t="s">
        <v>612</v>
      </c>
      <c r="J917" s="42">
        <f>VLOOKUP(Table1[[#This Row],[Status]],Auxiliar!$B$16:$C$24,2,0)</f>
        <v>1</v>
      </c>
      <c r="K917" s="2" t="s">
        <v>1179</v>
      </c>
      <c r="L917" s="28" t="s">
        <v>1174</v>
      </c>
      <c r="M917" s="20" t="s">
        <v>1175</v>
      </c>
      <c r="N917" s="47">
        <v>45744</v>
      </c>
      <c r="O917" s="20">
        <f>INDEX(Auxiliar!$D$5:$F$13,MATCH(Table1[[#This Row],[Tipologia_Testes]],Auxiliar!$B$5:$B$13,0),MATCH(Table1[[#This Row],[Complexidade]],Auxiliar!$D$4:$F$4,0))</f>
        <v>0.5</v>
      </c>
      <c r="P917" s="2"/>
      <c r="Q917" s="2"/>
      <c r="R917" s="151">
        <v>45563</v>
      </c>
      <c r="S917" s="151"/>
      <c r="T917" s="151">
        <v>45563</v>
      </c>
      <c r="U917" s="151">
        <v>45603</v>
      </c>
      <c r="V917" s="151">
        <v>45604</v>
      </c>
      <c r="W917" s="2">
        <f>VLOOKUP(Table1[[#This Row],[Status]],Auxiliar!$B$16:$D$24,3,0)*Table1[[#This Row],[Estimação (horas)]]</f>
        <v>0.5</v>
      </c>
      <c r="X917" s="165">
        <f>+VLOOKUP(CONCATENATE(Table1[[#This Row],[Tabela]],Table1[[#This Row],[Campo]]),'2. Status Detalhe Campos FY24'!A:J,9,FALSE)</f>
        <v>0</v>
      </c>
      <c r="Y917" s="491" t="e">
        <f>+VLOOKUP(A917,#REF!,1,FALSE)</f>
        <v>#REF!</v>
      </c>
    </row>
    <row r="918" spans="1:25" ht="17.899999999999999" hidden="1" customHeight="1">
      <c r="A918" t="str">
        <f>+Table1[[#This Row],[Tabela]]&amp;Table1[[#This Row],[Campo]]</f>
        <v>modesg_param_sfics_taxon_europeiaconstruction_year</v>
      </c>
      <c r="B918" s="2" t="s">
        <v>26</v>
      </c>
      <c r="C918" s="2" t="s">
        <v>181</v>
      </c>
      <c r="D918" s="2" t="s">
        <v>1211</v>
      </c>
      <c r="E918" s="2" t="s">
        <v>38</v>
      </c>
      <c r="F918" s="2" t="s">
        <v>2096</v>
      </c>
      <c r="G918" s="2" t="s">
        <v>2056</v>
      </c>
      <c r="H918" s="56" t="str">
        <f>Table1[[#This Row],[Tabela]]&amp;Table1[[#This Row],[Campo]]</f>
        <v>modesg_param_sfics_taxon_europeiaconstruction_year</v>
      </c>
      <c r="I918" s="2" t="s">
        <v>612</v>
      </c>
      <c r="J918" s="54">
        <f>VLOOKUP(Table1[[#This Row],[Status]],Auxiliar!$B$16:$C$24,2,0)</f>
        <v>1</v>
      </c>
      <c r="K918" s="2" t="s">
        <v>1171</v>
      </c>
      <c r="L918" s="28"/>
      <c r="M918" s="20"/>
      <c r="N918" s="47">
        <v>45744</v>
      </c>
      <c r="O918" s="20" t="e">
        <f>INDEX(Auxiliar!$D$5:$F$11,MATCH(Table1[[#This Row],[Tipologia_Testes]],Auxiliar!$B$5:$B$11,0),MATCH(Table1[[#This Row],[Complexidade]],Auxiliar!$D$4:$F$4,0))</f>
        <v>#N/A</v>
      </c>
      <c r="P918" s="2"/>
      <c r="Q918" s="2"/>
      <c r="R918" s="151"/>
      <c r="S918" s="151"/>
      <c r="T918" s="151"/>
      <c r="U918" s="151"/>
      <c r="V918" s="151"/>
      <c r="W918" s="2" t="e">
        <f>VLOOKUP(Table1[[#This Row],[Status]],Auxiliar!$B$16:$D$24,3,0)*Table1[[#This Row],[Estimação (horas)]]</f>
        <v>#N/A</v>
      </c>
      <c r="X918" s="165">
        <f>+VLOOKUP(CONCATENATE(Table1[[#This Row],[Tabela]],Table1[[#This Row],[Campo]]),'2. Status Detalhe Campos FY24'!A:J,9,FALSE)</f>
        <v>0</v>
      </c>
      <c r="Y918" s="491" t="e">
        <f>+VLOOKUP(A918,#REF!,1,FALSE)</f>
        <v>#REF!</v>
      </c>
    </row>
    <row r="919" spans="1:25" ht="17.899999999999999" hidden="1" customHeight="1">
      <c r="A919" t="str">
        <f>+Table1[[#This Row],[Tabela]]&amp;Table1[[#This Row],[Campo]]</f>
        <v>modesg_param_sfics_taxon_europeiaref_date</v>
      </c>
      <c r="B919" s="2" t="s">
        <v>26</v>
      </c>
      <c r="C919" s="2" t="s">
        <v>181</v>
      </c>
      <c r="D919" s="2" t="s">
        <v>1211</v>
      </c>
      <c r="E919" s="2" t="s">
        <v>38</v>
      </c>
      <c r="F919" s="2" t="s">
        <v>2096</v>
      </c>
      <c r="G919" s="2" t="s">
        <v>208</v>
      </c>
      <c r="H919" s="56" t="str">
        <f>Table1[[#This Row],[Tabela]]&amp;Table1[[#This Row],[Campo]]</f>
        <v>modesg_param_sfics_taxon_europeiaref_date</v>
      </c>
      <c r="I919" s="2" t="s">
        <v>612</v>
      </c>
      <c r="J919" s="54">
        <f>VLOOKUP(Table1[[#This Row],[Status]],Auxiliar!$B$16:$C$24,2,0)</f>
        <v>1</v>
      </c>
      <c r="K919" s="2" t="s">
        <v>1179</v>
      </c>
      <c r="L919" s="28" t="s">
        <v>1174</v>
      </c>
      <c r="M919" s="20" t="s">
        <v>1175</v>
      </c>
      <c r="N919" s="47">
        <v>45744</v>
      </c>
      <c r="O919" s="20">
        <f>INDEX(Auxiliar!$D$5:$F$13,MATCH(Table1[[#This Row],[Tipologia_Testes]],Auxiliar!$B$5:$B$13,0),MATCH(Table1[[#This Row],[Complexidade]],Auxiliar!$D$4:$F$4,0))</f>
        <v>0.5</v>
      </c>
      <c r="P919" s="2"/>
      <c r="Q919" s="2"/>
      <c r="R919" s="151">
        <v>45261</v>
      </c>
      <c r="S919" s="151"/>
      <c r="T919" s="151"/>
      <c r="U919" s="151">
        <v>45603</v>
      </c>
      <c r="V919" s="151"/>
      <c r="W919" s="2">
        <f>VLOOKUP(Table1[[#This Row],[Status]],Auxiliar!$B$16:$D$24,3,0)*Table1[[#This Row],[Estimação (horas)]]</f>
        <v>0.5</v>
      </c>
      <c r="X919" s="165">
        <f>+VLOOKUP(CONCATENATE(Table1[[#This Row],[Tabela]],Table1[[#This Row],[Campo]]),'2. Status Detalhe Campos FY24'!A:J,9,FALSE)</f>
        <v>0</v>
      </c>
      <c r="Y919" s="491" t="e">
        <f>+VLOOKUP(A919,#REF!,1,FALSE)</f>
        <v>#REF!</v>
      </c>
    </row>
    <row r="920" spans="1:25" ht="17.899999999999999" hidden="1" customHeight="1">
      <c r="A920" t="str">
        <f>+Table1[[#This Row],[Tabela]]&amp;Table1[[#This Row],[Campo]]</f>
        <v>modesg_param_sfics_taxon_europeiaref_date</v>
      </c>
      <c r="B920" s="2" t="s">
        <v>26</v>
      </c>
      <c r="C920" s="2" t="s">
        <v>181</v>
      </c>
      <c r="D920" s="2" t="s">
        <v>1211</v>
      </c>
      <c r="E920" s="2" t="s">
        <v>38</v>
      </c>
      <c r="F920" s="2" t="s">
        <v>2096</v>
      </c>
      <c r="G920" s="2" t="s">
        <v>208</v>
      </c>
      <c r="H920" s="56" t="str">
        <f>Table1[[#This Row],[Tabela]]&amp;Table1[[#This Row],[Campo]]</f>
        <v>modesg_param_sfics_taxon_europeiaref_date</v>
      </c>
      <c r="I920" s="2" t="s">
        <v>612</v>
      </c>
      <c r="J920" s="54">
        <f>VLOOKUP(Table1[[#This Row],[Status]],Auxiliar!$B$16:$C$24,2,0)</f>
        <v>1</v>
      </c>
      <c r="K920" s="2" t="s">
        <v>1171</v>
      </c>
      <c r="L920" s="28" t="s">
        <v>1174</v>
      </c>
      <c r="M920" s="20" t="s">
        <v>1175</v>
      </c>
      <c r="N920" s="47">
        <v>45744</v>
      </c>
      <c r="O920" s="20">
        <f>INDEX(Auxiliar!$D$5:$F$13,MATCH(Table1[[#This Row],[Tipologia_Testes]],Auxiliar!$B$5:$B$13,0),MATCH(Table1[[#This Row],[Complexidade]],Auxiliar!$D$4:$F$4,0))</f>
        <v>0.1</v>
      </c>
      <c r="P920" s="2"/>
      <c r="Q920" s="2"/>
      <c r="R920" s="151">
        <v>45563</v>
      </c>
      <c r="S920" s="151"/>
      <c r="T920" s="151">
        <v>45563</v>
      </c>
      <c r="U920" s="151">
        <v>45603</v>
      </c>
      <c r="V920" s="151">
        <v>45604</v>
      </c>
      <c r="W920" s="2">
        <f>VLOOKUP(Table1[[#This Row],[Status]],Auxiliar!$B$16:$D$24,3,0)*Table1[[#This Row],[Estimação (horas)]]</f>
        <v>0.1</v>
      </c>
      <c r="X920" s="165">
        <f>+VLOOKUP(CONCATENATE(Table1[[#This Row],[Tabela]],Table1[[#This Row],[Campo]]),'2. Status Detalhe Campos FY24'!A:J,9,FALSE)</f>
        <v>0</v>
      </c>
      <c r="Y920" s="491" t="e">
        <f>+VLOOKUP(A920,#REF!,1,FALSE)</f>
        <v>#REF!</v>
      </c>
    </row>
    <row r="921" spans="1:25" ht="17.899999999999999" hidden="1" customHeight="1">
      <c r="A921" t="str">
        <f>+Table1[[#This Row],[Tabela]]&amp;Table1[[#This Row],[Campo]]</f>
        <v>modesg_param_sfics_taxon_europeiaquality_score</v>
      </c>
      <c r="B921" s="2" t="s">
        <v>26</v>
      </c>
      <c r="C921" s="2" t="s">
        <v>181</v>
      </c>
      <c r="D921" s="2" t="s">
        <v>1211</v>
      </c>
      <c r="E921" s="2" t="s">
        <v>38</v>
      </c>
      <c r="F921" s="2" t="s">
        <v>2096</v>
      </c>
      <c r="G921" s="2" t="s">
        <v>2057</v>
      </c>
      <c r="H921" s="56" t="str">
        <f>Table1[[#This Row],[Tabela]]&amp;Table1[[#This Row],[Campo]]</f>
        <v>modesg_param_sfics_taxon_europeiaquality_score</v>
      </c>
      <c r="I921" s="2" t="s">
        <v>612</v>
      </c>
      <c r="J921" s="53">
        <f>VLOOKUP(Table1[[#This Row],[Status]],Auxiliar!$B$16:$C$24,2,0)</f>
        <v>1</v>
      </c>
      <c r="K921" s="2" t="s">
        <v>1179</v>
      </c>
      <c r="L921" s="28" t="s">
        <v>1174</v>
      </c>
      <c r="M921" s="20" t="s">
        <v>1175</v>
      </c>
      <c r="N921" s="47">
        <v>45744</v>
      </c>
      <c r="O921" s="20">
        <f>INDEX(Auxiliar!$D$5:$F$13,MATCH(Table1[[#This Row],[Tipologia_Testes]],Auxiliar!$B$5:$B$13,0),MATCH(Table1[[#This Row],[Complexidade]],Auxiliar!$D$4:$F$4,0))</f>
        <v>0.5</v>
      </c>
      <c r="P921" s="2"/>
      <c r="Q921" s="2"/>
      <c r="R921" s="151">
        <v>45261</v>
      </c>
      <c r="S921" s="151"/>
      <c r="T921" s="151"/>
      <c r="U921" s="151">
        <v>45603</v>
      </c>
      <c r="V921" s="151"/>
      <c r="W921" s="2">
        <f>VLOOKUP(Table1[[#This Row],[Status]],Auxiliar!$B$16:$D$24,3,0)*Table1[[#This Row],[Estimação (horas)]]</f>
        <v>0.5</v>
      </c>
      <c r="X921" s="165">
        <f>+VLOOKUP(CONCATENATE(Table1[[#This Row],[Tabela]],Table1[[#This Row],[Campo]]),'2. Status Detalhe Campos FY24'!A:J,9,FALSE)</f>
        <v>0</v>
      </c>
      <c r="Y921" s="491" t="e">
        <f>+VLOOKUP(A921,#REF!,1,FALSE)</f>
        <v>#REF!</v>
      </c>
    </row>
    <row r="922" spans="1:25" ht="17.899999999999999" hidden="1" customHeight="1">
      <c r="A922" t="str">
        <f>+Table1[[#This Row],[Tabela]]&amp;Table1[[#This Row],[Campo]]</f>
        <v>modesg_param_sfics_taxon_europeiaquality_score</v>
      </c>
      <c r="B922" s="2" t="s">
        <v>26</v>
      </c>
      <c r="C922" s="2" t="s">
        <v>181</v>
      </c>
      <c r="D922" s="2" t="s">
        <v>1211</v>
      </c>
      <c r="E922" s="2" t="s">
        <v>38</v>
      </c>
      <c r="F922" s="2" t="s">
        <v>2096</v>
      </c>
      <c r="G922" s="2" t="s">
        <v>2057</v>
      </c>
      <c r="H922" s="56" t="str">
        <f>Table1[[#This Row],[Tabela]]&amp;Table1[[#This Row],[Campo]]</f>
        <v>modesg_param_sfics_taxon_europeiaquality_score</v>
      </c>
      <c r="I922" s="2" t="s">
        <v>612</v>
      </c>
      <c r="J922" s="53">
        <f>VLOOKUP(Table1[[#This Row],[Status]],Auxiliar!$B$16:$C$24,2,0)</f>
        <v>1</v>
      </c>
      <c r="K922" s="2" t="s">
        <v>1171</v>
      </c>
      <c r="L922" s="28"/>
      <c r="M922" s="20"/>
      <c r="N922" s="47">
        <v>45744</v>
      </c>
      <c r="O922" s="20" t="e">
        <f>INDEX(Auxiliar!$D$5:$F$11,MATCH(Table1[[#This Row],[Tipologia_Testes]],Auxiliar!$B$5:$B$11,0),MATCH(Table1[[#This Row],[Complexidade]],Auxiliar!$D$4:$F$4,0))</f>
        <v>#N/A</v>
      </c>
      <c r="P922" s="2"/>
      <c r="Q922" s="2"/>
      <c r="R922" s="151"/>
      <c r="S922" s="151"/>
      <c r="T922" s="151"/>
      <c r="U922" s="151"/>
      <c r="V922" s="151"/>
      <c r="W922" s="2" t="e">
        <f>VLOOKUP(Table1[[#This Row],[Status]],Auxiliar!$B$16:$D$24,3,0)*Table1[[#This Row],[Estimação (horas)]]</f>
        <v>#N/A</v>
      </c>
      <c r="X922" s="165">
        <f>+VLOOKUP(CONCATENATE(Table1[[#This Row],[Tabela]],Table1[[#This Row],[Campo]]),'2. Status Detalhe Campos FY24'!A:J,9,FALSE)</f>
        <v>0</v>
      </c>
      <c r="Y922" s="491" t="e">
        <f>+VLOOKUP(A922,#REF!,1,FALSE)</f>
        <v>#REF!</v>
      </c>
    </row>
    <row r="923" spans="1:25" ht="17.899999999999999" hidden="1" customHeight="1">
      <c r="A923" t="str">
        <f>+Table1[[#This Row],[Tabela]]&amp;Table1[[#This Row],[Campo]]</f>
        <v>modesg_param_sfics_taxon_europeiaprimary_energy_req_value</v>
      </c>
      <c r="B923" s="2" t="s">
        <v>26</v>
      </c>
      <c r="C923" s="2" t="s">
        <v>181</v>
      </c>
      <c r="D923" s="2" t="s">
        <v>1211</v>
      </c>
      <c r="E923" s="2" t="s">
        <v>38</v>
      </c>
      <c r="F923" s="2" t="s">
        <v>2096</v>
      </c>
      <c r="G923" s="2" t="s">
        <v>2411</v>
      </c>
      <c r="H923" s="56" t="str">
        <f>Table1[[#This Row],[Tabela]]&amp;Table1[[#This Row],[Campo]]</f>
        <v>modesg_param_sfics_taxon_europeiaprimary_energy_req_value</v>
      </c>
      <c r="I923" s="2" t="s">
        <v>612</v>
      </c>
      <c r="J923" s="53">
        <f>VLOOKUP(Table1[[#This Row],[Status]],Auxiliar!$B$16:$C$24,2,0)</f>
        <v>1</v>
      </c>
      <c r="K923" s="2" t="s">
        <v>1179</v>
      </c>
      <c r="L923" s="28" t="s">
        <v>1174</v>
      </c>
      <c r="M923" s="20" t="s">
        <v>1175</v>
      </c>
      <c r="N923" s="47">
        <v>45744</v>
      </c>
      <c r="O923" s="20">
        <f>INDEX(Auxiliar!$D$5:$F$13,MATCH(Table1[[#This Row],[Tipologia_Testes]],Auxiliar!$B$5:$B$13,0),MATCH(Table1[[#This Row],[Complexidade]],Auxiliar!$D$4:$F$4,0))</f>
        <v>0.5</v>
      </c>
      <c r="P923" s="2"/>
      <c r="Q923" s="2"/>
      <c r="R923" s="151">
        <v>45261</v>
      </c>
      <c r="S923" s="151"/>
      <c r="T923" s="151"/>
      <c r="U923" s="151">
        <v>45603</v>
      </c>
      <c r="V923" s="151"/>
      <c r="W923" s="2">
        <f>VLOOKUP(Table1[[#This Row],[Status]],Auxiliar!$B$16:$D$24,3,0)*Table1[[#This Row],[Estimação (horas)]]</f>
        <v>0.5</v>
      </c>
      <c r="X923" s="165">
        <f>+VLOOKUP(CONCATENATE(Table1[[#This Row],[Tabela]],Table1[[#This Row],[Campo]]),'2. Status Detalhe Campos FY24'!A:J,9,FALSE)</f>
        <v>0</v>
      </c>
      <c r="Y923" s="491" t="e">
        <f>+VLOOKUP(A923,#REF!,1,FALSE)</f>
        <v>#REF!</v>
      </c>
    </row>
    <row r="924" spans="1:25" ht="17.899999999999999" hidden="1" customHeight="1">
      <c r="A924" t="str">
        <f>+Table1[[#This Row],[Tabela]]&amp;Table1[[#This Row],[Campo]]</f>
        <v>modesg_param_sfics_taxon_europeiaprimary_energy_req_value</v>
      </c>
      <c r="B924" s="2" t="s">
        <v>26</v>
      </c>
      <c r="C924" s="2" t="s">
        <v>181</v>
      </c>
      <c r="D924" s="2" t="s">
        <v>1211</v>
      </c>
      <c r="E924" s="2" t="s">
        <v>38</v>
      </c>
      <c r="F924" s="2" t="s">
        <v>2096</v>
      </c>
      <c r="G924" s="2" t="s">
        <v>2411</v>
      </c>
      <c r="H924" s="56" t="str">
        <f>Table1[[#This Row],[Tabela]]&amp;Table1[[#This Row],[Campo]]</f>
        <v>modesg_param_sfics_taxon_europeiaprimary_energy_req_value</v>
      </c>
      <c r="I924" s="2" t="s">
        <v>612</v>
      </c>
      <c r="J924" s="53">
        <f>VLOOKUP(Table1[[#This Row],[Status]],Auxiliar!$B$16:$C$24,2,0)</f>
        <v>1</v>
      </c>
      <c r="K924" s="2" t="s">
        <v>1171</v>
      </c>
      <c r="L924" s="28"/>
      <c r="M924" s="20"/>
      <c r="N924" s="47">
        <v>45744</v>
      </c>
      <c r="O924" s="20" t="e">
        <f>INDEX(Auxiliar!$D$5:$F$11,MATCH(Table1[[#This Row],[Tipologia_Testes]],Auxiliar!$B$5:$B$11,0),MATCH(Table1[[#This Row],[Complexidade]],Auxiliar!$D$4:$F$4,0))</f>
        <v>#N/A</v>
      </c>
      <c r="P924" s="2"/>
      <c r="Q924" s="2"/>
      <c r="R924" s="151"/>
      <c r="S924" s="151"/>
      <c r="T924" s="151"/>
      <c r="U924" s="151"/>
      <c r="V924" s="151"/>
      <c r="W924" s="2" t="e">
        <f>VLOOKUP(Table1[[#This Row],[Status]],Auxiliar!$B$16:$D$24,3,0)*Table1[[#This Row],[Estimação (horas)]]</f>
        <v>#N/A</v>
      </c>
      <c r="X924" s="165">
        <f>+VLOOKUP(CONCATENATE(Table1[[#This Row],[Tabela]],Table1[[#This Row],[Campo]]),'2. Status Detalhe Campos FY24'!A:J,9,FALSE)</f>
        <v>0</v>
      </c>
      <c r="Y924" s="491" t="e">
        <f>+VLOOKUP(A924,#REF!,1,FALSE)</f>
        <v>#REF!</v>
      </c>
    </row>
    <row r="925" spans="1:25" ht="17.899999999999999" hidden="1" customHeight="1">
      <c r="A925" t="str">
        <f>+Table1[[#This Row],[Tabela]]&amp;Table1[[#This Row],[Campo]]</f>
        <v>modesg_inp_emss_vclsn.a.</v>
      </c>
      <c r="B925" s="12" t="s">
        <v>26</v>
      </c>
      <c r="C925" s="12" t="s">
        <v>181</v>
      </c>
      <c r="D925" s="12" t="s">
        <v>1218</v>
      </c>
      <c r="E925" s="2" t="s">
        <v>38</v>
      </c>
      <c r="F925" s="12" t="s">
        <v>212</v>
      </c>
      <c r="G925" s="12" t="s">
        <v>38</v>
      </c>
      <c r="H925" s="57" t="str">
        <f>Table1[[#This Row],[Tabela]]&amp;Table1[[#This Row],[Campo]]</f>
        <v>modesg_inp_emss_vclsn.a.</v>
      </c>
      <c r="I925" s="2" t="s">
        <v>612</v>
      </c>
      <c r="J925" s="45">
        <f>VLOOKUP(Table1[[#This Row],[Status]],Auxiliar!$B$16:$C$24,2,0)</f>
        <v>1</v>
      </c>
      <c r="K925" s="20" t="s">
        <v>1165</v>
      </c>
      <c r="L925" s="240" t="s">
        <v>1174</v>
      </c>
      <c r="M925" s="20" t="s">
        <v>1175</v>
      </c>
      <c r="N925" s="47">
        <v>45546</v>
      </c>
      <c r="O925" s="20">
        <f>INDEX(Auxiliar!$D$5:$F$13,MATCH(Table1[[#This Row],[Tipologia_Testes]],Auxiliar!$B$5:$B$13,0),MATCH(Table1[[#This Row],[Complexidade]],Auxiliar!$D$4:$F$4,0))</f>
        <v>8</v>
      </c>
      <c r="P925" s="2" t="s">
        <v>1219</v>
      </c>
      <c r="Q925" s="2"/>
      <c r="R925" s="151">
        <v>45261</v>
      </c>
      <c r="S925" s="151"/>
      <c r="T925" s="151"/>
      <c r="U925" s="151">
        <v>45603</v>
      </c>
      <c r="V925" s="151">
        <v>45534</v>
      </c>
      <c r="W925" s="2">
        <f>VLOOKUP(Table1[[#This Row],[Status]],Auxiliar!$B$16:$D$24,3,0)*Table1[[#This Row],[Estimação (horas)]]</f>
        <v>8</v>
      </c>
      <c r="X925" s="165">
        <f>+VLOOKUP(CONCATENATE(Table1[[#This Row],[Tabela]],Table1[[#This Row],[Campo]]),'2. Status Detalhe Campos FY24'!A:J,9,FALSE)</f>
        <v>0</v>
      </c>
      <c r="Y925" s="491" t="e">
        <f>+VLOOKUP(A925,#REF!,1,FALSE)</f>
        <v>#REF!</v>
      </c>
    </row>
    <row r="926" spans="1:25" ht="17.899999999999999" hidden="1" customHeight="1">
      <c r="A926" t="str">
        <f>+Table1[[#This Row],[Tabela]]&amp;Table1[[#This Row],[Campo]]</f>
        <v>modesg_inp_emss_vclsn.a.</v>
      </c>
      <c r="B926" s="12" t="s">
        <v>26</v>
      </c>
      <c r="C926" s="12" t="s">
        <v>181</v>
      </c>
      <c r="D926" s="12" t="s">
        <v>1218</v>
      </c>
      <c r="E926" s="2" t="s">
        <v>38</v>
      </c>
      <c r="F926" s="12" t="s">
        <v>212</v>
      </c>
      <c r="G926" s="12" t="s">
        <v>38</v>
      </c>
      <c r="H926" s="57" t="str">
        <f>Table1[[#This Row],[Tabela]]&amp;Table1[[#This Row],[Campo]]</f>
        <v>modesg_inp_emss_vclsn.a.</v>
      </c>
      <c r="I926" s="2" t="s">
        <v>612</v>
      </c>
      <c r="J926" s="45">
        <f>VLOOKUP(Table1[[#This Row],[Status]],Auxiliar!$B$16:$C$24,2,0)</f>
        <v>1</v>
      </c>
      <c r="K926" s="20" t="s">
        <v>1212</v>
      </c>
      <c r="L926" s="240" t="s">
        <v>1174</v>
      </c>
      <c r="M926" s="20" t="s">
        <v>1175</v>
      </c>
      <c r="N926" s="47">
        <v>45546</v>
      </c>
      <c r="O926" s="20">
        <f>INDEX(Auxiliar!$D$5:$F$13,MATCH(Table1[[#This Row],[Tipologia_Testes]],Auxiliar!$B$5:$B$13,0),MATCH(Table1[[#This Row],[Complexidade]],Auxiliar!$D$4:$F$4,0))</f>
        <v>0.5</v>
      </c>
      <c r="P926" s="2" t="s">
        <v>1220</v>
      </c>
      <c r="Q926" s="2" t="s">
        <v>1221</v>
      </c>
      <c r="R926" s="151">
        <v>45261</v>
      </c>
      <c r="S926" s="151"/>
      <c r="T926" s="151">
        <v>45471</v>
      </c>
      <c r="U926" s="151">
        <v>45603</v>
      </c>
      <c r="V926" s="151">
        <v>45534</v>
      </c>
      <c r="W926" s="2">
        <f>VLOOKUP(Table1[[#This Row],[Status]],Auxiliar!$B$16:$D$24,3,0)*Table1[[#This Row],[Estimação (horas)]]</f>
        <v>0.5</v>
      </c>
      <c r="X926" s="165">
        <f>+VLOOKUP(CONCATENATE(Table1[[#This Row],[Tabela]],Table1[[#This Row],[Campo]]),'2. Status Detalhe Campos FY24'!A:J,9,FALSE)</f>
        <v>0</v>
      </c>
      <c r="Y926" s="491" t="e">
        <f>+VLOOKUP(A926,#REF!,1,FALSE)</f>
        <v>#REF!</v>
      </c>
    </row>
    <row r="927" spans="1:25" ht="17.899999999999999" hidden="1" customHeight="1">
      <c r="A927" t="str">
        <f>+Table1[[#This Row],[Tabela]]&amp;Table1[[#This Row],[Campo]]</f>
        <v>modesg_inp_km_medios_emss_vclsn.a.</v>
      </c>
      <c r="B927" s="12" t="s">
        <v>26</v>
      </c>
      <c r="C927" s="12" t="s">
        <v>181</v>
      </c>
      <c r="D927" s="12" t="s">
        <v>1218</v>
      </c>
      <c r="E927" s="2" t="s">
        <v>38</v>
      </c>
      <c r="F927" s="12" t="s">
        <v>213</v>
      </c>
      <c r="G927" s="12" t="s">
        <v>38</v>
      </c>
      <c r="H927" s="57" t="str">
        <f>Table1[[#This Row],[Tabela]]&amp;Table1[[#This Row],[Campo]]</f>
        <v>modesg_inp_km_medios_emss_vclsn.a.</v>
      </c>
      <c r="I927" s="2" t="s">
        <v>612</v>
      </c>
      <c r="J927" s="45">
        <f>VLOOKUP(Table1[[#This Row],[Status]],Auxiliar!$B$16:$C$24,2,0)</f>
        <v>1</v>
      </c>
      <c r="K927" s="20" t="s">
        <v>1165</v>
      </c>
      <c r="L927" s="21"/>
      <c r="M927" s="20" t="s">
        <v>1175</v>
      </c>
      <c r="N927" s="47">
        <v>45537</v>
      </c>
      <c r="O927" s="20">
        <f>INDEX(Auxiliar!$D$5:$F$13,MATCH(Table1[[#This Row],[Tipologia_Testes]],Auxiliar!$B$5:$B$13,0),MATCH(Table1[[#This Row],[Complexidade]],Auxiliar!$D$4:$F$4,0))</f>
        <v>8</v>
      </c>
      <c r="P927" s="2"/>
      <c r="Q927" s="2"/>
      <c r="R927" s="151">
        <v>45261</v>
      </c>
      <c r="S927" s="151"/>
      <c r="T927" s="151"/>
      <c r="U927" s="151">
        <v>45603</v>
      </c>
      <c r="V927" s="151">
        <v>45534</v>
      </c>
      <c r="W927" s="2">
        <f>VLOOKUP(Table1[[#This Row],[Status]],Auxiliar!$B$16:$D$24,3,0)*Table1[[#This Row],[Estimação (horas)]]</f>
        <v>8</v>
      </c>
      <c r="X927" s="165">
        <f>+VLOOKUP(CONCATENATE(Table1[[#This Row],[Tabela]],Table1[[#This Row],[Campo]]),'2. Status Detalhe Campos FY24'!A:J,9,FALSE)</f>
        <v>0</v>
      </c>
      <c r="Y927" s="491" t="e">
        <f>+VLOOKUP(A927,#REF!,1,FALSE)</f>
        <v>#REF!</v>
      </c>
    </row>
    <row r="928" spans="1:25" ht="17.899999999999999" hidden="1" customHeight="1">
      <c r="A928" t="str">
        <f>+Table1[[#This Row],[Tabela]]&amp;Table1[[#This Row],[Campo]]</f>
        <v>modesg_inp_km_medios_emss_vclsn.a.</v>
      </c>
      <c r="B928" s="12" t="s">
        <v>26</v>
      </c>
      <c r="C928" s="12" t="s">
        <v>181</v>
      </c>
      <c r="D928" s="12" t="s">
        <v>1218</v>
      </c>
      <c r="E928" s="2" t="s">
        <v>38</v>
      </c>
      <c r="F928" s="12" t="s">
        <v>213</v>
      </c>
      <c r="G928" s="12" t="s">
        <v>38</v>
      </c>
      <c r="H928" s="57" t="str">
        <f>Table1[[#This Row],[Tabela]]&amp;Table1[[#This Row],[Campo]]</f>
        <v>modesg_inp_km_medios_emss_vclsn.a.</v>
      </c>
      <c r="I928" s="2" t="s">
        <v>612</v>
      </c>
      <c r="J928" s="45">
        <f>VLOOKUP(Table1[[#This Row],[Status]],Auxiliar!$B$16:$C$24,2,0)</f>
        <v>1</v>
      </c>
      <c r="K928" s="20" t="s">
        <v>1212</v>
      </c>
      <c r="L928" s="21"/>
      <c r="M928" s="20" t="s">
        <v>1175</v>
      </c>
      <c r="N928" s="47">
        <v>45537</v>
      </c>
      <c r="O928" s="20">
        <f>INDEX(Auxiliar!$D$5:$F$13,MATCH(Table1[[#This Row],[Tipologia_Testes]],Auxiliar!$B$5:$B$13,0),MATCH(Table1[[#This Row],[Complexidade]],Auxiliar!$D$4:$F$4,0))</f>
        <v>0.5</v>
      </c>
      <c r="P928" s="2"/>
      <c r="Q928" s="2"/>
      <c r="R928" s="151">
        <v>45261</v>
      </c>
      <c r="S928" s="151"/>
      <c r="T928" s="151"/>
      <c r="U928" s="151">
        <v>45603</v>
      </c>
      <c r="V928" s="151">
        <v>45534</v>
      </c>
      <c r="W928" s="2">
        <f>VLOOKUP(Table1[[#This Row],[Status]],Auxiliar!$B$16:$D$24,3,0)*Table1[[#This Row],[Estimação (horas)]]</f>
        <v>0.5</v>
      </c>
      <c r="X928" s="165">
        <f>+VLOOKUP(CONCATENATE(Table1[[#This Row],[Tabela]],Table1[[#This Row],[Campo]]),'2. Status Detalhe Campos FY24'!A:J,9,FALSE)</f>
        <v>0</v>
      </c>
      <c r="Y928" s="491" t="e">
        <f>+VLOOKUP(A928,#REF!,1,FALSE)</f>
        <v>#REF!</v>
      </c>
    </row>
    <row r="929" spans="1:25" ht="17.899999999999999" hidden="1" customHeight="1">
      <c r="A929" t="str">
        <f>+Table1[[#This Row],[Tabela]]&amp;Table1[[#This Row],[Campo]]</f>
        <v>modesg_inp_empr_excl_parisn.a.</v>
      </c>
      <c r="B929" s="12" t="s">
        <v>26</v>
      </c>
      <c r="C929" s="12" t="s">
        <v>181</v>
      </c>
      <c r="D929" s="12" t="s">
        <v>1222</v>
      </c>
      <c r="E929" s="2" t="s">
        <v>38</v>
      </c>
      <c r="F929" s="12" t="s">
        <v>214</v>
      </c>
      <c r="G929" s="12" t="s">
        <v>38</v>
      </c>
      <c r="H929" s="57" t="str">
        <f>Table1[[#This Row],[Tabela]]&amp;Table1[[#This Row],[Campo]]</f>
        <v>modesg_inp_empr_excl_parisn.a.</v>
      </c>
      <c r="I929" s="2" t="s">
        <v>612</v>
      </c>
      <c r="J929" s="45">
        <f>VLOOKUP(Table1[[#This Row],[Status]],Auxiliar!$B$16:$C$24,2,0)</f>
        <v>1</v>
      </c>
      <c r="K929" s="20" t="s">
        <v>1165</v>
      </c>
      <c r="L929" s="21"/>
      <c r="M929" s="20" t="s">
        <v>1175</v>
      </c>
      <c r="N929" s="47">
        <v>45491</v>
      </c>
      <c r="O929" s="20">
        <f>INDEX(Auxiliar!$D$5:$F$13,MATCH(Table1[[#This Row],[Tipologia_Testes]],Auxiliar!$B$5:$B$13,0),MATCH(Table1[[#This Row],[Complexidade]],Auxiliar!$D$4:$F$4,0))</f>
        <v>8</v>
      </c>
      <c r="P929" s="2" t="s">
        <v>1223</v>
      </c>
      <c r="Q929" s="2"/>
      <c r="R929" s="151">
        <v>45261</v>
      </c>
      <c r="S929" s="151"/>
      <c r="T929" s="151"/>
      <c r="U929" s="151">
        <v>45603</v>
      </c>
      <c r="V929" s="151"/>
      <c r="W929" s="2">
        <f>VLOOKUP(Table1[[#This Row],[Status]],Auxiliar!$B$16:$D$24,3,0)*Table1[[#This Row],[Estimação (horas)]]</f>
        <v>8</v>
      </c>
      <c r="X929" s="165">
        <f>+VLOOKUP(CONCATENATE(Table1[[#This Row],[Tabela]],Table1[[#This Row],[Campo]]),'2. Status Detalhe Campos FY24'!A:J,9,FALSE)</f>
        <v>0</v>
      </c>
      <c r="Y929" s="491" t="e">
        <f>+VLOOKUP(A929,#REF!,1,FALSE)</f>
        <v>#REF!</v>
      </c>
    </row>
    <row r="930" spans="1:25" ht="17.899999999999999" hidden="1" customHeight="1">
      <c r="A930" t="str">
        <f>+Table1[[#This Row],[Tabela]]&amp;Table1[[#This Row],[Campo]]</f>
        <v>modesg_inp_empr_excl_parisn.a.</v>
      </c>
      <c r="B930" s="12" t="s">
        <v>26</v>
      </c>
      <c r="C930" s="12" t="s">
        <v>181</v>
      </c>
      <c r="D930" s="12" t="s">
        <v>1222</v>
      </c>
      <c r="E930" s="2" t="s">
        <v>38</v>
      </c>
      <c r="F930" s="12" t="s">
        <v>214</v>
      </c>
      <c r="G930" s="12" t="s">
        <v>38</v>
      </c>
      <c r="H930" s="57" t="str">
        <f>Table1[[#This Row],[Tabela]]&amp;Table1[[#This Row],[Campo]]</f>
        <v>modesg_inp_empr_excl_parisn.a.</v>
      </c>
      <c r="I930" s="2" t="s">
        <v>612</v>
      </c>
      <c r="J930" s="45">
        <f>VLOOKUP(Table1[[#This Row],[Status]],Auxiliar!$B$16:$C$24,2,0)</f>
        <v>1</v>
      </c>
      <c r="K930" s="20" t="s">
        <v>1212</v>
      </c>
      <c r="L930" s="21"/>
      <c r="M930" s="20" t="s">
        <v>1175</v>
      </c>
      <c r="N930" s="47">
        <v>45491</v>
      </c>
      <c r="O930" s="20">
        <f>INDEX(Auxiliar!$D$5:$F$13,MATCH(Table1[[#This Row],[Tipologia_Testes]],Auxiliar!$B$5:$B$13,0),MATCH(Table1[[#This Row],[Complexidade]],Auxiliar!$D$4:$F$4,0))</f>
        <v>0.5</v>
      </c>
      <c r="P930" s="2" t="s">
        <v>1224</v>
      </c>
      <c r="Q930" s="2"/>
      <c r="R930" s="151">
        <v>45261</v>
      </c>
      <c r="S930" s="151"/>
      <c r="T930" s="151"/>
      <c r="U930" s="151">
        <v>45603</v>
      </c>
      <c r="V930" s="151"/>
      <c r="W930" s="2">
        <f>VLOOKUP(Table1[[#This Row],[Status]],Auxiliar!$B$16:$D$24,3,0)*Table1[[#This Row],[Estimação (horas)]]</f>
        <v>0.5</v>
      </c>
      <c r="X930" s="165">
        <f>+VLOOKUP(CONCATENATE(Table1[[#This Row],[Tabela]],Table1[[#This Row],[Campo]]),'2. Status Detalhe Campos FY24'!A:J,9,FALSE)</f>
        <v>0</v>
      </c>
      <c r="Y930" s="491" t="e">
        <f>+VLOOKUP(A930,#REF!,1,FALSE)</f>
        <v>#REF!</v>
      </c>
    </row>
    <row r="931" spans="1:25" ht="17.899999999999999" hidden="1" customHeight="1">
      <c r="A931" t="str">
        <f>+Table1[[#This Row],[Tabela]]&amp;Table1[[#This Row],[Campo]]</f>
        <v>modesg_inp_nfrd_alinhamento_taxn.a.</v>
      </c>
      <c r="B931" s="12" t="s">
        <v>26</v>
      </c>
      <c r="C931" s="12" t="s">
        <v>181</v>
      </c>
      <c r="D931" s="12" t="s">
        <v>1225</v>
      </c>
      <c r="E931" s="2" t="s">
        <v>38</v>
      </c>
      <c r="F931" s="12" t="s">
        <v>215</v>
      </c>
      <c r="G931" s="12" t="s">
        <v>38</v>
      </c>
      <c r="H931" s="57" t="str">
        <f>Table1[[#This Row],[Tabela]]&amp;Table1[[#This Row],[Campo]]</f>
        <v>modesg_inp_nfrd_alinhamento_taxn.a.</v>
      </c>
      <c r="I931" s="2" t="s">
        <v>612</v>
      </c>
      <c r="J931" s="45">
        <f>VLOOKUP(Table1[[#This Row],[Status]],Auxiliar!$B$16:$C$24,2,0)</f>
        <v>1</v>
      </c>
      <c r="K931" s="20" t="s">
        <v>1165</v>
      </c>
      <c r="L931" s="21"/>
      <c r="M931" s="20" t="s">
        <v>1175</v>
      </c>
      <c r="N931" s="47">
        <v>45540</v>
      </c>
      <c r="O931" s="20">
        <f>INDEX(Auxiliar!$D$5:$F$13,MATCH(Table1[[#This Row],[Tipologia_Testes]],Auxiliar!$B$5:$B$13,0),MATCH(Table1[[#This Row],[Complexidade]],Auxiliar!$D$4:$F$4,0))</f>
        <v>8</v>
      </c>
      <c r="P931" s="2"/>
      <c r="Q931" s="2"/>
      <c r="R931" s="151">
        <v>45261</v>
      </c>
      <c r="S931" s="151"/>
      <c r="T931" s="151"/>
      <c r="U931" s="151">
        <v>45603</v>
      </c>
      <c r="V931" s="151">
        <v>45534</v>
      </c>
      <c r="W931" s="2">
        <f>VLOOKUP(Table1[[#This Row],[Status]],Auxiliar!$B$16:$D$24,3,0)*Table1[[#This Row],[Estimação (horas)]]</f>
        <v>8</v>
      </c>
      <c r="X931" s="165">
        <f>+VLOOKUP(CONCATENATE(Table1[[#This Row],[Tabela]],Table1[[#This Row],[Campo]]),'2. Status Detalhe Campos FY24'!A:J,9,FALSE)</f>
        <v>0</v>
      </c>
      <c r="Y931" s="491" t="e">
        <f>+VLOOKUP(A931,#REF!,1,FALSE)</f>
        <v>#REF!</v>
      </c>
    </row>
    <row r="932" spans="1:25" ht="17.899999999999999" hidden="1" customHeight="1">
      <c r="A932" t="str">
        <f>+Table1[[#This Row],[Tabela]]&amp;Table1[[#This Row],[Campo]]</f>
        <v>modesg_inp_nfrd_alinhamento_taxn.a.</v>
      </c>
      <c r="B932" s="12" t="s">
        <v>26</v>
      </c>
      <c r="C932" s="12" t="s">
        <v>181</v>
      </c>
      <c r="D932" s="12" t="s">
        <v>1225</v>
      </c>
      <c r="E932" s="2" t="s">
        <v>38</v>
      </c>
      <c r="F932" s="12" t="s">
        <v>215</v>
      </c>
      <c r="G932" s="12" t="s">
        <v>38</v>
      </c>
      <c r="H932" s="57" t="str">
        <f>Table1[[#This Row],[Tabela]]&amp;Table1[[#This Row],[Campo]]</f>
        <v>modesg_inp_nfrd_alinhamento_taxn.a.</v>
      </c>
      <c r="I932" s="2" t="s">
        <v>612</v>
      </c>
      <c r="J932" s="45">
        <f>VLOOKUP(Table1[[#This Row],[Status]],Auxiliar!$B$16:$C$24,2,0)</f>
        <v>1</v>
      </c>
      <c r="K932" s="20" t="s">
        <v>1212</v>
      </c>
      <c r="L932" s="21"/>
      <c r="M932" s="20" t="s">
        <v>1175</v>
      </c>
      <c r="N932" s="47">
        <v>45540</v>
      </c>
      <c r="O932" s="20">
        <f>INDEX(Auxiliar!$D$5:$F$13,MATCH(Table1[[#This Row],[Tipologia_Testes]],Auxiliar!$B$5:$B$13,0),MATCH(Table1[[#This Row],[Complexidade]],Auxiliar!$D$4:$F$4,0))</f>
        <v>0.5</v>
      </c>
      <c r="P932" s="2"/>
      <c r="Q932" s="2"/>
      <c r="R932" s="151">
        <v>45261</v>
      </c>
      <c r="S932" s="151"/>
      <c r="T932" s="151"/>
      <c r="U932" s="151">
        <v>45603</v>
      </c>
      <c r="V932" s="151">
        <v>45534</v>
      </c>
      <c r="W932" s="2">
        <f>VLOOKUP(Table1[[#This Row],[Status]],Auxiliar!$B$16:$D$24,3,0)*Table1[[#This Row],[Estimação (horas)]]</f>
        <v>0.5</v>
      </c>
      <c r="X932" s="165">
        <f>+VLOOKUP(CONCATENATE(Table1[[#This Row],[Tabela]],Table1[[#This Row],[Campo]]),'2. Status Detalhe Campos FY24'!A:J,9,FALSE)</f>
        <v>0</v>
      </c>
      <c r="Y932" s="491" t="e">
        <f>+VLOOKUP(A932,#REF!,1,FALSE)</f>
        <v>#REF!</v>
      </c>
    </row>
    <row r="933" spans="1:25" ht="17.899999999999999" hidden="1" customHeight="1">
      <c r="A933" t="str">
        <f>+Table1[[#This Row],[Tabela]]&amp;Table1[[#This Row],[Campo]]</f>
        <v>modesg_inp_risco_fisicon.a.</v>
      </c>
      <c r="B933" s="12" t="s">
        <v>26</v>
      </c>
      <c r="C933" s="12" t="s">
        <v>181</v>
      </c>
      <c r="D933" s="12" t="s">
        <v>1226</v>
      </c>
      <c r="E933" s="2" t="s">
        <v>38</v>
      </c>
      <c r="F933" s="12" t="s">
        <v>216</v>
      </c>
      <c r="G933" s="12" t="s">
        <v>38</v>
      </c>
      <c r="H933" s="57" t="str">
        <f>Table1[[#This Row],[Tabela]]&amp;Table1[[#This Row],[Campo]]</f>
        <v>modesg_inp_risco_fisicon.a.</v>
      </c>
      <c r="I933" s="2" t="s">
        <v>612</v>
      </c>
      <c r="J933" s="45">
        <f>VLOOKUP(Table1[[#This Row],[Status]],Auxiliar!$B$16:$C$24,2,0)</f>
        <v>1</v>
      </c>
      <c r="K933" s="20" t="s">
        <v>1165</v>
      </c>
      <c r="L933" s="20" t="s">
        <v>1174</v>
      </c>
      <c r="M933" s="20" t="s">
        <v>1175</v>
      </c>
      <c r="N933" s="47">
        <v>45485</v>
      </c>
      <c r="O933" s="20">
        <f>INDEX(Auxiliar!$D$5:$F$13,MATCH(Table1[[#This Row],[Tipologia_Testes]],Auxiliar!$B$5:$B$13,0),MATCH(Table1[[#This Row],[Complexidade]],Auxiliar!$D$4:$F$4,0))</f>
        <v>8</v>
      </c>
      <c r="P933" s="2"/>
      <c r="Q933" s="2"/>
      <c r="R933" s="151">
        <v>45261</v>
      </c>
      <c r="S933" s="151"/>
      <c r="T933" s="151"/>
      <c r="U933" s="151">
        <v>45603</v>
      </c>
      <c r="V933" s="151"/>
      <c r="W933" s="2">
        <f>VLOOKUP(Table1[[#This Row],[Status]],Auxiliar!$B$16:$D$24,3,0)*Table1[[#This Row],[Estimação (horas)]]</f>
        <v>8</v>
      </c>
      <c r="X933" s="165">
        <f>+VLOOKUP(CONCATENATE(Table1[[#This Row],[Tabela]],Table1[[#This Row],[Campo]]),'2. Status Detalhe Campos FY24'!A:J,9,FALSE)</f>
        <v>0</v>
      </c>
      <c r="Y933" s="491" t="e">
        <f>+VLOOKUP(A933,#REF!,1,FALSE)</f>
        <v>#REF!</v>
      </c>
    </row>
    <row r="934" spans="1:25" ht="17.899999999999999" hidden="1" customHeight="1">
      <c r="A934" t="str">
        <f>+Table1[[#This Row],[Tabela]]&amp;Table1[[#This Row],[Campo]]</f>
        <v>modesg_inp_risco_fisicon.a.</v>
      </c>
      <c r="B934" s="12" t="s">
        <v>26</v>
      </c>
      <c r="C934" s="12" t="s">
        <v>181</v>
      </c>
      <c r="D934" s="12" t="s">
        <v>1226</v>
      </c>
      <c r="E934" s="2" t="s">
        <v>38</v>
      </c>
      <c r="F934" s="12" t="s">
        <v>216</v>
      </c>
      <c r="G934" s="12" t="s">
        <v>38</v>
      </c>
      <c r="H934" s="57" t="str">
        <f>Table1[[#This Row],[Tabela]]&amp;Table1[[#This Row],[Campo]]</f>
        <v>modesg_inp_risco_fisicon.a.</v>
      </c>
      <c r="I934" s="2" t="s">
        <v>612</v>
      </c>
      <c r="J934" s="45">
        <f>VLOOKUP(Table1[[#This Row],[Status]],Auxiliar!$B$16:$C$24,2,0)</f>
        <v>1</v>
      </c>
      <c r="K934" s="20" t="s">
        <v>1212</v>
      </c>
      <c r="L934" s="20" t="s">
        <v>1166</v>
      </c>
      <c r="M934" s="20" t="s">
        <v>1175</v>
      </c>
      <c r="N934" s="47">
        <v>45485</v>
      </c>
      <c r="O934" s="20">
        <f>INDEX(Auxiliar!$D$5:$F$13,MATCH(Table1[[#This Row],[Tipologia_Testes]],Auxiliar!$B$5:$B$13,0),MATCH(Table1[[#This Row],[Complexidade]],Auxiliar!$D$4:$F$4,0))</f>
        <v>0.5</v>
      </c>
      <c r="P934" s="2" t="s">
        <v>1224</v>
      </c>
      <c r="Q934" s="2"/>
      <c r="R934" s="151">
        <v>45261</v>
      </c>
      <c r="S934" s="151"/>
      <c r="T934" s="151"/>
      <c r="U934" s="151">
        <v>45603</v>
      </c>
      <c r="V934" s="151"/>
      <c r="W934" s="2">
        <f>VLOOKUP(Table1[[#This Row],[Status]],Auxiliar!$B$16:$D$24,3,0)*Table1[[#This Row],[Estimação (horas)]]</f>
        <v>0.5</v>
      </c>
      <c r="X934" s="165">
        <f>+VLOOKUP(CONCATENATE(Table1[[#This Row],[Tabela]],Table1[[#This Row],[Campo]]),'2. Status Detalhe Campos FY24'!A:J,9,FALSE)</f>
        <v>0</v>
      </c>
      <c r="Y934" s="491" t="e">
        <f>+VLOOKUP(A934,#REF!,1,FALSE)</f>
        <v>#REF!</v>
      </c>
    </row>
    <row r="935" spans="1:25" ht="17.899999999999999" hidden="1" customHeight="1">
      <c r="A935" t="str">
        <f>+Table1[[#This Row],[Tabela]]&amp;Table1[[#This Row],[Campo]]</f>
        <v>modesg_inp_emss_scibn.a.</v>
      </c>
      <c r="B935" s="12" t="s">
        <v>26</v>
      </c>
      <c r="C935" s="12" t="s">
        <v>181</v>
      </c>
      <c r="D935" s="12" t="s">
        <v>1218</v>
      </c>
      <c r="E935" s="2" t="s">
        <v>38</v>
      </c>
      <c r="F935" s="12" t="s">
        <v>217</v>
      </c>
      <c r="G935" s="12" t="s">
        <v>38</v>
      </c>
      <c r="H935" s="57" t="str">
        <f>Table1[[#This Row],[Tabela]]&amp;Table1[[#This Row],[Campo]]</f>
        <v>modesg_inp_emss_scibn.a.</v>
      </c>
      <c r="I935" s="2" t="s">
        <v>612</v>
      </c>
      <c r="J935" s="45">
        <f>VLOOKUP(Table1[[#This Row],[Status]],Auxiliar!$B$16:$C$24,2,0)</f>
        <v>1</v>
      </c>
      <c r="K935" s="20" t="s">
        <v>1165</v>
      </c>
      <c r="L935" s="20" t="s">
        <v>1174</v>
      </c>
      <c r="M935" s="20" t="s">
        <v>1175</v>
      </c>
      <c r="N935" s="47">
        <v>45490</v>
      </c>
      <c r="O935" s="20">
        <f>INDEX(Auxiliar!$D$5:$F$13,MATCH(Table1[[#This Row],[Tipologia_Testes]],Auxiliar!$B$5:$B$13,0),MATCH(Table1[[#This Row],[Complexidade]],Auxiliar!$D$4:$F$4,0))</f>
        <v>8</v>
      </c>
      <c r="P935" s="2"/>
      <c r="Q935" s="2" t="s">
        <v>1221</v>
      </c>
      <c r="R935" s="151">
        <v>45261</v>
      </c>
      <c r="S935" s="151"/>
      <c r="T935" s="151"/>
      <c r="U935" s="151">
        <v>45603</v>
      </c>
      <c r="V935" s="151"/>
      <c r="W935" s="2">
        <f>VLOOKUP(Table1[[#This Row],[Status]],Auxiliar!$B$16:$D$24,3,0)*Table1[[#This Row],[Estimação (horas)]]</f>
        <v>8</v>
      </c>
      <c r="X935" s="165">
        <f>+VLOOKUP(CONCATENATE(Table1[[#This Row],[Tabela]],Table1[[#This Row],[Campo]]),'2. Status Detalhe Campos FY24'!A:J,9,FALSE)</f>
        <v>0</v>
      </c>
      <c r="Y935" s="491" t="e">
        <f>+VLOOKUP(A935,#REF!,1,FALSE)</f>
        <v>#REF!</v>
      </c>
    </row>
    <row r="936" spans="1:25" ht="17.899999999999999" hidden="1" customHeight="1">
      <c r="A936" t="str">
        <f>+Table1[[#This Row],[Tabela]]&amp;Table1[[#This Row],[Campo]]</f>
        <v>modesg_inp_emss_scibn.a.</v>
      </c>
      <c r="B936" s="12" t="s">
        <v>26</v>
      </c>
      <c r="C936" s="12" t="s">
        <v>181</v>
      </c>
      <c r="D936" s="12" t="s">
        <v>1218</v>
      </c>
      <c r="E936" s="2" t="s">
        <v>38</v>
      </c>
      <c r="F936" s="12" t="s">
        <v>217</v>
      </c>
      <c r="G936" s="12" t="s">
        <v>38</v>
      </c>
      <c r="H936" s="57" t="str">
        <f>Table1[[#This Row],[Tabela]]&amp;Table1[[#This Row],[Campo]]</f>
        <v>modesg_inp_emss_scibn.a.</v>
      </c>
      <c r="I936" s="2" t="s">
        <v>612</v>
      </c>
      <c r="J936" s="45">
        <f>VLOOKUP(Table1[[#This Row],[Status]],Auxiliar!$B$16:$C$24,2,0)</f>
        <v>1</v>
      </c>
      <c r="K936" s="20" t="s">
        <v>1212</v>
      </c>
      <c r="L936" s="20" t="s">
        <v>1166</v>
      </c>
      <c r="M936" s="20" t="s">
        <v>1175</v>
      </c>
      <c r="N936" s="47">
        <v>45490</v>
      </c>
      <c r="O936" s="20">
        <f>INDEX(Auxiliar!$D$5:$F$13,MATCH(Table1[[#This Row],[Tipologia_Testes]],Auxiliar!$B$5:$B$13,0),MATCH(Table1[[#This Row],[Complexidade]],Auxiliar!$D$4:$F$4,0))</f>
        <v>0.5</v>
      </c>
      <c r="P936" s="2"/>
      <c r="Q936" s="2" t="s">
        <v>1221</v>
      </c>
      <c r="R936" s="151">
        <v>45261</v>
      </c>
      <c r="S936" s="151"/>
      <c r="T936" s="151"/>
      <c r="U936" s="151">
        <v>45603</v>
      </c>
      <c r="V936" s="151"/>
      <c r="W936" s="2">
        <f>VLOOKUP(Table1[[#This Row],[Status]],Auxiliar!$B$16:$D$24,3,0)*Table1[[#This Row],[Estimação (horas)]]</f>
        <v>0.5</v>
      </c>
      <c r="X936" s="165">
        <f>+VLOOKUP(CONCATENATE(Table1[[#This Row],[Tabela]],Table1[[#This Row],[Campo]]),'2. Status Detalhe Campos FY24'!A:J,9,FALSE)</f>
        <v>0</v>
      </c>
      <c r="Y936" s="491" t="e">
        <f>+VLOOKUP(A936,#REF!,1,FALSE)</f>
        <v>#REF!</v>
      </c>
    </row>
    <row r="937" spans="1:25" ht="17.899999999999999" hidden="1" customHeight="1">
      <c r="A937" t="str">
        <f>+Table1[[#This Row],[Tabela]]&amp;Table1[[#This Row],[Campo]]</f>
        <v>modesg_inp_emss_nacen.a.</v>
      </c>
      <c r="B937" s="12" t="s">
        <v>26</v>
      </c>
      <c r="C937" s="12" t="s">
        <v>181</v>
      </c>
      <c r="D937" s="12" t="s">
        <v>1218</v>
      </c>
      <c r="E937" s="2" t="s">
        <v>38</v>
      </c>
      <c r="F937" s="12" t="s">
        <v>218</v>
      </c>
      <c r="G937" s="12" t="s">
        <v>38</v>
      </c>
      <c r="H937" s="57" t="str">
        <f>Table1[[#This Row],[Tabela]]&amp;Table1[[#This Row],[Campo]]</f>
        <v>modesg_inp_emss_nacen.a.</v>
      </c>
      <c r="I937" s="2" t="s">
        <v>612</v>
      </c>
      <c r="J937" s="45">
        <f>VLOOKUP(Table1[[#This Row],[Status]],Auxiliar!$B$16:$C$24,2,0)</f>
        <v>1</v>
      </c>
      <c r="K937" s="20" t="s">
        <v>1165</v>
      </c>
      <c r="L937" s="20" t="s">
        <v>1174</v>
      </c>
      <c r="M937" s="20" t="s">
        <v>1175</v>
      </c>
      <c r="N937" s="47">
        <v>45540</v>
      </c>
      <c r="O937" s="20">
        <f>INDEX(Auxiliar!$D$5:$F$13,MATCH(Table1[[#This Row],[Tipologia_Testes]],Auxiliar!$B$5:$B$13,0),MATCH(Table1[[#This Row],[Complexidade]],Auxiliar!$D$4:$F$4,0))</f>
        <v>8</v>
      </c>
      <c r="P937" s="2"/>
      <c r="Q937" s="2"/>
      <c r="R937" s="151">
        <v>45261</v>
      </c>
      <c r="S937" s="151"/>
      <c r="T937" s="151"/>
      <c r="U937" s="151">
        <v>45603</v>
      </c>
      <c r="V937" s="151"/>
      <c r="W937" s="2">
        <f>VLOOKUP(Table1[[#This Row],[Status]],Auxiliar!$B$16:$D$24,3,0)*Table1[[#This Row],[Estimação (horas)]]</f>
        <v>8</v>
      </c>
      <c r="X937" s="165">
        <f>+VLOOKUP(CONCATENATE(Table1[[#This Row],[Tabela]],Table1[[#This Row],[Campo]]),'2. Status Detalhe Campos FY24'!A:J,9,FALSE)</f>
        <v>0</v>
      </c>
      <c r="Y937" s="491" t="e">
        <f>+VLOOKUP(A937,#REF!,1,FALSE)</f>
        <v>#REF!</v>
      </c>
    </row>
    <row r="938" spans="1:25" ht="17.899999999999999" hidden="1" customHeight="1">
      <c r="A938" t="str">
        <f>+Table1[[#This Row],[Tabela]]&amp;Table1[[#This Row],[Campo]]</f>
        <v>modesg_inp_emss_nacen.a.</v>
      </c>
      <c r="B938" s="12" t="s">
        <v>26</v>
      </c>
      <c r="C938" s="12" t="s">
        <v>181</v>
      </c>
      <c r="D938" s="12" t="s">
        <v>1218</v>
      </c>
      <c r="E938" s="2" t="s">
        <v>38</v>
      </c>
      <c r="F938" s="12" t="s">
        <v>218</v>
      </c>
      <c r="G938" s="12" t="s">
        <v>38</v>
      </c>
      <c r="H938" s="57" t="str">
        <f>Table1[[#This Row],[Tabela]]&amp;Table1[[#This Row],[Campo]]</f>
        <v>modesg_inp_emss_nacen.a.</v>
      </c>
      <c r="I938" s="2" t="s">
        <v>612</v>
      </c>
      <c r="J938" s="45">
        <f>VLOOKUP(Table1[[#This Row],[Status]],Auxiliar!$B$16:$C$24,2,0)</f>
        <v>1</v>
      </c>
      <c r="K938" s="20" t="s">
        <v>1212</v>
      </c>
      <c r="L938" s="20" t="s">
        <v>1166</v>
      </c>
      <c r="M938" s="20" t="s">
        <v>1175</v>
      </c>
      <c r="N938" s="47">
        <v>45540</v>
      </c>
      <c r="O938" s="20">
        <f>INDEX(Auxiliar!$D$5:$F$13,MATCH(Table1[[#This Row],[Tipologia_Testes]],Auxiliar!$B$5:$B$13,0),MATCH(Table1[[#This Row],[Complexidade]],Auxiliar!$D$4:$F$4,0))</f>
        <v>0.5</v>
      </c>
      <c r="P938" s="2"/>
      <c r="Q938" s="2"/>
      <c r="R938" s="151">
        <v>45261</v>
      </c>
      <c r="S938" s="151"/>
      <c r="T938" s="151"/>
      <c r="U938" s="151">
        <v>45603</v>
      </c>
      <c r="V938" s="151"/>
      <c r="W938" s="2">
        <f>VLOOKUP(Table1[[#This Row],[Status]],Auxiliar!$B$16:$D$24,3,0)*Table1[[#This Row],[Estimação (horas)]]</f>
        <v>0.5</v>
      </c>
      <c r="X938" s="165">
        <f>+VLOOKUP(CONCATENATE(Table1[[#This Row],[Tabela]],Table1[[#This Row],[Campo]]),'2. Status Detalhe Campos FY24'!A:J,9,FALSE)</f>
        <v>0</v>
      </c>
      <c r="Y938" s="491" t="e">
        <f>+VLOOKUP(A938,#REF!,1,FALSE)</f>
        <v>#REF!</v>
      </c>
    </row>
    <row r="939" spans="1:25" ht="17.899999999999999" hidden="1" customHeight="1">
      <c r="A939" t="str">
        <f>+Table1[[#This Row],[Tabela]]&amp;Table1[[#This Row],[Campo]]</f>
        <v>modesg_inp_emss_bens_imoveisn.a.</v>
      </c>
      <c r="B939" s="12" t="s">
        <v>26</v>
      </c>
      <c r="C939" s="12" t="s">
        <v>181</v>
      </c>
      <c r="D939" s="12" t="s">
        <v>1218</v>
      </c>
      <c r="E939" s="2" t="s">
        <v>38</v>
      </c>
      <c r="F939" s="12" t="s">
        <v>219</v>
      </c>
      <c r="G939" s="12" t="s">
        <v>38</v>
      </c>
      <c r="H939" s="57" t="str">
        <f>Table1[[#This Row],[Tabela]]&amp;Table1[[#This Row],[Campo]]</f>
        <v>modesg_inp_emss_bens_imoveisn.a.</v>
      </c>
      <c r="I939" s="2" t="s">
        <v>612</v>
      </c>
      <c r="J939" s="45">
        <f>VLOOKUP(Table1[[#This Row],[Status]],Auxiliar!$B$16:$C$24,2,0)</f>
        <v>1</v>
      </c>
      <c r="K939" s="20" t="s">
        <v>1165</v>
      </c>
      <c r="L939" s="20" t="s">
        <v>1174</v>
      </c>
      <c r="M939" s="20" t="s">
        <v>1175</v>
      </c>
      <c r="N939" s="47">
        <v>45546</v>
      </c>
      <c r="O939" s="20">
        <f>INDEX(Auxiliar!$D$5:$F$13,MATCH(Table1[[#This Row],[Tipologia_Testes]],Auxiliar!$B$5:$B$13,0),MATCH(Table1[[#This Row],[Complexidade]],Auxiliar!$D$4:$F$4,0))</f>
        <v>8</v>
      </c>
      <c r="P939" s="2"/>
      <c r="Q939" s="2"/>
      <c r="R939" s="151">
        <v>45261</v>
      </c>
      <c r="S939" s="151"/>
      <c r="T939" s="151"/>
      <c r="U939" s="151">
        <v>45603</v>
      </c>
      <c r="V939" s="151">
        <v>45534</v>
      </c>
      <c r="W939" s="2">
        <f>VLOOKUP(Table1[[#This Row],[Status]],Auxiliar!$B$16:$D$24,3,0)*Table1[[#This Row],[Estimação (horas)]]</f>
        <v>8</v>
      </c>
      <c r="X939" s="165">
        <f>+VLOOKUP(CONCATENATE(Table1[[#This Row],[Tabela]],Table1[[#This Row],[Campo]]),'2. Status Detalhe Campos FY24'!A:J,9,FALSE)</f>
        <v>0</v>
      </c>
      <c r="Y939" s="491" t="e">
        <f>+VLOOKUP(A939,#REF!,1,FALSE)</f>
        <v>#REF!</v>
      </c>
    </row>
    <row r="940" spans="1:25" ht="17.899999999999999" hidden="1" customHeight="1">
      <c r="A940" t="str">
        <f>+Table1[[#This Row],[Tabela]]&amp;Table1[[#This Row],[Campo]]</f>
        <v>modesg_inp_emss_bens_imoveisn.a.</v>
      </c>
      <c r="B940" s="12" t="s">
        <v>26</v>
      </c>
      <c r="C940" s="12" t="s">
        <v>181</v>
      </c>
      <c r="D940" s="12" t="s">
        <v>1218</v>
      </c>
      <c r="E940" s="2" t="s">
        <v>38</v>
      </c>
      <c r="F940" s="12" t="s">
        <v>219</v>
      </c>
      <c r="G940" s="12" t="s">
        <v>38</v>
      </c>
      <c r="H940" s="57" t="str">
        <f>Table1[[#This Row],[Tabela]]&amp;Table1[[#This Row],[Campo]]</f>
        <v>modesg_inp_emss_bens_imoveisn.a.</v>
      </c>
      <c r="I940" s="2" t="s">
        <v>612</v>
      </c>
      <c r="J940" s="45">
        <f>VLOOKUP(Table1[[#This Row],[Status]],Auxiliar!$B$16:$C$24,2,0)</f>
        <v>1</v>
      </c>
      <c r="K940" s="20" t="s">
        <v>1212</v>
      </c>
      <c r="L940" s="20" t="s">
        <v>1166</v>
      </c>
      <c r="M940" s="20" t="s">
        <v>1175</v>
      </c>
      <c r="N940" s="47">
        <v>45546</v>
      </c>
      <c r="O940" s="20">
        <f>INDEX(Auxiliar!$D$5:$F$13,MATCH(Table1[[#This Row],[Tipologia_Testes]],Auxiliar!$B$5:$B$13,0),MATCH(Table1[[#This Row],[Complexidade]],Auxiliar!$D$4:$F$4,0))</f>
        <v>0.5</v>
      </c>
      <c r="P940" s="2" t="s">
        <v>1227</v>
      </c>
      <c r="Q940" s="2"/>
      <c r="R940" s="151">
        <v>45261</v>
      </c>
      <c r="S940" s="151"/>
      <c r="T940" s="151"/>
      <c r="U940" s="151">
        <v>45603</v>
      </c>
      <c r="V940" s="151">
        <v>45534</v>
      </c>
      <c r="W940" s="2">
        <f>VLOOKUP(Table1[[#This Row],[Status]],Auxiliar!$B$16:$D$24,3,0)*Table1[[#This Row],[Estimação (horas)]]</f>
        <v>0.5</v>
      </c>
      <c r="X940" s="165">
        <f>+VLOOKUP(CONCATENATE(Table1[[#This Row],[Tabela]],Table1[[#This Row],[Campo]]),'2. Status Detalhe Campos FY24'!A:J,9,FALSE)</f>
        <v>0</v>
      </c>
      <c r="Y940" s="491" t="e">
        <f>+VLOOKUP(A940,#REF!,1,FALSE)</f>
        <v>#REF!</v>
      </c>
    </row>
    <row r="941" spans="1:25" ht="17.899999999999999" hidden="1" customHeight="1">
      <c r="A941" t="str">
        <f>+Table1[[#This Row],[Tabela]]&amp;Table1[[#This Row],[Campo]]</f>
        <v>modesg_inp_emss_vclsref_date</v>
      </c>
      <c r="B941" s="12" t="s">
        <v>26</v>
      </c>
      <c r="C941" s="12" t="s">
        <v>181</v>
      </c>
      <c r="D941" s="12" t="s">
        <v>1218</v>
      </c>
      <c r="E941" s="2" t="s">
        <v>38</v>
      </c>
      <c r="F941" s="12" t="s">
        <v>212</v>
      </c>
      <c r="G941" s="12" t="s">
        <v>208</v>
      </c>
      <c r="H941" s="57" t="str">
        <f>Table1[[#This Row],[Tabela]]&amp;Table1[[#This Row],[Campo]]</f>
        <v>modesg_inp_emss_vclsref_date</v>
      </c>
      <c r="I941" s="2" t="s">
        <v>612</v>
      </c>
      <c r="J941" s="45">
        <f>VLOOKUP(Table1[[#This Row],[Status]],Auxiliar!$B$16:$C$24,2,0)</f>
        <v>1</v>
      </c>
      <c r="K941" s="20" t="s">
        <v>1179</v>
      </c>
      <c r="L941" s="20" t="s">
        <v>1174</v>
      </c>
      <c r="M941" s="20" t="s">
        <v>1176</v>
      </c>
      <c r="N941" s="47">
        <v>45546</v>
      </c>
      <c r="O941" s="20">
        <f>INDEX(Auxiliar!$D$5:$F$13,MATCH(Table1[[#This Row],[Tipologia_Testes]],Auxiliar!$B$5:$B$13,0),MATCH(Table1[[#This Row],[Complexidade]],Auxiliar!$D$4:$F$4,0))</f>
        <v>0.5</v>
      </c>
      <c r="P941" s="2" t="s">
        <v>1228</v>
      </c>
      <c r="Q941" s="2"/>
      <c r="R941" s="151">
        <v>45261</v>
      </c>
      <c r="S941" s="151"/>
      <c r="T941" s="151"/>
      <c r="U941" s="151">
        <v>45603</v>
      </c>
      <c r="V941" s="151">
        <v>45534</v>
      </c>
      <c r="W941" s="2">
        <f>VLOOKUP(Table1[[#This Row],[Status]],Auxiliar!$B$16:$D$24,3,0)*Table1[[#This Row],[Estimação (horas)]]</f>
        <v>0.5</v>
      </c>
      <c r="X941" s="165">
        <f>+VLOOKUP(CONCATENATE(Table1[[#This Row],[Tabela]],Table1[[#This Row],[Campo]]),'2. Status Detalhe Campos FY24'!A:J,9,FALSE)</f>
        <v>0</v>
      </c>
      <c r="Y941" s="491" t="e">
        <f>+VLOOKUP(A941,#REF!,1,FALSE)</f>
        <v>#REF!</v>
      </c>
    </row>
    <row r="942" spans="1:25" ht="69.650000000000006" hidden="1" customHeight="1">
      <c r="A942" t="str">
        <f>+Table1[[#This Row],[Tabela]]&amp;Table1[[#This Row],[Campo]]</f>
        <v>modesg_inp_emss_vclsnome_regiao</v>
      </c>
      <c r="B942" s="12" t="s">
        <v>26</v>
      </c>
      <c r="C942" s="12" t="s">
        <v>181</v>
      </c>
      <c r="D942" s="12" t="s">
        <v>1218</v>
      </c>
      <c r="E942" s="2" t="s">
        <v>38</v>
      </c>
      <c r="F942" s="12" t="s">
        <v>212</v>
      </c>
      <c r="G942" s="12" t="s">
        <v>220</v>
      </c>
      <c r="H942" s="57" t="str">
        <f>Table1[[#This Row],[Tabela]]&amp;Table1[[#This Row],[Campo]]</f>
        <v>modesg_inp_emss_vclsnome_regiao</v>
      </c>
      <c r="I942" s="2" t="s">
        <v>612</v>
      </c>
      <c r="J942" s="45">
        <f>VLOOKUP(Table1[[#This Row],[Status]],Auxiliar!$B$16:$C$24,2,0)</f>
        <v>1</v>
      </c>
      <c r="K942" s="20" t="s">
        <v>1171</v>
      </c>
      <c r="L942" s="20" t="s">
        <v>1166</v>
      </c>
      <c r="M942" s="20" t="s">
        <v>1176</v>
      </c>
      <c r="N942" s="47">
        <v>45546</v>
      </c>
      <c r="O942" s="20">
        <f>INDEX(Auxiliar!$D$5:$F$13,MATCH(Table1[[#This Row],[Tipologia_Testes]],Auxiliar!$B$5:$B$13,0),MATCH(Table1[[#This Row],[Complexidade]],Auxiliar!$D$4:$F$4,0))</f>
        <v>0.1</v>
      </c>
      <c r="P942" s="2" t="s">
        <v>1229</v>
      </c>
      <c r="Q942" s="2"/>
      <c r="R942" s="151">
        <v>45261</v>
      </c>
      <c r="S942" s="151"/>
      <c r="T942" s="151"/>
      <c r="U942" s="151">
        <v>45603</v>
      </c>
      <c r="V942" s="151">
        <v>45534</v>
      </c>
      <c r="W942" s="2">
        <f>VLOOKUP(Table1[[#This Row],[Status]],Auxiliar!$B$16:$D$24,3,0)*Table1[[#This Row],[Estimação (horas)]]</f>
        <v>0.1</v>
      </c>
      <c r="X942" s="165">
        <f>+VLOOKUP(CONCATENATE(Table1[[#This Row],[Tabela]],Table1[[#This Row],[Campo]]),'2. Status Detalhe Campos FY24'!A:J,9,FALSE)</f>
        <v>0</v>
      </c>
      <c r="Y942" s="491" t="e">
        <f>+VLOOKUP(A942,#REF!,1,FALSE)</f>
        <v>#REF!</v>
      </c>
    </row>
    <row r="943" spans="1:25" ht="17.899999999999999" hidden="1" customHeight="1">
      <c r="A943" t="str">
        <f>+Table1[[#This Row],[Tabela]]&amp;Table1[[#This Row],[Campo]]</f>
        <v>modesg_inp_emss_vclsnome_regiao</v>
      </c>
      <c r="B943" s="12" t="s">
        <v>26</v>
      </c>
      <c r="C943" s="12" t="s">
        <v>181</v>
      </c>
      <c r="D943" s="12" t="s">
        <v>1218</v>
      </c>
      <c r="E943" s="2" t="s">
        <v>38</v>
      </c>
      <c r="F943" s="12" t="s">
        <v>212</v>
      </c>
      <c r="G943" s="12" t="s">
        <v>220</v>
      </c>
      <c r="H943" s="57" t="str">
        <f>Table1[[#This Row],[Tabela]]&amp;Table1[[#This Row],[Campo]]</f>
        <v>modesg_inp_emss_vclsnome_regiao</v>
      </c>
      <c r="I943" s="2" t="s">
        <v>612</v>
      </c>
      <c r="J943" s="45">
        <f>VLOOKUP(Table1[[#This Row],[Status]],Auxiliar!$B$16:$C$24,2,0)</f>
        <v>1</v>
      </c>
      <c r="K943" s="20" t="s">
        <v>1179</v>
      </c>
      <c r="L943" s="20" t="s">
        <v>1166</v>
      </c>
      <c r="M943" s="20" t="s">
        <v>1176</v>
      </c>
      <c r="N943" s="47">
        <v>45546</v>
      </c>
      <c r="O943" s="20">
        <f>INDEX(Auxiliar!$D$5:$F$13,MATCH(Table1[[#This Row],[Tipologia_Testes]],Auxiliar!$B$5:$B$13,0),MATCH(Table1[[#This Row],[Complexidade]],Auxiliar!$D$4:$F$4,0))</f>
        <v>0.5</v>
      </c>
      <c r="P943" s="22" t="s">
        <v>1230</v>
      </c>
      <c r="Q943" s="2"/>
      <c r="R943" s="151">
        <v>45261</v>
      </c>
      <c r="S943" s="151"/>
      <c r="T943" s="151"/>
      <c r="U943" s="151">
        <v>45603</v>
      </c>
      <c r="V943" s="151">
        <v>45534</v>
      </c>
      <c r="W943" s="2">
        <f>VLOOKUP(Table1[[#This Row],[Status]],Auxiliar!$B$16:$D$24,3,0)*Table1[[#This Row],[Estimação (horas)]]</f>
        <v>0.5</v>
      </c>
      <c r="X943" s="165">
        <f>+VLOOKUP(CONCATENATE(Table1[[#This Row],[Tabela]],Table1[[#This Row],[Campo]]),'2. Status Detalhe Campos FY24'!A:J,9,FALSE)</f>
        <v>0</v>
      </c>
      <c r="Y943" s="491" t="e">
        <f>+VLOOKUP(A943,#REF!,1,FALSE)</f>
        <v>#REF!</v>
      </c>
    </row>
    <row r="944" spans="1:25" ht="69.650000000000006" hidden="1" customHeight="1">
      <c r="A944" t="str">
        <f>+Table1[[#This Row],[Tabela]]&amp;Table1[[#This Row],[Campo]]</f>
        <v>modesg_inp_emss_vclsnome_pais</v>
      </c>
      <c r="B944" s="12" t="s">
        <v>26</v>
      </c>
      <c r="C944" s="12" t="s">
        <v>181</v>
      </c>
      <c r="D944" s="12" t="s">
        <v>1218</v>
      </c>
      <c r="E944" s="2" t="s">
        <v>38</v>
      </c>
      <c r="F944" s="12" t="s">
        <v>212</v>
      </c>
      <c r="G944" s="12" t="s">
        <v>221</v>
      </c>
      <c r="H944" s="57" t="str">
        <f>Table1[[#This Row],[Tabela]]&amp;Table1[[#This Row],[Campo]]</f>
        <v>modesg_inp_emss_vclsnome_pais</v>
      </c>
      <c r="I944" s="2" t="s">
        <v>612</v>
      </c>
      <c r="J944" s="45">
        <f>VLOOKUP(Table1[[#This Row],[Status]],Auxiliar!$B$16:$C$24,2,0)</f>
        <v>1</v>
      </c>
      <c r="K944" s="20" t="s">
        <v>1171</v>
      </c>
      <c r="L944" s="2" t="s">
        <v>1166</v>
      </c>
      <c r="M944" s="20" t="s">
        <v>1176</v>
      </c>
      <c r="N944" s="47">
        <v>45546</v>
      </c>
      <c r="O944" s="20">
        <f>INDEX(Auxiliar!$D$5:$F$13,MATCH(Table1[[#This Row],[Tipologia_Testes]],Auxiliar!$B$5:$B$13,0),MATCH(Table1[[#This Row],[Complexidade]],Auxiliar!$D$4:$F$4,0))</f>
        <v>0.1</v>
      </c>
      <c r="P944" s="2" t="s">
        <v>1229</v>
      </c>
      <c r="Q944" s="2"/>
      <c r="R944" s="151">
        <v>45261</v>
      </c>
      <c r="S944" s="151"/>
      <c r="T944" s="151"/>
      <c r="U944" s="151">
        <v>45603</v>
      </c>
      <c r="V944" s="151">
        <v>45534</v>
      </c>
      <c r="W944" s="2">
        <f>VLOOKUP(Table1[[#This Row],[Status]],Auxiliar!$B$16:$D$24,3,0)*Table1[[#This Row],[Estimação (horas)]]</f>
        <v>0.1</v>
      </c>
      <c r="X944" s="165">
        <f>+VLOOKUP(CONCATENATE(Table1[[#This Row],[Tabela]],Table1[[#This Row],[Campo]]),'2. Status Detalhe Campos FY24'!A:J,9,FALSE)</f>
        <v>0</v>
      </c>
      <c r="Y944" s="491" t="e">
        <f>+VLOOKUP(A944,#REF!,1,FALSE)</f>
        <v>#REF!</v>
      </c>
    </row>
    <row r="945" spans="1:25" ht="17.899999999999999" hidden="1" customHeight="1">
      <c r="A945" t="str">
        <f>+Table1[[#This Row],[Tabela]]&amp;Table1[[#This Row],[Campo]]</f>
        <v>modesg_inp_emss_vclsnome_pais</v>
      </c>
      <c r="B945" s="12" t="s">
        <v>26</v>
      </c>
      <c r="C945" s="12" t="s">
        <v>181</v>
      </c>
      <c r="D945" s="12" t="s">
        <v>1218</v>
      </c>
      <c r="E945" s="2" t="s">
        <v>38</v>
      </c>
      <c r="F945" s="12" t="s">
        <v>212</v>
      </c>
      <c r="G945" s="12" t="s">
        <v>221</v>
      </c>
      <c r="H945" s="57" t="str">
        <f>Table1[[#This Row],[Tabela]]&amp;Table1[[#This Row],[Campo]]</f>
        <v>modesg_inp_emss_vclsnome_pais</v>
      </c>
      <c r="I945" s="2" t="s">
        <v>612</v>
      </c>
      <c r="J945" s="45">
        <f>VLOOKUP(Table1[[#This Row],[Status]],Auxiliar!$B$16:$C$24,2,0)</f>
        <v>1</v>
      </c>
      <c r="K945" s="20" t="s">
        <v>1179</v>
      </c>
      <c r="L945" s="2" t="s">
        <v>1166</v>
      </c>
      <c r="M945" s="20" t="s">
        <v>1176</v>
      </c>
      <c r="N945" s="47">
        <v>45546</v>
      </c>
      <c r="O945" s="20">
        <f>INDEX(Auxiliar!$D$5:$F$13,MATCH(Table1[[#This Row],[Tipologia_Testes]],Auxiliar!$B$5:$B$13,0),MATCH(Table1[[#This Row],[Complexidade]],Auxiliar!$D$4:$F$4,0))</f>
        <v>0.5</v>
      </c>
      <c r="P945" s="22" t="s">
        <v>1230</v>
      </c>
      <c r="Q945" s="2"/>
      <c r="R945" s="151">
        <v>45261</v>
      </c>
      <c r="S945" s="151"/>
      <c r="T945" s="151"/>
      <c r="U945" s="151">
        <v>45603</v>
      </c>
      <c r="V945" s="151">
        <v>45534</v>
      </c>
      <c r="W945" s="2">
        <f>VLOOKUP(Table1[[#This Row],[Status]],Auxiliar!$B$16:$D$24,3,0)*Table1[[#This Row],[Estimação (horas)]]</f>
        <v>0.5</v>
      </c>
      <c r="X945" s="165">
        <f>+VLOOKUP(CONCATENATE(Table1[[#This Row],[Tabela]],Table1[[#This Row],[Campo]]),'2. Status Detalhe Campos FY24'!A:J,9,FALSE)</f>
        <v>0</v>
      </c>
      <c r="Y945" s="491" t="e">
        <f>+VLOOKUP(A945,#REF!,1,FALSE)</f>
        <v>#REF!</v>
      </c>
    </row>
    <row r="946" spans="1:25" ht="17.899999999999999" hidden="1" customHeight="1">
      <c r="A946" t="str">
        <f>+Table1[[#This Row],[Tabela]]&amp;Table1[[#This Row],[Campo]]</f>
        <v>modesg_inp_emss_vclsnome_estado</v>
      </c>
      <c r="B946" s="12" t="s">
        <v>26</v>
      </c>
      <c r="C946" s="12" t="s">
        <v>181</v>
      </c>
      <c r="D946" s="12" t="s">
        <v>1218</v>
      </c>
      <c r="E946" s="2" t="s">
        <v>38</v>
      </c>
      <c r="F946" s="12" t="s">
        <v>212</v>
      </c>
      <c r="G946" s="12" t="s">
        <v>222</v>
      </c>
      <c r="H946" s="57" t="str">
        <f>Table1[[#This Row],[Tabela]]&amp;Table1[[#This Row],[Campo]]</f>
        <v>modesg_inp_emss_vclsnome_estado</v>
      </c>
      <c r="I946" s="2" t="s">
        <v>612</v>
      </c>
      <c r="J946" s="45">
        <f>VLOOKUP(Table1[[#This Row],[Status]],Auxiliar!$B$16:$C$24,2,0)</f>
        <v>1</v>
      </c>
      <c r="K946" s="20" t="s">
        <v>1179</v>
      </c>
      <c r="L946" s="20" t="s">
        <v>1174</v>
      </c>
      <c r="M946" s="20" t="s">
        <v>1176</v>
      </c>
      <c r="N946" s="47">
        <v>45546</v>
      </c>
      <c r="O946" s="20">
        <f>INDEX(Auxiliar!$D$5:$F$13,MATCH(Table1[[#This Row],[Tipologia_Testes]],Auxiliar!$B$5:$B$13,0),MATCH(Table1[[#This Row],[Complexidade]],Auxiliar!$D$4:$F$4,0))</f>
        <v>0.5</v>
      </c>
      <c r="P946" s="2" t="s">
        <v>1228</v>
      </c>
      <c r="Q946" s="2"/>
      <c r="R946" s="151">
        <v>45261</v>
      </c>
      <c r="S946" s="151"/>
      <c r="T946" s="151"/>
      <c r="U946" s="151">
        <v>45603</v>
      </c>
      <c r="V946" s="151">
        <v>45534</v>
      </c>
      <c r="W946" s="2">
        <f>VLOOKUP(Table1[[#This Row],[Status]],Auxiliar!$B$16:$D$24,3,0)*Table1[[#This Row],[Estimação (horas)]]</f>
        <v>0.5</v>
      </c>
      <c r="X946" s="165">
        <f>+VLOOKUP(CONCATENATE(Table1[[#This Row],[Tabela]],Table1[[#This Row],[Campo]]),'2. Status Detalhe Campos FY24'!A:J,9,FALSE)</f>
        <v>0</v>
      </c>
      <c r="Y946" s="491" t="e">
        <f>+VLOOKUP(A946,#REF!,1,FALSE)</f>
        <v>#REF!</v>
      </c>
    </row>
    <row r="947" spans="1:25" ht="17.899999999999999" hidden="1" customHeight="1">
      <c r="A947" t="str">
        <f>+Table1[[#This Row],[Tabela]]&amp;Table1[[#This Row],[Campo]]</f>
        <v>modesg_inp_emss_vclstipo_veiculo</v>
      </c>
      <c r="B947" s="12" t="s">
        <v>26</v>
      </c>
      <c r="C947" s="12" t="s">
        <v>181</v>
      </c>
      <c r="D947" s="12" t="s">
        <v>1218</v>
      </c>
      <c r="E947" s="2" t="s">
        <v>38</v>
      </c>
      <c r="F947" s="12" t="s">
        <v>212</v>
      </c>
      <c r="G947" s="12" t="s">
        <v>223</v>
      </c>
      <c r="H947" s="57" t="str">
        <f>Table1[[#This Row],[Tabela]]&amp;Table1[[#This Row],[Campo]]</f>
        <v>modesg_inp_emss_vclstipo_veiculo</v>
      </c>
      <c r="I947" s="2" t="s">
        <v>612</v>
      </c>
      <c r="J947" s="45">
        <f>VLOOKUP(Table1[[#This Row],[Status]],Auxiliar!$B$16:$C$24,2,0)</f>
        <v>1</v>
      </c>
      <c r="K947" s="20" t="s">
        <v>1171</v>
      </c>
      <c r="L947" s="20" t="s">
        <v>1174</v>
      </c>
      <c r="M947" s="20" t="s">
        <v>1176</v>
      </c>
      <c r="N947" s="47">
        <v>45546</v>
      </c>
      <c r="O947" s="20">
        <f>INDEX(Auxiliar!$D$5:$F$13,MATCH(Table1[[#This Row],[Tipologia_Testes]],Auxiliar!$B$5:$B$13,0),MATCH(Table1[[#This Row],[Complexidade]],Auxiliar!$D$4:$F$4,0))</f>
        <v>0.1</v>
      </c>
      <c r="P947" s="2" t="s">
        <v>1229</v>
      </c>
      <c r="Q947" s="2"/>
      <c r="R947" s="151">
        <v>45261</v>
      </c>
      <c r="S947" s="151"/>
      <c r="T947" s="151"/>
      <c r="U947" s="151">
        <v>45603</v>
      </c>
      <c r="V947" s="151">
        <v>45534</v>
      </c>
      <c r="W947" s="2">
        <f>VLOOKUP(Table1[[#This Row],[Status]],Auxiliar!$B$16:$D$24,3,0)*Table1[[#This Row],[Estimação (horas)]]</f>
        <v>0.1</v>
      </c>
      <c r="X947" s="165">
        <f>+VLOOKUP(CONCATENATE(Table1[[#This Row],[Tabela]],Table1[[#This Row],[Campo]]),'2. Status Detalhe Campos FY24'!A:J,9,FALSE)</f>
        <v>0</v>
      </c>
      <c r="Y947" s="491" t="e">
        <f>+VLOOKUP(A947,#REF!,1,FALSE)</f>
        <v>#REF!</v>
      </c>
    </row>
    <row r="948" spans="1:25" ht="17.899999999999999" hidden="1" customHeight="1">
      <c r="A948" t="str">
        <f>+Table1[[#This Row],[Tabela]]&amp;Table1[[#This Row],[Campo]]</f>
        <v>modesg_inp_emss_vclstipo_veiculo</v>
      </c>
      <c r="B948" s="12" t="s">
        <v>26</v>
      </c>
      <c r="C948" s="12" t="s">
        <v>181</v>
      </c>
      <c r="D948" s="12" t="s">
        <v>1218</v>
      </c>
      <c r="E948" s="2" t="s">
        <v>38</v>
      </c>
      <c r="F948" s="12" t="s">
        <v>212</v>
      </c>
      <c r="G948" s="12" t="s">
        <v>223</v>
      </c>
      <c r="H948" s="57" t="str">
        <f>Table1[[#This Row],[Tabela]]&amp;Table1[[#This Row],[Campo]]</f>
        <v>modesg_inp_emss_vclstipo_veiculo</v>
      </c>
      <c r="I948" s="2" t="s">
        <v>612</v>
      </c>
      <c r="J948" s="45">
        <f>VLOOKUP(Table1[[#This Row],[Status]],Auxiliar!$B$16:$C$24,2,0)</f>
        <v>1</v>
      </c>
      <c r="K948" s="20" t="s">
        <v>1179</v>
      </c>
      <c r="L948" s="20" t="s">
        <v>1174</v>
      </c>
      <c r="M948" s="20" t="s">
        <v>1176</v>
      </c>
      <c r="N948" s="47">
        <v>45546</v>
      </c>
      <c r="O948" s="20">
        <f>INDEX(Auxiliar!$D$5:$F$13,MATCH(Table1[[#This Row],[Tipologia_Testes]],Auxiliar!$B$5:$B$13,0),MATCH(Table1[[#This Row],[Complexidade]],Auxiliar!$D$4:$F$4,0))</f>
        <v>0.5</v>
      </c>
      <c r="P948" s="2" t="s">
        <v>1228</v>
      </c>
      <c r="Q948" s="2"/>
      <c r="R948" s="151">
        <v>45261</v>
      </c>
      <c r="S948" s="151"/>
      <c r="T948" s="151"/>
      <c r="U948" s="151">
        <v>45603</v>
      </c>
      <c r="V948" s="151">
        <v>45534</v>
      </c>
      <c r="W948" s="2">
        <f>VLOOKUP(Table1[[#This Row],[Status]],Auxiliar!$B$16:$D$24,3,0)*Table1[[#This Row],[Estimação (horas)]]</f>
        <v>0.5</v>
      </c>
      <c r="X948" s="165">
        <f>+VLOOKUP(CONCATENATE(Table1[[#This Row],[Tabela]],Table1[[#This Row],[Campo]]),'2. Status Detalhe Campos FY24'!A:J,9,FALSE)</f>
        <v>0</v>
      </c>
      <c r="Y948" s="491" t="e">
        <f>+VLOOKUP(A948,#REF!,1,FALSE)</f>
        <v>#REF!</v>
      </c>
    </row>
    <row r="949" spans="1:25" ht="17.899999999999999" hidden="1" customHeight="1">
      <c r="A949" t="str">
        <f>+Table1[[#This Row],[Tabela]]&amp;Table1[[#This Row],[Campo]]</f>
        <v>modesg_inp_emss_vclstipo_motor</v>
      </c>
      <c r="B949" s="12" t="s">
        <v>26</v>
      </c>
      <c r="C949" s="12" t="s">
        <v>181</v>
      </c>
      <c r="D949" s="12" t="s">
        <v>1218</v>
      </c>
      <c r="E949" s="2" t="s">
        <v>38</v>
      </c>
      <c r="F949" s="12" t="s">
        <v>212</v>
      </c>
      <c r="G949" s="12" t="s">
        <v>224</v>
      </c>
      <c r="H949" s="57" t="str">
        <f>Table1[[#This Row],[Tabela]]&amp;Table1[[#This Row],[Campo]]</f>
        <v>modesg_inp_emss_vclstipo_motor</v>
      </c>
      <c r="I949" s="2" t="s">
        <v>612</v>
      </c>
      <c r="J949" s="45">
        <f>VLOOKUP(Table1[[#This Row],[Status]],Auxiliar!$B$16:$C$24,2,0)</f>
        <v>1</v>
      </c>
      <c r="K949" s="20" t="s">
        <v>1171</v>
      </c>
      <c r="L949" s="20" t="s">
        <v>1174</v>
      </c>
      <c r="M949" s="20" t="s">
        <v>1176</v>
      </c>
      <c r="N949" s="47">
        <v>45546</v>
      </c>
      <c r="O949" s="20">
        <f>INDEX(Auxiliar!$D$5:$F$13,MATCH(Table1[[#This Row],[Tipologia_Testes]],Auxiliar!$B$5:$B$13,0),MATCH(Table1[[#This Row],[Complexidade]],Auxiliar!$D$4:$F$4,0))</f>
        <v>0.1</v>
      </c>
      <c r="P949" s="2" t="s">
        <v>1229</v>
      </c>
      <c r="Q949" s="2"/>
      <c r="R949" s="151">
        <v>45261</v>
      </c>
      <c r="S949" s="151"/>
      <c r="T949" s="151"/>
      <c r="U949" s="151">
        <v>45603</v>
      </c>
      <c r="V949" s="151">
        <v>45534</v>
      </c>
      <c r="W949" s="2">
        <f>VLOOKUP(Table1[[#This Row],[Status]],Auxiliar!$B$16:$D$24,3,0)*Table1[[#This Row],[Estimação (horas)]]</f>
        <v>0.1</v>
      </c>
      <c r="X949" s="165">
        <f>+VLOOKUP(CONCATENATE(Table1[[#This Row],[Tabela]],Table1[[#This Row],[Campo]]),'2. Status Detalhe Campos FY24'!A:J,9,FALSE)</f>
        <v>0</v>
      </c>
      <c r="Y949" s="491" t="e">
        <f>+VLOOKUP(A949,#REF!,1,FALSE)</f>
        <v>#REF!</v>
      </c>
    </row>
    <row r="950" spans="1:25" ht="17.899999999999999" hidden="1" customHeight="1">
      <c r="A950" t="str">
        <f>+Table1[[#This Row],[Tabela]]&amp;Table1[[#This Row],[Campo]]</f>
        <v>modesg_inp_emss_vclstipo_motor</v>
      </c>
      <c r="B950" s="12" t="s">
        <v>26</v>
      </c>
      <c r="C950" s="12" t="s">
        <v>181</v>
      </c>
      <c r="D950" s="12" t="s">
        <v>1218</v>
      </c>
      <c r="E950" s="2" t="s">
        <v>38</v>
      </c>
      <c r="F950" s="12" t="s">
        <v>212</v>
      </c>
      <c r="G950" s="12" t="s">
        <v>224</v>
      </c>
      <c r="H950" s="57" t="str">
        <f>Table1[[#This Row],[Tabela]]&amp;Table1[[#This Row],[Campo]]</f>
        <v>modesg_inp_emss_vclstipo_motor</v>
      </c>
      <c r="I950" s="2" t="s">
        <v>612</v>
      </c>
      <c r="J950" s="45">
        <f>VLOOKUP(Table1[[#This Row],[Status]],Auxiliar!$B$16:$C$24,2,0)</f>
        <v>1</v>
      </c>
      <c r="K950" s="20" t="s">
        <v>1179</v>
      </c>
      <c r="L950" s="20" t="s">
        <v>1174</v>
      </c>
      <c r="M950" s="20" t="s">
        <v>1176</v>
      </c>
      <c r="N950" s="47">
        <v>45546</v>
      </c>
      <c r="O950" s="20">
        <f>INDEX(Auxiliar!$D$5:$F$13,MATCH(Table1[[#This Row],[Tipologia_Testes]],Auxiliar!$B$5:$B$13,0),MATCH(Table1[[#This Row],[Complexidade]],Auxiliar!$D$4:$F$4,0))</f>
        <v>0.5</v>
      </c>
      <c r="P950" s="2" t="s">
        <v>1228</v>
      </c>
      <c r="Q950" s="2"/>
      <c r="R950" s="151">
        <v>45261</v>
      </c>
      <c r="S950" s="151"/>
      <c r="T950" s="151"/>
      <c r="U950" s="151">
        <v>45603</v>
      </c>
      <c r="V950" s="151">
        <v>45534</v>
      </c>
      <c r="W950" s="2">
        <f>VLOOKUP(Table1[[#This Row],[Status]],Auxiliar!$B$16:$D$24,3,0)*Table1[[#This Row],[Estimação (horas)]]</f>
        <v>0.5</v>
      </c>
      <c r="X950" s="165">
        <f>+VLOOKUP(CONCATENATE(Table1[[#This Row],[Tabela]],Table1[[#This Row],[Campo]]),'2. Status Detalhe Campos FY24'!A:J,9,FALSE)</f>
        <v>0</v>
      </c>
      <c r="Y950" s="491" t="e">
        <f>+VLOOKUP(A950,#REF!,1,FALSE)</f>
        <v>#REF!</v>
      </c>
    </row>
    <row r="951" spans="1:25" ht="69.650000000000006" hidden="1" customHeight="1">
      <c r="A951" t="str">
        <f>+Table1[[#This Row],[Tabela]]&amp;Table1[[#This Row],[Campo]]</f>
        <v>modesg_inp_emss_vclsmarca</v>
      </c>
      <c r="B951" s="12" t="s">
        <v>26</v>
      </c>
      <c r="C951" s="12" t="s">
        <v>181</v>
      </c>
      <c r="D951" s="12" t="s">
        <v>1218</v>
      </c>
      <c r="E951" s="2" t="s">
        <v>38</v>
      </c>
      <c r="F951" s="12" t="s">
        <v>212</v>
      </c>
      <c r="G951" s="12" t="s">
        <v>225</v>
      </c>
      <c r="H951" s="57" t="str">
        <f>Table1[[#This Row],[Tabela]]&amp;Table1[[#This Row],[Campo]]</f>
        <v>modesg_inp_emss_vclsmarca</v>
      </c>
      <c r="I951" s="2" t="s">
        <v>612</v>
      </c>
      <c r="J951" s="45">
        <f>VLOOKUP(Table1[[#This Row],[Status]],Auxiliar!$B$16:$C$24,2,0)</f>
        <v>1</v>
      </c>
      <c r="K951" s="20" t="s">
        <v>1171</v>
      </c>
      <c r="L951" s="2" t="s">
        <v>1166</v>
      </c>
      <c r="M951" s="20" t="s">
        <v>1176</v>
      </c>
      <c r="N951" s="47">
        <v>45546</v>
      </c>
      <c r="O951" s="20">
        <f>INDEX(Auxiliar!$D$5:$F$13,MATCH(Table1[[#This Row],[Tipologia_Testes]],Auxiliar!$B$5:$B$13,0),MATCH(Table1[[#This Row],[Complexidade]],Auxiliar!$D$4:$F$4,0))</f>
        <v>0.1</v>
      </c>
      <c r="P951" s="2" t="s">
        <v>1229</v>
      </c>
      <c r="Q951" s="2"/>
      <c r="R951" s="151">
        <v>45261</v>
      </c>
      <c r="S951" s="151"/>
      <c r="T951" s="151"/>
      <c r="U951" s="151">
        <v>45603</v>
      </c>
      <c r="V951" s="151">
        <v>45534</v>
      </c>
      <c r="W951" s="2">
        <f>VLOOKUP(Table1[[#This Row],[Status]],Auxiliar!$B$16:$D$24,3,0)*Table1[[#This Row],[Estimação (horas)]]</f>
        <v>0.1</v>
      </c>
      <c r="X951" s="165">
        <f>+VLOOKUP(CONCATENATE(Table1[[#This Row],[Tabela]],Table1[[#This Row],[Campo]]),'2. Status Detalhe Campos FY24'!A:J,9,FALSE)</f>
        <v>0</v>
      </c>
      <c r="Y951" s="491" t="e">
        <f>+VLOOKUP(A951,#REF!,1,FALSE)</f>
        <v>#REF!</v>
      </c>
    </row>
    <row r="952" spans="1:25" ht="17.899999999999999" hidden="1" customHeight="1">
      <c r="A952" t="str">
        <f>+Table1[[#This Row],[Tabela]]&amp;Table1[[#This Row],[Campo]]</f>
        <v>modesg_inp_emss_vclsmarca</v>
      </c>
      <c r="B952" s="12" t="s">
        <v>26</v>
      </c>
      <c r="C952" s="12" t="s">
        <v>181</v>
      </c>
      <c r="D952" s="12" t="s">
        <v>1218</v>
      </c>
      <c r="E952" s="2" t="s">
        <v>38</v>
      </c>
      <c r="F952" s="12" t="s">
        <v>212</v>
      </c>
      <c r="G952" s="12" t="s">
        <v>225</v>
      </c>
      <c r="H952" s="57" t="str">
        <f>Table1[[#This Row],[Tabela]]&amp;Table1[[#This Row],[Campo]]</f>
        <v>modesg_inp_emss_vclsmarca</v>
      </c>
      <c r="I952" s="2" t="s">
        <v>612</v>
      </c>
      <c r="J952" s="45">
        <f>VLOOKUP(Table1[[#This Row],[Status]],Auxiliar!$B$16:$C$24,2,0)</f>
        <v>1</v>
      </c>
      <c r="K952" s="20" t="s">
        <v>1179</v>
      </c>
      <c r="L952" s="2" t="s">
        <v>1166</v>
      </c>
      <c r="M952" s="20" t="s">
        <v>1176</v>
      </c>
      <c r="N952" s="47">
        <v>45546</v>
      </c>
      <c r="O952" s="20">
        <f>INDEX(Auxiliar!$D$5:$F$13,MATCH(Table1[[#This Row],[Tipologia_Testes]],Auxiliar!$B$5:$B$13,0),MATCH(Table1[[#This Row],[Complexidade]],Auxiliar!$D$4:$F$4,0))</f>
        <v>0.5</v>
      </c>
      <c r="P952" s="22" t="s">
        <v>1230</v>
      </c>
      <c r="Q952" s="2"/>
      <c r="R952" s="151">
        <v>45261</v>
      </c>
      <c r="S952" s="151"/>
      <c r="T952" s="151"/>
      <c r="U952" s="151">
        <v>45603</v>
      </c>
      <c r="V952" s="151">
        <v>45534</v>
      </c>
      <c r="W952" s="2">
        <f>VLOOKUP(Table1[[#This Row],[Status]],Auxiliar!$B$16:$D$24,3,0)*Table1[[#This Row],[Estimação (horas)]]</f>
        <v>0.5</v>
      </c>
      <c r="X952" s="165">
        <f>+VLOOKUP(CONCATENATE(Table1[[#This Row],[Tabela]],Table1[[#This Row],[Campo]]),'2. Status Detalhe Campos FY24'!A:J,9,FALSE)</f>
        <v>0</v>
      </c>
      <c r="Y952" s="491" t="e">
        <f>+VLOOKUP(A952,#REF!,1,FALSE)</f>
        <v>#REF!</v>
      </c>
    </row>
    <row r="953" spans="1:25" ht="69.650000000000006" hidden="1" customHeight="1">
      <c r="A953" t="str">
        <f>+Table1[[#This Row],[Tabela]]&amp;Table1[[#This Row],[Campo]]</f>
        <v>modesg_inp_emss_vclsmodelo</v>
      </c>
      <c r="B953" s="12" t="s">
        <v>26</v>
      </c>
      <c r="C953" s="12" t="s">
        <v>181</v>
      </c>
      <c r="D953" s="12" t="s">
        <v>1218</v>
      </c>
      <c r="E953" s="2" t="s">
        <v>38</v>
      </c>
      <c r="F953" s="12" t="s">
        <v>212</v>
      </c>
      <c r="G953" s="12" t="s">
        <v>226</v>
      </c>
      <c r="H953" s="57" t="str">
        <f>Table1[[#This Row],[Tabela]]&amp;Table1[[#This Row],[Campo]]</f>
        <v>modesg_inp_emss_vclsmodelo</v>
      </c>
      <c r="I953" s="2" t="s">
        <v>612</v>
      </c>
      <c r="J953" s="45">
        <f>VLOOKUP(Table1[[#This Row],[Status]],Auxiliar!$B$16:$C$24,2,0)</f>
        <v>1</v>
      </c>
      <c r="K953" s="20" t="s">
        <v>1171</v>
      </c>
      <c r="L953" s="2" t="s">
        <v>1166</v>
      </c>
      <c r="M953" s="20" t="s">
        <v>1176</v>
      </c>
      <c r="N953" s="47">
        <v>45546</v>
      </c>
      <c r="O953" s="20">
        <f>INDEX(Auxiliar!$D$5:$F$13,MATCH(Table1[[#This Row],[Tipologia_Testes]],Auxiliar!$B$5:$B$13,0),MATCH(Table1[[#This Row],[Complexidade]],Auxiliar!$D$4:$F$4,0))</f>
        <v>0.1</v>
      </c>
      <c r="P953" s="2" t="s">
        <v>1229</v>
      </c>
      <c r="Q953" s="2"/>
      <c r="R953" s="151">
        <v>45261</v>
      </c>
      <c r="S953" s="151"/>
      <c r="T953" s="151"/>
      <c r="U953" s="151">
        <v>45603</v>
      </c>
      <c r="V953" s="151">
        <v>45534</v>
      </c>
      <c r="W953" s="2">
        <f>VLOOKUP(Table1[[#This Row],[Status]],Auxiliar!$B$16:$D$24,3,0)*Table1[[#This Row],[Estimação (horas)]]</f>
        <v>0.1</v>
      </c>
      <c r="X953" s="165">
        <f>+VLOOKUP(CONCATENATE(Table1[[#This Row],[Tabela]],Table1[[#This Row],[Campo]]),'2. Status Detalhe Campos FY24'!A:J,9,FALSE)</f>
        <v>0</v>
      </c>
      <c r="Y953" s="491" t="e">
        <f>+VLOOKUP(A953,#REF!,1,FALSE)</f>
        <v>#REF!</v>
      </c>
    </row>
    <row r="954" spans="1:25" ht="17.899999999999999" hidden="1" customHeight="1">
      <c r="A954" t="str">
        <f>+Table1[[#This Row],[Tabela]]&amp;Table1[[#This Row],[Campo]]</f>
        <v>modesg_inp_emss_vclsmodelo</v>
      </c>
      <c r="B954" s="12" t="s">
        <v>26</v>
      </c>
      <c r="C954" s="12" t="s">
        <v>181</v>
      </c>
      <c r="D954" s="12" t="s">
        <v>1218</v>
      </c>
      <c r="E954" s="2" t="s">
        <v>38</v>
      </c>
      <c r="F954" s="12" t="s">
        <v>212</v>
      </c>
      <c r="G954" s="12" t="s">
        <v>226</v>
      </c>
      <c r="H954" s="57" t="str">
        <f>Table1[[#This Row],[Tabela]]&amp;Table1[[#This Row],[Campo]]</f>
        <v>modesg_inp_emss_vclsmodelo</v>
      </c>
      <c r="I954" s="2" t="s">
        <v>612</v>
      </c>
      <c r="J954" s="45">
        <f>VLOOKUP(Table1[[#This Row],[Status]],Auxiliar!$B$16:$C$24,2,0)</f>
        <v>1</v>
      </c>
      <c r="K954" s="20" t="s">
        <v>1179</v>
      </c>
      <c r="L954" s="2" t="s">
        <v>1166</v>
      </c>
      <c r="M954" s="20" t="s">
        <v>1176</v>
      </c>
      <c r="N954" s="47">
        <v>45546</v>
      </c>
      <c r="O954" s="20">
        <f>INDEX(Auxiliar!$D$5:$F$13,MATCH(Table1[[#This Row],[Tipologia_Testes]],Auxiliar!$B$5:$B$13,0),MATCH(Table1[[#This Row],[Complexidade]],Auxiliar!$D$4:$F$4,0))</f>
        <v>0.5</v>
      </c>
      <c r="P954" s="22" t="s">
        <v>1230</v>
      </c>
      <c r="Q954" s="2"/>
      <c r="R954" s="151">
        <v>45261</v>
      </c>
      <c r="S954" s="151"/>
      <c r="T954" s="151"/>
      <c r="U954" s="151">
        <v>45603</v>
      </c>
      <c r="V954" s="151">
        <v>45534</v>
      </c>
      <c r="W954" s="2">
        <f>VLOOKUP(Table1[[#This Row],[Status]],Auxiliar!$B$16:$D$24,3,0)*Table1[[#This Row],[Estimação (horas)]]</f>
        <v>0.5</v>
      </c>
      <c r="X954" s="165">
        <f>+VLOOKUP(CONCATENATE(Table1[[#This Row],[Tabela]],Table1[[#This Row],[Campo]]),'2. Status Detalhe Campos FY24'!A:J,9,FALSE)</f>
        <v>0</v>
      </c>
      <c r="Y954" s="491" t="e">
        <f>+VLOOKUP(A954,#REF!,1,FALSE)</f>
        <v>#REF!</v>
      </c>
    </row>
    <row r="955" spans="1:25" ht="17.899999999999999" hidden="1" customHeight="1">
      <c r="A955" t="str">
        <f>+Table1[[#This Row],[Tabela]]&amp;Table1[[#This Row],[Campo]]</f>
        <v>modesg_inp_emss_vclssubgrupo</v>
      </c>
      <c r="B955" s="12" t="s">
        <v>26</v>
      </c>
      <c r="C955" s="12" t="s">
        <v>181</v>
      </c>
      <c r="D955" s="12" t="s">
        <v>1218</v>
      </c>
      <c r="E955" s="2" t="s">
        <v>38</v>
      </c>
      <c r="F955" s="12" t="s">
        <v>212</v>
      </c>
      <c r="G955" s="12" t="s">
        <v>227</v>
      </c>
      <c r="H955" s="57" t="str">
        <f>Table1[[#This Row],[Tabela]]&amp;Table1[[#This Row],[Campo]]</f>
        <v>modesg_inp_emss_vclssubgrupo</v>
      </c>
      <c r="I955" s="2" t="s">
        <v>612</v>
      </c>
      <c r="J955" s="45">
        <f>VLOOKUP(Table1[[#This Row],[Status]],Auxiliar!$B$16:$C$24,2,0)</f>
        <v>1</v>
      </c>
      <c r="K955" s="20" t="s">
        <v>1171</v>
      </c>
      <c r="L955" s="2" t="s">
        <v>641</v>
      </c>
      <c r="M955" s="20" t="s">
        <v>1176</v>
      </c>
      <c r="N955" s="47">
        <v>45546</v>
      </c>
      <c r="O955" s="20">
        <f>INDEX(Auxiliar!$D$5:$F$13,MATCH(Table1[[#This Row],[Tipologia_Testes]],Auxiliar!$B$5:$B$13,0),MATCH(Table1[[#This Row],[Complexidade]],Auxiliar!$D$4:$F$4,0))</f>
        <v>0.1</v>
      </c>
      <c r="P955" s="2" t="s">
        <v>1229</v>
      </c>
      <c r="Q955" s="2"/>
      <c r="R955" s="151">
        <v>45261</v>
      </c>
      <c r="S955" s="151"/>
      <c r="T955" s="151"/>
      <c r="U955" s="151">
        <v>45603</v>
      </c>
      <c r="V955" s="151">
        <v>45534</v>
      </c>
      <c r="W955" s="2">
        <f>VLOOKUP(Table1[[#This Row],[Status]],Auxiliar!$B$16:$D$24,3,0)*Table1[[#This Row],[Estimação (horas)]]</f>
        <v>0.1</v>
      </c>
      <c r="X955" s="165">
        <f>+VLOOKUP(CONCATENATE(Table1[[#This Row],[Tabela]],Table1[[#This Row],[Campo]]),'2. Status Detalhe Campos FY24'!A:J,9,FALSE)</f>
        <v>0</v>
      </c>
      <c r="Y955" s="491" t="e">
        <f>+VLOOKUP(A955,#REF!,1,FALSE)</f>
        <v>#REF!</v>
      </c>
    </row>
    <row r="956" spans="1:25" ht="17.899999999999999" hidden="1" customHeight="1">
      <c r="A956" t="str">
        <f>+Table1[[#This Row],[Tabela]]&amp;Table1[[#This Row],[Campo]]</f>
        <v>modesg_inp_emss_vclssubgrupo</v>
      </c>
      <c r="B956" s="12" t="s">
        <v>26</v>
      </c>
      <c r="C956" s="12" t="s">
        <v>181</v>
      </c>
      <c r="D956" s="12" t="s">
        <v>1218</v>
      </c>
      <c r="E956" s="2" t="s">
        <v>38</v>
      </c>
      <c r="F956" s="12" t="s">
        <v>212</v>
      </c>
      <c r="G956" s="12" t="s">
        <v>227</v>
      </c>
      <c r="H956" s="57" t="str">
        <f>Table1[[#This Row],[Tabela]]&amp;Table1[[#This Row],[Campo]]</f>
        <v>modesg_inp_emss_vclssubgrupo</v>
      </c>
      <c r="I956" s="2" t="s">
        <v>612</v>
      </c>
      <c r="J956" s="45">
        <f>VLOOKUP(Table1[[#This Row],[Status]],Auxiliar!$B$16:$C$24,2,0)</f>
        <v>1</v>
      </c>
      <c r="K956" s="20" t="s">
        <v>1179</v>
      </c>
      <c r="L956" s="2" t="s">
        <v>641</v>
      </c>
      <c r="M956" s="20" t="s">
        <v>1176</v>
      </c>
      <c r="N956" s="47">
        <v>45546</v>
      </c>
      <c r="O956" s="20">
        <f>INDEX(Auxiliar!$D$5:$F$13,MATCH(Table1[[#This Row],[Tipologia_Testes]],Auxiliar!$B$5:$B$13,0),MATCH(Table1[[#This Row],[Complexidade]],Auxiliar!$D$4:$F$4,0))</f>
        <v>0.5</v>
      </c>
      <c r="P956" s="2" t="s">
        <v>1228</v>
      </c>
      <c r="Q956" s="2"/>
      <c r="R956" s="151">
        <v>45261</v>
      </c>
      <c r="S956" s="151"/>
      <c r="T956" s="151"/>
      <c r="U956" s="151">
        <v>45603</v>
      </c>
      <c r="V956" s="151">
        <v>45534</v>
      </c>
      <c r="W956" s="2">
        <f>VLOOKUP(Table1[[#This Row],[Status]],Auxiliar!$B$16:$D$24,3,0)*Table1[[#This Row],[Estimação (horas)]]</f>
        <v>0.5</v>
      </c>
      <c r="X956" s="165">
        <f>+VLOOKUP(CONCATENATE(Table1[[#This Row],[Tabela]],Table1[[#This Row],[Campo]]),'2. Status Detalhe Campos FY24'!A:J,9,FALSE)</f>
        <v>0</v>
      </c>
      <c r="Y956" s="491" t="e">
        <f>+VLOOKUP(A956,#REF!,1,FALSE)</f>
        <v>#REF!</v>
      </c>
    </row>
    <row r="957" spans="1:25" ht="17.899999999999999" hidden="1" customHeight="1">
      <c r="A957" t="str">
        <f>+Table1[[#This Row],[Tabela]]&amp;Table1[[#This Row],[Campo]]</f>
        <v>modesg_inp_emss_vclsnome_unidade_funcional</v>
      </c>
      <c r="B957" s="12" t="s">
        <v>26</v>
      </c>
      <c r="C957" s="12" t="s">
        <v>181</v>
      </c>
      <c r="D957" s="12" t="s">
        <v>1218</v>
      </c>
      <c r="E957" s="2" t="s">
        <v>38</v>
      </c>
      <c r="F957" s="12" t="s">
        <v>212</v>
      </c>
      <c r="G957" s="12" t="s">
        <v>228</v>
      </c>
      <c r="H957" s="57" t="str">
        <f>Table1[[#This Row],[Tabela]]&amp;Table1[[#This Row],[Campo]]</f>
        <v>modesg_inp_emss_vclsnome_unidade_funcional</v>
      </c>
      <c r="I957" s="2" t="s">
        <v>612</v>
      </c>
      <c r="J957" s="45">
        <f>VLOOKUP(Table1[[#This Row],[Status]],Auxiliar!$B$16:$C$24,2,0)</f>
        <v>1</v>
      </c>
      <c r="K957" s="20" t="s">
        <v>1171</v>
      </c>
      <c r="L957" s="20" t="s">
        <v>1174</v>
      </c>
      <c r="M957" s="20" t="s">
        <v>1176</v>
      </c>
      <c r="N957" s="47">
        <v>45546</v>
      </c>
      <c r="O957" s="20">
        <f>INDEX(Auxiliar!$D$5:$F$13,MATCH(Table1[[#This Row],[Tipologia_Testes]],Auxiliar!$B$5:$B$13,0),MATCH(Table1[[#This Row],[Complexidade]],Auxiliar!$D$4:$F$4,0))</f>
        <v>0.1</v>
      </c>
      <c r="P957" s="2" t="s">
        <v>1229</v>
      </c>
      <c r="Q957" s="2"/>
      <c r="R957" s="151">
        <v>45261</v>
      </c>
      <c r="S957" s="151"/>
      <c r="T957" s="151"/>
      <c r="U957" s="151">
        <v>45603</v>
      </c>
      <c r="V957" s="151">
        <v>45534</v>
      </c>
      <c r="W957" s="2">
        <f>VLOOKUP(Table1[[#This Row],[Status]],Auxiliar!$B$16:$D$24,3,0)*Table1[[#This Row],[Estimação (horas)]]</f>
        <v>0.1</v>
      </c>
      <c r="X957" s="165">
        <f>+VLOOKUP(CONCATENATE(Table1[[#This Row],[Tabela]],Table1[[#This Row],[Campo]]),'2. Status Detalhe Campos FY24'!A:J,9,FALSE)</f>
        <v>0</v>
      </c>
      <c r="Y957" s="491" t="e">
        <f>+VLOOKUP(A957,#REF!,1,FALSE)</f>
        <v>#REF!</v>
      </c>
    </row>
    <row r="958" spans="1:25" ht="17.899999999999999" hidden="1" customHeight="1">
      <c r="A958" t="str">
        <f>+Table1[[#This Row],[Tabela]]&amp;Table1[[#This Row],[Campo]]</f>
        <v>modesg_inp_emss_vclsnome_unidade_funcional</v>
      </c>
      <c r="B958" s="12" t="s">
        <v>26</v>
      </c>
      <c r="C958" s="12" t="s">
        <v>181</v>
      </c>
      <c r="D958" s="12" t="s">
        <v>1218</v>
      </c>
      <c r="E958" s="2" t="s">
        <v>38</v>
      </c>
      <c r="F958" s="12" t="s">
        <v>212</v>
      </c>
      <c r="G958" s="12" t="s">
        <v>228</v>
      </c>
      <c r="H958" s="57" t="str">
        <f>Table1[[#This Row],[Tabela]]&amp;Table1[[#This Row],[Campo]]</f>
        <v>modesg_inp_emss_vclsnome_unidade_funcional</v>
      </c>
      <c r="I958" s="2" t="s">
        <v>612</v>
      </c>
      <c r="J958" s="45">
        <f>VLOOKUP(Table1[[#This Row],[Status]],Auxiliar!$B$16:$C$24,2,0)</f>
        <v>1</v>
      </c>
      <c r="K958" s="20" t="s">
        <v>1179</v>
      </c>
      <c r="L958" s="20" t="s">
        <v>1174</v>
      </c>
      <c r="M958" s="20" t="s">
        <v>1176</v>
      </c>
      <c r="N958" s="47">
        <v>45546</v>
      </c>
      <c r="O958" s="20">
        <f>INDEX(Auxiliar!$D$5:$F$13,MATCH(Table1[[#This Row],[Tipologia_Testes]],Auxiliar!$B$5:$B$13,0),MATCH(Table1[[#This Row],[Complexidade]],Auxiliar!$D$4:$F$4,0))</f>
        <v>0.5</v>
      </c>
      <c r="P958" s="2" t="s">
        <v>1228</v>
      </c>
      <c r="Q958" s="2"/>
      <c r="R958" s="151">
        <v>45261</v>
      </c>
      <c r="S958" s="151"/>
      <c r="T958" s="151"/>
      <c r="U958" s="151">
        <v>45603</v>
      </c>
      <c r="V958" s="151">
        <v>45534</v>
      </c>
      <c r="W958" s="2">
        <f>VLOOKUP(Table1[[#This Row],[Status]],Auxiliar!$B$16:$D$24,3,0)*Table1[[#This Row],[Estimação (horas)]]</f>
        <v>0.5</v>
      </c>
      <c r="X958" s="165">
        <f>+VLOOKUP(CONCATENATE(Table1[[#This Row],[Tabela]],Table1[[#This Row],[Campo]]),'2. Status Detalhe Campos FY24'!A:J,9,FALSE)</f>
        <v>0</v>
      </c>
      <c r="Y958" s="491" t="e">
        <f>+VLOOKUP(A958,#REF!,1,FALSE)</f>
        <v>#REF!</v>
      </c>
    </row>
    <row r="959" spans="1:25" ht="17.899999999999999" hidden="1" customHeight="1">
      <c r="A959" t="str">
        <f>+Table1[[#This Row],[Tabela]]&amp;Table1[[#This Row],[Campo]]</f>
        <v>modesg_inp_emss_vclsunidade_funcional</v>
      </c>
      <c r="B959" s="12" t="s">
        <v>26</v>
      </c>
      <c r="C959" s="12" t="s">
        <v>181</v>
      </c>
      <c r="D959" s="12" t="s">
        <v>1218</v>
      </c>
      <c r="E959" s="2" t="s">
        <v>38</v>
      </c>
      <c r="F959" s="12" t="s">
        <v>212</v>
      </c>
      <c r="G959" s="12" t="s">
        <v>229</v>
      </c>
      <c r="H959" s="57" t="str">
        <f>Table1[[#This Row],[Tabela]]&amp;Table1[[#This Row],[Campo]]</f>
        <v>modesg_inp_emss_vclsunidade_funcional</v>
      </c>
      <c r="I959" s="2" t="s">
        <v>612</v>
      </c>
      <c r="J959" s="45">
        <f>VLOOKUP(Table1[[#This Row],[Status]],Auxiliar!$B$16:$C$24,2,0)</f>
        <v>1</v>
      </c>
      <c r="K959" s="20" t="s">
        <v>1171</v>
      </c>
      <c r="L959" s="20" t="s">
        <v>1174</v>
      </c>
      <c r="M959" s="20" t="s">
        <v>1176</v>
      </c>
      <c r="N959" s="47">
        <v>45546</v>
      </c>
      <c r="O959" s="20">
        <f>INDEX(Auxiliar!$D$5:$F$13,MATCH(Table1[[#This Row],[Tipologia_Testes]],Auxiliar!$B$5:$B$13,0),MATCH(Table1[[#This Row],[Complexidade]],Auxiliar!$D$4:$F$4,0))</f>
        <v>0.1</v>
      </c>
      <c r="P959" s="2" t="s">
        <v>1229</v>
      </c>
      <c r="Q959" s="2"/>
      <c r="R959" s="151">
        <v>45261</v>
      </c>
      <c r="S959" s="151"/>
      <c r="T959" s="151"/>
      <c r="U959" s="151">
        <v>45603</v>
      </c>
      <c r="V959" s="151">
        <v>45534</v>
      </c>
      <c r="W959" s="2">
        <f>VLOOKUP(Table1[[#This Row],[Status]],Auxiliar!$B$16:$D$24,3,0)*Table1[[#This Row],[Estimação (horas)]]</f>
        <v>0.1</v>
      </c>
      <c r="X959" s="165">
        <f>+VLOOKUP(CONCATENATE(Table1[[#This Row],[Tabela]],Table1[[#This Row],[Campo]]),'2. Status Detalhe Campos FY24'!A:J,9,FALSE)</f>
        <v>0</v>
      </c>
      <c r="Y959" s="491" t="e">
        <f>+VLOOKUP(A959,#REF!,1,FALSE)</f>
        <v>#REF!</v>
      </c>
    </row>
    <row r="960" spans="1:25" ht="17.899999999999999" hidden="1" customHeight="1">
      <c r="A960" t="str">
        <f>+Table1[[#This Row],[Tabela]]&amp;Table1[[#This Row],[Campo]]</f>
        <v>modesg_inp_emss_vclsunidade_funcional</v>
      </c>
      <c r="B960" s="12" t="s">
        <v>26</v>
      </c>
      <c r="C960" s="12" t="s">
        <v>181</v>
      </c>
      <c r="D960" s="12" t="s">
        <v>1218</v>
      </c>
      <c r="E960" s="2" t="s">
        <v>38</v>
      </c>
      <c r="F960" s="12" t="s">
        <v>212</v>
      </c>
      <c r="G960" s="12" t="s">
        <v>229</v>
      </c>
      <c r="H960" s="57" t="str">
        <f>Table1[[#This Row],[Tabela]]&amp;Table1[[#This Row],[Campo]]</f>
        <v>modesg_inp_emss_vclsunidade_funcional</v>
      </c>
      <c r="I960" s="2" t="s">
        <v>612</v>
      </c>
      <c r="J960" s="45">
        <f>VLOOKUP(Table1[[#This Row],[Status]],Auxiliar!$B$16:$C$24,2,0)</f>
        <v>1</v>
      </c>
      <c r="K960" s="20" t="s">
        <v>1179</v>
      </c>
      <c r="L960" s="20" t="s">
        <v>1174</v>
      </c>
      <c r="M960" s="20" t="s">
        <v>1176</v>
      </c>
      <c r="N960" s="47">
        <v>45546</v>
      </c>
      <c r="O960" s="20">
        <f>INDEX(Auxiliar!$D$5:$F$13,MATCH(Table1[[#This Row],[Tipologia_Testes]],Auxiliar!$B$5:$B$13,0),MATCH(Table1[[#This Row],[Complexidade]],Auxiliar!$D$4:$F$4,0))</f>
        <v>0.5</v>
      </c>
      <c r="P960" s="2" t="s">
        <v>1228</v>
      </c>
      <c r="Q960" s="2"/>
      <c r="R960" s="151">
        <v>45261</v>
      </c>
      <c r="S960" s="151"/>
      <c r="T960" s="151"/>
      <c r="U960" s="151">
        <v>45603</v>
      </c>
      <c r="V960" s="151">
        <v>45534</v>
      </c>
      <c r="W960" s="2">
        <f>VLOOKUP(Table1[[#This Row],[Status]],Auxiliar!$B$16:$D$24,3,0)*Table1[[#This Row],[Estimação (horas)]]</f>
        <v>0.5</v>
      </c>
      <c r="X960" s="165">
        <f>+VLOOKUP(CONCATENATE(Table1[[#This Row],[Tabela]],Table1[[#This Row],[Campo]]),'2. Status Detalhe Campos FY24'!A:J,9,FALSE)</f>
        <v>0</v>
      </c>
      <c r="Y960" s="491" t="e">
        <f>+VLOOKUP(A960,#REF!,1,FALSE)</f>
        <v>#REF!</v>
      </c>
    </row>
    <row r="961" spans="1:25" ht="17.899999999999999" hidden="1" customHeight="1">
      <c r="A961" t="str">
        <f>+Table1[[#This Row],[Tabela]]&amp;Table1[[#This Row],[Campo]]</f>
        <v>modesg_inp_emss_vclsnome_fator_emissao</v>
      </c>
      <c r="B961" s="12" t="s">
        <v>26</v>
      </c>
      <c r="C961" s="12" t="s">
        <v>181</v>
      </c>
      <c r="D961" s="12" t="s">
        <v>1218</v>
      </c>
      <c r="E961" s="2" t="s">
        <v>38</v>
      </c>
      <c r="F961" s="12" t="s">
        <v>212</v>
      </c>
      <c r="G961" s="12" t="s">
        <v>230</v>
      </c>
      <c r="H961" s="57" t="str">
        <f>Table1[[#This Row],[Tabela]]&amp;Table1[[#This Row],[Campo]]</f>
        <v>modesg_inp_emss_vclsnome_fator_emissao</v>
      </c>
      <c r="I961" s="2" t="s">
        <v>612</v>
      </c>
      <c r="J961" s="45">
        <f>VLOOKUP(Table1[[#This Row],[Status]],Auxiliar!$B$16:$C$24,2,0)</f>
        <v>1</v>
      </c>
      <c r="K961" s="20" t="s">
        <v>1171</v>
      </c>
      <c r="L961" s="20" t="s">
        <v>1174</v>
      </c>
      <c r="M961" s="20" t="s">
        <v>1176</v>
      </c>
      <c r="N961" s="47">
        <v>45546</v>
      </c>
      <c r="O961" s="20">
        <f>INDEX(Auxiliar!$D$5:$F$13,MATCH(Table1[[#This Row],[Tipologia_Testes]],Auxiliar!$B$5:$B$13,0),MATCH(Table1[[#This Row],[Complexidade]],Auxiliar!$D$4:$F$4,0))</f>
        <v>0.1</v>
      </c>
      <c r="P961" s="2" t="s">
        <v>1229</v>
      </c>
      <c r="Q961" s="2"/>
      <c r="R961" s="151">
        <v>45261</v>
      </c>
      <c r="S961" s="151"/>
      <c r="T961" s="151"/>
      <c r="U961" s="151">
        <v>45603</v>
      </c>
      <c r="V961" s="151">
        <v>45534</v>
      </c>
      <c r="W961" s="2">
        <f>VLOOKUP(Table1[[#This Row],[Status]],Auxiliar!$B$16:$D$24,3,0)*Table1[[#This Row],[Estimação (horas)]]</f>
        <v>0.1</v>
      </c>
      <c r="X961" s="165">
        <f>+VLOOKUP(CONCATENATE(Table1[[#This Row],[Tabela]],Table1[[#This Row],[Campo]]),'2. Status Detalhe Campos FY24'!A:J,9,FALSE)</f>
        <v>0</v>
      </c>
      <c r="Y961" s="491" t="e">
        <f>+VLOOKUP(A961,#REF!,1,FALSE)</f>
        <v>#REF!</v>
      </c>
    </row>
    <row r="962" spans="1:25" ht="17.899999999999999" hidden="1" customHeight="1">
      <c r="A962" t="str">
        <f>+Table1[[#This Row],[Tabela]]&amp;Table1[[#This Row],[Campo]]</f>
        <v>modesg_inp_emss_vclsnome_fator_emissao</v>
      </c>
      <c r="B962" s="12" t="s">
        <v>26</v>
      </c>
      <c r="C962" s="12" t="s">
        <v>181</v>
      </c>
      <c r="D962" s="12" t="s">
        <v>1218</v>
      </c>
      <c r="E962" s="2" t="s">
        <v>38</v>
      </c>
      <c r="F962" s="12" t="s">
        <v>212</v>
      </c>
      <c r="G962" s="12" t="s">
        <v>230</v>
      </c>
      <c r="H962" s="57" t="str">
        <f>Table1[[#This Row],[Tabela]]&amp;Table1[[#This Row],[Campo]]</f>
        <v>modesg_inp_emss_vclsnome_fator_emissao</v>
      </c>
      <c r="I962" s="2" t="s">
        <v>612</v>
      </c>
      <c r="J962" s="45">
        <f>VLOOKUP(Table1[[#This Row],[Status]],Auxiliar!$B$16:$C$24,2,0)</f>
        <v>1</v>
      </c>
      <c r="K962" s="20" t="s">
        <v>1179</v>
      </c>
      <c r="L962" s="20" t="s">
        <v>1174</v>
      </c>
      <c r="M962" s="20" t="s">
        <v>1176</v>
      </c>
      <c r="N962" s="47">
        <v>45546</v>
      </c>
      <c r="O962" s="20">
        <f>INDEX(Auxiliar!$D$5:$F$13,MATCH(Table1[[#This Row],[Tipologia_Testes]],Auxiliar!$B$5:$B$13,0),MATCH(Table1[[#This Row],[Complexidade]],Auxiliar!$D$4:$F$4,0))</f>
        <v>0.5</v>
      </c>
      <c r="P962" s="2" t="s">
        <v>1228</v>
      </c>
      <c r="Q962" s="2"/>
      <c r="R962" s="151">
        <v>45261</v>
      </c>
      <c r="S962" s="151"/>
      <c r="T962" s="151"/>
      <c r="U962" s="151">
        <v>45603</v>
      </c>
      <c r="V962" s="151">
        <v>45534</v>
      </c>
      <c r="W962" s="2">
        <f>VLOOKUP(Table1[[#This Row],[Status]],Auxiliar!$B$16:$D$24,3,0)*Table1[[#This Row],[Estimação (horas)]]</f>
        <v>0.5</v>
      </c>
      <c r="X962" s="165">
        <f>+VLOOKUP(CONCATENATE(Table1[[#This Row],[Tabela]],Table1[[#This Row],[Campo]]),'2. Status Detalhe Campos FY24'!A:J,9,FALSE)</f>
        <v>0</v>
      </c>
      <c r="Y962" s="491" t="e">
        <f>+VLOOKUP(A962,#REF!,1,FALSE)</f>
        <v>#REF!</v>
      </c>
    </row>
    <row r="963" spans="1:25" ht="17.899999999999999" hidden="1" customHeight="1">
      <c r="A963" t="str">
        <f>+Table1[[#This Row],[Tabela]]&amp;Table1[[#This Row],[Campo]]</f>
        <v>modesg_inp_emss_vclsunidade_fator_de_emissao</v>
      </c>
      <c r="B963" s="12" t="s">
        <v>26</v>
      </c>
      <c r="C963" s="12" t="s">
        <v>181</v>
      </c>
      <c r="D963" s="12" t="s">
        <v>1218</v>
      </c>
      <c r="E963" s="2" t="s">
        <v>38</v>
      </c>
      <c r="F963" s="12" t="s">
        <v>212</v>
      </c>
      <c r="G963" s="12" t="s">
        <v>231</v>
      </c>
      <c r="H963" s="57" t="str">
        <f>Table1[[#This Row],[Tabela]]&amp;Table1[[#This Row],[Campo]]</f>
        <v>modesg_inp_emss_vclsunidade_fator_de_emissao</v>
      </c>
      <c r="I963" s="2" t="s">
        <v>612</v>
      </c>
      <c r="J963" s="45">
        <f>VLOOKUP(Table1[[#This Row],[Status]],Auxiliar!$B$16:$C$24,2,0)</f>
        <v>1</v>
      </c>
      <c r="K963" s="20" t="s">
        <v>1171</v>
      </c>
      <c r="L963" s="20" t="s">
        <v>1174</v>
      </c>
      <c r="M963" s="20" t="s">
        <v>1176</v>
      </c>
      <c r="N963" s="47">
        <v>45546</v>
      </c>
      <c r="O963" s="20">
        <f>INDEX(Auxiliar!$D$5:$F$13,MATCH(Table1[[#This Row],[Tipologia_Testes]],Auxiliar!$B$5:$B$13,0),MATCH(Table1[[#This Row],[Complexidade]],Auxiliar!$D$4:$F$4,0))</f>
        <v>0.1</v>
      </c>
      <c r="P963" s="2" t="s">
        <v>1229</v>
      </c>
      <c r="Q963" s="2"/>
      <c r="R963" s="151">
        <v>45261</v>
      </c>
      <c r="S963" s="151"/>
      <c r="T963" s="151"/>
      <c r="U963" s="151">
        <v>45603</v>
      </c>
      <c r="V963" s="151">
        <v>45534</v>
      </c>
      <c r="W963" s="2">
        <f>VLOOKUP(Table1[[#This Row],[Status]],Auxiliar!$B$16:$D$24,3,0)*Table1[[#This Row],[Estimação (horas)]]</f>
        <v>0.1</v>
      </c>
      <c r="X963" s="165">
        <f>+VLOOKUP(CONCATENATE(Table1[[#This Row],[Tabela]],Table1[[#This Row],[Campo]]),'2. Status Detalhe Campos FY24'!A:J,9,FALSE)</f>
        <v>0</v>
      </c>
      <c r="Y963" s="491" t="e">
        <f>+VLOOKUP(A963,#REF!,1,FALSE)</f>
        <v>#REF!</v>
      </c>
    </row>
    <row r="964" spans="1:25" ht="17.899999999999999" hidden="1" customHeight="1">
      <c r="A964" t="str">
        <f>+Table1[[#This Row],[Tabela]]&amp;Table1[[#This Row],[Campo]]</f>
        <v>modesg_inp_emss_vclsunidade_fator_de_emissao</v>
      </c>
      <c r="B964" s="12" t="s">
        <v>26</v>
      </c>
      <c r="C964" s="12" t="s">
        <v>181</v>
      </c>
      <c r="D964" s="12" t="s">
        <v>1218</v>
      </c>
      <c r="E964" s="2" t="s">
        <v>38</v>
      </c>
      <c r="F964" s="12" t="s">
        <v>212</v>
      </c>
      <c r="G964" s="12" t="s">
        <v>231</v>
      </c>
      <c r="H964" s="57" t="str">
        <f>Table1[[#This Row],[Tabela]]&amp;Table1[[#This Row],[Campo]]</f>
        <v>modesg_inp_emss_vclsunidade_fator_de_emissao</v>
      </c>
      <c r="I964" s="2" t="s">
        <v>612</v>
      </c>
      <c r="J964" s="45">
        <f>VLOOKUP(Table1[[#This Row],[Status]],Auxiliar!$B$16:$C$24,2,0)</f>
        <v>1</v>
      </c>
      <c r="K964" s="20" t="s">
        <v>1179</v>
      </c>
      <c r="L964" s="20" t="s">
        <v>1174</v>
      </c>
      <c r="M964" s="20" t="s">
        <v>1176</v>
      </c>
      <c r="N964" s="47">
        <v>45546</v>
      </c>
      <c r="O964" s="20">
        <f>INDEX(Auxiliar!$D$5:$F$13,MATCH(Table1[[#This Row],[Tipologia_Testes]],Auxiliar!$B$5:$B$13,0),MATCH(Table1[[#This Row],[Complexidade]],Auxiliar!$D$4:$F$4,0))</f>
        <v>0.5</v>
      </c>
      <c r="P964" s="2" t="s">
        <v>1228</v>
      </c>
      <c r="Q964" s="2"/>
      <c r="R964" s="151">
        <v>45261</v>
      </c>
      <c r="S964" s="151"/>
      <c r="T964" s="151"/>
      <c r="U964" s="151">
        <v>45603</v>
      </c>
      <c r="V964" s="151">
        <v>45534</v>
      </c>
      <c r="W964" s="2">
        <f>VLOOKUP(Table1[[#This Row],[Status]],Auxiliar!$B$16:$D$24,3,0)*Table1[[#This Row],[Estimação (horas)]]</f>
        <v>0.5</v>
      </c>
      <c r="X964" s="165">
        <f>+VLOOKUP(CONCATENATE(Table1[[#This Row],[Tabela]],Table1[[#This Row],[Campo]]),'2. Status Detalhe Campos FY24'!A:J,9,FALSE)</f>
        <v>0</v>
      </c>
      <c r="Y964" s="491" t="e">
        <f>+VLOOKUP(A964,#REF!,1,FALSE)</f>
        <v>#REF!</v>
      </c>
    </row>
    <row r="965" spans="1:25" ht="69.650000000000006" hidden="1" customHeight="1">
      <c r="A965" t="str">
        <f>+Table1[[#This Row],[Tabela]]&amp;Table1[[#This Row],[Campo]]</f>
        <v>modesg_inp_emss_vclsscore_qualidade</v>
      </c>
      <c r="B965" s="12" t="s">
        <v>26</v>
      </c>
      <c r="C965" s="12" t="s">
        <v>181</v>
      </c>
      <c r="D965" s="12" t="s">
        <v>1218</v>
      </c>
      <c r="E965" s="2" t="s">
        <v>38</v>
      </c>
      <c r="F965" s="12" t="s">
        <v>212</v>
      </c>
      <c r="G965" s="12" t="s">
        <v>232</v>
      </c>
      <c r="H965" s="57" t="str">
        <f>Table1[[#This Row],[Tabela]]&amp;Table1[[#This Row],[Campo]]</f>
        <v>modesg_inp_emss_vclsscore_qualidade</v>
      </c>
      <c r="I965" s="2" t="s">
        <v>612</v>
      </c>
      <c r="J965" s="45">
        <f>VLOOKUP(Table1[[#This Row],[Status]],Auxiliar!$B$16:$C$24,2,0)</f>
        <v>1</v>
      </c>
      <c r="K965" s="20" t="s">
        <v>1171</v>
      </c>
      <c r="L965" s="2" t="s">
        <v>1166</v>
      </c>
      <c r="M965" s="20" t="s">
        <v>1176</v>
      </c>
      <c r="N965" s="47">
        <v>45546</v>
      </c>
      <c r="O965" s="20">
        <f>INDEX(Auxiliar!$D$5:$F$13,MATCH(Table1[[#This Row],[Tipologia_Testes]],Auxiliar!$B$5:$B$13,0),MATCH(Table1[[#This Row],[Complexidade]],Auxiliar!$D$4:$F$4,0))</f>
        <v>0.1</v>
      </c>
      <c r="P965" s="2" t="s">
        <v>1229</v>
      </c>
      <c r="Q965" s="2"/>
      <c r="R965" s="151">
        <v>45261</v>
      </c>
      <c r="S965" s="151"/>
      <c r="T965" s="151"/>
      <c r="U965" s="151">
        <v>45603</v>
      </c>
      <c r="V965" s="151">
        <v>45534</v>
      </c>
      <c r="W965" s="2">
        <f>VLOOKUP(Table1[[#This Row],[Status]],Auxiliar!$B$16:$D$24,3,0)*Table1[[#This Row],[Estimação (horas)]]</f>
        <v>0.1</v>
      </c>
      <c r="X965" s="165">
        <f>+VLOOKUP(CONCATENATE(Table1[[#This Row],[Tabela]],Table1[[#This Row],[Campo]]),'2. Status Detalhe Campos FY24'!A:J,9,FALSE)</f>
        <v>0</v>
      </c>
      <c r="Y965" s="491" t="e">
        <f>+VLOOKUP(A965,#REF!,1,FALSE)</f>
        <v>#REF!</v>
      </c>
    </row>
    <row r="966" spans="1:25" ht="17.899999999999999" hidden="1" customHeight="1">
      <c r="A966" t="str">
        <f>+Table1[[#This Row],[Tabela]]&amp;Table1[[#This Row],[Campo]]</f>
        <v>modesg_inp_emss_vclsscore_qualidade</v>
      </c>
      <c r="B966" s="12" t="s">
        <v>26</v>
      </c>
      <c r="C966" s="12" t="s">
        <v>181</v>
      </c>
      <c r="D966" s="12" t="s">
        <v>1218</v>
      </c>
      <c r="E966" s="2" t="s">
        <v>38</v>
      </c>
      <c r="F966" s="12" t="s">
        <v>212</v>
      </c>
      <c r="G966" s="12" t="s">
        <v>232</v>
      </c>
      <c r="H966" s="57" t="str">
        <f>Table1[[#This Row],[Tabela]]&amp;Table1[[#This Row],[Campo]]</f>
        <v>modesg_inp_emss_vclsscore_qualidade</v>
      </c>
      <c r="I966" s="2" t="s">
        <v>612</v>
      </c>
      <c r="J966" s="45">
        <f>VLOOKUP(Table1[[#This Row],[Status]],Auxiliar!$B$16:$C$24,2,0)</f>
        <v>1</v>
      </c>
      <c r="K966" s="20" t="s">
        <v>1179</v>
      </c>
      <c r="L966" s="2" t="s">
        <v>1166</v>
      </c>
      <c r="M966" s="20" t="s">
        <v>1176</v>
      </c>
      <c r="N966" s="47">
        <v>45546</v>
      </c>
      <c r="O966" s="20">
        <f>INDEX(Auxiliar!$D$5:$F$13,MATCH(Table1[[#This Row],[Tipologia_Testes]],Auxiliar!$B$5:$B$13,0),MATCH(Table1[[#This Row],[Complexidade]],Auxiliar!$D$4:$F$4,0))</f>
        <v>0.5</v>
      </c>
      <c r="P966" s="22" t="s">
        <v>1230</v>
      </c>
      <c r="Q966" s="2"/>
      <c r="R966" s="151">
        <v>45261</v>
      </c>
      <c r="S966" s="151"/>
      <c r="T966" s="151"/>
      <c r="U966" s="151">
        <v>45603</v>
      </c>
      <c r="V966" s="151">
        <v>45534</v>
      </c>
      <c r="W966" s="2">
        <f>VLOOKUP(Table1[[#This Row],[Status]],Auxiliar!$B$16:$D$24,3,0)*Table1[[#This Row],[Estimação (horas)]]</f>
        <v>0.5</v>
      </c>
      <c r="X966" s="165">
        <f>+VLOOKUP(CONCATENATE(Table1[[#This Row],[Tabela]],Table1[[#This Row],[Campo]]),'2. Status Detalhe Campos FY24'!A:J,9,FALSE)</f>
        <v>0</v>
      </c>
      <c r="Y966" s="491" t="e">
        <f>+VLOOKUP(A966,#REF!,1,FALSE)</f>
        <v>#REF!</v>
      </c>
    </row>
    <row r="967" spans="1:25" ht="69.650000000000006" hidden="1" customHeight="1">
      <c r="A967" t="str">
        <f>+Table1[[#This Row],[Tabela]]&amp;Table1[[#This Row],[Campo]]</f>
        <v>modesg_inp_emss_vclsscp1_ftr_emss</v>
      </c>
      <c r="B967" s="12" t="s">
        <v>26</v>
      </c>
      <c r="C967" s="12" t="s">
        <v>181</v>
      </c>
      <c r="D967" s="12" t="s">
        <v>1218</v>
      </c>
      <c r="E967" s="2" t="s">
        <v>38</v>
      </c>
      <c r="F967" s="12" t="s">
        <v>212</v>
      </c>
      <c r="G967" s="12" t="s">
        <v>233</v>
      </c>
      <c r="H967" s="57" t="str">
        <f>Table1[[#This Row],[Tabela]]&amp;Table1[[#This Row],[Campo]]</f>
        <v>modesg_inp_emss_vclsscp1_ftr_emss</v>
      </c>
      <c r="I967" s="2" t="s">
        <v>612</v>
      </c>
      <c r="J967" s="45">
        <f>VLOOKUP(Table1[[#This Row],[Status]],Auxiliar!$B$16:$C$24,2,0)</f>
        <v>1</v>
      </c>
      <c r="K967" s="20" t="s">
        <v>1171</v>
      </c>
      <c r="L967" s="2" t="s">
        <v>1166</v>
      </c>
      <c r="M967" s="20" t="s">
        <v>1176</v>
      </c>
      <c r="N967" s="47">
        <v>45546</v>
      </c>
      <c r="O967" s="20">
        <f>INDEX(Auxiliar!$D$5:$F$13,MATCH(Table1[[#This Row],[Tipologia_Testes]],Auxiliar!$B$5:$B$13,0),MATCH(Table1[[#This Row],[Complexidade]],Auxiliar!$D$4:$F$4,0))</f>
        <v>0.1</v>
      </c>
      <c r="P967" s="2" t="s">
        <v>1231</v>
      </c>
      <c r="Q967" s="2"/>
      <c r="R967" s="151">
        <v>45261</v>
      </c>
      <c r="S967" s="151"/>
      <c r="T967" s="151"/>
      <c r="U967" s="151">
        <v>45603</v>
      </c>
      <c r="V967" s="151">
        <v>45534</v>
      </c>
      <c r="W967" s="2">
        <f>VLOOKUP(Table1[[#This Row],[Status]],Auxiliar!$B$16:$D$24,3,0)*Table1[[#This Row],[Estimação (horas)]]</f>
        <v>0.1</v>
      </c>
      <c r="X967" s="165">
        <f>+VLOOKUP(CONCATENATE(Table1[[#This Row],[Tabela]],Table1[[#This Row],[Campo]]),'2. Status Detalhe Campos FY24'!A:J,9,FALSE)</f>
        <v>0</v>
      </c>
      <c r="Y967" s="491" t="e">
        <f>+VLOOKUP(A967,#REF!,1,FALSE)</f>
        <v>#REF!</v>
      </c>
    </row>
    <row r="968" spans="1:25" ht="17.899999999999999" hidden="1" customHeight="1">
      <c r="A968" t="str">
        <f>+Table1[[#This Row],[Tabela]]&amp;Table1[[#This Row],[Campo]]</f>
        <v>modesg_inp_emss_vclsscp1_ftr_emss</v>
      </c>
      <c r="B968" s="12" t="s">
        <v>26</v>
      </c>
      <c r="C968" s="12" t="s">
        <v>181</v>
      </c>
      <c r="D968" s="12" t="s">
        <v>1218</v>
      </c>
      <c r="E968" s="2" t="s">
        <v>38</v>
      </c>
      <c r="F968" s="12" t="s">
        <v>212</v>
      </c>
      <c r="G968" s="12" t="s">
        <v>233</v>
      </c>
      <c r="H968" s="57" t="str">
        <f>Table1[[#This Row],[Tabela]]&amp;Table1[[#This Row],[Campo]]</f>
        <v>modesg_inp_emss_vclsscp1_ftr_emss</v>
      </c>
      <c r="I968" s="2" t="s">
        <v>612</v>
      </c>
      <c r="J968" s="45">
        <f>VLOOKUP(Table1[[#This Row],[Status]],Auxiliar!$B$16:$C$24,2,0)</f>
        <v>1</v>
      </c>
      <c r="K968" s="20" t="s">
        <v>1179</v>
      </c>
      <c r="L968" s="2" t="s">
        <v>1166</v>
      </c>
      <c r="M968" s="20" t="s">
        <v>1176</v>
      </c>
      <c r="N968" s="47">
        <v>45546</v>
      </c>
      <c r="O968" s="20">
        <f>INDEX(Auxiliar!$D$5:$F$13,MATCH(Table1[[#This Row],[Tipologia_Testes]],Auxiliar!$B$5:$B$13,0),MATCH(Table1[[#This Row],[Complexidade]],Auxiliar!$D$4:$F$4,0))</f>
        <v>0.5</v>
      </c>
      <c r="P968" s="22" t="s">
        <v>1230</v>
      </c>
      <c r="Q968" s="2"/>
      <c r="R968" s="151">
        <v>45261</v>
      </c>
      <c r="S968" s="151"/>
      <c r="T968" s="151"/>
      <c r="U968" s="151">
        <v>45603</v>
      </c>
      <c r="V968" s="151">
        <v>45534</v>
      </c>
      <c r="W968" s="2">
        <f>VLOOKUP(Table1[[#This Row],[Status]],Auxiliar!$B$16:$D$24,3,0)*Table1[[#This Row],[Estimação (horas)]]</f>
        <v>0.5</v>
      </c>
      <c r="X968" s="165">
        <f>+VLOOKUP(CONCATENATE(Table1[[#This Row],[Tabela]],Table1[[#This Row],[Campo]]),'2. Status Detalhe Campos FY24'!A:J,9,FALSE)</f>
        <v>0</v>
      </c>
      <c r="Y968" s="491" t="e">
        <f>+VLOOKUP(A968,#REF!,1,FALSE)</f>
        <v>#REF!</v>
      </c>
    </row>
    <row r="969" spans="1:25" ht="69.650000000000006" hidden="1" customHeight="1">
      <c r="A969" t="str">
        <f>+Table1[[#This Row],[Tabela]]&amp;Table1[[#This Row],[Campo]]</f>
        <v>modesg_inp_emss_vclsscp2_ftr_emss</v>
      </c>
      <c r="B969" s="12" t="s">
        <v>26</v>
      </c>
      <c r="C969" s="12" t="s">
        <v>181</v>
      </c>
      <c r="D969" s="12" t="s">
        <v>1218</v>
      </c>
      <c r="E969" s="2" t="s">
        <v>38</v>
      </c>
      <c r="F969" s="12" t="s">
        <v>212</v>
      </c>
      <c r="G969" s="12" t="s">
        <v>234</v>
      </c>
      <c r="H969" s="57" t="str">
        <f>Table1[[#This Row],[Tabela]]&amp;Table1[[#This Row],[Campo]]</f>
        <v>modesg_inp_emss_vclsscp2_ftr_emss</v>
      </c>
      <c r="I969" s="2" t="s">
        <v>612</v>
      </c>
      <c r="J969" s="45">
        <f>VLOOKUP(Table1[[#This Row],[Status]],Auxiliar!$B$16:$C$24,2,0)</f>
        <v>1</v>
      </c>
      <c r="K969" s="20" t="s">
        <v>1171</v>
      </c>
      <c r="L969" s="2" t="s">
        <v>1166</v>
      </c>
      <c r="M969" s="20" t="s">
        <v>1176</v>
      </c>
      <c r="N969" s="47">
        <v>45546</v>
      </c>
      <c r="O969" s="20">
        <f>INDEX(Auxiliar!$D$5:$F$13,MATCH(Table1[[#This Row],[Tipologia_Testes]],Auxiliar!$B$5:$B$13,0),MATCH(Table1[[#This Row],[Complexidade]],Auxiliar!$D$4:$F$4,0))</f>
        <v>0.1</v>
      </c>
      <c r="P969" s="2" t="s">
        <v>1231</v>
      </c>
      <c r="Q969" s="2"/>
      <c r="R969" s="151">
        <v>45261</v>
      </c>
      <c r="S969" s="151"/>
      <c r="T969" s="151"/>
      <c r="U969" s="151">
        <v>45603</v>
      </c>
      <c r="V969" s="151">
        <v>45534</v>
      </c>
      <c r="W969" s="2">
        <f>VLOOKUP(Table1[[#This Row],[Status]],Auxiliar!$B$16:$D$24,3,0)*Table1[[#This Row],[Estimação (horas)]]</f>
        <v>0.1</v>
      </c>
      <c r="X969" s="165">
        <f>+VLOOKUP(CONCATENATE(Table1[[#This Row],[Tabela]],Table1[[#This Row],[Campo]]),'2. Status Detalhe Campos FY24'!A:J,9,FALSE)</f>
        <v>0</v>
      </c>
      <c r="Y969" s="491" t="e">
        <f>+VLOOKUP(A969,#REF!,1,FALSE)</f>
        <v>#REF!</v>
      </c>
    </row>
    <row r="970" spans="1:25" ht="17.899999999999999" hidden="1" customHeight="1">
      <c r="A970" t="str">
        <f>+Table1[[#This Row],[Tabela]]&amp;Table1[[#This Row],[Campo]]</f>
        <v>modesg_inp_emss_vclsscp2_ftr_emss</v>
      </c>
      <c r="B970" s="12" t="s">
        <v>26</v>
      </c>
      <c r="C970" s="12" t="s">
        <v>181</v>
      </c>
      <c r="D970" s="12" t="s">
        <v>1218</v>
      </c>
      <c r="E970" s="2" t="s">
        <v>38</v>
      </c>
      <c r="F970" s="12" t="s">
        <v>212</v>
      </c>
      <c r="G970" s="12" t="s">
        <v>234</v>
      </c>
      <c r="H970" s="57" t="str">
        <f>Table1[[#This Row],[Tabela]]&amp;Table1[[#This Row],[Campo]]</f>
        <v>modesg_inp_emss_vclsscp2_ftr_emss</v>
      </c>
      <c r="I970" s="2" t="s">
        <v>612</v>
      </c>
      <c r="J970" s="45">
        <f>VLOOKUP(Table1[[#This Row],[Status]],Auxiliar!$B$16:$C$24,2,0)</f>
        <v>1</v>
      </c>
      <c r="K970" s="20" t="s">
        <v>1179</v>
      </c>
      <c r="L970" s="2" t="s">
        <v>1166</v>
      </c>
      <c r="M970" s="20" t="s">
        <v>1176</v>
      </c>
      <c r="N970" s="47">
        <v>45546</v>
      </c>
      <c r="O970" s="20">
        <f>INDEX(Auxiliar!$D$5:$F$13,MATCH(Table1[[#This Row],[Tipologia_Testes]],Auxiliar!$B$5:$B$13,0),MATCH(Table1[[#This Row],[Complexidade]],Auxiliar!$D$4:$F$4,0))</f>
        <v>0.5</v>
      </c>
      <c r="P970" s="22" t="s">
        <v>1230</v>
      </c>
      <c r="Q970" s="2"/>
      <c r="R970" s="151">
        <v>45261</v>
      </c>
      <c r="S970" s="151"/>
      <c r="T970" s="151"/>
      <c r="U970" s="151">
        <v>45603</v>
      </c>
      <c r="V970" s="151">
        <v>45534</v>
      </c>
      <c r="W970" s="2">
        <f>VLOOKUP(Table1[[#This Row],[Status]],Auxiliar!$B$16:$D$24,3,0)*Table1[[#This Row],[Estimação (horas)]]</f>
        <v>0.5</v>
      </c>
      <c r="X970" s="165">
        <f>+VLOOKUP(CONCATENATE(Table1[[#This Row],[Tabela]],Table1[[#This Row],[Campo]]),'2. Status Detalhe Campos FY24'!A:J,9,FALSE)</f>
        <v>0</v>
      </c>
      <c r="Y970" s="491" t="e">
        <f>+VLOOKUP(A970,#REF!,1,FALSE)</f>
        <v>#REF!</v>
      </c>
    </row>
    <row r="971" spans="1:25" ht="52.4" hidden="1" customHeight="1">
      <c r="A971" t="str">
        <f>+Table1[[#This Row],[Tabela]]&amp;Table1[[#This Row],[Campo]]</f>
        <v>modesg_inp_emss_vclsscp3_ftr_emss</v>
      </c>
      <c r="B971" s="12" t="s">
        <v>26</v>
      </c>
      <c r="C971" s="12" t="s">
        <v>181</v>
      </c>
      <c r="D971" s="12" t="s">
        <v>1218</v>
      </c>
      <c r="E971" s="2" t="s">
        <v>38</v>
      </c>
      <c r="F971" s="12" t="s">
        <v>212</v>
      </c>
      <c r="G971" s="12" t="s">
        <v>235</v>
      </c>
      <c r="H971" s="57" t="str">
        <f>Table1[[#This Row],[Tabela]]&amp;Table1[[#This Row],[Campo]]</f>
        <v>modesg_inp_emss_vclsscp3_ftr_emss</v>
      </c>
      <c r="I971" s="2" t="s">
        <v>612</v>
      </c>
      <c r="J971" s="45">
        <f>VLOOKUP(Table1[[#This Row],[Status]],Auxiliar!$B$16:$C$24,2,0)</f>
        <v>1</v>
      </c>
      <c r="K971" s="20" t="s">
        <v>1171</v>
      </c>
      <c r="L971" s="2" t="s">
        <v>1166</v>
      </c>
      <c r="M971" s="20" t="s">
        <v>1176</v>
      </c>
      <c r="N971" s="47">
        <v>45546</v>
      </c>
      <c r="O971" s="20">
        <f>INDEX(Auxiliar!$D$5:$F$13,MATCH(Table1[[#This Row],[Tipologia_Testes]],Auxiliar!$B$5:$B$13,0),MATCH(Table1[[#This Row],[Complexidade]],Auxiliar!$D$4:$F$4,0))</f>
        <v>0.1</v>
      </c>
      <c r="P971" s="2" t="s">
        <v>1232</v>
      </c>
      <c r="Q971" s="2"/>
      <c r="R971" s="151">
        <v>45261</v>
      </c>
      <c r="S971" s="151"/>
      <c r="T971" s="151"/>
      <c r="U971" s="151">
        <v>45603</v>
      </c>
      <c r="V971" s="151">
        <v>45534</v>
      </c>
      <c r="W971" s="2">
        <f>VLOOKUP(Table1[[#This Row],[Status]],Auxiliar!$B$16:$D$24,3,0)*Table1[[#This Row],[Estimação (horas)]]</f>
        <v>0.1</v>
      </c>
      <c r="X971" s="165">
        <f>+VLOOKUP(CONCATENATE(Table1[[#This Row],[Tabela]],Table1[[#This Row],[Campo]]),'2. Status Detalhe Campos FY24'!A:J,9,FALSE)</f>
        <v>0</v>
      </c>
      <c r="Y971" s="491" t="e">
        <f>+VLOOKUP(A971,#REF!,1,FALSE)</f>
        <v>#REF!</v>
      </c>
    </row>
    <row r="972" spans="1:25" ht="17.899999999999999" hidden="1" customHeight="1">
      <c r="A972" t="str">
        <f>+Table1[[#This Row],[Tabela]]&amp;Table1[[#This Row],[Campo]]</f>
        <v>modesg_inp_emss_vclsscp3_ftr_emss</v>
      </c>
      <c r="B972" s="12" t="s">
        <v>26</v>
      </c>
      <c r="C972" s="12" t="s">
        <v>181</v>
      </c>
      <c r="D972" s="12" t="s">
        <v>1218</v>
      </c>
      <c r="E972" s="2" t="s">
        <v>38</v>
      </c>
      <c r="F972" s="12" t="s">
        <v>212</v>
      </c>
      <c r="G972" s="12" t="s">
        <v>235</v>
      </c>
      <c r="H972" s="57" t="str">
        <f>Table1[[#This Row],[Tabela]]&amp;Table1[[#This Row],[Campo]]</f>
        <v>modesg_inp_emss_vclsscp3_ftr_emss</v>
      </c>
      <c r="I972" s="2" t="s">
        <v>612</v>
      </c>
      <c r="J972" s="45">
        <f>VLOOKUP(Table1[[#This Row],[Status]],Auxiliar!$B$16:$C$24,2,0)</f>
        <v>1</v>
      </c>
      <c r="K972" s="20" t="s">
        <v>1179</v>
      </c>
      <c r="L972" s="2" t="s">
        <v>1166</v>
      </c>
      <c r="M972" s="20" t="s">
        <v>1176</v>
      </c>
      <c r="N972" s="47">
        <v>45546</v>
      </c>
      <c r="O972" s="20">
        <f>INDEX(Auxiliar!$D$5:$F$13,MATCH(Table1[[#This Row],[Tipologia_Testes]],Auxiliar!$B$5:$B$13,0),MATCH(Table1[[#This Row],[Complexidade]],Auxiliar!$D$4:$F$4,0))</f>
        <v>0.5</v>
      </c>
      <c r="P972" s="22" t="s">
        <v>1233</v>
      </c>
      <c r="Q972" s="2"/>
      <c r="R972" s="151">
        <v>45261</v>
      </c>
      <c r="S972" s="151"/>
      <c r="T972" s="151"/>
      <c r="U972" s="151">
        <v>45603</v>
      </c>
      <c r="V972" s="151">
        <v>45534</v>
      </c>
      <c r="W972" s="2">
        <f>VLOOKUP(Table1[[#This Row],[Status]],Auxiliar!$B$16:$D$24,3,0)*Table1[[#This Row],[Estimação (horas)]]</f>
        <v>0.5</v>
      </c>
      <c r="X972" s="165">
        <f>+VLOOKUP(CONCATENATE(Table1[[#This Row],[Tabela]],Table1[[#This Row],[Campo]]),'2. Status Detalhe Campos FY24'!A:J,9,FALSE)</f>
        <v>0</v>
      </c>
      <c r="Y972" s="491" t="e">
        <f>+VLOOKUP(A972,#REF!,1,FALSE)</f>
        <v>#REF!</v>
      </c>
    </row>
    <row r="973" spans="1:25" ht="17.899999999999999" hidden="1" customHeight="1">
      <c r="A973" t="str">
        <f>+Table1[[#This Row],[Tabela]]&amp;Table1[[#This Row],[Campo]]</f>
        <v>modesg_inp_km_medios_emss_vclsref_date</v>
      </c>
      <c r="B973" s="12" t="s">
        <v>26</v>
      </c>
      <c r="C973" s="12" t="s">
        <v>181</v>
      </c>
      <c r="D973" s="12" t="s">
        <v>1218</v>
      </c>
      <c r="E973" s="2" t="s">
        <v>38</v>
      </c>
      <c r="F973" s="12" t="s">
        <v>213</v>
      </c>
      <c r="G973" s="12" t="s">
        <v>208</v>
      </c>
      <c r="H973" s="57" t="str">
        <f>Table1[[#This Row],[Tabela]]&amp;Table1[[#This Row],[Campo]]</f>
        <v>modesg_inp_km_medios_emss_vclsref_date</v>
      </c>
      <c r="I973" s="2" t="s">
        <v>612</v>
      </c>
      <c r="J973" s="45">
        <f>VLOOKUP(Table1[[#This Row],[Status]],Auxiliar!$B$16:$C$24,2,0)</f>
        <v>1</v>
      </c>
      <c r="K973" s="20" t="s">
        <v>1179</v>
      </c>
      <c r="L973" s="27"/>
      <c r="M973" s="20" t="s">
        <v>1176</v>
      </c>
      <c r="N973" s="47">
        <v>45537</v>
      </c>
      <c r="O973" s="20">
        <f>INDEX(Auxiliar!$D$5:$F$13,MATCH(Table1[[#This Row],[Tipologia_Testes]],Auxiliar!$B$5:$B$13,0),MATCH(Table1[[#This Row],[Complexidade]],Auxiliar!$D$4:$F$4,0))</f>
        <v>0.5</v>
      </c>
      <c r="P973" s="2"/>
      <c r="Q973" s="2"/>
      <c r="R973" s="151">
        <v>45261</v>
      </c>
      <c r="S973" s="151"/>
      <c r="T973" s="151"/>
      <c r="U973" s="151">
        <v>45603</v>
      </c>
      <c r="V973" s="151">
        <v>45534</v>
      </c>
      <c r="W973" s="2">
        <f>VLOOKUP(Table1[[#This Row],[Status]],Auxiliar!$B$16:$D$24,3,0)*Table1[[#This Row],[Estimação (horas)]]</f>
        <v>0.5</v>
      </c>
      <c r="X973" s="165">
        <f>+VLOOKUP(CONCATENATE(Table1[[#This Row],[Tabela]],Table1[[#This Row],[Campo]]),'2. Status Detalhe Campos FY24'!A:J,9,FALSE)</f>
        <v>0</v>
      </c>
      <c r="Y973" s="491" t="e">
        <f>+VLOOKUP(A973,#REF!,1,FALSE)</f>
        <v>#REF!</v>
      </c>
    </row>
    <row r="974" spans="1:25" ht="17.899999999999999" hidden="1" customHeight="1">
      <c r="A974" t="str">
        <f>+Table1[[#This Row],[Tabela]]&amp;Table1[[#This Row],[Campo]]</f>
        <v>modesg_inp_km_medios_emss_vclsnome_pais</v>
      </c>
      <c r="B974" s="12" t="s">
        <v>26</v>
      </c>
      <c r="C974" s="12" t="s">
        <v>181</v>
      </c>
      <c r="D974" s="12" t="s">
        <v>1218</v>
      </c>
      <c r="E974" s="2" t="s">
        <v>38</v>
      </c>
      <c r="F974" s="12" t="s">
        <v>213</v>
      </c>
      <c r="G974" s="12" t="s">
        <v>221</v>
      </c>
      <c r="H974" s="57" t="str">
        <f>Table1[[#This Row],[Tabela]]&amp;Table1[[#This Row],[Campo]]</f>
        <v>modesg_inp_km_medios_emss_vclsnome_pais</v>
      </c>
      <c r="I974" s="2" t="s">
        <v>612</v>
      </c>
      <c r="J974" s="45">
        <f>VLOOKUP(Table1[[#This Row],[Status]],Auxiliar!$B$16:$C$24,2,0)</f>
        <v>1</v>
      </c>
      <c r="K974" s="20" t="s">
        <v>1171</v>
      </c>
      <c r="L974" s="27"/>
      <c r="M974" s="20" t="s">
        <v>1176</v>
      </c>
      <c r="N974" s="47">
        <v>45537</v>
      </c>
      <c r="O974" s="20">
        <f>INDEX(Auxiliar!$D$5:$F$13,MATCH(Table1[[#This Row],[Tipologia_Testes]],Auxiliar!$B$5:$B$13,0),MATCH(Table1[[#This Row],[Complexidade]],Auxiliar!$D$4:$F$4,0))</f>
        <v>0.1</v>
      </c>
      <c r="P974" s="2" t="s">
        <v>1234</v>
      </c>
      <c r="Q974" s="2"/>
      <c r="R974" s="151">
        <v>45261</v>
      </c>
      <c r="S974" s="151"/>
      <c r="T974" s="151"/>
      <c r="U974" s="151">
        <v>45603</v>
      </c>
      <c r="V974" s="151">
        <v>45534</v>
      </c>
      <c r="W974" s="2">
        <f>VLOOKUP(Table1[[#This Row],[Status]],Auxiliar!$B$16:$D$24,3,0)*Table1[[#This Row],[Estimação (horas)]]</f>
        <v>0.1</v>
      </c>
      <c r="X974" s="165">
        <f>+VLOOKUP(CONCATENATE(Table1[[#This Row],[Tabela]],Table1[[#This Row],[Campo]]),'2. Status Detalhe Campos FY24'!A:J,9,FALSE)</f>
        <v>0</v>
      </c>
      <c r="Y974" s="491" t="e">
        <f>+VLOOKUP(A974,#REF!,1,FALSE)</f>
        <v>#REF!</v>
      </c>
    </row>
    <row r="975" spans="1:25" ht="17.899999999999999" hidden="1" customHeight="1">
      <c r="A975" t="str">
        <f>+Table1[[#This Row],[Tabela]]&amp;Table1[[#This Row],[Campo]]</f>
        <v>modesg_inp_km_medios_emss_vclsnome_pais</v>
      </c>
      <c r="B975" s="12" t="s">
        <v>26</v>
      </c>
      <c r="C975" s="12" t="s">
        <v>181</v>
      </c>
      <c r="D975" s="12" t="s">
        <v>1218</v>
      </c>
      <c r="E975" s="2" t="s">
        <v>38</v>
      </c>
      <c r="F975" s="12" t="s">
        <v>213</v>
      </c>
      <c r="G975" s="12" t="s">
        <v>221</v>
      </c>
      <c r="H975" s="57" t="str">
        <f>Table1[[#This Row],[Tabela]]&amp;Table1[[#This Row],[Campo]]</f>
        <v>modesg_inp_km_medios_emss_vclsnome_pais</v>
      </c>
      <c r="I975" s="2" t="s">
        <v>612</v>
      </c>
      <c r="J975" s="45">
        <f>VLOOKUP(Table1[[#This Row],[Status]],Auxiliar!$B$16:$C$24,2,0)</f>
        <v>1</v>
      </c>
      <c r="K975" s="20" t="s">
        <v>1179</v>
      </c>
      <c r="L975" s="27"/>
      <c r="M975" s="20" t="s">
        <v>1176</v>
      </c>
      <c r="N975" s="47">
        <v>45537</v>
      </c>
      <c r="O975" s="20">
        <f>INDEX(Auxiliar!$D$5:$F$13,MATCH(Table1[[#This Row],[Tipologia_Testes]],Auxiliar!$B$5:$B$13,0),MATCH(Table1[[#This Row],[Complexidade]],Auxiliar!$D$4:$F$4,0))</f>
        <v>0.5</v>
      </c>
      <c r="P975" s="2"/>
      <c r="Q975" s="2"/>
      <c r="R975" s="151">
        <v>45261</v>
      </c>
      <c r="S975" s="151"/>
      <c r="T975" s="151"/>
      <c r="U975" s="151">
        <v>45603</v>
      </c>
      <c r="V975" s="151">
        <v>45534</v>
      </c>
      <c r="W975" s="2">
        <f>VLOOKUP(Table1[[#This Row],[Status]],Auxiliar!$B$16:$D$24,3,0)*Table1[[#This Row],[Estimação (horas)]]</f>
        <v>0.5</v>
      </c>
      <c r="X975" s="165">
        <f>+VLOOKUP(CONCATENATE(Table1[[#This Row],[Tabela]],Table1[[#This Row],[Campo]]),'2. Status Detalhe Campos FY24'!A:J,9,FALSE)</f>
        <v>0</v>
      </c>
      <c r="Y975" s="491" t="e">
        <f>+VLOOKUP(A975,#REF!,1,FALSE)</f>
        <v>#REF!</v>
      </c>
    </row>
    <row r="976" spans="1:25" ht="17.899999999999999" hidden="1" customHeight="1">
      <c r="A976" t="str">
        <f>+Table1[[#This Row],[Tabela]]&amp;Table1[[#This Row],[Campo]]</f>
        <v>modesg_inp_km_medios_emss_vclstipo_vcl</v>
      </c>
      <c r="B976" s="12" t="s">
        <v>26</v>
      </c>
      <c r="C976" s="12" t="s">
        <v>181</v>
      </c>
      <c r="D976" s="12" t="s">
        <v>1218</v>
      </c>
      <c r="E976" s="2" t="s">
        <v>38</v>
      </c>
      <c r="F976" s="12" t="s">
        <v>213</v>
      </c>
      <c r="G976" s="12" t="s">
        <v>236</v>
      </c>
      <c r="H976" s="57" t="str">
        <f>Table1[[#This Row],[Tabela]]&amp;Table1[[#This Row],[Campo]]</f>
        <v>modesg_inp_km_medios_emss_vclstipo_vcl</v>
      </c>
      <c r="I976" s="2" t="s">
        <v>612</v>
      </c>
      <c r="J976" s="45">
        <f>VLOOKUP(Table1[[#This Row],[Status]],Auxiliar!$B$16:$C$24,2,0)</f>
        <v>1</v>
      </c>
      <c r="K976" s="20" t="s">
        <v>1171</v>
      </c>
      <c r="L976" s="2" t="s">
        <v>1166</v>
      </c>
      <c r="M976" s="20" t="s">
        <v>1176</v>
      </c>
      <c r="N976" s="47">
        <v>45537</v>
      </c>
      <c r="O976" s="20">
        <f>INDEX(Auxiliar!$D$5:$F$13,MATCH(Table1[[#This Row],[Tipologia_Testes]],Auxiliar!$B$5:$B$13,0),MATCH(Table1[[#This Row],[Complexidade]],Auxiliar!$D$4:$F$4,0))</f>
        <v>0.1</v>
      </c>
      <c r="P976" s="2" t="s">
        <v>1235</v>
      </c>
      <c r="Q976" s="2"/>
      <c r="R976" s="151">
        <v>45261</v>
      </c>
      <c r="S976" s="151"/>
      <c r="T976" s="151"/>
      <c r="U976" s="151">
        <v>45603</v>
      </c>
      <c r="V976" s="151">
        <v>45534</v>
      </c>
      <c r="W976" s="2">
        <f>VLOOKUP(Table1[[#This Row],[Status]],Auxiliar!$B$16:$D$24,3,0)*Table1[[#This Row],[Estimação (horas)]]</f>
        <v>0.1</v>
      </c>
      <c r="X976" s="165">
        <f>+VLOOKUP(CONCATENATE(Table1[[#This Row],[Tabela]],Table1[[#This Row],[Campo]]),'2. Status Detalhe Campos FY24'!A:J,9,FALSE)</f>
        <v>0</v>
      </c>
      <c r="Y976" s="491" t="e">
        <f>+VLOOKUP(A976,#REF!,1,FALSE)</f>
        <v>#REF!</v>
      </c>
    </row>
    <row r="977" spans="1:25" ht="17.899999999999999" hidden="1" customHeight="1">
      <c r="A977" t="str">
        <f>+Table1[[#This Row],[Tabela]]&amp;Table1[[#This Row],[Campo]]</f>
        <v>modesg_inp_km_medios_emss_vclstipo_vcl</v>
      </c>
      <c r="B977" s="12" t="s">
        <v>26</v>
      </c>
      <c r="C977" s="12" t="s">
        <v>181</v>
      </c>
      <c r="D977" s="12" t="s">
        <v>1218</v>
      </c>
      <c r="E977" s="2" t="s">
        <v>38</v>
      </c>
      <c r="F977" s="12" t="s">
        <v>213</v>
      </c>
      <c r="G977" s="12" t="s">
        <v>236</v>
      </c>
      <c r="H977" s="57" t="str">
        <f>Table1[[#This Row],[Tabela]]&amp;Table1[[#This Row],[Campo]]</f>
        <v>modesg_inp_km_medios_emss_vclstipo_vcl</v>
      </c>
      <c r="I977" s="2" t="s">
        <v>612</v>
      </c>
      <c r="J977" s="45">
        <f>VLOOKUP(Table1[[#This Row],[Status]],Auxiliar!$B$16:$C$24,2,0)</f>
        <v>1</v>
      </c>
      <c r="K977" s="20" t="s">
        <v>1179</v>
      </c>
      <c r="L977" s="2" t="s">
        <v>1166</v>
      </c>
      <c r="M977" s="20" t="s">
        <v>1176</v>
      </c>
      <c r="N977" s="47">
        <v>45537</v>
      </c>
      <c r="O977" s="20">
        <f>INDEX(Auxiliar!$D$5:$F$13,MATCH(Table1[[#This Row],[Tipologia_Testes]],Auxiliar!$B$5:$B$13,0),MATCH(Table1[[#This Row],[Complexidade]],Auxiliar!$D$4:$F$4,0))</f>
        <v>0.5</v>
      </c>
      <c r="P977" s="2" t="s">
        <v>1236</v>
      </c>
      <c r="Q977" s="2"/>
      <c r="R977" s="151">
        <v>45261</v>
      </c>
      <c r="S977" s="151"/>
      <c r="T977" s="151"/>
      <c r="U977" s="151">
        <v>45603</v>
      </c>
      <c r="V977" s="151">
        <v>45534</v>
      </c>
      <c r="W977" s="2">
        <f>VLOOKUP(Table1[[#This Row],[Status]],Auxiliar!$B$16:$D$24,3,0)*Table1[[#This Row],[Estimação (horas)]]</f>
        <v>0.5</v>
      </c>
      <c r="X977" s="165">
        <f>+VLOOKUP(CONCATENATE(Table1[[#This Row],[Tabela]],Table1[[#This Row],[Campo]]),'2. Status Detalhe Campos FY24'!A:J,9,FALSE)</f>
        <v>0</v>
      </c>
      <c r="Y977" s="491" t="e">
        <f>+VLOOKUP(A977,#REF!,1,FALSE)</f>
        <v>#REF!</v>
      </c>
    </row>
    <row r="978" spans="1:25" ht="17.899999999999999" hidden="1" customHeight="1">
      <c r="A978" t="str">
        <f>+Table1[[#This Row],[Tabela]]&amp;Table1[[#This Row],[Campo]]</f>
        <v>modesg_inp_km_medios_emss_vclstipo_motor</v>
      </c>
      <c r="B978" s="12" t="s">
        <v>26</v>
      </c>
      <c r="C978" s="12" t="s">
        <v>181</v>
      </c>
      <c r="D978" s="12" t="s">
        <v>1218</v>
      </c>
      <c r="E978" s="2" t="s">
        <v>38</v>
      </c>
      <c r="F978" s="12" t="s">
        <v>213</v>
      </c>
      <c r="G978" s="12" t="s">
        <v>224</v>
      </c>
      <c r="H978" s="57" t="str">
        <f>Table1[[#This Row],[Tabela]]&amp;Table1[[#This Row],[Campo]]</f>
        <v>modesg_inp_km_medios_emss_vclstipo_motor</v>
      </c>
      <c r="I978" s="2" t="s">
        <v>612</v>
      </c>
      <c r="J978" s="45">
        <f>VLOOKUP(Table1[[#This Row],[Status]],Auxiliar!$B$16:$C$24,2,0)</f>
        <v>1</v>
      </c>
      <c r="K978" s="20" t="s">
        <v>1171</v>
      </c>
      <c r="L978" s="27"/>
      <c r="M978" s="20" t="s">
        <v>1176</v>
      </c>
      <c r="N978" s="47">
        <v>45537</v>
      </c>
      <c r="O978" s="20">
        <f>INDEX(Auxiliar!$D$5:$F$13,MATCH(Table1[[#This Row],[Tipologia_Testes]],Auxiliar!$B$5:$B$13,0),MATCH(Table1[[#This Row],[Complexidade]],Auxiliar!$D$4:$F$4,0))</f>
        <v>0.1</v>
      </c>
      <c r="P978" s="2" t="s">
        <v>1234</v>
      </c>
      <c r="Q978" s="2"/>
      <c r="R978" s="151">
        <v>45261</v>
      </c>
      <c r="S978" s="151"/>
      <c r="T978" s="151"/>
      <c r="U978" s="151">
        <v>45603</v>
      </c>
      <c r="V978" s="151">
        <v>45534</v>
      </c>
      <c r="W978" s="2">
        <f>VLOOKUP(Table1[[#This Row],[Status]],Auxiliar!$B$16:$D$24,3,0)*Table1[[#This Row],[Estimação (horas)]]</f>
        <v>0.1</v>
      </c>
      <c r="X978" s="165">
        <f>+VLOOKUP(CONCATENATE(Table1[[#This Row],[Tabela]],Table1[[#This Row],[Campo]]),'2. Status Detalhe Campos FY24'!A:J,9,FALSE)</f>
        <v>0</v>
      </c>
      <c r="Y978" s="491" t="e">
        <f>+VLOOKUP(A978,#REF!,1,FALSE)</f>
        <v>#REF!</v>
      </c>
    </row>
    <row r="979" spans="1:25" ht="17.899999999999999" hidden="1" customHeight="1">
      <c r="A979" t="str">
        <f>+Table1[[#This Row],[Tabela]]&amp;Table1[[#This Row],[Campo]]</f>
        <v>modesg_inp_km_medios_emss_vclstipo_motor</v>
      </c>
      <c r="B979" s="12" t="s">
        <v>26</v>
      </c>
      <c r="C979" s="12" t="s">
        <v>181</v>
      </c>
      <c r="D979" s="12" t="s">
        <v>1218</v>
      </c>
      <c r="E979" s="2" t="s">
        <v>38</v>
      </c>
      <c r="F979" s="12" t="s">
        <v>213</v>
      </c>
      <c r="G979" s="12" t="s">
        <v>224</v>
      </c>
      <c r="H979" s="57" t="str">
        <f>Table1[[#This Row],[Tabela]]&amp;Table1[[#This Row],[Campo]]</f>
        <v>modesg_inp_km_medios_emss_vclstipo_motor</v>
      </c>
      <c r="I979" s="2" t="s">
        <v>612</v>
      </c>
      <c r="J979" s="45">
        <f>VLOOKUP(Table1[[#This Row],[Status]],Auxiliar!$B$16:$C$24,2,0)</f>
        <v>1</v>
      </c>
      <c r="K979" s="20" t="s">
        <v>1179</v>
      </c>
      <c r="L979" s="27"/>
      <c r="M979" s="20" t="s">
        <v>1176</v>
      </c>
      <c r="N979" s="47">
        <v>45537</v>
      </c>
      <c r="O979" s="20">
        <f>INDEX(Auxiliar!$D$5:$F$13,MATCH(Table1[[#This Row],[Tipologia_Testes]],Auxiliar!$B$5:$B$13,0),MATCH(Table1[[#This Row],[Complexidade]],Auxiliar!$D$4:$F$4,0))</f>
        <v>0.5</v>
      </c>
      <c r="P979" s="2"/>
      <c r="Q979" s="2"/>
      <c r="R979" s="151">
        <v>45261</v>
      </c>
      <c r="S979" s="151"/>
      <c r="T979" s="151"/>
      <c r="U979" s="151">
        <v>45603</v>
      </c>
      <c r="V979" s="151">
        <v>45534</v>
      </c>
      <c r="W979" s="2">
        <f>VLOOKUP(Table1[[#This Row],[Status]],Auxiliar!$B$16:$D$24,3,0)*Table1[[#This Row],[Estimação (horas)]]</f>
        <v>0.5</v>
      </c>
      <c r="X979" s="165">
        <f>+VLOOKUP(CONCATENATE(Table1[[#This Row],[Tabela]],Table1[[#This Row],[Campo]]),'2. Status Detalhe Campos FY24'!A:J,9,FALSE)</f>
        <v>0</v>
      </c>
      <c r="Y979" s="491" t="e">
        <f>+VLOOKUP(A979,#REF!,1,FALSE)</f>
        <v>#REF!</v>
      </c>
    </row>
    <row r="980" spans="1:25" ht="17.899999999999999" hidden="1" customHeight="1">
      <c r="A980" t="str">
        <f>+Table1[[#This Row],[Tabela]]&amp;Table1[[#This Row],[Campo]]</f>
        <v>modesg_inp_km_medios_emss_vclssubgrupo</v>
      </c>
      <c r="B980" s="12" t="s">
        <v>26</v>
      </c>
      <c r="C980" s="12" t="s">
        <v>181</v>
      </c>
      <c r="D980" s="12" t="s">
        <v>1218</v>
      </c>
      <c r="E980" s="2" t="s">
        <v>38</v>
      </c>
      <c r="F980" s="12" t="s">
        <v>213</v>
      </c>
      <c r="G980" s="12" t="s">
        <v>227</v>
      </c>
      <c r="H980" s="57" t="str">
        <f>Table1[[#This Row],[Tabela]]&amp;Table1[[#This Row],[Campo]]</f>
        <v>modesg_inp_km_medios_emss_vclssubgrupo</v>
      </c>
      <c r="I980" s="2" t="s">
        <v>612</v>
      </c>
      <c r="J980" s="45">
        <f>VLOOKUP(Table1[[#This Row],[Status]],Auxiliar!$B$16:$C$24,2,0)</f>
        <v>1</v>
      </c>
      <c r="K980" s="20" t="s">
        <v>1171</v>
      </c>
      <c r="L980" s="2" t="s">
        <v>641</v>
      </c>
      <c r="M980" s="20" t="s">
        <v>1176</v>
      </c>
      <c r="N980" s="47">
        <v>45537</v>
      </c>
      <c r="O980" s="20">
        <f>INDEX(Auxiliar!$D$5:$F$13,MATCH(Table1[[#This Row],[Tipologia_Testes]],Auxiliar!$B$5:$B$13,0),MATCH(Table1[[#This Row],[Complexidade]],Auxiliar!$D$4:$F$4,0))</f>
        <v>0.1</v>
      </c>
      <c r="P980" s="2" t="s">
        <v>1234</v>
      </c>
      <c r="Q980" s="2"/>
      <c r="R980" s="151">
        <v>45261</v>
      </c>
      <c r="S980" s="151"/>
      <c r="T980" s="151"/>
      <c r="U980" s="151">
        <v>45603</v>
      </c>
      <c r="V980" s="151">
        <v>45534</v>
      </c>
      <c r="W980" s="2">
        <f>VLOOKUP(Table1[[#This Row],[Status]],Auxiliar!$B$16:$D$24,3,0)*Table1[[#This Row],[Estimação (horas)]]</f>
        <v>0.1</v>
      </c>
      <c r="X980" s="165">
        <f>+VLOOKUP(CONCATENATE(Table1[[#This Row],[Tabela]],Table1[[#This Row],[Campo]]),'2. Status Detalhe Campos FY24'!A:J,9,FALSE)</f>
        <v>0</v>
      </c>
      <c r="Y980" s="491" t="e">
        <f>+VLOOKUP(A980,#REF!,1,FALSE)</f>
        <v>#REF!</v>
      </c>
    </row>
    <row r="981" spans="1:25" ht="17.899999999999999" hidden="1" customHeight="1">
      <c r="A981" t="str">
        <f>+Table1[[#This Row],[Tabela]]&amp;Table1[[#This Row],[Campo]]</f>
        <v>modesg_inp_km_medios_emss_vclssubgrupo</v>
      </c>
      <c r="B981" s="12" t="s">
        <v>26</v>
      </c>
      <c r="C981" s="12" t="s">
        <v>181</v>
      </c>
      <c r="D981" s="12" t="s">
        <v>1218</v>
      </c>
      <c r="E981" s="2" t="s">
        <v>38</v>
      </c>
      <c r="F981" s="12" t="s">
        <v>213</v>
      </c>
      <c r="G981" s="12" t="s">
        <v>227</v>
      </c>
      <c r="H981" s="57" t="str">
        <f>Table1[[#This Row],[Tabela]]&amp;Table1[[#This Row],[Campo]]</f>
        <v>modesg_inp_km_medios_emss_vclssubgrupo</v>
      </c>
      <c r="I981" s="2" t="s">
        <v>612</v>
      </c>
      <c r="J981" s="45">
        <f>VLOOKUP(Table1[[#This Row],[Status]],Auxiliar!$B$16:$C$24,2,0)</f>
        <v>1</v>
      </c>
      <c r="K981" s="20" t="s">
        <v>1179</v>
      </c>
      <c r="L981" s="2" t="s">
        <v>641</v>
      </c>
      <c r="M981" s="20" t="s">
        <v>1176</v>
      </c>
      <c r="N981" s="47">
        <v>45537</v>
      </c>
      <c r="O981" s="20">
        <f>INDEX(Auxiliar!$D$5:$F$13,MATCH(Table1[[#This Row],[Tipologia_Testes]],Auxiliar!$B$5:$B$13,0),MATCH(Table1[[#This Row],[Complexidade]],Auxiliar!$D$4:$F$4,0))</f>
        <v>0.5</v>
      </c>
      <c r="P981" s="2"/>
      <c r="Q981" s="2"/>
      <c r="R981" s="151">
        <v>45261</v>
      </c>
      <c r="S981" s="151"/>
      <c r="T981" s="151"/>
      <c r="U981" s="151">
        <v>45603</v>
      </c>
      <c r="V981" s="151">
        <v>45534</v>
      </c>
      <c r="W981" s="2">
        <f>VLOOKUP(Table1[[#This Row],[Status]],Auxiliar!$B$16:$D$24,3,0)*Table1[[#This Row],[Estimação (horas)]]</f>
        <v>0.5</v>
      </c>
      <c r="X981" s="165">
        <f>+VLOOKUP(CONCATENATE(Table1[[#This Row],[Tabela]],Table1[[#This Row],[Campo]]),'2. Status Detalhe Campos FY24'!A:J,9,FALSE)</f>
        <v>0</v>
      </c>
      <c r="Y981" s="491" t="e">
        <f>+VLOOKUP(A981,#REF!,1,FALSE)</f>
        <v>#REF!</v>
      </c>
    </row>
    <row r="982" spans="1:25" ht="17.899999999999999" hidden="1" customHeight="1">
      <c r="A982" t="str">
        <f>+Table1[[#This Row],[Tabela]]&amp;Table1[[#This Row],[Campo]]</f>
        <v>modesg_inp_km_medios_emss_vclsmedia_km</v>
      </c>
      <c r="B982" s="12" t="s">
        <v>26</v>
      </c>
      <c r="C982" s="12" t="s">
        <v>181</v>
      </c>
      <c r="D982" s="12" t="s">
        <v>1218</v>
      </c>
      <c r="E982" s="2" t="s">
        <v>38</v>
      </c>
      <c r="F982" s="12" t="s">
        <v>213</v>
      </c>
      <c r="G982" s="12" t="s">
        <v>237</v>
      </c>
      <c r="H982" s="57" t="str">
        <f>Table1[[#This Row],[Tabela]]&amp;Table1[[#This Row],[Campo]]</f>
        <v>modesg_inp_km_medios_emss_vclsmedia_km</v>
      </c>
      <c r="I982" s="2" t="s">
        <v>612</v>
      </c>
      <c r="J982" s="45">
        <f>VLOOKUP(Table1[[#This Row],[Status]],Auxiliar!$B$16:$C$24,2,0)</f>
        <v>1</v>
      </c>
      <c r="K982" s="20" t="s">
        <v>1171</v>
      </c>
      <c r="L982" s="27"/>
      <c r="M982" s="20" t="s">
        <v>1176</v>
      </c>
      <c r="N982" s="47">
        <v>45537</v>
      </c>
      <c r="O982" s="20">
        <f>INDEX(Auxiliar!$D$5:$F$13,MATCH(Table1[[#This Row],[Tipologia_Testes]],Auxiliar!$B$5:$B$13,0),MATCH(Table1[[#This Row],[Complexidade]],Auxiliar!$D$4:$F$4,0))</f>
        <v>0.1</v>
      </c>
      <c r="P982" s="2" t="s">
        <v>1234</v>
      </c>
      <c r="Q982" s="2"/>
      <c r="R982" s="151">
        <v>45261</v>
      </c>
      <c r="S982" s="151"/>
      <c r="T982" s="151"/>
      <c r="U982" s="151">
        <v>45603</v>
      </c>
      <c r="V982" s="151">
        <v>45534</v>
      </c>
      <c r="W982" s="2">
        <f>VLOOKUP(Table1[[#This Row],[Status]],Auxiliar!$B$16:$D$24,3,0)*Table1[[#This Row],[Estimação (horas)]]</f>
        <v>0.1</v>
      </c>
      <c r="X982" s="165">
        <f>+VLOOKUP(CONCATENATE(Table1[[#This Row],[Tabela]],Table1[[#This Row],[Campo]]),'2. Status Detalhe Campos FY24'!A:J,9,FALSE)</f>
        <v>0</v>
      </c>
      <c r="Y982" s="491" t="e">
        <f>+VLOOKUP(A982,#REF!,1,FALSE)</f>
        <v>#REF!</v>
      </c>
    </row>
    <row r="983" spans="1:25" ht="17.899999999999999" hidden="1" customHeight="1">
      <c r="A983" t="str">
        <f>+Table1[[#This Row],[Tabela]]&amp;Table1[[#This Row],[Campo]]</f>
        <v>modesg_inp_km_medios_emss_vclsmedia_km</v>
      </c>
      <c r="B983" s="12" t="s">
        <v>26</v>
      </c>
      <c r="C983" s="12" t="s">
        <v>181</v>
      </c>
      <c r="D983" s="12" t="s">
        <v>1218</v>
      </c>
      <c r="E983" s="2" t="s">
        <v>38</v>
      </c>
      <c r="F983" s="12" t="s">
        <v>213</v>
      </c>
      <c r="G983" s="12" t="s">
        <v>237</v>
      </c>
      <c r="H983" s="57" t="str">
        <f>Table1[[#This Row],[Tabela]]&amp;Table1[[#This Row],[Campo]]</f>
        <v>modesg_inp_km_medios_emss_vclsmedia_km</v>
      </c>
      <c r="I983" s="2" t="s">
        <v>612</v>
      </c>
      <c r="J983" s="45">
        <f>VLOOKUP(Table1[[#This Row],[Status]],Auxiliar!$B$16:$C$24,2,0)</f>
        <v>1</v>
      </c>
      <c r="K983" s="20" t="s">
        <v>1179</v>
      </c>
      <c r="L983" s="27"/>
      <c r="M983" s="20" t="s">
        <v>1176</v>
      </c>
      <c r="N983" s="47">
        <v>45537</v>
      </c>
      <c r="O983" s="20">
        <f>INDEX(Auxiliar!$D$5:$F$13,MATCH(Table1[[#This Row],[Tipologia_Testes]],Auxiliar!$B$5:$B$13,0),MATCH(Table1[[#This Row],[Complexidade]],Auxiliar!$D$4:$F$4,0))</f>
        <v>0.5</v>
      </c>
      <c r="P983" s="2"/>
      <c r="Q983" s="2"/>
      <c r="R983" s="151">
        <v>45261</v>
      </c>
      <c r="S983" s="151"/>
      <c r="T983" s="151"/>
      <c r="U983" s="151">
        <v>45603</v>
      </c>
      <c r="V983" s="151">
        <v>45534</v>
      </c>
      <c r="W983" s="2">
        <f>VLOOKUP(Table1[[#This Row],[Status]],Auxiliar!$B$16:$D$24,3,0)*Table1[[#This Row],[Estimação (horas)]]</f>
        <v>0.5</v>
      </c>
      <c r="X983" s="165">
        <f>+VLOOKUP(CONCATENATE(Table1[[#This Row],[Tabela]],Table1[[#This Row],[Campo]]),'2. Status Detalhe Campos FY24'!A:J,9,FALSE)</f>
        <v>0</v>
      </c>
      <c r="Y983" s="491" t="e">
        <f>+VLOOKUP(A983,#REF!,1,FALSE)</f>
        <v>#REF!</v>
      </c>
    </row>
    <row r="984" spans="1:25" ht="17.899999999999999" hidden="1" customHeight="1">
      <c r="A984" t="str">
        <f>+Table1[[#This Row],[Tabela]]&amp;Table1[[#This Row],[Campo]]</f>
        <v>modesg_inp_empr_excl_parisref_date</v>
      </c>
      <c r="B984" s="12" t="s">
        <v>26</v>
      </c>
      <c r="C984" s="12" t="s">
        <v>181</v>
      </c>
      <c r="D984" s="12" t="s">
        <v>1222</v>
      </c>
      <c r="E984" s="2" t="s">
        <v>38</v>
      </c>
      <c r="F984" s="12" t="s">
        <v>214</v>
      </c>
      <c r="G984" s="12" t="s">
        <v>208</v>
      </c>
      <c r="H984" s="57" t="str">
        <f>Table1[[#This Row],[Tabela]]&amp;Table1[[#This Row],[Campo]]</f>
        <v>modesg_inp_empr_excl_parisref_date</v>
      </c>
      <c r="I984" s="3" t="s">
        <v>612</v>
      </c>
      <c r="J984" s="53">
        <f>VLOOKUP(Table1[[#This Row],[Status]],Auxiliar!$B$16:$C$24,2,0)</f>
        <v>1</v>
      </c>
      <c r="K984" s="20" t="s">
        <v>1179</v>
      </c>
      <c r="L984" s="2" t="s">
        <v>1174</v>
      </c>
      <c r="M984" s="20" t="s">
        <v>1176</v>
      </c>
      <c r="N984" s="47">
        <v>45485</v>
      </c>
      <c r="O984" s="20">
        <f>INDEX(Auxiliar!$D$5:$F$13,MATCH(Table1[[#This Row],[Tipologia_Testes]],Auxiliar!$B$5:$B$13,0),MATCH(Table1[[#This Row],[Complexidade]],Auxiliar!$D$4:$F$4,0))</f>
        <v>0.5</v>
      </c>
      <c r="P984" s="2"/>
      <c r="Q984" s="2"/>
      <c r="R984" s="151">
        <v>45261</v>
      </c>
      <c r="S984" s="151"/>
      <c r="T984" s="151"/>
      <c r="U984" s="151">
        <v>45603</v>
      </c>
      <c r="V984" s="151"/>
      <c r="W984" s="2">
        <f>VLOOKUP(Table1[[#This Row],[Status]],Auxiliar!$B$16:$D$24,3,0)*Table1[[#This Row],[Estimação (horas)]]</f>
        <v>0.5</v>
      </c>
      <c r="X984" s="165">
        <f>+VLOOKUP(CONCATENATE(Table1[[#This Row],[Tabela]],Table1[[#This Row],[Campo]]),'2. Status Detalhe Campos FY24'!A:J,9,FALSE)</f>
        <v>0</v>
      </c>
      <c r="Y984" s="491" t="e">
        <f>+VLOOKUP(A984,#REF!,1,FALSE)</f>
        <v>#REF!</v>
      </c>
    </row>
    <row r="985" spans="1:25" ht="17.899999999999999" hidden="1" customHeight="1">
      <c r="A985" t="str">
        <f>+Table1[[#This Row],[Tabela]]&amp;Table1[[#This Row],[Campo]]</f>
        <v>modesg_inp_empr_excl_parisisin</v>
      </c>
      <c r="B985" s="12" t="s">
        <v>26</v>
      </c>
      <c r="C985" s="12" t="s">
        <v>181</v>
      </c>
      <c r="D985" s="12" t="s">
        <v>1222</v>
      </c>
      <c r="E985" s="2" t="s">
        <v>38</v>
      </c>
      <c r="F985" s="12" t="s">
        <v>214</v>
      </c>
      <c r="G985" s="12" t="s">
        <v>238</v>
      </c>
      <c r="H985" s="57" t="str">
        <f>Table1[[#This Row],[Tabela]]&amp;Table1[[#This Row],[Campo]]</f>
        <v>modesg_inp_empr_excl_parisisin</v>
      </c>
      <c r="I985" s="3" t="s">
        <v>612</v>
      </c>
      <c r="J985" s="53">
        <f>VLOOKUP(Table1[[#This Row],[Status]],Auxiliar!$B$16:$C$24,2,0)</f>
        <v>1</v>
      </c>
      <c r="K985" s="20" t="s">
        <v>1171</v>
      </c>
      <c r="L985" s="2" t="s">
        <v>1174</v>
      </c>
      <c r="M985" s="20" t="s">
        <v>1176</v>
      </c>
      <c r="N985" s="47">
        <v>45485</v>
      </c>
      <c r="O985" s="20">
        <f>INDEX(Auxiliar!$D$5:$F$13,MATCH(Table1[[#This Row],[Tipologia_Testes]],Auxiliar!$B$5:$B$13,0),MATCH(Table1[[#This Row],[Complexidade]],Auxiliar!$D$4:$F$4,0))</f>
        <v>0.1</v>
      </c>
      <c r="P985" s="2" t="s">
        <v>1237</v>
      </c>
      <c r="Q985" s="2"/>
      <c r="R985" s="151">
        <v>45261</v>
      </c>
      <c r="S985" s="151"/>
      <c r="T985" s="151"/>
      <c r="U985" s="151">
        <v>45603</v>
      </c>
      <c r="V985" s="151"/>
      <c r="W985" s="2">
        <f>VLOOKUP(Table1[[#This Row],[Status]],Auxiliar!$B$16:$D$24,3,0)*Table1[[#This Row],[Estimação (horas)]]</f>
        <v>0.1</v>
      </c>
      <c r="X985" s="165">
        <f>+VLOOKUP(CONCATENATE(Table1[[#This Row],[Tabela]],Table1[[#This Row],[Campo]]),'2. Status Detalhe Campos FY24'!A:J,9,FALSE)</f>
        <v>0</v>
      </c>
      <c r="Y985" s="491" t="e">
        <f>+VLOOKUP(A985,#REF!,1,FALSE)</f>
        <v>#REF!</v>
      </c>
    </row>
    <row r="986" spans="1:25" ht="17.899999999999999" hidden="1" customHeight="1">
      <c r="A986" t="str">
        <f>+Table1[[#This Row],[Tabela]]&amp;Table1[[#This Row],[Campo]]</f>
        <v>modesg_inp_empr_excl_parisisin</v>
      </c>
      <c r="B986" s="12" t="s">
        <v>26</v>
      </c>
      <c r="C986" s="12" t="s">
        <v>181</v>
      </c>
      <c r="D986" s="12" t="s">
        <v>1222</v>
      </c>
      <c r="E986" s="2" t="s">
        <v>38</v>
      </c>
      <c r="F986" s="12" t="s">
        <v>214</v>
      </c>
      <c r="G986" s="12" t="s">
        <v>238</v>
      </c>
      <c r="H986" s="57" t="str">
        <f>Table1[[#This Row],[Tabela]]&amp;Table1[[#This Row],[Campo]]</f>
        <v>modesg_inp_empr_excl_parisisin</v>
      </c>
      <c r="I986" s="3" t="s">
        <v>612</v>
      </c>
      <c r="J986" s="53">
        <f>VLOOKUP(Table1[[#This Row],[Status]],Auxiliar!$B$16:$C$24,2,0)</f>
        <v>1</v>
      </c>
      <c r="K986" s="20" t="s">
        <v>1179</v>
      </c>
      <c r="L986" s="2" t="s">
        <v>1166</v>
      </c>
      <c r="M986" s="20" t="s">
        <v>1176</v>
      </c>
      <c r="N986" s="47">
        <v>45485</v>
      </c>
      <c r="O986" s="20">
        <f>INDEX(Auxiliar!$D$5:$F$13,MATCH(Table1[[#This Row],[Tipologia_Testes]],Auxiliar!$B$5:$B$13,0),MATCH(Table1[[#This Row],[Complexidade]],Auxiliar!$D$4:$F$4,0))</f>
        <v>0.5</v>
      </c>
      <c r="P986" s="2"/>
      <c r="Q986" s="2"/>
      <c r="R986" s="151">
        <v>45261</v>
      </c>
      <c r="S986" s="151"/>
      <c r="T986" s="151"/>
      <c r="U986" s="151">
        <v>45603</v>
      </c>
      <c r="V986" s="151"/>
      <c r="W986" s="2">
        <f>VLOOKUP(Table1[[#This Row],[Status]],Auxiliar!$B$16:$D$24,3,0)*Table1[[#This Row],[Estimação (horas)]]</f>
        <v>0.5</v>
      </c>
      <c r="X986" s="165">
        <f>+VLOOKUP(CONCATENATE(Table1[[#This Row],[Tabela]],Table1[[#This Row],[Campo]]),'2. Status Detalhe Campos FY24'!A:J,9,FALSE)</f>
        <v>0</v>
      </c>
      <c r="Y986" s="491" t="e">
        <f>+VLOOKUP(A986,#REF!,1,FALSE)</f>
        <v>#REF!</v>
      </c>
    </row>
    <row r="987" spans="1:25" ht="17.899999999999999" hidden="1" customHeight="1">
      <c r="A987" t="str">
        <f>+Table1[[#This Row],[Tabela]]&amp;Table1[[#This Row],[Campo]]</f>
        <v>modesg_inp_empr_excl_parisclei</v>
      </c>
      <c r="B987" s="12" t="s">
        <v>26</v>
      </c>
      <c r="C987" s="12" t="s">
        <v>181</v>
      </c>
      <c r="D987" s="12" t="s">
        <v>1222</v>
      </c>
      <c r="E987" s="2" t="s">
        <v>38</v>
      </c>
      <c r="F987" s="12" t="s">
        <v>214</v>
      </c>
      <c r="G987" s="12" t="s">
        <v>239</v>
      </c>
      <c r="H987" s="57" t="str">
        <f>Table1[[#This Row],[Tabela]]&amp;Table1[[#This Row],[Campo]]</f>
        <v>modesg_inp_empr_excl_parisclei</v>
      </c>
      <c r="I987" s="3" t="s">
        <v>612</v>
      </c>
      <c r="J987" s="53">
        <f>VLOOKUP(Table1[[#This Row],[Status]],Auxiliar!$B$16:$C$24,2,0)</f>
        <v>1</v>
      </c>
      <c r="K987" s="20" t="s">
        <v>1171</v>
      </c>
      <c r="L987" s="2" t="s">
        <v>1174</v>
      </c>
      <c r="M987" s="20" t="s">
        <v>1176</v>
      </c>
      <c r="N987" s="47">
        <v>45485</v>
      </c>
      <c r="O987" s="20">
        <f>INDEX(Auxiliar!$D$5:$F$13,MATCH(Table1[[#This Row],[Tipologia_Testes]],Auxiliar!$B$5:$B$13,0),MATCH(Table1[[#This Row],[Complexidade]],Auxiliar!$D$4:$F$4,0))</f>
        <v>0.1</v>
      </c>
      <c r="P987" s="2" t="s">
        <v>1237</v>
      </c>
      <c r="Q987" s="2"/>
      <c r="R987" s="151">
        <v>45261</v>
      </c>
      <c r="S987" s="151"/>
      <c r="T987" s="151"/>
      <c r="U987" s="151">
        <v>45603</v>
      </c>
      <c r="V987" s="151"/>
      <c r="W987" s="2">
        <f>VLOOKUP(Table1[[#This Row],[Status]],Auxiliar!$B$16:$D$24,3,0)*Table1[[#This Row],[Estimação (horas)]]</f>
        <v>0.1</v>
      </c>
      <c r="X987" s="165">
        <f>+VLOOKUP(CONCATENATE(Table1[[#This Row],[Tabela]],Table1[[#This Row],[Campo]]),'2. Status Detalhe Campos FY24'!A:J,9,FALSE)</f>
        <v>0</v>
      </c>
      <c r="Y987" s="491" t="e">
        <f>+VLOOKUP(A987,#REF!,1,FALSE)</f>
        <v>#REF!</v>
      </c>
    </row>
    <row r="988" spans="1:25" ht="17.899999999999999" hidden="1" customHeight="1">
      <c r="A988" t="str">
        <f>+Table1[[#This Row],[Tabela]]&amp;Table1[[#This Row],[Campo]]</f>
        <v>modesg_inp_empr_excl_parisclei</v>
      </c>
      <c r="B988" s="12" t="s">
        <v>26</v>
      </c>
      <c r="C988" s="12" t="s">
        <v>181</v>
      </c>
      <c r="D988" s="12" t="s">
        <v>1222</v>
      </c>
      <c r="E988" s="2" t="s">
        <v>38</v>
      </c>
      <c r="F988" s="12" t="s">
        <v>214</v>
      </c>
      <c r="G988" s="12" t="s">
        <v>239</v>
      </c>
      <c r="H988" s="57" t="str">
        <f>Table1[[#This Row],[Tabela]]&amp;Table1[[#This Row],[Campo]]</f>
        <v>modesg_inp_empr_excl_parisclei</v>
      </c>
      <c r="I988" s="3" t="s">
        <v>612</v>
      </c>
      <c r="J988" s="53">
        <f>VLOOKUP(Table1[[#This Row],[Status]],Auxiliar!$B$16:$C$24,2,0)</f>
        <v>1</v>
      </c>
      <c r="K988" s="20" t="s">
        <v>1179</v>
      </c>
      <c r="L988" s="2" t="s">
        <v>1174</v>
      </c>
      <c r="M988" s="20" t="s">
        <v>1176</v>
      </c>
      <c r="N988" s="47">
        <v>45485</v>
      </c>
      <c r="O988" s="20">
        <f>INDEX(Auxiliar!$D$5:$F$13,MATCH(Table1[[#This Row],[Tipologia_Testes]],Auxiliar!$B$5:$B$13,0),MATCH(Table1[[#This Row],[Complexidade]],Auxiliar!$D$4:$F$4,0))</f>
        <v>0.5</v>
      </c>
      <c r="P988" s="2"/>
      <c r="Q988" s="2"/>
      <c r="R988" s="151">
        <v>45261</v>
      </c>
      <c r="S988" s="151"/>
      <c r="T988" s="151"/>
      <c r="U988" s="151">
        <v>45603</v>
      </c>
      <c r="V988" s="151"/>
      <c r="W988" s="2">
        <f>VLOOKUP(Table1[[#This Row],[Status]],Auxiliar!$B$16:$D$24,3,0)*Table1[[#This Row],[Estimação (horas)]]</f>
        <v>0.5</v>
      </c>
      <c r="X988" s="165">
        <f>+VLOOKUP(CONCATENATE(Table1[[#This Row],[Tabela]],Table1[[#This Row],[Campo]]),'2. Status Detalhe Campos FY24'!A:J,9,FALSE)</f>
        <v>0</v>
      </c>
      <c r="Y988" s="491" t="e">
        <f>+VLOOKUP(A988,#REF!,1,FALSE)</f>
        <v>#REF!</v>
      </c>
    </row>
    <row r="989" spans="1:25" ht="17.899999999999999" hidden="1" customHeight="1">
      <c r="A989" t="str">
        <f>+Table1[[#This Row],[Tabela]]&amp;Table1[[#This Row],[Campo]]</f>
        <v>modesg_inp_empr_excl_parisccli_kgl</v>
      </c>
      <c r="B989" s="12" t="s">
        <v>26</v>
      </c>
      <c r="C989" s="12" t="s">
        <v>181</v>
      </c>
      <c r="D989" s="12" t="s">
        <v>1222</v>
      </c>
      <c r="E989" s="2" t="s">
        <v>38</v>
      </c>
      <c r="F989" s="12" t="s">
        <v>214</v>
      </c>
      <c r="G989" s="12" t="s">
        <v>240</v>
      </c>
      <c r="H989" s="57" t="str">
        <f>Table1[[#This Row],[Tabela]]&amp;Table1[[#This Row],[Campo]]</f>
        <v>modesg_inp_empr_excl_parisccli_kgl</v>
      </c>
      <c r="I989" s="3" t="s">
        <v>612</v>
      </c>
      <c r="J989" s="53">
        <f>VLOOKUP(Table1[[#This Row],[Status]],Auxiliar!$B$16:$C$24,2,0)</f>
        <v>1</v>
      </c>
      <c r="K989" s="20" t="s">
        <v>1171</v>
      </c>
      <c r="L989" s="2" t="s">
        <v>1174</v>
      </c>
      <c r="M989" s="20" t="s">
        <v>1176</v>
      </c>
      <c r="N989" s="47">
        <v>45485</v>
      </c>
      <c r="O989" s="20">
        <f>INDEX(Auxiliar!$D$5:$F$13,MATCH(Table1[[#This Row],[Tipologia_Testes]],Auxiliar!$B$5:$B$13,0),MATCH(Table1[[#This Row],[Complexidade]],Auxiliar!$D$4:$F$4,0))</f>
        <v>0.1</v>
      </c>
      <c r="P989" s="2" t="s">
        <v>1237</v>
      </c>
      <c r="Q989" s="2"/>
      <c r="R989" s="151">
        <v>45261</v>
      </c>
      <c r="S989" s="151"/>
      <c r="T989" s="151"/>
      <c r="U989" s="151">
        <v>45603</v>
      </c>
      <c r="V989" s="151"/>
      <c r="W989" s="2">
        <f>VLOOKUP(Table1[[#This Row],[Status]],Auxiliar!$B$16:$D$24,3,0)*Table1[[#This Row],[Estimação (horas)]]</f>
        <v>0.1</v>
      </c>
      <c r="X989" s="165">
        <f>+VLOOKUP(CONCATENATE(Table1[[#This Row],[Tabela]],Table1[[#This Row],[Campo]]),'2. Status Detalhe Campos FY24'!A:J,9,FALSE)</f>
        <v>0</v>
      </c>
      <c r="Y989" s="491" t="e">
        <f>+VLOOKUP(A989,#REF!,1,FALSE)</f>
        <v>#REF!</v>
      </c>
    </row>
    <row r="990" spans="1:25" ht="17.899999999999999" hidden="1" customHeight="1">
      <c r="A990" t="str">
        <f>+Table1[[#This Row],[Tabela]]&amp;Table1[[#This Row],[Campo]]</f>
        <v>modesg_inp_empr_excl_parisccli_kgl</v>
      </c>
      <c r="B990" s="12" t="s">
        <v>26</v>
      </c>
      <c r="C990" s="12" t="s">
        <v>181</v>
      </c>
      <c r="D990" s="12" t="s">
        <v>1222</v>
      </c>
      <c r="E990" s="2" t="s">
        <v>38</v>
      </c>
      <c r="F990" s="12" t="s">
        <v>214</v>
      </c>
      <c r="G990" s="12" t="s">
        <v>240</v>
      </c>
      <c r="H990" s="57" t="str">
        <f>Table1[[#This Row],[Tabela]]&amp;Table1[[#This Row],[Campo]]</f>
        <v>modesg_inp_empr_excl_parisccli_kgl</v>
      </c>
      <c r="I990" s="3" t="s">
        <v>612</v>
      </c>
      <c r="J990" s="53">
        <f>VLOOKUP(Table1[[#This Row],[Status]],Auxiliar!$B$16:$C$24,2,0)</f>
        <v>1</v>
      </c>
      <c r="K990" s="20" t="s">
        <v>1179</v>
      </c>
      <c r="L990" s="2" t="s">
        <v>1174</v>
      </c>
      <c r="M990" s="20" t="s">
        <v>1176</v>
      </c>
      <c r="N990" s="47">
        <v>45485</v>
      </c>
      <c r="O990" s="20">
        <f>INDEX(Auxiliar!$D$5:$F$13,MATCH(Table1[[#This Row],[Tipologia_Testes]],Auxiliar!$B$5:$B$13,0),MATCH(Table1[[#This Row],[Complexidade]],Auxiliar!$D$4:$F$4,0))</f>
        <v>0.5</v>
      </c>
      <c r="P990" s="2"/>
      <c r="Q990" s="2"/>
      <c r="R990" s="151">
        <v>45261</v>
      </c>
      <c r="S990" s="151"/>
      <c r="T990" s="151"/>
      <c r="U990" s="151">
        <v>45603</v>
      </c>
      <c r="V990" s="151"/>
      <c r="W990" s="2">
        <f>VLOOKUP(Table1[[#This Row],[Status]],Auxiliar!$B$16:$D$24,3,0)*Table1[[#This Row],[Estimação (horas)]]</f>
        <v>0.5</v>
      </c>
      <c r="X990" s="165">
        <f>+VLOOKUP(CONCATENATE(Table1[[#This Row],[Tabela]],Table1[[#This Row],[Campo]]),'2. Status Detalhe Campos FY24'!A:J,9,FALSE)</f>
        <v>0</v>
      </c>
      <c r="Y990" s="491" t="e">
        <f>+VLOOKUP(A990,#REF!,1,FALSE)</f>
        <v>#REF!</v>
      </c>
    </row>
    <row r="991" spans="1:25" ht="17.899999999999999" hidden="1" customHeight="1">
      <c r="A991" t="str">
        <f>+Table1[[#This Row],[Tabela]]&amp;Table1[[#This Row],[Campo]]</f>
        <v>modesg_inp_empr_excl_parisnome_entidade</v>
      </c>
      <c r="B991" s="12" t="s">
        <v>26</v>
      </c>
      <c r="C991" s="12" t="s">
        <v>181</v>
      </c>
      <c r="D991" s="12" t="s">
        <v>1222</v>
      </c>
      <c r="E991" s="2" t="s">
        <v>38</v>
      </c>
      <c r="F991" s="12" t="s">
        <v>214</v>
      </c>
      <c r="G991" s="12" t="s">
        <v>241</v>
      </c>
      <c r="H991" s="57" t="str">
        <f>Table1[[#This Row],[Tabela]]&amp;Table1[[#This Row],[Campo]]</f>
        <v>modesg_inp_empr_excl_parisnome_entidade</v>
      </c>
      <c r="I991" s="3" t="s">
        <v>612</v>
      </c>
      <c r="J991" s="53">
        <f>VLOOKUP(Table1[[#This Row],[Status]],Auxiliar!$B$16:$C$24,2,0)</f>
        <v>1</v>
      </c>
      <c r="K991" s="20" t="s">
        <v>1179</v>
      </c>
      <c r="L991" s="2" t="s">
        <v>1174</v>
      </c>
      <c r="M991" s="20" t="s">
        <v>1176</v>
      </c>
      <c r="N991" s="47">
        <v>45485</v>
      </c>
      <c r="O991" s="20">
        <f>INDEX(Auxiliar!$D$5:$F$13,MATCH(Table1[[#This Row],[Tipologia_Testes]],Auxiliar!$B$5:$B$13,0),MATCH(Table1[[#This Row],[Complexidade]],Auxiliar!$D$4:$F$4,0))</f>
        <v>0.5</v>
      </c>
      <c r="P991" s="2"/>
      <c r="Q991" s="2"/>
      <c r="R991" s="151">
        <v>45261</v>
      </c>
      <c r="S991" s="151"/>
      <c r="T991" s="151"/>
      <c r="U991" s="151">
        <v>45603</v>
      </c>
      <c r="V991" s="151"/>
      <c r="W991" s="2">
        <f>VLOOKUP(Table1[[#This Row],[Status]],Auxiliar!$B$16:$D$24,3,0)*Table1[[#This Row],[Estimação (horas)]]</f>
        <v>0.5</v>
      </c>
      <c r="X991" s="165">
        <f>+VLOOKUP(CONCATENATE(Table1[[#This Row],[Tabela]],Table1[[#This Row],[Campo]]),'2. Status Detalhe Campos FY24'!A:J,9,FALSE)</f>
        <v>0</v>
      </c>
      <c r="Y991" s="491" t="e">
        <f>+VLOOKUP(A991,#REF!,1,FALSE)</f>
        <v>#REF!</v>
      </c>
    </row>
    <row r="992" spans="1:25" ht="17.899999999999999" hidden="1" customHeight="1">
      <c r="A992" t="str">
        <f>+Table1[[#This Row],[Tabela]]&amp;Table1[[#This Row],[Campo]]</f>
        <v>modesg_inp_empr_excl_parisflg_scib</v>
      </c>
      <c r="B992" s="12" t="s">
        <v>26</v>
      </c>
      <c r="C992" s="12" t="s">
        <v>181</v>
      </c>
      <c r="D992" s="12" t="s">
        <v>1222</v>
      </c>
      <c r="E992" s="2" t="s">
        <v>38</v>
      </c>
      <c r="F992" s="12" t="s">
        <v>214</v>
      </c>
      <c r="G992" s="12" t="s">
        <v>242</v>
      </c>
      <c r="H992" s="57" t="str">
        <f>Table1[[#This Row],[Tabela]]&amp;Table1[[#This Row],[Campo]]</f>
        <v>modesg_inp_empr_excl_parisflg_scib</v>
      </c>
      <c r="I992" s="3" t="s">
        <v>612</v>
      </c>
      <c r="J992" s="53">
        <f>VLOOKUP(Table1[[#This Row],[Status]],Auxiliar!$B$16:$C$24,2,0)</f>
        <v>1</v>
      </c>
      <c r="K992" s="20" t="s">
        <v>1179</v>
      </c>
      <c r="L992" s="2" t="s">
        <v>1174</v>
      </c>
      <c r="M992" s="20" t="s">
        <v>1176</v>
      </c>
      <c r="N992" s="47">
        <v>45485</v>
      </c>
      <c r="O992" s="20">
        <f>INDEX(Auxiliar!$D$5:$F$13,MATCH(Table1[[#This Row],[Tipologia_Testes]],Auxiliar!$B$5:$B$13,0),MATCH(Table1[[#This Row],[Complexidade]],Auxiliar!$D$4:$F$4,0))</f>
        <v>0.5</v>
      </c>
      <c r="P992" s="2"/>
      <c r="Q992" s="2"/>
      <c r="R992" s="151">
        <v>45261</v>
      </c>
      <c r="S992" s="151"/>
      <c r="T992" s="151"/>
      <c r="U992" s="151">
        <v>45603</v>
      </c>
      <c r="V992" s="151"/>
      <c r="W992" s="2">
        <f>VLOOKUP(Table1[[#This Row],[Status]],Auxiliar!$B$16:$D$24,3,0)*Table1[[#This Row],[Estimação (horas)]]</f>
        <v>0.5</v>
      </c>
      <c r="X992" s="165">
        <f>+VLOOKUP(CONCATENATE(Table1[[#This Row],[Tabela]],Table1[[#This Row],[Campo]]),'2. Status Detalhe Campos FY24'!A:J,9,FALSE)</f>
        <v>0</v>
      </c>
      <c r="Y992" s="491" t="e">
        <f>+VLOOKUP(A992,#REF!,1,FALSE)</f>
        <v>#REF!</v>
      </c>
    </row>
    <row r="993" spans="1:25" ht="17.899999999999999" hidden="1" customHeight="1">
      <c r="A993" t="str">
        <f>+Table1[[#This Row],[Tabela]]&amp;Table1[[#This Row],[Campo]]</f>
        <v>modesg_inp_empr_excl_parisnome_pais</v>
      </c>
      <c r="B993" s="12" t="s">
        <v>26</v>
      </c>
      <c r="C993" s="12" t="s">
        <v>181</v>
      </c>
      <c r="D993" s="12" t="s">
        <v>1222</v>
      </c>
      <c r="E993" s="2" t="s">
        <v>38</v>
      </c>
      <c r="F993" s="12" t="s">
        <v>214</v>
      </c>
      <c r="G993" s="12" t="s">
        <v>221</v>
      </c>
      <c r="H993" s="57" t="str">
        <f>Table1[[#This Row],[Tabela]]&amp;Table1[[#This Row],[Campo]]</f>
        <v>modesg_inp_empr_excl_parisnome_pais</v>
      </c>
      <c r="I993" s="3" t="s">
        <v>612</v>
      </c>
      <c r="J993" s="53">
        <f>VLOOKUP(Table1[[#This Row],[Status]],Auxiliar!$B$16:$C$24,2,0)</f>
        <v>1</v>
      </c>
      <c r="K993" s="20" t="s">
        <v>1179</v>
      </c>
      <c r="L993" s="27"/>
      <c r="M993" s="20" t="s">
        <v>1176</v>
      </c>
      <c r="N993" s="47">
        <v>45485</v>
      </c>
      <c r="O993" s="20">
        <f>INDEX(Auxiliar!$D$5:$F$13,MATCH(Table1[[#This Row],[Tipologia_Testes]],Auxiliar!$B$5:$B$13,0),MATCH(Table1[[#This Row],[Complexidade]],Auxiliar!$D$4:$F$4,0))</f>
        <v>0.5</v>
      </c>
      <c r="P993" s="2"/>
      <c r="Q993" s="2"/>
      <c r="R993" s="151">
        <v>45261</v>
      </c>
      <c r="S993" s="151"/>
      <c r="T993" s="151"/>
      <c r="U993" s="151">
        <v>45603</v>
      </c>
      <c r="V993" s="151"/>
      <c r="W993" s="2">
        <f>VLOOKUP(Table1[[#This Row],[Status]],Auxiliar!$B$16:$D$24,3,0)*Table1[[#This Row],[Estimação (horas)]]</f>
        <v>0.5</v>
      </c>
      <c r="X993" s="165">
        <f>+VLOOKUP(CONCATENATE(Table1[[#This Row],[Tabela]],Table1[[#This Row],[Campo]]),'2. Status Detalhe Campos FY24'!A:J,9,FALSE)</f>
        <v>0</v>
      </c>
      <c r="Y993" s="491" t="e">
        <f>+VLOOKUP(A993,#REF!,1,FALSE)</f>
        <v>#REF!</v>
      </c>
    </row>
    <row r="994" spans="1:25" ht="17.899999999999999" hidden="1" customHeight="1">
      <c r="A994" t="str">
        <f>+Table1[[#This Row],[Tabela]]&amp;Table1[[#This Row],[Campo]]</f>
        <v>modesg_inp_nfrd_alinhamento_taxref_date</v>
      </c>
      <c r="B994" s="12" t="s">
        <v>26</v>
      </c>
      <c r="C994" s="12" t="s">
        <v>181</v>
      </c>
      <c r="D994" s="12" t="s">
        <v>1225</v>
      </c>
      <c r="E994" s="2" t="s">
        <v>38</v>
      </c>
      <c r="F994" s="12" t="s">
        <v>215</v>
      </c>
      <c r="G994" s="12" t="s">
        <v>208</v>
      </c>
      <c r="H994" s="57" t="str">
        <f>Table1[[#This Row],[Tabela]]&amp;Table1[[#This Row],[Campo]]</f>
        <v>modesg_inp_nfrd_alinhamento_taxref_date</v>
      </c>
      <c r="I994" s="2" t="s">
        <v>612</v>
      </c>
      <c r="J994" s="45">
        <f>VLOOKUP(Table1[[#This Row],[Status]],Auxiliar!$B$16:$C$24,2,0)</f>
        <v>1</v>
      </c>
      <c r="K994" s="20" t="s">
        <v>1179</v>
      </c>
      <c r="L994" s="27"/>
      <c r="M994" s="20" t="s">
        <v>1176</v>
      </c>
      <c r="N994" s="47">
        <v>45540</v>
      </c>
      <c r="O994" s="20">
        <f>INDEX(Auxiliar!$D$5:$F$13,MATCH(Table1[[#This Row],[Tipologia_Testes]],Auxiliar!$B$5:$B$13,0),MATCH(Table1[[#This Row],[Complexidade]],Auxiliar!$D$4:$F$4,0))</f>
        <v>0.5</v>
      </c>
      <c r="P994" s="2"/>
      <c r="Q994" s="2"/>
      <c r="R994" s="151">
        <v>45261</v>
      </c>
      <c r="S994" s="151"/>
      <c r="T994" s="151"/>
      <c r="U994" s="151">
        <v>45603</v>
      </c>
      <c r="V994" s="151">
        <v>45534</v>
      </c>
      <c r="W994" s="2">
        <f>VLOOKUP(Table1[[#This Row],[Status]],Auxiliar!$B$16:$D$24,3,0)*Table1[[#This Row],[Estimação (horas)]]</f>
        <v>0.5</v>
      </c>
      <c r="X994" s="165">
        <f>+VLOOKUP(CONCATENATE(Table1[[#This Row],[Tabela]],Table1[[#This Row],[Campo]]),'2. Status Detalhe Campos FY24'!A:J,9,FALSE)</f>
        <v>0</v>
      </c>
      <c r="Y994" s="491" t="e">
        <f>+VLOOKUP(A994,#REF!,1,FALSE)</f>
        <v>#REF!</v>
      </c>
    </row>
    <row r="995" spans="1:25" ht="17.899999999999999" hidden="1" customHeight="1">
      <c r="A995" t="str">
        <f>+Table1[[#This Row],[Tabela]]&amp;Table1[[#This Row],[Campo]]</f>
        <v>modesg_inp_nfrd_alinhamento_taxccli_kgl</v>
      </c>
      <c r="B995" s="12" t="s">
        <v>26</v>
      </c>
      <c r="C995" s="12" t="s">
        <v>181</v>
      </c>
      <c r="D995" s="12" t="s">
        <v>1225</v>
      </c>
      <c r="E995" s="2" t="s">
        <v>38</v>
      </c>
      <c r="F995" s="12" t="s">
        <v>215</v>
      </c>
      <c r="G995" s="12" t="s">
        <v>240</v>
      </c>
      <c r="H995" s="57" t="str">
        <f>Table1[[#This Row],[Tabela]]&amp;Table1[[#This Row],[Campo]]</f>
        <v>modesg_inp_nfrd_alinhamento_taxccli_kgl</v>
      </c>
      <c r="I995" s="2" t="s">
        <v>612</v>
      </c>
      <c r="J995" s="45">
        <f>VLOOKUP(Table1[[#This Row],[Status]],Auxiliar!$B$16:$C$24,2,0)</f>
        <v>1</v>
      </c>
      <c r="K995" s="20" t="s">
        <v>1171</v>
      </c>
      <c r="L995" s="27"/>
      <c r="M995" s="20" t="s">
        <v>1176</v>
      </c>
      <c r="N995" s="47">
        <v>45540</v>
      </c>
      <c r="O995" s="20">
        <f>INDEX(Auxiliar!$D$5:$F$13,MATCH(Table1[[#This Row],[Tipologia_Testes]],Auxiliar!$B$5:$B$13,0),MATCH(Table1[[#This Row],[Complexidade]],Auxiliar!$D$4:$F$4,0))</f>
        <v>0.1</v>
      </c>
      <c r="P995" s="2" t="s">
        <v>1238</v>
      </c>
      <c r="Q995" s="2"/>
      <c r="R995" s="151">
        <v>45261</v>
      </c>
      <c r="S995" s="151"/>
      <c r="T995" s="151"/>
      <c r="U995" s="151">
        <v>45603</v>
      </c>
      <c r="V995" s="151">
        <v>45534</v>
      </c>
      <c r="W995" s="2">
        <f>VLOOKUP(Table1[[#This Row],[Status]],Auxiliar!$B$16:$D$24,3,0)*Table1[[#This Row],[Estimação (horas)]]</f>
        <v>0.1</v>
      </c>
      <c r="X995" s="165">
        <f>+VLOOKUP(CONCATENATE(Table1[[#This Row],[Tabela]],Table1[[#This Row],[Campo]]),'2. Status Detalhe Campos FY24'!A:J,9,FALSE)</f>
        <v>0</v>
      </c>
      <c r="Y995" s="491" t="e">
        <f>+VLOOKUP(A995,#REF!,1,FALSE)</f>
        <v>#REF!</v>
      </c>
    </row>
    <row r="996" spans="1:25" ht="17.899999999999999" hidden="1" customHeight="1">
      <c r="A996" t="str">
        <f>+Table1[[#This Row],[Tabela]]&amp;Table1[[#This Row],[Campo]]</f>
        <v>modesg_inp_nfrd_alinhamento_taxccli_kgl</v>
      </c>
      <c r="B996" s="12" t="s">
        <v>26</v>
      </c>
      <c r="C996" s="12" t="s">
        <v>181</v>
      </c>
      <c r="D996" s="12" t="s">
        <v>1225</v>
      </c>
      <c r="E996" s="2" t="s">
        <v>38</v>
      </c>
      <c r="F996" s="12" t="s">
        <v>215</v>
      </c>
      <c r="G996" s="12" t="s">
        <v>240</v>
      </c>
      <c r="H996" s="57" t="str">
        <f>Table1[[#This Row],[Tabela]]&amp;Table1[[#This Row],[Campo]]</f>
        <v>modesg_inp_nfrd_alinhamento_taxccli_kgl</v>
      </c>
      <c r="I996" s="2" t="s">
        <v>612</v>
      </c>
      <c r="J996" s="45">
        <f>VLOOKUP(Table1[[#This Row],[Status]],Auxiliar!$B$16:$C$24,2,0)</f>
        <v>1</v>
      </c>
      <c r="K996" s="20" t="s">
        <v>1179</v>
      </c>
      <c r="L996" s="27"/>
      <c r="M996" s="20" t="s">
        <v>1176</v>
      </c>
      <c r="N996" s="47">
        <v>45540</v>
      </c>
      <c r="O996" s="20">
        <f>INDEX(Auxiliar!$D$5:$F$13,MATCH(Table1[[#This Row],[Tipologia_Testes]],Auxiliar!$B$5:$B$13,0),MATCH(Table1[[#This Row],[Complexidade]],Auxiliar!$D$4:$F$4,0))</f>
        <v>0.5</v>
      </c>
      <c r="P996" s="2"/>
      <c r="Q996" s="2"/>
      <c r="R996" s="151">
        <v>45261</v>
      </c>
      <c r="S996" s="151"/>
      <c r="T996" s="151"/>
      <c r="U996" s="151">
        <v>45603</v>
      </c>
      <c r="V996" s="151">
        <v>45534</v>
      </c>
      <c r="W996" s="2">
        <f>VLOOKUP(Table1[[#This Row],[Status]],Auxiliar!$B$16:$D$24,3,0)*Table1[[#This Row],[Estimação (horas)]]</f>
        <v>0.5</v>
      </c>
      <c r="X996" s="165">
        <f>+VLOOKUP(CONCATENATE(Table1[[#This Row],[Tabela]],Table1[[#This Row],[Campo]]),'2. Status Detalhe Campos FY24'!A:J,9,FALSE)</f>
        <v>0</v>
      </c>
      <c r="Y996" s="491" t="e">
        <f>+VLOOKUP(A996,#REF!,1,FALSE)</f>
        <v>#REF!</v>
      </c>
    </row>
    <row r="997" spans="1:25" ht="17.899999999999999" hidden="1" customHeight="1">
      <c r="A997" t="str">
        <f>+Table1[[#This Row],[Tabela]]&amp;Table1[[#This Row],[Campo]]</f>
        <v>modesg_inp_nfrd_alinhamento_taxclei</v>
      </c>
      <c r="B997" s="12" t="s">
        <v>26</v>
      </c>
      <c r="C997" s="12" t="s">
        <v>181</v>
      </c>
      <c r="D997" s="12" t="s">
        <v>1225</v>
      </c>
      <c r="E997" s="2" t="s">
        <v>38</v>
      </c>
      <c r="F997" s="12" t="s">
        <v>215</v>
      </c>
      <c r="G997" s="12" t="s">
        <v>239</v>
      </c>
      <c r="H997" s="57" t="str">
        <f>Table1[[#This Row],[Tabela]]&amp;Table1[[#This Row],[Campo]]</f>
        <v>modesg_inp_nfrd_alinhamento_taxclei</v>
      </c>
      <c r="I997" s="2" t="s">
        <v>612</v>
      </c>
      <c r="J997" s="45">
        <f>VLOOKUP(Table1[[#This Row],[Status]],Auxiliar!$B$16:$C$24,2,0)</f>
        <v>1</v>
      </c>
      <c r="K997" s="20" t="s">
        <v>1171</v>
      </c>
      <c r="L997" s="27"/>
      <c r="M997" s="20" t="s">
        <v>1176</v>
      </c>
      <c r="N997" s="47">
        <v>45540</v>
      </c>
      <c r="O997" s="20">
        <f>INDEX(Auxiliar!$D$5:$F$13,MATCH(Table1[[#This Row],[Tipologia_Testes]],Auxiliar!$B$5:$B$13,0),MATCH(Table1[[#This Row],[Complexidade]],Auxiliar!$D$4:$F$4,0))</f>
        <v>0.1</v>
      </c>
      <c r="P997" s="2" t="s">
        <v>1238</v>
      </c>
      <c r="Q997" s="2"/>
      <c r="R997" s="151">
        <v>45261</v>
      </c>
      <c r="S997" s="151"/>
      <c r="T997" s="151"/>
      <c r="U997" s="151">
        <v>45603</v>
      </c>
      <c r="V997" s="151">
        <v>45534</v>
      </c>
      <c r="W997" s="2">
        <f>VLOOKUP(Table1[[#This Row],[Status]],Auxiliar!$B$16:$D$24,3,0)*Table1[[#This Row],[Estimação (horas)]]</f>
        <v>0.1</v>
      </c>
      <c r="X997" s="165">
        <f>+VLOOKUP(CONCATENATE(Table1[[#This Row],[Tabela]],Table1[[#This Row],[Campo]]),'2. Status Detalhe Campos FY24'!A:J,9,FALSE)</f>
        <v>0</v>
      </c>
      <c r="Y997" s="491" t="e">
        <f>+VLOOKUP(A997,#REF!,1,FALSE)</f>
        <v>#REF!</v>
      </c>
    </row>
    <row r="998" spans="1:25" ht="17.899999999999999" hidden="1" customHeight="1">
      <c r="A998" t="str">
        <f>+Table1[[#This Row],[Tabela]]&amp;Table1[[#This Row],[Campo]]</f>
        <v>modesg_inp_nfrd_alinhamento_taxclei</v>
      </c>
      <c r="B998" s="12" t="s">
        <v>26</v>
      </c>
      <c r="C998" s="12" t="s">
        <v>181</v>
      </c>
      <c r="D998" s="12" t="s">
        <v>1225</v>
      </c>
      <c r="E998" s="2" t="s">
        <v>38</v>
      </c>
      <c r="F998" s="12" t="s">
        <v>215</v>
      </c>
      <c r="G998" s="12" t="s">
        <v>239</v>
      </c>
      <c r="H998" s="57" t="str">
        <f>Table1[[#This Row],[Tabela]]&amp;Table1[[#This Row],[Campo]]</f>
        <v>modesg_inp_nfrd_alinhamento_taxclei</v>
      </c>
      <c r="I998" s="2" t="s">
        <v>612</v>
      </c>
      <c r="J998" s="45">
        <f>VLOOKUP(Table1[[#This Row],[Status]],Auxiliar!$B$16:$C$24,2,0)</f>
        <v>1</v>
      </c>
      <c r="K998" s="20" t="s">
        <v>1179</v>
      </c>
      <c r="L998" s="27"/>
      <c r="M998" s="20" t="s">
        <v>1176</v>
      </c>
      <c r="N998" s="47">
        <v>45540</v>
      </c>
      <c r="O998" s="20">
        <f>INDEX(Auxiliar!$D$5:$F$13,MATCH(Table1[[#This Row],[Tipologia_Testes]],Auxiliar!$B$5:$B$13,0),MATCH(Table1[[#This Row],[Complexidade]],Auxiliar!$D$4:$F$4,0))</f>
        <v>0.5</v>
      </c>
      <c r="P998" s="2"/>
      <c r="Q998" s="2"/>
      <c r="R998" s="151">
        <v>45261</v>
      </c>
      <c r="S998" s="151"/>
      <c r="T998" s="151"/>
      <c r="U998" s="151">
        <v>45603</v>
      </c>
      <c r="V998" s="151">
        <v>45534</v>
      </c>
      <c r="W998" s="2">
        <f>VLOOKUP(Table1[[#This Row],[Status]],Auxiliar!$B$16:$D$24,3,0)*Table1[[#This Row],[Estimação (horas)]]</f>
        <v>0.5</v>
      </c>
      <c r="X998" s="165">
        <f>+VLOOKUP(CONCATENATE(Table1[[#This Row],[Tabela]],Table1[[#This Row],[Campo]]),'2. Status Detalhe Campos FY24'!A:J,9,FALSE)</f>
        <v>0</v>
      </c>
      <c r="Y998" s="491" t="e">
        <f>+VLOOKUP(A998,#REF!,1,FALSE)</f>
        <v>#REF!</v>
      </c>
    </row>
    <row r="999" spans="1:25" ht="17.899999999999999" hidden="1" customHeight="1">
      <c r="A999" t="str">
        <f>+Table1[[#This Row],[Tabela]]&amp;Table1[[#This Row],[Campo]]</f>
        <v>modesg_inp_nfrd_alinhamento_taxperm_id</v>
      </c>
      <c r="B999" s="12" t="s">
        <v>26</v>
      </c>
      <c r="C999" s="12" t="s">
        <v>181</v>
      </c>
      <c r="D999" s="12" t="s">
        <v>1225</v>
      </c>
      <c r="E999" s="2" t="s">
        <v>38</v>
      </c>
      <c r="F999" s="12" t="s">
        <v>215</v>
      </c>
      <c r="G999" s="12" t="s">
        <v>243</v>
      </c>
      <c r="H999" s="57" t="str">
        <f>Table1[[#This Row],[Tabela]]&amp;Table1[[#This Row],[Campo]]</f>
        <v>modesg_inp_nfrd_alinhamento_taxperm_id</v>
      </c>
      <c r="I999" s="2" t="s">
        <v>612</v>
      </c>
      <c r="J999" s="45">
        <f>VLOOKUP(Table1[[#This Row],[Status]],Auxiliar!$B$16:$C$24,2,0)</f>
        <v>1</v>
      </c>
      <c r="K999" s="20" t="s">
        <v>1179</v>
      </c>
      <c r="L999" s="27"/>
      <c r="M999" s="20" t="s">
        <v>1176</v>
      </c>
      <c r="N999" s="47">
        <v>45540</v>
      </c>
      <c r="O999" s="20">
        <f>INDEX(Auxiliar!$D$5:$F$13,MATCH(Table1[[#This Row],[Tipologia_Testes]],Auxiliar!$B$5:$B$13,0),MATCH(Table1[[#This Row],[Complexidade]],Auxiliar!$D$4:$F$4,0))</f>
        <v>0.5</v>
      </c>
      <c r="P999" s="2"/>
      <c r="Q999" s="2"/>
      <c r="R999" s="151">
        <v>45261</v>
      </c>
      <c r="S999" s="151"/>
      <c r="T999" s="151"/>
      <c r="U999" s="151">
        <v>45603</v>
      </c>
      <c r="V999" s="151">
        <v>45534</v>
      </c>
      <c r="W999" s="2">
        <f>VLOOKUP(Table1[[#This Row],[Status]],Auxiliar!$B$16:$D$24,3,0)*Table1[[#This Row],[Estimação (horas)]]</f>
        <v>0.5</v>
      </c>
      <c r="X999" s="165">
        <f>+VLOOKUP(CONCATENATE(Table1[[#This Row],[Tabela]],Table1[[#This Row],[Campo]]),'2. Status Detalhe Campos FY24'!A:J,9,FALSE)</f>
        <v>0</v>
      </c>
      <c r="Y999" s="491" t="e">
        <f>+VLOOKUP(A999,#REF!,1,FALSE)</f>
        <v>#REF!</v>
      </c>
    </row>
    <row r="1000" spans="1:25" ht="17.899999999999999" hidden="1" customHeight="1">
      <c r="A1000" t="str">
        <f>+Table1[[#This Row],[Tabela]]&amp;Table1[[#This Row],[Campo]]</f>
        <v>modesg_inp_nfrd_alinhamento_taxnome_entidade</v>
      </c>
      <c r="B1000" s="12" t="s">
        <v>26</v>
      </c>
      <c r="C1000" s="12" t="s">
        <v>181</v>
      </c>
      <c r="D1000" s="12" t="s">
        <v>1225</v>
      </c>
      <c r="E1000" s="2" t="s">
        <v>38</v>
      </c>
      <c r="F1000" s="12" t="s">
        <v>215</v>
      </c>
      <c r="G1000" s="12" t="s">
        <v>241</v>
      </c>
      <c r="H1000" s="57" t="str">
        <f>Table1[[#This Row],[Tabela]]&amp;Table1[[#This Row],[Campo]]</f>
        <v>modesg_inp_nfrd_alinhamento_taxnome_entidade</v>
      </c>
      <c r="I1000" s="2" t="s">
        <v>612</v>
      </c>
      <c r="J1000" s="45">
        <f>VLOOKUP(Table1[[#This Row],[Status]],Auxiliar!$B$16:$C$24,2,0)</f>
        <v>1</v>
      </c>
      <c r="K1000" s="20" t="s">
        <v>1179</v>
      </c>
      <c r="L1000" s="27"/>
      <c r="M1000" s="20" t="s">
        <v>1176</v>
      </c>
      <c r="N1000" s="47">
        <v>45540</v>
      </c>
      <c r="O1000" s="20">
        <f>INDEX(Auxiliar!$D$5:$F$13,MATCH(Table1[[#This Row],[Tipologia_Testes]],Auxiliar!$B$5:$B$13,0),MATCH(Table1[[#This Row],[Complexidade]],Auxiliar!$D$4:$F$4,0))</f>
        <v>0.5</v>
      </c>
      <c r="P1000" s="2"/>
      <c r="Q1000" s="2"/>
      <c r="R1000" s="151">
        <v>45261</v>
      </c>
      <c r="S1000" s="151"/>
      <c r="T1000" s="151"/>
      <c r="U1000" s="151">
        <v>45603</v>
      </c>
      <c r="V1000" s="151">
        <v>45534</v>
      </c>
      <c r="W1000" s="2">
        <f>VLOOKUP(Table1[[#This Row],[Status]],Auxiliar!$B$16:$D$24,3,0)*Table1[[#This Row],[Estimação (horas)]]</f>
        <v>0.5</v>
      </c>
      <c r="X1000" s="165">
        <f>+VLOOKUP(CONCATENATE(Table1[[#This Row],[Tabela]],Table1[[#This Row],[Campo]]),'2. Status Detalhe Campos FY24'!A:J,9,FALSE)</f>
        <v>0</v>
      </c>
      <c r="Y1000" s="491" t="e">
        <f>+VLOOKUP(A1000,#REF!,1,FALSE)</f>
        <v>#REF!</v>
      </c>
    </row>
    <row r="1001" spans="1:25" ht="17.899999999999999" hidden="1" customHeight="1">
      <c r="A1001" t="str">
        <f>+Table1[[#This Row],[Tabela]]&amp;Table1[[#This Row],[Campo]]</f>
        <v>modesg_inp_nfrd_alinhamento_taxnome_pais</v>
      </c>
      <c r="B1001" s="12" t="s">
        <v>26</v>
      </c>
      <c r="C1001" s="12" t="s">
        <v>181</v>
      </c>
      <c r="D1001" s="12" t="s">
        <v>1225</v>
      </c>
      <c r="E1001" s="2" t="s">
        <v>38</v>
      </c>
      <c r="F1001" s="12" t="s">
        <v>215</v>
      </c>
      <c r="G1001" s="12" t="s">
        <v>221</v>
      </c>
      <c r="H1001" s="57" t="str">
        <f>Table1[[#This Row],[Tabela]]&amp;Table1[[#This Row],[Campo]]</f>
        <v>modesg_inp_nfrd_alinhamento_taxnome_pais</v>
      </c>
      <c r="I1001" s="2" t="s">
        <v>612</v>
      </c>
      <c r="J1001" s="45">
        <f>VLOOKUP(Table1[[#This Row],[Status]],Auxiliar!$B$16:$C$24,2,0)</f>
        <v>1</v>
      </c>
      <c r="K1001" s="20" t="s">
        <v>1179</v>
      </c>
      <c r="L1001" s="27"/>
      <c r="M1001" s="20" t="s">
        <v>1176</v>
      </c>
      <c r="N1001" s="47">
        <v>45540</v>
      </c>
      <c r="O1001" s="20">
        <f>INDEX(Auxiliar!$D$5:$F$13,MATCH(Table1[[#This Row],[Tipologia_Testes]],Auxiliar!$B$5:$B$13,0),MATCH(Table1[[#This Row],[Complexidade]],Auxiliar!$D$4:$F$4,0))</f>
        <v>0.5</v>
      </c>
      <c r="P1001" s="2"/>
      <c r="Q1001" s="2"/>
      <c r="R1001" s="151">
        <v>45261</v>
      </c>
      <c r="S1001" s="151"/>
      <c r="T1001" s="151"/>
      <c r="U1001" s="151">
        <v>45603</v>
      </c>
      <c r="V1001" s="151">
        <v>45534</v>
      </c>
      <c r="W1001" s="2">
        <f>VLOOKUP(Table1[[#This Row],[Status]],Auxiliar!$B$16:$D$24,3,0)*Table1[[#This Row],[Estimação (horas)]]</f>
        <v>0.5</v>
      </c>
      <c r="X1001" s="165">
        <f>+VLOOKUP(CONCATENATE(Table1[[#This Row],[Tabela]],Table1[[#This Row],[Campo]]),'2. Status Detalhe Campos FY24'!A:J,9,FALSE)</f>
        <v>0</v>
      </c>
      <c r="Y1001" s="491" t="e">
        <f>+VLOOKUP(A1001,#REF!,1,FALSE)</f>
        <v>#REF!</v>
      </c>
    </row>
    <row r="1002" spans="1:25" ht="17.899999999999999" hidden="1" customHeight="1">
      <c r="A1002" t="str">
        <f>+Table1[[#This Row],[Tabela]]&amp;Table1[[#This Row],[Campo]]</f>
        <v>modesg_inp_nfrd_alinhamento_taxflg_nfrd</v>
      </c>
      <c r="B1002" s="12" t="s">
        <v>26</v>
      </c>
      <c r="C1002" s="12" t="s">
        <v>181</v>
      </c>
      <c r="D1002" s="12" t="s">
        <v>1225</v>
      </c>
      <c r="E1002" s="2" t="s">
        <v>38</v>
      </c>
      <c r="F1002" s="12" t="s">
        <v>215</v>
      </c>
      <c r="G1002" s="12" t="s">
        <v>244</v>
      </c>
      <c r="H1002" s="57" t="str">
        <f>Table1[[#This Row],[Tabela]]&amp;Table1[[#This Row],[Campo]]</f>
        <v>modesg_inp_nfrd_alinhamento_taxflg_nfrd</v>
      </c>
      <c r="I1002" s="2" t="s">
        <v>612</v>
      </c>
      <c r="J1002" s="45">
        <f>VLOOKUP(Table1[[#This Row],[Status]],Auxiliar!$B$16:$C$24,2,0)</f>
        <v>1</v>
      </c>
      <c r="K1002" s="20" t="s">
        <v>1179</v>
      </c>
      <c r="L1002" s="27"/>
      <c r="M1002" s="20" t="s">
        <v>1176</v>
      </c>
      <c r="N1002" s="47">
        <v>45540</v>
      </c>
      <c r="O1002" s="20">
        <f>INDEX(Auxiliar!$D$5:$F$13,MATCH(Table1[[#This Row],[Tipologia_Testes]],Auxiliar!$B$5:$B$13,0),MATCH(Table1[[#This Row],[Complexidade]],Auxiliar!$D$4:$F$4,0))</f>
        <v>0.5</v>
      </c>
      <c r="P1002" s="2"/>
      <c r="Q1002" s="2"/>
      <c r="R1002" s="151">
        <v>45261</v>
      </c>
      <c r="S1002" s="151"/>
      <c r="T1002" s="151"/>
      <c r="U1002" s="151">
        <v>45603</v>
      </c>
      <c r="V1002" s="151">
        <v>45534</v>
      </c>
      <c r="W1002" s="2">
        <f>VLOOKUP(Table1[[#This Row],[Status]],Auxiliar!$B$16:$D$24,3,0)*Table1[[#This Row],[Estimação (horas)]]</f>
        <v>0.5</v>
      </c>
      <c r="X1002" s="165">
        <f>+VLOOKUP(CONCATENATE(Table1[[#This Row],[Tabela]],Table1[[#This Row],[Campo]]),'2. Status Detalhe Campos FY24'!A:J,9,FALSE)</f>
        <v>0</v>
      </c>
      <c r="Y1002" s="491" t="e">
        <f>+VLOOKUP(A1002,#REF!,1,FALSE)</f>
        <v>#REF!</v>
      </c>
    </row>
    <row r="1003" spans="1:25" ht="17.899999999999999" hidden="1" customHeight="1">
      <c r="A1003" t="str">
        <f>+Table1[[#This Row],[Tabela]]&amp;Table1[[#This Row],[Campo]]</f>
        <v>modesg_inp_nfrd_alinhamento_taxcca_trnvr_ttl_elgbl</v>
      </c>
      <c r="B1003" s="12" t="s">
        <v>26</v>
      </c>
      <c r="C1003" s="12" t="s">
        <v>181</v>
      </c>
      <c r="D1003" s="12" t="s">
        <v>1225</v>
      </c>
      <c r="E1003" s="2" t="s">
        <v>38</v>
      </c>
      <c r="F1003" s="12" t="s">
        <v>215</v>
      </c>
      <c r="G1003" s="12" t="s">
        <v>245</v>
      </c>
      <c r="H1003" s="57" t="str">
        <f>Table1[[#This Row],[Tabela]]&amp;Table1[[#This Row],[Campo]]</f>
        <v>modesg_inp_nfrd_alinhamento_taxcca_trnvr_ttl_elgbl</v>
      </c>
      <c r="I1003" s="2" t="s">
        <v>612</v>
      </c>
      <c r="J1003" s="45">
        <f>VLOOKUP(Table1[[#This Row],[Status]],Auxiliar!$B$16:$C$24,2,0)</f>
        <v>1</v>
      </c>
      <c r="K1003" s="20" t="s">
        <v>1171</v>
      </c>
      <c r="L1003" s="27"/>
      <c r="M1003" s="20" t="s">
        <v>1176</v>
      </c>
      <c r="N1003" s="47">
        <v>45540</v>
      </c>
      <c r="O1003" s="20">
        <f>INDEX(Auxiliar!$D$5:$F$13,MATCH(Table1[[#This Row],[Tipologia_Testes]],Auxiliar!$B$5:$B$13,0),MATCH(Table1[[#This Row],[Complexidade]],Auxiliar!$D$4:$F$4,0))</f>
        <v>0.1</v>
      </c>
      <c r="P1003" s="2" t="s">
        <v>1239</v>
      </c>
      <c r="Q1003" s="2"/>
      <c r="R1003" s="151">
        <v>45261</v>
      </c>
      <c r="S1003" s="151"/>
      <c r="T1003" s="151"/>
      <c r="U1003" s="151">
        <v>45603</v>
      </c>
      <c r="V1003" s="151">
        <v>45534</v>
      </c>
      <c r="W1003" s="2">
        <f>VLOOKUP(Table1[[#This Row],[Status]],Auxiliar!$B$16:$D$24,3,0)*Table1[[#This Row],[Estimação (horas)]]</f>
        <v>0.1</v>
      </c>
      <c r="X1003" s="165">
        <f>+VLOOKUP(CONCATENATE(Table1[[#This Row],[Tabela]],Table1[[#This Row],[Campo]]),'2. Status Detalhe Campos FY24'!A:J,9,FALSE)</f>
        <v>0</v>
      </c>
      <c r="Y1003" s="491" t="e">
        <f>+VLOOKUP(A1003,#REF!,1,FALSE)</f>
        <v>#REF!</v>
      </c>
    </row>
    <row r="1004" spans="1:25" ht="17.899999999999999" hidden="1" customHeight="1">
      <c r="A1004" t="str">
        <f>+Table1[[#This Row],[Tabela]]&amp;Table1[[#This Row],[Campo]]</f>
        <v>modesg_inp_nfrd_alinhamento_taxcca_trnvr_ttl_elgbl</v>
      </c>
      <c r="B1004" s="12" t="s">
        <v>26</v>
      </c>
      <c r="C1004" s="12" t="s">
        <v>181</v>
      </c>
      <c r="D1004" s="12" t="s">
        <v>1225</v>
      </c>
      <c r="E1004" s="2" t="s">
        <v>38</v>
      </c>
      <c r="F1004" s="12" t="s">
        <v>215</v>
      </c>
      <c r="G1004" s="12" t="s">
        <v>245</v>
      </c>
      <c r="H1004" s="57" t="str">
        <f>Table1[[#This Row],[Tabela]]&amp;Table1[[#This Row],[Campo]]</f>
        <v>modesg_inp_nfrd_alinhamento_taxcca_trnvr_ttl_elgbl</v>
      </c>
      <c r="I1004" s="2" t="s">
        <v>612</v>
      </c>
      <c r="J1004" s="45">
        <f>VLOOKUP(Table1[[#This Row],[Status]],Auxiliar!$B$16:$C$24,2,0)</f>
        <v>1</v>
      </c>
      <c r="K1004" s="20" t="s">
        <v>1179</v>
      </c>
      <c r="L1004" s="27"/>
      <c r="M1004" s="20" t="s">
        <v>1176</v>
      </c>
      <c r="N1004" s="47">
        <v>45540</v>
      </c>
      <c r="O1004" s="20">
        <f>INDEX(Auxiliar!$D$5:$F$13,MATCH(Table1[[#This Row],[Tipologia_Testes]],Auxiliar!$B$5:$B$13,0),MATCH(Table1[[#This Row],[Complexidade]],Auxiliar!$D$4:$F$4,0))</f>
        <v>0.5</v>
      </c>
      <c r="P1004" s="2"/>
      <c r="Q1004" s="2"/>
      <c r="R1004" s="151">
        <v>45261</v>
      </c>
      <c r="S1004" s="151"/>
      <c r="T1004" s="151"/>
      <c r="U1004" s="151">
        <v>45603</v>
      </c>
      <c r="V1004" s="151">
        <v>45534</v>
      </c>
      <c r="W1004" s="2">
        <f>VLOOKUP(Table1[[#This Row],[Status]],Auxiliar!$B$16:$D$24,3,0)*Table1[[#This Row],[Estimação (horas)]]</f>
        <v>0.5</v>
      </c>
      <c r="X1004" s="165">
        <f>+VLOOKUP(CONCATENATE(Table1[[#This Row],[Tabela]],Table1[[#This Row],[Campo]]),'2. Status Detalhe Campos FY24'!A:J,9,FALSE)</f>
        <v>0</v>
      </c>
      <c r="Y1004" s="491" t="e">
        <f>+VLOOKUP(A1004,#REF!,1,FALSE)</f>
        <v>#REF!</v>
      </c>
    </row>
    <row r="1005" spans="1:25" ht="17.899999999999999" hidden="1" customHeight="1">
      <c r="A1005" t="str">
        <f>+Table1[[#This Row],[Tabela]]&amp;Table1[[#This Row],[Campo]]</f>
        <v>modesg_inp_nfrd_alinhamento_taxcca_trnvr_enblng_alignd</v>
      </c>
      <c r="B1005" s="12" t="s">
        <v>26</v>
      </c>
      <c r="C1005" s="12" t="s">
        <v>181</v>
      </c>
      <c r="D1005" s="12" t="s">
        <v>1225</v>
      </c>
      <c r="E1005" s="2" t="s">
        <v>38</v>
      </c>
      <c r="F1005" s="12" t="s">
        <v>215</v>
      </c>
      <c r="G1005" s="12" t="s">
        <v>246</v>
      </c>
      <c r="H1005" s="57" t="str">
        <f>Table1[[#This Row],[Tabela]]&amp;Table1[[#This Row],[Campo]]</f>
        <v>modesg_inp_nfrd_alinhamento_taxcca_trnvr_enblng_alignd</v>
      </c>
      <c r="I1005" s="2" t="s">
        <v>612</v>
      </c>
      <c r="J1005" s="45">
        <f>VLOOKUP(Table1[[#This Row],[Status]],Auxiliar!$B$16:$C$24,2,0)</f>
        <v>1</v>
      </c>
      <c r="K1005" s="20" t="s">
        <v>1171</v>
      </c>
      <c r="L1005" s="27"/>
      <c r="M1005" s="20" t="s">
        <v>1176</v>
      </c>
      <c r="N1005" s="47">
        <v>45540</v>
      </c>
      <c r="O1005" s="20">
        <f>INDEX(Auxiliar!$D$5:$F$13,MATCH(Table1[[#This Row],[Tipologia_Testes]],Auxiliar!$B$5:$B$13,0),MATCH(Table1[[#This Row],[Complexidade]],Auxiliar!$D$4:$F$4,0))</f>
        <v>0.1</v>
      </c>
      <c r="P1005" s="2" t="s">
        <v>1239</v>
      </c>
      <c r="Q1005" s="2"/>
      <c r="R1005" s="151">
        <v>45261</v>
      </c>
      <c r="S1005" s="151"/>
      <c r="T1005" s="151"/>
      <c r="U1005" s="151">
        <v>45603</v>
      </c>
      <c r="V1005" s="151">
        <v>45534</v>
      </c>
      <c r="W1005" s="2">
        <f>VLOOKUP(Table1[[#This Row],[Status]],Auxiliar!$B$16:$D$24,3,0)*Table1[[#This Row],[Estimação (horas)]]</f>
        <v>0.1</v>
      </c>
      <c r="X1005" s="165">
        <f>+VLOOKUP(CONCATENATE(Table1[[#This Row],[Tabela]],Table1[[#This Row],[Campo]]),'2. Status Detalhe Campos FY24'!A:J,9,FALSE)</f>
        <v>0</v>
      </c>
      <c r="Y1005" s="491" t="e">
        <f>+VLOOKUP(A1005,#REF!,1,FALSE)</f>
        <v>#REF!</v>
      </c>
    </row>
    <row r="1006" spans="1:25" ht="17.899999999999999" hidden="1" customHeight="1">
      <c r="A1006" t="str">
        <f>+Table1[[#This Row],[Tabela]]&amp;Table1[[#This Row],[Campo]]</f>
        <v>modesg_inp_nfrd_alinhamento_taxcca_trnvr_enblng_alignd</v>
      </c>
      <c r="B1006" s="12" t="s">
        <v>26</v>
      </c>
      <c r="C1006" s="12" t="s">
        <v>181</v>
      </c>
      <c r="D1006" s="12" t="s">
        <v>1225</v>
      </c>
      <c r="E1006" s="2" t="s">
        <v>38</v>
      </c>
      <c r="F1006" s="12" t="s">
        <v>215</v>
      </c>
      <c r="G1006" s="12" t="s">
        <v>246</v>
      </c>
      <c r="H1006" s="57" t="str">
        <f>Table1[[#This Row],[Tabela]]&amp;Table1[[#This Row],[Campo]]</f>
        <v>modesg_inp_nfrd_alinhamento_taxcca_trnvr_enblng_alignd</v>
      </c>
      <c r="I1006" s="2" t="s">
        <v>612</v>
      </c>
      <c r="J1006" s="45">
        <f>VLOOKUP(Table1[[#This Row],[Status]],Auxiliar!$B$16:$C$24,2,0)</f>
        <v>1</v>
      </c>
      <c r="K1006" s="20" t="s">
        <v>1179</v>
      </c>
      <c r="L1006" s="27"/>
      <c r="M1006" s="20" t="s">
        <v>1176</v>
      </c>
      <c r="N1006" s="47">
        <v>45540</v>
      </c>
      <c r="O1006" s="20">
        <f>INDEX(Auxiliar!$D$5:$F$13,MATCH(Table1[[#This Row],[Tipologia_Testes]],Auxiliar!$B$5:$B$13,0),MATCH(Table1[[#This Row],[Complexidade]],Auxiliar!$D$4:$F$4,0))</f>
        <v>0.5</v>
      </c>
      <c r="P1006" s="2"/>
      <c r="Q1006" s="2"/>
      <c r="R1006" s="151">
        <v>45261</v>
      </c>
      <c r="S1006" s="151"/>
      <c r="T1006" s="151"/>
      <c r="U1006" s="151">
        <v>45603</v>
      </c>
      <c r="V1006" s="151">
        <v>45534</v>
      </c>
      <c r="W1006" s="2">
        <f>VLOOKUP(Table1[[#This Row],[Status]],Auxiliar!$B$16:$D$24,3,0)*Table1[[#This Row],[Estimação (horas)]]</f>
        <v>0.5</v>
      </c>
      <c r="X1006" s="165">
        <f>+VLOOKUP(CONCATENATE(Table1[[#This Row],[Tabela]],Table1[[#This Row],[Campo]]),'2. Status Detalhe Campos FY24'!A:J,9,FALSE)</f>
        <v>0</v>
      </c>
      <c r="Y1006" s="491" t="e">
        <f>+VLOOKUP(A1006,#REF!,1,FALSE)</f>
        <v>#REF!</v>
      </c>
    </row>
    <row r="1007" spans="1:25" ht="17.899999999999999" hidden="1" customHeight="1">
      <c r="A1007" t="str">
        <f>+Table1[[#This Row],[Tabela]]&amp;Table1[[#This Row],[Campo]]</f>
        <v>modesg_inp_nfrd_alinhamento_taxcca_turnover_own_prfrmnce_algnd</v>
      </c>
      <c r="B1007" s="12" t="s">
        <v>26</v>
      </c>
      <c r="C1007" s="12" t="s">
        <v>181</v>
      </c>
      <c r="D1007" s="12" t="s">
        <v>1225</v>
      </c>
      <c r="E1007" s="2" t="s">
        <v>38</v>
      </c>
      <c r="F1007" s="12" t="s">
        <v>215</v>
      </c>
      <c r="G1007" s="12" t="s">
        <v>247</v>
      </c>
      <c r="H1007" s="57" t="str">
        <f>Table1[[#This Row],[Tabela]]&amp;Table1[[#This Row],[Campo]]</f>
        <v>modesg_inp_nfrd_alinhamento_taxcca_turnover_own_prfrmnce_algnd</v>
      </c>
      <c r="I1007" s="2" t="s">
        <v>612</v>
      </c>
      <c r="J1007" s="45">
        <f>VLOOKUP(Table1[[#This Row],[Status]],Auxiliar!$B$16:$C$24,2,0)</f>
        <v>1</v>
      </c>
      <c r="K1007" s="20" t="s">
        <v>1171</v>
      </c>
      <c r="L1007" s="27"/>
      <c r="M1007" s="20" t="s">
        <v>1176</v>
      </c>
      <c r="N1007" s="47">
        <v>45540</v>
      </c>
      <c r="O1007" s="20">
        <f>INDEX(Auxiliar!$D$5:$F$13,MATCH(Table1[[#This Row],[Tipologia_Testes]],Auxiliar!$B$5:$B$13,0),MATCH(Table1[[#This Row],[Complexidade]],Auxiliar!$D$4:$F$4,0))</f>
        <v>0.1</v>
      </c>
      <c r="P1007" s="2" t="s">
        <v>1239</v>
      </c>
      <c r="Q1007" s="2"/>
      <c r="R1007" s="151">
        <v>45261</v>
      </c>
      <c r="S1007" s="151"/>
      <c r="T1007" s="151"/>
      <c r="U1007" s="151">
        <v>45603</v>
      </c>
      <c r="V1007" s="151">
        <v>45534</v>
      </c>
      <c r="W1007" s="2">
        <f>VLOOKUP(Table1[[#This Row],[Status]],Auxiliar!$B$16:$D$24,3,0)*Table1[[#This Row],[Estimação (horas)]]</f>
        <v>0.1</v>
      </c>
      <c r="X1007" s="165">
        <f>+VLOOKUP(CONCATENATE(Table1[[#This Row],[Tabela]],Table1[[#This Row],[Campo]]),'2. Status Detalhe Campos FY24'!A:J,9,FALSE)</f>
        <v>0</v>
      </c>
      <c r="Y1007" s="491" t="e">
        <f>+VLOOKUP(A1007,#REF!,1,FALSE)</f>
        <v>#REF!</v>
      </c>
    </row>
    <row r="1008" spans="1:25" ht="17.899999999999999" hidden="1" customHeight="1">
      <c r="A1008" t="str">
        <f>+Table1[[#This Row],[Tabela]]&amp;Table1[[#This Row],[Campo]]</f>
        <v>modesg_inp_nfrd_alinhamento_taxcca_turnover_own_prfrmnce_algnd</v>
      </c>
      <c r="B1008" s="12" t="s">
        <v>26</v>
      </c>
      <c r="C1008" s="12" t="s">
        <v>181</v>
      </c>
      <c r="D1008" s="12" t="s">
        <v>1225</v>
      </c>
      <c r="E1008" s="2" t="s">
        <v>38</v>
      </c>
      <c r="F1008" s="12" t="s">
        <v>215</v>
      </c>
      <c r="G1008" s="12" t="s">
        <v>247</v>
      </c>
      <c r="H1008" s="57" t="str">
        <f>Table1[[#This Row],[Tabela]]&amp;Table1[[#This Row],[Campo]]</f>
        <v>modesg_inp_nfrd_alinhamento_taxcca_turnover_own_prfrmnce_algnd</v>
      </c>
      <c r="I1008" s="2" t="s">
        <v>612</v>
      </c>
      <c r="J1008" s="45">
        <f>VLOOKUP(Table1[[#This Row],[Status]],Auxiliar!$B$16:$C$24,2,0)</f>
        <v>1</v>
      </c>
      <c r="K1008" s="20" t="s">
        <v>1179</v>
      </c>
      <c r="L1008" s="27"/>
      <c r="M1008" s="20" t="s">
        <v>1176</v>
      </c>
      <c r="N1008" s="47">
        <v>45540</v>
      </c>
      <c r="O1008" s="20">
        <f>INDEX(Auxiliar!$D$5:$F$13,MATCH(Table1[[#This Row],[Tipologia_Testes]],Auxiliar!$B$5:$B$13,0),MATCH(Table1[[#This Row],[Complexidade]],Auxiliar!$D$4:$F$4,0))</f>
        <v>0.5</v>
      </c>
      <c r="P1008" s="2"/>
      <c r="Q1008" s="2"/>
      <c r="R1008" s="151">
        <v>45261</v>
      </c>
      <c r="S1008" s="151"/>
      <c r="T1008" s="151"/>
      <c r="U1008" s="151">
        <v>45603</v>
      </c>
      <c r="V1008" s="151">
        <v>45534</v>
      </c>
      <c r="W1008" s="2">
        <f>VLOOKUP(Table1[[#This Row],[Status]],Auxiliar!$B$16:$D$24,3,0)*Table1[[#This Row],[Estimação (horas)]]</f>
        <v>0.5</v>
      </c>
      <c r="X1008" s="165">
        <f>+VLOOKUP(CONCATENATE(Table1[[#This Row],[Tabela]],Table1[[#This Row],[Campo]]),'2. Status Detalhe Campos FY24'!A:J,9,FALSE)</f>
        <v>0</v>
      </c>
      <c r="Y1008" s="491" t="e">
        <f>+VLOOKUP(A1008,#REF!,1,FALSE)</f>
        <v>#REF!</v>
      </c>
    </row>
    <row r="1009" spans="1:25" ht="17.899999999999999" hidden="1" customHeight="1">
      <c r="A1009" t="str">
        <f>+Table1[[#This Row],[Tabela]]&amp;Table1[[#This Row],[Campo]]</f>
        <v>modesg_inp_nfrd_alinhamento_taxcca_capex_ttl_elgbl</v>
      </c>
      <c r="B1009" s="12" t="s">
        <v>26</v>
      </c>
      <c r="C1009" s="12" t="s">
        <v>181</v>
      </c>
      <c r="D1009" s="12" t="s">
        <v>1225</v>
      </c>
      <c r="E1009" s="2" t="s">
        <v>38</v>
      </c>
      <c r="F1009" s="12" t="s">
        <v>215</v>
      </c>
      <c r="G1009" s="12" t="s">
        <v>248</v>
      </c>
      <c r="H1009" s="57" t="str">
        <f>Table1[[#This Row],[Tabela]]&amp;Table1[[#This Row],[Campo]]</f>
        <v>modesg_inp_nfrd_alinhamento_taxcca_capex_ttl_elgbl</v>
      </c>
      <c r="I1009" s="2" t="s">
        <v>612</v>
      </c>
      <c r="J1009" s="45">
        <f>VLOOKUP(Table1[[#This Row],[Status]],Auxiliar!$B$16:$C$24,2,0)</f>
        <v>1</v>
      </c>
      <c r="K1009" s="20" t="s">
        <v>1171</v>
      </c>
      <c r="L1009" s="27"/>
      <c r="M1009" s="20" t="s">
        <v>1176</v>
      </c>
      <c r="N1009" s="47">
        <v>45540</v>
      </c>
      <c r="O1009" s="20">
        <f>INDEX(Auxiliar!$D$5:$F$13,MATCH(Table1[[#This Row],[Tipologia_Testes]],Auxiliar!$B$5:$B$13,0),MATCH(Table1[[#This Row],[Complexidade]],Auxiliar!$D$4:$F$4,0))</f>
        <v>0.1</v>
      </c>
      <c r="P1009" s="2" t="s">
        <v>1239</v>
      </c>
      <c r="Q1009" s="2"/>
      <c r="R1009" s="151">
        <v>45261</v>
      </c>
      <c r="S1009" s="151"/>
      <c r="T1009" s="151"/>
      <c r="U1009" s="151">
        <v>45603</v>
      </c>
      <c r="V1009" s="151">
        <v>45534</v>
      </c>
      <c r="W1009" s="2">
        <f>VLOOKUP(Table1[[#This Row],[Status]],Auxiliar!$B$16:$D$24,3,0)*Table1[[#This Row],[Estimação (horas)]]</f>
        <v>0.1</v>
      </c>
      <c r="X1009" s="165">
        <f>+VLOOKUP(CONCATENATE(Table1[[#This Row],[Tabela]],Table1[[#This Row],[Campo]]),'2. Status Detalhe Campos FY24'!A:J,9,FALSE)</f>
        <v>0</v>
      </c>
      <c r="Y1009" s="491" t="e">
        <f>+VLOOKUP(A1009,#REF!,1,FALSE)</f>
        <v>#REF!</v>
      </c>
    </row>
    <row r="1010" spans="1:25" ht="17.899999999999999" hidden="1" customHeight="1">
      <c r="A1010" t="str">
        <f>+Table1[[#This Row],[Tabela]]&amp;Table1[[#This Row],[Campo]]</f>
        <v>modesg_inp_nfrd_alinhamento_taxcca_capex_ttl_elgbl</v>
      </c>
      <c r="B1010" s="12" t="s">
        <v>26</v>
      </c>
      <c r="C1010" s="12" t="s">
        <v>181</v>
      </c>
      <c r="D1010" s="12" t="s">
        <v>1225</v>
      </c>
      <c r="E1010" s="2" t="s">
        <v>38</v>
      </c>
      <c r="F1010" s="12" t="s">
        <v>215</v>
      </c>
      <c r="G1010" s="12" t="s">
        <v>248</v>
      </c>
      <c r="H1010" s="57" t="str">
        <f>Table1[[#This Row],[Tabela]]&amp;Table1[[#This Row],[Campo]]</f>
        <v>modesg_inp_nfrd_alinhamento_taxcca_capex_ttl_elgbl</v>
      </c>
      <c r="I1010" s="2" t="s">
        <v>612</v>
      </c>
      <c r="J1010" s="45">
        <f>VLOOKUP(Table1[[#This Row],[Status]],Auxiliar!$B$16:$C$24,2,0)</f>
        <v>1</v>
      </c>
      <c r="K1010" s="20" t="s">
        <v>1179</v>
      </c>
      <c r="L1010" s="27"/>
      <c r="M1010" s="20" t="s">
        <v>1176</v>
      </c>
      <c r="N1010" s="47">
        <v>45540</v>
      </c>
      <c r="O1010" s="20">
        <f>INDEX(Auxiliar!$D$5:$F$13,MATCH(Table1[[#This Row],[Tipologia_Testes]],Auxiliar!$B$5:$B$13,0),MATCH(Table1[[#This Row],[Complexidade]],Auxiliar!$D$4:$F$4,0))</f>
        <v>0.5</v>
      </c>
      <c r="P1010" s="2"/>
      <c r="Q1010" s="2"/>
      <c r="R1010" s="151">
        <v>45261</v>
      </c>
      <c r="S1010" s="151"/>
      <c r="T1010" s="151"/>
      <c r="U1010" s="151">
        <v>45603</v>
      </c>
      <c r="V1010" s="151">
        <v>45534</v>
      </c>
      <c r="W1010" s="2">
        <f>VLOOKUP(Table1[[#This Row],[Status]],Auxiliar!$B$16:$D$24,3,0)*Table1[[#This Row],[Estimação (horas)]]</f>
        <v>0.5</v>
      </c>
      <c r="X1010" s="165">
        <f>+VLOOKUP(CONCATENATE(Table1[[#This Row],[Tabela]],Table1[[#This Row],[Campo]]),'2. Status Detalhe Campos FY24'!A:J,9,FALSE)</f>
        <v>0</v>
      </c>
      <c r="Y1010" s="491" t="e">
        <f>+VLOOKUP(A1010,#REF!,1,FALSE)</f>
        <v>#REF!</v>
      </c>
    </row>
    <row r="1011" spans="1:25" ht="17.899999999999999" hidden="1" customHeight="1">
      <c r="A1011" t="str">
        <f>+Table1[[#This Row],[Tabela]]&amp;Table1[[#This Row],[Campo]]</f>
        <v>modesg_inp_nfrd_alinhamento_taxcca_capex_enblng_algnd</v>
      </c>
      <c r="B1011" s="12" t="s">
        <v>26</v>
      </c>
      <c r="C1011" s="12" t="s">
        <v>181</v>
      </c>
      <c r="D1011" s="12" t="s">
        <v>1225</v>
      </c>
      <c r="E1011" s="2" t="s">
        <v>38</v>
      </c>
      <c r="F1011" s="12" t="s">
        <v>215</v>
      </c>
      <c r="G1011" s="12" t="s">
        <v>249</v>
      </c>
      <c r="H1011" s="57" t="str">
        <f>Table1[[#This Row],[Tabela]]&amp;Table1[[#This Row],[Campo]]</f>
        <v>modesg_inp_nfrd_alinhamento_taxcca_capex_enblng_algnd</v>
      </c>
      <c r="I1011" s="2" t="s">
        <v>612</v>
      </c>
      <c r="J1011" s="45">
        <f>VLOOKUP(Table1[[#This Row],[Status]],Auxiliar!$B$16:$C$24,2,0)</f>
        <v>1</v>
      </c>
      <c r="K1011" s="20" t="s">
        <v>1171</v>
      </c>
      <c r="L1011" s="27"/>
      <c r="M1011" s="20" t="s">
        <v>1176</v>
      </c>
      <c r="N1011" s="47">
        <v>45540</v>
      </c>
      <c r="O1011" s="20">
        <f>INDEX(Auxiliar!$D$5:$F$13,MATCH(Table1[[#This Row],[Tipologia_Testes]],Auxiliar!$B$5:$B$13,0),MATCH(Table1[[#This Row],[Complexidade]],Auxiliar!$D$4:$F$4,0))</f>
        <v>0.1</v>
      </c>
      <c r="P1011" s="2" t="s">
        <v>1239</v>
      </c>
      <c r="Q1011" s="2"/>
      <c r="R1011" s="151">
        <v>45261</v>
      </c>
      <c r="S1011" s="151"/>
      <c r="T1011" s="151"/>
      <c r="U1011" s="151">
        <v>45603</v>
      </c>
      <c r="V1011" s="151">
        <v>45534</v>
      </c>
      <c r="W1011" s="2">
        <f>VLOOKUP(Table1[[#This Row],[Status]],Auxiliar!$B$16:$D$24,3,0)*Table1[[#This Row],[Estimação (horas)]]</f>
        <v>0.1</v>
      </c>
      <c r="X1011" s="165">
        <f>+VLOOKUP(CONCATENATE(Table1[[#This Row],[Tabela]],Table1[[#This Row],[Campo]]),'2. Status Detalhe Campos FY24'!A:J,9,FALSE)</f>
        <v>0</v>
      </c>
      <c r="Y1011" s="491" t="e">
        <f>+VLOOKUP(A1011,#REF!,1,FALSE)</f>
        <v>#REF!</v>
      </c>
    </row>
    <row r="1012" spans="1:25" ht="17.899999999999999" hidden="1" customHeight="1">
      <c r="A1012" t="str">
        <f>+Table1[[#This Row],[Tabela]]&amp;Table1[[#This Row],[Campo]]</f>
        <v>modesg_inp_nfrd_alinhamento_taxcca_capex_enblng_algnd</v>
      </c>
      <c r="B1012" s="12" t="s">
        <v>26</v>
      </c>
      <c r="C1012" s="12" t="s">
        <v>181</v>
      </c>
      <c r="D1012" s="12" t="s">
        <v>1225</v>
      </c>
      <c r="E1012" s="2" t="s">
        <v>38</v>
      </c>
      <c r="F1012" s="12" t="s">
        <v>215</v>
      </c>
      <c r="G1012" s="12" t="s">
        <v>249</v>
      </c>
      <c r="H1012" s="57" t="str">
        <f>Table1[[#This Row],[Tabela]]&amp;Table1[[#This Row],[Campo]]</f>
        <v>modesg_inp_nfrd_alinhamento_taxcca_capex_enblng_algnd</v>
      </c>
      <c r="I1012" s="2" t="s">
        <v>612</v>
      </c>
      <c r="J1012" s="45">
        <f>VLOOKUP(Table1[[#This Row],[Status]],Auxiliar!$B$16:$C$24,2,0)</f>
        <v>1</v>
      </c>
      <c r="K1012" s="20" t="s">
        <v>1179</v>
      </c>
      <c r="L1012" s="27"/>
      <c r="M1012" s="20" t="s">
        <v>1176</v>
      </c>
      <c r="N1012" s="47">
        <v>45540</v>
      </c>
      <c r="O1012" s="20">
        <f>INDEX(Auxiliar!$D$5:$F$13,MATCH(Table1[[#This Row],[Tipologia_Testes]],Auxiliar!$B$5:$B$13,0),MATCH(Table1[[#This Row],[Complexidade]],Auxiliar!$D$4:$F$4,0))</f>
        <v>0.5</v>
      </c>
      <c r="P1012" s="2"/>
      <c r="Q1012" s="2"/>
      <c r="R1012" s="151">
        <v>45261</v>
      </c>
      <c r="S1012" s="151"/>
      <c r="T1012" s="151"/>
      <c r="U1012" s="151">
        <v>45603</v>
      </c>
      <c r="V1012" s="151">
        <v>45534</v>
      </c>
      <c r="W1012" s="2">
        <f>VLOOKUP(Table1[[#This Row],[Status]],Auxiliar!$B$16:$D$24,3,0)*Table1[[#This Row],[Estimação (horas)]]</f>
        <v>0.5</v>
      </c>
      <c r="X1012" s="165">
        <f>+VLOOKUP(CONCATENATE(Table1[[#This Row],[Tabela]],Table1[[#This Row],[Campo]]),'2. Status Detalhe Campos FY24'!A:J,9,FALSE)</f>
        <v>0</v>
      </c>
      <c r="Y1012" s="491" t="e">
        <f>+VLOOKUP(A1012,#REF!,1,FALSE)</f>
        <v>#REF!</v>
      </c>
    </row>
    <row r="1013" spans="1:25" ht="17.899999999999999" hidden="1" customHeight="1">
      <c r="A1013" t="str">
        <f>+Table1[[#This Row],[Tabela]]&amp;Table1[[#This Row],[Campo]]</f>
        <v>modesg_inp_nfrd_alinhamento_taxcca_capex_own_prfrmnce_algnd</v>
      </c>
      <c r="B1013" s="12" t="s">
        <v>26</v>
      </c>
      <c r="C1013" s="12" t="s">
        <v>181</v>
      </c>
      <c r="D1013" s="12" t="s">
        <v>1225</v>
      </c>
      <c r="E1013" s="2" t="s">
        <v>38</v>
      </c>
      <c r="F1013" s="12" t="s">
        <v>215</v>
      </c>
      <c r="G1013" s="12" t="s">
        <v>250</v>
      </c>
      <c r="H1013" s="57" t="str">
        <f>Table1[[#This Row],[Tabela]]&amp;Table1[[#This Row],[Campo]]</f>
        <v>modesg_inp_nfrd_alinhamento_taxcca_capex_own_prfrmnce_algnd</v>
      </c>
      <c r="I1013" s="2" t="s">
        <v>612</v>
      </c>
      <c r="J1013" s="45">
        <f>VLOOKUP(Table1[[#This Row],[Status]],Auxiliar!$B$16:$C$24,2,0)</f>
        <v>1</v>
      </c>
      <c r="K1013" s="20" t="s">
        <v>1171</v>
      </c>
      <c r="L1013" s="27"/>
      <c r="M1013" s="20" t="s">
        <v>1176</v>
      </c>
      <c r="N1013" s="47">
        <v>45540</v>
      </c>
      <c r="O1013" s="20">
        <f>INDEX(Auxiliar!$D$5:$F$13,MATCH(Table1[[#This Row],[Tipologia_Testes]],Auxiliar!$B$5:$B$13,0),MATCH(Table1[[#This Row],[Complexidade]],Auxiliar!$D$4:$F$4,0))</f>
        <v>0.1</v>
      </c>
      <c r="P1013" s="2" t="s">
        <v>1239</v>
      </c>
      <c r="Q1013" s="2"/>
      <c r="R1013" s="151">
        <v>45261</v>
      </c>
      <c r="S1013" s="151"/>
      <c r="T1013" s="151"/>
      <c r="U1013" s="151">
        <v>45603</v>
      </c>
      <c r="V1013" s="151">
        <v>45534</v>
      </c>
      <c r="W1013" s="2">
        <f>VLOOKUP(Table1[[#This Row],[Status]],Auxiliar!$B$16:$D$24,3,0)*Table1[[#This Row],[Estimação (horas)]]</f>
        <v>0.1</v>
      </c>
      <c r="X1013" s="165">
        <f>+VLOOKUP(CONCATENATE(Table1[[#This Row],[Tabela]],Table1[[#This Row],[Campo]]),'2. Status Detalhe Campos FY24'!A:J,9,FALSE)</f>
        <v>0</v>
      </c>
      <c r="Y1013" s="491" t="e">
        <f>+VLOOKUP(A1013,#REF!,1,FALSE)</f>
        <v>#REF!</v>
      </c>
    </row>
    <row r="1014" spans="1:25" ht="17.899999999999999" hidden="1" customHeight="1">
      <c r="A1014" t="str">
        <f>+Table1[[#This Row],[Tabela]]&amp;Table1[[#This Row],[Campo]]</f>
        <v>modesg_inp_nfrd_alinhamento_taxcca_capex_own_prfrmnce_algnd</v>
      </c>
      <c r="B1014" s="12" t="s">
        <v>26</v>
      </c>
      <c r="C1014" s="12" t="s">
        <v>181</v>
      </c>
      <c r="D1014" s="12" t="s">
        <v>1225</v>
      </c>
      <c r="E1014" s="2" t="s">
        <v>38</v>
      </c>
      <c r="F1014" s="12" t="s">
        <v>215</v>
      </c>
      <c r="G1014" s="12" t="s">
        <v>250</v>
      </c>
      <c r="H1014" s="57" t="str">
        <f>Table1[[#This Row],[Tabela]]&amp;Table1[[#This Row],[Campo]]</f>
        <v>modesg_inp_nfrd_alinhamento_taxcca_capex_own_prfrmnce_algnd</v>
      </c>
      <c r="I1014" s="2" t="s">
        <v>612</v>
      </c>
      <c r="J1014" s="45">
        <f>VLOOKUP(Table1[[#This Row],[Status]],Auxiliar!$B$16:$C$24,2,0)</f>
        <v>1</v>
      </c>
      <c r="K1014" s="20" t="s">
        <v>1179</v>
      </c>
      <c r="L1014" s="27"/>
      <c r="M1014" s="20" t="s">
        <v>1176</v>
      </c>
      <c r="N1014" s="47">
        <v>45540</v>
      </c>
      <c r="O1014" s="20">
        <f>INDEX(Auxiliar!$D$5:$F$13,MATCH(Table1[[#This Row],[Tipologia_Testes]],Auxiliar!$B$5:$B$13,0),MATCH(Table1[[#This Row],[Complexidade]],Auxiliar!$D$4:$F$4,0))</f>
        <v>0.5</v>
      </c>
      <c r="P1014" s="2"/>
      <c r="Q1014" s="2"/>
      <c r="R1014" s="151">
        <v>45261</v>
      </c>
      <c r="S1014" s="151"/>
      <c r="T1014" s="151"/>
      <c r="U1014" s="151">
        <v>45603</v>
      </c>
      <c r="V1014" s="151">
        <v>45534</v>
      </c>
      <c r="W1014" s="2">
        <f>VLOOKUP(Table1[[#This Row],[Status]],Auxiliar!$B$16:$D$24,3,0)*Table1[[#This Row],[Estimação (horas)]]</f>
        <v>0.5</v>
      </c>
      <c r="X1014" s="165">
        <f>+VLOOKUP(CONCATENATE(Table1[[#This Row],[Tabela]],Table1[[#This Row],[Campo]]),'2. Status Detalhe Campos FY24'!A:J,9,FALSE)</f>
        <v>0</v>
      </c>
      <c r="Y1014" s="491" t="e">
        <f>+VLOOKUP(A1014,#REF!,1,FALSE)</f>
        <v>#REF!</v>
      </c>
    </row>
    <row r="1015" spans="1:25" ht="17.899999999999999" hidden="1" customHeight="1">
      <c r="A1015" t="str">
        <f>+Table1[[#This Row],[Tabela]]&amp;Table1[[#This Row],[Campo]]</f>
        <v>modesg_inp_nfrd_alinhamento_taxccm_trnvr_ttl_elgbl</v>
      </c>
      <c r="B1015" s="12" t="s">
        <v>26</v>
      </c>
      <c r="C1015" s="12" t="s">
        <v>181</v>
      </c>
      <c r="D1015" s="12" t="s">
        <v>1225</v>
      </c>
      <c r="E1015" s="2" t="s">
        <v>38</v>
      </c>
      <c r="F1015" s="12" t="s">
        <v>215</v>
      </c>
      <c r="G1015" s="12" t="s">
        <v>251</v>
      </c>
      <c r="H1015" s="57" t="str">
        <f>Table1[[#This Row],[Tabela]]&amp;Table1[[#This Row],[Campo]]</f>
        <v>modesg_inp_nfrd_alinhamento_taxccm_trnvr_ttl_elgbl</v>
      </c>
      <c r="I1015" s="2" t="s">
        <v>612</v>
      </c>
      <c r="J1015" s="45">
        <f>VLOOKUP(Table1[[#This Row],[Status]],Auxiliar!$B$16:$C$24,2,0)</f>
        <v>1</v>
      </c>
      <c r="K1015" s="20" t="s">
        <v>1171</v>
      </c>
      <c r="L1015" s="27"/>
      <c r="M1015" s="20" t="s">
        <v>1176</v>
      </c>
      <c r="N1015" s="47">
        <v>45540</v>
      </c>
      <c r="O1015" s="20">
        <f>INDEX(Auxiliar!$D$5:$F$13,MATCH(Table1[[#This Row],[Tipologia_Testes]],Auxiliar!$B$5:$B$13,0),MATCH(Table1[[#This Row],[Complexidade]],Auxiliar!$D$4:$F$4,0))</f>
        <v>0.1</v>
      </c>
      <c r="P1015" s="2" t="s">
        <v>1239</v>
      </c>
      <c r="Q1015" s="2"/>
      <c r="R1015" s="151">
        <v>45261</v>
      </c>
      <c r="S1015" s="151"/>
      <c r="T1015" s="151"/>
      <c r="U1015" s="151">
        <v>45603</v>
      </c>
      <c r="V1015" s="151">
        <v>45534</v>
      </c>
      <c r="W1015" s="2">
        <f>VLOOKUP(Table1[[#This Row],[Status]],Auxiliar!$B$16:$D$24,3,0)*Table1[[#This Row],[Estimação (horas)]]</f>
        <v>0.1</v>
      </c>
      <c r="X1015" s="165">
        <f>+VLOOKUP(CONCATENATE(Table1[[#This Row],[Tabela]],Table1[[#This Row],[Campo]]),'2. Status Detalhe Campos FY24'!A:J,9,FALSE)</f>
        <v>0</v>
      </c>
      <c r="Y1015" s="491" t="e">
        <f>+VLOOKUP(A1015,#REF!,1,FALSE)</f>
        <v>#REF!</v>
      </c>
    </row>
    <row r="1016" spans="1:25" ht="17.899999999999999" hidden="1" customHeight="1">
      <c r="A1016" t="str">
        <f>+Table1[[#This Row],[Tabela]]&amp;Table1[[#This Row],[Campo]]</f>
        <v>modesg_inp_nfrd_alinhamento_taxccm_trnvr_ttl_elgbl</v>
      </c>
      <c r="B1016" s="12" t="s">
        <v>26</v>
      </c>
      <c r="C1016" s="12" t="s">
        <v>181</v>
      </c>
      <c r="D1016" s="12" t="s">
        <v>1225</v>
      </c>
      <c r="E1016" s="2" t="s">
        <v>38</v>
      </c>
      <c r="F1016" s="12" t="s">
        <v>215</v>
      </c>
      <c r="G1016" s="12" t="s">
        <v>251</v>
      </c>
      <c r="H1016" s="57" t="str">
        <f>Table1[[#This Row],[Tabela]]&amp;Table1[[#This Row],[Campo]]</f>
        <v>modesg_inp_nfrd_alinhamento_taxccm_trnvr_ttl_elgbl</v>
      </c>
      <c r="I1016" s="2" t="s">
        <v>612</v>
      </c>
      <c r="J1016" s="45">
        <f>VLOOKUP(Table1[[#This Row],[Status]],Auxiliar!$B$16:$C$24,2,0)</f>
        <v>1</v>
      </c>
      <c r="K1016" s="20" t="s">
        <v>1179</v>
      </c>
      <c r="L1016" s="27"/>
      <c r="M1016" s="20" t="s">
        <v>1176</v>
      </c>
      <c r="N1016" s="47">
        <v>45540</v>
      </c>
      <c r="O1016" s="20">
        <f>INDEX(Auxiliar!$D$5:$F$13,MATCH(Table1[[#This Row],[Tipologia_Testes]],Auxiliar!$B$5:$B$13,0),MATCH(Table1[[#This Row],[Complexidade]],Auxiliar!$D$4:$F$4,0))</f>
        <v>0.5</v>
      </c>
      <c r="P1016" s="2"/>
      <c r="Q1016" s="2"/>
      <c r="R1016" s="151">
        <v>45261</v>
      </c>
      <c r="S1016" s="151"/>
      <c r="T1016" s="151"/>
      <c r="U1016" s="151">
        <v>45603</v>
      </c>
      <c r="V1016" s="151">
        <v>45534</v>
      </c>
      <c r="W1016" s="2">
        <f>VLOOKUP(Table1[[#This Row],[Status]],Auxiliar!$B$16:$D$24,3,0)*Table1[[#This Row],[Estimação (horas)]]</f>
        <v>0.5</v>
      </c>
      <c r="X1016" s="165">
        <f>+VLOOKUP(CONCATENATE(Table1[[#This Row],[Tabela]],Table1[[#This Row],[Campo]]),'2. Status Detalhe Campos FY24'!A:J,9,FALSE)</f>
        <v>0</v>
      </c>
      <c r="Y1016" s="491" t="e">
        <f>+VLOOKUP(A1016,#REF!,1,FALSE)</f>
        <v>#REF!</v>
      </c>
    </row>
    <row r="1017" spans="1:25" ht="17.899999999999999" hidden="1" customHeight="1">
      <c r="A1017" t="str">
        <f>+Table1[[#This Row],[Tabela]]&amp;Table1[[#This Row],[Campo]]</f>
        <v>modesg_inp_nfrd_alinhamento_taxccm_trnvr_enblng_algnd</v>
      </c>
      <c r="B1017" s="12" t="s">
        <v>26</v>
      </c>
      <c r="C1017" s="12" t="s">
        <v>181</v>
      </c>
      <c r="D1017" s="12" t="s">
        <v>1225</v>
      </c>
      <c r="E1017" s="2" t="s">
        <v>38</v>
      </c>
      <c r="F1017" s="12" t="s">
        <v>215</v>
      </c>
      <c r="G1017" s="12" t="s">
        <v>252</v>
      </c>
      <c r="H1017" s="57" t="str">
        <f>Table1[[#This Row],[Tabela]]&amp;Table1[[#This Row],[Campo]]</f>
        <v>modesg_inp_nfrd_alinhamento_taxccm_trnvr_enblng_algnd</v>
      </c>
      <c r="I1017" s="2" t="s">
        <v>612</v>
      </c>
      <c r="J1017" s="45">
        <f>VLOOKUP(Table1[[#This Row],[Status]],Auxiliar!$B$16:$C$24,2,0)</f>
        <v>1</v>
      </c>
      <c r="K1017" s="20" t="s">
        <v>1171</v>
      </c>
      <c r="L1017" s="27"/>
      <c r="M1017" s="20" t="s">
        <v>1176</v>
      </c>
      <c r="N1017" s="47">
        <v>45540</v>
      </c>
      <c r="O1017" s="20">
        <f>INDEX(Auxiliar!$D$5:$F$13,MATCH(Table1[[#This Row],[Tipologia_Testes]],Auxiliar!$B$5:$B$13,0),MATCH(Table1[[#This Row],[Complexidade]],Auxiliar!$D$4:$F$4,0))</f>
        <v>0.1</v>
      </c>
      <c r="P1017" s="2" t="s">
        <v>1239</v>
      </c>
      <c r="Q1017" s="2"/>
      <c r="R1017" s="151">
        <v>45261</v>
      </c>
      <c r="S1017" s="151"/>
      <c r="T1017" s="151"/>
      <c r="U1017" s="151">
        <v>45603</v>
      </c>
      <c r="V1017" s="151">
        <v>45534</v>
      </c>
      <c r="W1017" s="2">
        <f>VLOOKUP(Table1[[#This Row],[Status]],Auxiliar!$B$16:$D$24,3,0)*Table1[[#This Row],[Estimação (horas)]]</f>
        <v>0.1</v>
      </c>
      <c r="X1017" s="165">
        <f>+VLOOKUP(CONCATENATE(Table1[[#This Row],[Tabela]],Table1[[#This Row],[Campo]]),'2. Status Detalhe Campos FY24'!A:J,9,FALSE)</f>
        <v>0</v>
      </c>
      <c r="Y1017" s="491" t="e">
        <f>+VLOOKUP(A1017,#REF!,1,FALSE)</f>
        <v>#REF!</v>
      </c>
    </row>
    <row r="1018" spans="1:25" ht="17.899999999999999" hidden="1" customHeight="1">
      <c r="A1018" t="str">
        <f>+Table1[[#This Row],[Tabela]]&amp;Table1[[#This Row],[Campo]]</f>
        <v>modesg_inp_nfrd_alinhamento_taxccm_trnvr_enblng_algnd</v>
      </c>
      <c r="B1018" s="12" t="s">
        <v>26</v>
      </c>
      <c r="C1018" s="12" t="s">
        <v>181</v>
      </c>
      <c r="D1018" s="12" t="s">
        <v>1225</v>
      </c>
      <c r="E1018" s="2" t="s">
        <v>38</v>
      </c>
      <c r="F1018" s="12" t="s">
        <v>215</v>
      </c>
      <c r="G1018" s="12" t="s">
        <v>252</v>
      </c>
      <c r="H1018" s="57" t="str">
        <f>Table1[[#This Row],[Tabela]]&amp;Table1[[#This Row],[Campo]]</f>
        <v>modesg_inp_nfrd_alinhamento_taxccm_trnvr_enblng_algnd</v>
      </c>
      <c r="I1018" s="2" t="s">
        <v>612</v>
      </c>
      <c r="J1018" s="45">
        <f>VLOOKUP(Table1[[#This Row],[Status]],Auxiliar!$B$16:$C$24,2,0)</f>
        <v>1</v>
      </c>
      <c r="K1018" s="20" t="s">
        <v>1179</v>
      </c>
      <c r="L1018" s="27"/>
      <c r="M1018" s="20" t="s">
        <v>1176</v>
      </c>
      <c r="N1018" s="47">
        <v>45540</v>
      </c>
      <c r="O1018" s="20">
        <f>INDEX(Auxiliar!$D$5:$F$13,MATCH(Table1[[#This Row],[Tipologia_Testes]],Auxiliar!$B$5:$B$13,0),MATCH(Table1[[#This Row],[Complexidade]],Auxiliar!$D$4:$F$4,0))</f>
        <v>0.5</v>
      </c>
      <c r="P1018" s="2"/>
      <c r="Q1018" s="2"/>
      <c r="R1018" s="151">
        <v>45261</v>
      </c>
      <c r="S1018" s="151"/>
      <c r="T1018" s="151"/>
      <c r="U1018" s="151">
        <v>45603</v>
      </c>
      <c r="V1018" s="151">
        <v>45534</v>
      </c>
      <c r="W1018" s="2">
        <f>VLOOKUP(Table1[[#This Row],[Status]],Auxiliar!$B$16:$D$24,3,0)*Table1[[#This Row],[Estimação (horas)]]</f>
        <v>0.5</v>
      </c>
      <c r="X1018" s="165">
        <f>+VLOOKUP(CONCATENATE(Table1[[#This Row],[Tabela]],Table1[[#This Row],[Campo]]),'2. Status Detalhe Campos FY24'!A:J,9,FALSE)</f>
        <v>0</v>
      </c>
      <c r="Y1018" s="491" t="e">
        <f>+VLOOKUP(A1018,#REF!,1,FALSE)</f>
        <v>#REF!</v>
      </c>
    </row>
    <row r="1019" spans="1:25" ht="17.899999999999999" hidden="1" customHeight="1">
      <c r="A1019" t="str">
        <f>+Table1[[#This Row],[Tabela]]&amp;Table1[[#This Row],[Campo]]</f>
        <v>modesg_inp_nfrd_alinhamento_taxccm_trnvr_trnstn_alignd</v>
      </c>
      <c r="B1019" s="12" t="s">
        <v>26</v>
      </c>
      <c r="C1019" s="12" t="s">
        <v>181</v>
      </c>
      <c r="D1019" s="12" t="s">
        <v>1225</v>
      </c>
      <c r="E1019" s="2" t="s">
        <v>38</v>
      </c>
      <c r="F1019" s="12" t="s">
        <v>215</v>
      </c>
      <c r="G1019" s="12" t="s">
        <v>253</v>
      </c>
      <c r="H1019" s="57" t="str">
        <f>Table1[[#This Row],[Tabela]]&amp;Table1[[#This Row],[Campo]]</f>
        <v>modesg_inp_nfrd_alinhamento_taxccm_trnvr_trnstn_alignd</v>
      </c>
      <c r="I1019" s="2" t="s">
        <v>612</v>
      </c>
      <c r="J1019" s="45">
        <f>VLOOKUP(Table1[[#This Row],[Status]],Auxiliar!$B$16:$C$24,2,0)</f>
        <v>1</v>
      </c>
      <c r="K1019" s="20" t="s">
        <v>1171</v>
      </c>
      <c r="L1019" s="27"/>
      <c r="M1019" s="20" t="s">
        <v>1176</v>
      </c>
      <c r="N1019" s="47">
        <v>45540</v>
      </c>
      <c r="O1019" s="20">
        <f>INDEX(Auxiliar!$D$5:$F$13,MATCH(Table1[[#This Row],[Tipologia_Testes]],Auxiliar!$B$5:$B$13,0),MATCH(Table1[[#This Row],[Complexidade]],Auxiliar!$D$4:$F$4,0))</f>
        <v>0.1</v>
      </c>
      <c r="P1019" s="2" t="s">
        <v>1239</v>
      </c>
      <c r="Q1019" s="2"/>
      <c r="R1019" s="151">
        <v>45261</v>
      </c>
      <c r="S1019" s="151"/>
      <c r="T1019" s="151"/>
      <c r="U1019" s="151">
        <v>45603</v>
      </c>
      <c r="V1019" s="151">
        <v>45534</v>
      </c>
      <c r="W1019" s="2">
        <f>VLOOKUP(Table1[[#This Row],[Status]],Auxiliar!$B$16:$D$24,3,0)*Table1[[#This Row],[Estimação (horas)]]</f>
        <v>0.1</v>
      </c>
      <c r="X1019" s="165">
        <f>+VLOOKUP(CONCATENATE(Table1[[#This Row],[Tabela]],Table1[[#This Row],[Campo]]),'2. Status Detalhe Campos FY24'!A:J,9,FALSE)</f>
        <v>0</v>
      </c>
      <c r="Y1019" s="491" t="e">
        <f>+VLOOKUP(A1019,#REF!,1,FALSE)</f>
        <v>#REF!</v>
      </c>
    </row>
    <row r="1020" spans="1:25" ht="17.899999999999999" hidden="1" customHeight="1">
      <c r="A1020" t="str">
        <f>+Table1[[#This Row],[Tabela]]&amp;Table1[[#This Row],[Campo]]</f>
        <v>modesg_inp_nfrd_alinhamento_taxccm_trnvr_trnstn_alignd</v>
      </c>
      <c r="B1020" s="12" t="s">
        <v>26</v>
      </c>
      <c r="C1020" s="12" t="s">
        <v>181</v>
      </c>
      <c r="D1020" s="12" t="s">
        <v>1225</v>
      </c>
      <c r="E1020" s="2" t="s">
        <v>38</v>
      </c>
      <c r="F1020" s="12" t="s">
        <v>215</v>
      </c>
      <c r="G1020" s="12" t="s">
        <v>253</v>
      </c>
      <c r="H1020" s="57" t="str">
        <f>Table1[[#This Row],[Tabela]]&amp;Table1[[#This Row],[Campo]]</f>
        <v>modesg_inp_nfrd_alinhamento_taxccm_trnvr_trnstn_alignd</v>
      </c>
      <c r="I1020" s="2" t="s">
        <v>612</v>
      </c>
      <c r="J1020" s="45">
        <f>VLOOKUP(Table1[[#This Row],[Status]],Auxiliar!$B$16:$C$24,2,0)</f>
        <v>1</v>
      </c>
      <c r="K1020" s="20" t="s">
        <v>1179</v>
      </c>
      <c r="L1020" s="27"/>
      <c r="M1020" s="20" t="s">
        <v>1176</v>
      </c>
      <c r="N1020" s="47">
        <v>45540</v>
      </c>
      <c r="O1020" s="20">
        <f>INDEX(Auxiliar!$D$5:$F$13,MATCH(Table1[[#This Row],[Tipologia_Testes]],Auxiliar!$B$5:$B$13,0),MATCH(Table1[[#This Row],[Complexidade]],Auxiliar!$D$4:$F$4,0))</f>
        <v>0.5</v>
      </c>
      <c r="P1020" s="2"/>
      <c r="Q1020" s="2"/>
      <c r="R1020" s="151">
        <v>45261</v>
      </c>
      <c r="S1020" s="151"/>
      <c r="T1020" s="151"/>
      <c r="U1020" s="151">
        <v>45603</v>
      </c>
      <c r="V1020" s="151">
        <v>45534</v>
      </c>
      <c r="W1020" s="2">
        <f>VLOOKUP(Table1[[#This Row],[Status]],Auxiliar!$B$16:$D$24,3,0)*Table1[[#This Row],[Estimação (horas)]]</f>
        <v>0.5</v>
      </c>
      <c r="X1020" s="165">
        <f>+VLOOKUP(CONCATENATE(Table1[[#This Row],[Tabela]],Table1[[#This Row],[Campo]]),'2. Status Detalhe Campos FY24'!A:J,9,FALSE)</f>
        <v>0</v>
      </c>
      <c r="Y1020" s="491" t="e">
        <f>+VLOOKUP(A1020,#REF!,1,FALSE)</f>
        <v>#REF!</v>
      </c>
    </row>
    <row r="1021" spans="1:25" ht="17.899999999999999" hidden="1" customHeight="1">
      <c r="A1021" t="str">
        <f>+Table1[[#This Row],[Tabela]]&amp;Table1[[#This Row],[Campo]]</f>
        <v>modesg_inp_nfrd_alinhamento_taxccm_trnvr_own_prfrmnce_algnd</v>
      </c>
      <c r="B1021" s="12" t="s">
        <v>26</v>
      </c>
      <c r="C1021" s="12" t="s">
        <v>181</v>
      </c>
      <c r="D1021" s="12" t="s">
        <v>1225</v>
      </c>
      <c r="E1021" s="2" t="s">
        <v>38</v>
      </c>
      <c r="F1021" s="12" t="s">
        <v>215</v>
      </c>
      <c r="G1021" s="12" t="s">
        <v>254</v>
      </c>
      <c r="H1021" s="57" t="str">
        <f>Table1[[#This Row],[Tabela]]&amp;Table1[[#This Row],[Campo]]</f>
        <v>modesg_inp_nfrd_alinhamento_taxccm_trnvr_own_prfrmnce_algnd</v>
      </c>
      <c r="I1021" s="2" t="s">
        <v>612</v>
      </c>
      <c r="J1021" s="45">
        <f>VLOOKUP(Table1[[#This Row],[Status]],Auxiliar!$B$16:$C$24,2,0)</f>
        <v>1</v>
      </c>
      <c r="K1021" s="20" t="s">
        <v>1171</v>
      </c>
      <c r="L1021" s="27"/>
      <c r="M1021" s="20" t="s">
        <v>1176</v>
      </c>
      <c r="N1021" s="47">
        <v>45540</v>
      </c>
      <c r="O1021" s="20">
        <f>INDEX(Auxiliar!$D$5:$F$13,MATCH(Table1[[#This Row],[Tipologia_Testes]],Auxiliar!$B$5:$B$13,0),MATCH(Table1[[#This Row],[Complexidade]],Auxiliar!$D$4:$F$4,0))</f>
        <v>0.1</v>
      </c>
      <c r="P1021" s="2" t="s">
        <v>1239</v>
      </c>
      <c r="Q1021" s="2"/>
      <c r="R1021" s="151">
        <v>45261</v>
      </c>
      <c r="S1021" s="151"/>
      <c r="T1021" s="151"/>
      <c r="U1021" s="151">
        <v>45603</v>
      </c>
      <c r="V1021" s="151">
        <v>45534</v>
      </c>
      <c r="W1021" s="2">
        <f>VLOOKUP(Table1[[#This Row],[Status]],Auxiliar!$B$16:$D$24,3,0)*Table1[[#This Row],[Estimação (horas)]]</f>
        <v>0.1</v>
      </c>
      <c r="X1021" s="165">
        <f>+VLOOKUP(CONCATENATE(Table1[[#This Row],[Tabela]],Table1[[#This Row],[Campo]]),'2. Status Detalhe Campos FY24'!A:J,9,FALSE)</f>
        <v>0</v>
      </c>
      <c r="Y1021" s="491" t="e">
        <f>+VLOOKUP(A1021,#REF!,1,FALSE)</f>
        <v>#REF!</v>
      </c>
    </row>
    <row r="1022" spans="1:25" ht="17.899999999999999" hidden="1" customHeight="1">
      <c r="A1022" t="str">
        <f>+Table1[[#This Row],[Tabela]]&amp;Table1[[#This Row],[Campo]]</f>
        <v>modesg_inp_nfrd_alinhamento_taxccm_trnvr_own_prfrmnce_algnd</v>
      </c>
      <c r="B1022" s="12" t="s">
        <v>26</v>
      </c>
      <c r="C1022" s="12" t="s">
        <v>181</v>
      </c>
      <c r="D1022" s="12" t="s">
        <v>1225</v>
      </c>
      <c r="E1022" s="2" t="s">
        <v>38</v>
      </c>
      <c r="F1022" s="12" t="s">
        <v>215</v>
      </c>
      <c r="G1022" s="12" t="s">
        <v>254</v>
      </c>
      <c r="H1022" s="57" t="str">
        <f>Table1[[#This Row],[Tabela]]&amp;Table1[[#This Row],[Campo]]</f>
        <v>modesg_inp_nfrd_alinhamento_taxccm_trnvr_own_prfrmnce_algnd</v>
      </c>
      <c r="I1022" s="2" t="s">
        <v>612</v>
      </c>
      <c r="J1022" s="45">
        <f>VLOOKUP(Table1[[#This Row],[Status]],Auxiliar!$B$16:$C$24,2,0)</f>
        <v>1</v>
      </c>
      <c r="K1022" s="20" t="s">
        <v>1179</v>
      </c>
      <c r="L1022" s="27"/>
      <c r="M1022" s="20" t="s">
        <v>1176</v>
      </c>
      <c r="N1022" s="47">
        <v>45540</v>
      </c>
      <c r="O1022" s="20">
        <f>INDEX(Auxiliar!$D$5:$F$13,MATCH(Table1[[#This Row],[Tipologia_Testes]],Auxiliar!$B$5:$B$13,0),MATCH(Table1[[#This Row],[Complexidade]],Auxiliar!$D$4:$F$4,0))</f>
        <v>0.5</v>
      </c>
      <c r="P1022" s="2"/>
      <c r="Q1022" s="2"/>
      <c r="R1022" s="151">
        <v>45261</v>
      </c>
      <c r="S1022" s="151"/>
      <c r="T1022" s="151"/>
      <c r="U1022" s="151">
        <v>45603</v>
      </c>
      <c r="V1022" s="151">
        <v>45534</v>
      </c>
      <c r="W1022" s="2">
        <f>VLOOKUP(Table1[[#This Row],[Status]],Auxiliar!$B$16:$D$24,3,0)*Table1[[#This Row],[Estimação (horas)]]</f>
        <v>0.5</v>
      </c>
      <c r="X1022" s="165">
        <f>+VLOOKUP(CONCATENATE(Table1[[#This Row],[Tabela]],Table1[[#This Row],[Campo]]),'2. Status Detalhe Campos FY24'!A:J,9,FALSE)</f>
        <v>0</v>
      </c>
      <c r="Y1022" s="491" t="e">
        <f>+VLOOKUP(A1022,#REF!,1,FALSE)</f>
        <v>#REF!</v>
      </c>
    </row>
    <row r="1023" spans="1:25" ht="17.899999999999999" hidden="1" customHeight="1">
      <c r="A1023" t="str">
        <f>+Table1[[#This Row],[Tabela]]&amp;Table1[[#This Row],[Campo]]</f>
        <v>modesg_inp_nfrd_alinhamento_taxccm_capex_ttl_elgbl</v>
      </c>
      <c r="B1023" s="12" t="s">
        <v>26</v>
      </c>
      <c r="C1023" s="12" t="s">
        <v>181</v>
      </c>
      <c r="D1023" s="12" t="s">
        <v>1225</v>
      </c>
      <c r="E1023" s="2" t="s">
        <v>38</v>
      </c>
      <c r="F1023" s="12" t="s">
        <v>215</v>
      </c>
      <c r="G1023" s="12" t="s">
        <v>255</v>
      </c>
      <c r="H1023" s="57" t="str">
        <f>Table1[[#This Row],[Tabela]]&amp;Table1[[#This Row],[Campo]]</f>
        <v>modesg_inp_nfrd_alinhamento_taxccm_capex_ttl_elgbl</v>
      </c>
      <c r="I1023" s="2" t="s">
        <v>612</v>
      </c>
      <c r="J1023" s="45">
        <f>VLOOKUP(Table1[[#This Row],[Status]],Auxiliar!$B$16:$C$24,2,0)</f>
        <v>1</v>
      </c>
      <c r="K1023" s="20" t="s">
        <v>1171</v>
      </c>
      <c r="L1023" s="27"/>
      <c r="M1023" s="20" t="s">
        <v>1176</v>
      </c>
      <c r="N1023" s="47">
        <v>45540</v>
      </c>
      <c r="O1023" s="20">
        <f>INDEX(Auxiliar!$D$5:$F$13,MATCH(Table1[[#This Row],[Tipologia_Testes]],Auxiliar!$B$5:$B$13,0),MATCH(Table1[[#This Row],[Complexidade]],Auxiliar!$D$4:$F$4,0))</f>
        <v>0.1</v>
      </c>
      <c r="P1023" s="2" t="s">
        <v>1239</v>
      </c>
      <c r="Q1023" s="2"/>
      <c r="R1023" s="151">
        <v>45261</v>
      </c>
      <c r="S1023" s="151"/>
      <c r="T1023" s="151"/>
      <c r="U1023" s="151">
        <v>45603</v>
      </c>
      <c r="V1023" s="151">
        <v>45534</v>
      </c>
      <c r="W1023" s="2">
        <f>VLOOKUP(Table1[[#This Row],[Status]],Auxiliar!$B$16:$D$24,3,0)*Table1[[#This Row],[Estimação (horas)]]</f>
        <v>0.1</v>
      </c>
      <c r="X1023" s="165">
        <f>+VLOOKUP(CONCATENATE(Table1[[#This Row],[Tabela]],Table1[[#This Row],[Campo]]),'2. Status Detalhe Campos FY24'!A:J,9,FALSE)</f>
        <v>0</v>
      </c>
      <c r="Y1023" s="491" t="e">
        <f>+VLOOKUP(A1023,#REF!,1,FALSE)</f>
        <v>#REF!</v>
      </c>
    </row>
    <row r="1024" spans="1:25" ht="17.899999999999999" hidden="1" customHeight="1">
      <c r="A1024" t="str">
        <f>+Table1[[#This Row],[Tabela]]&amp;Table1[[#This Row],[Campo]]</f>
        <v>modesg_inp_nfrd_alinhamento_taxccm_capex_ttl_elgbl</v>
      </c>
      <c r="B1024" s="12" t="s">
        <v>26</v>
      </c>
      <c r="C1024" s="12" t="s">
        <v>181</v>
      </c>
      <c r="D1024" s="12" t="s">
        <v>1225</v>
      </c>
      <c r="E1024" s="2" t="s">
        <v>38</v>
      </c>
      <c r="F1024" s="12" t="s">
        <v>215</v>
      </c>
      <c r="G1024" s="12" t="s">
        <v>255</v>
      </c>
      <c r="H1024" s="57" t="str">
        <f>Table1[[#This Row],[Tabela]]&amp;Table1[[#This Row],[Campo]]</f>
        <v>modesg_inp_nfrd_alinhamento_taxccm_capex_ttl_elgbl</v>
      </c>
      <c r="I1024" s="2" t="s">
        <v>612</v>
      </c>
      <c r="J1024" s="45">
        <f>VLOOKUP(Table1[[#This Row],[Status]],Auxiliar!$B$16:$C$24,2,0)</f>
        <v>1</v>
      </c>
      <c r="K1024" s="20" t="s">
        <v>1179</v>
      </c>
      <c r="L1024" s="27"/>
      <c r="M1024" s="20" t="s">
        <v>1176</v>
      </c>
      <c r="N1024" s="47">
        <v>45540</v>
      </c>
      <c r="O1024" s="20">
        <f>INDEX(Auxiliar!$D$5:$F$13,MATCH(Table1[[#This Row],[Tipologia_Testes]],Auxiliar!$B$5:$B$13,0),MATCH(Table1[[#This Row],[Complexidade]],Auxiliar!$D$4:$F$4,0))</f>
        <v>0.5</v>
      </c>
      <c r="P1024" s="2"/>
      <c r="Q1024" s="2"/>
      <c r="R1024" s="151">
        <v>45261</v>
      </c>
      <c r="S1024" s="151"/>
      <c r="T1024" s="151"/>
      <c r="U1024" s="151">
        <v>45603</v>
      </c>
      <c r="V1024" s="151">
        <v>45534</v>
      </c>
      <c r="W1024" s="2">
        <f>VLOOKUP(Table1[[#This Row],[Status]],Auxiliar!$B$16:$D$24,3,0)*Table1[[#This Row],[Estimação (horas)]]</f>
        <v>0.5</v>
      </c>
      <c r="X1024" s="165">
        <f>+VLOOKUP(CONCATENATE(Table1[[#This Row],[Tabela]],Table1[[#This Row],[Campo]]),'2. Status Detalhe Campos FY24'!A:J,9,FALSE)</f>
        <v>0</v>
      </c>
      <c r="Y1024" s="491" t="e">
        <f>+VLOOKUP(A1024,#REF!,1,FALSE)</f>
        <v>#REF!</v>
      </c>
    </row>
    <row r="1025" spans="1:25" ht="17.899999999999999" hidden="1" customHeight="1">
      <c r="A1025" t="str">
        <f>+Table1[[#This Row],[Tabela]]&amp;Table1[[#This Row],[Campo]]</f>
        <v>modesg_inp_nfrd_alinhamento_taxccm_capex_enblng_algnd</v>
      </c>
      <c r="B1025" s="12" t="s">
        <v>26</v>
      </c>
      <c r="C1025" s="12" t="s">
        <v>181</v>
      </c>
      <c r="D1025" s="12" t="s">
        <v>1225</v>
      </c>
      <c r="E1025" s="2" t="s">
        <v>38</v>
      </c>
      <c r="F1025" s="12" t="s">
        <v>215</v>
      </c>
      <c r="G1025" s="12" t="s">
        <v>256</v>
      </c>
      <c r="H1025" s="57" t="str">
        <f>Table1[[#This Row],[Tabela]]&amp;Table1[[#This Row],[Campo]]</f>
        <v>modesg_inp_nfrd_alinhamento_taxccm_capex_enblng_algnd</v>
      </c>
      <c r="I1025" s="2" t="s">
        <v>612</v>
      </c>
      <c r="J1025" s="45">
        <f>VLOOKUP(Table1[[#This Row],[Status]],Auxiliar!$B$16:$C$24,2,0)</f>
        <v>1</v>
      </c>
      <c r="K1025" s="20" t="s">
        <v>1171</v>
      </c>
      <c r="L1025" s="27"/>
      <c r="M1025" s="20" t="s">
        <v>1176</v>
      </c>
      <c r="N1025" s="47">
        <v>45540</v>
      </c>
      <c r="O1025" s="20">
        <f>INDEX(Auxiliar!$D$5:$F$13,MATCH(Table1[[#This Row],[Tipologia_Testes]],Auxiliar!$B$5:$B$13,0),MATCH(Table1[[#This Row],[Complexidade]],Auxiliar!$D$4:$F$4,0))</f>
        <v>0.1</v>
      </c>
      <c r="P1025" s="2" t="s">
        <v>1239</v>
      </c>
      <c r="Q1025" s="2"/>
      <c r="R1025" s="151">
        <v>45261</v>
      </c>
      <c r="S1025" s="151"/>
      <c r="T1025" s="151"/>
      <c r="U1025" s="151">
        <v>45603</v>
      </c>
      <c r="V1025" s="151">
        <v>45534</v>
      </c>
      <c r="W1025" s="2">
        <f>VLOOKUP(Table1[[#This Row],[Status]],Auxiliar!$B$16:$D$24,3,0)*Table1[[#This Row],[Estimação (horas)]]</f>
        <v>0.1</v>
      </c>
      <c r="X1025" s="165">
        <f>+VLOOKUP(CONCATENATE(Table1[[#This Row],[Tabela]],Table1[[#This Row],[Campo]]),'2. Status Detalhe Campos FY24'!A:J,9,FALSE)</f>
        <v>0</v>
      </c>
      <c r="Y1025" s="491" t="e">
        <f>+VLOOKUP(A1025,#REF!,1,FALSE)</f>
        <v>#REF!</v>
      </c>
    </row>
    <row r="1026" spans="1:25" ht="17.899999999999999" hidden="1" customHeight="1">
      <c r="A1026" t="str">
        <f>+Table1[[#This Row],[Tabela]]&amp;Table1[[#This Row],[Campo]]</f>
        <v>modesg_inp_nfrd_alinhamento_taxccm_capex_enblng_algnd</v>
      </c>
      <c r="B1026" s="12" t="s">
        <v>26</v>
      </c>
      <c r="C1026" s="12" t="s">
        <v>181</v>
      </c>
      <c r="D1026" s="12" t="s">
        <v>1225</v>
      </c>
      <c r="E1026" s="2" t="s">
        <v>38</v>
      </c>
      <c r="F1026" s="12" t="s">
        <v>215</v>
      </c>
      <c r="G1026" s="12" t="s">
        <v>256</v>
      </c>
      <c r="H1026" s="57" t="str">
        <f>Table1[[#This Row],[Tabela]]&amp;Table1[[#This Row],[Campo]]</f>
        <v>modesg_inp_nfrd_alinhamento_taxccm_capex_enblng_algnd</v>
      </c>
      <c r="I1026" s="2" t="s">
        <v>612</v>
      </c>
      <c r="J1026" s="45">
        <f>VLOOKUP(Table1[[#This Row],[Status]],Auxiliar!$B$16:$C$24,2,0)</f>
        <v>1</v>
      </c>
      <c r="K1026" s="20" t="s">
        <v>1179</v>
      </c>
      <c r="L1026" s="27"/>
      <c r="M1026" s="20" t="s">
        <v>1176</v>
      </c>
      <c r="N1026" s="47">
        <v>45540</v>
      </c>
      <c r="O1026" s="20">
        <f>INDEX(Auxiliar!$D$5:$F$13,MATCH(Table1[[#This Row],[Tipologia_Testes]],Auxiliar!$B$5:$B$13,0),MATCH(Table1[[#This Row],[Complexidade]],Auxiliar!$D$4:$F$4,0))</f>
        <v>0.5</v>
      </c>
      <c r="P1026" s="2"/>
      <c r="Q1026" s="2"/>
      <c r="R1026" s="151">
        <v>45261</v>
      </c>
      <c r="S1026" s="151"/>
      <c r="T1026" s="151"/>
      <c r="U1026" s="151">
        <v>45603</v>
      </c>
      <c r="V1026" s="151">
        <v>45534</v>
      </c>
      <c r="W1026" s="2">
        <f>VLOOKUP(Table1[[#This Row],[Status]],Auxiliar!$B$16:$D$24,3,0)*Table1[[#This Row],[Estimação (horas)]]</f>
        <v>0.5</v>
      </c>
      <c r="X1026" s="165">
        <f>+VLOOKUP(CONCATENATE(Table1[[#This Row],[Tabela]],Table1[[#This Row],[Campo]]),'2. Status Detalhe Campos FY24'!A:J,9,FALSE)</f>
        <v>0</v>
      </c>
      <c r="Y1026" s="491" t="e">
        <f>+VLOOKUP(A1026,#REF!,1,FALSE)</f>
        <v>#REF!</v>
      </c>
    </row>
    <row r="1027" spans="1:25" ht="17.899999999999999" hidden="1" customHeight="1">
      <c r="A1027" t="str">
        <f>+Table1[[#This Row],[Tabela]]&amp;Table1[[#This Row],[Campo]]</f>
        <v>modesg_inp_nfrd_alinhamento_taxccm_capex_trnstn_algnd</v>
      </c>
      <c r="B1027" s="12" t="s">
        <v>26</v>
      </c>
      <c r="C1027" s="12" t="s">
        <v>181</v>
      </c>
      <c r="D1027" s="12" t="s">
        <v>1225</v>
      </c>
      <c r="E1027" s="2" t="s">
        <v>38</v>
      </c>
      <c r="F1027" s="12" t="s">
        <v>215</v>
      </c>
      <c r="G1027" s="12" t="s">
        <v>257</v>
      </c>
      <c r="H1027" s="57" t="str">
        <f>Table1[[#This Row],[Tabela]]&amp;Table1[[#This Row],[Campo]]</f>
        <v>modesg_inp_nfrd_alinhamento_taxccm_capex_trnstn_algnd</v>
      </c>
      <c r="I1027" s="2" t="s">
        <v>612</v>
      </c>
      <c r="J1027" s="45">
        <f>VLOOKUP(Table1[[#This Row],[Status]],Auxiliar!$B$16:$C$24,2,0)</f>
        <v>1</v>
      </c>
      <c r="K1027" s="20" t="s">
        <v>1171</v>
      </c>
      <c r="L1027" s="27"/>
      <c r="M1027" s="20" t="s">
        <v>1176</v>
      </c>
      <c r="N1027" s="47">
        <v>45540</v>
      </c>
      <c r="O1027" s="20">
        <f>INDEX(Auxiliar!$D$5:$F$13,MATCH(Table1[[#This Row],[Tipologia_Testes]],Auxiliar!$B$5:$B$13,0),MATCH(Table1[[#This Row],[Complexidade]],Auxiliar!$D$4:$F$4,0))</f>
        <v>0.1</v>
      </c>
      <c r="P1027" s="2" t="s">
        <v>1239</v>
      </c>
      <c r="Q1027" s="2"/>
      <c r="R1027" s="151">
        <v>45261</v>
      </c>
      <c r="S1027" s="151"/>
      <c r="T1027" s="151"/>
      <c r="U1027" s="151">
        <v>45603</v>
      </c>
      <c r="V1027" s="151">
        <v>45534</v>
      </c>
      <c r="W1027" s="2">
        <f>VLOOKUP(Table1[[#This Row],[Status]],Auxiliar!$B$16:$D$24,3,0)*Table1[[#This Row],[Estimação (horas)]]</f>
        <v>0.1</v>
      </c>
      <c r="X1027" s="165">
        <f>+VLOOKUP(CONCATENATE(Table1[[#This Row],[Tabela]],Table1[[#This Row],[Campo]]),'2. Status Detalhe Campos FY24'!A:J,9,FALSE)</f>
        <v>0</v>
      </c>
      <c r="Y1027" s="491" t="e">
        <f>+VLOOKUP(A1027,#REF!,1,FALSE)</f>
        <v>#REF!</v>
      </c>
    </row>
    <row r="1028" spans="1:25" ht="17.899999999999999" hidden="1" customHeight="1">
      <c r="A1028" t="str">
        <f>+Table1[[#This Row],[Tabela]]&amp;Table1[[#This Row],[Campo]]</f>
        <v>modesg_inp_nfrd_alinhamento_taxccm_capex_trnstn_algnd</v>
      </c>
      <c r="B1028" s="12" t="s">
        <v>26</v>
      </c>
      <c r="C1028" s="12" t="s">
        <v>181</v>
      </c>
      <c r="D1028" s="12" t="s">
        <v>1225</v>
      </c>
      <c r="E1028" s="2" t="s">
        <v>38</v>
      </c>
      <c r="F1028" s="12" t="s">
        <v>215</v>
      </c>
      <c r="G1028" s="12" t="s">
        <v>257</v>
      </c>
      <c r="H1028" s="57" t="str">
        <f>Table1[[#This Row],[Tabela]]&amp;Table1[[#This Row],[Campo]]</f>
        <v>modesg_inp_nfrd_alinhamento_taxccm_capex_trnstn_algnd</v>
      </c>
      <c r="I1028" s="2" t="s">
        <v>612</v>
      </c>
      <c r="J1028" s="45">
        <f>VLOOKUP(Table1[[#This Row],[Status]],Auxiliar!$B$16:$C$24,2,0)</f>
        <v>1</v>
      </c>
      <c r="K1028" s="20" t="s">
        <v>1179</v>
      </c>
      <c r="L1028" s="27"/>
      <c r="M1028" s="20" t="s">
        <v>1176</v>
      </c>
      <c r="N1028" s="47">
        <v>45540</v>
      </c>
      <c r="O1028" s="20">
        <f>INDEX(Auxiliar!$D$5:$F$13,MATCH(Table1[[#This Row],[Tipologia_Testes]],Auxiliar!$B$5:$B$13,0),MATCH(Table1[[#This Row],[Complexidade]],Auxiliar!$D$4:$F$4,0))</f>
        <v>0.5</v>
      </c>
      <c r="P1028" s="2"/>
      <c r="Q1028" s="2"/>
      <c r="R1028" s="151">
        <v>45261</v>
      </c>
      <c r="S1028" s="151"/>
      <c r="T1028" s="151"/>
      <c r="U1028" s="151">
        <v>45603</v>
      </c>
      <c r="V1028" s="151">
        <v>45534</v>
      </c>
      <c r="W1028" s="2">
        <f>VLOOKUP(Table1[[#This Row],[Status]],Auxiliar!$B$16:$D$24,3,0)*Table1[[#This Row],[Estimação (horas)]]</f>
        <v>0.5</v>
      </c>
      <c r="X1028" s="165">
        <f>+VLOOKUP(CONCATENATE(Table1[[#This Row],[Tabela]],Table1[[#This Row],[Campo]]),'2. Status Detalhe Campos FY24'!A:J,9,FALSE)</f>
        <v>0</v>
      </c>
      <c r="Y1028" s="491" t="e">
        <f>+VLOOKUP(A1028,#REF!,1,FALSE)</f>
        <v>#REF!</v>
      </c>
    </row>
    <row r="1029" spans="1:25" ht="17.899999999999999" hidden="1" customHeight="1">
      <c r="A1029" t="str">
        <f>+Table1[[#This Row],[Tabela]]&amp;Table1[[#This Row],[Campo]]</f>
        <v>modesg_inp_nfrd_alinhamento_taxccm_capex_own_prfrmnce_algnd</v>
      </c>
      <c r="B1029" s="12" t="s">
        <v>26</v>
      </c>
      <c r="C1029" s="12" t="s">
        <v>181</v>
      </c>
      <c r="D1029" s="12" t="s">
        <v>1225</v>
      </c>
      <c r="E1029" s="2" t="s">
        <v>38</v>
      </c>
      <c r="F1029" s="12" t="s">
        <v>215</v>
      </c>
      <c r="G1029" s="12" t="s">
        <v>258</v>
      </c>
      <c r="H1029" s="57" t="str">
        <f>Table1[[#This Row],[Tabela]]&amp;Table1[[#This Row],[Campo]]</f>
        <v>modesg_inp_nfrd_alinhamento_taxccm_capex_own_prfrmnce_algnd</v>
      </c>
      <c r="I1029" s="2" t="s">
        <v>612</v>
      </c>
      <c r="J1029" s="45">
        <f>VLOOKUP(Table1[[#This Row],[Status]],Auxiliar!$B$16:$C$24,2,0)</f>
        <v>1</v>
      </c>
      <c r="K1029" s="20" t="s">
        <v>1171</v>
      </c>
      <c r="L1029" s="27"/>
      <c r="M1029" s="20" t="s">
        <v>1176</v>
      </c>
      <c r="N1029" s="47">
        <v>45540</v>
      </c>
      <c r="O1029" s="20">
        <f>INDEX(Auxiliar!$D$5:$F$13,MATCH(Table1[[#This Row],[Tipologia_Testes]],Auxiliar!$B$5:$B$13,0),MATCH(Table1[[#This Row],[Complexidade]],Auxiliar!$D$4:$F$4,0))</f>
        <v>0.1</v>
      </c>
      <c r="P1029" s="2" t="s">
        <v>1240</v>
      </c>
      <c r="Q1029" s="2"/>
      <c r="R1029" s="151">
        <v>45261</v>
      </c>
      <c r="S1029" s="151"/>
      <c r="T1029" s="151"/>
      <c r="U1029" s="151">
        <v>45603</v>
      </c>
      <c r="V1029" s="151">
        <v>45534</v>
      </c>
      <c r="W1029" s="2">
        <f>VLOOKUP(Table1[[#This Row],[Status]],Auxiliar!$B$16:$D$24,3,0)*Table1[[#This Row],[Estimação (horas)]]</f>
        <v>0.1</v>
      </c>
      <c r="X1029" s="165">
        <f>+VLOOKUP(CONCATENATE(Table1[[#This Row],[Tabela]],Table1[[#This Row],[Campo]]),'2. Status Detalhe Campos FY24'!A:J,9,FALSE)</f>
        <v>0</v>
      </c>
      <c r="Y1029" s="491" t="e">
        <f>+VLOOKUP(A1029,#REF!,1,FALSE)</f>
        <v>#REF!</v>
      </c>
    </row>
    <row r="1030" spans="1:25" ht="17.899999999999999" hidden="1" customHeight="1">
      <c r="A1030" t="str">
        <f>+Table1[[#This Row],[Tabela]]&amp;Table1[[#This Row],[Campo]]</f>
        <v>modesg_inp_nfrd_alinhamento_taxccm_capex_own_prfrmnce_algnd</v>
      </c>
      <c r="B1030" s="12" t="s">
        <v>26</v>
      </c>
      <c r="C1030" s="12" t="s">
        <v>181</v>
      </c>
      <c r="D1030" s="12" t="s">
        <v>1225</v>
      </c>
      <c r="E1030" s="2" t="s">
        <v>38</v>
      </c>
      <c r="F1030" s="12" t="s">
        <v>215</v>
      </c>
      <c r="G1030" s="12" t="s">
        <v>258</v>
      </c>
      <c r="H1030" s="57" t="str">
        <f>Table1[[#This Row],[Tabela]]&amp;Table1[[#This Row],[Campo]]</f>
        <v>modesg_inp_nfrd_alinhamento_taxccm_capex_own_prfrmnce_algnd</v>
      </c>
      <c r="I1030" s="2" t="s">
        <v>612</v>
      </c>
      <c r="J1030" s="45">
        <f>VLOOKUP(Table1[[#This Row],[Status]],Auxiliar!$B$16:$C$24,2,0)</f>
        <v>1</v>
      </c>
      <c r="K1030" s="20" t="s">
        <v>1179</v>
      </c>
      <c r="L1030" s="27"/>
      <c r="M1030" s="20" t="s">
        <v>1176</v>
      </c>
      <c r="N1030" s="47">
        <v>45540</v>
      </c>
      <c r="O1030" s="20">
        <f>INDEX(Auxiliar!$D$5:$F$13,MATCH(Table1[[#This Row],[Tipologia_Testes]],Auxiliar!$B$5:$B$13,0),MATCH(Table1[[#This Row],[Complexidade]],Auxiliar!$D$4:$F$4,0))</f>
        <v>0.5</v>
      </c>
      <c r="P1030" s="2"/>
      <c r="Q1030" s="2"/>
      <c r="R1030" s="151">
        <v>45261</v>
      </c>
      <c r="S1030" s="151"/>
      <c r="T1030" s="151"/>
      <c r="U1030" s="151">
        <v>45603</v>
      </c>
      <c r="V1030" s="151">
        <v>45534</v>
      </c>
      <c r="W1030" s="2">
        <f>VLOOKUP(Table1[[#This Row],[Status]],Auxiliar!$B$16:$D$24,3,0)*Table1[[#This Row],[Estimação (horas)]]</f>
        <v>0.5</v>
      </c>
      <c r="X1030" s="165">
        <f>+VLOOKUP(CONCATENATE(Table1[[#This Row],[Tabela]],Table1[[#This Row],[Campo]]),'2. Status Detalhe Campos FY24'!A:J,9,FALSE)</f>
        <v>0</v>
      </c>
      <c r="Y1030" s="491" t="e">
        <f>+VLOOKUP(A1030,#REF!,1,FALSE)</f>
        <v>#REF!</v>
      </c>
    </row>
    <row r="1031" spans="1:25" ht="17.899999999999999" hidden="1" customHeight="1">
      <c r="A1031" t="str">
        <f>+Table1[[#This Row],[Tabela]]&amp;Table1[[#This Row],[Campo]]</f>
        <v>modesg_inp_nfrd_alinhamento_taxppc_trnvr_ttl_elgbl</v>
      </c>
      <c r="B1031" s="12" t="s">
        <v>26</v>
      </c>
      <c r="C1031" s="12" t="s">
        <v>181</v>
      </c>
      <c r="D1031" s="12" t="s">
        <v>1225</v>
      </c>
      <c r="E1031" s="2" t="s">
        <v>38</v>
      </c>
      <c r="F1031" s="12" t="s">
        <v>215</v>
      </c>
      <c r="G1031" s="12" t="s">
        <v>259</v>
      </c>
      <c r="H1031" s="57" t="str">
        <f>Table1[[#This Row],[Tabela]]&amp;Table1[[#This Row],[Campo]]</f>
        <v>modesg_inp_nfrd_alinhamento_taxppc_trnvr_ttl_elgbl</v>
      </c>
      <c r="I1031" s="2" t="s">
        <v>612</v>
      </c>
      <c r="J1031" s="45">
        <f>VLOOKUP(Table1[[#This Row],[Status]],Auxiliar!$B$16:$C$24,2,0)</f>
        <v>1</v>
      </c>
      <c r="K1031" s="20" t="s">
        <v>1171</v>
      </c>
      <c r="L1031" s="2" t="s">
        <v>641</v>
      </c>
      <c r="M1031" s="20" t="s">
        <v>1176</v>
      </c>
      <c r="N1031" s="47">
        <v>45540</v>
      </c>
      <c r="O1031" s="20">
        <f>INDEX(Auxiliar!$D$5:$F$13,MATCH(Table1[[#This Row],[Tipologia_Testes]],Auxiliar!$B$5:$B$13,0),MATCH(Table1[[#This Row],[Complexidade]],Auxiliar!$D$4:$F$4,0))</f>
        <v>0.1</v>
      </c>
      <c r="P1031" s="2" t="s">
        <v>1241</v>
      </c>
      <c r="Q1031" s="2"/>
      <c r="R1031" s="151">
        <v>45261</v>
      </c>
      <c r="S1031" s="151"/>
      <c r="T1031" s="151"/>
      <c r="U1031" s="151">
        <v>45603</v>
      </c>
      <c r="V1031" s="151">
        <v>45534</v>
      </c>
      <c r="W1031" s="2">
        <f>VLOOKUP(Table1[[#This Row],[Status]],Auxiliar!$B$16:$D$24,3,0)*Table1[[#This Row],[Estimação (horas)]]</f>
        <v>0.1</v>
      </c>
      <c r="X1031" s="165">
        <f>+VLOOKUP(CONCATENATE(Table1[[#This Row],[Tabela]],Table1[[#This Row],[Campo]]),'2. Status Detalhe Campos FY24'!A:J,9,FALSE)</f>
        <v>0</v>
      </c>
      <c r="Y1031" s="491" t="e">
        <f>+VLOOKUP(A1031,#REF!,1,FALSE)</f>
        <v>#REF!</v>
      </c>
    </row>
    <row r="1032" spans="1:25" ht="17.899999999999999" hidden="1" customHeight="1">
      <c r="A1032" t="str">
        <f>+Table1[[#This Row],[Tabela]]&amp;Table1[[#This Row],[Campo]]</f>
        <v>modesg_inp_nfrd_alinhamento_taxppc_trnvr_ttl_elgbl</v>
      </c>
      <c r="B1032" s="12" t="s">
        <v>26</v>
      </c>
      <c r="C1032" s="12" t="s">
        <v>181</v>
      </c>
      <c r="D1032" s="12" t="s">
        <v>1225</v>
      </c>
      <c r="E1032" s="2" t="s">
        <v>38</v>
      </c>
      <c r="F1032" s="12" t="s">
        <v>215</v>
      </c>
      <c r="G1032" s="12" t="s">
        <v>259</v>
      </c>
      <c r="H1032" s="57" t="str">
        <f>Table1[[#This Row],[Tabela]]&amp;Table1[[#This Row],[Campo]]</f>
        <v>modesg_inp_nfrd_alinhamento_taxppc_trnvr_ttl_elgbl</v>
      </c>
      <c r="I1032" s="2" t="s">
        <v>612</v>
      </c>
      <c r="J1032" s="45">
        <f>VLOOKUP(Table1[[#This Row],[Status]],Auxiliar!$B$16:$C$24,2,0)</f>
        <v>1</v>
      </c>
      <c r="K1032" s="20" t="s">
        <v>1179</v>
      </c>
      <c r="L1032" s="2" t="s">
        <v>641</v>
      </c>
      <c r="M1032" s="20" t="s">
        <v>1176</v>
      </c>
      <c r="N1032" s="47">
        <v>45540</v>
      </c>
      <c r="O1032" s="20">
        <f>INDEX(Auxiliar!$D$5:$F$13,MATCH(Table1[[#This Row],[Tipologia_Testes]],Auxiliar!$B$5:$B$13,0),MATCH(Table1[[#This Row],[Complexidade]],Auxiliar!$D$4:$F$4,0))</f>
        <v>0.5</v>
      </c>
      <c r="P1032" s="2"/>
      <c r="Q1032" s="2"/>
      <c r="R1032" s="151">
        <v>45261</v>
      </c>
      <c r="S1032" s="151"/>
      <c r="T1032" s="151"/>
      <c r="U1032" s="151">
        <v>45603</v>
      </c>
      <c r="V1032" s="151">
        <v>45534</v>
      </c>
      <c r="W1032" s="2">
        <f>VLOOKUP(Table1[[#This Row],[Status]],Auxiliar!$B$16:$D$24,3,0)*Table1[[#This Row],[Estimação (horas)]]</f>
        <v>0.5</v>
      </c>
      <c r="X1032" s="165">
        <f>+VLOOKUP(CONCATENATE(Table1[[#This Row],[Tabela]],Table1[[#This Row],[Campo]]),'2. Status Detalhe Campos FY24'!A:J,9,FALSE)</f>
        <v>0</v>
      </c>
      <c r="Y1032" s="491" t="e">
        <f>+VLOOKUP(A1032,#REF!,1,FALSE)</f>
        <v>#REF!</v>
      </c>
    </row>
    <row r="1033" spans="1:25" ht="17.899999999999999" hidden="1" customHeight="1">
      <c r="A1033" t="str">
        <f>+Table1[[#This Row],[Tabela]]&amp;Table1[[#This Row],[Campo]]</f>
        <v>modesg_inp_nfrd_alinhamento_taxppc_turnover_own_prfrmnce_algnd</v>
      </c>
      <c r="B1033" s="12" t="s">
        <v>26</v>
      </c>
      <c r="C1033" s="12" t="s">
        <v>181</v>
      </c>
      <c r="D1033" s="12" t="s">
        <v>1225</v>
      </c>
      <c r="E1033" s="2" t="s">
        <v>38</v>
      </c>
      <c r="F1033" s="12" t="s">
        <v>215</v>
      </c>
      <c r="G1033" s="12" t="s">
        <v>260</v>
      </c>
      <c r="H1033" s="57" t="str">
        <f>Table1[[#This Row],[Tabela]]&amp;Table1[[#This Row],[Campo]]</f>
        <v>modesg_inp_nfrd_alinhamento_taxppc_turnover_own_prfrmnce_algnd</v>
      </c>
      <c r="I1033" s="2" t="s">
        <v>612</v>
      </c>
      <c r="J1033" s="45">
        <f>VLOOKUP(Table1[[#This Row],[Status]],Auxiliar!$B$16:$C$24,2,0)</f>
        <v>1</v>
      </c>
      <c r="K1033" s="20" t="s">
        <v>1171</v>
      </c>
      <c r="L1033" s="2" t="s">
        <v>641</v>
      </c>
      <c r="M1033" s="20" t="s">
        <v>1176</v>
      </c>
      <c r="N1033" s="47">
        <v>45540</v>
      </c>
      <c r="O1033" s="20">
        <f>INDEX(Auxiliar!$D$5:$F$13,MATCH(Table1[[#This Row],[Tipologia_Testes]],Auxiliar!$B$5:$B$13,0),MATCH(Table1[[#This Row],[Complexidade]],Auxiliar!$D$4:$F$4,0))</f>
        <v>0.1</v>
      </c>
      <c r="P1033" s="2" t="s">
        <v>1241</v>
      </c>
      <c r="Q1033" s="2"/>
      <c r="R1033" s="151">
        <v>45261</v>
      </c>
      <c r="S1033" s="151"/>
      <c r="T1033" s="151"/>
      <c r="U1033" s="151">
        <v>45603</v>
      </c>
      <c r="V1033" s="151">
        <v>45534</v>
      </c>
      <c r="W1033" s="2">
        <f>VLOOKUP(Table1[[#This Row],[Status]],Auxiliar!$B$16:$D$24,3,0)*Table1[[#This Row],[Estimação (horas)]]</f>
        <v>0.1</v>
      </c>
      <c r="X1033" s="165">
        <f>+VLOOKUP(CONCATENATE(Table1[[#This Row],[Tabela]],Table1[[#This Row],[Campo]]),'2. Status Detalhe Campos FY24'!A:J,9,FALSE)</f>
        <v>0</v>
      </c>
      <c r="Y1033" s="491" t="e">
        <f>+VLOOKUP(A1033,#REF!,1,FALSE)</f>
        <v>#REF!</v>
      </c>
    </row>
    <row r="1034" spans="1:25" ht="17.899999999999999" hidden="1" customHeight="1">
      <c r="A1034" t="str">
        <f>+Table1[[#This Row],[Tabela]]&amp;Table1[[#This Row],[Campo]]</f>
        <v>modesg_inp_nfrd_alinhamento_taxppc_turnover_own_prfrmnce_algnd</v>
      </c>
      <c r="B1034" s="12" t="s">
        <v>26</v>
      </c>
      <c r="C1034" s="12" t="s">
        <v>181</v>
      </c>
      <c r="D1034" s="12" t="s">
        <v>1225</v>
      </c>
      <c r="E1034" s="2" t="s">
        <v>38</v>
      </c>
      <c r="F1034" s="12" t="s">
        <v>215</v>
      </c>
      <c r="G1034" s="12" t="s">
        <v>260</v>
      </c>
      <c r="H1034" s="57" t="str">
        <f>Table1[[#This Row],[Tabela]]&amp;Table1[[#This Row],[Campo]]</f>
        <v>modesg_inp_nfrd_alinhamento_taxppc_turnover_own_prfrmnce_algnd</v>
      </c>
      <c r="I1034" s="2" t="s">
        <v>612</v>
      </c>
      <c r="J1034" s="45">
        <f>VLOOKUP(Table1[[#This Row],[Status]],Auxiliar!$B$16:$C$24,2,0)</f>
        <v>1</v>
      </c>
      <c r="K1034" s="20" t="s">
        <v>1179</v>
      </c>
      <c r="L1034" s="2" t="s">
        <v>641</v>
      </c>
      <c r="M1034" s="20" t="s">
        <v>1176</v>
      </c>
      <c r="N1034" s="47">
        <v>45540</v>
      </c>
      <c r="O1034" s="20">
        <f>INDEX(Auxiliar!$D$5:$F$13,MATCH(Table1[[#This Row],[Tipologia_Testes]],Auxiliar!$B$5:$B$13,0),MATCH(Table1[[#This Row],[Complexidade]],Auxiliar!$D$4:$F$4,0))</f>
        <v>0.5</v>
      </c>
      <c r="P1034" s="2"/>
      <c r="Q1034" s="2"/>
      <c r="R1034" s="151">
        <v>45261</v>
      </c>
      <c r="S1034" s="151"/>
      <c r="T1034" s="151"/>
      <c r="U1034" s="151">
        <v>45603</v>
      </c>
      <c r="V1034" s="151">
        <v>45534</v>
      </c>
      <c r="W1034" s="2">
        <f>VLOOKUP(Table1[[#This Row],[Status]],Auxiliar!$B$16:$D$24,3,0)*Table1[[#This Row],[Estimação (horas)]]</f>
        <v>0.5</v>
      </c>
      <c r="X1034" s="165">
        <f>+VLOOKUP(CONCATENATE(Table1[[#This Row],[Tabela]],Table1[[#This Row],[Campo]]),'2. Status Detalhe Campos FY24'!A:J,9,FALSE)</f>
        <v>0</v>
      </c>
      <c r="Y1034" s="491" t="e">
        <f>+VLOOKUP(A1034,#REF!,1,FALSE)</f>
        <v>#REF!</v>
      </c>
    </row>
    <row r="1035" spans="1:25" ht="17.899999999999999" hidden="1" customHeight="1">
      <c r="A1035" t="str">
        <f>+Table1[[#This Row],[Tabela]]&amp;Table1[[#This Row],[Campo]]</f>
        <v>modesg_inp_nfrd_alinhamento_taxppc_capex_ttl_elgbl</v>
      </c>
      <c r="B1035" s="12" t="s">
        <v>26</v>
      </c>
      <c r="C1035" s="12" t="s">
        <v>181</v>
      </c>
      <c r="D1035" s="12" t="s">
        <v>1225</v>
      </c>
      <c r="E1035" s="2" t="s">
        <v>38</v>
      </c>
      <c r="F1035" s="12" t="s">
        <v>215</v>
      </c>
      <c r="G1035" s="12" t="s">
        <v>261</v>
      </c>
      <c r="H1035" s="57" t="str">
        <f>Table1[[#This Row],[Tabela]]&amp;Table1[[#This Row],[Campo]]</f>
        <v>modesg_inp_nfrd_alinhamento_taxppc_capex_ttl_elgbl</v>
      </c>
      <c r="I1035" s="2" t="s">
        <v>612</v>
      </c>
      <c r="J1035" s="45">
        <f>VLOOKUP(Table1[[#This Row],[Status]],Auxiliar!$B$16:$C$24,2,0)</f>
        <v>1</v>
      </c>
      <c r="K1035" s="20" t="s">
        <v>1171</v>
      </c>
      <c r="L1035" s="2" t="s">
        <v>641</v>
      </c>
      <c r="M1035" s="20" t="s">
        <v>1176</v>
      </c>
      <c r="N1035" s="47">
        <v>45540</v>
      </c>
      <c r="O1035" s="20">
        <f>INDEX(Auxiliar!$D$5:$F$13,MATCH(Table1[[#This Row],[Tipologia_Testes]],Auxiliar!$B$5:$B$13,0),MATCH(Table1[[#This Row],[Complexidade]],Auxiliar!$D$4:$F$4,0))</f>
        <v>0.1</v>
      </c>
      <c r="P1035" s="2" t="s">
        <v>1241</v>
      </c>
      <c r="Q1035" s="2"/>
      <c r="R1035" s="151">
        <v>45261</v>
      </c>
      <c r="S1035" s="151"/>
      <c r="T1035" s="151"/>
      <c r="U1035" s="151">
        <v>45603</v>
      </c>
      <c r="V1035" s="151">
        <v>45534</v>
      </c>
      <c r="W1035" s="2">
        <f>VLOOKUP(Table1[[#This Row],[Status]],Auxiliar!$B$16:$D$24,3,0)*Table1[[#This Row],[Estimação (horas)]]</f>
        <v>0.1</v>
      </c>
      <c r="X1035" s="165">
        <f>+VLOOKUP(CONCATENATE(Table1[[#This Row],[Tabela]],Table1[[#This Row],[Campo]]),'2. Status Detalhe Campos FY24'!A:J,9,FALSE)</f>
        <v>0</v>
      </c>
      <c r="Y1035" s="491" t="e">
        <f>+VLOOKUP(A1035,#REF!,1,FALSE)</f>
        <v>#REF!</v>
      </c>
    </row>
    <row r="1036" spans="1:25" ht="17.899999999999999" hidden="1" customHeight="1">
      <c r="A1036" t="str">
        <f>+Table1[[#This Row],[Tabela]]&amp;Table1[[#This Row],[Campo]]</f>
        <v>modesg_inp_nfrd_alinhamento_taxppc_capex_ttl_elgbl</v>
      </c>
      <c r="B1036" s="12" t="s">
        <v>26</v>
      </c>
      <c r="C1036" s="12" t="s">
        <v>181</v>
      </c>
      <c r="D1036" s="12" t="s">
        <v>1225</v>
      </c>
      <c r="E1036" s="2" t="s">
        <v>38</v>
      </c>
      <c r="F1036" s="12" t="s">
        <v>215</v>
      </c>
      <c r="G1036" s="12" t="s">
        <v>261</v>
      </c>
      <c r="H1036" s="57" t="str">
        <f>Table1[[#This Row],[Tabela]]&amp;Table1[[#This Row],[Campo]]</f>
        <v>modesg_inp_nfrd_alinhamento_taxppc_capex_ttl_elgbl</v>
      </c>
      <c r="I1036" s="2" t="s">
        <v>612</v>
      </c>
      <c r="J1036" s="45">
        <f>VLOOKUP(Table1[[#This Row],[Status]],Auxiliar!$B$16:$C$24,2,0)</f>
        <v>1</v>
      </c>
      <c r="K1036" s="20" t="s">
        <v>1179</v>
      </c>
      <c r="L1036" s="2" t="s">
        <v>641</v>
      </c>
      <c r="M1036" s="20" t="s">
        <v>1176</v>
      </c>
      <c r="N1036" s="47">
        <v>45540</v>
      </c>
      <c r="O1036" s="20">
        <f>INDEX(Auxiliar!$D$5:$F$13,MATCH(Table1[[#This Row],[Tipologia_Testes]],Auxiliar!$B$5:$B$13,0),MATCH(Table1[[#This Row],[Complexidade]],Auxiliar!$D$4:$F$4,0))</f>
        <v>0.5</v>
      </c>
      <c r="P1036" s="2"/>
      <c r="Q1036" s="2"/>
      <c r="R1036" s="151">
        <v>45261</v>
      </c>
      <c r="S1036" s="151"/>
      <c r="T1036" s="151"/>
      <c r="U1036" s="151">
        <v>45603</v>
      </c>
      <c r="V1036" s="151">
        <v>45534</v>
      </c>
      <c r="W1036" s="2">
        <f>VLOOKUP(Table1[[#This Row],[Status]],Auxiliar!$B$16:$D$24,3,0)*Table1[[#This Row],[Estimação (horas)]]</f>
        <v>0.5</v>
      </c>
      <c r="X1036" s="165">
        <f>+VLOOKUP(CONCATENATE(Table1[[#This Row],[Tabela]],Table1[[#This Row],[Campo]]),'2. Status Detalhe Campos FY24'!A:J,9,FALSE)</f>
        <v>0</v>
      </c>
      <c r="Y1036" s="491" t="e">
        <f>+VLOOKUP(A1036,#REF!,1,FALSE)</f>
        <v>#REF!</v>
      </c>
    </row>
    <row r="1037" spans="1:25" ht="17.899999999999999" hidden="1" customHeight="1">
      <c r="A1037" t="str">
        <f>+Table1[[#This Row],[Tabela]]&amp;Table1[[#This Row],[Campo]]</f>
        <v>modesg_inp_nfrd_alinhamento_taxppc_capex_own_prfrmnce_algnd</v>
      </c>
      <c r="B1037" s="12" t="s">
        <v>26</v>
      </c>
      <c r="C1037" s="12" t="s">
        <v>181</v>
      </c>
      <c r="D1037" s="12" t="s">
        <v>1225</v>
      </c>
      <c r="E1037" s="2" t="s">
        <v>38</v>
      </c>
      <c r="F1037" s="12" t="s">
        <v>215</v>
      </c>
      <c r="G1037" s="12" t="s">
        <v>262</v>
      </c>
      <c r="H1037" s="57" t="str">
        <f>Table1[[#This Row],[Tabela]]&amp;Table1[[#This Row],[Campo]]</f>
        <v>modesg_inp_nfrd_alinhamento_taxppc_capex_own_prfrmnce_algnd</v>
      </c>
      <c r="I1037" s="2" t="s">
        <v>612</v>
      </c>
      <c r="J1037" s="45">
        <f>VLOOKUP(Table1[[#This Row],[Status]],Auxiliar!$B$16:$C$24,2,0)</f>
        <v>1</v>
      </c>
      <c r="K1037" s="20" t="s">
        <v>1171</v>
      </c>
      <c r="L1037" s="2" t="s">
        <v>641</v>
      </c>
      <c r="M1037" s="20" t="s">
        <v>1176</v>
      </c>
      <c r="N1037" s="47">
        <v>45540</v>
      </c>
      <c r="O1037" s="20">
        <f>INDEX(Auxiliar!$D$5:$F$13,MATCH(Table1[[#This Row],[Tipologia_Testes]],Auxiliar!$B$5:$B$13,0),MATCH(Table1[[#This Row],[Complexidade]],Auxiliar!$D$4:$F$4,0))</f>
        <v>0.1</v>
      </c>
      <c r="P1037" s="2" t="s">
        <v>1241</v>
      </c>
      <c r="Q1037" s="2"/>
      <c r="R1037" s="151">
        <v>45261</v>
      </c>
      <c r="S1037" s="151"/>
      <c r="T1037" s="151"/>
      <c r="U1037" s="151">
        <v>45603</v>
      </c>
      <c r="V1037" s="151">
        <v>45534</v>
      </c>
      <c r="W1037" s="2">
        <f>VLOOKUP(Table1[[#This Row],[Status]],Auxiliar!$B$16:$D$24,3,0)*Table1[[#This Row],[Estimação (horas)]]</f>
        <v>0.1</v>
      </c>
      <c r="X1037" s="165">
        <f>+VLOOKUP(CONCATENATE(Table1[[#This Row],[Tabela]],Table1[[#This Row],[Campo]]),'2. Status Detalhe Campos FY24'!A:J,9,FALSE)</f>
        <v>0</v>
      </c>
      <c r="Y1037" s="491" t="e">
        <f>+VLOOKUP(A1037,#REF!,1,FALSE)</f>
        <v>#REF!</v>
      </c>
    </row>
    <row r="1038" spans="1:25" ht="17.899999999999999" hidden="1" customHeight="1">
      <c r="A1038" t="str">
        <f>+Table1[[#This Row],[Tabela]]&amp;Table1[[#This Row],[Campo]]</f>
        <v>modesg_inp_nfrd_alinhamento_taxppc_capex_own_prfrmnce_algnd</v>
      </c>
      <c r="B1038" s="12" t="s">
        <v>26</v>
      </c>
      <c r="C1038" s="12" t="s">
        <v>181</v>
      </c>
      <c r="D1038" s="12" t="s">
        <v>1225</v>
      </c>
      <c r="E1038" s="2" t="s">
        <v>38</v>
      </c>
      <c r="F1038" s="12" t="s">
        <v>215</v>
      </c>
      <c r="G1038" s="12" t="s">
        <v>262</v>
      </c>
      <c r="H1038" s="57" t="str">
        <f>Table1[[#This Row],[Tabela]]&amp;Table1[[#This Row],[Campo]]</f>
        <v>modesg_inp_nfrd_alinhamento_taxppc_capex_own_prfrmnce_algnd</v>
      </c>
      <c r="I1038" s="2" t="s">
        <v>612</v>
      </c>
      <c r="J1038" s="45">
        <f>VLOOKUP(Table1[[#This Row],[Status]],Auxiliar!$B$16:$C$24,2,0)</f>
        <v>1</v>
      </c>
      <c r="K1038" s="20" t="s">
        <v>1179</v>
      </c>
      <c r="L1038" s="2" t="s">
        <v>641</v>
      </c>
      <c r="M1038" s="20" t="s">
        <v>1176</v>
      </c>
      <c r="N1038" s="47">
        <v>45540</v>
      </c>
      <c r="O1038" s="20">
        <f>INDEX(Auxiliar!$D$5:$F$13,MATCH(Table1[[#This Row],[Tipologia_Testes]],Auxiliar!$B$5:$B$13,0),MATCH(Table1[[#This Row],[Complexidade]],Auxiliar!$D$4:$F$4,0))</f>
        <v>0.5</v>
      </c>
      <c r="P1038" s="2"/>
      <c r="Q1038" s="2"/>
      <c r="R1038" s="151">
        <v>45261</v>
      </c>
      <c r="S1038" s="151"/>
      <c r="T1038" s="151"/>
      <c r="U1038" s="151">
        <v>45603</v>
      </c>
      <c r="V1038" s="151">
        <v>45534</v>
      </c>
      <c r="W1038" s="2">
        <f>VLOOKUP(Table1[[#This Row],[Status]],Auxiliar!$B$16:$D$24,3,0)*Table1[[#This Row],[Estimação (horas)]]</f>
        <v>0.5</v>
      </c>
      <c r="X1038" s="165">
        <f>+VLOOKUP(CONCATENATE(Table1[[#This Row],[Tabela]],Table1[[#This Row],[Campo]]),'2. Status Detalhe Campos FY24'!A:J,9,FALSE)</f>
        <v>0</v>
      </c>
      <c r="Y1038" s="491" t="e">
        <f>+VLOOKUP(A1038,#REF!,1,FALSE)</f>
        <v>#REF!</v>
      </c>
    </row>
    <row r="1039" spans="1:25" ht="17.899999999999999" hidden="1" customHeight="1">
      <c r="A1039" t="str">
        <f>+Table1[[#This Row],[Tabela]]&amp;Table1[[#This Row],[Campo]]</f>
        <v>modesg_inp_nfrd_alinhamento_taxbio_trnvr_ttl_elgbl</v>
      </c>
      <c r="B1039" s="12" t="s">
        <v>26</v>
      </c>
      <c r="C1039" s="12" t="s">
        <v>181</v>
      </c>
      <c r="D1039" s="12" t="s">
        <v>1225</v>
      </c>
      <c r="E1039" s="2" t="s">
        <v>38</v>
      </c>
      <c r="F1039" s="12" t="s">
        <v>215</v>
      </c>
      <c r="G1039" s="12" t="s">
        <v>263</v>
      </c>
      <c r="H1039" s="57" t="str">
        <f>Table1[[#This Row],[Tabela]]&amp;Table1[[#This Row],[Campo]]</f>
        <v>modesg_inp_nfrd_alinhamento_taxbio_trnvr_ttl_elgbl</v>
      </c>
      <c r="I1039" s="2" t="s">
        <v>612</v>
      </c>
      <c r="J1039" s="45">
        <f>VLOOKUP(Table1[[#This Row],[Status]],Auxiliar!$B$16:$C$24,2,0)</f>
        <v>1</v>
      </c>
      <c r="K1039" s="20" t="s">
        <v>1171</v>
      </c>
      <c r="L1039" s="2" t="s">
        <v>641</v>
      </c>
      <c r="M1039" s="20" t="s">
        <v>1176</v>
      </c>
      <c r="N1039" s="47">
        <v>45540</v>
      </c>
      <c r="O1039" s="20">
        <f>INDEX(Auxiliar!$D$5:$F$13,MATCH(Table1[[#This Row],[Tipologia_Testes]],Auxiliar!$B$5:$B$13,0),MATCH(Table1[[#This Row],[Complexidade]],Auxiliar!$D$4:$F$4,0))</f>
        <v>0.1</v>
      </c>
      <c r="P1039" s="2" t="s">
        <v>1241</v>
      </c>
      <c r="Q1039" s="2"/>
      <c r="R1039" s="151">
        <v>45261</v>
      </c>
      <c r="S1039" s="151"/>
      <c r="T1039" s="151"/>
      <c r="U1039" s="151">
        <v>45603</v>
      </c>
      <c r="V1039" s="151">
        <v>45534</v>
      </c>
      <c r="W1039" s="2">
        <f>VLOOKUP(Table1[[#This Row],[Status]],Auxiliar!$B$16:$D$24,3,0)*Table1[[#This Row],[Estimação (horas)]]</f>
        <v>0.1</v>
      </c>
      <c r="X1039" s="165">
        <f>+VLOOKUP(CONCATENATE(Table1[[#This Row],[Tabela]],Table1[[#This Row],[Campo]]),'2. Status Detalhe Campos FY24'!A:J,9,FALSE)</f>
        <v>0</v>
      </c>
      <c r="Y1039" s="491" t="e">
        <f>+VLOOKUP(A1039,#REF!,1,FALSE)</f>
        <v>#REF!</v>
      </c>
    </row>
    <row r="1040" spans="1:25" ht="17.899999999999999" hidden="1" customHeight="1">
      <c r="A1040" t="str">
        <f>+Table1[[#This Row],[Tabela]]&amp;Table1[[#This Row],[Campo]]</f>
        <v>modesg_inp_nfrd_alinhamento_taxbio_trnvr_ttl_elgbl</v>
      </c>
      <c r="B1040" s="12" t="s">
        <v>26</v>
      </c>
      <c r="C1040" s="12" t="s">
        <v>181</v>
      </c>
      <c r="D1040" s="12" t="s">
        <v>1225</v>
      </c>
      <c r="E1040" s="2" t="s">
        <v>38</v>
      </c>
      <c r="F1040" s="12" t="s">
        <v>215</v>
      </c>
      <c r="G1040" s="12" t="s">
        <v>263</v>
      </c>
      <c r="H1040" s="57" t="str">
        <f>Table1[[#This Row],[Tabela]]&amp;Table1[[#This Row],[Campo]]</f>
        <v>modesg_inp_nfrd_alinhamento_taxbio_trnvr_ttl_elgbl</v>
      </c>
      <c r="I1040" s="2" t="s">
        <v>612</v>
      </c>
      <c r="J1040" s="45">
        <f>VLOOKUP(Table1[[#This Row],[Status]],Auxiliar!$B$16:$C$24,2,0)</f>
        <v>1</v>
      </c>
      <c r="K1040" s="20" t="s">
        <v>1179</v>
      </c>
      <c r="L1040" s="2" t="s">
        <v>641</v>
      </c>
      <c r="M1040" s="20" t="s">
        <v>1176</v>
      </c>
      <c r="N1040" s="47">
        <v>45540</v>
      </c>
      <c r="O1040" s="20">
        <f>INDEX(Auxiliar!$D$5:$F$13,MATCH(Table1[[#This Row],[Tipologia_Testes]],Auxiliar!$B$5:$B$13,0),MATCH(Table1[[#This Row],[Complexidade]],Auxiliar!$D$4:$F$4,0))</f>
        <v>0.5</v>
      </c>
      <c r="P1040" s="2"/>
      <c r="Q1040" s="2"/>
      <c r="R1040" s="151">
        <v>45261</v>
      </c>
      <c r="S1040" s="151"/>
      <c r="T1040" s="151"/>
      <c r="U1040" s="151">
        <v>45603</v>
      </c>
      <c r="V1040" s="151">
        <v>45534</v>
      </c>
      <c r="W1040" s="2">
        <f>VLOOKUP(Table1[[#This Row],[Status]],Auxiliar!$B$16:$D$24,3,0)*Table1[[#This Row],[Estimação (horas)]]</f>
        <v>0.5</v>
      </c>
      <c r="X1040" s="165">
        <f>+VLOOKUP(CONCATENATE(Table1[[#This Row],[Tabela]],Table1[[#This Row],[Campo]]),'2. Status Detalhe Campos FY24'!A:J,9,FALSE)</f>
        <v>0</v>
      </c>
      <c r="Y1040" s="491" t="e">
        <f>+VLOOKUP(A1040,#REF!,1,FALSE)</f>
        <v>#REF!</v>
      </c>
    </row>
    <row r="1041" spans="1:25" ht="17.899999999999999" hidden="1" customHeight="1">
      <c r="A1041" t="str">
        <f>+Table1[[#This Row],[Tabela]]&amp;Table1[[#This Row],[Campo]]</f>
        <v>modesg_inp_nfrd_alinhamento_taxbio_turnover_own_prfrmnce_algnd</v>
      </c>
      <c r="B1041" s="12" t="s">
        <v>26</v>
      </c>
      <c r="C1041" s="12" t="s">
        <v>181</v>
      </c>
      <c r="D1041" s="12" t="s">
        <v>1225</v>
      </c>
      <c r="E1041" s="2" t="s">
        <v>38</v>
      </c>
      <c r="F1041" s="12" t="s">
        <v>215</v>
      </c>
      <c r="G1041" s="12" t="s">
        <v>264</v>
      </c>
      <c r="H1041" s="57" t="str">
        <f>Table1[[#This Row],[Tabela]]&amp;Table1[[#This Row],[Campo]]</f>
        <v>modesg_inp_nfrd_alinhamento_taxbio_turnover_own_prfrmnce_algnd</v>
      </c>
      <c r="I1041" s="2" t="s">
        <v>612</v>
      </c>
      <c r="J1041" s="45">
        <f>VLOOKUP(Table1[[#This Row],[Status]],Auxiliar!$B$16:$C$24,2,0)</f>
        <v>1</v>
      </c>
      <c r="K1041" s="20" t="s">
        <v>1171</v>
      </c>
      <c r="L1041" s="2" t="s">
        <v>641</v>
      </c>
      <c r="M1041" s="20" t="s">
        <v>1176</v>
      </c>
      <c r="N1041" s="47">
        <v>45540</v>
      </c>
      <c r="O1041" s="20">
        <f>INDEX(Auxiliar!$D$5:$F$13,MATCH(Table1[[#This Row],[Tipologia_Testes]],Auxiliar!$B$5:$B$13,0),MATCH(Table1[[#This Row],[Complexidade]],Auxiliar!$D$4:$F$4,0))</f>
        <v>0.1</v>
      </c>
      <c r="P1041" s="2" t="s">
        <v>1241</v>
      </c>
      <c r="Q1041" s="2"/>
      <c r="R1041" s="151">
        <v>45261</v>
      </c>
      <c r="S1041" s="151"/>
      <c r="T1041" s="151"/>
      <c r="U1041" s="151">
        <v>45603</v>
      </c>
      <c r="V1041" s="151">
        <v>45534</v>
      </c>
      <c r="W1041" s="2">
        <f>VLOOKUP(Table1[[#This Row],[Status]],Auxiliar!$B$16:$D$24,3,0)*Table1[[#This Row],[Estimação (horas)]]</f>
        <v>0.1</v>
      </c>
      <c r="X1041" s="165">
        <f>+VLOOKUP(CONCATENATE(Table1[[#This Row],[Tabela]],Table1[[#This Row],[Campo]]),'2. Status Detalhe Campos FY24'!A:J,9,FALSE)</f>
        <v>0</v>
      </c>
      <c r="Y1041" s="491" t="e">
        <f>+VLOOKUP(A1041,#REF!,1,FALSE)</f>
        <v>#REF!</v>
      </c>
    </row>
    <row r="1042" spans="1:25" ht="17.899999999999999" hidden="1" customHeight="1">
      <c r="A1042" t="str">
        <f>+Table1[[#This Row],[Tabela]]&amp;Table1[[#This Row],[Campo]]</f>
        <v>modesg_inp_nfrd_alinhamento_taxbio_turnover_own_prfrmnce_algnd</v>
      </c>
      <c r="B1042" s="12" t="s">
        <v>26</v>
      </c>
      <c r="C1042" s="12" t="s">
        <v>181</v>
      </c>
      <c r="D1042" s="12" t="s">
        <v>1225</v>
      </c>
      <c r="E1042" s="2" t="s">
        <v>38</v>
      </c>
      <c r="F1042" s="12" t="s">
        <v>215</v>
      </c>
      <c r="G1042" s="12" t="s">
        <v>264</v>
      </c>
      <c r="H1042" s="57" t="str">
        <f>Table1[[#This Row],[Tabela]]&amp;Table1[[#This Row],[Campo]]</f>
        <v>modesg_inp_nfrd_alinhamento_taxbio_turnover_own_prfrmnce_algnd</v>
      </c>
      <c r="I1042" s="2" t="s">
        <v>612</v>
      </c>
      <c r="J1042" s="45">
        <f>VLOOKUP(Table1[[#This Row],[Status]],Auxiliar!$B$16:$C$24,2,0)</f>
        <v>1</v>
      </c>
      <c r="K1042" s="20" t="s">
        <v>1179</v>
      </c>
      <c r="L1042" s="2" t="s">
        <v>641</v>
      </c>
      <c r="M1042" s="20" t="s">
        <v>1176</v>
      </c>
      <c r="N1042" s="47">
        <v>45540</v>
      </c>
      <c r="O1042" s="20">
        <f>INDEX(Auxiliar!$D$5:$F$13,MATCH(Table1[[#This Row],[Tipologia_Testes]],Auxiliar!$B$5:$B$13,0),MATCH(Table1[[#This Row],[Complexidade]],Auxiliar!$D$4:$F$4,0))</f>
        <v>0.5</v>
      </c>
      <c r="P1042" s="2"/>
      <c r="Q1042" s="2"/>
      <c r="R1042" s="151">
        <v>45261</v>
      </c>
      <c r="S1042" s="151"/>
      <c r="T1042" s="151"/>
      <c r="U1042" s="151">
        <v>45603</v>
      </c>
      <c r="V1042" s="151">
        <v>45534</v>
      </c>
      <c r="W1042" s="2">
        <f>VLOOKUP(Table1[[#This Row],[Status]],Auxiliar!$B$16:$D$24,3,0)*Table1[[#This Row],[Estimação (horas)]]</f>
        <v>0.5</v>
      </c>
      <c r="X1042" s="165">
        <f>+VLOOKUP(CONCATENATE(Table1[[#This Row],[Tabela]],Table1[[#This Row],[Campo]]),'2. Status Detalhe Campos FY24'!A:J,9,FALSE)</f>
        <v>0</v>
      </c>
      <c r="Y1042" s="491" t="e">
        <f>+VLOOKUP(A1042,#REF!,1,FALSE)</f>
        <v>#REF!</v>
      </c>
    </row>
    <row r="1043" spans="1:25" ht="17.899999999999999" hidden="1" customHeight="1">
      <c r="A1043" t="str">
        <f>+Table1[[#This Row],[Tabela]]&amp;Table1[[#This Row],[Campo]]</f>
        <v>modesg_inp_nfrd_alinhamento_taxbio_capex_ttl_elgbl</v>
      </c>
      <c r="B1043" s="12" t="s">
        <v>26</v>
      </c>
      <c r="C1043" s="12" t="s">
        <v>181</v>
      </c>
      <c r="D1043" s="12" t="s">
        <v>1225</v>
      </c>
      <c r="E1043" s="2" t="s">
        <v>38</v>
      </c>
      <c r="F1043" s="12" t="s">
        <v>215</v>
      </c>
      <c r="G1043" s="12" t="s">
        <v>265</v>
      </c>
      <c r="H1043" s="57" t="str">
        <f>Table1[[#This Row],[Tabela]]&amp;Table1[[#This Row],[Campo]]</f>
        <v>modesg_inp_nfrd_alinhamento_taxbio_capex_ttl_elgbl</v>
      </c>
      <c r="I1043" s="2" t="s">
        <v>612</v>
      </c>
      <c r="J1043" s="45">
        <f>VLOOKUP(Table1[[#This Row],[Status]],Auxiliar!$B$16:$C$24,2,0)</f>
        <v>1</v>
      </c>
      <c r="K1043" s="20" t="s">
        <v>1171</v>
      </c>
      <c r="L1043" s="2" t="s">
        <v>641</v>
      </c>
      <c r="M1043" s="20" t="s">
        <v>1176</v>
      </c>
      <c r="N1043" s="47">
        <v>45540</v>
      </c>
      <c r="O1043" s="20">
        <f>INDEX(Auxiliar!$D$5:$F$13,MATCH(Table1[[#This Row],[Tipologia_Testes]],Auxiliar!$B$5:$B$13,0),MATCH(Table1[[#This Row],[Complexidade]],Auxiliar!$D$4:$F$4,0))</f>
        <v>0.1</v>
      </c>
      <c r="P1043" s="2" t="s">
        <v>1241</v>
      </c>
      <c r="Q1043" s="2"/>
      <c r="R1043" s="151">
        <v>45261</v>
      </c>
      <c r="S1043" s="151"/>
      <c r="T1043" s="151"/>
      <c r="U1043" s="151">
        <v>45603</v>
      </c>
      <c r="V1043" s="151">
        <v>45534</v>
      </c>
      <c r="W1043" s="2">
        <f>VLOOKUP(Table1[[#This Row],[Status]],Auxiliar!$B$16:$D$24,3,0)*Table1[[#This Row],[Estimação (horas)]]</f>
        <v>0.1</v>
      </c>
      <c r="X1043" s="165">
        <f>+VLOOKUP(CONCATENATE(Table1[[#This Row],[Tabela]],Table1[[#This Row],[Campo]]),'2. Status Detalhe Campos FY24'!A:J,9,FALSE)</f>
        <v>0</v>
      </c>
      <c r="Y1043" s="491" t="e">
        <f>+VLOOKUP(A1043,#REF!,1,FALSE)</f>
        <v>#REF!</v>
      </c>
    </row>
    <row r="1044" spans="1:25" ht="17.899999999999999" hidden="1" customHeight="1">
      <c r="A1044" t="str">
        <f>+Table1[[#This Row],[Tabela]]&amp;Table1[[#This Row],[Campo]]</f>
        <v>modesg_inp_nfrd_alinhamento_taxbio_capex_ttl_elgbl</v>
      </c>
      <c r="B1044" s="12" t="s">
        <v>26</v>
      </c>
      <c r="C1044" s="12" t="s">
        <v>181</v>
      </c>
      <c r="D1044" s="12" t="s">
        <v>1225</v>
      </c>
      <c r="E1044" s="2" t="s">
        <v>38</v>
      </c>
      <c r="F1044" s="12" t="s">
        <v>215</v>
      </c>
      <c r="G1044" s="12" t="s">
        <v>265</v>
      </c>
      <c r="H1044" s="57" t="str">
        <f>Table1[[#This Row],[Tabela]]&amp;Table1[[#This Row],[Campo]]</f>
        <v>modesg_inp_nfrd_alinhamento_taxbio_capex_ttl_elgbl</v>
      </c>
      <c r="I1044" s="2" t="s">
        <v>612</v>
      </c>
      <c r="J1044" s="45">
        <f>VLOOKUP(Table1[[#This Row],[Status]],Auxiliar!$B$16:$C$24,2,0)</f>
        <v>1</v>
      </c>
      <c r="K1044" s="20" t="s">
        <v>1179</v>
      </c>
      <c r="L1044" s="2" t="s">
        <v>641</v>
      </c>
      <c r="M1044" s="20" t="s">
        <v>1176</v>
      </c>
      <c r="N1044" s="47">
        <v>45540</v>
      </c>
      <c r="O1044" s="20">
        <f>INDEX(Auxiliar!$D$5:$F$13,MATCH(Table1[[#This Row],[Tipologia_Testes]],Auxiliar!$B$5:$B$13,0),MATCH(Table1[[#This Row],[Complexidade]],Auxiliar!$D$4:$F$4,0))</f>
        <v>0.5</v>
      </c>
      <c r="P1044" s="2"/>
      <c r="Q1044" s="2"/>
      <c r="R1044" s="151">
        <v>45261</v>
      </c>
      <c r="S1044" s="151"/>
      <c r="T1044" s="151"/>
      <c r="U1044" s="151">
        <v>45603</v>
      </c>
      <c r="V1044" s="151">
        <v>45534</v>
      </c>
      <c r="W1044" s="2">
        <f>VLOOKUP(Table1[[#This Row],[Status]],Auxiliar!$B$16:$D$24,3,0)*Table1[[#This Row],[Estimação (horas)]]</f>
        <v>0.5</v>
      </c>
      <c r="X1044" s="165">
        <f>+VLOOKUP(CONCATENATE(Table1[[#This Row],[Tabela]],Table1[[#This Row],[Campo]]),'2. Status Detalhe Campos FY24'!A:J,9,FALSE)</f>
        <v>0</v>
      </c>
      <c r="Y1044" s="491" t="e">
        <f>+VLOOKUP(A1044,#REF!,1,FALSE)</f>
        <v>#REF!</v>
      </c>
    </row>
    <row r="1045" spans="1:25" ht="17.899999999999999" hidden="1" customHeight="1">
      <c r="A1045" t="str">
        <f>+Table1[[#This Row],[Tabela]]&amp;Table1[[#This Row],[Campo]]</f>
        <v>modesg_inp_nfrd_alinhamento_taxbio_capex_own_prfrmnce_algnd</v>
      </c>
      <c r="B1045" s="12" t="s">
        <v>26</v>
      </c>
      <c r="C1045" s="12" t="s">
        <v>181</v>
      </c>
      <c r="D1045" s="12" t="s">
        <v>1225</v>
      </c>
      <c r="E1045" s="2" t="s">
        <v>38</v>
      </c>
      <c r="F1045" s="12" t="s">
        <v>215</v>
      </c>
      <c r="G1045" s="12" t="s">
        <v>266</v>
      </c>
      <c r="H1045" s="57" t="str">
        <f>Table1[[#This Row],[Tabela]]&amp;Table1[[#This Row],[Campo]]</f>
        <v>modesg_inp_nfrd_alinhamento_taxbio_capex_own_prfrmnce_algnd</v>
      </c>
      <c r="I1045" s="2" t="s">
        <v>612</v>
      </c>
      <c r="J1045" s="45">
        <f>VLOOKUP(Table1[[#This Row],[Status]],Auxiliar!$B$16:$C$24,2,0)</f>
        <v>1</v>
      </c>
      <c r="K1045" s="20" t="s">
        <v>1171</v>
      </c>
      <c r="L1045" s="2" t="s">
        <v>641</v>
      </c>
      <c r="M1045" s="20" t="s">
        <v>1176</v>
      </c>
      <c r="N1045" s="47">
        <v>45540</v>
      </c>
      <c r="O1045" s="20">
        <f>INDEX(Auxiliar!$D$5:$F$13,MATCH(Table1[[#This Row],[Tipologia_Testes]],Auxiliar!$B$5:$B$13,0),MATCH(Table1[[#This Row],[Complexidade]],Auxiliar!$D$4:$F$4,0))</f>
        <v>0.1</v>
      </c>
      <c r="P1045" s="2" t="s">
        <v>1241</v>
      </c>
      <c r="Q1045" s="2"/>
      <c r="R1045" s="151">
        <v>45261</v>
      </c>
      <c r="S1045" s="151"/>
      <c r="T1045" s="151"/>
      <c r="U1045" s="151">
        <v>45603</v>
      </c>
      <c r="V1045" s="151">
        <v>45534</v>
      </c>
      <c r="W1045" s="2">
        <f>VLOOKUP(Table1[[#This Row],[Status]],Auxiliar!$B$16:$D$24,3,0)*Table1[[#This Row],[Estimação (horas)]]</f>
        <v>0.1</v>
      </c>
      <c r="X1045" s="165">
        <f>+VLOOKUP(CONCATENATE(Table1[[#This Row],[Tabela]],Table1[[#This Row],[Campo]]),'2. Status Detalhe Campos FY24'!A:J,9,FALSE)</f>
        <v>0</v>
      </c>
      <c r="Y1045" s="491" t="e">
        <f>+VLOOKUP(A1045,#REF!,1,FALSE)</f>
        <v>#REF!</v>
      </c>
    </row>
    <row r="1046" spans="1:25" ht="17.899999999999999" hidden="1" customHeight="1">
      <c r="A1046" t="str">
        <f>+Table1[[#This Row],[Tabela]]&amp;Table1[[#This Row],[Campo]]</f>
        <v>modesg_inp_nfrd_alinhamento_taxbio_capex_own_prfrmnce_algnd</v>
      </c>
      <c r="B1046" s="12" t="s">
        <v>26</v>
      </c>
      <c r="C1046" s="12" t="s">
        <v>181</v>
      </c>
      <c r="D1046" s="12" t="s">
        <v>1225</v>
      </c>
      <c r="E1046" s="2" t="s">
        <v>38</v>
      </c>
      <c r="F1046" s="12" t="s">
        <v>215</v>
      </c>
      <c r="G1046" s="12" t="s">
        <v>266</v>
      </c>
      <c r="H1046" s="57" t="str">
        <f>Table1[[#This Row],[Tabela]]&amp;Table1[[#This Row],[Campo]]</f>
        <v>modesg_inp_nfrd_alinhamento_taxbio_capex_own_prfrmnce_algnd</v>
      </c>
      <c r="I1046" s="2" t="s">
        <v>612</v>
      </c>
      <c r="J1046" s="45">
        <f>VLOOKUP(Table1[[#This Row],[Status]],Auxiliar!$B$16:$C$24,2,0)</f>
        <v>1</v>
      </c>
      <c r="K1046" s="20" t="s">
        <v>1179</v>
      </c>
      <c r="L1046" s="2" t="s">
        <v>641</v>
      </c>
      <c r="M1046" s="20" t="s">
        <v>1176</v>
      </c>
      <c r="N1046" s="47">
        <v>45540</v>
      </c>
      <c r="O1046" s="20">
        <f>INDEX(Auxiliar!$D$5:$F$13,MATCH(Table1[[#This Row],[Tipologia_Testes]],Auxiliar!$B$5:$B$13,0),MATCH(Table1[[#This Row],[Complexidade]],Auxiliar!$D$4:$F$4,0))</f>
        <v>0.5</v>
      </c>
      <c r="P1046" s="2"/>
      <c r="Q1046" s="2"/>
      <c r="R1046" s="151">
        <v>45261</v>
      </c>
      <c r="S1046" s="151"/>
      <c r="T1046" s="151"/>
      <c r="U1046" s="151">
        <v>45603</v>
      </c>
      <c r="V1046" s="151">
        <v>45534</v>
      </c>
      <c r="W1046" s="2">
        <f>VLOOKUP(Table1[[#This Row],[Status]],Auxiliar!$B$16:$D$24,3,0)*Table1[[#This Row],[Estimação (horas)]]</f>
        <v>0.5</v>
      </c>
      <c r="X1046" s="165">
        <f>+VLOOKUP(CONCATENATE(Table1[[#This Row],[Tabela]],Table1[[#This Row],[Campo]]),'2. Status Detalhe Campos FY24'!A:J,9,FALSE)</f>
        <v>0</v>
      </c>
      <c r="Y1046" s="491" t="e">
        <f>+VLOOKUP(A1046,#REF!,1,FALSE)</f>
        <v>#REF!</v>
      </c>
    </row>
    <row r="1047" spans="1:25" ht="17.899999999999999" hidden="1" customHeight="1">
      <c r="A1047" t="str">
        <f>+Table1[[#This Row],[Tabela]]&amp;Table1[[#This Row],[Campo]]</f>
        <v>modesg_inp_nfrd_alinhamento_taxwtr_trnvr_ttl_elgbl</v>
      </c>
      <c r="B1047" s="12" t="s">
        <v>26</v>
      </c>
      <c r="C1047" s="12" t="s">
        <v>181</v>
      </c>
      <c r="D1047" s="12" t="s">
        <v>1225</v>
      </c>
      <c r="E1047" s="2" t="s">
        <v>38</v>
      </c>
      <c r="F1047" s="12" t="s">
        <v>215</v>
      </c>
      <c r="G1047" s="12" t="s">
        <v>267</v>
      </c>
      <c r="H1047" s="57" t="str">
        <f>Table1[[#This Row],[Tabela]]&amp;Table1[[#This Row],[Campo]]</f>
        <v>modesg_inp_nfrd_alinhamento_taxwtr_trnvr_ttl_elgbl</v>
      </c>
      <c r="I1047" s="2" t="s">
        <v>612</v>
      </c>
      <c r="J1047" s="45">
        <f>VLOOKUP(Table1[[#This Row],[Status]],Auxiliar!$B$16:$C$24,2,0)</f>
        <v>1</v>
      </c>
      <c r="K1047" s="20" t="s">
        <v>1171</v>
      </c>
      <c r="L1047" s="2" t="s">
        <v>641</v>
      </c>
      <c r="M1047" s="20" t="s">
        <v>1176</v>
      </c>
      <c r="N1047" s="47">
        <v>45540</v>
      </c>
      <c r="O1047" s="20">
        <f>INDEX(Auxiliar!$D$5:$F$13,MATCH(Table1[[#This Row],[Tipologia_Testes]],Auxiliar!$B$5:$B$13,0),MATCH(Table1[[#This Row],[Complexidade]],Auxiliar!$D$4:$F$4,0))</f>
        <v>0.1</v>
      </c>
      <c r="P1047" s="2" t="s">
        <v>1241</v>
      </c>
      <c r="Q1047" s="2"/>
      <c r="R1047" s="151">
        <v>45261</v>
      </c>
      <c r="S1047" s="151"/>
      <c r="T1047" s="151"/>
      <c r="U1047" s="151">
        <v>45603</v>
      </c>
      <c r="V1047" s="151">
        <v>45534</v>
      </c>
      <c r="W1047" s="2">
        <f>VLOOKUP(Table1[[#This Row],[Status]],Auxiliar!$B$16:$D$24,3,0)*Table1[[#This Row],[Estimação (horas)]]</f>
        <v>0.1</v>
      </c>
      <c r="X1047" s="165">
        <f>+VLOOKUP(CONCATENATE(Table1[[#This Row],[Tabela]],Table1[[#This Row],[Campo]]),'2. Status Detalhe Campos FY24'!A:J,9,FALSE)</f>
        <v>0</v>
      </c>
      <c r="Y1047" s="491" t="e">
        <f>+VLOOKUP(A1047,#REF!,1,FALSE)</f>
        <v>#REF!</v>
      </c>
    </row>
    <row r="1048" spans="1:25" ht="17.899999999999999" hidden="1" customHeight="1">
      <c r="A1048" t="str">
        <f>+Table1[[#This Row],[Tabela]]&amp;Table1[[#This Row],[Campo]]</f>
        <v>modesg_inp_nfrd_alinhamento_taxwtr_trnvr_ttl_elgbl</v>
      </c>
      <c r="B1048" s="12" t="s">
        <v>26</v>
      </c>
      <c r="C1048" s="12" t="s">
        <v>181</v>
      </c>
      <c r="D1048" s="12" t="s">
        <v>1225</v>
      </c>
      <c r="E1048" s="2" t="s">
        <v>38</v>
      </c>
      <c r="F1048" s="12" t="s">
        <v>215</v>
      </c>
      <c r="G1048" s="12" t="s">
        <v>267</v>
      </c>
      <c r="H1048" s="57" t="str">
        <f>Table1[[#This Row],[Tabela]]&amp;Table1[[#This Row],[Campo]]</f>
        <v>modesg_inp_nfrd_alinhamento_taxwtr_trnvr_ttl_elgbl</v>
      </c>
      <c r="I1048" s="2" t="s">
        <v>612</v>
      </c>
      <c r="J1048" s="45">
        <f>VLOOKUP(Table1[[#This Row],[Status]],Auxiliar!$B$16:$C$24,2,0)</f>
        <v>1</v>
      </c>
      <c r="K1048" s="20" t="s">
        <v>1179</v>
      </c>
      <c r="L1048" s="2" t="s">
        <v>641</v>
      </c>
      <c r="M1048" s="20" t="s">
        <v>1176</v>
      </c>
      <c r="N1048" s="47">
        <v>45540</v>
      </c>
      <c r="O1048" s="20">
        <f>INDEX(Auxiliar!$D$5:$F$13,MATCH(Table1[[#This Row],[Tipologia_Testes]],Auxiliar!$B$5:$B$13,0),MATCH(Table1[[#This Row],[Complexidade]],Auxiliar!$D$4:$F$4,0))</f>
        <v>0.5</v>
      </c>
      <c r="P1048" s="2"/>
      <c r="Q1048" s="2"/>
      <c r="R1048" s="151">
        <v>45261</v>
      </c>
      <c r="S1048" s="151"/>
      <c r="T1048" s="151"/>
      <c r="U1048" s="151">
        <v>45603</v>
      </c>
      <c r="V1048" s="151">
        <v>45534</v>
      </c>
      <c r="W1048" s="2">
        <f>VLOOKUP(Table1[[#This Row],[Status]],Auxiliar!$B$16:$D$24,3,0)*Table1[[#This Row],[Estimação (horas)]]</f>
        <v>0.5</v>
      </c>
      <c r="X1048" s="165">
        <f>+VLOOKUP(CONCATENATE(Table1[[#This Row],[Tabela]],Table1[[#This Row],[Campo]]),'2. Status Detalhe Campos FY24'!A:J,9,FALSE)</f>
        <v>0</v>
      </c>
      <c r="Y1048" s="491" t="e">
        <f>+VLOOKUP(A1048,#REF!,1,FALSE)</f>
        <v>#REF!</v>
      </c>
    </row>
    <row r="1049" spans="1:25" ht="17.899999999999999" hidden="1" customHeight="1">
      <c r="A1049" t="str">
        <f>+Table1[[#This Row],[Tabela]]&amp;Table1[[#This Row],[Campo]]</f>
        <v>modesg_inp_nfrd_alinhamento_taxwtr_trnvr_enblng_alignd</v>
      </c>
      <c r="B1049" s="12" t="s">
        <v>26</v>
      </c>
      <c r="C1049" s="12" t="s">
        <v>181</v>
      </c>
      <c r="D1049" s="12" t="s">
        <v>1225</v>
      </c>
      <c r="E1049" s="2" t="s">
        <v>38</v>
      </c>
      <c r="F1049" s="12" t="s">
        <v>215</v>
      </c>
      <c r="G1049" s="12" t="s">
        <v>268</v>
      </c>
      <c r="H1049" s="57" t="str">
        <f>Table1[[#This Row],[Tabela]]&amp;Table1[[#This Row],[Campo]]</f>
        <v>modesg_inp_nfrd_alinhamento_taxwtr_trnvr_enblng_alignd</v>
      </c>
      <c r="I1049" s="2" t="s">
        <v>612</v>
      </c>
      <c r="J1049" s="45">
        <f>VLOOKUP(Table1[[#This Row],[Status]],Auxiliar!$B$16:$C$24,2,0)</f>
        <v>1</v>
      </c>
      <c r="K1049" s="20" t="s">
        <v>1171</v>
      </c>
      <c r="L1049" s="2" t="s">
        <v>641</v>
      </c>
      <c r="M1049" s="20" t="s">
        <v>1176</v>
      </c>
      <c r="N1049" s="47">
        <v>45540</v>
      </c>
      <c r="O1049" s="20">
        <f>INDEX(Auxiliar!$D$5:$F$13,MATCH(Table1[[#This Row],[Tipologia_Testes]],Auxiliar!$B$5:$B$13,0),MATCH(Table1[[#This Row],[Complexidade]],Auxiliar!$D$4:$F$4,0))</f>
        <v>0.1</v>
      </c>
      <c r="P1049" s="2" t="s">
        <v>1241</v>
      </c>
      <c r="Q1049" s="2"/>
      <c r="R1049" s="151">
        <v>45261</v>
      </c>
      <c r="S1049" s="151"/>
      <c r="T1049" s="151"/>
      <c r="U1049" s="151">
        <v>45603</v>
      </c>
      <c r="V1049" s="151">
        <v>45534</v>
      </c>
      <c r="W1049" s="2">
        <f>VLOOKUP(Table1[[#This Row],[Status]],Auxiliar!$B$16:$D$24,3,0)*Table1[[#This Row],[Estimação (horas)]]</f>
        <v>0.1</v>
      </c>
      <c r="X1049" s="165">
        <f>+VLOOKUP(CONCATENATE(Table1[[#This Row],[Tabela]],Table1[[#This Row],[Campo]]),'2. Status Detalhe Campos FY24'!A:J,9,FALSE)</f>
        <v>0</v>
      </c>
      <c r="Y1049" s="491" t="e">
        <f>+VLOOKUP(A1049,#REF!,1,FALSE)</f>
        <v>#REF!</v>
      </c>
    </row>
    <row r="1050" spans="1:25" ht="17.899999999999999" hidden="1" customHeight="1">
      <c r="A1050" t="str">
        <f>+Table1[[#This Row],[Tabela]]&amp;Table1[[#This Row],[Campo]]</f>
        <v>modesg_inp_nfrd_alinhamento_taxwtr_trnvr_enblng_alignd</v>
      </c>
      <c r="B1050" s="12" t="s">
        <v>26</v>
      </c>
      <c r="C1050" s="12" t="s">
        <v>181</v>
      </c>
      <c r="D1050" s="12" t="s">
        <v>1225</v>
      </c>
      <c r="E1050" s="2" t="s">
        <v>38</v>
      </c>
      <c r="F1050" s="12" t="s">
        <v>215</v>
      </c>
      <c r="G1050" s="12" t="s">
        <v>268</v>
      </c>
      <c r="H1050" s="57" t="str">
        <f>Table1[[#This Row],[Tabela]]&amp;Table1[[#This Row],[Campo]]</f>
        <v>modesg_inp_nfrd_alinhamento_taxwtr_trnvr_enblng_alignd</v>
      </c>
      <c r="I1050" s="2" t="s">
        <v>612</v>
      </c>
      <c r="J1050" s="45">
        <f>VLOOKUP(Table1[[#This Row],[Status]],Auxiliar!$B$16:$C$24,2,0)</f>
        <v>1</v>
      </c>
      <c r="K1050" s="20" t="s">
        <v>1179</v>
      </c>
      <c r="L1050" s="2" t="s">
        <v>641</v>
      </c>
      <c r="M1050" s="20" t="s">
        <v>1176</v>
      </c>
      <c r="N1050" s="47">
        <v>45540</v>
      </c>
      <c r="O1050" s="20">
        <f>INDEX(Auxiliar!$D$5:$F$13,MATCH(Table1[[#This Row],[Tipologia_Testes]],Auxiliar!$B$5:$B$13,0),MATCH(Table1[[#This Row],[Complexidade]],Auxiliar!$D$4:$F$4,0))</f>
        <v>0.5</v>
      </c>
      <c r="P1050" s="2"/>
      <c r="Q1050" s="2"/>
      <c r="R1050" s="151">
        <v>45261</v>
      </c>
      <c r="S1050" s="151"/>
      <c r="T1050" s="151"/>
      <c r="U1050" s="151">
        <v>45603</v>
      </c>
      <c r="V1050" s="151">
        <v>45534</v>
      </c>
      <c r="W1050" s="2">
        <f>VLOOKUP(Table1[[#This Row],[Status]],Auxiliar!$B$16:$D$24,3,0)*Table1[[#This Row],[Estimação (horas)]]</f>
        <v>0.5</v>
      </c>
      <c r="X1050" s="165">
        <f>+VLOOKUP(CONCATENATE(Table1[[#This Row],[Tabela]],Table1[[#This Row],[Campo]]),'2. Status Detalhe Campos FY24'!A:J,9,FALSE)</f>
        <v>0</v>
      </c>
      <c r="Y1050" s="491" t="e">
        <f>+VLOOKUP(A1050,#REF!,1,FALSE)</f>
        <v>#REF!</v>
      </c>
    </row>
    <row r="1051" spans="1:25" ht="17.899999999999999" hidden="1" customHeight="1">
      <c r="A1051" t="str">
        <f>+Table1[[#This Row],[Tabela]]&amp;Table1[[#This Row],[Campo]]</f>
        <v>modesg_inp_nfrd_alinhamento_taxwtr_turnover_own_prfrmnce_algnd</v>
      </c>
      <c r="B1051" s="12" t="s">
        <v>26</v>
      </c>
      <c r="C1051" s="12" t="s">
        <v>181</v>
      </c>
      <c r="D1051" s="12" t="s">
        <v>1225</v>
      </c>
      <c r="E1051" s="2" t="s">
        <v>38</v>
      </c>
      <c r="F1051" s="12" t="s">
        <v>215</v>
      </c>
      <c r="G1051" s="12" t="s">
        <v>269</v>
      </c>
      <c r="H1051" s="57" t="str">
        <f>Table1[[#This Row],[Tabela]]&amp;Table1[[#This Row],[Campo]]</f>
        <v>modesg_inp_nfrd_alinhamento_taxwtr_turnover_own_prfrmnce_algnd</v>
      </c>
      <c r="I1051" s="2" t="s">
        <v>612</v>
      </c>
      <c r="J1051" s="45">
        <f>VLOOKUP(Table1[[#This Row],[Status]],Auxiliar!$B$16:$C$24,2,0)</f>
        <v>1</v>
      </c>
      <c r="K1051" s="20" t="s">
        <v>1171</v>
      </c>
      <c r="L1051" s="2" t="s">
        <v>641</v>
      </c>
      <c r="M1051" s="20" t="s">
        <v>1176</v>
      </c>
      <c r="N1051" s="47">
        <v>45540</v>
      </c>
      <c r="O1051" s="20">
        <f>INDEX(Auxiliar!$D$5:$F$13,MATCH(Table1[[#This Row],[Tipologia_Testes]],Auxiliar!$B$5:$B$13,0),MATCH(Table1[[#This Row],[Complexidade]],Auxiliar!$D$4:$F$4,0))</f>
        <v>0.1</v>
      </c>
      <c r="P1051" s="2" t="s">
        <v>1241</v>
      </c>
      <c r="Q1051" s="2"/>
      <c r="R1051" s="151">
        <v>45261</v>
      </c>
      <c r="S1051" s="151"/>
      <c r="T1051" s="151"/>
      <c r="U1051" s="151">
        <v>45603</v>
      </c>
      <c r="V1051" s="151">
        <v>45534</v>
      </c>
      <c r="W1051" s="2">
        <f>VLOOKUP(Table1[[#This Row],[Status]],Auxiliar!$B$16:$D$24,3,0)*Table1[[#This Row],[Estimação (horas)]]</f>
        <v>0.1</v>
      </c>
      <c r="X1051" s="165">
        <f>+VLOOKUP(CONCATENATE(Table1[[#This Row],[Tabela]],Table1[[#This Row],[Campo]]),'2. Status Detalhe Campos FY24'!A:J,9,FALSE)</f>
        <v>0</v>
      </c>
      <c r="Y1051" s="491" t="e">
        <f>+VLOOKUP(A1051,#REF!,1,FALSE)</f>
        <v>#REF!</v>
      </c>
    </row>
    <row r="1052" spans="1:25" ht="17.899999999999999" hidden="1" customHeight="1">
      <c r="A1052" t="str">
        <f>+Table1[[#This Row],[Tabela]]&amp;Table1[[#This Row],[Campo]]</f>
        <v>modesg_inp_nfrd_alinhamento_taxwtr_turnover_own_prfrmnce_algnd</v>
      </c>
      <c r="B1052" s="12" t="s">
        <v>26</v>
      </c>
      <c r="C1052" s="12" t="s">
        <v>181</v>
      </c>
      <c r="D1052" s="12" t="s">
        <v>1225</v>
      </c>
      <c r="E1052" s="2" t="s">
        <v>38</v>
      </c>
      <c r="F1052" s="12" t="s">
        <v>215</v>
      </c>
      <c r="G1052" s="12" t="s">
        <v>269</v>
      </c>
      <c r="H1052" s="57" t="str">
        <f>Table1[[#This Row],[Tabela]]&amp;Table1[[#This Row],[Campo]]</f>
        <v>modesg_inp_nfrd_alinhamento_taxwtr_turnover_own_prfrmnce_algnd</v>
      </c>
      <c r="I1052" s="2" t="s">
        <v>612</v>
      </c>
      <c r="J1052" s="45">
        <f>VLOOKUP(Table1[[#This Row],[Status]],Auxiliar!$B$16:$C$24,2,0)</f>
        <v>1</v>
      </c>
      <c r="K1052" s="20" t="s">
        <v>1179</v>
      </c>
      <c r="L1052" s="2" t="s">
        <v>641</v>
      </c>
      <c r="M1052" s="20" t="s">
        <v>1176</v>
      </c>
      <c r="N1052" s="47">
        <v>45540</v>
      </c>
      <c r="O1052" s="20">
        <f>INDEX(Auxiliar!$D$5:$F$13,MATCH(Table1[[#This Row],[Tipologia_Testes]],Auxiliar!$B$5:$B$13,0),MATCH(Table1[[#This Row],[Complexidade]],Auxiliar!$D$4:$F$4,0))</f>
        <v>0.5</v>
      </c>
      <c r="P1052" s="2"/>
      <c r="Q1052" s="2"/>
      <c r="R1052" s="151">
        <v>45261</v>
      </c>
      <c r="S1052" s="151"/>
      <c r="T1052" s="151"/>
      <c r="U1052" s="151">
        <v>45603</v>
      </c>
      <c r="V1052" s="151">
        <v>45534</v>
      </c>
      <c r="W1052" s="2">
        <f>VLOOKUP(Table1[[#This Row],[Status]],Auxiliar!$B$16:$D$24,3,0)*Table1[[#This Row],[Estimação (horas)]]</f>
        <v>0.5</v>
      </c>
      <c r="X1052" s="165">
        <f>+VLOOKUP(CONCATENATE(Table1[[#This Row],[Tabela]],Table1[[#This Row],[Campo]]),'2. Status Detalhe Campos FY24'!A:J,9,FALSE)</f>
        <v>0</v>
      </c>
      <c r="Y1052" s="491" t="e">
        <f>+VLOOKUP(A1052,#REF!,1,FALSE)</f>
        <v>#REF!</v>
      </c>
    </row>
    <row r="1053" spans="1:25" ht="17.899999999999999" hidden="1" customHeight="1">
      <c r="A1053" t="str">
        <f>+Table1[[#This Row],[Tabela]]&amp;Table1[[#This Row],[Campo]]</f>
        <v>modesg_inp_nfrd_alinhamento_taxwtr_capex_ttl_elgbl</v>
      </c>
      <c r="B1053" s="12" t="s">
        <v>26</v>
      </c>
      <c r="C1053" s="12" t="s">
        <v>181</v>
      </c>
      <c r="D1053" s="12" t="s">
        <v>1225</v>
      </c>
      <c r="E1053" s="2" t="s">
        <v>38</v>
      </c>
      <c r="F1053" s="12" t="s">
        <v>215</v>
      </c>
      <c r="G1053" s="12" t="s">
        <v>270</v>
      </c>
      <c r="H1053" s="57" t="str">
        <f>Table1[[#This Row],[Tabela]]&amp;Table1[[#This Row],[Campo]]</f>
        <v>modesg_inp_nfrd_alinhamento_taxwtr_capex_ttl_elgbl</v>
      </c>
      <c r="I1053" s="2" t="s">
        <v>612</v>
      </c>
      <c r="J1053" s="45">
        <f>VLOOKUP(Table1[[#This Row],[Status]],Auxiliar!$B$16:$C$24,2,0)</f>
        <v>1</v>
      </c>
      <c r="K1053" s="20" t="s">
        <v>1171</v>
      </c>
      <c r="L1053" s="2" t="s">
        <v>641</v>
      </c>
      <c r="M1053" s="20" t="s">
        <v>1176</v>
      </c>
      <c r="N1053" s="47">
        <v>45540</v>
      </c>
      <c r="O1053" s="20">
        <f>INDEX(Auxiliar!$D$5:$F$13,MATCH(Table1[[#This Row],[Tipologia_Testes]],Auxiliar!$B$5:$B$13,0),MATCH(Table1[[#This Row],[Complexidade]],Auxiliar!$D$4:$F$4,0))</f>
        <v>0.1</v>
      </c>
      <c r="P1053" s="2" t="s">
        <v>1241</v>
      </c>
      <c r="Q1053" s="2"/>
      <c r="R1053" s="151">
        <v>45261</v>
      </c>
      <c r="S1053" s="151"/>
      <c r="T1053" s="151"/>
      <c r="U1053" s="151">
        <v>45603</v>
      </c>
      <c r="V1053" s="151">
        <v>45534</v>
      </c>
      <c r="W1053" s="2">
        <f>VLOOKUP(Table1[[#This Row],[Status]],Auxiliar!$B$16:$D$24,3,0)*Table1[[#This Row],[Estimação (horas)]]</f>
        <v>0.1</v>
      </c>
      <c r="X1053" s="165">
        <f>+VLOOKUP(CONCATENATE(Table1[[#This Row],[Tabela]],Table1[[#This Row],[Campo]]),'2. Status Detalhe Campos FY24'!A:J,9,FALSE)</f>
        <v>0</v>
      </c>
      <c r="Y1053" s="491" t="e">
        <f>+VLOOKUP(A1053,#REF!,1,FALSE)</f>
        <v>#REF!</v>
      </c>
    </row>
    <row r="1054" spans="1:25" ht="17.899999999999999" hidden="1" customHeight="1">
      <c r="A1054" t="str">
        <f>+Table1[[#This Row],[Tabela]]&amp;Table1[[#This Row],[Campo]]</f>
        <v>modesg_inp_nfrd_alinhamento_taxwtr_capex_ttl_elgbl</v>
      </c>
      <c r="B1054" s="12" t="s">
        <v>26</v>
      </c>
      <c r="C1054" s="12" t="s">
        <v>181</v>
      </c>
      <c r="D1054" s="12" t="s">
        <v>1225</v>
      </c>
      <c r="E1054" s="2" t="s">
        <v>38</v>
      </c>
      <c r="F1054" s="12" t="s">
        <v>215</v>
      </c>
      <c r="G1054" s="12" t="s">
        <v>270</v>
      </c>
      <c r="H1054" s="57" t="str">
        <f>Table1[[#This Row],[Tabela]]&amp;Table1[[#This Row],[Campo]]</f>
        <v>modesg_inp_nfrd_alinhamento_taxwtr_capex_ttl_elgbl</v>
      </c>
      <c r="I1054" s="2" t="s">
        <v>612</v>
      </c>
      <c r="J1054" s="45">
        <f>VLOOKUP(Table1[[#This Row],[Status]],Auxiliar!$B$16:$C$24,2,0)</f>
        <v>1</v>
      </c>
      <c r="K1054" s="20" t="s">
        <v>1179</v>
      </c>
      <c r="L1054" s="2" t="s">
        <v>641</v>
      </c>
      <c r="M1054" s="20" t="s">
        <v>1176</v>
      </c>
      <c r="N1054" s="47">
        <v>45540</v>
      </c>
      <c r="O1054" s="20">
        <f>INDEX(Auxiliar!$D$5:$F$13,MATCH(Table1[[#This Row],[Tipologia_Testes]],Auxiliar!$B$5:$B$13,0),MATCH(Table1[[#This Row],[Complexidade]],Auxiliar!$D$4:$F$4,0))</f>
        <v>0.5</v>
      </c>
      <c r="P1054" s="2"/>
      <c r="Q1054" s="2"/>
      <c r="R1054" s="151">
        <v>45261</v>
      </c>
      <c r="S1054" s="151"/>
      <c r="T1054" s="151"/>
      <c r="U1054" s="151">
        <v>45603</v>
      </c>
      <c r="V1054" s="151">
        <v>45534</v>
      </c>
      <c r="W1054" s="2">
        <f>VLOOKUP(Table1[[#This Row],[Status]],Auxiliar!$B$16:$D$24,3,0)*Table1[[#This Row],[Estimação (horas)]]</f>
        <v>0.5</v>
      </c>
      <c r="X1054" s="165">
        <f>+VLOOKUP(CONCATENATE(Table1[[#This Row],[Tabela]],Table1[[#This Row],[Campo]]),'2. Status Detalhe Campos FY24'!A:J,9,FALSE)</f>
        <v>0</v>
      </c>
      <c r="Y1054" s="491" t="e">
        <f>+VLOOKUP(A1054,#REF!,1,FALSE)</f>
        <v>#REF!</v>
      </c>
    </row>
    <row r="1055" spans="1:25" ht="17.899999999999999" hidden="1" customHeight="1">
      <c r="A1055" t="str">
        <f>+Table1[[#This Row],[Tabela]]&amp;Table1[[#This Row],[Campo]]</f>
        <v>modesg_inp_nfrd_alinhamento_taxwtr_capex_enblng_algnd</v>
      </c>
      <c r="B1055" s="12" t="s">
        <v>26</v>
      </c>
      <c r="C1055" s="12" t="s">
        <v>181</v>
      </c>
      <c r="D1055" s="12" t="s">
        <v>1225</v>
      </c>
      <c r="E1055" s="2" t="s">
        <v>38</v>
      </c>
      <c r="F1055" s="12" t="s">
        <v>215</v>
      </c>
      <c r="G1055" s="12" t="s">
        <v>271</v>
      </c>
      <c r="H1055" s="57" t="str">
        <f>Table1[[#This Row],[Tabela]]&amp;Table1[[#This Row],[Campo]]</f>
        <v>modesg_inp_nfrd_alinhamento_taxwtr_capex_enblng_algnd</v>
      </c>
      <c r="I1055" s="2" t="s">
        <v>612</v>
      </c>
      <c r="J1055" s="45">
        <f>VLOOKUP(Table1[[#This Row],[Status]],Auxiliar!$B$16:$C$24,2,0)</f>
        <v>1</v>
      </c>
      <c r="K1055" s="20" t="s">
        <v>1171</v>
      </c>
      <c r="L1055" s="2" t="s">
        <v>641</v>
      </c>
      <c r="M1055" s="20" t="s">
        <v>1176</v>
      </c>
      <c r="N1055" s="47">
        <v>45540</v>
      </c>
      <c r="O1055" s="20">
        <f>INDEX(Auxiliar!$D$5:$F$13,MATCH(Table1[[#This Row],[Tipologia_Testes]],Auxiliar!$B$5:$B$13,0),MATCH(Table1[[#This Row],[Complexidade]],Auxiliar!$D$4:$F$4,0))</f>
        <v>0.1</v>
      </c>
      <c r="P1055" s="2" t="s">
        <v>1241</v>
      </c>
      <c r="Q1055" s="2"/>
      <c r="R1055" s="151">
        <v>45261</v>
      </c>
      <c r="S1055" s="151"/>
      <c r="T1055" s="151"/>
      <c r="U1055" s="151">
        <v>45603</v>
      </c>
      <c r="V1055" s="151">
        <v>45534</v>
      </c>
      <c r="W1055" s="2">
        <f>VLOOKUP(Table1[[#This Row],[Status]],Auxiliar!$B$16:$D$24,3,0)*Table1[[#This Row],[Estimação (horas)]]</f>
        <v>0.1</v>
      </c>
      <c r="X1055" s="165">
        <f>+VLOOKUP(CONCATENATE(Table1[[#This Row],[Tabela]],Table1[[#This Row],[Campo]]),'2. Status Detalhe Campos FY24'!A:J,9,FALSE)</f>
        <v>0</v>
      </c>
      <c r="Y1055" s="491" t="e">
        <f>+VLOOKUP(A1055,#REF!,1,FALSE)</f>
        <v>#REF!</v>
      </c>
    </row>
    <row r="1056" spans="1:25" ht="17.899999999999999" hidden="1" customHeight="1">
      <c r="A1056" t="str">
        <f>+Table1[[#This Row],[Tabela]]&amp;Table1[[#This Row],[Campo]]</f>
        <v>modesg_inp_nfrd_alinhamento_taxwtr_capex_enblng_algnd</v>
      </c>
      <c r="B1056" s="12" t="s">
        <v>26</v>
      </c>
      <c r="C1056" s="12" t="s">
        <v>181</v>
      </c>
      <c r="D1056" s="12" t="s">
        <v>1225</v>
      </c>
      <c r="E1056" s="2" t="s">
        <v>38</v>
      </c>
      <c r="F1056" s="12" t="s">
        <v>215</v>
      </c>
      <c r="G1056" s="12" t="s">
        <v>271</v>
      </c>
      <c r="H1056" s="57" t="str">
        <f>Table1[[#This Row],[Tabela]]&amp;Table1[[#This Row],[Campo]]</f>
        <v>modesg_inp_nfrd_alinhamento_taxwtr_capex_enblng_algnd</v>
      </c>
      <c r="I1056" s="2" t="s">
        <v>612</v>
      </c>
      <c r="J1056" s="45">
        <f>VLOOKUP(Table1[[#This Row],[Status]],Auxiliar!$B$16:$C$24,2,0)</f>
        <v>1</v>
      </c>
      <c r="K1056" s="20" t="s">
        <v>1179</v>
      </c>
      <c r="L1056" s="2" t="s">
        <v>641</v>
      </c>
      <c r="M1056" s="20" t="s">
        <v>1176</v>
      </c>
      <c r="N1056" s="47">
        <v>45540</v>
      </c>
      <c r="O1056" s="20">
        <f>INDEX(Auxiliar!$D$5:$F$13,MATCH(Table1[[#This Row],[Tipologia_Testes]],Auxiliar!$B$5:$B$13,0),MATCH(Table1[[#This Row],[Complexidade]],Auxiliar!$D$4:$F$4,0))</f>
        <v>0.5</v>
      </c>
      <c r="P1056" s="2"/>
      <c r="Q1056" s="2"/>
      <c r="R1056" s="151">
        <v>45261</v>
      </c>
      <c r="S1056" s="151"/>
      <c r="T1056" s="151"/>
      <c r="U1056" s="151">
        <v>45603</v>
      </c>
      <c r="V1056" s="151">
        <v>45534</v>
      </c>
      <c r="W1056" s="2">
        <f>VLOOKUP(Table1[[#This Row],[Status]],Auxiliar!$B$16:$D$24,3,0)*Table1[[#This Row],[Estimação (horas)]]</f>
        <v>0.5</v>
      </c>
      <c r="X1056" s="165">
        <f>+VLOOKUP(CONCATENATE(Table1[[#This Row],[Tabela]],Table1[[#This Row],[Campo]]),'2. Status Detalhe Campos FY24'!A:J,9,FALSE)</f>
        <v>0</v>
      </c>
      <c r="Y1056" s="491" t="e">
        <f>+VLOOKUP(A1056,#REF!,1,FALSE)</f>
        <v>#REF!</v>
      </c>
    </row>
    <row r="1057" spans="1:25" ht="17.899999999999999" hidden="1" customHeight="1">
      <c r="A1057" t="str">
        <f>+Table1[[#This Row],[Tabela]]&amp;Table1[[#This Row],[Campo]]</f>
        <v>modesg_inp_nfrd_alinhamento_taxwtr_capex_own_prfrmnce_algnd</v>
      </c>
      <c r="B1057" s="12" t="s">
        <v>26</v>
      </c>
      <c r="C1057" s="12" t="s">
        <v>181</v>
      </c>
      <c r="D1057" s="12" t="s">
        <v>1225</v>
      </c>
      <c r="E1057" s="2" t="s">
        <v>38</v>
      </c>
      <c r="F1057" s="12" t="s">
        <v>215</v>
      </c>
      <c r="G1057" s="12" t="s">
        <v>272</v>
      </c>
      <c r="H1057" s="57" t="str">
        <f>Table1[[#This Row],[Tabela]]&amp;Table1[[#This Row],[Campo]]</f>
        <v>modesg_inp_nfrd_alinhamento_taxwtr_capex_own_prfrmnce_algnd</v>
      </c>
      <c r="I1057" s="2" t="s">
        <v>612</v>
      </c>
      <c r="J1057" s="45">
        <f>VLOOKUP(Table1[[#This Row],[Status]],Auxiliar!$B$16:$C$24,2,0)</f>
        <v>1</v>
      </c>
      <c r="K1057" s="20" t="s">
        <v>1171</v>
      </c>
      <c r="L1057" s="2" t="s">
        <v>641</v>
      </c>
      <c r="M1057" s="20" t="s">
        <v>1176</v>
      </c>
      <c r="N1057" s="47">
        <v>45540</v>
      </c>
      <c r="O1057" s="20">
        <f>INDEX(Auxiliar!$D$5:$F$13,MATCH(Table1[[#This Row],[Tipologia_Testes]],Auxiliar!$B$5:$B$13,0),MATCH(Table1[[#This Row],[Complexidade]],Auxiliar!$D$4:$F$4,0))</f>
        <v>0.1</v>
      </c>
      <c r="P1057" s="2" t="s">
        <v>1241</v>
      </c>
      <c r="Q1057" s="2"/>
      <c r="R1057" s="151">
        <v>45261</v>
      </c>
      <c r="S1057" s="151"/>
      <c r="T1057" s="151"/>
      <c r="U1057" s="151">
        <v>45603</v>
      </c>
      <c r="V1057" s="151">
        <v>45534</v>
      </c>
      <c r="W1057" s="2">
        <f>VLOOKUP(Table1[[#This Row],[Status]],Auxiliar!$B$16:$D$24,3,0)*Table1[[#This Row],[Estimação (horas)]]</f>
        <v>0.1</v>
      </c>
      <c r="X1057" s="165">
        <f>+VLOOKUP(CONCATENATE(Table1[[#This Row],[Tabela]],Table1[[#This Row],[Campo]]),'2. Status Detalhe Campos FY24'!A:J,9,FALSE)</f>
        <v>0</v>
      </c>
      <c r="Y1057" s="491" t="e">
        <f>+VLOOKUP(A1057,#REF!,1,FALSE)</f>
        <v>#REF!</v>
      </c>
    </row>
    <row r="1058" spans="1:25" ht="17.899999999999999" hidden="1" customHeight="1">
      <c r="A1058" t="str">
        <f>+Table1[[#This Row],[Tabela]]&amp;Table1[[#This Row],[Campo]]</f>
        <v>modesg_inp_nfrd_alinhamento_taxwtr_capex_own_prfrmnce_algnd</v>
      </c>
      <c r="B1058" s="12" t="s">
        <v>26</v>
      </c>
      <c r="C1058" s="12" t="s">
        <v>181</v>
      </c>
      <c r="D1058" s="12" t="s">
        <v>1225</v>
      </c>
      <c r="E1058" s="2" t="s">
        <v>38</v>
      </c>
      <c r="F1058" s="12" t="s">
        <v>215</v>
      </c>
      <c r="G1058" s="12" t="s">
        <v>272</v>
      </c>
      <c r="H1058" s="57" t="str">
        <f>Table1[[#This Row],[Tabela]]&amp;Table1[[#This Row],[Campo]]</f>
        <v>modesg_inp_nfrd_alinhamento_taxwtr_capex_own_prfrmnce_algnd</v>
      </c>
      <c r="I1058" s="2" t="s">
        <v>612</v>
      </c>
      <c r="J1058" s="45">
        <f>VLOOKUP(Table1[[#This Row],[Status]],Auxiliar!$B$16:$C$24,2,0)</f>
        <v>1</v>
      </c>
      <c r="K1058" s="20" t="s">
        <v>1179</v>
      </c>
      <c r="L1058" s="2" t="s">
        <v>641</v>
      </c>
      <c r="M1058" s="20" t="s">
        <v>1176</v>
      </c>
      <c r="N1058" s="47">
        <v>45540</v>
      </c>
      <c r="O1058" s="20">
        <f>INDEX(Auxiliar!$D$5:$F$13,MATCH(Table1[[#This Row],[Tipologia_Testes]],Auxiliar!$B$5:$B$13,0),MATCH(Table1[[#This Row],[Complexidade]],Auxiliar!$D$4:$F$4,0))</f>
        <v>0.5</v>
      </c>
      <c r="P1058" s="2"/>
      <c r="Q1058" s="2"/>
      <c r="R1058" s="151">
        <v>45261</v>
      </c>
      <c r="S1058" s="151"/>
      <c r="T1058" s="151"/>
      <c r="U1058" s="151">
        <v>45603</v>
      </c>
      <c r="V1058" s="151">
        <v>45534</v>
      </c>
      <c r="W1058" s="2">
        <f>VLOOKUP(Table1[[#This Row],[Status]],Auxiliar!$B$16:$D$24,3,0)*Table1[[#This Row],[Estimação (horas)]]</f>
        <v>0.5</v>
      </c>
      <c r="X1058" s="165">
        <f>+VLOOKUP(CONCATENATE(Table1[[#This Row],[Tabela]],Table1[[#This Row],[Campo]]),'2. Status Detalhe Campos FY24'!A:J,9,FALSE)</f>
        <v>0</v>
      </c>
      <c r="Y1058" s="491" t="e">
        <f>+VLOOKUP(A1058,#REF!,1,FALSE)</f>
        <v>#REF!</v>
      </c>
    </row>
    <row r="1059" spans="1:25" ht="17.899999999999999" hidden="1" customHeight="1">
      <c r="A1059" t="str">
        <f>+Table1[[#This Row],[Tabela]]&amp;Table1[[#This Row],[Campo]]</f>
        <v>modesg_inp_nfrd_alinhamento_taxce_trnvr_ttl_elgbl</v>
      </c>
      <c r="B1059" s="12" t="s">
        <v>26</v>
      </c>
      <c r="C1059" s="12" t="s">
        <v>181</v>
      </c>
      <c r="D1059" s="12" t="s">
        <v>1225</v>
      </c>
      <c r="E1059" s="2" t="s">
        <v>38</v>
      </c>
      <c r="F1059" s="12" t="s">
        <v>215</v>
      </c>
      <c r="G1059" s="12" t="s">
        <v>273</v>
      </c>
      <c r="H1059" s="57" t="str">
        <f>Table1[[#This Row],[Tabela]]&amp;Table1[[#This Row],[Campo]]</f>
        <v>modesg_inp_nfrd_alinhamento_taxce_trnvr_ttl_elgbl</v>
      </c>
      <c r="I1059" s="2" t="s">
        <v>612</v>
      </c>
      <c r="J1059" s="45">
        <f>VLOOKUP(Table1[[#This Row],[Status]],Auxiliar!$B$16:$C$24,2,0)</f>
        <v>1</v>
      </c>
      <c r="K1059" s="20" t="s">
        <v>1171</v>
      </c>
      <c r="L1059" s="2" t="s">
        <v>641</v>
      </c>
      <c r="M1059" s="20" t="s">
        <v>1176</v>
      </c>
      <c r="N1059" s="47">
        <v>45540</v>
      </c>
      <c r="O1059" s="20">
        <f>INDEX(Auxiliar!$D$5:$F$13,MATCH(Table1[[#This Row],[Tipologia_Testes]],Auxiliar!$B$5:$B$13,0),MATCH(Table1[[#This Row],[Complexidade]],Auxiliar!$D$4:$F$4,0))</f>
        <v>0.1</v>
      </c>
      <c r="P1059" s="2" t="s">
        <v>1241</v>
      </c>
      <c r="Q1059" s="2"/>
      <c r="R1059" s="151">
        <v>45261</v>
      </c>
      <c r="S1059" s="151"/>
      <c r="T1059" s="151"/>
      <c r="U1059" s="151">
        <v>45603</v>
      </c>
      <c r="V1059" s="151">
        <v>45534</v>
      </c>
      <c r="W1059" s="2">
        <f>VLOOKUP(Table1[[#This Row],[Status]],Auxiliar!$B$16:$D$24,3,0)*Table1[[#This Row],[Estimação (horas)]]</f>
        <v>0.1</v>
      </c>
      <c r="X1059" s="165">
        <f>+VLOOKUP(CONCATENATE(Table1[[#This Row],[Tabela]],Table1[[#This Row],[Campo]]),'2. Status Detalhe Campos FY24'!A:J,9,FALSE)</f>
        <v>0</v>
      </c>
      <c r="Y1059" s="491" t="e">
        <f>+VLOOKUP(A1059,#REF!,1,FALSE)</f>
        <v>#REF!</v>
      </c>
    </row>
    <row r="1060" spans="1:25" ht="17.899999999999999" hidden="1" customHeight="1">
      <c r="A1060" t="str">
        <f>+Table1[[#This Row],[Tabela]]&amp;Table1[[#This Row],[Campo]]</f>
        <v>modesg_inp_nfrd_alinhamento_taxce_trnvr_ttl_elgbl</v>
      </c>
      <c r="B1060" s="12" t="s">
        <v>26</v>
      </c>
      <c r="C1060" s="12" t="s">
        <v>181</v>
      </c>
      <c r="D1060" s="12" t="s">
        <v>1225</v>
      </c>
      <c r="E1060" s="2" t="s">
        <v>38</v>
      </c>
      <c r="F1060" s="12" t="s">
        <v>215</v>
      </c>
      <c r="G1060" s="12" t="s">
        <v>273</v>
      </c>
      <c r="H1060" s="57" t="str">
        <f>Table1[[#This Row],[Tabela]]&amp;Table1[[#This Row],[Campo]]</f>
        <v>modesg_inp_nfrd_alinhamento_taxce_trnvr_ttl_elgbl</v>
      </c>
      <c r="I1060" s="2" t="s">
        <v>612</v>
      </c>
      <c r="J1060" s="45">
        <f>VLOOKUP(Table1[[#This Row],[Status]],Auxiliar!$B$16:$C$24,2,0)</f>
        <v>1</v>
      </c>
      <c r="K1060" s="20" t="s">
        <v>1179</v>
      </c>
      <c r="L1060" s="2" t="s">
        <v>641</v>
      </c>
      <c r="M1060" s="20" t="s">
        <v>1176</v>
      </c>
      <c r="N1060" s="47">
        <v>45540</v>
      </c>
      <c r="O1060" s="20">
        <f>INDEX(Auxiliar!$D$5:$F$13,MATCH(Table1[[#This Row],[Tipologia_Testes]],Auxiliar!$B$5:$B$13,0),MATCH(Table1[[#This Row],[Complexidade]],Auxiliar!$D$4:$F$4,0))</f>
        <v>0.5</v>
      </c>
      <c r="P1060" s="2"/>
      <c r="Q1060" s="2"/>
      <c r="R1060" s="151">
        <v>45261</v>
      </c>
      <c r="S1060" s="151"/>
      <c r="T1060" s="151"/>
      <c r="U1060" s="151">
        <v>45603</v>
      </c>
      <c r="V1060" s="151">
        <v>45534</v>
      </c>
      <c r="W1060" s="2">
        <f>VLOOKUP(Table1[[#This Row],[Status]],Auxiliar!$B$16:$D$24,3,0)*Table1[[#This Row],[Estimação (horas)]]</f>
        <v>0.5</v>
      </c>
      <c r="X1060" s="165">
        <f>+VLOOKUP(CONCATENATE(Table1[[#This Row],[Tabela]],Table1[[#This Row],[Campo]]),'2. Status Detalhe Campos FY24'!A:J,9,FALSE)</f>
        <v>0</v>
      </c>
      <c r="Y1060" s="491" t="e">
        <f>+VLOOKUP(A1060,#REF!,1,FALSE)</f>
        <v>#REF!</v>
      </c>
    </row>
    <row r="1061" spans="1:25" ht="17.899999999999999" hidden="1" customHeight="1">
      <c r="A1061" t="str">
        <f>+Table1[[#This Row],[Tabela]]&amp;Table1[[#This Row],[Campo]]</f>
        <v>modesg_inp_nfrd_alinhamento_taxce_trnvr_enblng_alignd</v>
      </c>
      <c r="B1061" s="12" t="s">
        <v>26</v>
      </c>
      <c r="C1061" s="12" t="s">
        <v>181</v>
      </c>
      <c r="D1061" s="12" t="s">
        <v>1225</v>
      </c>
      <c r="E1061" s="2" t="s">
        <v>38</v>
      </c>
      <c r="F1061" s="12" t="s">
        <v>215</v>
      </c>
      <c r="G1061" s="12" t="s">
        <v>274</v>
      </c>
      <c r="H1061" s="57" t="str">
        <f>Table1[[#This Row],[Tabela]]&amp;Table1[[#This Row],[Campo]]</f>
        <v>modesg_inp_nfrd_alinhamento_taxce_trnvr_enblng_alignd</v>
      </c>
      <c r="I1061" s="2" t="s">
        <v>612</v>
      </c>
      <c r="J1061" s="45">
        <f>VLOOKUP(Table1[[#This Row],[Status]],Auxiliar!$B$16:$C$24,2,0)</f>
        <v>1</v>
      </c>
      <c r="K1061" s="20" t="s">
        <v>1171</v>
      </c>
      <c r="L1061" s="2" t="s">
        <v>641</v>
      </c>
      <c r="M1061" s="20" t="s">
        <v>1176</v>
      </c>
      <c r="N1061" s="47">
        <v>45540</v>
      </c>
      <c r="O1061" s="20">
        <f>INDEX(Auxiliar!$D$5:$F$13,MATCH(Table1[[#This Row],[Tipologia_Testes]],Auxiliar!$B$5:$B$13,0),MATCH(Table1[[#This Row],[Complexidade]],Auxiliar!$D$4:$F$4,0))</f>
        <v>0.1</v>
      </c>
      <c r="P1061" s="2" t="s">
        <v>1241</v>
      </c>
      <c r="Q1061" s="2"/>
      <c r="R1061" s="151">
        <v>45261</v>
      </c>
      <c r="S1061" s="151"/>
      <c r="T1061" s="151"/>
      <c r="U1061" s="151">
        <v>45603</v>
      </c>
      <c r="V1061" s="151">
        <v>45534</v>
      </c>
      <c r="W1061" s="2">
        <f>VLOOKUP(Table1[[#This Row],[Status]],Auxiliar!$B$16:$D$24,3,0)*Table1[[#This Row],[Estimação (horas)]]</f>
        <v>0.1</v>
      </c>
      <c r="X1061" s="165">
        <f>+VLOOKUP(CONCATENATE(Table1[[#This Row],[Tabela]],Table1[[#This Row],[Campo]]),'2. Status Detalhe Campos FY24'!A:J,9,FALSE)</f>
        <v>0</v>
      </c>
      <c r="Y1061" s="491" t="e">
        <f>+VLOOKUP(A1061,#REF!,1,FALSE)</f>
        <v>#REF!</v>
      </c>
    </row>
    <row r="1062" spans="1:25" ht="17.899999999999999" hidden="1" customHeight="1">
      <c r="A1062" t="str">
        <f>+Table1[[#This Row],[Tabela]]&amp;Table1[[#This Row],[Campo]]</f>
        <v>modesg_inp_nfrd_alinhamento_taxce_trnvr_enblng_alignd</v>
      </c>
      <c r="B1062" s="12" t="s">
        <v>26</v>
      </c>
      <c r="C1062" s="12" t="s">
        <v>181</v>
      </c>
      <c r="D1062" s="12" t="s">
        <v>1225</v>
      </c>
      <c r="E1062" s="2" t="s">
        <v>38</v>
      </c>
      <c r="F1062" s="12" t="s">
        <v>215</v>
      </c>
      <c r="G1062" s="12" t="s">
        <v>274</v>
      </c>
      <c r="H1062" s="57" t="str">
        <f>Table1[[#This Row],[Tabela]]&amp;Table1[[#This Row],[Campo]]</f>
        <v>modesg_inp_nfrd_alinhamento_taxce_trnvr_enblng_alignd</v>
      </c>
      <c r="I1062" s="2" t="s">
        <v>612</v>
      </c>
      <c r="J1062" s="45">
        <f>VLOOKUP(Table1[[#This Row],[Status]],Auxiliar!$B$16:$C$24,2,0)</f>
        <v>1</v>
      </c>
      <c r="K1062" s="20" t="s">
        <v>1179</v>
      </c>
      <c r="L1062" s="2" t="s">
        <v>641</v>
      </c>
      <c r="M1062" s="20" t="s">
        <v>1176</v>
      </c>
      <c r="N1062" s="47">
        <v>45540</v>
      </c>
      <c r="O1062" s="20">
        <f>INDEX(Auxiliar!$D$5:$F$13,MATCH(Table1[[#This Row],[Tipologia_Testes]],Auxiliar!$B$5:$B$13,0),MATCH(Table1[[#This Row],[Complexidade]],Auxiliar!$D$4:$F$4,0))</f>
        <v>0.5</v>
      </c>
      <c r="P1062" s="2"/>
      <c r="Q1062" s="2"/>
      <c r="R1062" s="151">
        <v>45261</v>
      </c>
      <c r="S1062" s="151"/>
      <c r="T1062" s="151"/>
      <c r="U1062" s="151">
        <v>45603</v>
      </c>
      <c r="V1062" s="151">
        <v>45534</v>
      </c>
      <c r="W1062" s="2">
        <f>VLOOKUP(Table1[[#This Row],[Status]],Auxiliar!$B$16:$D$24,3,0)*Table1[[#This Row],[Estimação (horas)]]</f>
        <v>0.5</v>
      </c>
      <c r="X1062" s="165">
        <f>+VLOOKUP(CONCATENATE(Table1[[#This Row],[Tabela]],Table1[[#This Row],[Campo]]),'2. Status Detalhe Campos FY24'!A:J,9,FALSE)</f>
        <v>0</v>
      </c>
      <c r="Y1062" s="491" t="e">
        <f>+VLOOKUP(A1062,#REF!,1,FALSE)</f>
        <v>#REF!</v>
      </c>
    </row>
    <row r="1063" spans="1:25" ht="17.899999999999999" hidden="1" customHeight="1">
      <c r="A1063" t="str">
        <f>+Table1[[#This Row],[Tabela]]&amp;Table1[[#This Row],[Campo]]</f>
        <v>modesg_inp_nfrd_alinhamento_taxce_turnover_own_prfrmnce_algnd</v>
      </c>
      <c r="B1063" s="12" t="s">
        <v>26</v>
      </c>
      <c r="C1063" s="12" t="s">
        <v>181</v>
      </c>
      <c r="D1063" s="12" t="s">
        <v>1225</v>
      </c>
      <c r="E1063" s="2" t="s">
        <v>38</v>
      </c>
      <c r="F1063" s="12" t="s">
        <v>215</v>
      </c>
      <c r="G1063" s="12" t="s">
        <v>275</v>
      </c>
      <c r="H1063" s="57" t="str">
        <f>Table1[[#This Row],[Tabela]]&amp;Table1[[#This Row],[Campo]]</f>
        <v>modesg_inp_nfrd_alinhamento_taxce_turnover_own_prfrmnce_algnd</v>
      </c>
      <c r="I1063" s="2" t="s">
        <v>612</v>
      </c>
      <c r="J1063" s="45">
        <f>VLOOKUP(Table1[[#This Row],[Status]],Auxiliar!$B$16:$C$24,2,0)</f>
        <v>1</v>
      </c>
      <c r="K1063" s="20" t="s">
        <v>1171</v>
      </c>
      <c r="L1063" s="2" t="s">
        <v>641</v>
      </c>
      <c r="M1063" s="20" t="s">
        <v>1176</v>
      </c>
      <c r="N1063" s="47">
        <v>45540</v>
      </c>
      <c r="O1063" s="20">
        <f>INDEX(Auxiliar!$D$5:$F$13,MATCH(Table1[[#This Row],[Tipologia_Testes]],Auxiliar!$B$5:$B$13,0),MATCH(Table1[[#This Row],[Complexidade]],Auxiliar!$D$4:$F$4,0))</f>
        <v>0.1</v>
      </c>
      <c r="P1063" s="2" t="s">
        <v>1241</v>
      </c>
      <c r="Q1063" s="2"/>
      <c r="R1063" s="151">
        <v>45261</v>
      </c>
      <c r="S1063" s="151"/>
      <c r="T1063" s="151"/>
      <c r="U1063" s="151">
        <v>45603</v>
      </c>
      <c r="V1063" s="151">
        <v>45534</v>
      </c>
      <c r="W1063" s="2">
        <f>VLOOKUP(Table1[[#This Row],[Status]],Auxiliar!$B$16:$D$24,3,0)*Table1[[#This Row],[Estimação (horas)]]</f>
        <v>0.1</v>
      </c>
      <c r="X1063" s="165">
        <f>+VLOOKUP(CONCATENATE(Table1[[#This Row],[Tabela]],Table1[[#This Row],[Campo]]),'2. Status Detalhe Campos FY24'!A:J,9,FALSE)</f>
        <v>0</v>
      </c>
      <c r="Y1063" s="491" t="e">
        <f>+VLOOKUP(A1063,#REF!,1,FALSE)</f>
        <v>#REF!</v>
      </c>
    </row>
    <row r="1064" spans="1:25" ht="17.899999999999999" hidden="1" customHeight="1">
      <c r="A1064" t="str">
        <f>+Table1[[#This Row],[Tabela]]&amp;Table1[[#This Row],[Campo]]</f>
        <v>modesg_inp_nfrd_alinhamento_taxce_turnover_own_prfrmnce_algnd</v>
      </c>
      <c r="B1064" s="12" t="s">
        <v>26</v>
      </c>
      <c r="C1064" s="12" t="s">
        <v>181</v>
      </c>
      <c r="D1064" s="12" t="s">
        <v>1225</v>
      </c>
      <c r="E1064" s="2" t="s">
        <v>38</v>
      </c>
      <c r="F1064" s="12" t="s">
        <v>215</v>
      </c>
      <c r="G1064" s="12" t="s">
        <v>275</v>
      </c>
      <c r="H1064" s="57" t="str">
        <f>Table1[[#This Row],[Tabela]]&amp;Table1[[#This Row],[Campo]]</f>
        <v>modesg_inp_nfrd_alinhamento_taxce_turnover_own_prfrmnce_algnd</v>
      </c>
      <c r="I1064" s="2" t="s">
        <v>612</v>
      </c>
      <c r="J1064" s="45">
        <f>VLOOKUP(Table1[[#This Row],[Status]],Auxiliar!$B$16:$C$24,2,0)</f>
        <v>1</v>
      </c>
      <c r="K1064" s="20" t="s">
        <v>1179</v>
      </c>
      <c r="L1064" s="2" t="s">
        <v>641</v>
      </c>
      <c r="M1064" s="20" t="s">
        <v>1176</v>
      </c>
      <c r="N1064" s="47">
        <v>45540</v>
      </c>
      <c r="O1064" s="20">
        <f>INDEX(Auxiliar!$D$5:$F$13,MATCH(Table1[[#This Row],[Tipologia_Testes]],Auxiliar!$B$5:$B$13,0),MATCH(Table1[[#This Row],[Complexidade]],Auxiliar!$D$4:$F$4,0))</f>
        <v>0.5</v>
      </c>
      <c r="P1064" s="2"/>
      <c r="Q1064" s="2"/>
      <c r="R1064" s="151">
        <v>45261</v>
      </c>
      <c r="S1064" s="151"/>
      <c r="T1064" s="151"/>
      <c r="U1064" s="151">
        <v>45603</v>
      </c>
      <c r="V1064" s="151">
        <v>45534</v>
      </c>
      <c r="W1064" s="2">
        <f>VLOOKUP(Table1[[#This Row],[Status]],Auxiliar!$B$16:$D$24,3,0)*Table1[[#This Row],[Estimação (horas)]]</f>
        <v>0.5</v>
      </c>
      <c r="X1064" s="165">
        <f>+VLOOKUP(CONCATENATE(Table1[[#This Row],[Tabela]],Table1[[#This Row],[Campo]]),'2. Status Detalhe Campos FY24'!A:J,9,FALSE)</f>
        <v>0</v>
      </c>
      <c r="Y1064" s="491" t="e">
        <f>+VLOOKUP(A1064,#REF!,1,FALSE)</f>
        <v>#REF!</v>
      </c>
    </row>
    <row r="1065" spans="1:25" ht="17.899999999999999" hidden="1" customHeight="1">
      <c r="A1065" t="str">
        <f>+Table1[[#This Row],[Tabela]]&amp;Table1[[#This Row],[Campo]]</f>
        <v>modesg_inp_nfrd_alinhamento_taxce_capex_ttl_elgbl</v>
      </c>
      <c r="B1065" s="12" t="s">
        <v>26</v>
      </c>
      <c r="C1065" s="12" t="s">
        <v>181</v>
      </c>
      <c r="D1065" s="12" t="s">
        <v>1225</v>
      </c>
      <c r="E1065" s="2" t="s">
        <v>38</v>
      </c>
      <c r="F1065" s="12" t="s">
        <v>215</v>
      </c>
      <c r="G1065" s="12" t="s">
        <v>276</v>
      </c>
      <c r="H1065" s="57" t="str">
        <f>Table1[[#This Row],[Tabela]]&amp;Table1[[#This Row],[Campo]]</f>
        <v>modesg_inp_nfrd_alinhamento_taxce_capex_ttl_elgbl</v>
      </c>
      <c r="I1065" s="2" t="s">
        <v>612</v>
      </c>
      <c r="J1065" s="45">
        <f>VLOOKUP(Table1[[#This Row],[Status]],Auxiliar!$B$16:$C$24,2,0)</f>
        <v>1</v>
      </c>
      <c r="K1065" s="20" t="s">
        <v>1171</v>
      </c>
      <c r="L1065" s="2" t="s">
        <v>641</v>
      </c>
      <c r="M1065" s="20" t="s">
        <v>1176</v>
      </c>
      <c r="N1065" s="47">
        <v>45540</v>
      </c>
      <c r="O1065" s="20">
        <f>INDEX(Auxiliar!$D$5:$F$13,MATCH(Table1[[#This Row],[Tipologia_Testes]],Auxiliar!$B$5:$B$13,0),MATCH(Table1[[#This Row],[Complexidade]],Auxiliar!$D$4:$F$4,0))</f>
        <v>0.1</v>
      </c>
      <c r="P1065" s="2" t="s">
        <v>1241</v>
      </c>
      <c r="Q1065" s="2"/>
      <c r="R1065" s="151">
        <v>45261</v>
      </c>
      <c r="S1065" s="151"/>
      <c r="T1065" s="151"/>
      <c r="U1065" s="151">
        <v>45603</v>
      </c>
      <c r="V1065" s="151">
        <v>45534</v>
      </c>
      <c r="W1065" s="2">
        <f>VLOOKUP(Table1[[#This Row],[Status]],Auxiliar!$B$16:$D$24,3,0)*Table1[[#This Row],[Estimação (horas)]]</f>
        <v>0.1</v>
      </c>
      <c r="X1065" s="165">
        <f>+VLOOKUP(CONCATENATE(Table1[[#This Row],[Tabela]],Table1[[#This Row],[Campo]]),'2. Status Detalhe Campos FY24'!A:J,9,FALSE)</f>
        <v>0</v>
      </c>
      <c r="Y1065" s="491" t="e">
        <f>+VLOOKUP(A1065,#REF!,1,FALSE)</f>
        <v>#REF!</v>
      </c>
    </row>
    <row r="1066" spans="1:25" ht="17.899999999999999" hidden="1" customHeight="1">
      <c r="A1066" t="str">
        <f>+Table1[[#This Row],[Tabela]]&amp;Table1[[#This Row],[Campo]]</f>
        <v>modesg_inp_nfrd_alinhamento_taxce_capex_ttl_elgbl</v>
      </c>
      <c r="B1066" s="12" t="s">
        <v>26</v>
      </c>
      <c r="C1066" s="12" t="s">
        <v>181</v>
      </c>
      <c r="D1066" s="12" t="s">
        <v>1225</v>
      </c>
      <c r="E1066" s="2" t="s">
        <v>38</v>
      </c>
      <c r="F1066" s="12" t="s">
        <v>215</v>
      </c>
      <c r="G1066" s="12" t="s">
        <v>276</v>
      </c>
      <c r="H1066" s="57" t="str">
        <f>Table1[[#This Row],[Tabela]]&amp;Table1[[#This Row],[Campo]]</f>
        <v>modesg_inp_nfrd_alinhamento_taxce_capex_ttl_elgbl</v>
      </c>
      <c r="I1066" s="2" t="s">
        <v>612</v>
      </c>
      <c r="J1066" s="45">
        <f>VLOOKUP(Table1[[#This Row],[Status]],Auxiliar!$B$16:$C$24,2,0)</f>
        <v>1</v>
      </c>
      <c r="K1066" s="20" t="s">
        <v>1179</v>
      </c>
      <c r="L1066" s="2" t="s">
        <v>641</v>
      </c>
      <c r="M1066" s="20" t="s">
        <v>1176</v>
      </c>
      <c r="N1066" s="47">
        <v>45540</v>
      </c>
      <c r="O1066" s="20">
        <f>INDEX(Auxiliar!$D$5:$F$13,MATCH(Table1[[#This Row],[Tipologia_Testes]],Auxiliar!$B$5:$B$13,0),MATCH(Table1[[#This Row],[Complexidade]],Auxiliar!$D$4:$F$4,0))</f>
        <v>0.5</v>
      </c>
      <c r="P1066" s="2"/>
      <c r="Q1066" s="2"/>
      <c r="R1066" s="151">
        <v>45261</v>
      </c>
      <c r="S1066" s="151"/>
      <c r="T1066" s="151"/>
      <c r="U1066" s="151">
        <v>45603</v>
      </c>
      <c r="V1066" s="151">
        <v>45534</v>
      </c>
      <c r="W1066" s="2">
        <f>VLOOKUP(Table1[[#This Row],[Status]],Auxiliar!$B$16:$D$24,3,0)*Table1[[#This Row],[Estimação (horas)]]</f>
        <v>0.5</v>
      </c>
      <c r="X1066" s="165">
        <f>+VLOOKUP(CONCATENATE(Table1[[#This Row],[Tabela]],Table1[[#This Row],[Campo]]),'2. Status Detalhe Campos FY24'!A:J,9,FALSE)</f>
        <v>0</v>
      </c>
      <c r="Y1066" s="491" t="e">
        <f>+VLOOKUP(A1066,#REF!,1,FALSE)</f>
        <v>#REF!</v>
      </c>
    </row>
    <row r="1067" spans="1:25" ht="17.899999999999999" hidden="1" customHeight="1">
      <c r="A1067" t="str">
        <f>+Table1[[#This Row],[Tabela]]&amp;Table1[[#This Row],[Campo]]</f>
        <v>modesg_inp_nfrd_alinhamento_taxce_capex_enblng_algnd</v>
      </c>
      <c r="B1067" s="12" t="s">
        <v>26</v>
      </c>
      <c r="C1067" s="12" t="s">
        <v>181</v>
      </c>
      <c r="D1067" s="12" t="s">
        <v>1225</v>
      </c>
      <c r="E1067" s="2" t="s">
        <v>38</v>
      </c>
      <c r="F1067" s="12" t="s">
        <v>215</v>
      </c>
      <c r="G1067" s="12" t="s">
        <v>277</v>
      </c>
      <c r="H1067" s="57" t="str">
        <f>Table1[[#This Row],[Tabela]]&amp;Table1[[#This Row],[Campo]]</f>
        <v>modesg_inp_nfrd_alinhamento_taxce_capex_enblng_algnd</v>
      </c>
      <c r="I1067" s="2" t="s">
        <v>612</v>
      </c>
      <c r="J1067" s="45">
        <f>VLOOKUP(Table1[[#This Row],[Status]],Auxiliar!$B$16:$C$24,2,0)</f>
        <v>1</v>
      </c>
      <c r="K1067" s="20" t="s">
        <v>1171</v>
      </c>
      <c r="L1067" s="2" t="s">
        <v>641</v>
      </c>
      <c r="M1067" s="20" t="s">
        <v>1176</v>
      </c>
      <c r="N1067" s="47">
        <v>45540</v>
      </c>
      <c r="O1067" s="20">
        <f>INDEX(Auxiliar!$D$5:$F$13,MATCH(Table1[[#This Row],[Tipologia_Testes]],Auxiliar!$B$5:$B$13,0),MATCH(Table1[[#This Row],[Complexidade]],Auxiliar!$D$4:$F$4,0))</f>
        <v>0.1</v>
      </c>
      <c r="P1067" s="2" t="s">
        <v>1241</v>
      </c>
      <c r="Q1067" s="2"/>
      <c r="R1067" s="151">
        <v>45261</v>
      </c>
      <c r="S1067" s="151"/>
      <c r="T1067" s="151"/>
      <c r="U1067" s="151">
        <v>45603</v>
      </c>
      <c r="V1067" s="151">
        <v>45534</v>
      </c>
      <c r="W1067" s="2">
        <f>VLOOKUP(Table1[[#This Row],[Status]],Auxiliar!$B$16:$D$24,3,0)*Table1[[#This Row],[Estimação (horas)]]</f>
        <v>0.1</v>
      </c>
      <c r="X1067" s="165">
        <f>+VLOOKUP(CONCATENATE(Table1[[#This Row],[Tabela]],Table1[[#This Row],[Campo]]),'2. Status Detalhe Campos FY24'!A:J,9,FALSE)</f>
        <v>0</v>
      </c>
      <c r="Y1067" s="491" t="e">
        <f>+VLOOKUP(A1067,#REF!,1,FALSE)</f>
        <v>#REF!</v>
      </c>
    </row>
    <row r="1068" spans="1:25" ht="17.899999999999999" hidden="1" customHeight="1">
      <c r="A1068" t="str">
        <f>+Table1[[#This Row],[Tabela]]&amp;Table1[[#This Row],[Campo]]</f>
        <v>modesg_inp_nfrd_alinhamento_taxce_capex_enblng_algnd</v>
      </c>
      <c r="B1068" s="12" t="s">
        <v>26</v>
      </c>
      <c r="C1068" s="12" t="s">
        <v>181</v>
      </c>
      <c r="D1068" s="12" t="s">
        <v>1225</v>
      </c>
      <c r="E1068" s="2" t="s">
        <v>38</v>
      </c>
      <c r="F1068" s="12" t="s">
        <v>215</v>
      </c>
      <c r="G1068" s="12" t="s">
        <v>277</v>
      </c>
      <c r="H1068" s="57" t="str">
        <f>Table1[[#This Row],[Tabela]]&amp;Table1[[#This Row],[Campo]]</f>
        <v>modesg_inp_nfrd_alinhamento_taxce_capex_enblng_algnd</v>
      </c>
      <c r="I1068" s="2" t="s">
        <v>612</v>
      </c>
      <c r="J1068" s="45">
        <f>VLOOKUP(Table1[[#This Row],[Status]],Auxiliar!$B$16:$C$24,2,0)</f>
        <v>1</v>
      </c>
      <c r="K1068" s="20" t="s">
        <v>1179</v>
      </c>
      <c r="L1068" s="2" t="s">
        <v>641</v>
      </c>
      <c r="M1068" s="20" t="s">
        <v>1176</v>
      </c>
      <c r="N1068" s="47">
        <v>45540</v>
      </c>
      <c r="O1068" s="20">
        <f>INDEX(Auxiliar!$D$5:$F$13,MATCH(Table1[[#This Row],[Tipologia_Testes]],Auxiliar!$B$5:$B$13,0),MATCH(Table1[[#This Row],[Complexidade]],Auxiliar!$D$4:$F$4,0))</f>
        <v>0.5</v>
      </c>
      <c r="P1068" s="2"/>
      <c r="Q1068" s="2"/>
      <c r="R1068" s="151">
        <v>45261</v>
      </c>
      <c r="S1068" s="151"/>
      <c r="T1068" s="151"/>
      <c r="U1068" s="151">
        <v>45603</v>
      </c>
      <c r="V1068" s="151">
        <v>45534</v>
      </c>
      <c r="W1068" s="2">
        <f>VLOOKUP(Table1[[#This Row],[Status]],Auxiliar!$B$16:$D$24,3,0)*Table1[[#This Row],[Estimação (horas)]]</f>
        <v>0.5</v>
      </c>
      <c r="X1068" s="165">
        <f>+VLOOKUP(CONCATENATE(Table1[[#This Row],[Tabela]],Table1[[#This Row],[Campo]]),'2. Status Detalhe Campos FY24'!A:J,9,FALSE)</f>
        <v>0</v>
      </c>
      <c r="Y1068" s="491" t="e">
        <f>+VLOOKUP(A1068,#REF!,1,FALSE)</f>
        <v>#REF!</v>
      </c>
    </row>
    <row r="1069" spans="1:25" ht="17.899999999999999" hidden="1" customHeight="1">
      <c r="A1069" t="str">
        <f>+Table1[[#This Row],[Tabela]]&amp;Table1[[#This Row],[Campo]]</f>
        <v>modesg_inp_nfrd_alinhamento_taxce_capex_own_prfrmnce_algnd</v>
      </c>
      <c r="B1069" s="12" t="s">
        <v>26</v>
      </c>
      <c r="C1069" s="12" t="s">
        <v>181</v>
      </c>
      <c r="D1069" s="12" t="s">
        <v>1225</v>
      </c>
      <c r="E1069" s="2" t="s">
        <v>38</v>
      </c>
      <c r="F1069" s="12" t="s">
        <v>215</v>
      </c>
      <c r="G1069" s="12" t="s">
        <v>278</v>
      </c>
      <c r="H1069" s="57" t="str">
        <f>Table1[[#This Row],[Tabela]]&amp;Table1[[#This Row],[Campo]]</f>
        <v>modesg_inp_nfrd_alinhamento_taxce_capex_own_prfrmnce_algnd</v>
      </c>
      <c r="I1069" s="2" t="s">
        <v>612</v>
      </c>
      <c r="J1069" s="45">
        <f>VLOOKUP(Table1[[#This Row],[Status]],Auxiliar!$B$16:$C$24,2,0)</f>
        <v>1</v>
      </c>
      <c r="K1069" s="20" t="s">
        <v>1171</v>
      </c>
      <c r="L1069" s="2" t="s">
        <v>641</v>
      </c>
      <c r="M1069" s="20" t="s">
        <v>1176</v>
      </c>
      <c r="N1069" s="47">
        <v>45540</v>
      </c>
      <c r="O1069" s="20">
        <f>INDEX(Auxiliar!$D$5:$F$13,MATCH(Table1[[#This Row],[Tipologia_Testes]],Auxiliar!$B$5:$B$13,0),MATCH(Table1[[#This Row],[Complexidade]],Auxiliar!$D$4:$F$4,0))</f>
        <v>0.1</v>
      </c>
      <c r="P1069" s="2" t="s">
        <v>1241</v>
      </c>
      <c r="Q1069" s="2"/>
      <c r="R1069" s="151">
        <v>45261</v>
      </c>
      <c r="S1069" s="151"/>
      <c r="T1069" s="151"/>
      <c r="U1069" s="151">
        <v>45603</v>
      </c>
      <c r="V1069" s="151">
        <v>45534</v>
      </c>
      <c r="W1069" s="2">
        <f>VLOOKUP(Table1[[#This Row],[Status]],Auxiliar!$B$16:$D$24,3,0)*Table1[[#This Row],[Estimação (horas)]]</f>
        <v>0.1</v>
      </c>
      <c r="X1069" s="165">
        <f>+VLOOKUP(CONCATENATE(Table1[[#This Row],[Tabela]],Table1[[#This Row],[Campo]]),'2. Status Detalhe Campos FY24'!A:J,9,FALSE)</f>
        <v>0</v>
      </c>
      <c r="Y1069" s="491" t="e">
        <f>+VLOOKUP(A1069,#REF!,1,FALSE)</f>
        <v>#REF!</v>
      </c>
    </row>
    <row r="1070" spans="1:25" ht="17.899999999999999" hidden="1" customHeight="1">
      <c r="A1070" t="str">
        <f>+Table1[[#This Row],[Tabela]]&amp;Table1[[#This Row],[Campo]]</f>
        <v>modesg_inp_nfrd_alinhamento_taxce_capex_own_prfrmnce_algnd</v>
      </c>
      <c r="B1070" s="12" t="s">
        <v>26</v>
      </c>
      <c r="C1070" s="12" t="s">
        <v>181</v>
      </c>
      <c r="D1070" s="12" t="s">
        <v>1225</v>
      </c>
      <c r="E1070" s="2" t="s">
        <v>38</v>
      </c>
      <c r="F1070" s="12" t="s">
        <v>215</v>
      </c>
      <c r="G1070" s="12" t="s">
        <v>278</v>
      </c>
      <c r="H1070" s="57" t="str">
        <f>Table1[[#This Row],[Tabela]]&amp;Table1[[#This Row],[Campo]]</f>
        <v>modesg_inp_nfrd_alinhamento_taxce_capex_own_prfrmnce_algnd</v>
      </c>
      <c r="I1070" s="2" t="s">
        <v>612</v>
      </c>
      <c r="J1070" s="45">
        <f>VLOOKUP(Table1[[#This Row],[Status]],Auxiliar!$B$16:$C$24,2,0)</f>
        <v>1</v>
      </c>
      <c r="K1070" s="20" t="s">
        <v>1179</v>
      </c>
      <c r="L1070" s="2" t="s">
        <v>641</v>
      </c>
      <c r="M1070" s="20" t="s">
        <v>1176</v>
      </c>
      <c r="N1070" s="47">
        <v>45540</v>
      </c>
      <c r="O1070" s="20">
        <f>INDEX(Auxiliar!$D$5:$F$13,MATCH(Table1[[#This Row],[Tipologia_Testes]],Auxiliar!$B$5:$B$13,0),MATCH(Table1[[#This Row],[Complexidade]],Auxiliar!$D$4:$F$4,0))</f>
        <v>0.5</v>
      </c>
      <c r="P1070" s="2"/>
      <c r="Q1070" s="2"/>
      <c r="R1070" s="151">
        <v>45261</v>
      </c>
      <c r="S1070" s="151"/>
      <c r="T1070" s="151"/>
      <c r="U1070" s="151">
        <v>45603</v>
      </c>
      <c r="V1070" s="151">
        <v>45534</v>
      </c>
      <c r="W1070" s="2">
        <f>VLOOKUP(Table1[[#This Row],[Status]],Auxiliar!$B$16:$D$24,3,0)*Table1[[#This Row],[Estimação (horas)]]</f>
        <v>0.5</v>
      </c>
      <c r="X1070" s="165">
        <f>+VLOOKUP(CONCATENATE(Table1[[#This Row],[Tabela]],Table1[[#This Row],[Campo]]),'2. Status Detalhe Campos FY24'!A:J,9,FALSE)</f>
        <v>0</v>
      </c>
      <c r="Y1070" s="491" t="e">
        <f>+VLOOKUP(A1070,#REF!,1,FALSE)</f>
        <v>#REF!</v>
      </c>
    </row>
    <row r="1071" spans="1:25" ht="17.899999999999999" hidden="1" customHeight="1">
      <c r="A1071" t="str">
        <f>+Table1[[#This Row],[Tabela]]&amp;Table1[[#This Row],[Campo]]</f>
        <v>modesg_inp_risco_fisicoref_date</v>
      </c>
      <c r="B1071" s="12" t="s">
        <v>26</v>
      </c>
      <c r="C1071" s="12" t="s">
        <v>181</v>
      </c>
      <c r="D1071" s="12" t="s">
        <v>1226</v>
      </c>
      <c r="E1071" s="2" t="s">
        <v>38</v>
      </c>
      <c r="F1071" s="12" t="s">
        <v>216</v>
      </c>
      <c r="G1071" s="12" t="s">
        <v>208</v>
      </c>
      <c r="H1071" s="57" t="str">
        <f>Table1[[#This Row],[Tabela]]&amp;Table1[[#This Row],[Campo]]</f>
        <v>modesg_inp_risco_fisicoref_date</v>
      </c>
      <c r="I1071" s="3" t="s">
        <v>612</v>
      </c>
      <c r="J1071" s="53">
        <f>VLOOKUP(Table1[[#This Row],[Status]],Auxiliar!$B$16:$C$24,2,0)</f>
        <v>1</v>
      </c>
      <c r="K1071" s="20" t="s">
        <v>1179</v>
      </c>
      <c r="L1071" s="2" t="s">
        <v>641</v>
      </c>
      <c r="M1071" s="20" t="s">
        <v>1176</v>
      </c>
      <c r="N1071" s="47">
        <v>45485</v>
      </c>
      <c r="O1071" s="20">
        <f>INDEX(Auxiliar!$D$5:$F$13,MATCH(Table1[[#This Row],[Tipologia_Testes]],Auxiliar!$B$5:$B$13,0),MATCH(Table1[[#This Row],[Complexidade]],Auxiliar!$D$4:$F$4,0))</f>
        <v>0.5</v>
      </c>
      <c r="P1071" s="2"/>
      <c r="Q1071" s="2"/>
      <c r="R1071" s="151">
        <v>45261</v>
      </c>
      <c r="S1071" s="151"/>
      <c r="T1071" s="151"/>
      <c r="U1071" s="151">
        <v>45603</v>
      </c>
      <c r="V1071" s="151"/>
      <c r="W1071" s="2">
        <f>VLOOKUP(Table1[[#This Row],[Status]],Auxiliar!$B$16:$D$24,3,0)*Table1[[#This Row],[Estimação (horas)]]</f>
        <v>0.5</v>
      </c>
      <c r="X1071" s="165">
        <f>+VLOOKUP(CONCATENATE(Table1[[#This Row],[Tabela]],Table1[[#This Row],[Campo]]),'2. Status Detalhe Campos FY24'!A:J,9,FALSE)</f>
        <v>0</v>
      </c>
      <c r="Y1071" s="491" t="e">
        <f>+VLOOKUP(A1071,#REF!,1,FALSE)</f>
        <v>#REF!</v>
      </c>
    </row>
    <row r="1072" spans="1:25" ht="17.899999999999999" hidden="1" customHeight="1">
      <c r="A1072" t="str">
        <f>+Table1[[#This Row],[Tabela]]&amp;Table1[[#This Row],[Campo]]</f>
        <v>modesg_inp_risco_fisicocod_pais</v>
      </c>
      <c r="B1072" s="12" t="s">
        <v>26</v>
      </c>
      <c r="C1072" s="12" t="s">
        <v>181</v>
      </c>
      <c r="D1072" s="12" t="s">
        <v>1226</v>
      </c>
      <c r="E1072" s="2" t="s">
        <v>38</v>
      </c>
      <c r="F1072" s="12" t="s">
        <v>216</v>
      </c>
      <c r="G1072" s="12" t="s">
        <v>279</v>
      </c>
      <c r="H1072" s="57" t="str">
        <f>Table1[[#This Row],[Tabela]]&amp;Table1[[#This Row],[Campo]]</f>
        <v>modesg_inp_risco_fisicocod_pais</v>
      </c>
      <c r="I1072" s="3" t="s">
        <v>612</v>
      </c>
      <c r="J1072" s="53">
        <f>VLOOKUP(Table1[[#This Row],[Status]],Auxiliar!$B$16:$C$24,2,0)</f>
        <v>1</v>
      </c>
      <c r="K1072" s="20" t="s">
        <v>1171</v>
      </c>
      <c r="L1072" s="2" t="s">
        <v>1174</v>
      </c>
      <c r="M1072" s="20" t="s">
        <v>1176</v>
      </c>
      <c r="N1072" s="47">
        <v>45485</v>
      </c>
      <c r="O1072" s="20">
        <f>INDEX(Auxiliar!$D$5:$F$13,MATCH(Table1[[#This Row],[Tipologia_Testes]],Auxiliar!$B$5:$B$13,0),MATCH(Table1[[#This Row],[Complexidade]],Auxiliar!$D$4:$F$4,0))</f>
        <v>0.1</v>
      </c>
      <c r="P1072" s="2" t="s">
        <v>1242</v>
      </c>
      <c r="Q1072" s="2"/>
      <c r="R1072" s="151">
        <v>45261</v>
      </c>
      <c r="S1072" s="151"/>
      <c r="T1072" s="151"/>
      <c r="U1072" s="151">
        <v>45603</v>
      </c>
      <c r="V1072" s="151"/>
      <c r="W1072" s="2">
        <f>VLOOKUP(Table1[[#This Row],[Status]],Auxiliar!$B$16:$D$24,3,0)*Table1[[#This Row],[Estimação (horas)]]</f>
        <v>0.1</v>
      </c>
      <c r="X1072" s="165">
        <f>+VLOOKUP(CONCATENATE(Table1[[#This Row],[Tabela]],Table1[[#This Row],[Campo]]),'2. Status Detalhe Campos FY24'!A:J,9,FALSE)</f>
        <v>0</v>
      </c>
      <c r="Y1072" s="491" t="e">
        <f>+VLOOKUP(A1072,#REF!,1,FALSE)</f>
        <v>#REF!</v>
      </c>
    </row>
    <row r="1073" spans="1:25" ht="17.899999999999999" hidden="1" customHeight="1">
      <c r="A1073" t="str">
        <f>+Table1[[#This Row],[Tabela]]&amp;Table1[[#This Row],[Campo]]</f>
        <v>modesg_inp_risco_fisicocod_pais</v>
      </c>
      <c r="B1073" s="12" t="s">
        <v>26</v>
      </c>
      <c r="C1073" s="12" t="s">
        <v>181</v>
      </c>
      <c r="D1073" s="12" t="s">
        <v>1226</v>
      </c>
      <c r="E1073" s="2" t="s">
        <v>38</v>
      </c>
      <c r="F1073" s="12" t="s">
        <v>216</v>
      </c>
      <c r="G1073" s="12" t="s">
        <v>279</v>
      </c>
      <c r="H1073" s="57" t="str">
        <f>Table1[[#This Row],[Tabela]]&amp;Table1[[#This Row],[Campo]]</f>
        <v>modesg_inp_risco_fisicocod_pais</v>
      </c>
      <c r="I1073" s="3" t="s">
        <v>612</v>
      </c>
      <c r="J1073" s="53">
        <f>VLOOKUP(Table1[[#This Row],[Status]],Auxiliar!$B$16:$C$24,2,0)</f>
        <v>1</v>
      </c>
      <c r="K1073" s="20" t="s">
        <v>1179</v>
      </c>
      <c r="L1073" s="2" t="s">
        <v>1174</v>
      </c>
      <c r="M1073" s="20" t="s">
        <v>1176</v>
      </c>
      <c r="N1073" s="47">
        <v>45485</v>
      </c>
      <c r="O1073" s="20">
        <f>INDEX(Auxiliar!$D$5:$F$13,MATCH(Table1[[#This Row],[Tipologia_Testes]],Auxiliar!$B$5:$B$13,0),MATCH(Table1[[#This Row],[Complexidade]],Auxiliar!$D$4:$F$4,0))</f>
        <v>0.5</v>
      </c>
      <c r="P1073" s="2"/>
      <c r="Q1073" s="2"/>
      <c r="R1073" s="151">
        <v>45261</v>
      </c>
      <c r="S1073" s="151"/>
      <c r="T1073" s="151"/>
      <c r="U1073" s="151">
        <v>45603</v>
      </c>
      <c r="V1073" s="151"/>
      <c r="W1073" s="2">
        <f>VLOOKUP(Table1[[#This Row],[Status]],Auxiliar!$B$16:$D$24,3,0)*Table1[[#This Row],[Estimação (horas)]]</f>
        <v>0.5</v>
      </c>
      <c r="X1073" s="165">
        <f>+VLOOKUP(CONCATENATE(Table1[[#This Row],[Tabela]],Table1[[#This Row],[Campo]]),'2. Status Detalhe Campos FY24'!A:J,9,FALSE)</f>
        <v>0</v>
      </c>
      <c r="Y1073" s="491" t="e">
        <f>+VLOOKUP(A1073,#REF!,1,FALSE)</f>
        <v>#REF!</v>
      </c>
    </row>
    <row r="1074" spans="1:25" ht="17.899999999999999" hidden="1" customHeight="1">
      <c r="A1074" t="str">
        <f>+Table1[[#This Row],[Tabela]]&amp;Table1[[#This Row],[Campo]]</f>
        <v>modesg_inp_risco_fisicocod_nutiii</v>
      </c>
      <c r="B1074" s="12" t="s">
        <v>26</v>
      </c>
      <c r="C1074" s="12" t="s">
        <v>181</v>
      </c>
      <c r="D1074" s="12" t="s">
        <v>1226</v>
      </c>
      <c r="E1074" s="2" t="s">
        <v>38</v>
      </c>
      <c r="F1074" s="12" t="s">
        <v>216</v>
      </c>
      <c r="G1074" s="12" t="s">
        <v>280</v>
      </c>
      <c r="H1074" s="57" t="str">
        <f>Table1[[#This Row],[Tabela]]&amp;Table1[[#This Row],[Campo]]</f>
        <v>modesg_inp_risco_fisicocod_nutiii</v>
      </c>
      <c r="I1074" s="3" t="s">
        <v>612</v>
      </c>
      <c r="J1074" s="53">
        <f>VLOOKUP(Table1[[#This Row],[Status]],Auxiliar!$B$16:$C$24,2,0)</f>
        <v>1</v>
      </c>
      <c r="K1074" s="20" t="s">
        <v>1179</v>
      </c>
      <c r="L1074" s="2" t="s">
        <v>1174</v>
      </c>
      <c r="M1074" s="20" t="s">
        <v>1176</v>
      </c>
      <c r="N1074" s="47">
        <v>45485</v>
      </c>
      <c r="O1074" s="20">
        <f>INDEX(Auxiliar!$D$5:$F$13,MATCH(Table1[[#This Row],[Tipologia_Testes]],Auxiliar!$B$5:$B$13,0),MATCH(Table1[[#This Row],[Complexidade]],Auxiliar!$D$4:$F$4,0))</f>
        <v>0.5</v>
      </c>
      <c r="P1074" s="2"/>
      <c r="Q1074" s="2"/>
      <c r="R1074" s="151">
        <v>45261</v>
      </c>
      <c r="S1074" s="151"/>
      <c r="T1074" s="151"/>
      <c r="U1074" s="151">
        <v>45603</v>
      </c>
      <c r="V1074" s="151"/>
      <c r="W1074" s="2">
        <f>VLOOKUP(Table1[[#This Row],[Status]],Auxiliar!$B$16:$D$24,3,0)*Table1[[#This Row],[Estimação (horas)]]</f>
        <v>0.5</v>
      </c>
      <c r="X1074" s="165">
        <f>+VLOOKUP(CONCATENATE(Table1[[#This Row],[Tabela]],Table1[[#This Row],[Campo]]),'2. Status Detalhe Campos FY24'!A:J,9,FALSE)</f>
        <v>0</v>
      </c>
      <c r="Y1074" s="491" t="e">
        <f>+VLOOKUP(A1074,#REF!,1,FALSE)</f>
        <v>#REF!</v>
      </c>
    </row>
    <row r="1075" spans="1:25" ht="17.899999999999999" hidden="1" customHeight="1">
      <c r="A1075" t="str">
        <f>+Table1[[#This Row],[Tabela]]&amp;Table1[[#This Row],[Campo]]</f>
        <v>modesg_inp_risco_fisicocod_nace_esg</v>
      </c>
      <c r="B1075" s="12" t="s">
        <v>26</v>
      </c>
      <c r="C1075" s="12" t="s">
        <v>181</v>
      </c>
      <c r="D1075" s="12" t="s">
        <v>1226</v>
      </c>
      <c r="E1075" s="2" t="s">
        <v>38</v>
      </c>
      <c r="F1075" s="12" t="s">
        <v>216</v>
      </c>
      <c r="G1075" s="12" t="s">
        <v>281</v>
      </c>
      <c r="H1075" s="57" t="str">
        <f>Table1[[#This Row],[Tabela]]&amp;Table1[[#This Row],[Campo]]</f>
        <v>modesg_inp_risco_fisicocod_nace_esg</v>
      </c>
      <c r="I1075" s="3" t="s">
        <v>612</v>
      </c>
      <c r="J1075" s="53">
        <f>VLOOKUP(Table1[[#This Row],[Status]],Auxiliar!$B$16:$C$24,2,0)</f>
        <v>1</v>
      </c>
      <c r="K1075" s="20" t="s">
        <v>1171</v>
      </c>
      <c r="L1075" s="2" t="s">
        <v>1174</v>
      </c>
      <c r="M1075" s="20" t="s">
        <v>1176</v>
      </c>
      <c r="N1075" s="47">
        <v>45569</v>
      </c>
      <c r="O1075" s="20">
        <f>INDEX(Auxiliar!$D$5:$F$13,MATCH(Table1[[#This Row],[Tipologia_Testes]],Auxiliar!$B$5:$B$13,0),MATCH(Table1[[#This Row],[Complexidade]],Auxiliar!$D$4:$F$4,0))</f>
        <v>0.1</v>
      </c>
      <c r="P1075" s="2" t="s">
        <v>1242</v>
      </c>
      <c r="Q1075" s="2"/>
      <c r="R1075" s="151">
        <v>45261</v>
      </c>
      <c r="S1075" s="151"/>
      <c r="T1075" s="151"/>
      <c r="U1075" s="151">
        <v>45603</v>
      </c>
      <c r="V1075" s="151"/>
      <c r="W1075" s="2">
        <f>VLOOKUP(Table1[[#This Row],[Status]],Auxiliar!$B$16:$D$24,3,0)*Table1[[#This Row],[Estimação (horas)]]</f>
        <v>0.1</v>
      </c>
      <c r="X1075" s="165">
        <f>+VLOOKUP(CONCATENATE(Table1[[#This Row],[Tabela]],Table1[[#This Row],[Campo]]),'2. Status Detalhe Campos FY24'!A:J,9,FALSE)</f>
        <v>0</v>
      </c>
      <c r="Y1075" s="491" t="e">
        <f>+VLOOKUP(A1075,#REF!,1,FALSE)</f>
        <v>#REF!</v>
      </c>
    </row>
    <row r="1076" spans="1:25" ht="17.899999999999999" hidden="1" customHeight="1">
      <c r="A1076" t="str">
        <f>+Table1[[#This Row],[Tabela]]&amp;Table1[[#This Row],[Campo]]</f>
        <v>modesg_inp_risco_fisicocod_nace_esg</v>
      </c>
      <c r="B1076" s="12" t="s">
        <v>26</v>
      </c>
      <c r="C1076" s="12" t="s">
        <v>181</v>
      </c>
      <c r="D1076" s="12" t="s">
        <v>1226</v>
      </c>
      <c r="E1076" s="2" t="s">
        <v>38</v>
      </c>
      <c r="F1076" s="12" t="s">
        <v>216</v>
      </c>
      <c r="G1076" s="12" t="s">
        <v>281</v>
      </c>
      <c r="H1076" s="57" t="str">
        <f>Table1[[#This Row],[Tabela]]&amp;Table1[[#This Row],[Campo]]</f>
        <v>modesg_inp_risco_fisicocod_nace_esg</v>
      </c>
      <c r="I1076" s="3" t="s">
        <v>612</v>
      </c>
      <c r="J1076" s="53">
        <f>VLOOKUP(Table1[[#This Row],[Status]],Auxiliar!$B$16:$C$24,2,0)</f>
        <v>1</v>
      </c>
      <c r="K1076" s="20" t="s">
        <v>1179</v>
      </c>
      <c r="L1076" s="2" t="s">
        <v>1174</v>
      </c>
      <c r="M1076" s="20" t="s">
        <v>1176</v>
      </c>
      <c r="N1076" s="47">
        <v>45569</v>
      </c>
      <c r="O1076" s="20">
        <f>INDEX(Auxiliar!$D$5:$F$13,MATCH(Table1[[#This Row],[Tipologia_Testes]],Auxiliar!$B$5:$B$13,0),MATCH(Table1[[#This Row],[Complexidade]],Auxiliar!$D$4:$F$4,0))</f>
        <v>0.5</v>
      </c>
      <c r="P1076" s="2"/>
      <c r="Q1076" s="2"/>
      <c r="R1076" s="151">
        <v>45261</v>
      </c>
      <c r="S1076" s="151"/>
      <c r="T1076" s="151"/>
      <c r="U1076" s="151">
        <v>45603</v>
      </c>
      <c r="V1076" s="151"/>
      <c r="W1076" s="2">
        <f>VLOOKUP(Table1[[#This Row],[Status]],Auxiliar!$B$16:$D$24,3,0)*Table1[[#This Row],[Estimação (horas)]]</f>
        <v>0.5</v>
      </c>
      <c r="X1076" s="165">
        <f>+VLOOKUP(CONCATENATE(Table1[[#This Row],[Tabela]],Table1[[#This Row],[Campo]]),'2. Status Detalhe Campos FY24'!A:J,9,FALSE)</f>
        <v>0</v>
      </c>
      <c r="Y1076" s="491" t="e">
        <f>+VLOOKUP(A1076,#REF!,1,FALSE)</f>
        <v>#REF!</v>
      </c>
    </row>
    <row r="1077" spans="1:25" ht="17.899999999999999" hidden="1" customHeight="1">
      <c r="A1077" t="str">
        <f>+Table1[[#This Row],[Tabela]]&amp;Table1[[#This Row],[Campo]]</f>
        <v>modesg_inp_risco_fisicoflg_rsc_fsc_agd</v>
      </c>
      <c r="B1077" s="12" t="s">
        <v>26</v>
      </c>
      <c r="C1077" s="12" t="s">
        <v>181</v>
      </c>
      <c r="D1077" s="12" t="s">
        <v>1226</v>
      </c>
      <c r="E1077" s="2" t="s">
        <v>38</v>
      </c>
      <c r="F1077" s="12" t="s">
        <v>216</v>
      </c>
      <c r="G1077" s="12" t="s">
        <v>282</v>
      </c>
      <c r="H1077" s="57" t="str">
        <f>Table1[[#This Row],[Tabela]]&amp;Table1[[#This Row],[Campo]]</f>
        <v>modesg_inp_risco_fisicoflg_rsc_fsc_agd</v>
      </c>
      <c r="I1077" s="3" t="s">
        <v>612</v>
      </c>
      <c r="J1077" s="53">
        <f>VLOOKUP(Table1[[#This Row],[Status]],Auxiliar!$B$16:$C$24,2,0)</f>
        <v>1</v>
      </c>
      <c r="K1077" s="20" t="s">
        <v>1171</v>
      </c>
      <c r="L1077" s="2" t="s">
        <v>1174</v>
      </c>
      <c r="M1077" s="20" t="s">
        <v>1176</v>
      </c>
      <c r="N1077" s="47">
        <v>45485</v>
      </c>
      <c r="O1077" s="20">
        <f>INDEX(Auxiliar!$D$5:$F$13,MATCH(Table1[[#This Row],[Tipologia_Testes]],Auxiliar!$B$5:$B$13,0),MATCH(Table1[[#This Row],[Complexidade]],Auxiliar!$D$4:$F$4,0))</f>
        <v>0.1</v>
      </c>
      <c r="P1077" s="2" t="s">
        <v>1243</v>
      </c>
      <c r="Q1077" s="2"/>
      <c r="R1077" s="151">
        <v>45261</v>
      </c>
      <c r="S1077" s="151"/>
      <c r="T1077" s="151"/>
      <c r="U1077" s="151">
        <v>45603</v>
      </c>
      <c r="V1077" s="151"/>
      <c r="W1077" s="2">
        <f>VLOOKUP(Table1[[#This Row],[Status]],Auxiliar!$B$16:$D$24,3,0)*Table1[[#This Row],[Estimação (horas)]]</f>
        <v>0.1</v>
      </c>
      <c r="X1077" s="165">
        <f>+VLOOKUP(CONCATENATE(Table1[[#This Row],[Tabela]],Table1[[#This Row],[Campo]]),'2. Status Detalhe Campos FY24'!A:J,9,FALSE)</f>
        <v>0</v>
      </c>
      <c r="Y1077" s="491" t="e">
        <f>+VLOOKUP(A1077,#REF!,1,FALSE)</f>
        <v>#REF!</v>
      </c>
    </row>
    <row r="1078" spans="1:25" ht="17.899999999999999" hidden="1" customHeight="1">
      <c r="A1078" t="str">
        <f>+Table1[[#This Row],[Tabela]]&amp;Table1[[#This Row],[Campo]]</f>
        <v>modesg_inp_risco_fisicoflg_rsc_fsc_agd</v>
      </c>
      <c r="B1078" s="12" t="s">
        <v>26</v>
      </c>
      <c r="C1078" s="12" t="s">
        <v>181</v>
      </c>
      <c r="D1078" s="12" t="s">
        <v>1226</v>
      </c>
      <c r="E1078" s="2" t="s">
        <v>38</v>
      </c>
      <c r="F1078" s="12" t="s">
        <v>216</v>
      </c>
      <c r="G1078" s="12" t="s">
        <v>282</v>
      </c>
      <c r="H1078" s="57" t="str">
        <f>Table1[[#This Row],[Tabela]]&amp;Table1[[#This Row],[Campo]]</f>
        <v>modesg_inp_risco_fisicoflg_rsc_fsc_agd</v>
      </c>
      <c r="I1078" s="3" t="s">
        <v>612</v>
      </c>
      <c r="J1078" s="53">
        <f>VLOOKUP(Table1[[#This Row],[Status]],Auxiliar!$B$16:$C$24,2,0)</f>
        <v>1</v>
      </c>
      <c r="K1078" s="20" t="s">
        <v>1179</v>
      </c>
      <c r="L1078" s="2" t="s">
        <v>1174</v>
      </c>
      <c r="M1078" s="20" t="s">
        <v>1176</v>
      </c>
      <c r="N1078" s="47">
        <v>45485</v>
      </c>
      <c r="O1078" s="20">
        <f>INDEX(Auxiliar!$D$5:$F$13,MATCH(Table1[[#This Row],[Tipologia_Testes]],Auxiliar!$B$5:$B$13,0),MATCH(Table1[[#This Row],[Complexidade]],Auxiliar!$D$4:$F$4,0))</f>
        <v>0.5</v>
      </c>
      <c r="P1078" s="2"/>
      <c r="Q1078" s="2"/>
      <c r="R1078" s="151">
        <v>45261</v>
      </c>
      <c r="S1078" s="151"/>
      <c r="T1078" s="151"/>
      <c r="U1078" s="151">
        <v>45603</v>
      </c>
      <c r="V1078" s="151"/>
      <c r="W1078" s="2">
        <f>VLOOKUP(Table1[[#This Row],[Status]],Auxiliar!$B$16:$D$24,3,0)*Table1[[#This Row],[Estimação (horas)]]</f>
        <v>0.5</v>
      </c>
      <c r="X1078" s="165">
        <f>+VLOOKUP(CONCATENATE(Table1[[#This Row],[Tabela]],Table1[[#This Row],[Campo]]),'2. Status Detalhe Campos FY24'!A:J,9,FALSE)</f>
        <v>0</v>
      </c>
      <c r="Y1078" s="491" t="e">
        <f>+VLOOKUP(A1078,#REF!,1,FALSE)</f>
        <v>#REF!</v>
      </c>
    </row>
    <row r="1079" spans="1:25" ht="17.899999999999999" hidden="1" customHeight="1">
      <c r="A1079" t="str">
        <f>+Table1[[#This Row],[Tabela]]&amp;Table1[[#This Row],[Campo]]</f>
        <v>modesg_inp_risco_fisicoflg_rsc_fsc_crnc</v>
      </c>
      <c r="B1079" s="12" t="s">
        <v>26</v>
      </c>
      <c r="C1079" s="12" t="s">
        <v>181</v>
      </c>
      <c r="D1079" s="12" t="s">
        <v>1226</v>
      </c>
      <c r="E1079" s="2" t="s">
        <v>38</v>
      </c>
      <c r="F1079" s="12" t="s">
        <v>216</v>
      </c>
      <c r="G1079" s="12" t="s">
        <v>283</v>
      </c>
      <c r="H1079" s="57" t="str">
        <f>Table1[[#This Row],[Tabela]]&amp;Table1[[#This Row],[Campo]]</f>
        <v>modesg_inp_risco_fisicoflg_rsc_fsc_crnc</v>
      </c>
      <c r="I1079" s="3" t="s">
        <v>612</v>
      </c>
      <c r="J1079" s="53">
        <f>VLOOKUP(Table1[[#This Row],[Status]],Auxiliar!$B$16:$C$24,2,0)</f>
        <v>1</v>
      </c>
      <c r="K1079" s="20" t="s">
        <v>1171</v>
      </c>
      <c r="L1079" s="2" t="s">
        <v>1174</v>
      </c>
      <c r="M1079" s="20" t="s">
        <v>1176</v>
      </c>
      <c r="N1079" s="47">
        <v>45485</v>
      </c>
      <c r="O1079" s="20">
        <f>INDEX(Auxiliar!$D$5:$F$13,MATCH(Table1[[#This Row],[Tipologia_Testes]],Auxiliar!$B$5:$B$13,0),MATCH(Table1[[#This Row],[Complexidade]],Auxiliar!$D$4:$F$4,0))</f>
        <v>0.1</v>
      </c>
      <c r="P1079" s="2" t="s">
        <v>1243</v>
      </c>
      <c r="Q1079" s="2"/>
      <c r="R1079" s="151">
        <v>45261</v>
      </c>
      <c r="S1079" s="151"/>
      <c r="T1079" s="151"/>
      <c r="U1079" s="151">
        <v>45603</v>
      </c>
      <c r="V1079" s="151"/>
      <c r="W1079" s="2">
        <f>VLOOKUP(Table1[[#This Row],[Status]],Auxiliar!$B$16:$D$24,3,0)*Table1[[#This Row],[Estimação (horas)]]</f>
        <v>0.1</v>
      </c>
      <c r="X1079" s="165">
        <f>+VLOOKUP(CONCATENATE(Table1[[#This Row],[Tabela]],Table1[[#This Row],[Campo]]),'2. Status Detalhe Campos FY24'!A:J,9,FALSE)</f>
        <v>0</v>
      </c>
      <c r="Y1079" s="491" t="e">
        <f>+VLOOKUP(A1079,#REF!,1,FALSE)</f>
        <v>#REF!</v>
      </c>
    </row>
    <row r="1080" spans="1:25" ht="17.899999999999999" hidden="1" customHeight="1">
      <c r="A1080" t="str">
        <f>+Table1[[#This Row],[Tabela]]&amp;Table1[[#This Row],[Campo]]</f>
        <v>modesg_inp_risco_fisicoflg_rsc_fsc_crnc</v>
      </c>
      <c r="B1080" s="12" t="s">
        <v>26</v>
      </c>
      <c r="C1080" s="12" t="s">
        <v>181</v>
      </c>
      <c r="D1080" s="12" t="s">
        <v>1226</v>
      </c>
      <c r="E1080" s="2" t="s">
        <v>38</v>
      </c>
      <c r="F1080" s="12" t="s">
        <v>216</v>
      </c>
      <c r="G1080" s="12" t="s">
        <v>283</v>
      </c>
      <c r="H1080" s="57" t="str">
        <f>Table1[[#This Row],[Tabela]]&amp;Table1[[#This Row],[Campo]]</f>
        <v>modesg_inp_risco_fisicoflg_rsc_fsc_crnc</v>
      </c>
      <c r="I1080" s="3" t="s">
        <v>612</v>
      </c>
      <c r="J1080" s="53">
        <f>VLOOKUP(Table1[[#This Row],[Status]],Auxiliar!$B$16:$C$24,2,0)</f>
        <v>1</v>
      </c>
      <c r="K1080" s="20" t="s">
        <v>1179</v>
      </c>
      <c r="L1080" s="2" t="s">
        <v>1174</v>
      </c>
      <c r="M1080" s="20" t="s">
        <v>1176</v>
      </c>
      <c r="N1080" s="47">
        <v>45485</v>
      </c>
      <c r="O1080" s="20">
        <f>INDEX(Auxiliar!$D$5:$F$13,MATCH(Table1[[#This Row],[Tipologia_Testes]],Auxiliar!$B$5:$B$13,0),MATCH(Table1[[#This Row],[Complexidade]],Auxiliar!$D$4:$F$4,0))</f>
        <v>0.5</v>
      </c>
      <c r="P1080" s="2"/>
      <c r="Q1080" s="2"/>
      <c r="R1080" s="151">
        <v>45261</v>
      </c>
      <c r="S1080" s="151"/>
      <c r="T1080" s="151"/>
      <c r="U1080" s="151">
        <v>45603</v>
      </c>
      <c r="V1080" s="151"/>
      <c r="W1080" s="2">
        <f>VLOOKUP(Table1[[#This Row],[Status]],Auxiliar!$B$16:$D$24,3,0)*Table1[[#This Row],[Estimação (horas)]]</f>
        <v>0.5</v>
      </c>
      <c r="X1080" s="165">
        <f>+VLOOKUP(CONCATENATE(Table1[[#This Row],[Tabela]],Table1[[#This Row],[Campo]]),'2. Status Detalhe Campos FY24'!A:J,9,FALSE)</f>
        <v>0</v>
      </c>
      <c r="Y1080" s="491" t="e">
        <f>+VLOOKUP(A1080,#REF!,1,FALSE)</f>
        <v>#REF!</v>
      </c>
    </row>
    <row r="1081" spans="1:25" ht="17.899999999999999" hidden="1" customHeight="1">
      <c r="A1081" t="str">
        <f>+Table1[[#This Row],[Tabela]]&amp;Table1[[#This Row],[Campo]]</f>
        <v>modesg_inp_risco_fisico_zipcodecod_pais</v>
      </c>
      <c r="B1081" s="12" t="s">
        <v>26</v>
      </c>
      <c r="C1081" s="12" t="s">
        <v>181</v>
      </c>
      <c r="D1081" s="12" t="s">
        <v>1226</v>
      </c>
      <c r="E1081" s="2" t="s">
        <v>38</v>
      </c>
      <c r="F1081" s="12" t="s">
        <v>2154</v>
      </c>
      <c r="G1081" s="12" t="s">
        <v>279</v>
      </c>
      <c r="H1081" s="57" t="str">
        <f>Table1[[#This Row],[Tabela]]&amp;Table1[[#This Row],[Campo]]</f>
        <v>modesg_inp_risco_fisico_zipcodecod_pais</v>
      </c>
      <c r="I1081" s="3" t="s">
        <v>612</v>
      </c>
      <c r="J1081" s="53">
        <f>VLOOKUP(Table1[[#This Row],[Status]],Auxiliar!$B$16:$C$24,2,0)</f>
        <v>1</v>
      </c>
      <c r="K1081" s="20" t="s">
        <v>1179</v>
      </c>
      <c r="L1081" s="2" t="s">
        <v>1174</v>
      </c>
      <c r="M1081" s="20" t="s">
        <v>1176</v>
      </c>
      <c r="N1081" s="47">
        <v>45716</v>
      </c>
      <c r="O1081" s="20" t="e">
        <f>INDEX(Auxiliar!$D$5:$F$11,MATCH(Table1[[#This Row],[Tipologia_Testes]],Auxiliar!$B$5:$B$11,0),MATCH(Table1[[#This Row],[Complexidade]],Auxiliar!$D$4:$F$4,0))</f>
        <v>#N/A</v>
      </c>
      <c r="P1081" s="2"/>
      <c r="Q1081" s="2"/>
      <c r="R1081" s="151"/>
      <c r="S1081" s="151"/>
      <c r="T1081" s="151"/>
      <c r="U1081" s="151"/>
      <c r="V1081" s="151"/>
      <c r="W1081" s="2" t="e">
        <f>VLOOKUP(Table1[[#This Row],[Status]],Auxiliar!$B$16:$D$24,3,0)*Table1[[#This Row],[Estimação (horas)]]</f>
        <v>#N/A</v>
      </c>
      <c r="X1081" s="165">
        <f>+VLOOKUP(CONCATENATE(Table1[[#This Row],[Tabela]],Table1[[#This Row],[Campo]]),'2. Status Detalhe Campos FY24'!A:J,9,FALSE)</f>
        <v>0</v>
      </c>
      <c r="Y1081" s="491" t="e">
        <f>+VLOOKUP(A1081,#REF!,1,FALSE)</f>
        <v>#REF!</v>
      </c>
    </row>
    <row r="1082" spans="1:25" ht="17.899999999999999" hidden="1" customHeight="1">
      <c r="A1082" t="str">
        <f>+Table1[[#This Row],[Tabela]]&amp;Table1[[#This Row],[Campo]]</f>
        <v>modesg_inp_risco_fisico_zipcodelocalizacao</v>
      </c>
      <c r="B1082" s="12" t="s">
        <v>26</v>
      </c>
      <c r="C1082" s="12" t="s">
        <v>181</v>
      </c>
      <c r="D1082" s="12" t="s">
        <v>1226</v>
      </c>
      <c r="E1082" s="2" t="s">
        <v>38</v>
      </c>
      <c r="F1082" s="12" t="s">
        <v>2154</v>
      </c>
      <c r="G1082" s="12" t="s">
        <v>2155</v>
      </c>
      <c r="H1082" s="57" t="str">
        <f>Table1[[#This Row],[Tabela]]&amp;Table1[[#This Row],[Campo]]</f>
        <v>modesg_inp_risco_fisico_zipcodelocalizacao</v>
      </c>
      <c r="I1082" s="3" t="s">
        <v>612</v>
      </c>
      <c r="J1082" s="53">
        <f>VLOOKUP(Table1[[#This Row],[Status]],Auxiliar!$B$16:$C$24,2,0)</f>
        <v>1</v>
      </c>
      <c r="K1082" s="20" t="s">
        <v>1179</v>
      </c>
      <c r="L1082" s="2" t="s">
        <v>1174</v>
      </c>
      <c r="M1082" s="20" t="s">
        <v>1176</v>
      </c>
      <c r="N1082" s="47">
        <v>45716</v>
      </c>
      <c r="O1082" s="20" t="e">
        <f>INDEX(Auxiliar!$D$5:$F$11,MATCH(Table1[[#This Row],[Tipologia_Testes]],Auxiliar!$B$5:$B$11,0),MATCH(Table1[[#This Row],[Complexidade]],Auxiliar!$D$4:$F$4,0))</f>
        <v>#N/A</v>
      </c>
      <c r="P1082" s="2"/>
      <c r="Q1082" s="2"/>
      <c r="R1082" s="151"/>
      <c r="S1082" s="151"/>
      <c r="T1082" s="151"/>
      <c r="U1082" s="151"/>
      <c r="V1082" s="151"/>
      <c r="W1082" s="2" t="e">
        <f>VLOOKUP(Table1[[#This Row],[Status]],Auxiliar!$B$16:$D$24,3,0)*Table1[[#This Row],[Estimação (horas)]]</f>
        <v>#N/A</v>
      </c>
      <c r="X1082" s="165">
        <f>+VLOOKUP(CONCATENATE(Table1[[#This Row],[Tabela]],Table1[[#This Row],[Campo]]),'2. Status Detalhe Campos FY24'!A:J,9,FALSE)</f>
        <v>0</v>
      </c>
      <c r="Y1082" s="491" t="e">
        <f>+VLOOKUP(A1082,#REF!,1,FALSE)</f>
        <v>#REF!</v>
      </c>
    </row>
    <row r="1083" spans="1:25" ht="17.899999999999999" hidden="1" customHeight="1">
      <c r="A1083" t="str">
        <f>+Table1[[#This Row],[Tabela]]&amp;Table1[[#This Row],[Campo]]</f>
        <v>modesg_inp_risco_fisico_zipcodecod_nace_esg</v>
      </c>
      <c r="B1083" s="12" t="s">
        <v>26</v>
      </c>
      <c r="C1083" s="12" t="s">
        <v>181</v>
      </c>
      <c r="D1083" s="12" t="s">
        <v>1226</v>
      </c>
      <c r="E1083" s="2" t="s">
        <v>38</v>
      </c>
      <c r="F1083" s="12" t="s">
        <v>2154</v>
      </c>
      <c r="G1083" s="12" t="s">
        <v>281</v>
      </c>
      <c r="H1083" s="57" t="str">
        <f>Table1[[#This Row],[Tabela]]&amp;Table1[[#This Row],[Campo]]</f>
        <v>modesg_inp_risco_fisico_zipcodecod_nace_esg</v>
      </c>
      <c r="I1083" s="3" t="s">
        <v>612</v>
      </c>
      <c r="J1083" s="53">
        <f>VLOOKUP(Table1[[#This Row],[Status]],Auxiliar!$B$16:$C$24,2,0)</f>
        <v>1</v>
      </c>
      <c r="K1083" s="20" t="s">
        <v>1179</v>
      </c>
      <c r="L1083" s="2" t="s">
        <v>1174</v>
      </c>
      <c r="M1083" s="20" t="s">
        <v>1176</v>
      </c>
      <c r="N1083" s="47">
        <v>45716</v>
      </c>
      <c r="O1083" s="20" t="e">
        <f>INDEX(Auxiliar!$D$5:$F$11,MATCH(Table1[[#This Row],[Tipologia_Testes]],Auxiliar!$B$5:$B$11,0),MATCH(Table1[[#This Row],[Complexidade]],Auxiliar!$D$4:$F$4,0))</f>
        <v>#N/A</v>
      </c>
      <c r="P1083" s="2"/>
      <c r="Q1083" s="2"/>
      <c r="R1083" s="151"/>
      <c r="S1083" s="151"/>
      <c r="T1083" s="151"/>
      <c r="U1083" s="151"/>
      <c r="V1083" s="151"/>
      <c r="W1083" s="2" t="e">
        <f>VLOOKUP(Table1[[#This Row],[Status]],Auxiliar!$B$16:$D$24,3,0)*Table1[[#This Row],[Estimação (horas)]]</f>
        <v>#N/A</v>
      </c>
      <c r="X1083" s="165">
        <f>+VLOOKUP(CONCATENATE(Table1[[#This Row],[Tabela]],Table1[[#This Row],[Campo]]),'2. Status Detalhe Campos FY24'!A:J,9,FALSE)</f>
        <v>0</v>
      </c>
      <c r="Y1083" s="491" t="e">
        <f>+VLOOKUP(A1083,#REF!,1,FALSE)</f>
        <v>#REF!</v>
      </c>
    </row>
    <row r="1084" spans="1:25" ht="17.899999999999999" hidden="1" customHeight="1">
      <c r="A1084" t="str">
        <f>+Table1[[#This Row],[Tabela]]&amp;Table1[[#This Row],[Campo]]</f>
        <v>modesg_inp_risco_fisico_zipcodeflg_rsc_fsc_agd</v>
      </c>
      <c r="B1084" s="12" t="s">
        <v>26</v>
      </c>
      <c r="C1084" s="12" t="s">
        <v>181</v>
      </c>
      <c r="D1084" s="12" t="s">
        <v>1226</v>
      </c>
      <c r="E1084" s="2" t="s">
        <v>38</v>
      </c>
      <c r="F1084" s="12" t="s">
        <v>2154</v>
      </c>
      <c r="G1084" s="12" t="s">
        <v>282</v>
      </c>
      <c r="H1084" s="57" t="str">
        <f>Table1[[#This Row],[Tabela]]&amp;Table1[[#This Row],[Campo]]</f>
        <v>modesg_inp_risco_fisico_zipcodeflg_rsc_fsc_agd</v>
      </c>
      <c r="I1084" s="3" t="s">
        <v>612</v>
      </c>
      <c r="J1084" s="53">
        <f>VLOOKUP(Table1[[#This Row],[Status]],Auxiliar!$B$16:$C$24,2,0)</f>
        <v>1</v>
      </c>
      <c r="K1084" s="20" t="s">
        <v>1179</v>
      </c>
      <c r="L1084" s="2" t="s">
        <v>1174</v>
      </c>
      <c r="M1084" s="20" t="s">
        <v>1176</v>
      </c>
      <c r="N1084" s="47">
        <v>45716</v>
      </c>
      <c r="O1084" s="20" t="e">
        <f>INDEX(Auxiliar!$D$5:$F$11,MATCH(Table1[[#This Row],[Tipologia_Testes]],Auxiliar!$B$5:$B$11,0),MATCH(Table1[[#This Row],[Complexidade]],Auxiliar!$D$4:$F$4,0))</f>
        <v>#N/A</v>
      </c>
      <c r="P1084" s="2"/>
      <c r="Q1084" s="2"/>
      <c r="R1084" s="151"/>
      <c r="S1084" s="151"/>
      <c r="T1084" s="151"/>
      <c r="U1084" s="151"/>
      <c r="V1084" s="151"/>
      <c r="W1084" s="2" t="e">
        <f>VLOOKUP(Table1[[#This Row],[Status]],Auxiliar!$B$16:$D$24,3,0)*Table1[[#This Row],[Estimação (horas)]]</f>
        <v>#N/A</v>
      </c>
      <c r="X1084" s="165">
        <f>+VLOOKUP(CONCATENATE(Table1[[#This Row],[Tabela]],Table1[[#This Row],[Campo]]),'2. Status Detalhe Campos FY24'!A:J,9,FALSE)</f>
        <v>0</v>
      </c>
      <c r="Y1084" s="491" t="e">
        <f>+VLOOKUP(A1084,#REF!,1,FALSE)</f>
        <v>#REF!</v>
      </c>
    </row>
    <row r="1085" spans="1:25" ht="17.899999999999999" hidden="1" customHeight="1">
      <c r="A1085" t="str">
        <f>+Table1[[#This Row],[Tabela]]&amp;Table1[[#This Row],[Campo]]</f>
        <v>modesg_inp_risco_fisico_zipcodeflg_rsc_fsc_crnc</v>
      </c>
      <c r="B1085" s="12" t="s">
        <v>26</v>
      </c>
      <c r="C1085" s="12" t="s">
        <v>181</v>
      </c>
      <c r="D1085" s="12" t="s">
        <v>1226</v>
      </c>
      <c r="E1085" s="2" t="s">
        <v>38</v>
      </c>
      <c r="F1085" s="12" t="s">
        <v>2154</v>
      </c>
      <c r="G1085" s="12" t="s">
        <v>283</v>
      </c>
      <c r="H1085" s="57" t="str">
        <f>Table1[[#This Row],[Tabela]]&amp;Table1[[#This Row],[Campo]]</f>
        <v>modesg_inp_risco_fisico_zipcodeflg_rsc_fsc_crnc</v>
      </c>
      <c r="I1085" s="3" t="s">
        <v>612</v>
      </c>
      <c r="J1085" s="53">
        <f>VLOOKUP(Table1[[#This Row],[Status]],Auxiliar!$B$16:$C$24,2,0)</f>
        <v>1</v>
      </c>
      <c r="K1085" s="20" t="s">
        <v>1179</v>
      </c>
      <c r="L1085" s="2" t="s">
        <v>1174</v>
      </c>
      <c r="M1085" s="20" t="s">
        <v>1176</v>
      </c>
      <c r="N1085" s="47">
        <v>45716</v>
      </c>
      <c r="O1085" s="20" t="e">
        <f>INDEX(Auxiliar!$D$5:$F$11,MATCH(Table1[[#This Row],[Tipologia_Testes]],Auxiliar!$B$5:$B$11,0),MATCH(Table1[[#This Row],[Complexidade]],Auxiliar!$D$4:$F$4,0))</f>
        <v>#N/A</v>
      </c>
      <c r="P1085" s="2"/>
      <c r="Q1085" s="2"/>
      <c r="R1085" s="151"/>
      <c r="S1085" s="151"/>
      <c r="T1085" s="151"/>
      <c r="U1085" s="151"/>
      <c r="V1085" s="151"/>
      <c r="W1085" s="2" t="e">
        <f>VLOOKUP(Table1[[#This Row],[Status]],Auxiliar!$B$16:$D$24,3,0)*Table1[[#This Row],[Estimação (horas)]]</f>
        <v>#N/A</v>
      </c>
      <c r="X1085" s="165">
        <f>+VLOOKUP(CONCATENATE(Table1[[#This Row],[Tabela]],Table1[[#This Row],[Campo]]),'2. Status Detalhe Campos FY24'!A:J,9,FALSE)</f>
        <v>0</v>
      </c>
      <c r="Y1085" s="491" t="e">
        <f>+VLOOKUP(A1085,#REF!,1,FALSE)</f>
        <v>#REF!</v>
      </c>
    </row>
    <row r="1086" spans="1:25" ht="17.899999999999999" hidden="1" customHeight="1">
      <c r="A1086" t="str">
        <f>+Table1[[#This Row],[Tabela]]&amp;Table1[[#This Row],[Campo]]</f>
        <v>modesg_inp_emss_scibref_date</v>
      </c>
      <c r="B1086" s="12" t="s">
        <v>26</v>
      </c>
      <c r="C1086" s="12" t="s">
        <v>181</v>
      </c>
      <c r="D1086" s="12" t="s">
        <v>1218</v>
      </c>
      <c r="E1086" s="2" t="s">
        <v>38</v>
      </c>
      <c r="F1086" s="12" t="s">
        <v>217</v>
      </c>
      <c r="G1086" s="12" t="s">
        <v>208</v>
      </c>
      <c r="H1086" s="57" t="str">
        <f>Table1[[#This Row],[Tabela]]&amp;Table1[[#This Row],[Campo]]</f>
        <v>modesg_inp_emss_scibref_date</v>
      </c>
      <c r="I1086" s="2" t="s">
        <v>612</v>
      </c>
      <c r="J1086" s="45">
        <f>VLOOKUP(Table1[[#This Row],[Status]],Auxiliar!$B$16:$C$24,2,0)</f>
        <v>1</v>
      </c>
      <c r="K1086" s="20" t="s">
        <v>1179</v>
      </c>
      <c r="L1086" s="2" t="s">
        <v>1174</v>
      </c>
      <c r="M1086" s="20" t="s">
        <v>1176</v>
      </c>
      <c r="N1086" s="47">
        <v>45490</v>
      </c>
      <c r="O1086" s="20">
        <f>INDEX(Auxiliar!$D$5:$F$13,MATCH(Table1[[#This Row],[Tipologia_Testes]],Auxiliar!$B$5:$B$13,0),MATCH(Table1[[#This Row],[Complexidade]],Auxiliar!$D$4:$F$4,0))</f>
        <v>0.5</v>
      </c>
      <c r="P1086" s="2"/>
      <c r="Q1086" s="2" t="s">
        <v>1221</v>
      </c>
      <c r="R1086" s="151">
        <v>45261</v>
      </c>
      <c r="S1086" s="151"/>
      <c r="T1086" s="151"/>
      <c r="U1086" s="151">
        <v>45603</v>
      </c>
      <c r="V1086" s="151"/>
      <c r="W1086" s="2">
        <f>VLOOKUP(Table1[[#This Row],[Status]],Auxiliar!$B$16:$D$24,3,0)*Table1[[#This Row],[Estimação (horas)]]</f>
        <v>0.5</v>
      </c>
      <c r="X1086" s="165">
        <f>+VLOOKUP(CONCATENATE(Table1[[#This Row],[Tabela]],Table1[[#This Row],[Campo]]),'2. Status Detalhe Campos FY24'!A:J,9,FALSE)</f>
        <v>0</v>
      </c>
      <c r="Y1086" s="491" t="e">
        <f>+VLOOKUP(A1086,#REF!,1,FALSE)</f>
        <v>#REF!</v>
      </c>
    </row>
    <row r="1087" spans="1:25" ht="17.899999999999999" hidden="1" customHeight="1">
      <c r="A1087" t="str">
        <f>+Table1[[#This Row],[Tabela]]&amp;Table1[[#This Row],[Campo]]</f>
        <v>modesg_inp_emss_scibccli_kgl</v>
      </c>
      <c r="B1087" s="12" t="s">
        <v>26</v>
      </c>
      <c r="C1087" s="12" t="s">
        <v>181</v>
      </c>
      <c r="D1087" s="12" t="s">
        <v>1218</v>
      </c>
      <c r="E1087" s="2" t="s">
        <v>38</v>
      </c>
      <c r="F1087" s="12" t="s">
        <v>217</v>
      </c>
      <c r="G1087" s="12" t="s">
        <v>240</v>
      </c>
      <c r="H1087" s="57" t="str">
        <f>Table1[[#This Row],[Tabela]]&amp;Table1[[#This Row],[Campo]]</f>
        <v>modesg_inp_emss_scibccli_kgl</v>
      </c>
      <c r="I1087" s="2" t="s">
        <v>612</v>
      </c>
      <c r="J1087" s="45">
        <f>VLOOKUP(Table1[[#This Row],[Status]],Auxiliar!$B$16:$C$24,2,0)</f>
        <v>1</v>
      </c>
      <c r="K1087" s="20" t="s">
        <v>1171</v>
      </c>
      <c r="L1087" s="2" t="s">
        <v>1174</v>
      </c>
      <c r="M1087" s="20" t="s">
        <v>1176</v>
      </c>
      <c r="N1087" s="47">
        <v>45490</v>
      </c>
      <c r="O1087" s="20">
        <f>INDEX(Auxiliar!$D$5:$F$13,MATCH(Table1[[#This Row],[Tipologia_Testes]],Auxiliar!$B$5:$B$13,0),MATCH(Table1[[#This Row],[Complexidade]],Auxiliar!$D$4:$F$4,0))</f>
        <v>0.1</v>
      </c>
      <c r="P1087" s="2" t="s">
        <v>1237</v>
      </c>
      <c r="Q1087" s="2" t="s">
        <v>1221</v>
      </c>
      <c r="R1087" s="151">
        <v>45261</v>
      </c>
      <c r="S1087" s="151"/>
      <c r="T1087" s="151"/>
      <c r="U1087" s="151">
        <v>45603</v>
      </c>
      <c r="V1087" s="151"/>
      <c r="W1087" s="2">
        <f>VLOOKUP(Table1[[#This Row],[Status]],Auxiliar!$B$16:$D$24,3,0)*Table1[[#This Row],[Estimação (horas)]]</f>
        <v>0.1</v>
      </c>
      <c r="X1087" s="165">
        <f>+VLOOKUP(CONCATENATE(Table1[[#This Row],[Tabela]],Table1[[#This Row],[Campo]]),'2. Status Detalhe Campos FY24'!A:J,9,FALSE)</f>
        <v>0</v>
      </c>
      <c r="Y1087" s="491" t="e">
        <f>+VLOOKUP(A1087,#REF!,1,FALSE)</f>
        <v>#REF!</v>
      </c>
    </row>
    <row r="1088" spans="1:25" ht="17.899999999999999" hidden="1" customHeight="1">
      <c r="A1088" t="str">
        <f>+Table1[[#This Row],[Tabela]]&amp;Table1[[#This Row],[Campo]]</f>
        <v>modesg_inp_emss_scibccli_kgl</v>
      </c>
      <c r="B1088" s="12" t="s">
        <v>26</v>
      </c>
      <c r="C1088" s="12" t="s">
        <v>181</v>
      </c>
      <c r="D1088" s="12" t="s">
        <v>1218</v>
      </c>
      <c r="E1088" s="2" t="s">
        <v>38</v>
      </c>
      <c r="F1088" s="12" t="s">
        <v>217</v>
      </c>
      <c r="G1088" s="12" t="s">
        <v>240</v>
      </c>
      <c r="H1088" s="57" t="str">
        <f>Table1[[#This Row],[Tabela]]&amp;Table1[[#This Row],[Campo]]</f>
        <v>modesg_inp_emss_scibccli_kgl</v>
      </c>
      <c r="I1088" s="2" t="s">
        <v>612</v>
      </c>
      <c r="J1088" s="45">
        <f>VLOOKUP(Table1[[#This Row],[Status]],Auxiliar!$B$16:$C$24,2,0)</f>
        <v>1</v>
      </c>
      <c r="K1088" s="20" t="s">
        <v>1179</v>
      </c>
      <c r="L1088" s="2" t="s">
        <v>1174</v>
      </c>
      <c r="M1088" s="20" t="s">
        <v>1176</v>
      </c>
      <c r="N1088" s="47">
        <v>45490</v>
      </c>
      <c r="O1088" s="20">
        <f>INDEX(Auxiliar!$D$5:$F$13,MATCH(Table1[[#This Row],[Tipologia_Testes]],Auxiliar!$B$5:$B$13,0),MATCH(Table1[[#This Row],[Complexidade]],Auxiliar!$D$4:$F$4,0))</f>
        <v>0.5</v>
      </c>
      <c r="P1088" s="2"/>
      <c r="Q1088" s="2" t="s">
        <v>1221</v>
      </c>
      <c r="R1088" s="151">
        <v>45261</v>
      </c>
      <c r="S1088" s="151"/>
      <c r="T1088" s="151"/>
      <c r="U1088" s="151">
        <v>45603</v>
      </c>
      <c r="V1088" s="151"/>
      <c r="W1088" s="2">
        <f>VLOOKUP(Table1[[#This Row],[Status]],Auxiliar!$B$16:$D$24,3,0)*Table1[[#This Row],[Estimação (horas)]]</f>
        <v>0.5</v>
      </c>
      <c r="X1088" s="165">
        <f>+VLOOKUP(CONCATENATE(Table1[[#This Row],[Tabela]],Table1[[#This Row],[Campo]]),'2. Status Detalhe Campos FY24'!A:J,9,FALSE)</f>
        <v>0</v>
      </c>
      <c r="Y1088" s="491" t="e">
        <f>+VLOOKUP(A1088,#REF!,1,FALSE)</f>
        <v>#REF!</v>
      </c>
    </row>
    <row r="1089" spans="1:25" ht="17.899999999999999" hidden="1" customHeight="1">
      <c r="A1089" t="str">
        <f>+Table1[[#This Row],[Tabela]]&amp;Table1[[#This Row],[Campo]]</f>
        <v>modesg_inp_emss_scibnome_grupo</v>
      </c>
      <c r="B1089" s="12" t="s">
        <v>26</v>
      </c>
      <c r="C1089" s="12" t="s">
        <v>181</v>
      </c>
      <c r="D1089" s="12" t="s">
        <v>1218</v>
      </c>
      <c r="E1089" s="2" t="s">
        <v>38</v>
      </c>
      <c r="F1089" s="12" t="s">
        <v>217</v>
      </c>
      <c r="G1089" s="12" t="s">
        <v>284</v>
      </c>
      <c r="H1089" s="57" t="str">
        <f>Table1[[#This Row],[Tabela]]&amp;Table1[[#This Row],[Campo]]</f>
        <v>modesg_inp_emss_scibnome_grupo</v>
      </c>
      <c r="I1089" s="2" t="s">
        <v>612</v>
      </c>
      <c r="J1089" s="45">
        <f>VLOOKUP(Table1[[#This Row],[Status]],Auxiliar!$B$16:$C$24,2,0)</f>
        <v>1</v>
      </c>
      <c r="K1089" s="20" t="s">
        <v>1179</v>
      </c>
      <c r="L1089" s="2" t="s">
        <v>1174</v>
      </c>
      <c r="M1089" s="20" t="s">
        <v>1176</v>
      </c>
      <c r="N1089" s="47">
        <v>45490</v>
      </c>
      <c r="O1089" s="20">
        <f>INDEX(Auxiliar!$D$5:$F$13,MATCH(Table1[[#This Row],[Tipologia_Testes]],Auxiliar!$B$5:$B$13,0),MATCH(Table1[[#This Row],[Complexidade]],Auxiliar!$D$4:$F$4,0))</f>
        <v>0.5</v>
      </c>
      <c r="P1089" s="2"/>
      <c r="Q1089" s="2" t="s">
        <v>1221</v>
      </c>
      <c r="R1089" s="151">
        <v>45261</v>
      </c>
      <c r="S1089" s="151"/>
      <c r="T1089" s="151"/>
      <c r="U1089" s="151">
        <v>45603</v>
      </c>
      <c r="V1089" s="151"/>
      <c r="W1089" s="2">
        <f>VLOOKUP(Table1[[#This Row],[Status]],Auxiliar!$B$16:$D$24,3,0)*Table1[[#This Row],[Estimação (horas)]]</f>
        <v>0.5</v>
      </c>
      <c r="X1089" s="165">
        <f>+VLOOKUP(CONCATENATE(Table1[[#This Row],[Tabela]],Table1[[#This Row],[Campo]]),'2. Status Detalhe Campos FY24'!A:J,9,FALSE)</f>
        <v>0</v>
      </c>
      <c r="Y1089" s="491" t="e">
        <f>+VLOOKUP(A1089,#REF!,1,FALSE)</f>
        <v>#REF!</v>
      </c>
    </row>
    <row r="1090" spans="1:25" ht="17.899999999999999" hidden="1" customHeight="1">
      <c r="A1090" t="str">
        <f>+Table1[[#This Row],[Tabela]]&amp;Table1[[#This Row],[Campo]]</f>
        <v>modesg_inp_emss_scibisin</v>
      </c>
      <c r="B1090" s="12" t="s">
        <v>26</v>
      </c>
      <c r="C1090" s="12" t="s">
        <v>181</v>
      </c>
      <c r="D1090" s="12" t="s">
        <v>1218</v>
      </c>
      <c r="E1090" s="2" t="s">
        <v>38</v>
      </c>
      <c r="F1090" s="12" t="s">
        <v>217</v>
      </c>
      <c r="G1090" s="12" t="s">
        <v>238</v>
      </c>
      <c r="H1090" s="57" t="str">
        <f>Table1[[#This Row],[Tabela]]&amp;Table1[[#This Row],[Campo]]</f>
        <v>modesg_inp_emss_scibisin</v>
      </c>
      <c r="I1090" s="2" t="s">
        <v>612</v>
      </c>
      <c r="J1090" s="45">
        <f>VLOOKUP(Table1[[#This Row],[Status]],Auxiliar!$B$16:$C$24,2,0)</f>
        <v>1</v>
      </c>
      <c r="K1090" s="20" t="s">
        <v>1171</v>
      </c>
      <c r="L1090" s="2" t="s">
        <v>1174</v>
      </c>
      <c r="M1090" s="20" t="s">
        <v>1176</v>
      </c>
      <c r="N1090" s="47">
        <v>45490</v>
      </c>
      <c r="O1090" s="20">
        <f>INDEX(Auxiliar!$D$5:$F$13,MATCH(Table1[[#This Row],[Tipologia_Testes]],Auxiliar!$B$5:$B$13,0),MATCH(Table1[[#This Row],[Complexidade]],Auxiliar!$D$4:$F$4,0))</f>
        <v>0.1</v>
      </c>
      <c r="P1090" s="2" t="s">
        <v>1237</v>
      </c>
      <c r="Q1090" s="2" t="s">
        <v>1221</v>
      </c>
      <c r="R1090" s="151">
        <v>45261</v>
      </c>
      <c r="S1090" s="151"/>
      <c r="T1090" s="151"/>
      <c r="U1090" s="151">
        <v>45603</v>
      </c>
      <c r="V1090" s="151"/>
      <c r="W1090" s="2">
        <f>VLOOKUP(Table1[[#This Row],[Status]],Auxiliar!$B$16:$D$24,3,0)*Table1[[#This Row],[Estimação (horas)]]</f>
        <v>0.1</v>
      </c>
      <c r="X1090" s="165">
        <f>+VLOOKUP(CONCATENATE(Table1[[#This Row],[Tabela]],Table1[[#This Row],[Campo]]),'2. Status Detalhe Campos FY24'!A:J,9,FALSE)</f>
        <v>0</v>
      </c>
      <c r="Y1090" s="491" t="e">
        <f>+VLOOKUP(A1090,#REF!,1,FALSE)</f>
        <v>#REF!</v>
      </c>
    </row>
    <row r="1091" spans="1:25" ht="17.899999999999999" hidden="1" customHeight="1">
      <c r="A1091" t="str">
        <f>+Table1[[#This Row],[Tabela]]&amp;Table1[[#This Row],[Campo]]</f>
        <v>modesg_inp_emss_scibisin</v>
      </c>
      <c r="B1091" s="12" t="s">
        <v>26</v>
      </c>
      <c r="C1091" s="12" t="s">
        <v>181</v>
      </c>
      <c r="D1091" s="12" t="s">
        <v>1218</v>
      </c>
      <c r="E1091" s="2" t="s">
        <v>38</v>
      </c>
      <c r="F1091" s="12" t="s">
        <v>217</v>
      </c>
      <c r="G1091" s="12" t="s">
        <v>238</v>
      </c>
      <c r="H1091" s="57" t="str">
        <f>Table1[[#This Row],[Tabela]]&amp;Table1[[#This Row],[Campo]]</f>
        <v>modesg_inp_emss_scibisin</v>
      </c>
      <c r="I1091" s="2" t="s">
        <v>612</v>
      </c>
      <c r="J1091" s="45">
        <f>VLOOKUP(Table1[[#This Row],[Status]],Auxiliar!$B$16:$C$24,2,0)</f>
        <v>1</v>
      </c>
      <c r="K1091" s="20" t="s">
        <v>1179</v>
      </c>
      <c r="L1091" s="2" t="s">
        <v>1174</v>
      </c>
      <c r="M1091" s="20" t="s">
        <v>1176</v>
      </c>
      <c r="N1091" s="47">
        <v>45490</v>
      </c>
      <c r="O1091" s="20">
        <f>INDEX(Auxiliar!$D$5:$F$13,MATCH(Table1[[#This Row],[Tipologia_Testes]],Auxiliar!$B$5:$B$13,0),MATCH(Table1[[#This Row],[Complexidade]],Auxiliar!$D$4:$F$4,0))</f>
        <v>0.5</v>
      </c>
      <c r="P1091" s="2"/>
      <c r="Q1091" s="2" t="s">
        <v>1221</v>
      </c>
      <c r="R1091" s="151">
        <v>45261</v>
      </c>
      <c r="S1091" s="151"/>
      <c r="T1091" s="151"/>
      <c r="U1091" s="151">
        <v>45603</v>
      </c>
      <c r="V1091" s="151"/>
      <c r="W1091" s="2">
        <f>VLOOKUP(Table1[[#This Row],[Status]],Auxiliar!$B$16:$D$24,3,0)*Table1[[#This Row],[Estimação (horas)]]</f>
        <v>0.5</v>
      </c>
      <c r="X1091" s="165">
        <f>+VLOOKUP(CONCATENATE(Table1[[#This Row],[Tabela]],Table1[[#This Row],[Campo]]),'2. Status Detalhe Campos FY24'!A:J,9,FALSE)</f>
        <v>0</v>
      </c>
      <c r="Y1091" s="491" t="e">
        <f>+VLOOKUP(A1091,#REF!,1,FALSE)</f>
        <v>#REF!</v>
      </c>
    </row>
    <row r="1092" spans="1:25" ht="17.899999999999999" hidden="1" customHeight="1">
      <c r="A1092" t="str">
        <f>+Table1[[#This Row],[Tabela]]&amp;Table1[[#This Row],[Campo]]</f>
        <v>modesg_inp_emss_scibclei</v>
      </c>
      <c r="B1092" s="12" t="s">
        <v>26</v>
      </c>
      <c r="C1092" s="12" t="s">
        <v>181</v>
      </c>
      <c r="D1092" s="12" t="s">
        <v>1218</v>
      </c>
      <c r="E1092" s="2" t="s">
        <v>38</v>
      </c>
      <c r="F1092" s="12" t="s">
        <v>217</v>
      </c>
      <c r="G1092" s="12" t="s">
        <v>239</v>
      </c>
      <c r="H1092" s="57" t="str">
        <f>Table1[[#This Row],[Tabela]]&amp;Table1[[#This Row],[Campo]]</f>
        <v>modesg_inp_emss_scibclei</v>
      </c>
      <c r="I1092" s="2" t="s">
        <v>612</v>
      </c>
      <c r="J1092" s="45">
        <f>VLOOKUP(Table1[[#This Row],[Status]],Auxiliar!$B$16:$C$24,2,0)</f>
        <v>1</v>
      </c>
      <c r="K1092" s="20" t="s">
        <v>1171</v>
      </c>
      <c r="L1092" s="2" t="s">
        <v>1174</v>
      </c>
      <c r="M1092" s="20" t="s">
        <v>1176</v>
      </c>
      <c r="N1092" s="47">
        <v>45490</v>
      </c>
      <c r="O1092" s="20">
        <f>INDEX(Auxiliar!$D$5:$F$13,MATCH(Table1[[#This Row],[Tipologia_Testes]],Auxiliar!$B$5:$B$13,0),MATCH(Table1[[#This Row],[Complexidade]],Auxiliar!$D$4:$F$4,0))</f>
        <v>0.1</v>
      </c>
      <c r="P1092" s="2" t="s">
        <v>1237</v>
      </c>
      <c r="Q1092" s="2" t="s">
        <v>1221</v>
      </c>
      <c r="R1092" s="151">
        <v>45261</v>
      </c>
      <c r="S1092" s="151"/>
      <c r="T1092" s="151"/>
      <c r="U1092" s="151">
        <v>45603</v>
      </c>
      <c r="V1092" s="151"/>
      <c r="W1092" s="2">
        <f>VLOOKUP(Table1[[#This Row],[Status]],Auxiliar!$B$16:$D$24,3,0)*Table1[[#This Row],[Estimação (horas)]]</f>
        <v>0.1</v>
      </c>
      <c r="X1092" s="165">
        <f>+VLOOKUP(CONCATENATE(Table1[[#This Row],[Tabela]],Table1[[#This Row],[Campo]]),'2. Status Detalhe Campos FY24'!A:J,9,FALSE)</f>
        <v>0</v>
      </c>
      <c r="Y1092" s="491" t="e">
        <f>+VLOOKUP(A1092,#REF!,1,FALSE)</f>
        <v>#REF!</v>
      </c>
    </row>
    <row r="1093" spans="1:25" ht="17.899999999999999" hidden="1" customHeight="1">
      <c r="A1093" t="str">
        <f>+Table1[[#This Row],[Tabela]]&amp;Table1[[#This Row],[Campo]]</f>
        <v>modesg_inp_emss_scibclei</v>
      </c>
      <c r="B1093" s="12" t="s">
        <v>26</v>
      </c>
      <c r="C1093" s="12" t="s">
        <v>181</v>
      </c>
      <c r="D1093" s="12" t="s">
        <v>1218</v>
      </c>
      <c r="E1093" s="2" t="s">
        <v>38</v>
      </c>
      <c r="F1093" s="12" t="s">
        <v>217</v>
      </c>
      <c r="G1093" s="12" t="s">
        <v>239</v>
      </c>
      <c r="H1093" s="57" t="str">
        <f>Table1[[#This Row],[Tabela]]&amp;Table1[[#This Row],[Campo]]</f>
        <v>modesg_inp_emss_scibclei</v>
      </c>
      <c r="I1093" s="2" t="s">
        <v>612</v>
      </c>
      <c r="J1093" s="45">
        <f>VLOOKUP(Table1[[#This Row],[Status]],Auxiliar!$B$16:$C$24,2,0)</f>
        <v>1</v>
      </c>
      <c r="K1093" s="20" t="s">
        <v>1179</v>
      </c>
      <c r="L1093" s="2" t="s">
        <v>1174</v>
      </c>
      <c r="M1093" s="20" t="s">
        <v>1176</v>
      </c>
      <c r="N1093" s="47">
        <v>45490</v>
      </c>
      <c r="O1093" s="20">
        <f>INDEX(Auxiliar!$D$5:$F$13,MATCH(Table1[[#This Row],[Tipologia_Testes]],Auxiliar!$B$5:$B$13,0),MATCH(Table1[[#This Row],[Complexidade]],Auxiliar!$D$4:$F$4,0))</f>
        <v>0.5</v>
      </c>
      <c r="P1093" s="2"/>
      <c r="Q1093" s="2" t="s">
        <v>1221</v>
      </c>
      <c r="R1093" s="151">
        <v>45261</v>
      </c>
      <c r="S1093" s="151"/>
      <c r="T1093" s="151"/>
      <c r="U1093" s="151">
        <v>45603</v>
      </c>
      <c r="V1093" s="151"/>
      <c r="W1093" s="2">
        <f>VLOOKUP(Table1[[#This Row],[Status]],Auxiliar!$B$16:$D$24,3,0)*Table1[[#This Row],[Estimação (horas)]]</f>
        <v>0.5</v>
      </c>
      <c r="X1093" s="165">
        <f>+VLOOKUP(CONCATENATE(Table1[[#This Row],[Tabela]],Table1[[#This Row],[Campo]]),'2. Status Detalhe Campos FY24'!A:J,9,FALSE)</f>
        <v>0</v>
      </c>
      <c r="Y1093" s="491" t="e">
        <f>+VLOOKUP(A1093,#REF!,1,FALSE)</f>
        <v>#REF!</v>
      </c>
    </row>
    <row r="1094" spans="1:25" ht="17.899999999999999" hidden="1" customHeight="1">
      <c r="A1094" t="str">
        <f>+Table1[[#This Row],[Tabela]]&amp;Table1[[#This Row],[Campo]]</f>
        <v>modesg_inp_emss_scibscp1_emss</v>
      </c>
      <c r="B1094" s="12" t="s">
        <v>26</v>
      </c>
      <c r="C1094" s="12" t="s">
        <v>181</v>
      </c>
      <c r="D1094" s="12" t="s">
        <v>1218</v>
      </c>
      <c r="E1094" s="2" t="s">
        <v>38</v>
      </c>
      <c r="F1094" s="12" t="s">
        <v>217</v>
      </c>
      <c r="G1094" s="12" t="s">
        <v>285</v>
      </c>
      <c r="H1094" s="57" t="str">
        <f>Table1[[#This Row],[Tabela]]&amp;Table1[[#This Row],[Campo]]</f>
        <v>modesg_inp_emss_scibscp1_emss</v>
      </c>
      <c r="I1094" s="2" t="s">
        <v>612</v>
      </c>
      <c r="J1094" s="45">
        <f>VLOOKUP(Table1[[#This Row],[Status]],Auxiliar!$B$16:$C$24,2,0)</f>
        <v>1</v>
      </c>
      <c r="K1094" s="20" t="s">
        <v>1171</v>
      </c>
      <c r="L1094" s="2" t="s">
        <v>1174</v>
      </c>
      <c r="M1094" s="20" t="s">
        <v>1176</v>
      </c>
      <c r="N1094" s="47">
        <v>45499</v>
      </c>
      <c r="O1094" s="20">
        <f>INDEX(Auxiliar!$D$5:$F$13,MATCH(Table1[[#This Row],[Tipologia_Testes]],Auxiliar!$B$5:$B$13,0),MATCH(Table1[[#This Row],[Complexidade]],Auxiliar!$D$4:$F$4,0))</f>
        <v>0.1</v>
      </c>
      <c r="P1094" s="2" t="s">
        <v>1244</v>
      </c>
      <c r="Q1094" s="2" t="s">
        <v>1221</v>
      </c>
      <c r="R1094" s="151">
        <v>45136</v>
      </c>
      <c r="S1094" s="151">
        <v>45439</v>
      </c>
      <c r="T1094" s="151">
        <v>45491</v>
      </c>
      <c r="U1094" s="151">
        <v>45603</v>
      </c>
      <c r="V1094" s="151">
        <v>45499</v>
      </c>
      <c r="W1094" s="2">
        <f>VLOOKUP(Table1[[#This Row],[Status]],Auxiliar!$B$16:$D$24,3,0)*Table1[[#This Row],[Estimação (horas)]]</f>
        <v>0.1</v>
      </c>
      <c r="X1094" s="165">
        <f>+VLOOKUP(CONCATENATE(Table1[[#This Row],[Tabela]],Table1[[#This Row],[Campo]]),'2. Status Detalhe Campos FY24'!A:J,9,FALSE)</f>
        <v>0</v>
      </c>
      <c r="Y1094" s="491" t="e">
        <f>+VLOOKUP(A1094,#REF!,1,FALSE)</f>
        <v>#REF!</v>
      </c>
    </row>
    <row r="1095" spans="1:25" ht="17.899999999999999" hidden="1" customHeight="1">
      <c r="A1095" t="str">
        <f>+Table1[[#This Row],[Tabela]]&amp;Table1[[#This Row],[Campo]]</f>
        <v>modesg_inp_emss_scibscp1_emss</v>
      </c>
      <c r="B1095" s="12" t="s">
        <v>26</v>
      </c>
      <c r="C1095" s="12" t="s">
        <v>181</v>
      </c>
      <c r="D1095" s="12" t="s">
        <v>1218</v>
      </c>
      <c r="E1095" s="2" t="s">
        <v>38</v>
      </c>
      <c r="F1095" s="12" t="s">
        <v>217</v>
      </c>
      <c r="G1095" s="12" t="s">
        <v>285</v>
      </c>
      <c r="H1095" s="57" t="str">
        <f>Table1[[#This Row],[Tabela]]&amp;Table1[[#This Row],[Campo]]</f>
        <v>modesg_inp_emss_scibscp1_emss</v>
      </c>
      <c r="I1095" s="2" t="s">
        <v>612</v>
      </c>
      <c r="J1095" s="45">
        <f>VLOOKUP(Table1[[#This Row],[Status]],Auxiliar!$B$16:$C$24,2,0)</f>
        <v>1</v>
      </c>
      <c r="K1095" s="20" t="s">
        <v>1179</v>
      </c>
      <c r="L1095" s="2" t="s">
        <v>1174</v>
      </c>
      <c r="M1095" s="20" t="s">
        <v>1176</v>
      </c>
      <c r="N1095" s="47">
        <v>45490</v>
      </c>
      <c r="O1095" s="20">
        <f>INDEX(Auxiliar!$D$5:$F$13,MATCH(Table1[[#This Row],[Tipologia_Testes]],Auxiliar!$B$5:$B$13,0),MATCH(Table1[[#This Row],[Complexidade]],Auxiliar!$D$4:$F$4,0))</f>
        <v>0.5</v>
      </c>
      <c r="P1095" s="2"/>
      <c r="Q1095" s="2" t="s">
        <v>1221</v>
      </c>
      <c r="R1095" s="151">
        <v>45261</v>
      </c>
      <c r="S1095" s="151"/>
      <c r="T1095" s="151"/>
      <c r="U1095" s="151">
        <v>45603</v>
      </c>
      <c r="V1095" s="151"/>
      <c r="W1095" s="2">
        <f>VLOOKUP(Table1[[#This Row],[Status]],Auxiliar!$B$16:$D$24,3,0)*Table1[[#This Row],[Estimação (horas)]]</f>
        <v>0.5</v>
      </c>
      <c r="X1095" s="165">
        <f>+VLOOKUP(CONCATENATE(Table1[[#This Row],[Tabela]],Table1[[#This Row],[Campo]]),'2. Status Detalhe Campos FY24'!A:J,9,FALSE)</f>
        <v>0</v>
      </c>
      <c r="Y1095" s="491" t="e">
        <f>+VLOOKUP(A1095,#REF!,1,FALSE)</f>
        <v>#REF!</v>
      </c>
    </row>
    <row r="1096" spans="1:25" ht="17.899999999999999" hidden="1" customHeight="1">
      <c r="A1096" t="str">
        <f>+Table1[[#This Row],[Tabela]]&amp;Table1[[#This Row],[Campo]]</f>
        <v>modesg_inp_emss_scibscp2_emss</v>
      </c>
      <c r="B1096" s="12" t="s">
        <v>26</v>
      </c>
      <c r="C1096" s="12" t="s">
        <v>181</v>
      </c>
      <c r="D1096" s="12" t="s">
        <v>1218</v>
      </c>
      <c r="E1096" s="2" t="s">
        <v>38</v>
      </c>
      <c r="F1096" s="12" t="s">
        <v>217</v>
      </c>
      <c r="G1096" s="12" t="s">
        <v>286</v>
      </c>
      <c r="H1096" s="57" t="str">
        <f>Table1[[#This Row],[Tabela]]&amp;Table1[[#This Row],[Campo]]</f>
        <v>modesg_inp_emss_scibscp2_emss</v>
      </c>
      <c r="I1096" s="2" t="s">
        <v>612</v>
      </c>
      <c r="J1096" s="45">
        <f>VLOOKUP(Table1[[#This Row],[Status]],Auxiliar!$B$16:$C$24,2,0)</f>
        <v>1</v>
      </c>
      <c r="K1096" s="20" t="s">
        <v>1171</v>
      </c>
      <c r="L1096" s="2" t="s">
        <v>1174</v>
      </c>
      <c r="M1096" s="20" t="s">
        <v>1176</v>
      </c>
      <c r="N1096" s="47">
        <v>45499</v>
      </c>
      <c r="O1096" s="20">
        <f>INDEX(Auxiliar!$D$5:$F$13,MATCH(Table1[[#This Row],[Tipologia_Testes]],Auxiliar!$B$5:$B$13,0),MATCH(Table1[[#This Row],[Complexidade]],Auxiliar!$D$4:$F$4,0))</f>
        <v>0.1</v>
      </c>
      <c r="P1096" s="2" t="s">
        <v>1244</v>
      </c>
      <c r="Q1096" s="2" t="s">
        <v>1221</v>
      </c>
      <c r="R1096" s="151">
        <v>45136</v>
      </c>
      <c r="S1096" s="151">
        <v>45439</v>
      </c>
      <c r="T1096" s="151">
        <v>45491</v>
      </c>
      <c r="U1096" s="151">
        <v>45603</v>
      </c>
      <c r="V1096" s="151">
        <v>45499</v>
      </c>
      <c r="W1096" s="2">
        <f>VLOOKUP(Table1[[#This Row],[Status]],Auxiliar!$B$16:$D$24,3,0)*Table1[[#This Row],[Estimação (horas)]]</f>
        <v>0.1</v>
      </c>
      <c r="X1096" s="165">
        <f>+VLOOKUP(CONCATENATE(Table1[[#This Row],[Tabela]],Table1[[#This Row],[Campo]]),'2. Status Detalhe Campos FY24'!A:J,9,FALSE)</f>
        <v>0</v>
      </c>
      <c r="Y1096" s="491" t="e">
        <f>+VLOOKUP(A1096,#REF!,1,FALSE)</f>
        <v>#REF!</v>
      </c>
    </row>
    <row r="1097" spans="1:25" ht="17.899999999999999" hidden="1" customHeight="1">
      <c r="A1097" t="str">
        <f>+Table1[[#This Row],[Tabela]]&amp;Table1[[#This Row],[Campo]]</f>
        <v>modesg_inp_emss_scibscp2_emss</v>
      </c>
      <c r="B1097" s="12" t="s">
        <v>26</v>
      </c>
      <c r="C1097" s="12" t="s">
        <v>181</v>
      </c>
      <c r="D1097" s="12" t="s">
        <v>1218</v>
      </c>
      <c r="E1097" s="2" t="s">
        <v>38</v>
      </c>
      <c r="F1097" s="12" t="s">
        <v>217</v>
      </c>
      <c r="G1097" s="12" t="s">
        <v>286</v>
      </c>
      <c r="H1097" s="57" t="str">
        <f>Table1[[#This Row],[Tabela]]&amp;Table1[[#This Row],[Campo]]</f>
        <v>modesg_inp_emss_scibscp2_emss</v>
      </c>
      <c r="I1097" s="2" t="s">
        <v>612</v>
      </c>
      <c r="J1097" s="45">
        <f>VLOOKUP(Table1[[#This Row],[Status]],Auxiliar!$B$16:$C$24,2,0)</f>
        <v>1</v>
      </c>
      <c r="K1097" s="20" t="s">
        <v>1179</v>
      </c>
      <c r="L1097" s="2" t="s">
        <v>1174</v>
      </c>
      <c r="M1097" s="20" t="s">
        <v>1176</v>
      </c>
      <c r="N1097" s="47">
        <v>45490</v>
      </c>
      <c r="O1097" s="20">
        <f>INDEX(Auxiliar!$D$5:$F$13,MATCH(Table1[[#This Row],[Tipologia_Testes]],Auxiliar!$B$5:$B$13,0),MATCH(Table1[[#This Row],[Complexidade]],Auxiliar!$D$4:$F$4,0))</f>
        <v>0.5</v>
      </c>
      <c r="P1097" s="2"/>
      <c r="Q1097" s="2" t="s">
        <v>1221</v>
      </c>
      <c r="R1097" s="151">
        <v>45261</v>
      </c>
      <c r="S1097" s="151"/>
      <c r="T1097" s="151"/>
      <c r="U1097" s="151">
        <v>45603</v>
      </c>
      <c r="V1097" s="151"/>
      <c r="W1097" s="2">
        <f>VLOOKUP(Table1[[#This Row],[Status]],Auxiliar!$B$16:$D$24,3,0)*Table1[[#This Row],[Estimação (horas)]]</f>
        <v>0.5</v>
      </c>
      <c r="X1097" s="165">
        <f>+VLOOKUP(CONCATENATE(Table1[[#This Row],[Tabela]],Table1[[#This Row],[Campo]]),'2. Status Detalhe Campos FY24'!A:J,9,FALSE)</f>
        <v>0</v>
      </c>
      <c r="Y1097" s="491" t="e">
        <f>+VLOOKUP(A1097,#REF!,1,FALSE)</f>
        <v>#REF!</v>
      </c>
    </row>
    <row r="1098" spans="1:25" ht="17.899999999999999" hidden="1" customHeight="1">
      <c r="A1098" t="str">
        <f>+Table1[[#This Row],[Tabela]]&amp;Table1[[#This Row],[Campo]]</f>
        <v>modesg_inp_emss_scibscp3_emss</v>
      </c>
      <c r="B1098" s="12" t="s">
        <v>26</v>
      </c>
      <c r="C1098" s="12" t="s">
        <v>181</v>
      </c>
      <c r="D1098" s="12" t="s">
        <v>1218</v>
      </c>
      <c r="E1098" s="2" t="s">
        <v>38</v>
      </c>
      <c r="F1098" s="12" t="s">
        <v>217</v>
      </c>
      <c r="G1098" s="12" t="s">
        <v>287</v>
      </c>
      <c r="H1098" s="57" t="str">
        <f>Table1[[#This Row],[Tabela]]&amp;Table1[[#This Row],[Campo]]</f>
        <v>modesg_inp_emss_scibscp3_emss</v>
      </c>
      <c r="I1098" s="2" t="s">
        <v>612</v>
      </c>
      <c r="J1098" s="45">
        <f>VLOOKUP(Table1[[#This Row],[Status]],Auxiliar!$B$16:$C$24,2,0)</f>
        <v>1</v>
      </c>
      <c r="K1098" s="20" t="s">
        <v>1171</v>
      </c>
      <c r="L1098" s="2" t="s">
        <v>1174</v>
      </c>
      <c r="M1098" s="20" t="s">
        <v>1176</v>
      </c>
      <c r="N1098" s="47">
        <v>45490</v>
      </c>
      <c r="O1098" s="20">
        <f>INDEX(Auxiliar!$D$5:$F$13,MATCH(Table1[[#This Row],[Tipologia_Testes]],Auxiliar!$B$5:$B$13,0),MATCH(Table1[[#This Row],[Complexidade]],Auxiliar!$D$4:$F$4,0))</f>
        <v>0.1</v>
      </c>
      <c r="P1098" s="2" t="s">
        <v>1244</v>
      </c>
      <c r="Q1098" s="2" t="s">
        <v>1221</v>
      </c>
      <c r="R1098" s="151">
        <v>45261</v>
      </c>
      <c r="S1098" s="151"/>
      <c r="T1098" s="151"/>
      <c r="U1098" s="151">
        <v>45603</v>
      </c>
      <c r="V1098" s="151"/>
      <c r="W1098" s="2">
        <f>VLOOKUP(Table1[[#This Row],[Status]],Auxiliar!$B$16:$D$24,3,0)*Table1[[#This Row],[Estimação (horas)]]</f>
        <v>0.1</v>
      </c>
      <c r="X1098" s="165">
        <f>+VLOOKUP(CONCATENATE(Table1[[#This Row],[Tabela]],Table1[[#This Row],[Campo]]),'2. Status Detalhe Campos FY24'!A:J,9,FALSE)</f>
        <v>0</v>
      </c>
      <c r="Y1098" s="491" t="e">
        <f>+VLOOKUP(A1098,#REF!,1,FALSE)</f>
        <v>#REF!</v>
      </c>
    </row>
    <row r="1099" spans="1:25" ht="17.899999999999999" hidden="1" customHeight="1">
      <c r="A1099" t="str">
        <f>+Table1[[#This Row],[Tabela]]&amp;Table1[[#This Row],[Campo]]</f>
        <v>modesg_inp_emss_scibscp3_emss</v>
      </c>
      <c r="B1099" s="12" t="s">
        <v>26</v>
      </c>
      <c r="C1099" s="12" t="s">
        <v>181</v>
      </c>
      <c r="D1099" s="12" t="s">
        <v>1218</v>
      </c>
      <c r="E1099" s="2" t="s">
        <v>38</v>
      </c>
      <c r="F1099" s="12" t="s">
        <v>217</v>
      </c>
      <c r="G1099" s="12" t="s">
        <v>287</v>
      </c>
      <c r="H1099" s="57" t="str">
        <f>Table1[[#This Row],[Tabela]]&amp;Table1[[#This Row],[Campo]]</f>
        <v>modesg_inp_emss_scibscp3_emss</v>
      </c>
      <c r="I1099" s="2" t="s">
        <v>612</v>
      </c>
      <c r="J1099" s="45">
        <f>VLOOKUP(Table1[[#This Row],[Status]],Auxiliar!$B$16:$C$24,2,0)</f>
        <v>1</v>
      </c>
      <c r="K1099" s="20" t="s">
        <v>1179</v>
      </c>
      <c r="L1099" s="2" t="s">
        <v>1174</v>
      </c>
      <c r="M1099" s="20" t="s">
        <v>1176</v>
      </c>
      <c r="N1099" s="47">
        <v>45490</v>
      </c>
      <c r="O1099" s="20">
        <f>INDEX(Auxiliar!$D$5:$F$13,MATCH(Table1[[#This Row],[Tipologia_Testes]],Auxiliar!$B$5:$B$13,0),MATCH(Table1[[#This Row],[Complexidade]],Auxiliar!$D$4:$F$4,0))</f>
        <v>0.5</v>
      </c>
      <c r="P1099" s="2"/>
      <c r="Q1099" s="2" t="s">
        <v>1221</v>
      </c>
      <c r="R1099" s="151">
        <v>45261</v>
      </c>
      <c r="S1099" s="151"/>
      <c r="T1099" s="151"/>
      <c r="U1099" s="151">
        <v>45603</v>
      </c>
      <c r="V1099" s="151"/>
      <c r="W1099" s="2">
        <f>VLOOKUP(Table1[[#This Row],[Status]],Auxiliar!$B$16:$D$24,3,0)*Table1[[#This Row],[Estimação (horas)]]</f>
        <v>0.5</v>
      </c>
      <c r="X1099" s="165">
        <f>+VLOOKUP(CONCATENATE(Table1[[#This Row],[Tabela]],Table1[[#This Row],[Campo]]),'2. Status Detalhe Campos FY24'!A:J,9,FALSE)</f>
        <v>0</v>
      </c>
      <c r="Y1099" s="491" t="e">
        <f>+VLOOKUP(A1099,#REF!,1,FALSE)</f>
        <v>#REF!</v>
      </c>
    </row>
    <row r="1100" spans="1:25" ht="17.899999999999999" hidden="1" customHeight="1">
      <c r="A1100" t="str">
        <f>+Table1[[#This Row],[Tabela]]&amp;Table1[[#This Row],[Campo]]</f>
        <v>modesg_inp_emss_scibscore_scp1</v>
      </c>
      <c r="B1100" s="12" t="s">
        <v>26</v>
      </c>
      <c r="C1100" s="12" t="s">
        <v>181</v>
      </c>
      <c r="D1100" s="12" t="s">
        <v>1218</v>
      </c>
      <c r="E1100" s="2" t="s">
        <v>38</v>
      </c>
      <c r="F1100" s="12" t="s">
        <v>217</v>
      </c>
      <c r="G1100" s="12" t="s">
        <v>288</v>
      </c>
      <c r="H1100" s="57" t="str">
        <f>Table1[[#This Row],[Tabela]]&amp;Table1[[#This Row],[Campo]]</f>
        <v>modesg_inp_emss_scibscore_scp1</v>
      </c>
      <c r="I1100" s="2" t="s">
        <v>612</v>
      </c>
      <c r="J1100" s="45">
        <f>VLOOKUP(Table1[[#This Row],[Status]],Auxiliar!$B$16:$C$24,2,0)</f>
        <v>1</v>
      </c>
      <c r="K1100" s="20" t="s">
        <v>1179</v>
      </c>
      <c r="L1100" s="2" t="s">
        <v>1174</v>
      </c>
      <c r="M1100" s="20" t="s">
        <v>1176</v>
      </c>
      <c r="N1100" s="47">
        <v>45490</v>
      </c>
      <c r="O1100" s="20">
        <f>INDEX(Auxiliar!$D$5:$F$13,MATCH(Table1[[#This Row],[Tipologia_Testes]],Auxiliar!$B$5:$B$13,0),MATCH(Table1[[#This Row],[Complexidade]],Auxiliar!$D$4:$F$4,0))</f>
        <v>0.5</v>
      </c>
      <c r="P1100" s="2"/>
      <c r="Q1100" s="2" t="s">
        <v>1221</v>
      </c>
      <c r="R1100" s="151">
        <v>45261</v>
      </c>
      <c r="S1100" s="151"/>
      <c r="T1100" s="151"/>
      <c r="U1100" s="151">
        <v>45603</v>
      </c>
      <c r="V1100" s="151"/>
      <c r="W1100" s="2">
        <f>VLOOKUP(Table1[[#This Row],[Status]],Auxiliar!$B$16:$D$24,3,0)*Table1[[#This Row],[Estimação (horas)]]</f>
        <v>0.5</v>
      </c>
      <c r="X1100" s="165">
        <f>+VLOOKUP(CONCATENATE(Table1[[#This Row],[Tabela]],Table1[[#This Row],[Campo]]),'2. Status Detalhe Campos FY24'!A:J,9,FALSE)</f>
        <v>0</v>
      </c>
      <c r="Y1100" s="491" t="e">
        <f>+VLOOKUP(A1100,#REF!,1,FALSE)</f>
        <v>#REF!</v>
      </c>
    </row>
    <row r="1101" spans="1:25" ht="17.899999999999999" hidden="1" customHeight="1">
      <c r="A1101" t="str">
        <f>+Table1[[#This Row],[Tabela]]&amp;Table1[[#This Row],[Campo]]</f>
        <v>modesg_inp_emss_scibscore_scp2</v>
      </c>
      <c r="B1101" s="12" t="s">
        <v>26</v>
      </c>
      <c r="C1101" s="12" t="s">
        <v>181</v>
      </c>
      <c r="D1101" s="12" t="s">
        <v>1218</v>
      </c>
      <c r="E1101" s="2" t="s">
        <v>38</v>
      </c>
      <c r="F1101" s="12" t="s">
        <v>217</v>
      </c>
      <c r="G1101" s="12" t="s">
        <v>289</v>
      </c>
      <c r="H1101" s="57" t="str">
        <f>Table1[[#This Row],[Tabela]]&amp;Table1[[#This Row],[Campo]]</f>
        <v>modesg_inp_emss_scibscore_scp2</v>
      </c>
      <c r="I1101" s="2" t="s">
        <v>612</v>
      </c>
      <c r="J1101" s="45">
        <f>VLOOKUP(Table1[[#This Row],[Status]],Auxiliar!$B$16:$C$24,2,0)</f>
        <v>1</v>
      </c>
      <c r="K1101" s="20" t="s">
        <v>1179</v>
      </c>
      <c r="L1101" s="2" t="s">
        <v>1174</v>
      </c>
      <c r="M1101" s="20" t="s">
        <v>1176</v>
      </c>
      <c r="N1101" s="47">
        <v>45490</v>
      </c>
      <c r="O1101" s="20">
        <f>INDEX(Auxiliar!$D$5:$F$13,MATCH(Table1[[#This Row],[Tipologia_Testes]],Auxiliar!$B$5:$B$13,0),MATCH(Table1[[#This Row],[Complexidade]],Auxiliar!$D$4:$F$4,0))</f>
        <v>0.5</v>
      </c>
      <c r="P1101" s="2"/>
      <c r="Q1101" s="2" t="s">
        <v>1221</v>
      </c>
      <c r="R1101" s="151">
        <v>45261</v>
      </c>
      <c r="S1101" s="151"/>
      <c r="T1101" s="151"/>
      <c r="U1101" s="151">
        <v>45603</v>
      </c>
      <c r="V1101" s="151"/>
      <c r="W1101" s="2">
        <f>VLOOKUP(Table1[[#This Row],[Status]],Auxiliar!$B$16:$D$24,3,0)*Table1[[#This Row],[Estimação (horas)]]</f>
        <v>0.5</v>
      </c>
      <c r="X1101" s="165">
        <f>+VLOOKUP(CONCATENATE(Table1[[#This Row],[Tabela]],Table1[[#This Row],[Campo]]),'2. Status Detalhe Campos FY24'!A:J,9,FALSE)</f>
        <v>0</v>
      </c>
      <c r="Y1101" s="491" t="e">
        <f>+VLOOKUP(A1101,#REF!,1,FALSE)</f>
        <v>#REF!</v>
      </c>
    </row>
    <row r="1102" spans="1:25" ht="17.899999999999999" hidden="1" customHeight="1">
      <c r="A1102" t="str">
        <f>+Table1[[#This Row],[Tabela]]&amp;Table1[[#This Row],[Campo]]</f>
        <v>modesg_inp_emss_scibscore_scp3</v>
      </c>
      <c r="B1102" s="12" t="s">
        <v>26</v>
      </c>
      <c r="C1102" s="12" t="s">
        <v>181</v>
      </c>
      <c r="D1102" s="12" t="s">
        <v>1218</v>
      </c>
      <c r="E1102" s="2" t="s">
        <v>38</v>
      </c>
      <c r="F1102" s="12" t="s">
        <v>217</v>
      </c>
      <c r="G1102" s="12" t="s">
        <v>290</v>
      </c>
      <c r="H1102" s="57" t="str">
        <f>Table1[[#This Row],[Tabela]]&amp;Table1[[#This Row],[Campo]]</f>
        <v>modesg_inp_emss_scibscore_scp3</v>
      </c>
      <c r="I1102" s="2" t="s">
        <v>612</v>
      </c>
      <c r="J1102" s="45">
        <f>VLOOKUP(Table1[[#This Row],[Status]],Auxiliar!$B$16:$C$24,2,0)</f>
        <v>1</v>
      </c>
      <c r="K1102" s="20" t="s">
        <v>1179</v>
      </c>
      <c r="L1102" s="2" t="s">
        <v>1174</v>
      </c>
      <c r="M1102" s="20" t="s">
        <v>1176</v>
      </c>
      <c r="N1102" s="47">
        <v>45490</v>
      </c>
      <c r="O1102" s="20">
        <f>INDEX(Auxiliar!$D$5:$F$13,MATCH(Table1[[#This Row],[Tipologia_Testes]],Auxiliar!$B$5:$B$13,0),MATCH(Table1[[#This Row],[Complexidade]],Auxiliar!$D$4:$F$4,0))</f>
        <v>0.5</v>
      </c>
      <c r="P1102" s="2"/>
      <c r="Q1102" s="2" t="s">
        <v>1221</v>
      </c>
      <c r="R1102" s="151">
        <v>45261</v>
      </c>
      <c r="S1102" s="151"/>
      <c r="T1102" s="151"/>
      <c r="U1102" s="151">
        <v>45603</v>
      </c>
      <c r="V1102" s="151"/>
      <c r="W1102" s="2">
        <f>VLOOKUP(Table1[[#This Row],[Status]],Auxiliar!$B$16:$D$24,3,0)*Table1[[#This Row],[Estimação (horas)]]</f>
        <v>0.5</v>
      </c>
      <c r="X1102" s="165">
        <f>+VLOOKUP(CONCATENATE(Table1[[#This Row],[Tabela]],Table1[[#This Row],[Campo]]),'2. Status Detalhe Campos FY24'!A:J,9,FALSE)</f>
        <v>0</v>
      </c>
      <c r="Y1102" s="491" t="e">
        <f>+VLOOKUP(A1102,#REF!,1,FALSE)</f>
        <v>#REF!</v>
      </c>
    </row>
    <row r="1103" spans="1:25" ht="17.899999999999999" hidden="1" customHeight="1">
      <c r="A1103" t="str">
        <f>+Table1[[#This Row],[Tabela]]&amp;Table1[[#This Row],[Campo]]</f>
        <v>modesg_inp_emss_sciborigem_scp1</v>
      </c>
      <c r="B1103" s="12" t="s">
        <v>26</v>
      </c>
      <c r="C1103" s="12" t="s">
        <v>181</v>
      </c>
      <c r="D1103" s="12" t="s">
        <v>1218</v>
      </c>
      <c r="E1103" s="2" t="s">
        <v>38</v>
      </c>
      <c r="F1103" s="12" t="s">
        <v>217</v>
      </c>
      <c r="G1103" s="12" t="s">
        <v>291</v>
      </c>
      <c r="H1103" s="57" t="str">
        <f>Table1[[#This Row],[Tabela]]&amp;Table1[[#This Row],[Campo]]</f>
        <v>modesg_inp_emss_sciborigem_scp1</v>
      </c>
      <c r="I1103" s="2" t="s">
        <v>612</v>
      </c>
      <c r="J1103" s="45">
        <f>VLOOKUP(Table1[[#This Row],[Status]],Auxiliar!$B$16:$C$24,2,0)</f>
        <v>1</v>
      </c>
      <c r="K1103" s="20" t="s">
        <v>1179</v>
      </c>
      <c r="L1103" s="2" t="s">
        <v>1174</v>
      </c>
      <c r="M1103" s="20" t="s">
        <v>1176</v>
      </c>
      <c r="N1103" s="47">
        <v>45490</v>
      </c>
      <c r="O1103" s="20">
        <f>INDEX(Auxiliar!$D$5:$F$13,MATCH(Table1[[#This Row],[Tipologia_Testes]],Auxiliar!$B$5:$B$13,0),MATCH(Table1[[#This Row],[Complexidade]],Auxiliar!$D$4:$F$4,0))</f>
        <v>0.5</v>
      </c>
      <c r="P1103" s="2"/>
      <c r="Q1103" s="2" t="s">
        <v>1221</v>
      </c>
      <c r="R1103" s="151">
        <v>45261</v>
      </c>
      <c r="S1103" s="151"/>
      <c r="T1103" s="151"/>
      <c r="U1103" s="151">
        <v>45603</v>
      </c>
      <c r="V1103" s="151"/>
      <c r="W1103" s="2">
        <f>VLOOKUP(Table1[[#This Row],[Status]],Auxiliar!$B$16:$D$24,3,0)*Table1[[#This Row],[Estimação (horas)]]</f>
        <v>0.5</v>
      </c>
      <c r="X1103" s="165">
        <f>+VLOOKUP(CONCATENATE(Table1[[#This Row],[Tabela]],Table1[[#This Row],[Campo]]),'2. Status Detalhe Campos FY24'!A:J,9,FALSE)</f>
        <v>0</v>
      </c>
      <c r="Y1103" s="491" t="e">
        <f>+VLOOKUP(A1103,#REF!,1,FALSE)</f>
        <v>#REF!</v>
      </c>
    </row>
    <row r="1104" spans="1:25" ht="17.899999999999999" hidden="1" customHeight="1">
      <c r="A1104" t="str">
        <f>+Table1[[#This Row],[Tabela]]&amp;Table1[[#This Row],[Campo]]</f>
        <v>modesg_inp_emss_sciborigem_scp2</v>
      </c>
      <c r="B1104" s="12" t="s">
        <v>26</v>
      </c>
      <c r="C1104" s="12" t="s">
        <v>181</v>
      </c>
      <c r="D1104" s="12" t="s">
        <v>1218</v>
      </c>
      <c r="E1104" s="2" t="s">
        <v>38</v>
      </c>
      <c r="F1104" s="12" t="s">
        <v>217</v>
      </c>
      <c r="G1104" s="12" t="s">
        <v>292</v>
      </c>
      <c r="H1104" s="57" t="str">
        <f>Table1[[#This Row],[Tabela]]&amp;Table1[[#This Row],[Campo]]</f>
        <v>modesg_inp_emss_sciborigem_scp2</v>
      </c>
      <c r="I1104" s="2" t="s">
        <v>612</v>
      </c>
      <c r="J1104" s="45">
        <f>VLOOKUP(Table1[[#This Row],[Status]],Auxiliar!$B$16:$C$24,2,0)</f>
        <v>1</v>
      </c>
      <c r="K1104" s="20" t="s">
        <v>1179</v>
      </c>
      <c r="L1104" s="2" t="s">
        <v>1174</v>
      </c>
      <c r="M1104" s="20" t="s">
        <v>1176</v>
      </c>
      <c r="N1104" s="47">
        <v>45490</v>
      </c>
      <c r="O1104" s="20">
        <f>INDEX(Auxiliar!$D$5:$F$13,MATCH(Table1[[#This Row],[Tipologia_Testes]],Auxiliar!$B$5:$B$13,0),MATCH(Table1[[#This Row],[Complexidade]],Auxiliar!$D$4:$F$4,0))</f>
        <v>0.5</v>
      </c>
      <c r="P1104" s="2"/>
      <c r="Q1104" s="2" t="s">
        <v>1221</v>
      </c>
      <c r="R1104" s="151">
        <v>45261</v>
      </c>
      <c r="S1104" s="151"/>
      <c r="T1104" s="151"/>
      <c r="U1104" s="151">
        <v>45603</v>
      </c>
      <c r="V1104" s="151"/>
      <c r="W1104" s="2">
        <f>VLOOKUP(Table1[[#This Row],[Status]],Auxiliar!$B$16:$D$24,3,0)*Table1[[#This Row],[Estimação (horas)]]</f>
        <v>0.5</v>
      </c>
      <c r="X1104" s="165">
        <f>+VLOOKUP(CONCATENATE(Table1[[#This Row],[Tabela]],Table1[[#This Row],[Campo]]),'2. Status Detalhe Campos FY24'!A:J,9,FALSE)</f>
        <v>0</v>
      </c>
      <c r="Y1104" s="491" t="e">
        <f>+VLOOKUP(A1104,#REF!,1,FALSE)</f>
        <v>#REF!</v>
      </c>
    </row>
    <row r="1105" spans="1:25" ht="17.899999999999999" hidden="1" customHeight="1">
      <c r="A1105" t="str">
        <f>+Table1[[#This Row],[Tabela]]&amp;Table1[[#This Row],[Campo]]</f>
        <v>modesg_inp_emss_sciborigem_scp3</v>
      </c>
      <c r="B1105" s="12" t="s">
        <v>26</v>
      </c>
      <c r="C1105" s="12" t="s">
        <v>181</v>
      </c>
      <c r="D1105" s="12" t="s">
        <v>1218</v>
      </c>
      <c r="E1105" s="2" t="s">
        <v>38</v>
      </c>
      <c r="F1105" s="12" t="s">
        <v>217</v>
      </c>
      <c r="G1105" s="12" t="s">
        <v>293</v>
      </c>
      <c r="H1105" s="57" t="str">
        <f>Table1[[#This Row],[Tabela]]&amp;Table1[[#This Row],[Campo]]</f>
        <v>modesg_inp_emss_sciborigem_scp3</v>
      </c>
      <c r="I1105" s="2" t="s">
        <v>612</v>
      </c>
      <c r="J1105" s="45">
        <f>VLOOKUP(Table1[[#This Row],[Status]],Auxiliar!$B$16:$C$24,2,0)</f>
        <v>1</v>
      </c>
      <c r="K1105" s="20" t="s">
        <v>1179</v>
      </c>
      <c r="L1105" s="2" t="s">
        <v>1174</v>
      </c>
      <c r="M1105" s="20" t="s">
        <v>1176</v>
      </c>
      <c r="N1105" s="47">
        <v>45490</v>
      </c>
      <c r="O1105" s="20">
        <f>INDEX(Auxiliar!$D$5:$F$13,MATCH(Table1[[#This Row],[Tipologia_Testes]],Auxiliar!$B$5:$B$13,0),MATCH(Table1[[#This Row],[Complexidade]],Auxiliar!$D$4:$F$4,0))</f>
        <v>0.5</v>
      </c>
      <c r="P1105" s="2"/>
      <c r="Q1105" s="2" t="s">
        <v>1221</v>
      </c>
      <c r="R1105" s="151">
        <v>45261</v>
      </c>
      <c r="S1105" s="151"/>
      <c r="T1105" s="151"/>
      <c r="U1105" s="151">
        <v>45603</v>
      </c>
      <c r="V1105" s="151"/>
      <c r="W1105" s="2">
        <f>VLOOKUP(Table1[[#This Row],[Status]],Auxiliar!$B$16:$D$24,3,0)*Table1[[#This Row],[Estimação (horas)]]</f>
        <v>0.5</v>
      </c>
      <c r="X1105" s="165">
        <f>+VLOOKUP(CONCATENATE(Table1[[#This Row],[Tabela]],Table1[[#This Row],[Campo]]),'2. Status Detalhe Campos FY24'!A:J,9,FALSE)</f>
        <v>0</v>
      </c>
      <c r="Y1105" s="491" t="e">
        <f>+VLOOKUP(A1105,#REF!,1,FALSE)</f>
        <v>#REF!</v>
      </c>
    </row>
    <row r="1106" spans="1:25" ht="17.899999999999999" hidden="1" customHeight="1">
      <c r="A1106" t="str">
        <f>+Table1[[#This Row],[Tabela]]&amp;Table1[[#This Row],[Campo]]</f>
        <v>modesg_inp_emss_scibano_info</v>
      </c>
      <c r="B1106" s="12" t="s">
        <v>26</v>
      </c>
      <c r="C1106" s="12" t="s">
        <v>181</v>
      </c>
      <c r="D1106" s="12" t="s">
        <v>1218</v>
      </c>
      <c r="E1106" s="2" t="s">
        <v>38</v>
      </c>
      <c r="F1106" s="12" t="s">
        <v>217</v>
      </c>
      <c r="G1106" s="12" t="s">
        <v>294</v>
      </c>
      <c r="H1106" s="57" t="str">
        <f>Table1[[#This Row],[Tabela]]&amp;Table1[[#This Row],[Campo]]</f>
        <v>modesg_inp_emss_scibano_info</v>
      </c>
      <c r="I1106" s="2" t="s">
        <v>612</v>
      </c>
      <c r="J1106" s="45">
        <f>VLOOKUP(Table1[[#This Row],[Status]],Auxiliar!$B$16:$C$24,2,0)</f>
        <v>1</v>
      </c>
      <c r="K1106" s="20" t="s">
        <v>1179</v>
      </c>
      <c r="L1106" s="2" t="s">
        <v>1166</v>
      </c>
      <c r="M1106" s="20" t="s">
        <v>1176</v>
      </c>
      <c r="N1106" s="47">
        <v>45490</v>
      </c>
      <c r="O1106" s="20">
        <f>INDEX(Auxiliar!$D$5:$F$13,MATCH(Table1[[#This Row],[Tipologia_Testes]],Auxiliar!$B$5:$B$13,0),MATCH(Table1[[#This Row],[Complexidade]],Auxiliar!$D$4:$F$4,0))</f>
        <v>0.5</v>
      </c>
      <c r="P1106" s="2" t="s">
        <v>1245</v>
      </c>
      <c r="Q1106" s="2" t="s">
        <v>1221</v>
      </c>
      <c r="R1106" s="151">
        <v>45261</v>
      </c>
      <c r="S1106" s="151"/>
      <c r="T1106" s="151"/>
      <c r="U1106" s="151">
        <v>45603</v>
      </c>
      <c r="V1106" s="151"/>
      <c r="W1106" s="2">
        <f>VLOOKUP(Table1[[#This Row],[Status]],Auxiliar!$B$16:$D$24,3,0)*Table1[[#This Row],[Estimação (horas)]]</f>
        <v>0.5</v>
      </c>
      <c r="X1106" s="165">
        <f>+VLOOKUP(CONCATENATE(Table1[[#This Row],[Tabela]],Table1[[#This Row],[Campo]]),'2. Status Detalhe Campos FY24'!A:J,9,FALSE)</f>
        <v>0</v>
      </c>
      <c r="Y1106" s="491" t="e">
        <f>+VLOOKUP(A1106,#REF!,1,FALSE)</f>
        <v>#REF!</v>
      </c>
    </row>
    <row r="1107" spans="1:25" ht="17.899999999999999" hidden="1" customHeight="1">
      <c r="A1107" t="str">
        <f>+Table1[[#This Row],[Tabela]]&amp;Table1[[#This Row],[Campo]]</f>
        <v>modesg_inp_emss_scibdivida_total</v>
      </c>
      <c r="B1107" s="12" t="s">
        <v>26</v>
      </c>
      <c r="C1107" s="12" t="s">
        <v>181</v>
      </c>
      <c r="D1107" s="12" t="s">
        <v>1218</v>
      </c>
      <c r="E1107" s="2" t="s">
        <v>38</v>
      </c>
      <c r="F1107" s="12" t="s">
        <v>217</v>
      </c>
      <c r="G1107" s="12" t="s">
        <v>295</v>
      </c>
      <c r="H1107" s="57" t="str">
        <f>Table1[[#This Row],[Tabela]]&amp;Table1[[#This Row],[Campo]]</f>
        <v>modesg_inp_emss_scibdivida_total</v>
      </c>
      <c r="I1107" s="2" t="s">
        <v>612</v>
      </c>
      <c r="J1107" s="45">
        <f>VLOOKUP(Table1[[#This Row],[Status]],Auxiliar!$B$16:$C$24,2,0)</f>
        <v>1</v>
      </c>
      <c r="K1107" s="20" t="s">
        <v>1179</v>
      </c>
      <c r="L1107" s="2" t="s">
        <v>1174</v>
      </c>
      <c r="M1107" s="20" t="s">
        <v>1176</v>
      </c>
      <c r="N1107" s="47">
        <v>45490</v>
      </c>
      <c r="O1107" s="20">
        <f>INDEX(Auxiliar!$D$5:$F$13,MATCH(Table1[[#This Row],[Tipologia_Testes]],Auxiliar!$B$5:$B$13,0),MATCH(Table1[[#This Row],[Complexidade]],Auxiliar!$D$4:$F$4,0))</f>
        <v>0.5</v>
      </c>
      <c r="P1107" s="2"/>
      <c r="Q1107" s="2" t="s">
        <v>1221</v>
      </c>
      <c r="R1107" s="151">
        <v>45261</v>
      </c>
      <c r="S1107" s="151"/>
      <c r="T1107" s="151"/>
      <c r="U1107" s="151">
        <v>45603</v>
      </c>
      <c r="V1107" s="151"/>
      <c r="W1107" s="2">
        <f>VLOOKUP(Table1[[#This Row],[Status]],Auxiliar!$B$16:$D$24,3,0)*Table1[[#This Row],[Estimação (horas)]]</f>
        <v>0.5</v>
      </c>
      <c r="X1107" s="165">
        <f>+VLOOKUP(CONCATENATE(Table1[[#This Row],[Tabela]],Table1[[#This Row],[Campo]]),'2. Status Detalhe Campos FY24'!A:J,9,FALSE)</f>
        <v>0</v>
      </c>
      <c r="Y1107" s="491" t="e">
        <f>+VLOOKUP(A1107,#REF!,1,FALSE)</f>
        <v>#REF!</v>
      </c>
    </row>
    <row r="1108" spans="1:25" ht="17.899999999999999" hidden="1" customHeight="1">
      <c r="A1108" t="str">
        <f>+Table1[[#This Row],[Tabela]]&amp;Table1[[#This Row],[Campo]]</f>
        <v>modesg_inp_emss_scibcapital_proprio</v>
      </c>
      <c r="B1108" s="12" t="s">
        <v>26</v>
      </c>
      <c r="C1108" s="12" t="s">
        <v>181</v>
      </c>
      <c r="D1108" s="12" t="s">
        <v>1218</v>
      </c>
      <c r="E1108" s="2" t="s">
        <v>38</v>
      </c>
      <c r="F1108" s="12" t="s">
        <v>217</v>
      </c>
      <c r="G1108" s="12" t="s">
        <v>296</v>
      </c>
      <c r="H1108" s="57" t="str">
        <f>Table1[[#This Row],[Tabela]]&amp;Table1[[#This Row],[Campo]]</f>
        <v>modesg_inp_emss_scibcapital_proprio</v>
      </c>
      <c r="I1108" s="2" t="s">
        <v>612</v>
      </c>
      <c r="J1108" s="45">
        <f>VLOOKUP(Table1[[#This Row],[Status]],Auxiliar!$B$16:$C$24,2,0)</f>
        <v>1</v>
      </c>
      <c r="K1108" s="20" t="s">
        <v>1179</v>
      </c>
      <c r="L1108" s="2" t="s">
        <v>1174</v>
      </c>
      <c r="M1108" s="20" t="s">
        <v>1176</v>
      </c>
      <c r="N1108" s="47">
        <v>45490</v>
      </c>
      <c r="O1108" s="20">
        <f>INDEX(Auxiliar!$D$5:$F$13,MATCH(Table1[[#This Row],[Tipologia_Testes]],Auxiliar!$B$5:$B$13,0),MATCH(Table1[[#This Row],[Complexidade]],Auxiliar!$D$4:$F$4,0))</f>
        <v>0.5</v>
      </c>
      <c r="P1108" s="2"/>
      <c r="Q1108" s="2" t="s">
        <v>1221</v>
      </c>
      <c r="R1108" s="151">
        <v>45261</v>
      </c>
      <c r="S1108" s="151"/>
      <c r="T1108" s="151"/>
      <c r="U1108" s="151">
        <v>45603</v>
      </c>
      <c r="V1108" s="151"/>
      <c r="W1108" s="2">
        <f>VLOOKUP(Table1[[#This Row],[Status]],Auxiliar!$B$16:$D$24,3,0)*Table1[[#This Row],[Estimação (horas)]]</f>
        <v>0.5</v>
      </c>
      <c r="X1108" s="165">
        <f>+VLOOKUP(CONCATENATE(Table1[[#This Row],[Tabela]],Table1[[#This Row],[Campo]]),'2. Status Detalhe Campos FY24'!A:J,9,FALSE)</f>
        <v>0</v>
      </c>
      <c r="Y1108" s="491" t="e">
        <f>+VLOOKUP(A1108,#REF!,1,FALSE)</f>
        <v>#REF!</v>
      </c>
    </row>
    <row r="1109" spans="1:25" ht="17.899999999999999" hidden="1" customHeight="1">
      <c r="A1109" t="str">
        <f>+Table1[[#This Row],[Tabela]]&amp;Table1[[#This Row],[Campo]]</f>
        <v>modesg_inp_emss_naceref_date</v>
      </c>
      <c r="B1109" s="12" t="s">
        <v>26</v>
      </c>
      <c r="C1109" s="12" t="s">
        <v>181</v>
      </c>
      <c r="D1109" s="12" t="s">
        <v>1218</v>
      </c>
      <c r="E1109" s="2" t="s">
        <v>38</v>
      </c>
      <c r="F1109" s="12" t="s">
        <v>218</v>
      </c>
      <c r="G1109" s="12" t="s">
        <v>208</v>
      </c>
      <c r="H1109" s="57" t="str">
        <f>Table1[[#This Row],[Tabela]]&amp;Table1[[#This Row],[Campo]]</f>
        <v>modesg_inp_emss_naceref_date</v>
      </c>
      <c r="I1109" s="2" t="s">
        <v>612</v>
      </c>
      <c r="J1109" s="45">
        <f>VLOOKUP(Table1[[#This Row],[Status]],Auxiliar!$B$16:$C$24,2,0)</f>
        <v>1</v>
      </c>
      <c r="K1109" s="20" t="s">
        <v>1179</v>
      </c>
      <c r="L1109" s="2" t="s">
        <v>1174</v>
      </c>
      <c r="M1109" s="20" t="s">
        <v>1176</v>
      </c>
      <c r="N1109" s="47">
        <v>45540</v>
      </c>
      <c r="O1109" s="20">
        <f>INDEX(Auxiliar!$D$5:$F$13,MATCH(Table1[[#This Row],[Tipologia_Testes]],Auxiliar!$B$5:$B$13,0),MATCH(Table1[[#This Row],[Complexidade]],Auxiliar!$D$4:$F$4,0))</f>
        <v>0.5</v>
      </c>
      <c r="P1109" s="2"/>
      <c r="Q1109" s="2"/>
      <c r="R1109" s="151">
        <v>45261</v>
      </c>
      <c r="S1109" s="151"/>
      <c r="T1109" s="151"/>
      <c r="U1109" s="151">
        <v>45603</v>
      </c>
      <c r="V1109" s="151"/>
      <c r="W1109" s="2">
        <f>VLOOKUP(Table1[[#This Row],[Status]],Auxiliar!$B$16:$D$24,3,0)*Table1[[#This Row],[Estimação (horas)]]</f>
        <v>0.5</v>
      </c>
      <c r="X1109" s="165">
        <f>+VLOOKUP(CONCATENATE(Table1[[#This Row],[Tabela]],Table1[[#This Row],[Campo]]),'2. Status Detalhe Campos FY24'!A:J,9,FALSE)</f>
        <v>0</v>
      </c>
      <c r="Y1109" s="491" t="e">
        <f>+VLOOKUP(A1109,#REF!,1,FALSE)</f>
        <v>#REF!</v>
      </c>
    </row>
    <row r="1110" spans="1:25" ht="17.899999999999999" hidden="1" customHeight="1">
      <c r="A1110" t="str">
        <f>+Table1[[#This Row],[Tabela]]&amp;Table1[[#This Row],[Campo]]</f>
        <v>modesg_inp_emss_naceano</v>
      </c>
      <c r="B1110" s="12" t="s">
        <v>26</v>
      </c>
      <c r="C1110" s="12" t="s">
        <v>181</v>
      </c>
      <c r="D1110" s="12" t="s">
        <v>1218</v>
      </c>
      <c r="E1110" s="2" t="s">
        <v>38</v>
      </c>
      <c r="F1110" s="12" t="s">
        <v>218</v>
      </c>
      <c r="G1110" s="12" t="s">
        <v>297</v>
      </c>
      <c r="H1110" s="57" t="str">
        <f>Table1[[#This Row],[Tabela]]&amp;Table1[[#This Row],[Campo]]</f>
        <v>modesg_inp_emss_naceano</v>
      </c>
      <c r="I1110" s="2" t="s">
        <v>612</v>
      </c>
      <c r="J1110" s="45">
        <f>VLOOKUP(Table1[[#This Row],[Status]],Auxiliar!$B$16:$C$24,2,0)</f>
        <v>1</v>
      </c>
      <c r="K1110" s="20" t="s">
        <v>1179</v>
      </c>
      <c r="L1110" s="2" t="s">
        <v>641</v>
      </c>
      <c r="M1110" s="20" t="s">
        <v>1176</v>
      </c>
      <c r="N1110" s="47">
        <v>45540</v>
      </c>
      <c r="O1110" s="20">
        <f>INDEX(Auxiliar!$D$5:$F$13,MATCH(Table1[[#This Row],[Tipologia_Testes]],Auxiliar!$B$5:$B$13,0),MATCH(Table1[[#This Row],[Complexidade]],Auxiliar!$D$4:$F$4,0))</f>
        <v>0.5</v>
      </c>
      <c r="P1110" s="2"/>
      <c r="Q1110" s="2"/>
      <c r="R1110" s="151">
        <v>45261</v>
      </c>
      <c r="S1110" s="151"/>
      <c r="T1110" s="151"/>
      <c r="U1110" s="151">
        <v>45603</v>
      </c>
      <c r="V1110" s="151"/>
      <c r="W1110" s="2">
        <f>VLOOKUP(Table1[[#This Row],[Status]],Auxiliar!$B$16:$D$24,3,0)*Table1[[#This Row],[Estimação (horas)]]</f>
        <v>0.5</v>
      </c>
      <c r="X1110" s="165">
        <f>+VLOOKUP(CONCATENATE(Table1[[#This Row],[Tabela]],Table1[[#This Row],[Campo]]),'2. Status Detalhe Campos FY24'!A:J,9,FALSE)</f>
        <v>0</v>
      </c>
      <c r="Y1110" s="491" t="e">
        <f>+VLOOKUP(A1110,#REF!,1,FALSE)</f>
        <v>#REF!</v>
      </c>
    </row>
    <row r="1111" spans="1:25" ht="87" hidden="1" customHeight="1">
      <c r="A1111" t="str">
        <f>+Table1[[#This Row],[Tabela]]&amp;Table1[[#This Row],[Campo]]</f>
        <v>modesg_inp_emss_nacenome_pais</v>
      </c>
      <c r="B1111" s="12" t="s">
        <v>26</v>
      </c>
      <c r="C1111" s="12" t="s">
        <v>181</v>
      </c>
      <c r="D1111" s="12" t="s">
        <v>1218</v>
      </c>
      <c r="E1111" s="2" t="s">
        <v>38</v>
      </c>
      <c r="F1111" s="12" t="s">
        <v>218</v>
      </c>
      <c r="G1111" s="12" t="s">
        <v>221</v>
      </c>
      <c r="H1111" s="57" t="str">
        <f>Table1[[#This Row],[Tabela]]&amp;Table1[[#This Row],[Campo]]</f>
        <v>modesg_inp_emss_nacenome_pais</v>
      </c>
      <c r="I1111" s="2" t="s">
        <v>612</v>
      </c>
      <c r="J1111" s="45">
        <f>VLOOKUP(Table1[[#This Row],[Status]],Auxiliar!$B$16:$C$24,2,0)</f>
        <v>1</v>
      </c>
      <c r="K1111" s="20" t="s">
        <v>1179</v>
      </c>
      <c r="L1111" s="2" t="s">
        <v>641</v>
      </c>
      <c r="M1111" s="20" t="s">
        <v>1176</v>
      </c>
      <c r="N1111" s="47">
        <v>45540</v>
      </c>
      <c r="O1111" s="20">
        <f>INDEX(Auxiliar!$D$5:$F$13,MATCH(Table1[[#This Row],[Tipologia_Testes]],Auxiliar!$B$5:$B$13,0),MATCH(Table1[[#This Row],[Complexidade]],Auxiliar!$D$4:$F$4,0))</f>
        <v>0.5</v>
      </c>
      <c r="P1111" s="2"/>
      <c r="Q1111" s="2"/>
      <c r="R1111" s="151">
        <v>45261</v>
      </c>
      <c r="S1111" s="151"/>
      <c r="T1111" s="151"/>
      <c r="U1111" s="151">
        <v>45603</v>
      </c>
      <c r="V1111" s="151"/>
      <c r="W1111" s="2">
        <f>VLOOKUP(Table1[[#This Row],[Status]],Auxiliar!$B$16:$D$24,3,0)*Table1[[#This Row],[Estimação (horas)]]</f>
        <v>0.5</v>
      </c>
      <c r="X1111" s="165">
        <f>+VLOOKUP(CONCATENATE(Table1[[#This Row],[Tabela]],Table1[[#This Row],[Campo]]),'2. Status Detalhe Campos FY24'!A:J,9,FALSE)</f>
        <v>0</v>
      </c>
      <c r="Y1111" s="491" t="e">
        <f>+VLOOKUP(A1111,#REF!,1,FALSE)</f>
        <v>#REF!</v>
      </c>
    </row>
    <row r="1112" spans="1:25" ht="87" hidden="1" customHeight="1">
      <c r="A1112" t="str">
        <f>+Table1[[#This Row],[Tabela]]&amp;Table1[[#This Row],[Campo]]</f>
        <v>modesg_inp_emss_nacecod_nace_esg</v>
      </c>
      <c r="B1112" s="12" t="s">
        <v>26</v>
      </c>
      <c r="C1112" s="12" t="s">
        <v>181</v>
      </c>
      <c r="D1112" s="12" t="s">
        <v>1218</v>
      </c>
      <c r="E1112" s="2" t="s">
        <v>38</v>
      </c>
      <c r="F1112" s="12" t="s">
        <v>218</v>
      </c>
      <c r="G1112" s="12" t="s">
        <v>281</v>
      </c>
      <c r="H1112" s="57" t="str">
        <f>Table1[[#This Row],[Tabela]]&amp;Table1[[#This Row],[Campo]]</f>
        <v>modesg_inp_emss_nacecod_nace_esg</v>
      </c>
      <c r="I1112" s="2" t="s">
        <v>612</v>
      </c>
      <c r="J1112" s="45">
        <f>VLOOKUP(Table1[[#This Row],[Status]],Auxiliar!$B$16:$C$24,2,0)</f>
        <v>1</v>
      </c>
      <c r="K1112" s="20" t="s">
        <v>1171</v>
      </c>
      <c r="L1112" s="2" t="s">
        <v>1174</v>
      </c>
      <c r="M1112" s="20" t="s">
        <v>1176</v>
      </c>
      <c r="N1112" s="47">
        <v>45562</v>
      </c>
      <c r="O1112" s="20">
        <f>INDEX(Auxiliar!$D$5:$F$13,MATCH(Table1[[#This Row],[Tipologia_Testes]],Auxiliar!$B$5:$B$13,0),MATCH(Table1[[#This Row],[Complexidade]],Auxiliar!$D$4:$F$4,0))</f>
        <v>0.1</v>
      </c>
      <c r="P1112" s="22" t="s">
        <v>1246</v>
      </c>
      <c r="Q1112" s="2"/>
      <c r="R1112" s="151">
        <v>45261</v>
      </c>
      <c r="S1112" s="151"/>
      <c r="T1112" s="151"/>
      <c r="U1112" s="151">
        <v>45603</v>
      </c>
      <c r="V1112" s="151"/>
      <c r="W1112" s="2">
        <f>VLOOKUP(Table1[[#This Row],[Status]],Auxiliar!$B$16:$D$24,3,0)*Table1[[#This Row],[Estimação (horas)]]</f>
        <v>0.1</v>
      </c>
      <c r="X1112" s="165">
        <f>+VLOOKUP(CONCATENATE(Table1[[#This Row],[Tabela]],Table1[[#This Row],[Campo]]),'2. Status Detalhe Campos FY24'!A:J,9,FALSE)</f>
        <v>0</v>
      </c>
      <c r="Y1112" s="491" t="e">
        <f>+VLOOKUP(A1112,#REF!,1,FALSE)</f>
        <v>#REF!</v>
      </c>
    </row>
    <row r="1113" spans="1:25" ht="17.899999999999999" hidden="1" customHeight="1">
      <c r="A1113" t="str">
        <f>+Table1[[#This Row],[Tabela]]&amp;Table1[[#This Row],[Campo]]</f>
        <v>modesg_inp_emss_nacecod_nace_esg</v>
      </c>
      <c r="B1113" s="12" t="s">
        <v>26</v>
      </c>
      <c r="C1113" s="12" t="s">
        <v>181</v>
      </c>
      <c r="D1113" s="12" t="s">
        <v>1218</v>
      </c>
      <c r="E1113" s="2" t="s">
        <v>38</v>
      </c>
      <c r="F1113" s="12" t="s">
        <v>218</v>
      </c>
      <c r="G1113" s="12" t="s">
        <v>281</v>
      </c>
      <c r="H1113" s="57" t="str">
        <f>Table1[[#This Row],[Tabela]]&amp;Table1[[#This Row],[Campo]]</f>
        <v>modesg_inp_emss_nacecod_nace_esg</v>
      </c>
      <c r="I1113" s="2" t="s">
        <v>612</v>
      </c>
      <c r="J1113" s="45">
        <f>VLOOKUP(Table1[[#This Row],[Status]],Auxiliar!$B$16:$C$24,2,0)</f>
        <v>1</v>
      </c>
      <c r="K1113" s="20" t="s">
        <v>1179</v>
      </c>
      <c r="L1113" s="2" t="s">
        <v>1174</v>
      </c>
      <c r="M1113" s="20" t="s">
        <v>1176</v>
      </c>
      <c r="N1113" s="47">
        <v>45562</v>
      </c>
      <c r="O1113" s="20">
        <f>INDEX(Auxiliar!$D$5:$F$13,MATCH(Table1[[#This Row],[Tipologia_Testes]],Auxiliar!$B$5:$B$13,0),MATCH(Table1[[#This Row],[Complexidade]],Auxiliar!$D$4:$F$4,0))</f>
        <v>0.5</v>
      </c>
      <c r="P1113" s="22" t="s">
        <v>1246</v>
      </c>
      <c r="Q1113" s="2"/>
      <c r="R1113" s="151">
        <v>45261</v>
      </c>
      <c r="S1113" s="151"/>
      <c r="T1113" s="151"/>
      <c r="U1113" s="151">
        <v>45603</v>
      </c>
      <c r="V1113" s="151"/>
      <c r="W1113" s="2">
        <f>VLOOKUP(Table1[[#This Row],[Status]],Auxiliar!$B$16:$D$24,3,0)*Table1[[#This Row],[Estimação (horas)]]</f>
        <v>0.5</v>
      </c>
      <c r="X1113" s="165">
        <f>+VLOOKUP(CONCATENATE(Table1[[#This Row],[Tabela]],Table1[[#This Row],[Campo]]),'2. Status Detalhe Campos FY24'!A:J,9,FALSE)</f>
        <v>0</v>
      </c>
      <c r="Y1113" s="491" t="e">
        <f>+VLOOKUP(A1113,#REF!,1,FALSE)</f>
        <v>#REF!</v>
      </c>
    </row>
    <row r="1114" spans="1:25" ht="17.899999999999999" hidden="1" customHeight="1">
      <c r="A1114" t="str">
        <f>+Table1[[#This Row],[Tabela]]&amp;Table1[[#This Row],[Campo]]</f>
        <v>modesg_inp_emss_nacecod_class_indust</v>
      </c>
      <c r="B1114" s="12" t="s">
        <v>26</v>
      </c>
      <c r="C1114" s="12" t="s">
        <v>181</v>
      </c>
      <c r="D1114" s="12" t="s">
        <v>1218</v>
      </c>
      <c r="E1114" s="2" t="s">
        <v>38</v>
      </c>
      <c r="F1114" s="12" t="s">
        <v>218</v>
      </c>
      <c r="G1114" s="12" t="s">
        <v>298</v>
      </c>
      <c r="H1114" s="57" t="str">
        <f>Table1[[#This Row],[Tabela]]&amp;Table1[[#This Row],[Campo]]</f>
        <v>modesg_inp_emss_nacecod_class_indust</v>
      </c>
      <c r="I1114" s="2" t="s">
        <v>612</v>
      </c>
      <c r="J1114" s="45">
        <f>VLOOKUP(Table1[[#This Row],[Status]],Auxiliar!$B$16:$C$24,2,0)</f>
        <v>1</v>
      </c>
      <c r="K1114" s="20" t="s">
        <v>1179</v>
      </c>
      <c r="L1114" s="2" t="s">
        <v>1174</v>
      </c>
      <c r="M1114" s="20" t="s">
        <v>1176</v>
      </c>
      <c r="N1114" s="47">
        <v>45540</v>
      </c>
      <c r="O1114" s="20">
        <f>INDEX(Auxiliar!$D$5:$F$13,MATCH(Table1[[#This Row],[Tipologia_Testes]],Auxiliar!$B$5:$B$13,0),MATCH(Table1[[#This Row],[Complexidade]],Auxiliar!$D$4:$F$4,0))</f>
        <v>0.5</v>
      </c>
      <c r="P1114" s="2"/>
      <c r="Q1114" s="2"/>
      <c r="R1114" s="151">
        <v>45261</v>
      </c>
      <c r="S1114" s="151"/>
      <c r="T1114" s="151"/>
      <c r="U1114" s="151">
        <v>45603</v>
      </c>
      <c r="V1114" s="151"/>
      <c r="W1114" s="2">
        <f>VLOOKUP(Table1[[#This Row],[Status]],Auxiliar!$B$16:$D$24,3,0)*Table1[[#This Row],[Estimação (horas)]]</f>
        <v>0.5</v>
      </c>
      <c r="X1114" s="165">
        <f>+VLOOKUP(CONCATENATE(Table1[[#This Row],[Tabela]],Table1[[#This Row],[Campo]]),'2. Status Detalhe Campos FY24'!A:J,9,FALSE)</f>
        <v>0</v>
      </c>
      <c r="Y1114" s="491" t="e">
        <f>+VLOOKUP(A1114,#REF!,1,FALSE)</f>
        <v>#REF!</v>
      </c>
    </row>
    <row r="1115" spans="1:25" ht="17.899999999999999" hidden="1" customHeight="1">
      <c r="A1115" t="str">
        <f>+Table1[[#This Row],[Tabela]]&amp;Table1[[#This Row],[Campo]]</f>
        <v>modesg_inp_emss_nacenivel_classificacao_1</v>
      </c>
      <c r="B1115" s="12" t="s">
        <v>26</v>
      </c>
      <c r="C1115" s="12" t="s">
        <v>181</v>
      </c>
      <c r="D1115" s="12" t="s">
        <v>1218</v>
      </c>
      <c r="E1115" s="2" t="s">
        <v>38</v>
      </c>
      <c r="F1115" s="12" t="s">
        <v>218</v>
      </c>
      <c r="G1115" s="12" t="s">
        <v>299</v>
      </c>
      <c r="H1115" s="57" t="str">
        <f>Table1[[#This Row],[Tabela]]&amp;Table1[[#This Row],[Campo]]</f>
        <v>modesg_inp_emss_nacenivel_classificacao_1</v>
      </c>
      <c r="I1115" s="2" t="s">
        <v>612</v>
      </c>
      <c r="J1115" s="45">
        <f>VLOOKUP(Table1[[#This Row],[Status]],Auxiliar!$B$16:$C$24,2,0)</f>
        <v>1</v>
      </c>
      <c r="K1115" s="20" t="s">
        <v>1179</v>
      </c>
      <c r="L1115" s="2" t="s">
        <v>641</v>
      </c>
      <c r="M1115" s="20" t="s">
        <v>1176</v>
      </c>
      <c r="N1115" s="47">
        <v>45537</v>
      </c>
      <c r="O1115" s="20">
        <f>INDEX(Auxiliar!$D$5:$F$13,MATCH(Table1[[#This Row],[Tipologia_Testes]],Auxiliar!$B$5:$B$13,0),MATCH(Table1[[#This Row],[Complexidade]],Auxiliar!$D$4:$F$4,0))</f>
        <v>0.5</v>
      </c>
      <c r="P1115" s="2" t="s">
        <v>1247</v>
      </c>
      <c r="Q1115" s="2"/>
      <c r="R1115" s="151">
        <v>45261</v>
      </c>
      <c r="S1115" s="151"/>
      <c r="T1115" s="151"/>
      <c r="U1115" s="151">
        <v>45603</v>
      </c>
      <c r="V1115" s="151"/>
      <c r="W1115" s="2">
        <f>VLOOKUP(Table1[[#This Row],[Status]],Auxiliar!$B$16:$D$24,3,0)*Table1[[#This Row],[Estimação (horas)]]</f>
        <v>0.5</v>
      </c>
      <c r="X1115" s="165">
        <f>+VLOOKUP(CONCATENATE(Table1[[#This Row],[Tabela]],Table1[[#This Row],[Campo]]),'2. Status Detalhe Campos FY24'!A:J,9,FALSE)</f>
        <v>0</v>
      </c>
      <c r="Y1115" s="491" t="e">
        <f>+VLOOKUP(A1115,#REF!,1,FALSE)</f>
        <v>#REF!</v>
      </c>
    </row>
    <row r="1116" spans="1:25" ht="17.899999999999999" hidden="1" customHeight="1">
      <c r="A1116" t="str">
        <f>+Table1[[#This Row],[Tabela]]&amp;Table1[[#This Row],[Campo]]</f>
        <v>modesg_inp_emss_naceclasse_ativo</v>
      </c>
      <c r="B1116" s="12" t="s">
        <v>26</v>
      </c>
      <c r="C1116" s="12" t="s">
        <v>181</v>
      </c>
      <c r="D1116" s="12" t="s">
        <v>1218</v>
      </c>
      <c r="E1116" s="2" t="s">
        <v>38</v>
      </c>
      <c r="F1116" s="12" t="s">
        <v>218</v>
      </c>
      <c r="G1116" s="12" t="s">
        <v>300</v>
      </c>
      <c r="H1116" s="57" t="str">
        <f>Table1[[#This Row],[Tabela]]&amp;Table1[[#This Row],[Campo]]</f>
        <v>modesg_inp_emss_naceclasse_ativo</v>
      </c>
      <c r="I1116" s="2" t="s">
        <v>612</v>
      </c>
      <c r="J1116" s="45">
        <f>VLOOKUP(Table1[[#This Row],[Status]],Auxiliar!$B$16:$C$24,2,0)</f>
        <v>1</v>
      </c>
      <c r="K1116" s="20" t="s">
        <v>1179</v>
      </c>
      <c r="L1116" s="2" t="s">
        <v>641</v>
      </c>
      <c r="M1116" s="20" t="s">
        <v>1176</v>
      </c>
      <c r="N1116" s="47">
        <v>45540</v>
      </c>
      <c r="O1116" s="20">
        <f>INDEX(Auxiliar!$D$5:$F$13,MATCH(Table1[[#This Row],[Tipologia_Testes]],Auxiliar!$B$5:$B$13,0),MATCH(Table1[[#This Row],[Complexidade]],Auxiliar!$D$4:$F$4,0))</f>
        <v>0.5</v>
      </c>
      <c r="P1116" s="2"/>
      <c r="Q1116" s="2"/>
      <c r="R1116" s="151">
        <v>45261</v>
      </c>
      <c r="S1116" s="151"/>
      <c r="T1116" s="151"/>
      <c r="U1116" s="151">
        <v>45603</v>
      </c>
      <c r="V1116" s="151"/>
      <c r="W1116" s="2">
        <f>VLOOKUP(Table1[[#This Row],[Status]],Auxiliar!$B$16:$D$24,3,0)*Table1[[#This Row],[Estimação (horas)]]</f>
        <v>0.5</v>
      </c>
      <c r="X1116" s="165">
        <f>+VLOOKUP(CONCATENATE(Table1[[#This Row],[Tabela]],Table1[[#This Row],[Campo]]),'2. Status Detalhe Campos FY24'!A:J,9,FALSE)</f>
        <v>0</v>
      </c>
      <c r="Y1116" s="491" t="e">
        <f>+VLOOKUP(A1116,#REF!,1,FALSE)</f>
        <v>#REF!</v>
      </c>
    </row>
    <row r="1117" spans="1:25" ht="17.899999999999999" hidden="1" customHeight="1">
      <c r="A1117" t="str">
        <f>+Table1[[#This Row],[Tabela]]&amp;Table1[[#This Row],[Campo]]</f>
        <v>modesg_inp_emss_naceopcao_metodologia</v>
      </c>
      <c r="B1117" s="12" t="s">
        <v>26</v>
      </c>
      <c r="C1117" s="12" t="s">
        <v>181</v>
      </c>
      <c r="D1117" s="12" t="s">
        <v>1218</v>
      </c>
      <c r="E1117" s="2" t="s">
        <v>38</v>
      </c>
      <c r="F1117" s="12" t="s">
        <v>218</v>
      </c>
      <c r="G1117" s="12" t="s">
        <v>301</v>
      </c>
      <c r="H1117" s="57" t="str">
        <f>Table1[[#This Row],[Tabela]]&amp;Table1[[#This Row],[Campo]]</f>
        <v>modesg_inp_emss_naceopcao_metodologia</v>
      </c>
      <c r="I1117" s="2" t="s">
        <v>612</v>
      </c>
      <c r="J1117" s="45">
        <f>VLOOKUP(Table1[[#This Row],[Status]],Auxiliar!$B$16:$C$24,2,0)</f>
        <v>1</v>
      </c>
      <c r="K1117" s="20" t="s">
        <v>1179</v>
      </c>
      <c r="L1117" s="2" t="s">
        <v>641</v>
      </c>
      <c r="M1117" s="20" t="s">
        <v>1176</v>
      </c>
      <c r="N1117" s="47">
        <v>45540</v>
      </c>
      <c r="O1117" s="20">
        <f>INDEX(Auxiliar!$D$5:$F$13,MATCH(Table1[[#This Row],[Tipologia_Testes]],Auxiliar!$B$5:$B$13,0),MATCH(Table1[[#This Row],[Complexidade]],Auxiliar!$D$4:$F$4,0))</f>
        <v>0.5</v>
      </c>
      <c r="P1117" s="2"/>
      <c r="Q1117" s="2"/>
      <c r="R1117" s="151">
        <v>45261</v>
      </c>
      <c r="S1117" s="151"/>
      <c r="T1117" s="151"/>
      <c r="U1117" s="151">
        <v>45603</v>
      </c>
      <c r="V1117" s="151"/>
      <c r="W1117" s="2">
        <f>VLOOKUP(Table1[[#This Row],[Status]],Auxiliar!$B$16:$D$24,3,0)*Table1[[#This Row],[Estimação (horas)]]</f>
        <v>0.5</v>
      </c>
      <c r="X1117" s="165">
        <f>+VLOOKUP(CONCATENATE(Table1[[#This Row],[Tabela]],Table1[[#This Row],[Campo]]),'2. Status Detalhe Campos FY24'!A:J,9,FALSE)</f>
        <v>0</v>
      </c>
      <c r="Y1117" s="491" t="e">
        <f>+VLOOKUP(A1117,#REF!,1,FALSE)</f>
        <v>#REF!</v>
      </c>
    </row>
    <row r="1118" spans="1:25" ht="17.899999999999999" hidden="1" customHeight="1">
      <c r="A1118" t="str">
        <f>+Table1[[#This Row],[Tabela]]&amp;Table1[[#This Row],[Campo]]</f>
        <v>modesg_inp_emss_naceunidade_funcional</v>
      </c>
      <c r="B1118" s="12" t="s">
        <v>26</v>
      </c>
      <c r="C1118" s="12" t="s">
        <v>181</v>
      </c>
      <c r="D1118" s="12" t="s">
        <v>1218</v>
      </c>
      <c r="E1118" s="2" t="s">
        <v>38</v>
      </c>
      <c r="F1118" s="12" t="s">
        <v>218</v>
      </c>
      <c r="G1118" s="12" t="s">
        <v>229</v>
      </c>
      <c r="H1118" s="57" t="str">
        <f>Table1[[#This Row],[Tabela]]&amp;Table1[[#This Row],[Campo]]</f>
        <v>modesg_inp_emss_naceunidade_funcional</v>
      </c>
      <c r="I1118" s="2" t="s">
        <v>612</v>
      </c>
      <c r="J1118" s="45">
        <f>VLOOKUP(Table1[[#This Row],[Status]],Auxiliar!$B$16:$C$24,2,0)</f>
        <v>1</v>
      </c>
      <c r="K1118" s="20" t="s">
        <v>1171</v>
      </c>
      <c r="L1118" s="2" t="s">
        <v>1174</v>
      </c>
      <c r="M1118" s="20" t="s">
        <v>1176</v>
      </c>
      <c r="N1118" s="47">
        <v>45540</v>
      </c>
      <c r="O1118" s="20">
        <f>INDEX(Auxiliar!$D$5:$F$13,MATCH(Table1[[#This Row],[Tipologia_Testes]],Auxiliar!$B$5:$B$13,0),MATCH(Table1[[#This Row],[Complexidade]],Auxiliar!$D$4:$F$4,0))</f>
        <v>0.1</v>
      </c>
      <c r="P1118" s="2" t="s">
        <v>1248</v>
      </c>
      <c r="Q1118" s="2"/>
      <c r="R1118" s="151">
        <v>45261</v>
      </c>
      <c r="S1118" s="151"/>
      <c r="T1118" s="151"/>
      <c r="U1118" s="151">
        <v>45603</v>
      </c>
      <c r="V1118" s="151"/>
      <c r="W1118" s="2">
        <f>VLOOKUP(Table1[[#This Row],[Status]],Auxiliar!$B$16:$D$24,3,0)*Table1[[#This Row],[Estimação (horas)]]</f>
        <v>0.1</v>
      </c>
      <c r="X1118" s="165">
        <f>+VLOOKUP(CONCATENATE(Table1[[#This Row],[Tabela]],Table1[[#This Row],[Campo]]),'2. Status Detalhe Campos FY24'!A:J,9,FALSE)</f>
        <v>0</v>
      </c>
      <c r="Y1118" s="491" t="e">
        <f>+VLOOKUP(A1118,#REF!,1,FALSE)</f>
        <v>#REF!</v>
      </c>
    </row>
    <row r="1119" spans="1:25" ht="17.899999999999999" hidden="1" customHeight="1">
      <c r="A1119" t="str">
        <f>+Table1[[#This Row],[Tabela]]&amp;Table1[[#This Row],[Campo]]</f>
        <v>modesg_inp_emss_naceunidade_funcional</v>
      </c>
      <c r="B1119" s="12" t="s">
        <v>26</v>
      </c>
      <c r="C1119" s="12" t="s">
        <v>181</v>
      </c>
      <c r="D1119" s="12" t="s">
        <v>1218</v>
      </c>
      <c r="E1119" s="2" t="s">
        <v>38</v>
      </c>
      <c r="F1119" s="12" t="s">
        <v>218</v>
      </c>
      <c r="G1119" s="12" t="s">
        <v>229</v>
      </c>
      <c r="H1119" s="57" t="str">
        <f>Table1[[#This Row],[Tabela]]&amp;Table1[[#This Row],[Campo]]</f>
        <v>modesg_inp_emss_naceunidade_funcional</v>
      </c>
      <c r="I1119" s="2" t="s">
        <v>612</v>
      </c>
      <c r="J1119" s="45">
        <f>VLOOKUP(Table1[[#This Row],[Status]],Auxiliar!$B$16:$C$24,2,0)</f>
        <v>1</v>
      </c>
      <c r="K1119" s="20" t="s">
        <v>1179</v>
      </c>
      <c r="L1119" s="2" t="s">
        <v>1174</v>
      </c>
      <c r="M1119" s="20" t="s">
        <v>1176</v>
      </c>
      <c r="N1119" s="47">
        <v>45540</v>
      </c>
      <c r="O1119" s="20">
        <f>INDEX(Auxiliar!$D$5:$F$13,MATCH(Table1[[#This Row],[Tipologia_Testes]],Auxiliar!$B$5:$B$13,0),MATCH(Table1[[#This Row],[Complexidade]],Auxiliar!$D$4:$F$4,0))</f>
        <v>0.5</v>
      </c>
      <c r="P1119" s="2"/>
      <c r="Q1119" s="2"/>
      <c r="R1119" s="151">
        <v>45261</v>
      </c>
      <c r="S1119" s="151"/>
      <c r="T1119" s="151"/>
      <c r="U1119" s="151">
        <v>45603</v>
      </c>
      <c r="V1119" s="151"/>
      <c r="W1119" s="2">
        <f>VLOOKUP(Table1[[#This Row],[Status]],Auxiliar!$B$16:$D$24,3,0)*Table1[[#This Row],[Estimação (horas)]]</f>
        <v>0.5</v>
      </c>
      <c r="X1119" s="165">
        <f>+VLOOKUP(CONCATENATE(Table1[[#This Row],[Tabela]],Table1[[#This Row],[Campo]]),'2. Status Detalhe Campos FY24'!A:J,9,FALSE)</f>
        <v>0</v>
      </c>
      <c r="Y1119" s="491" t="e">
        <f>+VLOOKUP(A1119,#REF!,1,FALSE)</f>
        <v>#REF!</v>
      </c>
    </row>
    <row r="1120" spans="1:25" ht="17.899999999999999" hidden="1" customHeight="1">
      <c r="A1120" t="str">
        <f>+Table1[[#This Row],[Tabela]]&amp;Table1[[#This Row],[Campo]]</f>
        <v>modesg_inp_emss_naceunidades_fator_de_emissao</v>
      </c>
      <c r="B1120" s="12" t="s">
        <v>26</v>
      </c>
      <c r="C1120" s="12" t="s">
        <v>181</v>
      </c>
      <c r="D1120" s="12" t="s">
        <v>1218</v>
      </c>
      <c r="E1120" s="2" t="s">
        <v>38</v>
      </c>
      <c r="F1120" s="12" t="s">
        <v>218</v>
      </c>
      <c r="G1120" s="12" t="s">
        <v>302</v>
      </c>
      <c r="H1120" s="57" t="str">
        <f>Table1[[#This Row],[Tabela]]&amp;Table1[[#This Row],[Campo]]</f>
        <v>modesg_inp_emss_naceunidades_fator_de_emissao</v>
      </c>
      <c r="I1120" s="2" t="s">
        <v>612</v>
      </c>
      <c r="J1120" s="45">
        <f>VLOOKUP(Table1[[#This Row],[Status]],Auxiliar!$B$16:$C$24,2,0)</f>
        <v>1</v>
      </c>
      <c r="K1120" s="20" t="s">
        <v>1179</v>
      </c>
      <c r="L1120" s="2" t="s">
        <v>1174</v>
      </c>
      <c r="M1120" s="20" t="s">
        <v>1176</v>
      </c>
      <c r="N1120" s="47">
        <v>45540</v>
      </c>
      <c r="O1120" s="20">
        <f>INDEX(Auxiliar!$D$5:$F$13,MATCH(Table1[[#This Row],[Tipologia_Testes]],Auxiliar!$B$5:$B$13,0),MATCH(Table1[[#This Row],[Complexidade]],Auxiliar!$D$4:$F$4,0))</f>
        <v>0.5</v>
      </c>
      <c r="P1120" s="2"/>
      <c r="Q1120" s="2"/>
      <c r="R1120" s="151">
        <v>45261</v>
      </c>
      <c r="S1120" s="151"/>
      <c r="T1120" s="151"/>
      <c r="U1120" s="151">
        <v>45603</v>
      </c>
      <c r="V1120" s="151"/>
      <c r="W1120" s="2">
        <f>VLOOKUP(Table1[[#This Row],[Status]],Auxiliar!$B$16:$D$24,3,0)*Table1[[#This Row],[Estimação (horas)]]</f>
        <v>0.5</v>
      </c>
      <c r="X1120" s="165">
        <f>+VLOOKUP(CONCATENATE(Table1[[#This Row],[Tabela]],Table1[[#This Row],[Campo]]),'2. Status Detalhe Campos FY24'!A:J,9,FALSE)</f>
        <v>0</v>
      </c>
      <c r="Y1120" s="491" t="e">
        <f>+VLOOKUP(A1120,#REF!,1,FALSE)</f>
        <v>#REF!</v>
      </c>
    </row>
    <row r="1121" spans="1:25" ht="17.899999999999999" hidden="1" customHeight="1">
      <c r="A1121" t="str">
        <f>+Table1[[#This Row],[Tabela]]&amp;Table1[[#This Row],[Campo]]</f>
        <v>modesg_inp_emss_nacescore_qualidade</v>
      </c>
      <c r="B1121" s="12" t="s">
        <v>26</v>
      </c>
      <c r="C1121" s="12" t="s">
        <v>181</v>
      </c>
      <c r="D1121" s="12" t="s">
        <v>1218</v>
      </c>
      <c r="E1121" s="2" t="s">
        <v>38</v>
      </c>
      <c r="F1121" s="12" t="s">
        <v>218</v>
      </c>
      <c r="G1121" s="12" t="s">
        <v>232</v>
      </c>
      <c r="H1121" s="57" t="str">
        <f>Table1[[#This Row],[Tabela]]&amp;Table1[[#This Row],[Campo]]</f>
        <v>modesg_inp_emss_nacescore_qualidade</v>
      </c>
      <c r="I1121" s="2" t="s">
        <v>612</v>
      </c>
      <c r="J1121" s="45">
        <f>VLOOKUP(Table1[[#This Row],[Status]],Auxiliar!$B$16:$C$24,2,0)</f>
        <v>1</v>
      </c>
      <c r="K1121" s="20" t="s">
        <v>1179</v>
      </c>
      <c r="L1121" s="2" t="s">
        <v>1166</v>
      </c>
      <c r="M1121" s="20" t="s">
        <v>1176</v>
      </c>
      <c r="N1121" s="47">
        <v>45540</v>
      </c>
      <c r="O1121" s="20">
        <f>INDEX(Auxiliar!$D$5:$F$13,MATCH(Table1[[#This Row],[Tipologia_Testes]],Auxiliar!$B$5:$B$13,0),MATCH(Table1[[#This Row],[Complexidade]],Auxiliar!$D$4:$F$4,0))</f>
        <v>0.5</v>
      </c>
      <c r="P1121" s="2" t="s">
        <v>1245</v>
      </c>
      <c r="Q1121" s="2"/>
      <c r="R1121" s="151">
        <v>45261</v>
      </c>
      <c r="S1121" s="151"/>
      <c r="T1121" s="151"/>
      <c r="U1121" s="151">
        <v>45603</v>
      </c>
      <c r="V1121" s="151"/>
      <c r="W1121" s="2">
        <f>VLOOKUP(Table1[[#This Row],[Status]],Auxiliar!$B$16:$D$24,3,0)*Table1[[#This Row],[Estimação (horas)]]</f>
        <v>0.5</v>
      </c>
      <c r="X1121" s="165">
        <f>+VLOOKUP(CONCATENATE(Table1[[#This Row],[Tabela]],Table1[[#This Row],[Campo]]),'2. Status Detalhe Campos FY24'!A:J,9,FALSE)</f>
        <v>0</v>
      </c>
      <c r="Y1121" s="491" t="e">
        <f>+VLOOKUP(A1121,#REF!,1,FALSE)</f>
        <v>#REF!</v>
      </c>
    </row>
    <row r="1122" spans="1:25" ht="17.899999999999999" hidden="1" customHeight="1">
      <c r="A1122" t="str">
        <f>+Table1[[#This Row],[Tabela]]&amp;Table1[[#This Row],[Campo]]</f>
        <v>modesg_inp_emss_nacescp1_ftr_emss</v>
      </c>
      <c r="B1122" s="12" t="s">
        <v>26</v>
      </c>
      <c r="C1122" s="12" t="s">
        <v>181</v>
      </c>
      <c r="D1122" s="12" t="s">
        <v>1218</v>
      </c>
      <c r="E1122" s="2" t="s">
        <v>38</v>
      </c>
      <c r="F1122" s="12" t="s">
        <v>218</v>
      </c>
      <c r="G1122" s="12" t="s">
        <v>233</v>
      </c>
      <c r="H1122" s="57" t="str">
        <f>Table1[[#This Row],[Tabela]]&amp;Table1[[#This Row],[Campo]]</f>
        <v>modesg_inp_emss_nacescp1_ftr_emss</v>
      </c>
      <c r="I1122" s="2" t="s">
        <v>612</v>
      </c>
      <c r="J1122" s="45">
        <f>VLOOKUP(Table1[[#This Row],[Status]],Auxiliar!$B$16:$C$24,2,0)</f>
        <v>1</v>
      </c>
      <c r="K1122" s="20" t="s">
        <v>1171</v>
      </c>
      <c r="L1122" s="2" t="s">
        <v>1174</v>
      </c>
      <c r="M1122" s="20" t="s">
        <v>1176</v>
      </c>
      <c r="N1122" s="47">
        <v>45562</v>
      </c>
      <c r="O1122" s="20">
        <f>INDEX(Auxiliar!$D$5:$F$13,MATCH(Table1[[#This Row],[Tipologia_Testes]],Auxiliar!$B$5:$B$13,0),MATCH(Table1[[#This Row],[Complexidade]],Auxiliar!$D$4:$F$4,0))</f>
        <v>0.1</v>
      </c>
      <c r="P1122" s="2" t="s">
        <v>1249</v>
      </c>
      <c r="Q1122" s="2"/>
      <c r="R1122" s="151">
        <v>45261</v>
      </c>
      <c r="S1122" s="151"/>
      <c r="T1122" s="151"/>
      <c r="U1122" s="151">
        <v>45603</v>
      </c>
      <c r="V1122" s="151"/>
      <c r="W1122" s="2">
        <f>VLOOKUP(Table1[[#This Row],[Status]],Auxiliar!$B$16:$D$24,3,0)*Table1[[#This Row],[Estimação (horas)]]</f>
        <v>0.1</v>
      </c>
      <c r="X1122" s="165">
        <f>+VLOOKUP(CONCATENATE(Table1[[#This Row],[Tabela]],Table1[[#This Row],[Campo]]),'2. Status Detalhe Campos FY24'!A:J,9,FALSE)</f>
        <v>0</v>
      </c>
      <c r="Y1122" s="491" t="e">
        <f>+VLOOKUP(A1122,#REF!,1,FALSE)</f>
        <v>#REF!</v>
      </c>
    </row>
    <row r="1123" spans="1:25" ht="17.899999999999999" hidden="1" customHeight="1">
      <c r="A1123" t="str">
        <f>+Table1[[#This Row],[Tabela]]&amp;Table1[[#This Row],[Campo]]</f>
        <v>modesg_inp_emss_nacescp1_ftr_emss</v>
      </c>
      <c r="B1123" s="12" t="s">
        <v>26</v>
      </c>
      <c r="C1123" s="12" t="s">
        <v>181</v>
      </c>
      <c r="D1123" s="12" t="s">
        <v>1218</v>
      </c>
      <c r="E1123" s="2" t="s">
        <v>38</v>
      </c>
      <c r="F1123" s="12" t="s">
        <v>218</v>
      </c>
      <c r="G1123" s="12" t="s">
        <v>233</v>
      </c>
      <c r="H1123" s="57" t="str">
        <f>Table1[[#This Row],[Tabela]]&amp;Table1[[#This Row],[Campo]]</f>
        <v>modesg_inp_emss_nacescp1_ftr_emss</v>
      </c>
      <c r="I1123" s="2" t="s">
        <v>612</v>
      </c>
      <c r="J1123" s="45">
        <f>VLOOKUP(Table1[[#This Row],[Status]],Auxiliar!$B$16:$C$24,2,0)</f>
        <v>1</v>
      </c>
      <c r="K1123" s="20" t="s">
        <v>1179</v>
      </c>
      <c r="L1123" s="2" t="s">
        <v>1174</v>
      </c>
      <c r="M1123" s="20" t="s">
        <v>1176</v>
      </c>
      <c r="N1123" s="47">
        <v>45562</v>
      </c>
      <c r="O1123" s="20">
        <f>INDEX(Auxiliar!$D$5:$F$13,MATCH(Table1[[#This Row],[Tipologia_Testes]],Auxiliar!$B$5:$B$13,0),MATCH(Table1[[#This Row],[Complexidade]],Auxiliar!$D$4:$F$4,0))</f>
        <v>0.5</v>
      </c>
      <c r="P1123" s="2"/>
      <c r="Q1123" s="2"/>
      <c r="R1123" s="151">
        <v>45261</v>
      </c>
      <c r="S1123" s="151"/>
      <c r="T1123" s="151"/>
      <c r="U1123" s="151">
        <v>45603</v>
      </c>
      <c r="V1123" s="151"/>
      <c r="W1123" s="2">
        <f>VLOOKUP(Table1[[#This Row],[Status]],Auxiliar!$B$16:$D$24,3,0)*Table1[[#This Row],[Estimação (horas)]]</f>
        <v>0.5</v>
      </c>
      <c r="X1123" s="165">
        <f>+VLOOKUP(CONCATENATE(Table1[[#This Row],[Tabela]],Table1[[#This Row],[Campo]]),'2. Status Detalhe Campos FY24'!A:J,9,FALSE)</f>
        <v>0</v>
      </c>
      <c r="Y1123" s="491" t="e">
        <f>+VLOOKUP(A1123,#REF!,1,FALSE)</f>
        <v>#REF!</v>
      </c>
    </row>
    <row r="1124" spans="1:25" ht="17.899999999999999" hidden="1" customHeight="1">
      <c r="A1124" t="str">
        <f>+Table1[[#This Row],[Tabela]]&amp;Table1[[#This Row],[Campo]]</f>
        <v>modesg_inp_emss_nacescp2_ftr_emss</v>
      </c>
      <c r="B1124" s="12" t="s">
        <v>26</v>
      </c>
      <c r="C1124" s="12" t="s">
        <v>181</v>
      </c>
      <c r="D1124" s="12" t="s">
        <v>1218</v>
      </c>
      <c r="E1124" s="2" t="s">
        <v>38</v>
      </c>
      <c r="F1124" s="12" t="s">
        <v>218</v>
      </c>
      <c r="G1124" s="12" t="s">
        <v>234</v>
      </c>
      <c r="H1124" s="57" t="str">
        <f>Table1[[#This Row],[Tabela]]&amp;Table1[[#This Row],[Campo]]</f>
        <v>modesg_inp_emss_nacescp2_ftr_emss</v>
      </c>
      <c r="I1124" s="2" t="s">
        <v>612</v>
      </c>
      <c r="J1124" s="45">
        <f>VLOOKUP(Table1[[#This Row],[Status]],Auxiliar!$B$16:$C$24,2,0)</f>
        <v>1</v>
      </c>
      <c r="K1124" s="20" t="s">
        <v>1171</v>
      </c>
      <c r="L1124" s="2" t="s">
        <v>1174</v>
      </c>
      <c r="M1124" s="20" t="s">
        <v>1176</v>
      </c>
      <c r="N1124" s="47">
        <v>45562</v>
      </c>
      <c r="O1124" s="20">
        <f>INDEX(Auxiliar!$D$5:$F$13,MATCH(Table1[[#This Row],[Tipologia_Testes]],Auxiliar!$B$5:$B$13,0),MATCH(Table1[[#This Row],[Complexidade]],Auxiliar!$D$4:$F$4,0))</f>
        <v>0.1</v>
      </c>
      <c r="P1124" s="2" t="s">
        <v>1249</v>
      </c>
      <c r="Q1124" s="2"/>
      <c r="R1124" s="151">
        <v>45261</v>
      </c>
      <c r="S1124" s="151"/>
      <c r="T1124" s="151"/>
      <c r="U1124" s="151">
        <v>45603</v>
      </c>
      <c r="V1124" s="151"/>
      <c r="W1124" s="2">
        <f>VLOOKUP(Table1[[#This Row],[Status]],Auxiliar!$B$16:$D$24,3,0)*Table1[[#This Row],[Estimação (horas)]]</f>
        <v>0.1</v>
      </c>
      <c r="X1124" s="165">
        <f>+VLOOKUP(CONCATENATE(Table1[[#This Row],[Tabela]],Table1[[#This Row],[Campo]]),'2. Status Detalhe Campos FY24'!A:J,9,FALSE)</f>
        <v>0</v>
      </c>
      <c r="Y1124" s="491" t="e">
        <f>+VLOOKUP(A1124,#REF!,1,FALSE)</f>
        <v>#REF!</v>
      </c>
    </row>
    <row r="1125" spans="1:25" ht="17.899999999999999" hidden="1" customHeight="1">
      <c r="A1125" t="str">
        <f>+Table1[[#This Row],[Tabela]]&amp;Table1[[#This Row],[Campo]]</f>
        <v>modesg_inp_emss_nacescp2_ftr_emss</v>
      </c>
      <c r="B1125" s="12" t="s">
        <v>26</v>
      </c>
      <c r="C1125" s="12" t="s">
        <v>181</v>
      </c>
      <c r="D1125" s="12" t="s">
        <v>1218</v>
      </c>
      <c r="E1125" s="2" t="s">
        <v>38</v>
      </c>
      <c r="F1125" s="12" t="s">
        <v>218</v>
      </c>
      <c r="G1125" s="12" t="s">
        <v>234</v>
      </c>
      <c r="H1125" s="57" t="str">
        <f>Table1[[#This Row],[Tabela]]&amp;Table1[[#This Row],[Campo]]</f>
        <v>modesg_inp_emss_nacescp2_ftr_emss</v>
      </c>
      <c r="I1125" s="2" t="s">
        <v>612</v>
      </c>
      <c r="J1125" s="45">
        <f>VLOOKUP(Table1[[#This Row],[Status]],Auxiliar!$B$16:$C$24,2,0)</f>
        <v>1</v>
      </c>
      <c r="K1125" s="20" t="s">
        <v>1179</v>
      </c>
      <c r="L1125" s="2" t="s">
        <v>1174</v>
      </c>
      <c r="M1125" s="20" t="s">
        <v>1176</v>
      </c>
      <c r="N1125" s="47">
        <v>45562</v>
      </c>
      <c r="O1125" s="20">
        <f>INDEX(Auxiliar!$D$5:$F$13,MATCH(Table1[[#This Row],[Tipologia_Testes]],Auxiliar!$B$5:$B$13,0),MATCH(Table1[[#This Row],[Complexidade]],Auxiliar!$D$4:$F$4,0))</f>
        <v>0.5</v>
      </c>
      <c r="P1125" s="2"/>
      <c r="Q1125" s="2"/>
      <c r="R1125" s="151">
        <v>45261</v>
      </c>
      <c r="S1125" s="151"/>
      <c r="T1125" s="151"/>
      <c r="U1125" s="151">
        <v>45603</v>
      </c>
      <c r="V1125" s="151"/>
      <c r="W1125" s="2">
        <f>VLOOKUP(Table1[[#This Row],[Status]],Auxiliar!$B$16:$D$24,3,0)*Table1[[#This Row],[Estimação (horas)]]</f>
        <v>0.5</v>
      </c>
      <c r="X1125" s="165">
        <f>+VLOOKUP(CONCATENATE(Table1[[#This Row],[Tabela]],Table1[[#This Row],[Campo]]),'2. Status Detalhe Campos FY24'!A:J,9,FALSE)</f>
        <v>0</v>
      </c>
      <c r="Y1125" s="491" t="e">
        <f>+VLOOKUP(A1125,#REF!,1,FALSE)</f>
        <v>#REF!</v>
      </c>
    </row>
    <row r="1126" spans="1:25" ht="17.899999999999999" hidden="1" customHeight="1">
      <c r="A1126" t="str">
        <f>+Table1[[#This Row],[Tabela]]&amp;Table1[[#This Row],[Campo]]</f>
        <v>modesg_inp_emss_nacescp3_ftr_emss</v>
      </c>
      <c r="B1126" s="12" t="s">
        <v>26</v>
      </c>
      <c r="C1126" s="12" t="s">
        <v>181</v>
      </c>
      <c r="D1126" s="12" t="s">
        <v>1218</v>
      </c>
      <c r="E1126" s="2" t="s">
        <v>38</v>
      </c>
      <c r="F1126" s="12" t="s">
        <v>218</v>
      </c>
      <c r="G1126" s="12" t="s">
        <v>235</v>
      </c>
      <c r="H1126" s="57" t="str">
        <f>Table1[[#This Row],[Tabela]]&amp;Table1[[#This Row],[Campo]]</f>
        <v>modesg_inp_emss_nacescp3_ftr_emss</v>
      </c>
      <c r="I1126" s="2" t="s">
        <v>612</v>
      </c>
      <c r="J1126" s="45">
        <f>VLOOKUP(Table1[[#This Row],[Status]],Auxiliar!$B$16:$C$24,2,0)</f>
        <v>1</v>
      </c>
      <c r="K1126" s="20" t="s">
        <v>1171</v>
      </c>
      <c r="L1126" s="2" t="s">
        <v>1174</v>
      </c>
      <c r="M1126" s="20" t="s">
        <v>1176</v>
      </c>
      <c r="N1126" s="47">
        <v>45562</v>
      </c>
      <c r="O1126" s="20">
        <f>INDEX(Auxiliar!$D$5:$F$13,MATCH(Table1[[#This Row],[Tipologia_Testes]],Auxiliar!$B$5:$B$13,0),MATCH(Table1[[#This Row],[Complexidade]],Auxiliar!$D$4:$F$4,0))</f>
        <v>0.1</v>
      </c>
      <c r="P1126" s="2" t="s">
        <v>1249</v>
      </c>
      <c r="Q1126" s="2"/>
      <c r="R1126" s="151">
        <v>45261</v>
      </c>
      <c r="S1126" s="151"/>
      <c r="T1126" s="151"/>
      <c r="U1126" s="151">
        <v>45603</v>
      </c>
      <c r="V1126" s="151"/>
      <c r="W1126" s="2">
        <f>VLOOKUP(Table1[[#This Row],[Status]],Auxiliar!$B$16:$D$24,3,0)*Table1[[#This Row],[Estimação (horas)]]</f>
        <v>0.1</v>
      </c>
      <c r="X1126" s="165">
        <f>+VLOOKUP(CONCATENATE(Table1[[#This Row],[Tabela]],Table1[[#This Row],[Campo]]),'2. Status Detalhe Campos FY24'!A:J,9,FALSE)</f>
        <v>0</v>
      </c>
      <c r="Y1126" s="491" t="e">
        <f>+VLOOKUP(A1126,#REF!,1,FALSE)</f>
        <v>#REF!</v>
      </c>
    </row>
    <row r="1127" spans="1:25" ht="17.899999999999999" hidden="1" customHeight="1">
      <c r="A1127" t="str">
        <f>+Table1[[#This Row],[Tabela]]&amp;Table1[[#This Row],[Campo]]</f>
        <v>modesg_inp_emss_nacescp3_ftr_emss</v>
      </c>
      <c r="B1127" s="12" t="s">
        <v>26</v>
      </c>
      <c r="C1127" s="12" t="s">
        <v>181</v>
      </c>
      <c r="D1127" s="12" t="s">
        <v>1218</v>
      </c>
      <c r="E1127" s="2" t="s">
        <v>38</v>
      </c>
      <c r="F1127" s="12" t="s">
        <v>218</v>
      </c>
      <c r="G1127" s="12" t="s">
        <v>235</v>
      </c>
      <c r="H1127" s="57" t="str">
        <f>Table1[[#This Row],[Tabela]]&amp;Table1[[#This Row],[Campo]]</f>
        <v>modesg_inp_emss_nacescp3_ftr_emss</v>
      </c>
      <c r="I1127" s="2" t="s">
        <v>612</v>
      </c>
      <c r="J1127" s="45">
        <f>VLOOKUP(Table1[[#This Row],[Status]],Auxiliar!$B$16:$C$24,2,0)</f>
        <v>1</v>
      </c>
      <c r="K1127" s="20" t="s">
        <v>1179</v>
      </c>
      <c r="L1127" s="2" t="s">
        <v>1174</v>
      </c>
      <c r="M1127" s="20" t="s">
        <v>1176</v>
      </c>
      <c r="N1127" s="47">
        <v>45562</v>
      </c>
      <c r="O1127" s="20">
        <f>INDEX(Auxiliar!$D$5:$F$13,MATCH(Table1[[#This Row],[Tipologia_Testes]],Auxiliar!$B$5:$B$13,0),MATCH(Table1[[#This Row],[Complexidade]],Auxiliar!$D$4:$F$4,0))</f>
        <v>0.5</v>
      </c>
      <c r="P1127" s="2"/>
      <c r="Q1127" s="2"/>
      <c r="R1127" s="151">
        <v>45261</v>
      </c>
      <c r="S1127" s="151"/>
      <c r="T1127" s="151"/>
      <c r="U1127" s="151">
        <v>45603</v>
      </c>
      <c r="V1127" s="151"/>
      <c r="W1127" s="2">
        <f>VLOOKUP(Table1[[#This Row],[Status]],Auxiliar!$B$16:$D$24,3,0)*Table1[[#This Row],[Estimação (horas)]]</f>
        <v>0.5</v>
      </c>
      <c r="X1127" s="165">
        <f>+VLOOKUP(CONCATENATE(Table1[[#This Row],[Tabela]],Table1[[#This Row],[Campo]]),'2. Status Detalhe Campos FY24'!A:J,9,FALSE)</f>
        <v>0</v>
      </c>
      <c r="Y1127" s="491" t="e">
        <f>+VLOOKUP(A1127,#REF!,1,FALSE)</f>
        <v>#REF!</v>
      </c>
    </row>
    <row r="1128" spans="1:25" ht="17.899999999999999" hidden="1" customHeight="1">
      <c r="A1128" t="str">
        <f>+Table1[[#This Row],[Tabela]]&amp;Table1[[#This Row],[Campo]]</f>
        <v>modesg_inp_emss_bens_imoveisref_date</v>
      </c>
      <c r="B1128" s="12" t="s">
        <v>26</v>
      </c>
      <c r="C1128" s="12" t="s">
        <v>181</v>
      </c>
      <c r="D1128" s="12" t="s">
        <v>1218</v>
      </c>
      <c r="E1128" s="2" t="s">
        <v>38</v>
      </c>
      <c r="F1128" s="12" t="s">
        <v>219</v>
      </c>
      <c r="G1128" s="12" t="s">
        <v>208</v>
      </c>
      <c r="H1128" s="57" t="str">
        <f>Table1[[#This Row],[Tabela]]&amp;Table1[[#This Row],[Campo]]</f>
        <v>modesg_inp_emss_bens_imoveisref_date</v>
      </c>
      <c r="I1128" s="2" t="s">
        <v>612</v>
      </c>
      <c r="J1128" s="45">
        <f>VLOOKUP(Table1[[#This Row],[Status]],Auxiliar!$B$16:$C$24,2,0)</f>
        <v>1</v>
      </c>
      <c r="K1128" s="20" t="s">
        <v>1179</v>
      </c>
      <c r="L1128" s="20" t="s">
        <v>1174</v>
      </c>
      <c r="M1128" s="20" t="s">
        <v>1176</v>
      </c>
      <c r="N1128" s="47">
        <v>45546</v>
      </c>
      <c r="O1128" s="20">
        <f>INDEX(Auxiliar!$D$5:$F$13,MATCH(Table1[[#This Row],[Tipologia_Testes]],Auxiliar!$B$5:$B$13,0),MATCH(Table1[[#This Row],[Complexidade]],Auxiliar!$D$4:$F$4,0))</f>
        <v>0.5</v>
      </c>
      <c r="P1128" s="2"/>
      <c r="Q1128" s="2"/>
      <c r="R1128" s="151">
        <v>45261</v>
      </c>
      <c r="S1128" s="151"/>
      <c r="T1128" s="151"/>
      <c r="U1128" s="151">
        <v>45603</v>
      </c>
      <c r="V1128" s="151">
        <v>45534</v>
      </c>
      <c r="W1128" s="2">
        <f>VLOOKUP(Table1[[#This Row],[Status]],Auxiliar!$B$16:$D$24,3,0)*Table1[[#This Row],[Estimação (horas)]]</f>
        <v>0.5</v>
      </c>
      <c r="X1128" s="165">
        <f>+VLOOKUP(CONCATENATE(Table1[[#This Row],[Tabela]],Table1[[#This Row],[Campo]]),'2. Status Detalhe Campos FY24'!A:J,9,FALSE)</f>
        <v>0</v>
      </c>
      <c r="Y1128" s="491" t="e">
        <f>+VLOOKUP(A1128,#REF!,1,FALSE)</f>
        <v>#REF!</v>
      </c>
    </row>
    <row r="1129" spans="1:25" ht="17.899999999999999" hidden="1" customHeight="1">
      <c r="A1129" t="str">
        <f>+Table1[[#This Row],[Tabela]]&amp;Table1[[#This Row],[Campo]]</f>
        <v>modesg_inp_emss_bens_imoveisnome_pais</v>
      </c>
      <c r="B1129" s="12" t="s">
        <v>26</v>
      </c>
      <c r="C1129" s="12" t="s">
        <v>181</v>
      </c>
      <c r="D1129" s="12" t="s">
        <v>1218</v>
      </c>
      <c r="E1129" s="2" t="s">
        <v>38</v>
      </c>
      <c r="F1129" s="12" t="s">
        <v>219</v>
      </c>
      <c r="G1129" s="12" t="s">
        <v>221</v>
      </c>
      <c r="H1129" s="57" t="str">
        <f>Table1[[#This Row],[Tabela]]&amp;Table1[[#This Row],[Campo]]</f>
        <v>modesg_inp_emss_bens_imoveisnome_pais</v>
      </c>
      <c r="I1129" s="2" t="s">
        <v>612</v>
      </c>
      <c r="J1129" s="45">
        <f>VLOOKUP(Table1[[#This Row],[Status]],Auxiliar!$B$16:$C$24,2,0)</f>
        <v>1</v>
      </c>
      <c r="K1129" s="20" t="s">
        <v>1179</v>
      </c>
      <c r="L1129" s="20" t="s">
        <v>1174</v>
      </c>
      <c r="M1129" s="20" t="s">
        <v>1176</v>
      </c>
      <c r="N1129" s="47">
        <v>45546</v>
      </c>
      <c r="O1129" s="20">
        <f>INDEX(Auxiliar!$D$5:$F$13,MATCH(Table1[[#This Row],[Tipologia_Testes]],Auxiliar!$B$5:$B$13,0),MATCH(Table1[[#This Row],[Complexidade]],Auxiliar!$D$4:$F$4,0))</f>
        <v>0.5</v>
      </c>
      <c r="P1129" s="2"/>
      <c r="Q1129" s="2"/>
      <c r="R1129" s="151">
        <v>45261</v>
      </c>
      <c r="S1129" s="151"/>
      <c r="T1129" s="151"/>
      <c r="U1129" s="151">
        <v>45603</v>
      </c>
      <c r="V1129" s="151">
        <v>45534</v>
      </c>
      <c r="W1129" s="2">
        <f>VLOOKUP(Table1[[#This Row],[Status]],Auxiliar!$B$16:$D$24,3,0)*Table1[[#This Row],[Estimação (horas)]]</f>
        <v>0.5</v>
      </c>
      <c r="X1129" s="165">
        <f>+VLOOKUP(CONCATENATE(Table1[[#This Row],[Tabela]],Table1[[#This Row],[Campo]]),'2. Status Detalhe Campos FY24'!A:J,9,FALSE)</f>
        <v>0</v>
      </c>
      <c r="Y1129" s="491" t="e">
        <f>+VLOOKUP(A1129,#REF!,1,FALSE)</f>
        <v>#REF!</v>
      </c>
    </row>
    <row r="1130" spans="1:25" ht="17.899999999999999" hidden="1" customHeight="1">
      <c r="A1130" t="str">
        <f>+Table1[[#This Row],[Tabela]]&amp;Table1[[#This Row],[Campo]]</f>
        <v>modesg_inp_emss_bens_imoveisnome_estado</v>
      </c>
      <c r="B1130" s="12" t="s">
        <v>26</v>
      </c>
      <c r="C1130" s="12" t="s">
        <v>181</v>
      </c>
      <c r="D1130" s="12" t="s">
        <v>1218</v>
      </c>
      <c r="E1130" s="2" t="s">
        <v>38</v>
      </c>
      <c r="F1130" s="12" t="s">
        <v>219</v>
      </c>
      <c r="G1130" s="12" t="s">
        <v>222</v>
      </c>
      <c r="H1130" s="57" t="str">
        <f>Table1[[#This Row],[Tabela]]&amp;Table1[[#This Row],[Campo]]</f>
        <v>modesg_inp_emss_bens_imoveisnome_estado</v>
      </c>
      <c r="I1130" s="2" t="s">
        <v>612</v>
      </c>
      <c r="J1130" s="45">
        <f>VLOOKUP(Table1[[#This Row],[Status]],Auxiliar!$B$16:$C$24,2,0)</f>
        <v>1</v>
      </c>
      <c r="K1130" s="20" t="s">
        <v>1179</v>
      </c>
      <c r="L1130" s="20" t="s">
        <v>1174</v>
      </c>
      <c r="M1130" s="20" t="s">
        <v>1176</v>
      </c>
      <c r="N1130" s="47">
        <v>45546</v>
      </c>
      <c r="O1130" s="20">
        <f>INDEX(Auxiliar!$D$5:$F$13,MATCH(Table1[[#This Row],[Tipologia_Testes]],Auxiliar!$B$5:$B$13,0),MATCH(Table1[[#This Row],[Complexidade]],Auxiliar!$D$4:$F$4,0))</f>
        <v>0.5</v>
      </c>
      <c r="P1130" s="2"/>
      <c r="Q1130" s="2"/>
      <c r="R1130" s="151">
        <v>45261</v>
      </c>
      <c r="S1130" s="151"/>
      <c r="T1130" s="151"/>
      <c r="U1130" s="151">
        <v>45603</v>
      </c>
      <c r="V1130" s="151">
        <v>45534</v>
      </c>
      <c r="W1130" s="2">
        <f>VLOOKUP(Table1[[#This Row],[Status]],Auxiliar!$B$16:$D$24,3,0)*Table1[[#This Row],[Estimação (horas)]]</f>
        <v>0.5</v>
      </c>
      <c r="X1130" s="165">
        <f>+VLOOKUP(CONCATENATE(Table1[[#This Row],[Tabela]],Table1[[#This Row],[Campo]]),'2. Status Detalhe Campos FY24'!A:J,9,FALSE)</f>
        <v>0</v>
      </c>
      <c r="Y1130" s="491" t="e">
        <f>+VLOOKUP(A1130,#REF!,1,FALSE)</f>
        <v>#REF!</v>
      </c>
    </row>
    <row r="1131" spans="1:25" ht="17.899999999999999" hidden="1" customHeight="1">
      <c r="A1131" t="str">
        <f>+Table1[[#This Row],[Tabela]]&amp;Table1[[#This Row],[Campo]]</f>
        <v>modesg_inp_emss_bens_imoveisclasse_ativo</v>
      </c>
      <c r="B1131" s="12" t="s">
        <v>26</v>
      </c>
      <c r="C1131" s="12" t="s">
        <v>181</v>
      </c>
      <c r="D1131" s="12" t="s">
        <v>1218</v>
      </c>
      <c r="E1131" s="2" t="s">
        <v>38</v>
      </c>
      <c r="F1131" s="12" t="s">
        <v>219</v>
      </c>
      <c r="G1131" s="64" t="s">
        <v>300</v>
      </c>
      <c r="H1131" s="57" t="str">
        <f>Table1[[#This Row],[Tabela]]&amp;Table1[[#This Row],[Campo]]</f>
        <v>modesg_inp_emss_bens_imoveisclasse_ativo</v>
      </c>
      <c r="I1131" s="2" t="s">
        <v>612</v>
      </c>
      <c r="J1131" s="45">
        <f>VLOOKUP(Table1[[#This Row],[Status]],Auxiliar!$B$16:$C$24,2,0)</f>
        <v>1</v>
      </c>
      <c r="K1131" s="20" t="s">
        <v>1179</v>
      </c>
      <c r="L1131" s="2" t="s">
        <v>641</v>
      </c>
      <c r="M1131" s="20" t="s">
        <v>1176</v>
      </c>
      <c r="N1131" s="47">
        <v>45546</v>
      </c>
      <c r="O1131" s="20">
        <f>INDEX(Auxiliar!$D$5:$F$13,MATCH(Table1[[#This Row],[Tipologia_Testes]],Auxiliar!$B$5:$B$13,0),MATCH(Table1[[#This Row],[Complexidade]],Auxiliar!$D$4:$F$4,0))</f>
        <v>0.5</v>
      </c>
      <c r="P1131" s="2"/>
      <c r="Q1131" s="2"/>
      <c r="R1131" s="151">
        <v>45261</v>
      </c>
      <c r="S1131" s="151"/>
      <c r="T1131" s="151"/>
      <c r="U1131" s="151">
        <v>45603</v>
      </c>
      <c r="V1131" s="151">
        <v>45534</v>
      </c>
      <c r="W1131" s="2">
        <f>VLOOKUP(Table1[[#This Row],[Status]],Auxiliar!$B$16:$D$24,3,0)*Table1[[#This Row],[Estimação (horas)]]</f>
        <v>0.5</v>
      </c>
      <c r="X1131" s="165">
        <f>+VLOOKUP(CONCATENATE(Table1[[#This Row],[Tabela]],Table1[[#This Row],[Campo]]),'2. Status Detalhe Campos FY24'!A:J,9,FALSE)</f>
        <v>0</v>
      </c>
      <c r="Y1131" s="491" t="e">
        <f>+VLOOKUP(A1131,#REF!,1,FALSE)</f>
        <v>#REF!</v>
      </c>
    </row>
    <row r="1132" spans="1:25" ht="17.899999999999999" hidden="1" customHeight="1">
      <c r="A1132" t="str">
        <f>+Table1[[#This Row],[Tabela]]&amp;Table1[[#This Row],[Campo]]</f>
        <v>modesg_inp_emss_bens_imoveistipo_fator_emissao</v>
      </c>
      <c r="B1132" s="12" t="s">
        <v>26</v>
      </c>
      <c r="C1132" s="12" t="s">
        <v>181</v>
      </c>
      <c r="D1132" s="12" t="s">
        <v>1218</v>
      </c>
      <c r="E1132" s="2" t="s">
        <v>38</v>
      </c>
      <c r="F1132" s="12" t="s">
        <v>219</v>
      </c>
      <c r="G1132" s="12" t="s">
        <v>303</v>
      </c>
      <c r="H1132" s="57" t="str">
        <f>Table1[[#This Row],[Tabela]]&amp;Table1[[#This Row],[Campo]]</f>
        <v>modesg_inp_emss_bens_imoveistipo_fator_emissao</v>
      </c>
      <c r="I1132" s="2" t="s">
        <v>612</v>
      </c>
      <c r="J1132" s="45">
        <f>VLOOKUP(Table1[[#This Row],[Status]],Auxiliar!$B$16:$C$24,2,0)</f>
        <v>1</v>
      </c>
      <c r="K1132" s="20" t="s">
        <v>1179</v>
      </c>
      <c r="L1132" s="2" t="s">
        <v>641</v>
      </c>
      <c r="M1132" s="20" t="s">
        <v>1176</v>
      </c>
      <c r="N1132" s="47">
        <v>45546</v>
      </c>
      <c r="O1132" s="20">
        <f>INDEX(Auxiliar!$D$5:$F$13,MATCH(Table1[[#This Row],[Tipologia_Testes]],Auxiliar!$B$5:$B$13,0),MATCH(Table1[[#This Row],[Complexidade]],Auxiliar!$D$4:$F$4,0))</f>
        <v>0.5</v>
      </c>
      <c r="P1132" s="2"/>
      <c r="Q1132" s="2"/>
      <c r="R1132" s="151">
        <v>45261</v>
      </c>
      <c r="S1132" s="151"/>
      <c r="T1132" s="151"/>
      <c r="U1132" s="151">
        <v>45603</v>
      </c>
      <c r="V1132" s="151">
        <v>45534</v>
      </c>
      <c r="W1132" s="2">
        <f>VLOOKUP(Table1[[#This Row],[Status]],Auxiliar!$B$16:$D$24,3,0)*Table1[[#This Row],[Estimação (horas)]]</f>
        <v>0.5</v>
      </c>
      <c r="X1132" s="165">
        <f>+VLOOKUP(CONCATENATE(Table1[[#This Row],[Tabela]],Table1[[#This Row],[Campo]]),'2. Status Detalhe Campos FY24'!A:J,9,FALSE)</f>
        <v>0</v>
      </c>
      <c r="Y1132" s="491" t="e">
        <f>+VLOOKUP(A1132,#REF!,1,FALSE)</f>
        <v>#REF!</v>
      </c>
    </row>
    <row r="1133" spans="1:25" ht="17.899999999999999" hidden="1" customHeight="1">
      <c r="A1133" t="str">
        <f>+Table1[[#This Row],[Tabela]]&amp;Table1[[#This Row],[Campo]]</f>
        <v>modesg_inp_emss_bens_imoveisregiao</v>
      </c>
      <c r="B1133" s="12" t="s">
        <v>26</v>
      </c>
      <c r="C1133" s="12" t="s">
        <v>181</v>
      </c>
      <c r="D1133" s="12" t="s">
        <v>1218</v>
      </c>
      <c r="E1133" s="2" t="s">
        <v>38</v>
      </c>
      <c r="F1133" s="12" t="s">
        <v>219</v>
      </c>
      <c r="G1133" s="12" t="s">
        <v>304</v>
      </c>
      <c r="H1133" s="57" t="str">
        <f>Table1[[#This Row],[Tabela]]&amp;Table1[[#This Row],[Campo]]</f>
        <v>modesg_inp_emss_bens_imoveisregiao</v>
      </c>
      <c r="I1133" s="2" t="s">
        <v>612</v>
      </c>
      <c r="J1133" s="45">
        <f>VLOOKUP(Table1[[#This Row],[Status]],Auxiliar!$B$16:$C$24,2,0)</f>
        <v>1</v>
      </c>
      <c r="K1133" s="20" t="s">
        <v>1179</v>
      </c>
      <c r="L1133" s="2" t="s">
        <v>641</v>
      </c>
      <c r="M1133" s="20" t="s">
        <v>1176</v>
      </c>
      <c r="N1133" s="47">
        <v>45546</v>
      </c>
      <c r="O1133" s="20">
        <f>INDEX(Auxiliar!$D$5:$F$13,MATCH(Table1[[#This Row],[Tipologia_Testes]],Auxiliar!$B$5:$B$13,0),MATCH(Table1[[#This Row],[Complexidade]],Auxiliar!$D$4:$F$4,0))</f>
        <v>0.5</v>
      </c>
      <c r="P1133" s="2"/>
      <c r="Q1133" s="2"/>
      <c r="R1133" s="151">
        <v>45261</v>
      </c>
      <c r="S1133" s="151"/>
      <c r="T1133" s="151"/>
      <c r="U1133" s="151">
        <v>45603</v>
      </c>
      <c r="V1133" s="151">
        <v>45534</v>
      </c>
      <c r="W1133" s="2">
        <f>VLOOKUP(Table1[[#This Row],[Status]],Auxiliar!$B$16:$D$24,3,0)*Table1[[#This Row],[Estimação (horas)]]</f>
        <v>0.5</v>
      </c>
      <c r="X1133" s="165">
        <f>+VLOOKUP(CONCATENATE(Table1[[#This Row],[Tabela]],Table1[[#This Row],[Campo]]),'2. Status Detalhe Campos FY24'!A:J,9,FALSE)</f>
        <v>0</v>
      </c>
      <c r="Y1133" s="491" t="e">
        <f>+VLOOKUP(A1133,#REF!,1,FALSE)</f>
        <v>#REF!</v>
      </c>
    </row>
    <row r="1134" spans="1:25" ht="17.899999999999999" hidden="1" customHeight="1">
      <c r="A1134" t="str">
        <f>+Table1[[#This Row],[Tabela]]&amp;Table1[[#This Row],[Campo]]</f>
        <v>modesg_inp_emss_bens_imoveistipo_bem</v>
      </c>
      <c r="B1134" s="12" t="s">
        <v>26</v>
      </c>
      <c r="C1134" s="12" t="s">
        <v>181</v>
      </c>
      <c r="D1134" s="12" t="s">
        <v>1218</v>
      </c>
      <c r="E1134" s="2" t="s">
        <v>38</v>
      </c>
      <c r="F1134" s="12" t="s">
        <v>219</v>
      </c>
      <c r="G1134" s="12" t="s">
        <v>305</v>
      </c>
      <c r="H1134" s="57" t="str">
        <f>Table1[[#This Row],[Tabela]]&amp;Table1[[#This Row],[Campo]]</f>
        <v>modesg_inp_emss_bens_imoveistipo_bem</v>
      </c>
      <c r="I1134" s="2" t="s">
        <v>612</v>
      </c>
      <c r="J1134" s="45">
        <f>VLOOKUP(Table1[[#This Row],[Status]],Auxiliar!$B$16:$C$24,2,0)</f>
        <v>1</v>
      </c>
      <c r="K1134" s="20" t="s">
        <v>1179</v>
      </c>
      <c r="L1134" s="20" t="s">
        <v>1174</v>
      </c>
      <c r="M1134" s="20" t="s">
        <v>1176</v>
      </c>
      <c r="N1134" s="47">
        <v>45546</v>
      </c>
      <c r="O1134" s="20">
        <f>INDEX(Auxiliar!$D$5:$F$13,MATCH(Table1[[#This Row],[Tipologia_Testes]],Auxiliar!$B$5:$B$13,0),MATCH(Table1[[#This Row],[Complexidade]],Auxiliar!$D$4:$F$4,0))</f>
        <v>0.5</v>
      </c>
      <c r="P1134" s="2"/>
      <c r="Q1134" s="2"/>
      <c r="R1134" s="151">
        <v>45261</v>
      </c>
      <c r="S1134" s="151"/>
      <c r="T1134" s="151"/>
      <c r="U1134" s="151">
        <v>45603</v>
      </c>
      <c r="V1134" s="151">
        <v>45534</v>
      </c>
      <c r="W1134" s="2">
        <f>VLOOKUP(Table1[[#This Row],[Status]],Auxiliar!$B$16:$D$24,3,0)*Table1[[#This Row],[Estimação (horas)]]</f>
        <v>0.5</v>
      </c>
      <c r="X1134" s="165">
        <f>+VLOOKUP(CONCATENATE(Table1[[#This Row],[Tabela]],Table1[[#This Row],[Campo]]),'2. Status Detalhe Campos FY24'!A:J,9,FALSE)</f>
        <v>0</v>
      </c>
      <c r="Y1134" s="491" t="e">
        <f>+VLOOKUP(A1134,#REF!,1,FALSE)</f>
        <v>#REF!</v>
      </c>
    </row>
    <row r="1135" spans="1:25" ht="17.899999999999999" hidden="1" customHeight="1">
      <c r="A1135" t="str">
        <f>+Table1[[#This Row],[Tabela]]&amp;Table1[[#This Row],[Campo]]</f>
        <v>modesg_inp_emss_bens_imoveistipo_finalidade_bem</v>
      </c>
      <c r="B1135" s="12" t="s">
        <v>26</v>
      </c>
      <c r="C1135" s="12" t="s">
        <v>181</v>
      </c>
      <c r="D1135" s="12" t="s">
        <v>1218</v>
      </c>
      <c r="E1135" s="2" t="s">
        <v>38</v>
      </c>
      <c r="F1135" s="12" t="s">
        <v>219</v>
      </c>
      <c r="G1135" s="12" t="s">
        <v>306</v>
      </c>
      <c r="H1135" s="57" t="str">
        <f>Table1[[#This Row],[Tabela]]&amp;Table1[[#This Row],[Campo]]</f>
        <v>modesg_inp_emss_bens_imoveistipo_finalidade_bem</v>
      </c>
      <c r="I1135" s="2" t="s">
        <v>612</v>
      </c>
      <c r="J1135" s="45">
        <f>VLOOKUP(Table1[[#This Row],[Status]],Auxiliar!$B$16:$C$24,2,0)</f>
        <v>1</v>
      </c>
      <c r="K1135" s="20" t="s">
        <v>1179</v>
      </c>
      <c r="L1135" s="20" t="s">
        <v>1174</v>
      </c>
      <c r="M1135" s="20" t="s">
        <v>1176</v>
      </c>
      <c r="N1135" s="47">
        <v>45546</v>
      </c>
      <c r="O1135" s="20">
        <f>INDEX(Auxiliar!$D$5:$F$13,MATCH(Table1[[#This Row],[Tipologia_Testes]],Auxiliar!$B$5:$B$13,0),MATCH(Table1[[#This Row],[Complexidade]],Auxiliar!$D$4:$F$4,0))</f>
        <v>0.5</v>
      </c>
      <c r="P1135" s="2"/>
      <c r="Q1135" s="2"/>
      <c r="R1135" s="151">
        <v>45261</v>
      </c>
      <c r="S1135" s="151"/>
      <c r="T1135" s="151"/>
      <c r="U1135" s="151">
        <v>45603</v>
      </c>
      <c r="V1135" s="151">
        <v>45534</v>
      </c>
      <c r="W1135" s="2">
        <f>VLOOKUP(Table1[[#This Row],[Status]],Auxiliar!$B$16:$D$24,3,0)*Table1[[#This Row],[Estimação (horas)]]</f>
        <v>0.5</v>
      </c>
      <c r="X1135" s="165">
        <f>+VLOOKUP(CONCATENATE(Table1[[#This Row],[Tabela]],Table1[[#This Row],[Campo]]),'2. Status Detalhe Campos FY24'!A:J,9,FALSE)</f>
        <v>0</v>
      </c>
      <c r="Y1135" s="491" t="e">
        <f>+VLOOKUP(A1135,#REF!,1,FALSE)</f>
        <v>#REF!</v>
      </c>
    </row>
    <row r="1136" spans="1:25" ht="17.899999999999999" hidden="1" customHeight="1">
      <c r="A1136" t="str">
        <f>+Table1[[#This Row],[Tabela]]&amp;Table1[[#This Row],[Campo]]</f>
        <v>modesg_inp_emss_bens_imoveisepc</v>
      </c>
      <c r="B1136" s="12" t="s">
        <v>26</v>
      </c>
      <c r="C1136" s="12" t="s">
        <v>181</v>
      </c>
      <c r="D1136" s="12" t="s">
        <v>1218</v>
      </c>
      <c r="E1136" s="2" t="s">
        <v>38</v>
      </c>
      <c r="F1136" s="12" t="s">
        <v>219</v>
      </c>
      <c r="G1136" s="12" t="s">
        <v>198</v>
      </c>
      <c r="H1136" s="57" t="str">
        <f>Table1[[#This Row],[Tabela]]&amp;Table1[[#This Row],[Campo]]</f>
        <v>modesg_inp_emss_bens_imoveisepc</v>
      </c>
      <c r="I1136" s="2" t="s">
        <v>612</v>
      </c>
      <c r="J1136" s="45">
        <f>VLOOKUP(Table1[[#This Row],[Status]],Auxiliar!$B$16:$C$24,2,0)</f>
        <v>1</v>
      </c>
      <c r="K1136" s="20" t="s">
        <v>1179</v>
      </c>
      <c r="L1136" s="20" t="s">
        <v>1174</v>
      </c>
      <c r="M1136" s="20" t="s">
        <v>1176</v>
      </c>
      <c r="N1136" s="47">
        <v>45546</v>
      </c>
      <c r="O1136" s="20">
        <f>INDEX(Auxiliar!$D$5:$F$13,MATCH(Table1[[#This Row],[Tipologia_Testes]],Auxiliar!$B$5:$B$13,0),MATCH(Table1[[#This Row],[Complexidade]],Auxiliar!$D$4:$F$4,0))</f>
        <v>0.5</v>
      </c>
      <c r="P1136" s="2"/>
      <c r="Q1136" s="2"/>
      <c r="R1136" s="151">
        <v>45261</v>
      </c>
      <c r="S1136" s="151"/>
      <c r="T1136" s="151"/>
      <c r="U1136" s="151">
        <v>45603</v>
      </c>
      <c r="V1136" s="151">
        <v>45534</v>
      </c>
      <c r="W1136" s="2">
        <f>VLOOKUP(Table1[[#This Row],[Status]],Auxiliar!$B$16:$D$24,3,0)*Table1[[#This Row],[Estimação (horas)]]</f>
        <v>0.5</v>
      </c>
      <c r="X1136" s="165">
        <f>+VLOOKUP(CONCATENATE(Table1[[#This Row],[Tabela]],Table1[[#This Row],[Campo]]),'2. Status Detalhe Campos FY24'!A:J,9,FALSE)</f>
        <v>0</v>
      </c>
      <c r="Y1136" s="491" t="e">
        <f>+VLOOKUP(A1136,#REF!,1,FALSE)</f>
        <v>#REF!</v>
      </c>
    </row>
    <row r="1137" spans="1:25" ht="17.899999999999999" hidden="1" customHeight="1">
      <c r="A1137" t="str">
        <f>+Table1[[#This Row],[Tabela]]&amp;Table1[[#This Row],[Campo]]</f>
        <v>modesg_inp_emss_bens_imoveisflg_ftr_emss_area</v>
      </c>
      <c r="B1137" s="12" t="s">
        <v>26</v>
      </c>
      <c r="C1137" s="12" t="s">
        <v>181</v>
      </c>
      <c r="D1137" s="12" t="s">
        <v>1218</v>
      </c>
      <c r="E1137" s="2" t="s">
        <v>38</v>
      </c>
      <c r="F1137" s="12" t="s">
        <v>219</v>
      </c>
      <c r="G1137" s="12" t="s">
        <v>307</v>
      </c>
      <c r="H1137" s="57" t="str">
        <f>Table1[[#This Row],[Tabela]]&amp;Table1[[#This Row],[Campo]]</f>
        <v>modesg_inp_emss_bens_imoveisflg_ftr_emss_area</v>
      </c>
      <c r="I1137" s="2" t="s">
        <v>611</v>
      </c>
      <c r="J1137" s="45">
        <f>VLOOKUP(Table1[[#This Row],[Status]],Auxiliar!$B$16:$C$24,2,0)</f>
        <v>0</v>
      </c>
      <c r="K1137" s="20" t="s">
        <v>1179</v>
      </c>
      <c r="L1137" s="20" t="s">
        <v>1174</v>
      </c>
      <c r="M1137" s="20" t="s">
        <v>1176</v>
      </c>
      <c r="N1137" s="47">
        <v>45546</v>
      </c>
      <c r="O1137" s="20">
        <f>INDEX(Auxiliar!$D$5:$F$13,MATCH(Table1[[#This Row],[Tipologia_Testes]],Auxiliar!$B$5:$B$13,0),MATCH(Table1[[#This Row],[Complexidade]],Auxiliar!$D$4:$F$4,0))</f>
        <v>0.5</v>
      </c>
      <c r="P1137" s="2"/>
      <c r="Q1137" s="2"/>
      <c r="R1137" s="151">
        <v>45261</v>
      </c>
      <c r="S1137" s="151"/>
      <c r="T1137" s="151"/>
      <c r="U1137" s="151">
        <v>45534</v>
      </c>
      <c r="V1137" s="151">
        <v>45534</v>
      </c>
      <c r="W1137" s="2">
        <f>VLOOKUP(Table1[[#This Row],[Status]],Auxiliar!$B$16:$D$24,3,0)*Table1[[#This Row],[Estimação (horas)]]</f>
        <v>0</v>
      </c>
      <c r="X1137" s="165">
        <f>+VLOOKUP(CONCATENATE(Table1[[#This Row],[Tabela]],Table1[[#This Row],[Campo]]),'2. Status Detalhe Campos FY24'!A:J,9,FALSE)</f>
        <v>0</v>
      </c>
      <c r="Y1137" s="491" t="e">
        <f>+VLOOKUP(A1137,#REF!,1,FALSE)</f>
        <v>#REF!</v>
      </c>
    </row>
    <row r="1138" spans="1:25" ht="17.899999999999999" hidden="1" customHeight="1">
      <c r="A1138" t="str">
        <f>+Table1[[#This Row],[Tabela]]&amp;Table1[[#This Row],[Campo]]</f>
        <v>modesg_inp_emss_bens_imoveisnome_unidade_funcional</v>
      </c>
      <c r="B1138" s="12" t="s">
        <v>26</v>
      </c>
      <c r="C1138" s="12" t="s">
        <v>181</v>
      </c>
      <c r="D1138" s="12" t="s">
        <v>1218</v>
      </c>
      <c r="E1138" s="2" t="s">
        <v>38</v>
      </c>
      <c r="F1138" s="12" t="s">
        <v>219</v>
      </c>
      <c r="G1138" s="12" t="s">
        <v>228</v>
      </c>
      <c r="H1138" s="57" t="str">
        <f>Table1[[#This Row],[Tabela]]&amp;Table1[[#This Row],[Campo]]</f>
        <v>modesg_inp_emss_bens_imoveisnome_unidade_funcional</v>
      </c>
      <c r="I1138" s="2" t="s">
        <v>612</v>
      </c>
      <c r="J1138" s="45">
        <f>VLOOKUP(Table1[[#This Row],[Status]],Auxiliar!$B$16:$C$24,2,0)</f>
        <v>1</v>
      </c>
      <c r="K1138" s="20" t="s">
        <v>1179</v>
      </c>
      <c r="L1138" s="20" t="s">
        <v>1174</v>
      </c>
      <c r="M1138" s="20" t="s">
        <v>1176</v>
      </c>
      <c r="N1138" s="47">
        <v>45546</v>
      </c>
      <c r="O1138" s="20">
        <f>INDEX(Auxiliar!$D$5:$F$13,MATCH(Table1[[#This Row],[Tipologia_Testes]],Auxiliar!$B$5:$B$13,0),MATCH(Table1[[#This Row],[Complexidade]],Auxiliar!$D$4:$F$4,0))</f>
        <v>0.5</v>
      </c>
      <c r="P1138" s="2"/>
      <c r="Q1138" s="2"/>
      <c r="R1138" s="151">
        <v>45261</v>
      </c>
      <c r="S1138" s="151"/>
      <c r="T1138" s="151"/>
      <c r="U1138" s="151">
        <v>45603</v>
      </c>
      <c r="V1138" s="151">
        <v>45534</v>
      </c>
      <c r="W1138" s="2">
        <f>VLOOKUP(Table1[[#This Row],[Status]],Auxiliar!$B$16:$D$24,3,0)*Table1[[#This Row],[Estimação (horas)]]</f>
        <v>0.5</v>
      </c>
      <c r="X1138" s="165">
        <f>+VLOOKUP(CONCATENATE(Table1[[#This Row],[Tabela]],Table1[[#This Row],[Campo]]),'2. Status Detalhe Campos FY24'!A:J,9,FALSE)</f>
        <v>0</v>
      </c>
      <c r="Y1138" s="491" t="e">
        <f>+VLOOKUP(A1138,#REF!,1,FALSE)</f>
        <v>#REF!</v>
      </c>
    </row>
    <row r="1139" spans="1:25" ht="17.899999999999999" hidden="1" customHeight="1">
      <c r="A1139" t="str">
        <f>+Table1[[#This Row],[Tabela]]&amp;Table1[[#This Row],[Campo]]</f>
        <v>modesg_inp_emss_bens_imoveisunidade_funcional</v>
      </c>
      <c r="B1139" s="12" t="s">
        <v>26</v>
      </c>
      <c r="C1139" s="12" t="s">
        <v>181</v>
      </c>
      <c r="D1139" s="12" t="s">
        <v>1218</v>
      </c>
      <c r="E1139" s="2" t="s">
        <v>38</v>
      </c>
      <c r="F1139" s="12" t="s">
        <v>219</v>
      </c>
      <c r="G1139" s="12" t="s">
        <v>229</v>
      </c>
      <c r="H1139" s="57" t="str">
        <f>Table1[[#This Row],[Tabela]]&amp;Table1[[#This Row],[Campo]]</f>
        <v>modesg_inp_emss_bens_imoveisunidade_funcional</v>
      </c>
      <c r="I1139" s="2" t="s">
        <v>612</v>
      </c>
      <c r="J1139" s="45">
        <f>VLOOKUP(Table1[[#This Row],[Status]],Auxiliar!$B$16:$C$24,2,0)</f>
        <v>1</v>
      </c>
      <c r="K1139" s="20" t="s">
        <v>1179</v>
      </c>
      <c r="L1139" s="20" t="s">
        <v>1174</v>
      </c>
      <c r="M1139" s="20" t="s">
        <v>1176</v>
      </c>
      <c r="N1139" s="47">
        <v>45546</v>
      </c>
      <c r="O1139" s="20">
        <f>INDEX(Auxiliar!$D$5:$F$13,MATCH(Table1[[#This Row],[Tipologia_Testes]],Auxiliar!$B$5:$B$13,0),MATCH(Table1[[#This Row],[Complexidade]],Auxiliar!$D$4:$F$4,0))</f>
        <v>0.5</v>
      </c>
      <c r="P1139" s="2" t="s">
        <v>1250</v>
      </c>
      <c r="Q1139" s="2"/>
      <c r="R1139" s="151">
        <v>45261</v>
      </c>
      <c r="S1139" s="151"/>
      <c r="T1139" s="151"/>
      <c r="U1139" s="151">
        <v>45603</v>
      </c>
      <c r="V1139" s="151">
        <v>45534</v>
      </c>
      <c r="W1139" s="2">
        <f>VLOOKUP(Table1[[#This Row],[Status]],Auxiliar!$B$16:$D$24,3,0)*Table1[[#This Row],[Estimação (horas)]]</f>
        <v>0.5</v>
      </c>
      <c r="X1139" s="165">
        <f>+VLOOKUP(CONCATENATE(Table1[[#This Row],[Tabela]],Table1[[#This Row],[Campo]]),'2. Status Detalhe Campos FY24'!A:J,9,FALSE)</f>
        <v>0</v>
      </c>
      <c r="Y1139" s="491" t="e">
        <f>+VLOOKUP(A1139,#REF!,1,FALSE)</f>
        <v>#REF!</v>
      </c>
    </row>
    <row r="1140" spans="1:25" ht="17.899999999999999" hidden="1" customHeight="1">
      <c r="A1140" t="str">
        <f>+Table1[[#This Row],[Tabela]]&amp;Table1[[#This Row],[Campo]]</f>
        <v>modesg_inp_emss_bens_imoveisnome_fator_emissao</v>
      </c>
      <c r="B1140" s="12" t="s">
        <v>26</v>
      </c>
      <c r="C1140" s="12" t="s">
        <v>181</v>
      </c>
      <c r="D1140" s="12" t="s">
        <v>1218</v>
      </c>
      <c r="E1140" s="2" t="s">
        <v>38</v>
      </c>
      <c r="F1140" s="12" t="s">
        <v>219</v>
      </c>
      <c r="G1140" s="12" t="s">
        <v>230</v>
      </c>
      <c r="H1140" s="57" t="str">
        <f>Table1[[#This Row],[Tabela]]&amp;Table1[[#This Row],[Campo]]</f>
        <v>modesg_inp_emss_bens_imoveisnome_fator_emissao</v>
      </c>
      <c r="I1140" s="2" t="s">
        <v>612</v>
      </c>
      <c r="J1140" s="45">
        <f>VLOOKUP(Table1[[#This Row],[Status]],Auxiliar!$B$16:$C$24,2,0)</f>
        <v>1</v>
      </c>
      <c r="K1140" s="20" t="s">
        <v>1179</v>
      </c>
      <c r="L1140" s="20" t="s">
        <v>1174</v>
      </c>
      <c r="M1140" s="20" t="s">
        <v>1176</v>
      </c>
      <c r="N1140" s="47">
        <v>45546</v>
      </c>
      <c r="O1140" s="20">
        <f>INDEX(Auxiliar!$D$5:$F$13,MATCH(Table1[[#This Row],[Tipologia_Testes]],Auxiliar!$B$5:$B$13,0),MATCH(Table1[[#This Row],[Complexidade]],Auxiliar!$D$4:$F$4,0))</f>
        <v>0.5</v>
      </c>
      <c r="P1140" s="2" t="s">
        <v>1250</v>
      </c>
      <c r="Q1140" s="2"/>
      <c r="R1140" s="151">
        <v>45261</v>
      </c>
      <c r="S1140" s="151"/>
      <c r="T1140" s="151"/>
      <c r="U1140" s="151">
        <v>45603</v>
      </c>
      <c r="V1140" s="151">
        <v>45534</v>
      </c>
      <c r="W1140" s="2">
        <f>VLOOKUP(Table1[[#This Row],[Status]],Auxiliar!$B$16:$D$24,3,0)*Table1[[#This Row],[Estimação (horas)]]</f>
        <v>0.5</v>
      </c>
      <c r="X1140" s="165">
        <f>+VLOOKUP(CONCATENATE(Table1[[#This Row],[Tabela]],Table1[[#This Row],[Campo]]),'2. Status Detalhe Campos FY24'!A:J,9,FALSE)</f>
        <v>0</v>
      </c>
      <c r="Y1140" s="491" t="e">
        <f>+VLOOKUP(A1140,#REF!,1,FALSE)</f>
        <v>#REF!</v>
      </c>
    </row>
    <row r="1141" spans="1:25" ht="17.899999999999999" hidden="1" customHeight="1">
      <c r="A1141" t="str">
        <f>+Table1[[#This Row],[Tabela]]&amp;Table1[[#This Row],[Campo]]</f>
        <v>modesg_inp_emss_bens_imoveisunidade_fator_de_emissao</v>
      </c>
      <c r="B1141" s="12" t="s">
        <v>26</v>
      </c>
      <c r="C1141" s="12" t="s">
        <v>181</v>
      </c>
      <c r="D1141" s="12" t="s">
        <v>1218</v>
      </c>
      <c r="E1141" s="2" t="s">
        <v>38</v>
      </c>
      <c r="F1141" s="12" t="s">
        <v>219</v>
      </c>
      <c r="G1141" s="12" t="s">
        <v>231</v>
      </c>
      <c r="H1141" s="57" t="str">
        <f>Table1[[#This Row],[Tabela]]&amp;Table1[[#This Row],[Campo]]</f>
        <v>modesg_inp_emss_bens_imoveisunidade_fator_de_emissao</v>
      </c>
      <c r="I1141" s="2" t="s">
        <v>612</v>
      </c>
      <c r="J1141" s="45">
        <f>VLOOKUP(Table1[[#This Row],[Status]],Auxiliar!$B$16:$C$24,2,0)</f>
        <v>1</v>
      </c>
      <c r="K1141" s="20" t="s">
        <v>1179</v>
      </c>
      <c r="L1141" s="20" t="s">
        <v>1174</v>
      </c>
      <c r="M1141" s="20" t="s">
        <v>1176</v>
      </c>
      <c r="N1141" s="47">
        <v>45546</v>
      </c>
      <c r="O1141" s="20">
        <f>INDEX(Auxiliar!$D$5:$F$13,MATCH(Table1[[#This Row],[Tipologia_Testes]],Auxiliar!$B$5:$B$13,0),MATCH(Table1[[#This Row],[Complexidade]],Auxiliar!$D$4:$F$4,0))</f>
        <v>0.5</v>
      </c>
      <c r="P1141" s="2" t="s">
        <v>1250</v>
      </c>
      <c r="Q1141" s="2"/>
      <c r="R1141" s="151">
        <v>45261</v>
      </c>
      <c r="S1141" s="151"/>
      <c r="T1141" s="151"/>
      <c r="U1141" s="151">
        <v>45603</v>
      </c>
      <c r="V1141" s="151">
        <v>45534</v>
      </c>
      <c r="W1141" s="2">
        <f>VLOOKUP(Table1[[#This Row],[Status]],Auxiliar!$B$16:$D$24,3,0)*Table1[[#This Row],[Estimação (horas)]]</f>
        <v>0.5</v>
      </c>
      <c r="X1141" s="165">
        <f>+VLOOKUP(CONCATENATE(Table1[[#This Row],[Tabela]],Table1[[#This Row],[Campo]]),'2. Status Detalhe Campos FY24'!A:J,9,FALSE)</f>
        <v>0</v>
      </c>
      <c r="Y1141" s="491" t="e">
        <f>+VLOOKUP(A1141,#REF!,1,FALSE)</f>
        <v>#REF!</v>
      </c>
    </row>
    <row r="1142" spans="1:25" ht="17.899999999999999" hidden="1" customHeight="1">
      <c r="A1142" t="str">
        <f>+Table1[[#This Row],[Tabela]]&amp;Table1[[#This Row],[Campo]]</f>
        <v>modesg_inp_emss_bens_imoveisscore_qualidade</v>
      </c>
      <c r="B1142" s="12" t="s">
        <v>26</v>
      </c>
      <c r="C1142" s="12" t="s">
        <v>181</v>
      </c>
      <c r="D1142" s="12" t="s">
        <v>1218</v>
      </c>
      <c r="E1142" s="2" t="s">
        <v>38</v>
      </c>
      <c r="F1142" s="12" t="s">
        <v>219</v>
      </c>
      <c r="G1142" s="12" t="s">
        <v>232</v>
      </c>
      <c r="H1142" s="57" t="str">
        <f>Table1[[#This Row],[Tabela]]&amp;Table1[[#This Row],[Campo]]</f>
        <v>modesg_inp_emss_bens_imoveisscore_qualidade</v>
      </c>
      <c r="I1142" s="2" t="s">
        <v>612</v>
      </c>
      <c r="J1142" s="45">
        <f>VLOOKUP(Table1[[#This Row],[Status]],Auxiliar!$B$16:$C$24,2,0)</f>
        <v>1</v>
      </c>
      <c r="K1142" s="20" t="s">
        <v>1179</v>
      </c>
      <c r="L1142" s="2" t="s">
        <v>1166</v>
      </c>
      <c r="M1142" s="20" t="s">
        <v>1176</v>
      </c>
      <c r="N1142" s="47">
        <v>45546</v>
      </c>
      <c r="O1142" s="20">
        <f>INDEX(Auxiliar!$D$5:$F$13,MATCH(Table1[[#This Row],[Tipologia_Testes]],Auxiliar!$B$5:$B$13,0),MATCH(Table1[[#This Row],[Complexidade]],Auxiliar!$D$4:$F$4,0))</f>
        <v>0.5</v>
      </c>
      <c r="P1142" s="2"/>
      <c r="Q1142" s="2"/>
      <c r="R1142" s="151">
        <v>45261</v>
      </c>
      <c r="S1142" s="151"/>
      <c r="T1142" s="151"/>
      <c r="U1142" s="151">
        <v>45603</v>
      </c>
      <c r="V1142" s="151">
        <v>45534</v>
      </c>
      <c r="W1142" s="2">
        <f>VLOOKUP(Table1[[#This Row],[Status]],Auxiliar!$B$16:$D$24,3,0)*Table1[[#This Row],[Estimação (horas)]]</f>
        <v>0.5</v>
      </c>
      <c r="X1142" s="165">
        <f>+VLOOKUP(CONCATENATE(Table1[[#This Row],[Tabela]],Table1[[#This Row],[Campo]]),'2. Status Detalhe Campos FY24'!A:J,9,FALSE)</f>
        <v>0</v>
      </c>
      <c r="Y1142" s="491" t="e">
        <f>+VLOOKUP(A1142,#REF!,1,FALSE)</f>
        <v>#REF!</v>
      </c>
    </row>
    <row r="1143" spans="1:25" ht="17.899999999999999" hidden="1" customHeight="1">
      <c r="A1143" t="str">
        <f>+Table1[[#This Row],[Tabela]]&amp;Table1[[#This Row],[Campo]]</f>
        <v>modesg_inp_emss_bens_imoveisano_fator_emissao</v>
      </c>
      <c r="B1143" s="12" t="s">
        <v>26</v>
      </c>
      <c r="C1143" s="12" t="s">
        <v>181</v>
      </c>
      <c r="D1143" s="12" t="s">
        <v>1218</v>
      </c>
      <c r="E1143" s="2" t="s">
        <v>38</v>
      </c>
      <c r="F1143" s="12" t="s">
        <v>219</v>
      </c>
      <c r="G1143" s="12" t="s">
        <v>308</v>
      </c>
      <c r="H1143" s="57" t="str">
        <f>Table1[[#This Row],[Tabela]]&amp;Table1[[#This Row],[Campo]]</f>
        <v>modesg_inp_emss_bens_imoveisano_fator_emissao</v>
      </c>
      <c r="I1143" s="2" t="s">
        <v>612</v>
      </c>
      <c r="J1143" s="45">
        <f>VLOOKUP(Table1[[#This Row],[Status]],Auxiliar!$B$16:$C$24,2,0)</f>
        <v>1</v>
      </c>
      <c r="K1143" s="20" t="s">
        <v>1179</v>
      </c>
      <c r="L1143" s="2" t="s">
        <v>641</v>
      </c>
      <c r="M1143" s="20" t="s">
        <v>1176</v>
      </c>
      <c r="N1143" s="47">
        <v>45546</v>
      </c>
      <c r="O1143" s="20">
        <f>INDEX(Auxiliar!$D$5:$F$13,MATCH(Table1[[#This Row],[Tipologia_Testes]],Auxiliar!$B$5:$B$13,0),MATCH(Table1[[#This Row],[Complexidade]],Auxiliar!$D$4:$F$4,0))</f>
        <v>0.5</v>
      </c>
      <c r="P1143" s="2"/>
      <c r="Q1143" s="2"/>
      <c r="R1143" s="151">
        <v>45261</v>
      </c>
      <c r="S1143" s="151"/>
      <c r="T1143" s="151"/>
      <c r="U1143" s="151">
        <v>45603</v>
      </c>
      <c r="V1143" s="151">
        <v>45534</v>
      </c>
      <c r="W1143" s="2">
        <f>VLOOKUP(Table1[[#This Row],[Status]],Auxiliar!$B$16:$D$24,3,0)*Table1[[#This Row],[Estimação (horas)]]</f>
        <v>0.5</v>
      </c>
      <c r="X1143" s="165">
        <f>+VLOOKUP(CONCATENATE(Table1[[#This Row],[Tabela]],Table1[[#This Row],[Campo]]),'2. Status Detalhe Campos FY24'!A:J,9,FALSE)</f>
        <v>0</v>
      </c>
      <c r="Y1143" s="491" t="e">
        <f>+VLOOKUP(A1143,#REF!,1,FALSE)</f>
        <v>#REF!</v>
      </c>
    </row>
    <row r="1144" spans="1:25" ht="17.899999999999999" hidden="1" customHeight="1">
      <c r="A1144" t="str">
        <f>+Table1[[#This Row],[Tabela]]&amp;Table1[[#This Row],[Campo]]</f>
        <v>modesg_inp_emss_bens_imoveisscp1_ftr_emss</v>
      </c>
      <c r="B1144" s="12" t="s">
        <v>26</v>
      </c>
      <c r="C1144" s="12" t="s">
        <v>181</v>
      </c>
      <c r="D1144" s="12" t="s">
        <v>1218</v>
      </c>
      <c r="E1144" s="2" t="s">
        <v>38</v>
      </c>
      <c r="F1144" s="12" t="s">
        <v>219</v>
      </c>
      <c r="G1144" s="12" t="s">
        <v>233</v>
      </c>
      <c r="H1144" s="57" t="str">
        <f>Table1[[#This Row],[Tabela]]&amp;Table1[[#This Row],[Campo]]</f>
        <v>modesg_inp_emss_bens_imoveisscp1_ftr_emss</v>
      </c>
      <c r="I1144" s="2" t="s">
        <v>612</v>
      </c>
      <c r="J1144" s="45">
        <f>VLOOKUP(Table1[[#This Row],[Status]],Auxiliar!$B$16:$C$24,2,0)</f>
        <v>1</v>
      </c>
      <c r="K1144" s="20" t="s">
        <v>1171</v>
      </c>
      <c r="L1144" s="20" t="s">
        <v>1174</v>
      </c>
      <c r="M1144" s="20" t="s">
        <v>1176</v>
      </c>
      <c r="N1144" s="47">
        <v>45546</v>
      </c>
      <c r="O1144" s="20">
        <f>INDEX(Auxiliar!$D$5:$F$13,MATCH(Table1[[#This Row],[Tipologia_Testes]],Auxiliar!$B$5:$B$13,0),MATCH(Table1[[#This Row],[Complexidade]],Auxiliar!$D$4:$F$4,0))</f>
        <v>0.1</v>
      </c>
      <c r="P1144" s="2" t="s">
        <v>1251</v>
      </c>
      <c r="Q1144" s="2"/>
      <c r="R1144" s="151">
        <v>45261</v>
      </c>
      <c r="S1144" s="151"/>
      <c r="T1144" s="151"/>
      <c r="U1144" s="151">
        <v>45603</v>
      </c>
      <c r="V1144" s="151">
        <v>45534</v>
      </c>
      <c r="W1144" s="2">
        <f>VLOOKUP(Table1[[#This Row],[Status]],Auxiliar!$B$16:$D$24,3,0)*Table1[[#This Row],[Estimação (horas)]]</f>
        <v>0.1</v>
      </c>
      <c r="X1144" s="165">
        <f>+VLOOKUP(CONCATENATE(Table1[[#This Row],[Tabela]],Table1[[#This Row],[Campo]]),'2. Status Detalhe Campos FY24'!A:J,9,FALSE)</f>
        <v>0</v>
      </c>
      <c r="Y1144" s="491" t="e">
        <f>+VLOOKUP(A1144,#REF!,1,FALSE)</f>
        <v>#REF!</v>
      </c>
    </row>
    <row r="1145" spans="1:25" ht="17.899999999999999" hidden="1" customHeight="1">
      <c r="A1145" t="str">
        <f>+Table1[[#This Row],[Tabela]]&amp;Table1[[#This Row],[Campo]]</f>
        <v>modesg_inp_emss_bens_imoveisscp1_ftr_emss</v>
      </c>
      <c r="B1145" s="12" t="s">
        <v>26</v>
      </c>
      <c r="C1145" s="12" t="s">
        <v>181</v>
      </c>
      <c r="D1145" s="12" t="s">
        <v>1218</v>
      </c>
      <c r="E1145" s="2" t="s">
        <v>38</v>
      </c>
      <c r="F1145" s="12" t="s">
        <v>219</v>
      </c>
      <c r="G1145" s="12" t="s">
        <v>233</v>
      </c>
      <c r="H1145" s="57" t="str">
        <f>Table1[[#This Row],[Tabela]]&amp;Table1[[#This Row],[Campo]]</f>
        <v>modesg_inp_emss_bens_imoveisscp1_ftr_emss</v>
      </c>
      <c r="I1145" s="2" t="s">
        <v>612</v>
      </c>
      <c r="J1145" s="45">
        <f>VLOOKUP(Table1[[#This Row],[Status]],Auxiliar!$B$16:$C$24,2,0)</f>
        <v>1</v>
      </c>
      <c r="K1145" s="20" t="s">
        <v>1179</v>
      </c>
      <c r="L1145" s="20" t="s">
        <v>1174</v>
      </c>
      <c r="M1145" s="20" t="s">
        <v>1176</v>
      </c>
      <c r="N1145" s="47">
        <v>45546</v>
      </c>
      <c r="O1145" s="20">
        <f>INDEX(Auxiliar!$D$5:$F$13,MATCH(Table1[[#This Row],[Tipologia_Testes]],Auxiliar!$B$5:$B$13,0),MATCH(Table1[[#This Row],[Complexidade]],Auxiliar!$D$4:$F$4,0))</f>
        <v>0.5</v>
      </c>
      <c r="P1145" s="2"/>
      <c r="Q1145" s="2"/>
      <c r="R1145" s="151">
        <v>45261</v>
      </c>
      <c r="S1145" s="151"/>
      <c r="T1145" s="151"/>
      <c r="U1145" s="151">
        <v>45603</v>
      </c>
      <c r="V1145" s="151">
        <v>45534</v>
      </c>
      <c r="W1145" s="2">
        <f>VLOOKUP(Table1[[#This Row],[Status]],Auxiliar!$B$16:$D$24,3,0)*Table1[[#This Row],[Estimação (horas)]]</f>
        <v>0.5</v>
      </c>
      <c r="X1145" s="165">
        <f>+VLOOKUP(CONCATENATE(Table1[[#This Row],[Tabela]],Table1[[#This Row],[Campo]]),'2. Status Detalhe Campos FY24'!A:J,9,FALSE)</f>
        <v>0</v>
      </c>
      <c r="Y1145" s="491" t="e">
        <f>+VLOOKUP(A1145,#REF!,1,FALSE)</f>
        <v>#REF!</v>
      </c>
    </row>
    <row r="1146" spans="1:25" ht="17.899999999999999" hidden="1" customHeight="1">
      <c r="A1146" t="str">
        <f>+Table1[[#This Row],[Tabela]]&amp;Table1[[#This Row],[Campo]]</f>
        <v>modesg_inp_emss_bens_imoveisscp2_ftr_emss</v>
      </c>
      <c r="B1146" s="12" t="s">
        <v>26</v>
      </c>
      <c r="C1146" s="12" t="s">
        <v>181</v>
      </c>
      <c r="D1146" s="12" t="s">
        <v>1218</v>
      </c>
      <c r="E1146" s="2" t="s">
        <v>38</v>
      </c>
      <c r="F1146" s="12" t="s">
        <v>219</v>
      </c>
      <c r="G1146" s="12" t="s">
        <v>234</v>
      </c>
      <c r="H1146" s="57" t="str">
        <f>Table1[[#This Row],[Tabela]]&amp;Table1[[#This Row],[Campo]]</f>
        <v>modesg_inp_emss_bens_imoveisscp2_ftr_emss</v>
      </c>
      <c r="I1146" s="2" t="s">
        <v>612</v>
      </c>
      <c r="J1146" s="45">
        <f>VLOOKUP(Table1[[#This Row],[Status]],Auxiliar!$B$16:$C$24,2,0)</f>
        <v>1</v>
      </c>
      <c r="K1146" s="20" t="s">
        <v>1171</v>
      </c>
      <c r="L1146" s="20" t="s">
        <v>1174</v>
      </c>
      <c r="M1146" s="20" t="s">
        <v>1176</v>
      </c>
      <c r="N1146" s="47">
        <v>45546</v>
      </c>
      <c r="O1146" s="20">
        <f>INDEX(Auxiliar!$D$5:$F$13,MATCH(Table1[[#This Row],[Tipologia_Testes]],Auxiliar!$B$5:$B$13,0),MATCH(Table1[[#This Row],[Complexidade]],Auxiliar!$D$4:$F$4,0))</f>
        <v>0.1</v>
      </c>
      <c r="P1146" s="2" t="s">
        <v>1251</v>
      </c>
      <c r="Q1146" s="2"/>
      <c r="R1146" s="151">
        <v>45261</v>
      </c>
      <c r="S1146" s="151"/>
      <c r="T1146" s="151"/>
      <c r="U1146" s="151">
        <v>45603</v>
      </c>
      <c r="V1146" s="151">
        <v>45534</v>
      </c>
      <c r="W1146" s="2">
        <f>VLOOKUP(Table1[[#This Row],[Status]],Auxiliar!$B$16:$D$24,3,0)*Table1[[#This Row],[Estimação (horas)]]</f>
        <v>0.1</v>
      </c>
      <c r="X1146" s="165">
        <f>+VLOOKUP(CONCATENATE(Table1[[#This Row],[Tabela]],Table1[[#This Row],[Campo]]),'2. Status Detalhe Campos FY24'!A:J,9,FALSE)</f>
        <v>0</v>
      </c>
      <c r="Y1146" s="491" t="e">
        <f>+VLOOKUP(A1146,#REF!,1,FALSE)</f>
        <v>#REF!</v>
      </c>
    </row>
    <row r="1147" spans="1:25" ht="17.899999999999999" hidden="1" customHeight="1">
      <c r="A1147" t="str">
        <f>+Table1[[#This Row],[Tabela]]&amp;Table1[[#This Row],[Campo]]</f>
        <v>modesg_inp_emss_bens_imoveisscp2_ftr_emss</v>
      </c>
      <c r="B1147" s="12" t="s">
        <v>26</v>
      </c>
      <c r="C1147" s="12" t="s">
        <v>181</v>
      </c>
      <c r="D1147" s="12" t="s">
        <v>1218</v>
      </c>
      <c r="E1147" s="2" t="s">
        <v>38</v>
      </c>
      <c r="F1147" s="12" t="s">
        <v>219</v>
      </c>
      <c r="G1147" s="12" t="s">
        <v>234</v>
      </c>
      <c r="H1147" s="57" t="str">
        <f>Table1[[#This Row],[Tabela]]&amp;Table1[[#This Row],[Campo]]</f>
        <v>modesg_inp_emss_bens_imoveisscp2_ftr_emss</v>
      </c>
      <c r="I1147" s="2" t="s">
        <v>612</v>
      </c>
      <c r="J1147" s="45">
        <f>VLOOKUP(Table1[[#This Row],[Status]],Auxiliar!$B$16:$C$24,2,0)</f>
        <v>1</v>
      </c>
      <c r="K1147" s="20" t="s">
        <v>1179</v>
      </c>
      <c r="L1147" s="20" t="s">
        <v>1174</v>
      </c>
      <c r="M1147" s="20" t="s">
        <v>1176</v>
      </c>
      <c r="N1147" s="47">
        <v>45546</v>
      </c>
      <c r="O1147" s="20">
        <f>INDEX(Auxiliar!$D$5:$F$13,MATCH(Table1[[#This Row],[Tipologia_Testes]],Auxiliar!$B$5:$B$13,0),MATCH(Table1[[#This Row],[Complexidade]],Auxiliar!$D$4:$F$4,0))</f>
        <v>0.5</v>
      </c>
      <c r="P1147" s="2"/>
      <c r="Q1147" s="2"/>
      <c r="R1147" s="151">
        <v>45261</v>
      </c>
      <c r="S1147" s="151"/>
      <c r="T1147" s="151"/>
      <c r="U1147" s="151">
        <v>45603</v>
      </c>
      <c r="V1147" s="151">
        <v>45534</v>
      </c>
      <c r="W1147" s="2">
        <f>VLOOKUP(Table1[[#This Row],[Status]],Auxiliar!$B$16:$D$24,3,0)*Table1[[#This Row],[Estimação (horas)]]</f>
        <v>0.5</v>
      </c>
      <c r="X1147" s="165">
        <f>+VLOOKUP(CONCATENATE(Table1[[#This Row],[Tabela]],Table1[[#This Row],[Campo]]),'2. Status Detalhe Campos FY24'!A:J,9,FALSE)</f>
        <v>0</v>
      </c>
      <c r="Y1147" s="491" t="e">
        <f>+VLOOKUP(A1147,#REF!,1,FALSE)</f>
        <v>#REF!</v>
      </c>
    </row>
    <row r="1148" spans="1:25" ht="35.15" hidden="1" customHeight="1">
      <c r="A1148" t="str">
        <f>+Table1[[#This Row],[Tabela]]&amp;Table1[[#This Row],[Campo]]</f>
        <v>modesg_inp_emss_bens_imoveistipo_fator_emissao</v>
      </c>
      <c r="B1148" s="19" t="s">
        <v>26</v>
      </c>
      <c r="C1148" s="19" t="s">
        <v>181</v>
      </c>
      <c r="D1148" s="12" t="s">
        <v>1218</v>
      </c>
      <c r="E1148" s="2" t="s">
        <v>38</v>
      </c>
      <c r="F1148" s="19" t="s">
        <v>219</v>
      </c>
      <c r="G1148" s="19" t="s">
        <v>303</v>
      </c>
      <c r="H1148" s="58" t="str">
        <f>Table1[[#This Row],[Tabela]]&amp;Table1[[#This Row],[Campo]]</f>
        <v>modesg_inp_emss_bens_imoveistipo_fator_emissao</v>
      </c>
      <c r="I1148" s="2" t="s">
        <v>612</v>
      </c>
      <c r="J1148" s="44">
        <f>VLOOKUP(Table1[[#This Row],[Status]],Auxiliar!$B$16:$C$24,2,0)</f>
        <v>1</v>
      </c>
      <c r="K1148" s="43" t="s">
        <v>1179</v>
      </c>
      <c r="L1148" s="20" t="s">
        <v>1174</v>
      </c>
      <c r="M1148" s="20" t="s">
        <v>1176</v>
      </c>
      <c r="N1148" s="47">
        <v>45546</v>
      </c>
      <c r="O1148" s="20">
        <f>INDEX(Auxiliar!$D$5:$F$13,MATCH(Table1[[#This Row],[Tipologia_Testes]],Auxiliar!$B$5:$B$13,0),MATCH(Table1[[#This Row],[Complexidade]],Auxiliar!$D$4:$F$4,0))</f>
        <v>0.5</v>
      </c>
      <c r="P1148" s="31"/>
      <c r="Q1148" s="31"/>
      <c r="R1148" s="151">
        <v>45261</v>
      </c>
      <c r="S1148" s="151"/>
      <c r="T1148" s="151"/>
      <c r="U1148" s="151">
        <v>45603</v>
      </c>
      <c r="V1148" s="151">
        <v>45534</v>
      </c>
      <c r="W1148" s="2">
        <f>VLOOKUP(Table1[[#This Row],[Status]],Auxiliar!$B$16:$D$24,3,0)*Table1[[#This Row],[Estimação (horas)]]</f>
        <v>0.5</v>
      </c>
      <c r="X1148" s="165">
        <f>+VLOOKUP(CONCATENATE(Table1[[#This Row],[Tabela]],Table1[[#This Row],[Campo]]),'2. Status Detalhe Campos FY24'!A:J,9,FALSE)</f>
        <v>0</v>
      </c>
      <c r="Y1148" s="491" t="e">
        <f>+VLOOKUP(A1148,#REF!,1,FALSE)</f>
        <v>#REF!</v>
      </c>
    </row>
    <row r="1149" spans="1:25" ht="35.15" hidden="1" customHeight="1">
      <c r="A1149" t="str">
        <f>+Table1[[#This Row],[Tabela]]&amp;Table1[[#This Row],[Campo]]</f>
        <v>lt003_entitynace_esg</v>
      </c>
      <c r="B1149" s="38" t="s">
        <v>26</v>
      </c>
      <c r="C1149" s="38" t="s">
        <v>26</v>
      </c>
      <c r="D1149" s="35" t="s">
        <v>337</v>
      </c>
      <c r="E1149" s="110" t="s">
        <v>1252</v>
      </c>
      <c r="F1149" s="39" t="s">
        <v>335</v>
      </c>
      <c r="G1149" s="37" t="s">
        <v>336</v>
      </c>
      <c r="H1149" s="59" t="str">
        <f>Table1[[#This Row],[Tabela]]&amp;Table1[[#This Row],[Campo]]</f>
        <v>lt003_entitynace_esg</v>
      </c>
      <c r="I1149" s="2" t="s">
        <v>612</v>
      </c>
      <c r="J1149" s="44">
        <f>VLOOKUP(Table1[[#This Row],[Status]],Auxiliar!$B$16:$C$24,2,0)</f>
        <v>1</v>
      </c>
      <c r="K1149" s="44" t="s">
        <v>1168</v>
      </c>
      <c r="L1149" s="45" t="s">
        <v>1174</v>
      </c>
      <c r="M1149" s="20" t="s">
        <v>1175</v>
      </c>
      <c r="N1149" s="47">
        <v>45674</v>
      </c>
      <c r="O1149" s="20">
        <f>INDEX(Auxiliar!$D$5:$F$13,MATCH(Table1[[#This Row],[Tipologia_Testes]],Auxiliar!$B$5:$B$13,0),MATCH(Table1[[#This Row],[Complexidade]],Auxiliar!$D$4:$F$4,0))</f>
        <v>2</v>
      </c>
      <c r="P1149" s="46"/>
      <c r="Q1149" s="113"/>
      <c r="R1149" s="151">
        <v>45583</v>
      </c>
      <c r="S1149" s="151"/>
      <c r="T1149" s="151">
        <v>45583</v>
      </c>
      <c r="U1149" s="151"/>
      <c r="V1149" s="151">
        <v>45596</v>
      </c>
      <c r="W1149" s="2">
        <f>VLOOKUP(Table1[[#This Row],[Status]],Auxiliar!$B$16:$D$24,3,0)*Table1[[#This Row],[Estimação (horas)]]</f>
        <v>2</v>
      </c>
      <c r="X1149" s="165">
        <f>+VLOOKUP(CONCATENATE(Table1[[#This Row],[Tabela]],Table1[[#This Row],[Campo]]),'2. Status Detalhe Campos FY24'!A:J,9,FALSE)</f>
        <v>0</v>
      </c>
      <c r="Y1149" s="491" t="e">
        <f>+VLOOKUP(A1149,#REF!,1,FALSE)</f>
        <v>#REF!</v>
      </c>
    </row>
    <row r="1150" spans="1:25" ht="35.15" hidden="1" customHeight="1">
      <c r="A1150" t="str">
        <f>+Table1[[#This Row],[Tabela]]&amp;Table1[[#This Row],[Campo]]</f>
        <v>lt003_entitynace_esg</v>
      </c>
      <c r="B1150" s="38" t="s">
        <v>26</v>
      </c>
      <c r="C1150" s="38" t="s">
        <v>26</v>
      </c>
      <c r="D1150" s="35" t="s">
        <v>337</v>
      </c>
      <c r="E1150" s="110" t="s">
        <v>1252</v>
      </c>
      <c r="F1150" s="39" t="s">
        <v>335</v>
      </c>
      <c r="G1150" s="37" t="s">
        <v>336</v>
      </c>
      <c r="H1150" s="59" t="str">
        <f>Table1[[#This Row],[Tabela]]&amp;Table1[[#This Row],[Campo]]</f>
        <v>lt003_entitynace_esg</v>
      </c>
      <c r="I1150" s="2" t="s">
        <v>612</v>
      </c>
      <c r="J1150" s="44">
        <f>VLOOKUP(Table1[[#This Row],[Status]],Auxiliar!$B$16:$C$24,2,0)</f>
        <v>1</v>
      </c>
      <c r="K1150" s="44" t="s">
        <v>1169</v>
      </c>
      <c r="L1150" s="45" t="s">
        <v>1174</v>
      </c>
      <c r="M1150" s="20" t="s">
        <v>1175</v>
      </c>
      <c r="N1150" s="47">
        <v>45674</v>
      </c>
      <c r="O1150" s="20">
        <f>INDEX(Auxiliar!$D$5:$F$13,MATCH(Table1[[#This Row],[Tipologia_Testes]],Auxiliar!$B$5:$B$13,0),MATCH(Table1[[#This Row],[Complexidade]],Auxiliar!$D$4:$F$4,0))</f>
        <v>2</v>
      </c>
      <c r="P1150" s="46"/>
      <c r="Q1150" s="113"/>
      <c r="R1150" s="151">
        <v>45583</v>
      </c>
      <c r="S1150" s="151"/>
      <c r="T1150" s="151">
        <v>45583</v>
      </c>
      <c r="U1150" s="151"/>
      <c r="V1150" s="151">
        <v>45596</v>
      </c>
      <c r="W1150" s="2">
        <f>VLOOKUP(Table1[[#This Row],[Status]],Auxiliar!$B$16:$D$24,3,0)*Table1[[#This Row],[Estimação (horas)]]</f>
        <v>2</v>
      </c>
      <c r="X1150" s="165">
        <f>+VLOOKUP(CONCATENATE(Table1[[#This Row],[Tabela]],Table1[[#This Row],[Campo]]),'2. Status Detalhe Campos FY24'!A:J,9,FALSE)</f>
        <v>0</v>
      </c>
      <c r="Y1150" s="491" t="e">
        <f>+VLOOKUP(A1150,#REF!,1,FALSE)</f>
        <v>#REF!</v>
      </c>
    </row>
    <row r="1151" spans="1:25" ht="35.15" hidden="1" customHeight="1">
      <c r="A1151" t="str">
        <f>+Table1[[#This Row],[Tabela]]&amp;Table1[[#This Row],[Campo]]</f>
        <v>lt003_entitynace_esg</v>
      </c>
      <c r="B1151" s="38" t="s">
        <v>26</v>
      </c>
      <c r="C1151" s="38" t="s">
        <v>26</v>
      </c>
      <c r="D1151" s="35" t="s">
        <v>337</v>
      </c>
      <c r="E1151" s="110" t="s">
        <v>1252</v>
      </c>
      <c r="F1151" s="39" t="s">
        <v>335</v>
      </c>
      <c r="G1151" s="37" t="s">
        <v>336</v>
      </c>
      <c r="H1151" s="59" t="str">
        <f>Table1[[#This Row],[Tabela]]&amp;Table1[[#This Row],[Campo]]</f>
        <v>lt003_entitynace_esg</v>
      </c>
      <c r="I1151" s="2" t="s">
        <v>612</v>
      </c>
      <c r="J1151" s="44">
        <f>VLOOKUP(Table1[[#This Row],[Status]],Auxiliar!$B$16:$C$24,2,0)</f>
        <v>1</v>
      </c>
      <c r="K1151" s="44" t="s">
        <v>1171</v>
      </c>
      <c r="L1151" s="45" t="s">
        <v>1174</v>
      </c>
      <c r="M1151" s="20" t="s">
        <v>1175</v>
      </c>
      <c r="N1151" s="47">
        <v>45674</v>
      </c>
      <c r="O1151" s="20">
        <f>INDEX(Auxiliar!$D$5:$F$13,MATCH(Table1[[#This Row],[Tipologia_Testes]],Auxiliar!$B$5:$B$13,0),MATCH(Table1[[#This Row],[Complexidade]],Auxiliar!$D$4:$F$4,0))</f>
        <v>0.1</v>
      </c>
      <c r="P1151" s="46"/>
      <c r="Q1151" s="113"/>
      <c r="R1151" s="151">
        <v>45583</v>
      </c>
      <c r="S1151" s="151"/>
      <c r="T1151" s="151">
        <v>45583</v>
      </c>
      <c r="U1151" s="151"/>
      <c r="V1151" s="151">
        <v>45596</v>
      </c>
      <c r="W1151" s="2">
        <f>VLOOKUP(Table1[[#This Row],[Status]],Auxiliar!$B$16:$D$24,3,0)*Table1[[#This Row],[Estimação (horas)]]</f>
        <v>0.1</v>
      </c>
      <c r="X1151" s="165">
        <f>+VLOOKUP(CONCATENATE(Table1[[#This Row],[Tabela]],Table1[[#This Row],[Campo]]),'2. Status Detalhe Campos FY24'!A:J,9,FALSE)</f>
        <v>0</v>
      </c>
      <c r="Y1151" s="491" t="e">
        <f>+VLOOKUP(A1151,#REF!,1,FALSE)</f>
        <v>#REF!</v>
      </c>
    </row>
    <row r="1152" spans="1:25" ht="17.899999999999999" hidden="1" customHeight="1">
      <c r="A1152" t="str">
        <f>+Table1[[#This Row],[Tabela]]&amp;Table1[[#This Row],[Campo]]</f>
        <v>lt003_entitytxnmy_elgbl_capex_ccm</v>
      </c>
      <c r="B1152" s="38" t="s">
        <v>26</v>
      </c>
      <c r="C1152" s="38" t="s">
        <v>26</v>
      </c>
      <c r="D1152" s="35" t="s">
        <v>325</v>
      </c>
      <c r="E1152" s="39" t="s">
        <v>255</v>
      </c>
      <c r="F1152" s="39" t="s">
        <v>335</v>
      </c>
      <c r="G1152" s="37" t="s">
        <v>338</v>
      </c>
      <c r="H1152" s="59" t="str">
        <f>Table1[[#This Row],[Tabela]]&amp;Table1[[#This Row],[Campo]]</f>
        <v>lt003_entitytxnmy_elgbl_capex_ccm</v>
      </c>
      <c r="I1152" s="2" t="s">
        <v>612</v>
      </c>
      <c r="J1152" s="44">
        <f>VLOOKUP(Table1[[#This Row],[Status]],Auxiliar!$B$16:$C$24,2,0)</f>
        <v>1</v>
      </c>
      <c r="K1152" s="44" t="s">
        <v>1168</v>
      </c>
      <c r="L1152" s="45" t="s">
        <v>1174</v>
      </c>
      <c r="M1152" s="20" t="s">
        <v>1175</v>
      </c>
      <c r="N1152" s="47">
        <v>45625</v>
      </c>
      <c r="O1152" s="20">
        <f>INDEX(Auxiliar!$D$5:$F$13,MATCH(Table1[[#This Row],[Tipologia_Testes]],Auxiliar!$B$5:$B$13,0),MATCH(Table1[[#This Row],[Complexidade]],Auxiliar!$D$4:$F$4,0))</f>
        <v>2</v>
      </c>
      <c r="P1152" s="46"/>
      <c r="Q1152" s="113"/>
      <c r="R1152" s="151">
        <v>45583</v>
      </c>
      <c r="S1152" s="151"/>
      <c r="T1152" s="151">
        <v>45583</v>
      </c>
      <c r="U1152" s="151">
        <v>45614</v>
      </c>
      <c r="V1152" s="151">
        <v>45596</v>
      </c>
      <c r="W1152" s="2">
        <f>VLOOKUP(Table1[[#This Row],[Status]],Auxiliar!$B$16:$D$24,3,0)*Table1[[#This Row],[Estimação (horas)]]</f>
        <v>2</v>
      </c>
      <c r="X1152" s="165">
        <f>+VLOOKUP(CONCATENATE(Table1[[#This Row],[Tabela]],Table1[[#This Row],[Campo]]),'2. Status Detalhe Campos FY24'!A:J,9,FALSE)</f>
        <v>0</v>
      </c>
      <c r="Y1152" s="491" t="e">
        <f>+VLOOKUP(A1152,#REF!,1,FALSE)</f>
        <v>#REF!</v>
      </c>
    </row>
    <row r="1153" spans="1:25" ht="17.899999999999999" hidden="1" customHeight="1">
      <c r="A1153" t="str">
        <f>+Table1[[#This Row],[Tabela]]&amp;Table1[[#This Row],[Campo]]</f>
        <v>lt003_entitytxnmy_elgbl_capex_ccm</v>
      </c>
      <c r="B1153" s="38" t="s">
        <v>26</v>
      </c>
      <c r="C1153" s="38" t="s">
        <v>26</v>
      </c>
      <c r="D1153" s="38" t="s">
        <v>325</v>
      </c>
      <c r="E1153" s="38" t="s">
        <v>255</v>
      </c>
      <c r="F1153" s="38" t="s">
        <v>335</v>
      </c>
      <c r="G1153" s="38" t="s">
        <v>338</v>
      </c>
      <c r="H1153" s="58" t="str">
        <f>Table1[[#This Row],[Tabela]]&amp;Table1[[#This Row],[Campo]]</f>
        <v>lt003_entitytxnmy_elgbl_capex_ccm</v>
      </c>
      <c r="I1153" s="2" t="s">
        <v>612</v>
      </c>
      <c r="J1153" s="44">
        <f>VLOOKUP(Table1[[#This Row],[Status]],Auxiliar!$B$16:$C$24,2,0)</f>
        <v>1</v>
      </c>
      <c r="K1153" s="44" t="s">
        <v>1169</v>
      </c>
      <c r="L1153" s="45" t="s">
        <v>1174</v>
      </c>
      <c r="M1153" s="20" t="s">
        <v>1175</v>
      </c>
      <c r="N1153" s="47">
        <v>45625</v>
      </c>
      <c r="O1153" s="20">
        <f>INDEX(Auxiliar!$D$5:$F$13,MATCH(Table1[[#This Row],[Tipologia_Testes]],Auxiliar!$B$5:$B$13,0),MATCH(Table1[[#This Row],[Complexidade]],Auxiliar!$D$4:$F$4,0))</f>
        <v>2</v>
      </c>
      <c r="P1153" s="46"/>
      <c r="Q1153" s="113"/>
      <c r="R1153" s="151">
        <v>45589</v>
      </c>
      <c r="S1153" s="151"/>
      <c r="T1153" s="151">
        <v>45583</v>
      </c>
      <c r="U1153" s="151">
        <v>45614</v>
      </c>
      <c r="V1153" s="151">
        <v>45596</v>
      </c>
      <c r="W1153" s="2">
        <f>VLOOKUP(Table1[[#This Row],[Status]],Auxiliar!$B$16:$D$24,3,0)*Table1[[#This Row],[Estimação (horas)]]</f>
        <v>2</v>
      </c>
      <c r="X1153" s="165">
        <f>+VLOOKUP(CONCATENATE(Table1[[#This Row],[Tabela]],Table1[[#This Row],[Campo]]),'2. Status Detalhe Campos FY24'!A:J,9,FALSE)</f>
        <v>0</v>
      </c>
      <c r="Y1153" s="491" t="e">
        <f>+VLOOKUP(A1153,#REF!,1,FALSE)</f>
        <v>#REF!</v>
      </c>
    </row>
    <row r="1154" spans="1:25" ht="35.15" hidden="1" customHeight="1">
      <c r="A1154" t="str">
        <f>+Table1[[#This Row],[Tabela]]&amp;Table1[[#This Row],[Campo]]</f>
        <v>lt003_entitytxnmy_elgbl_capex_ccm</v>
      </c>
      <c r="B1154" s="38" t="s">
        <v>26</v>
      </c>
      <c r="C1154" s="38" t="s">
        <v>26</v>
      </c>
      <c r="D1154" s="38" t="s">
        <v>325</v>
      </c>
      <c r="E1154" s="38" t="s">
        <v>255</v>
      </c>
      <c r="F1154" s="38" t="s">
        <v>335</v>
      </c>
      <c r="G1154" s="38" t="s">
        <v>338</v>
      </c>
      <c r="H1154" s="58" t="str">
        <f>Table1[[#This Row],[Tabela]]&amp;Table1[[#This Row],[Campo]]</f>
        <v>lt003_entitytxnmy_elgbl_capex_ccm</v>
      </c>
      <c r="I1154" s="2" t="s">
        <v>612</v>
      </c>
      <c r="J1154" s="44">
        <f>VLOOKUP(Table1[[#This Row],[Status]],Auxiliar!$B$16:$C$24,2,0)</f>
        <v>1</v>
      </c>
      <c r="K1154" s="44" t="s">
        <v>1171</v>
      </c>
      <c r="L1154" s="45" t="s">
        <v>1174</v>
      </c>
      <c r="M1154" s="20" t="s">
        <v>1175</v>
      </c>
      <c r="N1154" s="47">
        <v>45625</v>
      </c>
      <c r="O1154" s="20">
        <f>INDEX(Auxiliar!$D$5:$F$13,MATCH(Table1[[#This Row],[Tipologia_Testes]],Auxiliar!$B$5:$B$13,0),MATCH(Table1[[#This Row],[Complexidade]],Auxiliar!$D$4:$F$4,0))</f>
        <v>0.1</v>
      </c>
      <c r="P1154" s="46"/>
      <c r="Q1154" s="113"/>
      <c r="R1154" s="151">
        <v>45589</v>
      </c>
      <c r="S1154" s="151"/>
      <c r="T1154" s="151">
        <v>45583</v>
      </c>
      <c r="U1154" s="151">
        <v>45614</v>
      </c>
      <c r="V1154" s="151">
        <v>45596</v>
      </c>
      <c r="W1154" s="2">
        <f>VLOOKUP(Table1[[#This Row],[Status]],Auxiliar!$B$16:$D$24,3,0)*Table1[[#This Row],[Estimação (horas)]]</f>
        <v>0.1</v>
      </c>
      <c r="X1154" s="165">
        <f>+VLOOKUP(CONCATENATE(Table1[[#This Row],[Tabela]],Table1[[#This Row],[Campo]]),'2. Status Detalhe Campos FY24'!A:J,9,FALSE)</f>
        <v>0</v>
      </c>
      <c r="Y1154" s="491" t="e">
        <f>+VLOOKUP(A1154,#REF!,1,FALSE)</f>
        <v>#REF!</v>
      </c>
    </row>
    <row r="1155" spans="1:25" ht="17.899999999999999" hidden="1" customHeight="1">
      <c r="A1155" t="str">
        <f>+Table1[[#This Row],[Tabela]]&amp;Table1[[#This Row],[Campo]]</f>
        <v>lt003_entitytxnmy_elgbl_trnvr_ccm</v>
      </c>
      <c r="B1155" s="38" t="s">
        <v>26</v>
      </c>
      <c r="C1155" s="38" t="s">
        <v>26</v>
      </c>
      <c r="D1155" s="37" t="s">
        <v>325</v>
      </c>
      <c r="E1155" s="39" t="s">
        <v>251</v>
      </c>
      <c r="F1155" s="39" t="s">
        <v>335</v>
      </c>
      <c r="G1155" s="37" t="s">
        <v>339</v>
      </c>
      <c r="H1155" s="59" t="str">
        <f>Table1[[#This Row],[Tabela]]&amp;Table1[[#This Row],[Campo]]</f>
        <v>lt003_entitytxnmy_elgbl_trnvr_ccm</v>
      </c>
      <c r="I1155" s="2" t="s">
        <v>612</v>
      </c>
      <c r="J1155" s="44">
        <f>VLOOKUP(Table1[[#This Row],[Status]],Auxiliar!$B$16:$C$24,2,0)</f>
        <v>1</v>
      </c>
      <c r="K1155" s="44" t="s">
        <v>1168</v>
      </c>
      <c r="L1155" s="45" t="s">
        <v>1174</v>
      </c>
      <c r="M1155" s="20" t="s">
        <v>1175</v>
      </c>
      <c r="N1155" s="47">
        <v>45625</v>
      </c>
      <c r="O1155" s="20">
        <f>INDEX(Auxiliar!$D$5:$F$13,MATCH(Table1[[#This Row],[Tipologia_Testes]],Auxiliar!$B$5:$B$13,0),MATCH(Table1[[#This Row],[Complexidade]],Auxiliar!$D$4:$F$4,0))</f>
        <v>2</v>
      </c>
      <c r="P1155" s="46"/>
      <c r="Q1155" s="113"/>
      <c r="R1155" s="151">
        <v>45589</v>
      </c>
      <c r="S1155" s="151"/>
      <c r="T1155" s="151"/>
      <c r="U1155" s="151">
        <v>45614</v>
      </c>
      <c r="V1155" s="151">
        <v>45596</v>
      </c>
      <c r="W1155" s="2">
        <f>VLOOKUP(Table1[[#This Row],[Status]],Auxiliar!$B$16:$D$24,3,0)*Table1[[#This Row],[Estimação (horas)]]</f>
        <v>2</v>
      </c>
      <c r="X1155" s="165">
        <f>+VLOOKUP(CONCATENATE(Table1[[#This Row],[Tabela]],Table1[[#This Row],[Campo]]),'2. Status Detalhe Campos FY24'!A:J,9,FALSE)</f>
        <v>0</v>
      </c>
      <c r="Y1155" s="491" t="e">
        <f>+VLOOKUP(A1155,#REF!,1,FALSE)</f>
        <v>#REF!</v>
      </c>
    </row>
    <row r="1156" spans="1:25" ht="17.899999999999999" hidden="1" customHeight="1">
      <c r="A1156" t="str">
        <f>+Table1[[#This Row],[Tabela]]&amp;Table1[[#This Row],[Campo]]</f>
        <v>lt003_entitytxnmy_elgbl_trnvr_ccm</v>
      </c>
      <c r="B1156" s="38" t="s">
        <v>26</v>
      </c>
      <c r="C1156" s="38" t="s">
        <v>26</v>
      </c>
      <c r="D1156" s="38" t="s">
        <v>325</v>
      </c>
      <c r="E1156" s="38" t="s">
        <v>251</v>
      </c>
      <c r="F1156" s="38" t="s">
        <v>335</v>
      </c>
      <c r="G1156" s="38" t="s">
        <v>339</v>
      </c>
      <c r="H1156" s="58" t="str">
        <f>Table1[[#This Row],[Tabela]]&amp;Table1[[#This Row],[Campo]]</f>
        <v>lt003_entitytxnmy_elgbl_trnvr_ccm</v>
      </c>
      <c r="I1156" s="2" t="s">
        <v>612</v>
      </c>
      <c r="J1156" s="44">
        <f>VLOOKUP(Table1[[#This Row],[Status]],Auxiliar!$B$16:$C$24,2,0)</f>
        <v>1</v>
      </c>
      <c r="K1156" s="44" t="s">
        <v>1169</v>
      </c>
      <c r="L1156" s="45" t="s">
        <v>1174</v>
      </c>
      <c r="M1156" s="20" t="s">
        <v>1175</v>
      </c>
      <c r="N1156" s="47">
        <v>45625</v>
      </c>
      <c r="O1156" s="20">
        <f>INDEX(Auxiliar!$D$5:$F$13,MATCH(Table1[[#This Row],[Tipologia_Testes]],Auxiliar!$B$5:$B$13,0),MATCH(Table1[[#This Row],[Complexidade]],Auxiliar!$D$4:$F$4,0))</f>
        <v>2</v>
      </c>
      <c r="P1156" s="46"/>
      <c r="Q1156" s="113"/>
      <c r="R1156" s="151">
        <v>45589</v>
      </c>
      <c r="S1156" s="151"/>
      <c r="T1156" s="151"/>
      <c r="U1156" s="151">
        <v>45614</v>
      </c>
      <c r="V1156" s="151">
        <v>45596</v>
      </c>
      <c r="W1156" s="2">
        <f>VLOOKUP(Table1[[#This Row],[Status]],Auxiliar!$B$16:$D$24,3,0)*Table1[[#This Row],[Estimação (horas)]]</f>
        <v>2</v>
      </c>
      <c r="X1156" s="165">
        <f>+VLOOKUP(CONCATENATE(Table1[[#This Row],[Tabela]],Table1[[#This Row],[Campo]]),'2. Status Detalhe Campos FY24'!A:J,9,FALSE)</f>
        <v>0</v>
      </c>
      <c r="Y1156" s="491" t="e">
        <f>+VLOOKUP(A1156,#REF!,1,FALSE)</f>
        <v>#REF!</v>
      </c>
    </row>
    <row r="1157" spans="1:25" ht="35.15" hidden="1" customHeight="1">
      <c r="A1157" t="str">
        <f>+Table1[[#This Row],[Tabela]]&amp;Table1[[#This Row],[Campo]]</f>
        <v>lt003_entitytxnmy_elgbl_trnvr_ccm</v>
      </c>
      <c r="B1157" s="38" t="s">
        <v>26</v>
      </c>
      <c r="C1157" s="38" t="s">
        <v>26</v>
      </c>
      <c r="D1157" s="38" t="s">
        <v>325</v>
      </c>
      <c r="E1157" s="38" t="s">
        <v>251</v>
      </c>
      <c r="F1157" s="38" t="s">
        <v>335</v>
      </c>
      <c r="G1157" s="38" t="s">
        <v>339</v>
      </c>
      <c r="H1157" s="58" t="str">
        <f>Table1[[#This Row],[Tabela]]&amp;Table1[[#This Row],[Campo]]</f>
        <v>lt003_entitytxnmy_elgbl_trnvr_ccm</v>
      </c>
      <c r="I1157" s="2" t="s">
        <v>612</v>
      </c>
      <c r="J1157" s="44">
        <f>VLOOKUP(Table1[[#This Row],[Status]],Auxiliar!$B$16:$C$24,2,0)</f>
        <v>1</v>
      </c>
      <c r="K1157" s="44" t="s">
        <v>1171</v>
      </c>
      <c r="L1157" s="45" t="s">
        <v>1174</v>
      </c>
      <c r="M1157" s="20" t="s">
        <v>1175</v>
      </c>
      <c r="N1157" s="47">
        <v>45625</v>
      </c>
      <c r="O1157" s="20">
        <f>INDEX(Auxiliar!$D$5:$F$13,MATCH(Table1[[#This Row],[Tipologia_Testes]],Auxiliar!$B$5:$B$13,0),MATCH(Table1[[#This Row],[Complexidade]],Auxiliar!$D$4:$F$4,0))</f>
        <v>0.1</v>
      </c>
      <c r="P1157" s="46"/>
      <c r="Q1157" s="113"/>
      <c r="R1157" s="151">
        <v>45589</v>
      </c>
      <c r="S1157" s="151"/>
      <c r="T1157" s="151"/>
      <c r="U1157" s="151">
        <v>45614</v>
      </c>
      <c r="V1157" s="151">
        <v>45596</v>
      </c>
      <c r="W1157" s="2">
        <f>VLOOKUP(Table1[[#This Row],[Status]],Auxiliar!$B$16:$D$24,3,0)*Table1[[#This Row],[Estimação (horas)]]</f>
        <v>0.1</v>
      </c>
      <c r="X1157" s="165">
        <f>+VLOOKUP(CONCATENATE(Table1[[#This Row],[Tabela]],Table1[[#This Row],[Campo]]),'2. Status Detalhe Campos FY24'!A:J,9,FALSE)</f>
        <v>0</v>
      </c>
      <c r="Y1157" s="491" t="e">
        <f>+VLOOKUP(A1157,#REF!,1,FALSE)</f>
        <v>#REF!</v>
      </c>
    </row>
    <row r="1158" spans="1:25" ht="17.899999999999999" hidden="1" customHeight="1">
      <c r="A1158" t="str">
        <f>+Table1[[#This Row],[Tabela]]&amp;Table1[[#This Row],[Campo]]</f>
        <v>lt003_entitytxnmy_elgbl_capex_cca</v>
      </c>
      <c r="B1158" s="38" t="s">
        <v>26</v>
      </c>
      <c r="C1158" s="38" t="s">
        <v>26</v>
      </c>
      <c r="D1158" s="35" t="s">
        <v>325</v>
      </c>
      <c r="E1158" s="39" t="s">
        <v>248</v>
      </c>
      <c r="F1158" s="39" t="s">
        <v>335</v>
      </c>
      <c r="G1158" s="37" t="s">
        <v>340</v>
      </c>
      <c r="H1158" s="59" t="str">
        <f>Table1[[#This Row],[Tabela]]&amp;Table1[[#This Row],[Campo]]</f>
        <v>lt003_entitytxnmy_elgbl_capex_cca</v>
      </c>
      <c r="I1158" s="2" t="s">
        <v>612</v>
      </c>
      <c r="J1158" s="44">
        <f>VLOOKUP(Table1[[#This Row],[Status]],Auxiliar!$B$16:$C$24,2,0)</f>
        <v>1</v>
      </c>
      <c r="K1158" s="44" t="s">
        <v>1168</v>
      </c>
      <c r="L1158" s="45" t="s">
        <v>1174</v>
      </c>
      <c r="M1158" s="20" t="s">
        <v>1175</v>
      </c>
      <c r="N1158" s="47">
        <v>45625</v>
      </c>
      <c r="O1158" s="20">
        <f>INDEX(Auxiliar!$D$5:$F$13,MATCH(Table1[[#This Row],[Tipologia_Testes]],Auxiliar!$B$5:$B$13,0),MATCH(Table1[[#This Row],[Complexidade]],Auxiliar!$D$4:$F$4,0))</f>
        <v>2</v>
      </c>
      <c r="P1158" s="46"/>
      <c r="Q1158" s="113"/>
      <c r="R1158" s="151">
        <v>45589</v>
      </c>
      <c r="S1158" s="151"/>
      <c r="T1158" s="151"/>
      <c r="U1158" s="151">
        <v>45614</v>
      </c>
      <c r="V1158" s="151">
        <v>45596</v>
      </c>
      <c r="W1158" s="2">
        <f>VLOOKUP(Table1[[#This Row],[Status]],Auxiliar!$B$16:$D$24,3,0)*Table1[[#This Row],[Estimação (horas)]]</f>
        <v>2</v>
      </c>
      <c r="X1158" s="165">
        <f>+VLOOKUP(CONCATENATE(Table1[[#This Row],[Tabela]],Table1[[#This Row],[Campo]]),'2. Status Detalhe Campos FY24'!A:J,9,FALSE)</f>
        <v>0</v>
      </c>
      <c r="Y1158" s="491" t="e">
        <f>+VLOOKUP(A1158,#REF!,1,FALSE)</f>
        <v>#REF!</v>
      </c>
    </row>
    <row r="1159" spans="1:25" ht="17.899999999999999" hidden="1" customHeight="1">
      <c r="A1159" t="str">
        <f>+Table1[[#This Row],[Tabela]]&amp;Table1[[#This Row],[Campo]]</f>
        <v>lt003_entitytxnmy_elgbl_capex_cca</v>
      </c>
      <c r="B1159" s="38" t="s">
        <v>26</v>
      </c>
      <c r="C1159" s="38" t="s">
        <v>26</v>
      </c>
      <c r="D1159" s="38" t="s">
        <v>325</v>
      </c>
      <c r="E1159" s="38" t="s">
        <v>248</v>
      </c>
      <c r="F1159" s="38" t="s">
        <v>335</v>
      </c>
      <c r="G1159" s="38" t="s">
        <v>340</v>
      </c>
      <c r="H1159" s="58" t="str">
        <f>Table1[[#This Row],[Tabela]]&amp;Table1[[#This Row],[Campo]]</f>
        <v>lt003_entitytxnmy_elgbl_capex_cca</v>
      </c>
      <c r="I1159" s="2" t="s">
        <v>612</v>
      </c>
      <c r="J1159" s="44">
        <f>VLOOKUP(Table1[[#This Row],[Status]],Auxiliar!$B$16:$C$24,2,0)</f>
        <v>1</v>
      </c>
      <c r="K1159" s="44" t="s">
        <v>1169</v>
      </c>
      <c r="L1159" s="45" t="s">
        <v>1174</v>
      </c>
      <c r="M1159" s="20" t="s">
        <v>1175</v>
      </c>
      <c r="N1159" s="47">
        <v>45625</v>
      </c>
      <c r="O1159" s="20">
        <f>INDEX(Auxiliar!$D$5:$F$13,MATCH(Table1[[#This Row],[Tipologia_Testes]],Auxiliar!$B$5:$B$13,0),MATCH(Table1[[#This Row],[Complexidade]],Auxiliar!$D$4:$F$4,0))</f>
        <v>2</v>
      </c>
      <c r="P1159" s="46"/>
      <c r="Q1159" s="113"/>
      <c r="R1159" s="151">
        <v>45589</v>
      </c>
      <c r="S1159" s="151"/>
      <c r="T1159" s="151"/>
      <c r="U1159" s="151">
        <v>45614</v>
      </c>
      <c r="V1159" s="151">
        <v>45596</v>
      </c>
      <c r="W1159" s="2">
        <f>VLOOKUP(Table1[[#This Row],[Status]],Auxiliar!$B$16:$D$24,3,0)*Table1[[#This Row],[Estimação (horas)]]</f>
        <v>2</v>
      </c>
      <c r="X1159" s="165">
        <f>+VLOOKUP(CONCATENATE(Table1[[#This Row],[Tabela]],Table1[[#This Row],[Campo]]),'2. Status Detalhe Campos FY24'!A:J,9,FALSE)</f>
        <v>0</v>
      </c>
      <c r="Y1159" s="491" t="e">
        <f>+VLOOKUP(A1159,#REF!,1,FALSE)</f>
        <v>#REF!</v>
      </c>
    </row>
    <row r="1160" spans="1:25" ht="35.15" hidden="1" customHeight="1">
      <c r="A1160" t="str">
        <f>+Table1[[#This Row],[Tabela]]&amp;Table1[[#This Row],[Campo]]</f>
        <v>lt003_entitytxnmy_elgbl_capex_cca</v>
      </c>
      <c r="B1160" s="38" t="s">
        <v>26</v>
      </c>
      <c r="C1160" s="38" t="s">
        <v>26</v>
      </c>
      <c r="D1160" s="38" t="s">
        <v>325</v>
      </c>
      <c r="E1160" s="38" t="s">
        <v>248</v>
      </c>
      <c r="F1160" s="38" t="s">
        <v>335</v>
      </c>
      <c r="G1160" s="38" t="s">
        <v>340</v>
      </c>
      <c r="H1160" s="58" t="str">
        <f>Table1[[#This Row],[Tabela]]&amp;Table1[[#This Row],[Campo]]</f>
        <v>lt003_entitytxnmy_elgbl_capex_cca</v>
      </c>
      <c r="I1160" s="2" t="s">
        <v>612</v>
      </c>
      <c r="J1160" s="44">
        <f>VLOOKUP(Table1[[#This Row],[Status]],Auxiliar!$B$16:$C$24,2,0)</f>
        <v>1</v>
      </c>
      <c r="K1160" s="44" t="s">
        <v>1171</v>
      </c>
      <c r="L1160" s="45" t="s">
        <v>1174</v>
      </c>
      <c r="M1160" s="20" t="s">
        <v>1175</v>
      </c>
      <c r="N1160" s="47">
        <v>45625</v>
      </c>
      <c r="O1160" s="20">
        <f>INDEX(Auxiliar!$D$5:$F$13,MATCH(Table1[[#This Row],[Tipologia_Testes]],Auxiliar!$B$5:$B$13,0),MATCH(Table1[[#This Row],[Complexidade]],Auxiliar!$D$4:$F$4,0))</f>
        <v>0.1</v>
      </c>
      <c r="P1160" s="46"/>
      <c r="Q1160" s="113"/>
      <c r="R1160" s="151">
        <v>45589</v>
      </c>
      <c r="S1160" s="151"/>
      <c r="T1160" s="151"/>
      <c r="U1160" s="151">
        <v>45614</v>
      </c>
      <c r="V1160" s="151">
        <v>45596</v>
      </c>
      <c r="W1160" s="2">
        <f>VLOOKUP(Table1[[#This Row],[Status]],Auxiliar!$B$16:$D$24,3,0)*Table1[[#This Row],[Estimação (horas)]]</f>
        <v>0.1</v>
      </c>
      <c r="X1160" s="165">
        <f>+VLOOKUP(CONCATENATE(Table1[[#This Row],[Tabela]],Table1[[#This Row],[Campo]]),'2. Status Detalhe Campos FY24'!A:J,9,FALSE)</f>
        <v>0</v>
      </c>
      <c r="Y1160" s="491" t="e">
        <f>+VLOOKUP(A1160,#REF!,1,FALSE)</f>
        <v>#REF!</v>
      </c>
    </row>
    <row r="1161" spans="1:25" ht="17.899999999999999" hidden="1" customHeight="1">
      <c r="A1161" t="str">
        <f>+Table1[[#This Row],[Tabela]]&amp;Table1[[#This Row],[Campo]]</f>
        <v>lt003_entitytxnmy_elgbl_trnvr_cca</v>
      </c>
      <c r="B1161" s="38" t="s">
        <v>26</v>
      </c>
      <c r="C1161" s="38" t="s">
        <v>26</v>
      </c>
      <c r="D1161" s="37" t="s">
        <v>325</v>
      </c>
      <c r="E1161" s="39" t="s">
        <v>245</v>
      </c>
      <c r="F1161" s="39" t="s">
        <v>335</v>
      </c>
      <c r="G1161" s="37" t="s">
        <v>341</v>
      </c>
      <c r="H1161" s="59" t="str">
        <f>Table1[[#This Row],[Tabela]]&amp;Table1[[#This Row],[Campo]]</f>
        <v>lt003_entitytxnmy_elgbl_trnvr_cca</v>
      </c>
      <c r="I1161" s="2" t="s">
        <v>612</v>
      </c>
      <c r="J1161" s="44">
        <f>VLOOKUP(Table1[[#This Row],[Status]],Auxiliar!$B$16:$C$24,2,0)</f>
        <v>1</v>
      </c>
      <c r="K1161" s="44" t="s">
        <v>1168</v>
      </c>
      <c r="L1161" s="45" t="s">
        <v>1174</v>
      </c>
      <c r="M1161" s="20" t="s">
        <v>1175</v>
      </c>
      <c r="N1161" s="47">
        <v>45625</v>
      </c>
      <c r="O1161" s="20">
        <f>INDEX(Auxiliar!$D$5:$F$13,MATCH(Table1[[#This Row],[Tipologia_Testes]],Auxiliar!$B$5:$B$13,0),MATCH(Table1[[#This Row],[Complexidade]],Auxiliar!$D$4:$F$4,0))</f>
        <v>2</v>
      </c>
      <c r="P1161" s="46"/>
      <c r="Q1161" s="113"/>
      <c r="R1161" s="151">
        <v>45589</v>
      </c>
      <c r="S1161" s="151"/>
      <c r="T1161" s="151"/>
      <c r="U1161" s="151">
        <v>45614</v>
      </c>
      <c r="V1161" s="151">
        <v>45596</v>
      </c>
      <c r="W1161" s="2">
        <f>VLOOKUP(Table1[[#This Row],[Status]],Auxiliar!$B$16:$D$24,3,0)*Table1[[#This Row],[Estimação (horas)]]</f>
        <v>2</v>
      </c>
      <c r="X1161" s="165">
        <f>+VLOOKUP(CONCATENATE(Table1[[#This Row],[Tabela]],Table1[[#This Row],[Campo]]),'2. Status Detalhe Campos FY24'!A:J,9,FALSE)</f>
        <v>0</v>
      </c>
      <c r="Y1161" s="491" t="e">
        <f>+VLOOKUP(A1161,#REF!,1,FALSE)</f>
        <v>#REF!</v>
      </c>
    </row>
    <row r="1162" spans="1:25" ht="17.899999999999999" hidden="1" customHeight="1">
      <c r="A1162" t="str">
        <f>+Table1[[#This Row],[Tabela]]&amp;Table1[[#This Row],[Campo]]</f>
        <v>lt003_entitytxnmy_elgbl_trnvr_cca</v>
      </c>
      <c r="B1162" s="38" t="s">
        <v>26</v>
      </c>
      <c r="C1162" s="38" t="s">
        <v>26</v>
      </c>
      <c r="D1162" s="38" t="s">
        <v>325</v>
      </c>
      <c r="E1162" s="38" t="s">
        <v>245</v>
      </c>
      <c r="F1162" s="38" t="s">
        <v>335</v>
      </c>
      <c r="G1162" s="38" t="s">
        <v>341</v>
      </c>
      <c r="H1162" s="58" t="str">
        <f>Table1[[#This Row],[Tabela]]&amp;Table1[[#This Row],[Campo]]</f>
        <v>lt003_entitytxnmy_elgbl_trnvr_cca</v>
      </c>
      <c r="I1162" s="2" t="s">
        <v>612</v>
      </c>
      <c r="J1162" s="44">
        <f>VLOOKUP(Table1[[#This Row],[Status]],Auxiliar!$B$16:$C$24,2,0)</f>
        <v>1</v>
      </c>
      <c r="K1162" s="44" t="s">
        <v>1169</v>
      </c>
      <c r="L1162" s="45" t="s">
        <v>1174</v>
      </c>
      <c r="M1162" s="20" t="s">
        <v>1175</v>
      </c>
      <c r="N1162" s="47">
        <v>45625</v>
      </c>
      <c r="O1162" s="20">
        <f>INDEX(Auxiliar!$D$5:$F$13,MATCH(Table1[[#This Row],[Tipologia_Testes]],Auxiliar!$B$5:$B$13,0),MATCH(Table1[[#This Row],[Complexidade]],Auxiliar!$D$4:$F$4,0))</f>
        <v>2</v>
      </c>
      <c r="P1162" s="46"/>
      <c r="Q1162" s="113"/>
      <c r="R1162" s="151">
        <v>45589</v>
      </c>
      <c r="S1162" s="151"/>
      <c r="T1162" s="151"/>
      <c r="U1162" s="151">
        <v>45614</v>
      </c>
      <c r="V1162" s="151">
        <v>45596</v>
      </c>
      <c r="W1162" s="2">
        <f>VLOOKUP(Table1[[#This Row],[Status]],Auxiliar!$B$16:$D$24,3,0)*Table1[[#This Row],[Estimação (horas)]]</f>
        <v>2</v>
      </c>
      <c r="X1162" s="165">
        <f>+VLOOKUP(CONCATENATE(Table1[[#This Row],[Tabela]],Table1[[#This Row],[Campo]]),'2. Status Detalhe Campos FY24'!A:J,9,FALSE)</f>
        <v>0</v>
      </c>
      <c r="Y1162" s="491" t="e">
        <f>+VLOOKUP(A1162,#REF!,1,FALSE)</f>
        <v>#REF!</v>
      </c>
    </row>
    <row r="1163" spans="1:25" ht="35.15" hidden="1" customHeight="1">
      <c r="A1163" t="str">
        <f>+Table1[[#This Row],[Tabela]]&amp;Table1[[#This Row],[Campo]]</f>
        <v>lt003_entitytxnmy_elgbl_trnvr_cca</v>
      </c>
      <c r="B1163" s="38" t="s">
        <v>26</v>
      </c>
      <c r="C1163" s="38" t="s">
        <v>26</v>
      </c>
      <c r="D1163" s="38" t="s">
        <v>325</v>
      </c>
      <c r="E1163" s="38" t="s">
        <v>245</v>
      </c>
      <c r="F1163" s="38" t="s">
        <v>335</v>
      </c>
      <c r="G1163" s="38" t="s">
        <v>341</v>
      </c>
      <c r="H1163" s="58" t="str">
        <f>Table1[[#This Row],[Tabela]]&amp;Table1[[#This Row],[Campo]]</f>
        <v>lt003_entitytxnmy_elgbl_trnvr_cca</v>
      </c>
      <c r="I1163" s="2" t="s">
        <v>612</v>
      </c>
      <c r="J1163" s="44">
        <f>VLOOKUP(Table1[[#This Row],[Status]],Auxiliar!$B$16:$C$24,2,0)</f>
        <v>1</v>
      </c>
      <c r="K1163" s="44" t="s">
        <v>1171</v>
      </c>
      <c r="L1163" s="45" t="s">
        <v>1174</v>
      </c>
      <c r="M1163" s="20" t="s">
        <v>1175</v>
      </c>
      <c r="N1163" s="47">
        <v>45625</v>
      </c>
      <c r="O1163" s="20">
        <f>INDEX(Auxiliar!$D$5:$F$13,MATCH(Table1[[#This Row],[Tipologia_Testes]],Auxiliar!$B$5:$B$13,0),MATCH(Table1[[#This Row],[Complexidade]],Auxiliar!$D$4:$F$4,0))</f>
        <v>0.1</v>
      </c>
      <c r="P1163" s="46"/>
      <c r="Q1163" s="113"/>
      <c r="R1163" s="151">
        <v>45589</v>
      </c>
      <c r="S1163" s="151"/>
      <c r="T1163" s="151"/>
      <c r="U1163" s="151">
        <v>45614</v>
      </c>
      <c r="V1163" s="151">
        <v>45596</v>
      </c>
      <c r="W1163" s="2">
        <f>VLOOKUP(Table1[[#This Row],[Status]],Auxiliar!$B$16:$D$24,3,0)*Table1[[#This Row],[Estimação (horas)]]</f>
        <v>0.1</v>
      </c>
      <c r="X1163" s="165">
        <f>+VLOOKUP(CONCATENATE(Table1[[#This Row],[Tabela]],Table1[[#This Row],[Campo]]),'2. Status Detalhe Campos FY24'!A:J,9,FALSE)</f>
        <v>0</v>
      </c>
      <c r="Y1163" s="491" t="e">
        <f>+VLOOKUP(A1163,#REF!,1,FALSE)</f>
        <v>#REF!</v>
      </c>
    </row>
    <row r="1164" spans="1:25" ht="17.899999999999999" hidden="1" customHeight="1">
      <c r="A1164" t="str">
        <f>+Table1[[#This Row],[Tabela]]&amp;Table1[[#This Row],[Campo]]</f>
        <v>lt003_entityenblng_capex_ccm</v>
      </c>
      <c r="B1164" s="38" t="s">
        <v>26</v>
      </c>
      <c r="C1164" s="38" t="s">
        <v>26</v>
      </c>
      <c r="D1164" s="35" t="s">
        <v>325</v>
      </c>
      <c r="E1164" s="39" t="s">
        <v>256</v>
      </c>
      <c r="F1164" s="39" t="s">
        <v>335</v>
      </c>
      <c r="G1164" s="37" t="s">
        <v>342</v>
      </c>
      <c r="H1164" s="59" t="str">
        <f>Table1[[#This Row],[Tabela]]&amp;Table1[[#This Row],[Campo]]</f>
        <v>lt003_entityenblng_capex_ccm</v>
      </c>
      <c r="I1164" s="2" t="s">
        <v>612</v>
      </c>
      <c r="J1164" s="44">
        <f>VLOOKUP(Table1[[#This Row],[Status]],Auxiliar!$B$16:$C$24,2,0)</f>
        <v>1</v>
      </c>
      <c r="K1164" s="44" t="s">
        <v>1168</v>
      </c>
      <c r="L1164" s="45" t="s">
        <v>1174</v>
      </c>
      <c r="M1164" s="20" t="s">
        <v>1175</v>
      </c>
      <c r="N1164" s="47">
        <v>45625</v>
      </c>
      <c r="O1164" s="20">
        <f>INDEX(Auxiliar!$D$5:$F$13,MATCH(Table1[[#This Row],[Tipologia_Testes]],Auxiliar!$B$5:$B$13,0),MATCH(Table1[[#This Row],[Complexidade]],Auxiliar!$D$4:$F$4,0))</f>
        <v>2</v>
      </c>
      <c r="P1164" s="46"/>
      <c r="Q1164" s="113"/>
      <c r="R1164" s="151">
        <v>45589</v>
      </c>
      <c r="S1164" s="151"/>
      <c r="T1164" s="151"/>
      <c r="U1164" s="151">
        <v>45614</v>
      </c>
      <c r="V1164" s="151">
        <v>45596</v>
      </c>
      <c r="W1164" s="2">
        <f>VLOOKUP(Table1[[#This Row],[Status]],Auxiliar!$B$16:$D$24,3,0)*Table1[[#This Row],[Estimação (horas)]]</f>
        <v>2</v>
      </c>
      <c r="X1164" s="165">
        <f>+VLOOKUP(CONCATENATE(Table1[[#This Row],[Tabela]],Table1[[#This Row],[Campo]]),'2. Status Detalhe Campos FY24'!A:J,9,FALSE)</f>
        <v>0</v>
      </c>
      <c r="Y1164" s="491" t="e">
        <f>+VLOOKUP(A1164,#REF!,1,FALSE)</f>
        <v>#REF!</v>
      </c>
    </row>
    <row r="1165" spans="1:25" ht="17.899999999999999" hidden="1" customHeight="1">
      <c r="A1165" t="str">
        <f>+Table1[[#This Row],[Tabela]]&amp;Table1[[#This Row],[Campo]]</f>
        <v>lt003_entityenblng_capex_ccm</v>
      </c>
      <c r="B1165" s="38" t="s">
        <v>26</v>
      </c>
      <c r="C1165" s="38" t="s">
        <v>26</v>
      </c>
      <c r="D1165" s="38" t="s">
        <v>325</v>
      </c>
      <c r="E1165" s="38" t="s">
        <v>256</v>
      </c>
      <c r="F1165" s="38" t="s">
        <v>335</v>
      </c>
      <c r="G1165" s="38" t="s">
        <v>342</v>
      </c>
      <c r="H1165" s="58" t="str">
        <f>Table1[[#This Row],[Tabela]]&amp;Table1[[#This Row],[Campo]]</f>
        <v>lt003_entityenblng_capex_ccm</v>
      </c>
      <c r="I1165" s="2" t="s">
        <v>612</v>
      </c>
      <c r="J1165" s="44">
        <f>VLOOKUP(Table1[[#This Row],[Status]],Auxiliar!$B$16:$C$24,2,0)</f>
        <v>1</v>
      </c>
      <c r="K1165" s="44" t="s">
        <v>1169</v>
      </c>
      <c r="L1165" s="45" t="s">
        <v>1174</v>
      </c>
      <c r="M1165" s="20" t="s">
        <v>1175</v>
      </c>
      <c r="N1165" s="47">
        <v>45625</v>
      </c>
      <c r="O1165" s="20">
        <f>INDEX(Auxiliar!$D$5:$F$13,MATCH(Table1[[#This Row],[Tipologia_Testes]],Auxiliar!$B$5:$B$13,0),MATCH(Table1[[#This Row],[Complexidade]],Auxiliar!$D$4:$F$4,0))</f>
        <v>2</v>
      </c>
      <c r="P1165" s="46"/>
      <c r="Q1165" s="113"/>
      <c r="R1165" s="151">
        <v>45589</v>
      </c>
      <c r="S1165" s="151"/>
      <c r="T1165" s="151"/>
      <c r="U1165" s="151">
        <v>45614</v>
      </c>
      <c r="V1165" s="151">
        <v>45596</v>
      </c>
      <c r="W1165" s="2">
        <f>VLOOKUP(Table1[[#This Row],[Status]],Auxiliar!$B$16:$D$24,3,0)*Table1[[#This Row],[Estimação (horas)]]</f>
        <v>2</v>
      </c>
      <c r="X1165" s="165">
        <f>+VLOOKUP(CONCATENATE(Table1[[#This Row],[Tabela]],Table1[[#This Row],[Campo]]),'2. Status Detalhe Campos FY24'!A:J,9,FALSE)</f>
        <v>0</v>
      </c>
      <c r="Y1165" s="491" t="e">
        <f>+VLOOKUP(A1165,#REF!,1,FALSE)</f>
        <v>#REF!</v>
      </c>
    </row>
    <row r="1166" spans="1:25" ht="35.15" hidden="1" customHeight="1">
      <c r="A1166" t="str">
        <f>+Table1[[#This Row],[Tabela]]&amp;Table1[[#This Row],[Campo]]</f>
        <v>lt003_entityenblng_capex_ccm</v>
      </c>
      <c r="B1166" s="38" t="s">
        <v>26</v>
      </c>
      <c r="C1166" s="38" t="s">
        <v>26</v>
      </c>
      <c r="D1166" s="38" t="s">
        <v>325</v>
      </c>
      <c r="E1166" s="38" t="s">
        <v>256</v>
      </c>
      <c r="F1166" s="38" t="s">
        <v>335</v>
      </c>
      <c r="G1166" s="38" t="s">
        <v>342</v>
      </c>
      <c r="H1166" s="58" t="str">
        <f>Table1[[#This Row],[Tabela]]&amp;Table1[[#This Row],[Campo]]</f>
        <v>lt003_entityenblng_capex_ccm</v>
      </c>
      <c r="I1166" s="2" t="s">
        <v>612</v>
      </c>
      <c r="J1166" s="44">
        <f>VLOOKUP(Table1[[#This Row],[Status]],Auxiliar!$B$16:$C$24,2,0)</f>
        <v>1</v>
      </c>
      <c r="K1166" s="44" t="s">
        <v>1171</v>
      </c>
      <c r="L1166" s="45" t="s">
        <v>1174</v>
      </c>
      <c r="M1166" s="20" t="s">
        <v>1175</v>
      </c>
      <c r="N1166" s="47">
        <v>45625</v>
      </c>
      <c r="O1166" s="20">
        <f>INDEX(Auxiliar!$D$5:$F$13,MATCH(Table1[[#This Row],[Tipologia_Testes]],Auxiliar!$B$5:$B$13,0),MATCH(Table1[[#This Row],[Complexidade]],Auxiliar!$D$4:$F$4,0))</f>
        <v>0.1</v>
      </c>
      <c r="P1166" s="46"/>
      <c r="Q1166" s="113"/>
      <c r="R1166" s="151">
        <v>45589</v>
      </c>
      <c r="S1166" s="151"/>
      <c r="T1166" s="151"/>
      <c r="U1166" s="151">
        <v>45614</v>
      </c>
      <c r="V1166" s="151">
        <v>45596</v>
      </c>
      <c r="W1166" s="2">
        <f>VLOOKUP(Table1[[#This Row],[Status]],Auxiliar!$B$16:$D$24,3,0)*Table1[[#This Row],[Estimação (horas)]]</f>
        <v>0.1</v>
      </c>
      <c r="X1166" s="165">
        <f>+VLOOKUP(CONCATENATE(Table1[[#This Row],[Tabela]],Table1[[#This Row],[Campo]]),'2. Status Detalhe Campos FY24'!A:J,9,FALSE)</f>
        <v>0</v>
      </c>
      <c r="Y1166" s="491" t="e">
        <f>+VLOOKUP(A1166,#REF!,1,FALSE)</f>
        <v>#REF!</v>
      </c>
    </row>
    <row r="1167" spans="1:25" ht="17.899999999999999" hidden="1" customHeight="1">
      <c r="A1167" t="str">
        <f>+Table1[[#This Row],[Tabela]]&amp;Table1[[#This Row],[Campo]]</f>
        <v>lt003_entityenblng_capex_cca</v>
      </c>
      <c r="B1167" s="38" t="s">
        <v>26</v>
      </c>
      <c r="C1167" s="38" t="s">
        <v>26</v>
      </c>
      <c r="D1167" s="35" t="s">
        <v>325</v>
      </c>
      <c r="E1167" s="39" t="s">
        <v>249</v>
      </c>
      <c r="F1167" s="39" t="s">
        <v>335</v>
      </c>
      <c r="G1167" s="37" t="s">
        <v>343</v>
      </c>
      <c r="H1167" s="59" t="str">
        <f>Table1[[#This Row],[Tabela]]&amp;Table1[[#This Row],[Campo]]</f>
        <v>lt003_entityenblng_capex_cca</v>
      </c>
      <c r="I1167" s="2" t="s">
        <v>612</v>
      </c>
      <c r="J1167" s="44">
        <f>VLOOKUP(Table1[[#This Row],[Status]],Auxiliar!$B$16:$C$24,2,0)</f>
        <v>1</v>
      </c>
      <c r="K1167" s="44" t="s">
        <v>1168</v>
      </c>
      <c r="L1167" s="45" t="s">
        <v>1174</v>
      </c>
      <c r="M1167" s="20" t="s">
        <v>1175</v>
      </c>
      <c r="N1167" s="47">
        <v>45625</v>
      </c>
      <c r="O1167" s="20">
        <f>INDEX(Auxiliar!$D$5:$F$13,MATCH(Table1[[#This Row],[Tipologia_Testes]],Auxiliar!$B$5:$B$13,0),MATCH(Table1[[#This Row],[Complexidade]],Auxiliar!$D$4:$F$4,0))</f>
        <v>2</v>
      </c>
      <c r="P1167" s="46"/>
      <c r="Q1167" s="113"/>
      <c r="R1167" s="151">
        <v>45589</v>
      </c>
      <c r="S1167" s="151"/>
      <c r="T1167" s="151"/>
      <c r="U1167" s="151">
        <v>45614</v>
      </c>
      <c r="V1167" s="151">
        <v>45596</v>
      </c>
      <c r="W1167" s="2">
        <f>VLOOKUP(Table1[[#This Row],[Status]],Auxiliar!$B$16:$D$24,3,0)*Table1[[#This Row],[Estimação (horas)]]</f>
        <v>2</v>
      </c>
      <c r="X1167" s="165">
        <f>+VLOOKUP(CONCATENATE(Table1[[#This Row],[Tabela]],Table1[[#This Row],[Campo]]),'2. Status Detalhe Campos FY24'!A:J,9,FALSE)</f>
        <v>0</v>
      </c>
      <c r="Y1167" s="491" t="e">
        <f>+VLOOKUP(A1167,#REF!,1,FALSE)</f>
        <v>#REF!</v>
      </c>
    </row>
    <row r="1168" spans="1:25" ht="17.899999999999999" hidden="1" customHeight="1">
      <c r="A1168" t="str">
        <f>+Table1[[#This Row],[Tabela]]&amp;Table1[[#This Row],[Campo]]</f>
        <v>lt003_entityenblng_capex_cca</v>
      </c>
      <c r="B1168" s="38" t="s">
        <v>26</v>
      </c>
      <c r="C1168" s="38" t="s">
        <v>26</v>
      </c>
      <c r="D1168" s="38" t="s">
        <v>325</v>
      </c>
      <c r="E1168" s="38" t="s">
        <v>249</v>
      </c>
      <c r="F1168" s="38" t="s">
        <v>335</v>
      </c>
      <c r="G1168" s="38" t="s">
        <v>343</v>
      </c>
      <c r="H1168" s="58" t="str">
        <f>Table1[[#This Row],[Tabela]]&amp;Table1[[#This Row],[Campo]]</f>
        <v>lt003_entityenblng_capex_cca</v>
      </c>
      <c r="I1168" s="2" t="s">
        <v>612</v>
      </c>
      <c r="J1168" s="44">
        <f>VLOOKUP(Table1[[#This Row],[Status]],Auxiliar!$B$16:$C$24,2,0)</f>
        <v>1</v>
      </c>
      <c r="K1168" s="44" t="s">
        <v>1169</v>
      </c>
      <c r="L1168" s="45" t="s">
        <v>1174</v>
      </c>
      <c r="M1168" s="20" t="s">
        <v>1175</v>
      </c>
      <c r="N1168" s="47">
        <v>45625</v>
      </c>
      <c r="O1168" s="20">
        <f>INDEX(Auxiliar!$D$5:$F$13,MATCH(Table1[[#This Row],[Tipologia_Testes]],Auxiliar!$B$5:$B$13,0),MATCH(Table1[[#This Row],[Complexidade]],Auxiliar!$D$4:$F$4,0))</f>
        <v>2</v>
      </c>
      <c r="P1168" s="46"/>
      <c r="Q1168" s="113"/>
      <c r="R1168" s="151">
        <v>45589</v>
      </c>
      <c r="S1168" s="151"/>
      <c r="T1168" s="151"/>
      <c r="U1168" s="151">
        <v>45614</v>
      </c>
      <c r="V1168" s="151">
        <v>45596</v>
      </c>
      <c r="W1168" s="2">
        <f>VLOOKUP(Table1[[#This Row],[Status]],Auxiliar!$B$16:$D$24,3,0)*Table1[[#This Row],[Estimação (horas)]]</f>
        <v>2</v>
      </c>
      <c r="X1168" s="165">
        <f>+VLOOKUP(CONCATENATE(Table1[[#This Row],[Tabela]],Table1[[#This Row],[Campo]]),'2. Status Detalhe Campos FY24'!A:J,9,FALSE)</f>
        <v>0</v>
      </c>
      <c r="Y1168" s="491" t="e">
        <f>+VLOOKUP(A1168,#REF!,1,FALSE)</f>
        <v>#REF!</v>
      </c>
    </row>
    <row r="1169" spans="1:25" ht="35.15" hidden="1" customHeight="1">
      <c r="A1169" t="str">
        <f>+Table1[[#This Row],[Tabela]]&amp;Table1[[#This Row],[Campo]]</f>
        <v>lt003_entityenblng_capex_cca</v>
      </c>
      <c r="B1169" s="38" t="s">
        <v>26</v>
      </c>
      <c r="C1169" s="38" t="s">
        <v>26</v>
      </c>
      <c r="D1169" s="38" t="s">
        <v>325</v>
      </c>
      <c r="E1169" s="38" t="s">
        <v>249</v>
      </c>
      <c r="F1169" s="38" t="s">
        <v>335</v>
      </c>
      <c r="G1169" s="38" t="s">
        <v>343</v>
      </c>
      <c r="H1169" s="58" t="str">
        <f>Table1[[#This Row],[Tabela]]&amp;Table1[[#This Row],[Campo]]</f>
        <v>lt003_entityenblng_capex_cca</v>
      </c>
      <c r="I1169" s="2" t="s">
        <v>612</v>
      </c>
      <c r="J1169" s="44">
        <f>VLOOKUP(Table1[[#This Row],[Status]],Auxiliar!$B$16:$C$24,2,0)</f>
        <v>1</v>
      </c>
      <c r="K1169" s="44" t="s">
        <v>1171</v>
      </c>
      <c r="L1169" s="45" t="s">
        <v>1174</v>
      </c>
      <c r="M1169" s="20" t="s">
        <v>1175</v>
      </c>
      <c r="N1169" s="47">
        <v>45625</v>
      </c>
      <c r="O1169" s="20">
        <f>INDEX(Auxiliar!$D$5:$F$13,MATCH(Table1[[#This Row],[Tipologia_Testes]],Auxiliar!$B$5:$B$13,0),MATCH(Table1[[#This Row],[Complexidade]],Auxiliar!$D$4:$F$4,0))</f>
        <v>0.1</v>
      </c>
      <c r="P1169" s="46"/>
      <c r="Q1169" s="113"/>
      <c r="R1169" s="151">
        <v>45589</v>
      </c>
      <c r="S1169" s="151"/>
      <c r="T1169" s="151"/>
      <c r="U1169" s="151">
        <v>45614</v>
      </c>
      <c r="V1169" s="151">
        <v>45596</v>
      </c>
      <c r="W1169" s="2">
        <f>VLOOKUP(Table1[[#This Row],[Status]],Auxiliar!$B$16:$D$24,3,0)*Table1[[#This Row],[Estimação (horas)]]</f>
        <v>0.1</v>
      </c>
      <c r="X1169" s="165">
        <f>+VLOOKUP(CONCATENATE(Table1[[#This Row],[Tabela]],Table1[[#This Row],[Campo]]),'2. Status Detalhe Campos FY24'!A:J,9,FALSE)</f>
        <v>0</v>
      </c>
      <c r="Y1169" s="491" t="e">
        <f>+VLOOKUP(A1169,#REF!,1,FALSE)</f>
        <v>#REF!</v>
      </c>
    </row>
    <row r="1170" spans="1:25" ht="17.899999999999999" hidden="1" customHeight="1">
      <c r="A1170" t="str">
        <f>+Table1[[#This Row],[Tabela]]&amp;Table1[[#This Row],[Campo]]</f>
        <v>lt003_entitytrnstnl_capex</v>
      </c>
      <c r="B1170" s="38" t="s">
        <v>26</v>
      </c>
      <c r="C1170" s="38" t="s">
        <v>26</v>
      </c>
      <c r="D1170" s="35" t="s">
        <v>325</v>
      </c>
      <c r="E1170" s="39" t="s">
        <v>257</v>
      </c>
      <c r="F1170" s="39" t="s">
        <v>335</v>
      </c>
      <c r="G1170" s="37" t="s">
        <v>344</v>
      </c>
      <c r="H1170" s="59" t="str">
        <f>Table1[[#This Row],[Tabela]]&amp;Table1[[#This Row],[Campo]]</f>
        <v>lt003_entitytrnstnl_capex</v>
      </c>
      <c r="I1170" s="2" t="s">
        <v>612</v>
      </c>
      <c r="J1170" s="44">
        <f>VLOOKUP(Table1[[#This Row],[Status]],Auxiliar!$B$16:$C$24,2,0)</f>
        <v>1</v>
      </c>
      <c r="K1170" s="44" t="s">
        <v>1168</v>
      </c>
      <c r="L1170" s="45" t="s">
        <v>1174</v>
      </c>
      <c r="M1170" s="20" t="s">
        <v>1175</v>
      </c>
      <c r="N1170" s="47">
        <v>45625</v>
      </c>
      <c r="O1170" s="20">
        <f>INDEX(Auxiliar!$D$5:$F$13,MATCH(Table1[[#This Row],[Tipologia_Testes]],Auxiliar!$B$5:$B$13,0),MATCH(Table1[[#This Row],[Complexidade]],Auxiliar!$D$4:$F$4,0))</f>
        <v>2</v>
      </c>
      <c r="P1170" s="46"/>
      <c r="Q1170" s="113"/>
      <c r="R1170" s="151">
        <v>45589</v>
      </c>
      <c r="S1170" s="151"/>
      <c r="T1170" s="151"/>
      <c r="U1170" s="151">
        <v>45614</v>
      </c>
      <c r="V1170" s="151">
        <v>45596</v>
      </c>
      <c r="W1170" s="2">
        <f>VLOOKUP(Table1[[#This Row],[Status]],Auxiliar!$B$16:$D$24,3,0)*Table1[[#This Row],[Estimação (horas)]]</f>
        <v>2</v>
      </c>
      <c r="X1170" s="165">
        <f>+VLOOKUP(CONCATENATE(Table1[[#This Row],[Tabela]],Table1[[#This Row],[Campo]]),'2. Status Detalhe Campos FY24'!A:J,9,FALSE)</f>
        <v>0</v>
      </c>
      <c r="Y1170" s="491" t="e">
        <f>+VLOOKUP(A1170,#REF!,1,FALSE)</f>
        <v>#REF!</v>
      </c>
    </row>
    <row r="1171" spans="1:25" ht="17.899999999999999" hidden="1" customHeight="1">
      <c r="A1171" t="str">
        <f>+Table1[[#This Row],[Tabela]]&amp;Table1[[#This Row],[Campo]]</f>
        <v>lt003_entitytrnstnl_capex</v>
      </c>
      <c r="B1171" s="38" t="s">
        <v>26</v>
      </c>
      <c r="C1171" s="38" t="s">
        <v>26</v>
      </c>
      <c r="D1171" s="38" t="s">
        <v>325</v>
      </c>
      <c r="E1171" s="38" t="s">
        <v>257</v>
      </c>
      <c r="F1171" s="38" t="s">
        <v>335</v>
      </c>
      <c r="G1171" s="38" t="s">
        <v>344</v>
      </c>
      <c r="H1171" s="58" t="str">
        <f>Table1[[#This Row],[Tabela]]&amp;Table1[[#This Row],[Campo]]</f>
        <v>lt003_entitytrnstnl_capex</v>
      </c>
      <c r="I1171" s="2" t="s">
        <v>612</v>
      </c>
      <c r="J1171" s="44">
        <f>VLOOKUP(Table1[[#This Row],[Status]],Auxiliar!$B$16:$C$24,2,0)</f>
        <v>1</v>
      </c>
      <c r="K1171" s="44" t="s">
        <v>1169</v>
      </c>
      <c r="L1171" s="45" t="s">
        <v>1174</v>
      </c>
      <c r="M1171" s="20" t="s">
        <v>1175</v>
      </c>
      <c r="N1171" s="47">
        <v>45625</v>
      </c>
      <c r="O1171" s="20">
        <f>INDEX(Auxiliar!$D$5:$F$13,MATCH(Table1[[#This Row],[Tipologia_Testes]],Auxiliar!$B$5:$B$13,0),MATCH(Table1[[#This Row],[Complexidade]],Auxiliar!$D$4:$F$4,0))</f>
        <v>2</v>
      </c>
      <c r="P1171" s="46"/>
      <c r="Q1171" s="113"/>
      <c r="R1171" s="151">
        <v>45589</v>
      </c>
      <c r="S1171" s="151"/>
      <c r="T1171" s="151"/>
      <c r="U1171" s="151">
        <v>45614</v>
      </c>
      <c r="V1171" s="151">
        <v>45596</v>
      </c>
      <c r="W1171" s="2">
        <f>VLOOKUP(Table1[[#This Row],[Status]],Auxiliar!$B$16:$D$24,3,0)*Table1[[#This Row],[Estimação (horas)]]</f>
        <v>2</v>
      </c>
      <c r="X1171" s="165">
        <f>+VLOOKUP(CONCATENATE(Table1[[#This Row],[Tabela]],Table1[[#This Row],[Campo]]),'2. Status Detalhe Campos FY24'!A:J,9,FALSE)</f>
        <v>0</v>
      </c>
      <c r="Y1171" s="491" t="e">
        <f>+VLOOKUP(A1171,#REF!,1,FALSE)</f>
        <v>#REF!</v>
      </c>
    </row>
    <row r="1172" spans="1:25" ht="35.15" hidden="1" customHeight="1">
      <c r="A1172" t="str">
        <f>+Table1[[#This Row],[Tabela]]&amp;Table1[[#This Row],[Campo]]</f>
        <v>lt003_entitytrnstnl_capex</v>
      </c>
      <c r="B1172" s="38" t="s">
        <v>26</v>
      </c>
      <c r="C1172" s="38" t="s">
        <v>26</v>
      </c>
      <c r="D1172" s="38" t="s">
        <v>325</v>
      </c>
      <c r="E1172" s="38" t="s">
        <v>257</v>
      </c>
      <c r="F1172" s="38" t="s">
        <v>335</v>
      </c>
      <c r="G1172" s="38" t="s">
        <v>344</v>
      </c>
      <c r="H1172" s="58" t="str">
        <f>Table1[[#This Row],[Tabela]]&amp;Table1[[#This Row],[Campo]]</f>
        <v>lt003_entitytrnstnl_capex</v>
      </c>
      <c r="I1172" s="2" t="s">
        <v>612</v>
      </c>
      <c r="J1172" s="44">
        <f>VLOOKUP(Table1[[#This Row],[Status]],Auxiliar!$B$16:$C$24,2,0)</f>
        <v>1</v>
      </c>
      <c r="K1172" s="44" t="s">
        <v>1171</v>
      </c>
      <c r="L1172" s="45" t="s">
        <v>1174</v>
      </c>
      <c r="M1172" s="20" t="s">
        <v>1175</v>
      </c>
      <c r="N1172" s="47">
        <v>45625</v>
      </c>
      <c r="O1172" s="20">
        <f>INDEX(Auxiliar!$D$5:$F$13,MATCH(Table1[[#This Row],[Tipologia_Testes]],Auxiliar!$B$5:$B$13,0),MATCH(Table1[[#This Row],[Complexidade]],Auxiliar!$D$4:$F$4,0))</f>
        <v>0.1</v>
      </c>
      <c r="P1172" s="46"/>
      <c r="Q1172" s="113"/>
      <c r="R1172" s="151">
        <v>45589</v>
      </c>
      <c r="S1172" s="151"/>
      <c r="T1172" s="151"/>
      <c r="U1172" s="151">
        <v>45614</v>
      </c>
      <c r="V1172" s="151">
        <v>45596</v>
      </c>
      <c r="W1172" s="2">
        <f>VLOOKUP(Table1[[#This Row],[Status]],Auxiliar!$B$16:$D$24,3,0)*Table1[[#This Row],[Estimação (horas)]]</f>
        <v>0.1</v>
      </c>
      <c r="X1172" s="165">
        <f>+VLOOKUP(CONCATENATE(Table1[[#This Row],[Tabela]],Table1[[#This Row],[Campo]]),'2. Status Detalhe Campos FY24'!A:J,9,FALSE)</f>
        <v>0</v>
      </c>
      <c r="Y1172" s="491" t="e">
        <f>+VLOOKUP(A1172,#REF!,1,FALSE)</f>
        <v>#REF!</v>
      </c>
    </row>
    <row r="1173" spans="1:25" ht="17.899999999999999" hidden="1" customHeight="1">
      <c r="A1173" t="str">
        <f>+Table1[[#This Row],[Tabela]]&amp;Table1[[#This Row],[Campo]]</f>
        <v>lt003_entitypure_capex_ccm</v>
      </c>
      <c r="B1173" s="38" t="s">
        <v>26</v>
      </c>
      <c r="C1173" s="38" t="s">
        <v>26</v>
      </c>
      <c r="D1173" s="35" t="s">
        <v>325</v>
      </c>
      <c r="E1173" s="39" t="s">
        <v>258</v>
      </c>
      <c r="F1173" s="39" t="s">
        <v>335</v>
      </c>
      <c r="G1173" s="37" t="s">
        <v>345</v>
      </c>
      <c r="H1173" s="59" t="str">
        <f>Table1[[#This Row],[Tabela]]&amp;Table1[[#This Row],[Campo]]</f>
        <v>lt003_entitypure_capex_ccm</v>
      </c>
      <c r="I1173" s="2" t="s">
        <v>612</v>
      </c>
      <c r="J1173" s="44">
        <f>VLOOKUP(Table1[[#This Row],[Status]],Auxiliar!$B$16:$C$24,2,0)</f>
        <v>1</v>
      </c>
      <c r="K1173" s="44" t="s">
        <v>1168</v>
      </c>
      <c r="L1173" s="45" t="s">
        <v>1174</v>
      </c>
      <c r="M1173" s="20" t="s">
        <v>1175</v>
      </c>
      <c r="N1173" s="47">
        <v>45625</v>
      </c>
      <c r="O1173" s="20">
        <f>INDEX(Auxiliar!$D$5:$F$13,MATCH(Table1[[#This Row],[Tipologia_Testes]],Auxiliar!$B$5:$B$13,0),MATCH(Table1[[#This Row],[Complexidade]],Auxiliar!$D$4:$F$4,0))</f>
        <v>2</v>
      </c>
      <c r="P1173" s="46"/>
      <c r="Q1173" s="113"/>
      <c r="R1173" s="151">
        <v>45589</v>
      </c>
      <c r="S1173" s="151"/>
      <c r="T1173" s="151"/>
      <c r="U1173" s="151">
        <v>45614</v>
      </c>
      <c r="V1173" s="151">
        <v>45596</v>
      </c>
      <c r="W1173" s="2">
        <f>VLOOKUP(Table1[[#This Row],[Status]],Auxiliar!$B$16:$D$24,3,0)*Table1[[#This Row],[Estimação (horas)]]</f>
        <v>2</v>
      </c>
      <c r="X1173" s="165">
        <f>+VLOOKUP(CONCATENATE(Table1[[#This Row],[Tabela]],Table1[[#This Row],[Campo]]),'2. Status Detalhe Campos FY24'!A:J,9,FALSE)</f>
        <v>0</v>
      </c>
      <c r="Y1173" s="491" t="e">
        <f>+VLOOKUP(A1173,#REF!,1,FALSE)</f>
        <v>#REF!</v>
      </c>
    </row>
    <row r="1174" spans="1:25" ht="17.899999999999999" hidden="1" customHeight="1">
      <c r="A1174" t="str">
        <f>+Table1[[#This Row],[Tabela]]&amp;Table1[[#This Row],[Campo]]</f>
        <v>lt003_entitypure_capex_ccm</v>
      </c>
      <c r="B1174" s="38" t="s">
        <v>26</v>
      </c>
      <c r="C1174" s="38" t="s">
        <v>26</v>
      </c>
      <c r="D1174" s="38" t="s">
        <v>325</v>
      </c>
      <c r="E1174" s="38" t="s">
        <v>258</v>
      </c>
      <c r="F1174" s="38" t="s">
        <v>335</v>
      </c>
      <c r="G1174" s="38" t="s">
        <v>345</v>
      </c>
      <c r="H1174" s="58" t="str">
        <f>Table1[[#This Row],[Tabela]]&amp;Table1[[#This Row],[Campo]]</f>
        <v>lt003_entitypure_capex_ccm</v>
      </c>
      <c r="I1174" s="2" t="s">
        <v>612</v>
      </c>
      <c r="J1174" s="44">
        <f>VLOOKUP(Table1[[#This Row],[Status]],Auxiliar!$B$16:$C$24,2,0)</f>
        <v>1</v>
      </c>
      <c r="K1174" s="44" t="s">
        <v>1169</v>
      </c>
      <c r="L1174" s="45" t="s">
        <v>1174</v>
      </c>
      <c r="M1174" s="20" t="s">
        <v>1175</v>
      </c>
      <c r="N1174" s="47">
        <v>45625</v>
      </c>
      <c r="O1174" s="20">
        <f>INDEX(Auxiliar!$D$5:$F$13,MATCH(Table1[[#This Row],[Tipologia_Testes]],Auxiliar!$B$5:$B$13,0),MATCH(Table1[[#This Row],[Complexidade]],Auxiliar!$D$4:$F$4,0))</f>
        <v>2</v>
      </c>
      <c r="P1174" s="46"/>
      <c r="Q1174" s="113"/>
      <c r="R1174" s="151">
        <v>45589</v>
      </c>
      <c r="S1174" s="151"/>
      <c r="T1174" s="151"/>
      <c r="U1174" s="151">
        <v>45614</v>
      </c>
      <c r="V1174" s="151">
        <v>45596</v>
      </c>
      <c r="W1174" s="2">
        <f>VLOOKUP(Table1[[#This Row],[Status]],Auxiliar!$B$16:$D$24,3,0)*Table1[[#This Row],[Estimação (horas)]]</f>
        <v>2</v>
      </c>
      <c r="X1174" s="165">
        <f>+VLOOKUP(CONCATENATE(Table1[[#This Row],[Tabela]],Table1[[#This Row],[Campo]]),'2. Status Detalhe Campos FY24'!A:J,9,FALSE)</f>
        <v>0</v>
      </c>
      <c r="Y1174" s="491" t="e">
        <f>+VLOOKUP(A1174,#REF!,1,FALSE)</f>
        <v>#REF!</v>
      </c>
    </row>
    <row r="1175" spans="1:25" ht="35.15" hidden="1" customHeight="1">
      <c r="A1175" t="str">
        <f>+Table1[[#This Row],[Tabela]]&amp;Table1[[#This Row],[Campo]]</f>
        <v>lt003_entitypure_capex_ccm</v>
      </c>
      <c r="B1175" s="38" t="s">
        <v>26</v>
      </c>
      <c r="C1175" s="38" t="s">
        <v>26</v>
      </c>
      <c r="D1175" s="38" t="s">
        <v>325</v>
      </c>
      <c r="E1175" s="38" t="s">
        <v>258</v>
      </c>
      <c r="F1175" s="38" t="s">
        <v>335</v>
      </c>
      <c r="G1175" s="38" t="s">
        <v>345</v>
      </c>
      <c r="H1175" s="58" t="str">
        <f>Table1[[#This Row],[Tabela]]&amp;Table1[[#This Row],[Campo]]</f>
        <v>lt003_entitypure_capex_ccm</v>
      </c>
      <c r="I1175" s="2" t="s">
        <v>612</v>
      </c>
      <c r="J1175" s="44">
        <f>VLOOKUP(Table1[[#This Row],[Status]],Auxiliar!$B$16:$C$24,2,0)</f>
        <v>1</v>
      </c>
      <c r="K1175" s="44" t="s">
        <v>1171</v>
      </c>
      <c r="L1175" s="45" t="s">
        <v>1174</v>
      </c>
      <c r="M1175" s="20" t="s">
        <v>1175</v>
      </c>
      <c r="N1175" s="47">
        <v>45625</v>
      </c>
      <c r="O1175" s="20">
        <f>INDEX(Auxiliar!$D$5:$F$13,MATCH(Table1[[#This Row],[Tipologia_Testes]],Auxiliar!$B$5:$B$13,0),MATCH(Table1[[#This Row],[Complexidade]],Auxiliar!$D$4:$F$4,0))</f>
        <v>0.1</v>
      </c>
      <c r="P1175" s="46"/>
      <c r="Q1175" s="113"/>
      <c r="R1175" s="151">
        <v>45589</v>
      </c>
      <c r="S1175" s="151"/>
      <c r="T1175" s="151"/>
      <c r="U1175" s="151">
        <v>45614</v>
      </c>
      <c r="V1175" s="151">
        <v>45596</v>
      </c>
      <c r="W1175" s="2">
        <f>VLOOKUP(Table1[[#This Row],[Status]],Auxiliar!$B$16:$D$24,3,0)*Table1[[#This Row],[Estimação (horas)]]</f>
        <v>0.1</v>
      </c>
      <c r="X1175" s="165">
        <f>+VLOOKUP(CONCATENATE(Table1[[#This Row],[Tabela]],Table1[[#This Row],[Campo]]),'2. Status Detalhe Campos FY24'!A:J,9,FALSE)</f>
        <v>0</v>
      </c>
      <c r="Y1175" s="491" t="e">
        <f>+VLOOKUP(A1175,#REF!,1,FALSE)</f>
        <v>#REF!</v>
      </c>
    </row>
    <row r="1176" spans="1:25" ht="17.899999999999999" hidden="1" customHeight="1">
      <c r="A1176" t="str">
        <f>+Table1[[#This Row],[Tabela]]&amp;Table1[[#This Row],[Campo]]</f>
        <v>lt003_entitypure_capex_cca</v>
      </c>
      <c r="B1176" s="38" t="s">
        <v>26</v>
      </c>
      <c r="C1176" s="38" t="s">
        <v>26</v>
      </c>
      <c r="D1176" s="35" t="s">
        <v>325</v>
      </c>
      <c r="E1176" s="39" t="s">
        <v>250</v>
      </c>
      <c r="F1176" s="39" t="s">
        <v>335</v>
      </c>
      <c r="G1176" s="37" t="s">
        <v>346</v>
      </c>
      <c r="H1176" s="59" t="str">
        <f>Table1[[#This Row],[Tabela]]&amp;Table1[[#This Row],[Campo]]</f>
        <v>lt003_entitypure_capex_cca</v>
      </c>
      <c r="I1176" s="2" t="s">
        <v>612</v>
      </c>
      <c r="J1176" s="44">
        <f>VLOOKUP(Table1[[#This Row],[Status]],Auxiliar!$B$16:$C$24,2,0)</f>
        <v>1</v>
      </c>
      <c r="K1176" s="44" t="s">
        <v>1168</v>
      </c>
      <c r="L1176" s="45" t="s">
        <v>1174</v>
      </c>
      <c r="M1176" s="20" t="s">
        <v>1175</v>
      </c>
      <c r="N1176" s="47">
        <v>45632</v>
      </c>
      <c r="O1176" s="20">
        <f>INDEX(Auxiliar!$D$5:$F$13,MATCH(Table1[[#This Row],[Tipologia_Testes]],Auxiliar!$B$5:$B$13,0),MATCH(Table1[[#This Row],[Complexidade]],Auxiliar!$D$4:$F$4,0))</f>
        <v>2</v>
      </c>
      <c r="P1176" s="46"/>
      <c r="Q1176" s="113"/>
      <c r="R1176" s="151">
        <v>45589</v>
      </c>
      <c r="S1176" s="151"/>
      <c r="T1176" s="151"/>
      <c r="U1176" s="151">
        <v>45611</v>
      </c>
      <c r="V1176" s="151">
        <v>45611</v>
      </c>
      <c r="W1176" s="2">
        <f>VLOOKUP(Table1[[#This Row],[Status]],Auxiliar!$B$16:$D$24,3,0)*Table1[[#This Row],[Estimação (horas)]]</f>
        <v>2</v>
      </c>
      <c r="X1176" s="165">
        <f>+VLOOKUP(CONCATENATE(Table1[[#This Row],[Tabela]],Table1[[#This Row],[Campo]]),'2. Status Detalhe Campos FY24'!A:J,9,FALSE)</f>
        <v>0</v>
      </c>
      <c r="Y1176" s="491" t="e">
        <f>+VLOOKUP(A1176,#REF!,1,FALSE)</f>
        <v>#REF!</v>
      </c>
    </row>
    <row r="1177" spans="1:25" ht="17.899999999999999" hidden="1" customHeight="1">
      <c r="A1177" t="str">
        <f>+Table1[[#This Row],[Tabela]]&amp;Table1[[#This Row],[Campo]]</f>
        <v>lt003_entitypure_capex_cca</v>
      </c>
      <c r="B1177" s="38" t="s">
        <v>26</v>
      </c>
      <c r="C1177" s="38" t="s">
        <v>26</v>
      </c>
      <c r="D1177" s="38" t="s">
        <v>325</v>
      </c>
      <c r="E1177" s="38" t="s">
        <v>250</v>
      </c>
      <c r="F1177" s="38" t="s">
        <v>335</v>
      </c>
      <c r="G1177" s="38" t="s">
        <v>346</v>
      </c>
      <c r="H1177" s="58" t="str">
        <f>Table1[[#This Row],[Tabela]]&amp;Table1[[#This Row],[Campo]]</f>
        <v>lt003_entitypure_capex_cca</v>
      </c>
      <c r="I1177" s="2" t="s">
        <v>612</v>
      </c>
      <c r="J1177" s="44">
        <f>VLOOKUP(Table1[[#This Row],[Status]],Auxiliar!$B$16:$C$24,2,0)</f>
        <v>1</v>
      </c>
      <c r="K1177" s="44" t="s">
        <v>1169</v>
      </c>
      <c r="L1177" s="45" t="s">
        <v>1174</v>
      </c>
      <c r="M1177" s="20" t="s">
        <v>1175</v>
      </c>
      <c r="N1177" s="47">
        <v>45632</v>
      </c>
      <c r="O1177" s="20">
        <f>INDEX(Auxiliar!$D$5:$F$13,MATCH(Table1[[#This Row],[Tipologia_Testes]],Auxiliar!$B$5:$B$13,0),MATCH(Table1[[#This Row],[Complexidade]],Auxiliar!$D$4:$F$4,0))</f>
        <v>2</v>
      </c>
      <c r="P1177" s="46"/>
      <c r="Q1177" s="113"/>
      <c r="R1177" s="151">
        <v>45589</v>
      </c>
      <c r="S1177" s="151"/>
      <c r="T1177" s="151"/>
      <c r="U1177" s="151">
        <v>45611</v>
      </c>
      <c r="V1177" s="151">
        <v>45611</v>
      </c>
      <c r="W1177" s="2">
        <f>VLOOKUP(Table1[[#This Row],[Status]],Auxiliar!$B$16:$D$24,3,0)*Table1[[#This Row],[Estimação (horas)]]</f>
        <v>2</v>
      </c>
      <c r="X1177" s="165">
        <f>+VLOOKUP(CONCATENATE(Table1[[#This Row],[Tabela]],Table1[[#This Row],[Campo]]),'2. Status Detalhe Campos FY24'!A:J,9,FALSE)</f>
        <v>0</v>
      </c>
      <c r="Y1177" s="491" t="e">
        <f>+VLOOKUP(A1177,#REF!,1,FALSE)</f>
        <v>#REF!</v>
      </c>
    </row>
    <row r="1178" spans="1:25" ht="35.15" hidden="1" customHeight="1">
      <c r="A1178" t="str">
        <f>+Table1[[#This Row],[Tabela]]&amp;Table1[[#This Row],[Campo]]</f>
        <v>lt003_entitypure_capex_cca</v>
      </c>
      <c r="B1178" s="38" t="s">
        <v>26</v>
      </c>
      <c r="C1178" s="38" t="s">
        <v>26</v>
      </c>
      <c r="D1178" s="38" t="s">
        <v>325</v>
      </c>
      <c r="E1178" s="38" t="s">
        <v>250</v>
      </c>
      <c r="F1178" s="38" t="s">
        <v>335</v>
      </c>
      <c r="G1178" s="38" t="s">
        <v>346</v>
      </c>
      <c r="H1178" s="58" t="str">
        <f>Table1[[#This Row],[Tabela]]&amp;Table1[[#This Row],[Campo]]</f>
        <v>lt003_entitypure_capex_cca</v>
      </c>
      <c r="I1178" s="2" t="s">
        <v>612</v>
      </c>
      <c r="J1178" s="44">
        <f>VLOOKUP(Table1[[#This Row],[Status]],Auxiliar!$B$16:$C$24,2,0)</f>
        <v>1</v>
      </c>
      <c r="K1178" s="44" t="s">
        <v>1171</v>
      </c>
      <c r="L1178" s="45" t="s">
        <v>1174</v>
      </c>
      <c r="M1178" s="20" t="s">
        <v>1175</v>
      </c>
      <c r="N1178" s="47">
        <v>45632</v>
      </c>
      <c r="O1178" s="20">
        <f>INDEX(Auxiliar!$D$5:$F$13,MATCH(Table1[[#This Row],[Tipologia_Testes]],Auxiliar!$B$5:$B$13,0),MATCH(Table1[[#This Row],[Complexidade]],Auxiliar!$D$4:$F$4,0))</f>
        <v>0.1</v>
      </c>
      <c r="P1178" s="46"/>
      <c r="Q1178" s="113"/>
      <c r="R1178" s="151">
        <v>45589</v>
      </c>
      <c r="S1178" s="151"/>
      <c r="T1178" s="151"/>
      <c r="U1178" s="151">
        <v>45611</v>
      </c>
      <c r="V1178" s="151">
        <v>45611</v>
      </c>
      <c r="W1178" s="2">
        <f>VLOOKUP(Table1[[#This Row],[Status]],Auxiliar!$B$16:$D$24,3,0)*Table1[[#This Row],[Estimação (horas)]]</f>
        <v>0.1</v>
      </c>
      <c r="X1178" s="165">
        <f>+VLOOKUP(CONCATENATE(Table1[[#This Row],[Tabela]],Table1[[#This Row],[Campo]]),'2. Status Detalhe Campos FY24'!A:J,9,FALSE)</f>
        <v>0</v>
      </c>
      <c r="Y1178" s="491" t="e">
        <f>+VLOOKUP(A1178,#REF!,1,FALSE)</f>
        <v>#REF!</v>
      </c>
    </row>
    <row r="1179" spans="1:25" ht="17.899999999999999" hidden="1" customHeight="1">
      <c r="A1179" t="str">
        <f>+Table1[[#This Row],[Tabela]]&amp;Table1[[#This Row],[Campo]]</f>
        <v>lt003_entityenblng_trnvr_ccm</v>
      </c>
      <c r="B1179" s="38" t="s">
        <v>26</v>
      </c>
      <c r="C1179" s="38" t="s">
        <v>26</v>
      </c>
      <c r="D1179" s="37" t="s">
        <v>325</v>
      </c>
      <c r="E1179" s="39" t="s">
        <v>252</v>
      </c>
      <c r="F1179" s="39" t="s">
        <v>335</v>
      </c>
      <c r="G1179" s="37" t="s">
        <v>347</v>
      </c>
      <c r="H1179" s="59" t="str">
        <f>Table1[[#This Row],[Tabela]]&amp;Table1[[#This Row],[Campo]]</f>
        <v>lt003_entityenblng_trnvr_ccm</v>
      </c>
      <c r="I1179" s="2" t="s">
        <v>612</v>
      </c>
      <c r="J1179" s="44">
        <f>VLOOKUP(Table1[[#This Row],[Status]],Auxiliar!$B$16:$C$24,2,0)</f>
        <v>1</v>
      </c>
      <c r="K1179" s="44" t="s">
        <v>1168</v>
      </c>
      <c r="L1179" s="45" t="s">
        <v>1174</v>
      </c>
      <c r="M1179" s="20" t="s">
        <v>1175</v>
      </c>
      <c r="N1179" s="47">
        <v>45625</v>
      </c>
      <c r="O1179" s="20">
        <f>INDEX(Auxiliar!$D$5:$F$13,MATCH(Table1[[#This Row],[Tipologia_Testes]],Auxiliar!$B$5:$B$13,0),MATCH(Table1[[#This Row],[Complexidade]],Auxiliar!$D$4:$F$4,0))</f>
        <v>2</v>
      </c>
      <c r="P1179" s="46"/>
      <c r="Q1179" s="113"/>
      <c r="R1179" s="151">
        <v>45589</v>
      </c>
      <c r="S1179" s="151"/>
      <c r="T1179" s="151"/>
      <c r="U1179" s="151">
        <v>45614</v>
      </c>
      <c r="V1179" s="151">
        <v>45596</v>
      </c>
      <c r="W1179" s="2">
        <f>VLOOKUP(Table1[[#This Row],[Status]],Auxiliar!$B$16:$D$24,3,0)*Table1[[#This Row],[Estimação (horas)]]</f>
        <v>2</v>
      </c>
      <c r="X1179" s="165">
        <f>+VLOOKUP(CONCATENATE(Table1[[#This Row],[Tabela]],Table1[[#This Row],[Campo]]),'2. Status Detalhe Campos FY24'!A:J,9,FALSE)</f>
        <v>0</v>
      </c>
      <c r="Y1179" s="491" t="e">
        <f>+VLOOKUP(A1179,#REF!,1,FALSE)</f>
        <v>#REF!</v>
      </c>
    </row>
    <row r="1180" spans="1:25" ht="17.899999999999999" hidden="1" customHeight="1">
      <c r="A1180" t="str">
        <f>+Table1[[#This Row],[Tabela]]&amp;Table1[[#This Row],[Campo]]</f>
        <v>lt003_entityenblng_trnvr_ccm</v>
      </c>
      <c r="B1180" s="38" t="s">
        <v>26</v>
      </c>
      <c r="C1180" s="38" t="s">
        <v>26</v>
      </c>
      <c r="D1180" s="38" t="s">
        <v>325</v>
      </c>
      <c r="E1180" s="38" t="s">
        <v>252</v>
      </c>
      <c r="F1180" s="38" t="s">
        <v>335</v>
      </c>
      <c r="G1180" s="38" t="s">
        <v>347</v>
      </c>
      <c r="H1180" s="58" t="str">
        <f>Table1[[#This Row],[Tabela]]&amp;Table1[[#This Row],[Campo]]</f>
        <v>lt003_entityenblng_trnvr_ccm</v>
      </c>
      <c r="I1180" s="2" t="s">
        <v>612</v>
      </c>
      <c r="J1180" s="44">
        <f>VLOOKUP(Table1[[#This Row],[Status]],Auxiliar!$B$16:$C$24,2,0)</f>
        <v>1</v>
      </c>
      <c r="K1180" s="44" t="s">
        <v>1169</v>
      </c>
      <c r="L1180" s="45" t="s">
        <v>1174</v>
      </c>
      <c r="M1180" s="20" t="s">
        <v>1175</v>
      </c>
      <c r="N1180" s="47">
        <v>45625</v>
      </c>
      <c r="O1180" s="20">
        <f>INDEX(Auxiliar!$D$5:$F$13,MATCH(Table1[[#This Row],[Tipologia_Testes]],Auxiliar!$B$5:$B$13,0),MATCH(Table1[[#This Row],[Complexidade]],Auxiliar!$D$4:$F$4,0))</f>
        <v>2</v>
      </c>
      <c r="P1180" s="46"/>
      <c r="Q1180" s="113"/>
      <c r="R1180" s="151">
        <v>45589</v>
      </c>
      <c r="S1180" s="151"/>
      <c r="T1180" s="151"/>
      <c r="U1180" s="151">
        <v>45614</v>
      </c>
      <c r="V1180" s="151">
        <v>45596</v>
      </c>
      <c r="W1180" s="2">
        <f>VLOOKUP(Table1[[#This Row],[Status]],Auxiliar!$B$16:$D$24,3,0)*Table1[[#This Row],[Estimação (horas)]]</f>
        <v>2</v>
      </c>
      <c r="X1180" s="165">
        <f>+VLOOKUP(CONCATENATE(Table1[[#This Row],[Tabela]],Table1[[#This Row],[Campo]]),'2. Status Detalhe Campos FY24'!A:J,9,FALSE)</f>
        <v>0</v>
      </c>
      <c r="Y1180" s="491" t="e">
        <f>+VLOOKUP(A1180,#REF!,1,FALSE)</f>
        <v>#REF!</v>
      </c>
    </row>
    <row r="1181" spans="1:25" ht="35.15" hidden="1" customHeight="1">
      <c r="A1181" t="str">
        <f>+Table1[[#This Row],[Tabela]]&amp;Table1[[#This Row],[Campo]]</f>
        <v>lt003_entityenblng_trnvr_ccm</v>
      </c>
      <c r="B1181" s="38" t="s">
        <v>26</v>
      </c>
      <c r="C1181" s="38" t="s">
        <v>26</v>
      </c>
      <c r="D1181" s="38" t="s">
        <v>325</v>
      </c>
      <c r="E1181" s="38" t="s">
        <v>252</v>
      </c>
      <c r="F1181" s="38" t="s">
        <v>335</v>
      </c>
      <c r="G1181" s="38" t="s">
        <v>347</v>
      </c>
      <c r="H1181" s="58" t="str">
        <f>Table1[[#This Row],[Tabela]]&amp;Table1[[#This Row],[Campo]]</f>
        <v>lt003_entityenblng_trnvr_ccm</v>
      </c>
      <c r="I1181" s="2" t="s">
        <v>612</v>
      </c>
      <c r="J1181" s="44">
        <f>VLOOKUP(Table1[[#This Row],[Status]],Auxiliar!$B$16:$C$24,2,0)</f>
        <v>1</v>
      </c>
      <c r="K1181" s="44" t="s">
        <v>1171</v>
      </c>
      <c r="L1181" s="45" t="s">
        <v>1174</v>
      </c>
      <c r="M1181" s="20" t="s">
        <v>1175</v>
      </c>
      <c r="N1181" s="47">
        <v>45625</v>
      </c>
      <c r="O1181" s="20">
        <f>INDEX(Auxiliar!$D$5:$F$13,MATCH(Table1[[#This Row],[Tipologia_Testes]],Auxiliar!$B$5:$B$13,0),MATCH(Table1[[#This Row],[Complexidade]],Auxiliar!$D$4:$F$4,0))</f>
        <v>0.1</v>
      </c>
      <c r="P1181" s="46"/>
      <c r="Q1181" s="113"/>
      <c r="R1181" s="151">
        <v>45589</v>
      </c>
      <c r="S1181" s="151"/>
      <c r="T1181" s="151"/>
      <c r="U1181" s="151">
        <v>45614</v>
      </c>
      <c r="V1181" s="151">
        <v>45596</v>
      </c>
      <c r="W1181" s="2">
        <f>VLOOKUP(Table1[[#This Row],[Status]],Auxiliar!$B$16:$D$24,3,0)*Table1[[#This Row],[Estimação (horas)]]</f>
        <v>0.1</v>
      </c>
      <c r="X1181" s="165">
        <f>+VLOOKUP(CONCATENATE(Table1[[#This Row],[Tabela]],Table1[[#This Row],[Campo]]),'2. Status Detalhe Campos FY24'!A:J,9,FALSE)</f>
        <v>0</v>
      </c>
      <c r="Y1181" s="491" t="e">
        <f>+VLOOKUP(A1181,#REF!,1,FALSE)</f>
        <v>#REF!</v>
      </c>
    </row>
    <row r="1182" spans="1:25" ht="17.899999999999999" hidden="1" customHeight="1">
      <c r="A1182" t="str">
        <f>+Table1[[#This Row],[Tabela]]&amp;Table1[[#This Row],[Campo]]</f>
        <v>lt003_entityenblng_trnvr_cca</v>
      </c>
      <c r="B1182" s="38" t="s">
        <v>26</v>
      </c>
      <c r="C1182" s="38" t="s">
        <v>26</v>
      </c>
      <c r="D1182" s="37" t="s">
        <v>325</v>
      </c>
      <c r="E1182" s="39" t="s">
        <v>246</v>
      </c>
      <c r="F1182" s="39" t="s">
        <v>335</v>
      </c>
      <c r="G1182" s="37" t="s">
        <v>348</v>
      </c>
      <c r="H1182" s="59" t="str">
        <f>Table1[[#This Row],[Tabela]]&amp;Table1[[#This Row],[Campo]]</f>
        <v>lt003_entityenblng_trnvr_cca</v>
      </c>
      <c r="I1182" s="2" t="s">
        <v>612</v>
      </c>
      <c r="J1182" s="44">
        <f>VLOOKUP(Table1[[#This Row],[Status]],Auxiliar!$B$16:$C$24,2,0)</f>
        <v>1</v>
      </c>
      <c r="K1182" s="44" t="s">
        <v>1168</v>
      </c>
      <c r="L1182" s="45" t="s">
        <v>1174</v>
      </c>
      <c r="M1182" s="20" t="s">
        <v>1175</v>
      </c>
      <c r="N1182" s="47">
        <v>45625</v>
      </c>
      <c r="O1182" s="20">
        <f>INDEX(Auxiliar!$D$5:$F$13,MATCH(Table1[[#This Row],[Tipologia_Testes]],Auxiliar!$B$5:$B$13,0),MATCH(Table1[[#This Row],[Complexidade]],Auxiliar!$D$4:$F$4,0))</f>
        <v>2</v>
      </c>
      <c r="P1182" s="46"/>
      <c r="Q1182" s="113"/>
      <c r="R1182" s="151">
        <v>45589</v>
      </c>
      <c r="S1182" s="151"/>
      <c r="T1182" s="151"/>
      <c r="U1182" s="151">
        <v>45614</v>
      </c>
      <c r="V1182" s="151">
        <v>45596</v>
      </c>
      <c r="W1182" s="2">
        <f>VLOOKUP(Table1[[#This Row],[Status]],Auxiliar!$B$16:$D$24,3,0)*Table1[[#This Row],[Estimação (horas)]]</f>
        <v>2</v>
      </c>
      <c r="X1182" s="165">
        <f>+VLOOKUP(CONCATENATE(Table1[[#This Row],[Tabela]],Table1[[#This Row],[Campo]]),'2. Status Detalhe Campos FY24'!A:J,9,FALSE)</f>
        <v>0</v>
      </c>
      <c r="Y1182" s="491" t="e">
        <f>+VLOOKUP(A1182,#REF!,1,FALSE)</f>
        <v>#REF!</v>
      </c>
    </row>
    <row r="1183" spans="1:25" ht="17.899999999999999" hidden="1" customHeight="1">
      <c r="A1183" t="str">
        <f>+Table1[[#This Row],[Tabela]]&amp;Table1[[#This Row],[Campo]]</f>
        <v>lt003_entityenblng_trnvr_cca</v>
      </c>
      <c r="B1183" s="38" t="s">
        <v>26</v>
      </c>
      <c r="C1183" s="38" t="s">
        <v>26</v>
      </c>
      <c r="D1183" s="38" t="s">
        <v>325</v>
      </c>
      <c r="E1183" s="38" t="s">
        <v>246</v>
      </c>
      <c r="F1183" s="38" t="s">
        <v>335</v>
      </c>
      <c r="G1183" s="38" t="s">
        <v>348</v>
      </c>
      <c r="H1183" s="58" t="str">
        <f>Table1[[#This Row],[Tabela]]&amp;Table1[[#This Row],[Campo]]</f>
        <v>lt003_entityenblng_trnvr_cca</v>
      </c>
      <c r="I1183" s="2" t="s">
        <v>612</v>
      </c>
      <c r="J1183" s="44">
        <f>VLOOKUP(Table1[[#This Row],[Status]],Auxiliar!$B$16:$C$24,2,0)</f>
        <v>1</v>
      </c>
      <c r="K1183" s="44" t="s">
        <v>1169</v>
      </c>
      <c r="L1183" s="45" t="s">
        <v>1174</v>
      </c>
      <c r="M1183" s="20" t="s">
        <v>1175</v>
      </c>
      <c r="N1183" s="47">
        <v>45625</v>
      </c>
      <c r="O1183" s="20">
        <f>INDEX(Auxiliar!$D$5:$F$13,MATCH(Table1[[#This Row],[Tipologia_Testes]],Auxiliar!$B$5:$B$13,0),MATCH(Table1[[#This Row],[Complexidade]],Auxiliar!$D$4:$F$4,0))</f>
        <v>2</v>
      </c>
      <c r="P1183" s="46"/>
      <c r="Q1183" s="113"/>
      <c r="R1183" s="151">
        <v>45589</v>
      </c>
      <c r="S1183" s="151"/>
      <c r="T1183" s="151"/>
      <c r="U1183" s="151">
        <v>45614</v>
      </c>
      <c r="V1183" s="151">
        <v>45596</v>
      </c>
      <c r="W1183" s="2">
        <f>VLOOKUP(Table1[[#This Row],[Status]],Auxiliar!$B$16:$D$24,3,0)*Table1[[#This Row],[Estimação (horas)]]</f>
        <v>2</v>
      </c>
      <c r="X1183" s="165">
        <f>+VLOOKUP(CONCATENATE(Table1[[#This Row],[Tabela]],Table1[[#This Row],[Campo]]),'2. Status Detalhe Campos FY24'!A:J,9,FALSE)</f>
        <v>0</v>
      </c>
      <c r="Y1183" s="491" t="e">
        <f>+VLOOKUP(A1183,#REF!,1,FALSE)</f>
        <v>#REF!</v>
      </c>
    </row>
    <row r="1184" spans="1:25" ht="35.15" hidden="1" customHeight="1">
      <c r="A1184" t="str">
        <f>+Table1[[#This Row],[Tabela]]&amp;Table1[[#This Row],[Campo]]</f>
        <v>lt003_entityenblng_trnvr_cca</v>
      </c>
      <c r="B1184" s="38" t="s">
        <v>26</v>
      </c>
      <c r="C1184" s="38" t="s">
        <v>26</v>
      </c>
      <c r="D1184" s="38" t="s">
        <v>325</v>
      </c>
      <c r="E1184" s="38" t="s">
        <v>246</v>
      </c>
      <c r="F1184" s="38" t="s">
        <v>335</v>
      </c>
      <c r="G1184" s="38" t="s">
        <v>348</v>
      </c>
      <c r="H1184" s="58" t="str">
        <f>Table1[[#This Row],[Tabela]]&amp;Table1[[#This Row],[Campo]]</f>
        <v>lt003_entityenblng_trnvr_cca</v>
      </c>
      <c r="I1184" s="2" t="s">
        <v>612</v>
      </c>
      <c r="J1184" s="44">
        <f>VLOOKUP(Table1[[#This Row],[Status]],Auxiliar!$B$16:$C$24,2,0)</f>
        <v>1</v>
      </c>
      <c r="K1184" s="44" t="s">
        <v>1171</v>
      </c>
      <c r="L1184" s="45" t="s">
        <v>1174</v>
      </c>
      <c r="M1184" s="20" t="s">
        <v>1175</v>
      </c>
      <c r="N1184" s="47">
        <v>45625</v>
      </c>
      <c r="O1184" s="20">
        <f>INDEX(Auxiliar!$D$5:$F$13,MATCH(Table1[[#This Row],[Tipologia_Testes]],Auxiliar!$B$5:$B$13,0),MATCH(Table1[[#This Row],[Complexidade]],Auxiliar!$D$4:$F$4,0))</f>
        <v>0.1</v>
      </c>
      <c r="P1184" s="46"/>
      <c r="Q1184" s="113"/>
      <c r="R1184" s="151">
        <v>45589</v>
      </c>
      <c r="S1184" s="151"/>
      <c r="T1184" s="151"/>
      <c r="U1184" s="151">
        <v>45614</v>
      </c>
      <c r="V1184" s="151">
        <v>45596</v>
      </c>
      <c r="W1184" s="2">
        <f>VLOOKUP(Table1[[#This Row],[Status]],Auxiliar!$B$16:$D$24,3,0)*Table1[[#This Row],[Estimação (horas)]]</f>
        <v>0.1</v>
      </c>
      <c r="X1184" s="165">
        <f>+VLOOKUP(CONCATENATE(Table1[[#This Row],[Tabela]],Table1[[#This Row],[Campo]]),'2. Status Detalhe Campos FY24'!A:J,9,FALSE)</f>
        <v>0</v>
      </c>
      <c r="Y1184" s="491" t="e">
        <f>+VLOOKUP(A1184,#REF!,1,FALSE)</f>
        <v>#REF!</v>
      </c>
    </row>
    <row r="1185" spans="1:25" ht="17.899999999999999" hidden="1" customHeight="1">
      <c r="A1185" t="str">
        <f>+Table1[[#This Row],[Tabela]]&amp;Table1[[#This Row],[Campo]]</f>
        <v>lt003_entitytrnstnl_trnvr</v>
      </c>
      <c r="B1185" s="40" t="s">
        <v>26</v>
      </c>
      <c r="C1185" s="40" t="s">
        <v>26</v>
      </c>
      <c r="D1185" s="37" t="s">
        <v>325</v>
      </c>
      <c r="E1185" s="39" t="s">
        <v>253</v>
      </c>
      <c r="F1185" s="39" t="s">
        <v>335</v>
      </c>
      <c r="G1185" s="37" t="s">
        <v>349</v>
      </c>
      <c r="H1185" s="59" t="str">
        <f>Table1[[#This Row],[Tabela]]&amp;Table1[[#This Row],[Campo]]</f>
        <v>lt003_entitytrnstnl_trnvr</v>
      </c>
      <c r="I1185" s="2" t="s">
        <v>612</v>
      </c>
      <c r="J1185" s="44">
        <f>VLOOKUP(Table1[[#This Row],[Status]],Auxiliar!$B$16:$C$24,2,0)</f>
        <v>1</v>
      </c>
      <c r="K1185" s="44" t="s">
        <v>1168</v>
      </c>
      <c r="L1185" s="45" t="s">
        <v>1174</v>
      </c>
      <c r="M1185" s="20" t="s">
        <v>1175</v>
      </c>
      <c r="N1185" s="47">
        <v>45625</v>
      </c>
      <c r="O1185" s="20">
        <f>INDEX(Auxiliar!$D$5:$F$13,MATCH(Table1[[#This Row],[Tipologia_Testes]],Auxiliar!$B$5:$B$13,0),MATCH(Table1[[#This Row],[Complexidade]],Auxiliar!$D$4:$F$4,0))</f>
        <v>2</v>
      </c>
      <c r="P1185" s="42"/>
      <c r="Q1185" s="113"/>
      <c r="R1185" s="151">
        <v>45589</v>
      </c>
      <c r="S1185" s="151"/>
      <c r="T1185" s="151"/>
      <c r="U1185" s="151">
        <v>45614</v>
      </c>
      <c r="V1185" s="151">
        <v>45596</v>
      </c>
      <c r="W1185" s="2">
        <f>VLOOKUP(Table1[[#This Row],[Status]],Auxiliar!$B$16:$D$24,3,0)*Table1[[#This Row],[Estimação (horas)]]</f>
        <v>2</v>
      </c>
      <c r="X1185" s="165">
        <f>+VLOOKUP(CONCATENATE(Table1[[#This Row],[Tabela]],Table1[[#This Row],[Campo]]),'2. Status Detalhe Campos FY24'!A:J,9,FALSE)</f>
        <v>0</v>
      </c>
      <c r="Y1185" s="491" t="e">
        <f>+VLOOKUP(A1185,#REF!,1,FALSE)</f>
        <v>#REF!</v>
      </c>
    </row>
    <row r="1186" spans="1:25" ht="17.899999999999999" hidden="1" customHeight="1">
      <c r="A1186" t="str">
        <f>+Table1[[#This Row],[Tabela]]&amp;Table1[[#This Row],[Campo]]</f>
        <v>lt003_entitytrnstnl_trnvr</v>
      </c>
      <c r="B1186" s="38" t="s">
        <v>26</v>
      </c>
      <c r="C1186" s="38" t="s">
        <v>26</v>
      </c>
      <c r="D1186" s="38" t="s">
        <v>325</v>
      </c>
      <c r="E1186" s="38" t="s">
        <v>253</v>
      </c>
      <c r="F1186" s="38" t="s">
        <v>335</v>
      </c>
      <c r="G1186" s="38" t="s">
        <v>349</v>
      </c>
      <c r="H1186" s="58" t="str">
        <f>Table1[[#This Row],[Tabela]]&amp;Table1[[#This Row],[Campo]]</f>
        <v>lt003_entitytrnstnl_trnvr</v>
      </c>
      <c r="I1186" s="2" t="s">
        <v>612</v>
      </c>
      <c r="J1186" s="44">
        <f>VLOOKUP(Table1[[#This Row],[Status]],Auxiliar!$B$16:$C$24,2,0)</f>
        <v>1</v>
      </c>
      <c r="K1186" s="44" t="s">
        <v>1169</v>
      </c>
      <c r="L1186" s="45" t="s">
        <v>1174</v>
      </c>
      <c r="M1186" s="20" t="s">
        <v>1175</v>
      </c>
      <c r="N1186" s="47">
        <v>45625</v>
      </c>
      <c r="O1186" s="20">
        <f>INDEX(Auxiliar!$D$5:$F$13,MATCH(Table1[[#This Row],[Tipologia_Testes]],Auxiliar!$B$5:$B$13,0),MATCH(Table1[[#This Row],[Complexidade]],Auxiliar!$D$4:$F$4,0))</f>
        <v>2</v>
      </c>
      <c r="P1186" s="42"/>
      <c r="Q1186" s="113"/>
      <c r="R1186" s="151">
        <v>45589</v>
      </c>
      <c r="S1186" s="151"/>
      <c r="T1186" s="151"/>
      <c r="U1186" s="151">
        <v>45614</v>
      </c>
      <c r="V1186" s="151">
        <v>45596</v>
      </c>
      <c r="W1186" s="2">
        <f>VLOOKUP(Table1[[#This Row],[Status]],Auxiliar!$B$16:$D$24,3,0)*Table1[[#This Row],[Estimação (horas)]]</f>
        <v>2</v>
      </c>
      <c r="X1186" s="165">
        <f>+VLOOKUP(CONCATENATE(Table1[[#This Row],[Tabela]],Table1[[#This Row],[Campo]]),'2. Status Detalhe Campos FY24'!A:J,9,FALSE)</f>
        <v>0</v>
      </c>
      <c r="Y1186" s="491" t="e">
        <f>+VLOOKUP(A1186,#REF!,1,FALSE)</f>
        <v>#REF!</v>
      </c>
    </row>
    <row r="1187" spans="1:25" ht="35.15" hidden="1" customHeight="1">
      <c r="A1187" t="str">
        <f>+Table1[[#This Row],[Tabela]]&amp;Table1[[#This Row],[Campo]]</f>
        <v>lt003_entitytrnstnl_trnvr</v>
      </c>
      <c r="B1187" s="38" t="s">
        <v>26</v>
      </c>
      <c r="C1187" s="38" t="s">
        <v>26</v>
      </c>
      <c r="D1187" s="38" t="s">
        <v>325</v>
      </c>
      <c r="E1187" s="38" t="s">
        <v>253</v>
      </c>
      <c r="F1187" s="38" t="s">
        <v>335</v>
      </c>
      <c r="G1187" s="38" t="s">
        <v>349</v>
      </c>
      <c r="H1187" s="58" t="str">
        <f>Table1[[#This Row],[Tabela]]&amp;Table1[[#This Row],[Campo]]</f>
        <v>lt003_entitytrnstnl_trnvr</v>
      </c>
      <c r="I1187" s="2" t="s">
        <v>612</v>
      </c>
      <c r="J1187" s="44">
        <f>VLOOKUP(Table1[[#This Row],[Status]],Auxiliar!$B$16:$C$24,2,0)</f>
        <v>1</v>
      </c>
      <c r="K1187" s="44" t="s">
        <v>1171</v>
      </c>
      <c r="L1187" s="45" t="s">
        <v>1174</v>
      </c>
      <c r="M1187" s="20" t="s">
        <v>1175</v>
      </c>
      <c r="N1187" s="47">
        <v>45625</v>
      </c>
      <c r="O1187" s="20">
        <f>INDEX(Auxiliar!$D$5:$F$13,MATCH(Table1[[#This Row],[Tipologia_Testes]],Auxiliar!$B$5:$B$13,0),MATCH(Table1[[#This Row],[Complexidade]],Auxiliar!$D$4:$F$4,0))</f>
        <v>0.1</v>
      </c>
      <c r="P1187" s="42"/>
      <c r="Q1187" s="113"/>
      <c r="R1187" s="151">
        <v>45589</v>
      </c>
      <c r="S1187" s="151"/>
      <c r="T1187" s="151"/>
      <c r="U1187" s="151">
        <v>45614</v>
      </c>
      <c r="V1187" s="151">
        <v>45596</v>
      </c>
      <c r="W1187" s="2">
        <f>VLOOKUP(Table1[[#This Row],[Status]],Auxiliar!$B$16:$D$24,3,0)*Table1[[#This Row],[Estimação (horas)]]</f>
        <v>0.1</v>
      </c>
      <c r="X1187" s="165">
        <f>+VLOOKUP(CONCATENATE(Table1[[#This Row],[Tabela]],Table1[[#This Row],[Campo]]),'2. Status Detalhe Campos FY24'!A:J,9,FALSE)</f>
        <v>0</v>
      </c>
      <c r="Y1187" s="491" t="e">
        <f>+VLOOKUP(A1187,#REF!,1,FALSE)</f>
        <v>#REF!</v>
      </c>
    </row>
    <row r="1188" spans="1:25" ht="17.899999999999999" hidden="1" customHeight="1">
      <c r="A1188" t="str">
        <f>+Table1[[#This Row],[Tabela]]&amp;Table1[[#This Row],[Campo]]</f>
        <v>lt003_entitypure_trnvr_ccm</v>
      </c>
      <c r="B1188" s="40" t="s">
        <v>26</v>
      </c>
      <c r="C1188" s="40" t="s">
        <v>26</v>
      </c>
      <c r="D1188" s="37" t="s">
        <v>325</v>
      </c>
      <c r="E1188" s="39" t="s">
        <v>254</v>
      </c>
      <c r="F1188" s="39" t="s">
        <v>335</v>
      </c>
      <c r="G1188" s="37" t="s">
        <v>350</v>
      </c>
      <c r="H1188" s="59" t="str">
        <f>Table1[[#This Row],[Tabela]]&amp;Table1[[#This Row],[Campo]]</f>
        <v>lt003_entitypure_trnvr_ccm</v>
      </c>
      <c r="I1188" s="2" t="s">
        <v>612</v>
      </c>
      <c r="J1188" s="44">
        <f>VLOOKUP(Table1[[#This Row],[Status]],Auxiliar!$B$16:$C$24,2,0)</f>
        <v>1</v>
      </c>
      <c r="K1188" s="44" t="s">
        <v>1168</v>
      </c>
      <c r="L1188" s="45" t="s">
        <v>1174</v>
      </c>
      <c r="M1188" s="20" t="s">
        <v>1175</v>
      </c>
      <c r="N1188" s="47">
        <v>45625</v>
      </c>
      <c r="O1188" s="20">
        <f>INDEX(Auxiliar!$D$5:$F$13,MATCH(Table1[[#This Row],[Tipologia_Testes]],Auxiliar!$B$5:$B$13,0),MATCH(Table1[[#This Row],[Complexidade]],Auxiliar!$D$4:$F$4,0))</f>
        <v>2</v>
      </c>
      <c r="P1188" s="42"/>
      <c r="Q1188" s="113"/>
      <c r="R1188" s="151">
        <v>45589</v>
      </c>
      <c r="S1188" s="151"/>
      <c r="T1188" s="151"/>
      <c r="U1188" s="151">
        <v>45614</v>
      </c>
      <c r="V1188" s="151">
        <v>45596</v>
      </c>
      <c r="W1188" s="2">
        <f>VLOOKUP(Table1[[#This Row],[Status]],Auxiliar!$B$16:$D$24,3,0)*Table1[[#This Row],[Estimação (horas)]]</f>
        <v>2</v>
      </c>
      <c r="X1188" s="165">
        <f>+VLOOKUP(CONCATENATE(Table1[[#This Row],[Tabela]],Table1[[#This Row],[Campo]]),'2. Status Detalhe Campos FY24'!A:J,9,FALSE)</f>
        <v>0</v>
      </c>
      <c r="Y1188" s="491" t="e">
        <f>+VLOOKUP(A1188,#REF!,1,FALSE)</f>
        <v>#REF!</v>
      </c>
    </row>
    <row r="1189" spans="1:25" ht="17.899999999999999" hidden="1" customHeight="1">
      <c r="A1189" t="str">
        <f>+Table1[[#This Row],[Tabela]]&amp;Table1[[#This Row],[Campo]]</f>
        <v>lt003_entitypure_trnvr_ccm</v>
      </c>
      <c r="B1189" s="38" t="s">
        <v>26</v>
      </c>
      <c r="C1189" s="38" t="s">
        <v>26</v>
      </c>
      <c r="D1189" s="38" t="s">
        <v>325</v>
      </c>
      <c r="E1189" s="38" t="s">
        <v>254</v>
      </c>
      <c r="F1189" s="38" t="s">
        <v>335</v>
      </c>
      <c r="G1189" s="38" t="s">
        <v>350</v>
      </c>
      <c r="H1189" s="58" t="str">
        <f>Table1[[#This Row],[Tabela]]&amp;Table1[[#This Row],[Campo]]</f>
        <v>lt003_entitypure_trnvr_ccm</v>
      </c>
      <c r="I1189" s="2" t="s">
        <v>612</v>
      </c>
      <c r="J1189" s="44">
        <f>VLOOKUP(Table1[[#This Row],[Status]],Auxiliar!$B$16:$C$24,2,0)</f>
        <v>1</v>
      </c>
      <c r="K1189" s="44" t="s">
        <v>1169</v>
      </c>
      <c r="L1189" s="45" t="s">
        <v>1174</v>
      </c>
      <c r="M1189" s="20" t="s">
        <v>1175</v>
      </c>
      <c r="N1189" s="47">
        <v>45625</v>
      </c>
      <c r="O1189" s="20">
        <f>INDEX(Auxiliar!$D$5:$F$13,MATCH(Table1[[#This Row],[Tipologia_Testes]],Auxiliar!$B$5:$B$13,0),MATCH(Table1[[#This Row],[Complexidade]],Auxiliar!$D$4:$F$4,0))</f>
        <v>2</v>
      </c>
      <c r="P1189" s="42"/>
      <c r="Q1189" s="113"/>
      <c r="R1189" s="151">
        <v>45589</v>
      </c>
      <c r="S1189" s="151"/>
      <c r="T1189" s="151"/>
      <c r="U1189" s="151">
        <v>45614</v>
      </c>
      <c r="V1189" s="151">
        <v>45596</v>
      </c>
      <c r="W1189" s="2">
        <f>VLOOKUP(Table1[[#This Row],[Status]],Auxiliar!$B$16:$D$24,3,0)*Table1[[#This Row],[Estimação (horas)]]</f>
        <v>2</v>
      </c>
      <c r="X1189" s="165">
        <f>+VLOOKUP(CONCATENATE(Table1[[#This Row],[Tabela]],Table1[[#This Row],[Campo]]),'2. Status Detalhe Campos FY24'!A:J,9,FALSE)</f>
        <v>0</v>
      </c>
      <c r="Y1189" s="491" t="e">
        <f>+VLOOKUP(A1189,#REF!,1,FALSE)</f>
        <v>#REF!</v>
      </c>
    </row>
    <row r="1190" spans="1:25" ht="35.15" hidden="1" customHeight="1">
      <c r="A1190" t="str">
        <f>+Table1[[#This Row],[Tabela]]&amp;Table1[[#This Row],[Campo]]</f>
        <v>lt003_entitypure_trnvr_ccm</v>
      </c>
      <c r="B1190" s="38" t="s">
        <v>26</v>
      </c>
      <c r="C1190" s="38" t="s">
        <v>26</v>
      </c>
      <c r="D1190" s="38" t="s">
        <v>325</v>
      </c>
      <c r="E1190" s="38" t="s">
        <v>254</v>
      </c>
      <c r="F1190" s="38" t="s">
        <v>335</v>
      </c>
      <c r="G1190" s="38" t="s">
        <v>350</v>
      </c>
      <c r="H1190" s="58" t="str">
        <f>Table1[[#This Row],[Tabela]]&amp;Table1[[#This Row],[Campo]]</f>
        <v>lt003_entitypure_trnvr_ccm</v>
      </c>
      <c r="I1190" s="2" t="s">
        <v>612</v>
      </c>
      <c r="J1190" s="44">
        <f>VLOOKUP(Table1[[#This Row],[Status]],Auxiliar!$B$16:$C$24,2,0)</f>
        <v>1</v>
      </c>
      <c r="K1190" s="44" t="s">
        <v>1171</v>
      </c>
      <c r="L1190" s="45" t="s">
        <v>1174</v>
      </c>
      <c r="M1190" s="20" t="s">
        <v>1175</v>
      </c>
      <c r="N1190" s="47">
        <v>45625</v>
      </c>
      <c r="O1190" s="20">
        <f>INDEX(Auxiliar!$D$5:$F$13,MATCH(Table1[[#This Row],[Tipologia_Testes]],Auxiliar!$B$5:$B$13,0),MATCH(Table1[[#This Row],[Complexidade]],Auxiliar!$D$4:$F$4,0))</f>
        <v>0.1</v>
      </c>
      <c r="P1190" s="42"/>
      <c r="Q1190" s="113"/>
      <c r="R1190" s="151">
        <v>45589</v>
      </c>
      <c r="S1190" s="151"/>
      <c r="T1190" s="151"/>
      <c r="U1190" s="151">
        <v>45614</v>
      </c>
      <c r="V1190" s="151">
        <v>45596</v>
      </c>
      <c r="W1190" s="2">
        <f>VLOOKUP(Table1[[#This Row],[Status]],Auxiliar!$B$16:$D$24,3,0)*Table1[[#This Row],[Estimação (horas)]]</f>
        <v>0.1</v>
      </c>
      <c r="X1190" s="165">
        <f>+VLOOKUP(CONCATENATE(Table1[[#This Row],[Tabela]],Table1[[#This Row],[Campo]]),'2. Status Detalhe Campos FY24'!A:J,9,FALSE)</f>
        <v>0</v>
      </c>
      <c r="Y1190" s="491" t="e">
        <f>+VLOOKUP(A1190,#REF!,1,FALSE)</f>
        <v>#REF!</v>
      </c>
    </row>
    <row r="1191" spans="1:25" ht="17.899999999999999" hidden="1" customHeight="1">
      <c r="A1191" t="str">
        <f>+Table1[[#This Row],[Tabela]]&amp;Table1[[#This Row],[Campo]]</f>
        <v>lt003_entitypure_trnvr_cca</v>
      </c>
      <c r="B1191" s="40" t="s">
        <v>26</v>
      </c>
      <c r="C1191" s="40" t="s">
        <v>26</v>
      </c>
      <c r="D1191" s="37" t="s">
        <v>325</v>
      </c>
      <c r="E1191" s="39" t="s">
        <v>247</v>
      </c>
      <c r="F1191" s="39" t="s">
        <v>335</v>
      </c>
      <c r="G1191" s="37" t="s">
        <v>351</v>
      </c>
      <c r="H1191" s="59" t="str">
        <f>Table1[[#This Row],[Tabela]]&amp;Table1[[#This Row],[Campo]]</f>
        <v>lt003_entitypure_trnvr_cca</v>
      </c>
      <c r="I1191" s="2" t="s">
        <v>612</v>
      </c>
      <c r="J1191" s="44">
        <f>VLOOKUP(Table1[[#This Row],[Status]],Auxiliar!$B$16:$C$24,2,0)</f>
        <v>1</v>
      </c>
      <c r="K1191" s="44" t="s">
        <v>1168</v>
      </c>
      <c r="L1191" s="45" t="s">
        <v>1174</v>
      </c>
      <c r="M1191" s="20" t="s">
        <v>1175</v>
      </c>
      <c r="N1191" s="47">
        <v>45625</v>
      </c>
      <c r="O1191" s="20">
        <f>INDEX(Auxiliar!$D$5:$F$13,MATCH(Table1[[#This Row],[Tipologia_Testes]],Auxiliar!$B$5:$B$13,0),MATCH(Table1[[#This Row],[Complexidade]],Auxiliar!$D$4:$F$4,0))</f>
        <v>2</v>
      </c>
      <c r="P1191" s="42"/>
      <c r="Q1191" s="113"/>
      <c r="R1191" s="151">
        <v>45589</v>
      </c>
      <c r="S1191" s="151"/>
      <c r="T1191" s="151"/>
      <c r="U1191" s="151">
        <v>45614</v>
      </c>
      <c r="V1191" s="151">
        <v>45596</v>
      </c>
      <c r="W1191" s="2">
        <f>VLOOKUP(Table1[[#This Row],[Status]],Auxiliar!$B$16:$D$24,3,0)*Table1[[#This Row],[Estimação (horas)]]</f>
        <v>2</v>
      </c>
      <c r="X1191" s="165">
        <f>+VLOOKUP(CONCATENATE(Table1[[#This Row],[Tabela]],Table1[[#This Row],[Campo]]),'2. Status Detalhe Campos FY24'!A:J,9,FALSE)</f>
        <v>0</v>
      </c>
      <c r="Y1191" s="491" t="e">
        <f>+VLOOKUP(A1191,#REF!,1,FALSE)</f>
        <v>#REF!</v>
      </c>
    </row>
    <row r="1192" spans="1:25" ht="17.899999999999999" hidden="1" customHeight="1">
      <c r="A1192" t="str">
        <f>+Table1[[#This Row],[Tabela]]&amp;Table1[[#This Row],[Campo]]</f>
        <v>lt003_entitypure_trnvr_cca</v>
      </c>
      <c r="B1192" s="38" t="s">
        <v>26</v>
      </c>
      <c r="C1192" s="38" t="s">
        <v>26</v>
      </c>
      <c r="D1192" s="38" t="s">
        <v>325</v>
      </c>
      <c r="E1192" s="38" t="s">
        <v>247</v>
      </c>
      <c r="F1192" s="38" t="s">
        <v>335</v>
      </c>
      <c r="G1192" s="38" t="s">
        <v>351</v>
      </c>
      <c r="H1192" s="58" t="str">
        <f>Table1[[#This Row],[Tabela]]&amp;Table1[[#This Row],[Campo]]</f>
        <v>lt003_entitypure_trnvr_cca</v>
      </c>
      <c r="I1192" s="2" t="s">
        <v>612</v>
      </c>
      <c r="J1192" s="44">
        <f>VLOOKUP(Table1[[#This Row],[Status]],Auxiliar!$B$16:$C$24,2,0)</f>
        <v>1</v>
      </c>
      <c r="K1192" s="44" t="s">
        <v>1169</v>
      </c>
      <c r="L1192" s="45" t="s">
        <v>1174</v>
      </c>
      <c r="M1192" s="20" t="s">
        <v>1175</v>
      </c>
      <c r="N1192" s="47">
        <v>45625</v>
      </c>
      <c r="O1192" s="20">
        <f>INDEX(Auxiliar!$D$5:$F$13,MATCH(Table1[[#This Row],[Tipologia_Testes]],Auxiliar!$B$5:$B$13,0),MATCH(Table1[[#This Row],[Complexidade]],Auxiliar!$D$4:$F$4,0))</f>
        <v>2</v>
      </c>
      <c r="P1192" s="42"/>
      <c r="Q1192" s="113"/>
      <c r="R1192" s="151">
        <v>45589</v>
      </c>
      <c r="S1192" s="151"/>
      <c r="T1192" s="151"/>
      <c r="U1192" s="151">
        <v>45614</v>
      </c>
      <c r="V1192" s="151">
        <v>45596</v>
      </c>
      <c r="W1192" s="2">
        <f>VLOOKUP(Table1[[#This Row],[Status]],Auxiliar!$B$16:$D$24,3,0)*Table1[[#This Row],[Estimação (horas)]]</f>
        <v>2</v>
      </c>
      <c r="X1192" s="165">
        <f>+VLOOKUP(CONCATENATE(Table1[[#This Row],[Tabela]],Table1[[#This Row],[Campo]]),'2. Status Detalhe Campos FY24'!A:J,9,FALSE)</f>
        <v>0</v>
      </c>
      <c r="Y1192" s="491" t="e">
        <f>+VLOOKUP(A1192,#REF!,1,FALSE)</f>
        <v>#REF!</v>
      </c>
    </row>
    <row r="1193" spans="1:25" ht="35.15" hidden="1" customHeight="1">
      <c r="A1193" t="str">
        <f>+Table1[[#This Row],[Tabela]]&amp;Table1[[#This Row],[Campo]]</f>
        <v>lt003_entitypure_trnvr_cca</v>
      </c>
      <c r="B1193" s="38" t="s">
        <v>26</v>
      </c>
      <c r="C1193" s="38" t="s">
        <v>26</v>
      </c>
      <c r="D1193" s="38" t="s">
        <v>325</v>
      </c>
      <c r="E1193" s="38" t="s">
        <v>247</v>
      </c>
      <c r="F1193" s="38" t="s">
        <v>335</v>
      </c>
      <c r="G1193" s="38" t="s">
        <v>351</v>
      </c>
      <c r="H1193" s="58" t="str">
        <f>Table1[[#This Row],[Tabela]]&amp;Table1[[#This Row],[Campo]]</f>
        <v>lt003_entitypure_trnvr_cca</v>
      </c>
      <c r="I1193" s="2" t="s">
        <v>612</v>
      </c>
      <c r="J1193" s="44">
        <f>VLOOKUP(Table1[[#This Row],[Status]],Auxiliar!$B$16:$C$24,2,0)</f>
        <v>1</v>
      </c>
      <c r="K1193" s="44" t="s">
        <v>1171</v>
      </c>
      <c r="L1193" s="45" t="s">
        <v>1174</v>
      </c>
      <c r="M1193" s="20" t="s">
        <v>1175</v>
      </c>
      <c r="N1193" s="47">
        <v>45625</v>
      </c>
      <c r="O1193" s="20">
        <f>INDEX(Auxiliar!$D$5:$F$13,MATCH(Table1[[#This Row],[Tipologia_Testes]],Auxiliar!$B$5:$B$13,0),MATCH(Table1[[#This Row],[Complexidade]],Auxiliar!$D$4:$F$4,0))</f>
        <v>0.1</v>
      </c>
      <c r="P1193" s="42"/>
      <c r="Q1193" s="113"/>
      <c r="R1193" s="151">
        <v>45589</v>
      </c>
      <c r="S1193" s="151"/>
      <c r="T1193" s="151"/>
      <c r="U1193" s="151">
        <v>45614</v>
      </c>
      <c r="V1193" s="151">
        <v>45596</v>
      </c>
      <c r="W1193" s="2">
        <f>VLOOKUP(Table1[[#This Row],[Status]],Auxiliar!$B$16:$D$24,3,0)*Table1[[#This Row],[Estimação (horas)]]</f>
        <v>0.1</v>
      </c>
      <c r="X1193" s="165">
        <f>+VLOOKUP(CONCATENATE(Table1[[#This Row],[Tabela]],Table1[[#This Row],[Campo]]),'2. Status Detalhe Campos FY24'!A:J,9,FALSE)</f>
        <v>0</v>
      </c>
      <c r="Y1193" s="491" t="e">
        <f>+VLOOKUP(A1193,#REF!,1,FALSE)</f>
        <v>#REF!</v>
      </c>
    </row>
    <row r="1194" spans="1:25" ht="17.899999999999999" hidden="1" customHeight="1">
      <c r="A1194" t="str">
        <f>+Table1[[#This Row],[Tabela]]&amp;Table1[[#This Row],[Campo]]</f>
        <v>lt003_entityflg_nfrd_applcblty</v>
      </c>
      <c r="B1194" s="40" t="s">
        <v>26</v>
      </c>
      <c r="C1194" s="40" t="s">
        <v>26</v>
      </c>
      <c r="D1194" s="35" t="s">
        <v>325</v>
      </c>
      <c r="E1194" s="110" t="s">
        <v>1252</v>
      </c>
      <c r="F1194" s="39" t="s">
        <v>335</v>
      </c>
      <c r="G1194" s="37" t="s">
        <v>352</v>
      </c>
      <c r="H1194" s="59" t="str">
        <f>Table1[[#This Row],[Tabela]]&amp;Table1[[#This Row],[Campo]]</f>
        <v>lt003_entityflg_nfrd_applcblty</v>
      </c>
      <c r="I1194" s="2" t="s">
        <v>612</v>
      </c>
      <c r="J1194" s="44">
        <f>VLOOKUP(Table1[[#This Row],[Status]],Auxiliar!$B$16:$C$24,2,0)</f>
        <v>1</v>
      </c>
      <c r="K1194" s="44" t="s">
        <v>1168</v>
      </c>
      <c r="L1194" s="45" t="s">
        <v>1174</v>
      </c>
      <c r="M1194" s="20" t="s">
        <v>1175</v>
      </c>
      <c r="N1194" s="47">
        <v>45632</v>
      </c>
      <c r="O1194" s="20">
        <f>INDEX(Auxiliar!$D$5:$F$13,MATCH(Table1[[#This Row],[Tipologia_Testes]],Auxiliar!$B$5:$B$13,0),MATCH(Table1[[#This Row],[Complexidade]],Auxiliar!$D$4:$F$4,0))</f>
        <v>2</v>
      </c>
      <c r="P1194" s="42"/>
      <c r="Q1194" s="113"/>
      <c r="R1194" s="151">
        <v>45589</v>
      </c>
      <c r="S1194" s="151"/>
      <c r="T1194" s="151">
        <v>45589</v>
      </c>
      <c r="U1194" s="151">
        <v>45611</v>
      </c>
      <c r="V1194" s="151">
        <v>45611</v>
      </c>
      <c r="W1194" s="2">
        <f>VLOOKUP(Table1[[#This Row],[Status]],Auxiliar!$B$16:$D$24,3,0)*Table1[[#This Row],[Estimação (horas)]]</f>
        <v>2</v>
      </c>
      <c r="X1194" s="165">
        <f>+VLOOKUP(CONCATENATE(Table1[[#This Row],[Tabela]],Table1[[#This Row],[Campo]]),'2. Status Detalhe Campos FY24'!A:J,9,FALSE)</f>
        <v>0</v>
      </c>
      <c r="Y1194" s="491" t="e">
        <f>+VLOOKUP(A1194,#REF!,1,FALSE)</f>
        <v>#REF!</v>
      </c>
    </row>
    <row r="1195" spans="1:25" ht="17.899999999999999" hidden="1" customHeight="1">
      <c r="A1195" t="str">
        <f>+Table1[[#This Row],[Tabela]]&amp;Table1[[#This Row],[Campo]]</f>
        <v>lt003_entityflg_nfrd_applcblty</v>
      </c>
      <c r="B1195" s="38" t="s">
        <v>26</v>
      </c>
      <c r="C1195" s="38" t="s">
        <v>26</v>
      </c>
      <c r="D1195" s="38" t="s">
        <v>325</v>
      </c>
      <c r="E1195" s="38" t="s">
        <v>1252</v>
      </c>
      <c r="F1195" s="38" t="s">
        <v>335</v>
      </c>
      <c r="G1195" s="38" t="s">
        <v>352</v>
      </c>
      <c r="H1195" s="58" t="str">
        <f>Table1[[#This Row],[Tabela]]&amp;Table1[[#This Row],[Campo]]</f>
        <v>lt003_entityflg_nfrd_applcblty</v>
      </c>
      <c r="I1195" s="2" t="s">
        <v>612</v>
      </c>
      <c r="J1195" s="44">
        <f>VLOOKUP(Table1[[#This Row],[Status]],Auxiliar!$B$16:$C$24,2,0)</f>
        <v>1</v>
      </c>
      <c r="K1195" s="44" t="s">
        <v>1169</v>
      </c>
      <c r="L1195" s="45" t="s">
        <v>1174</v>
      </c>
      <c r="M1195" s="20" t="s">
        <v>1175</v>
      </c>
      <c r="N1195" s="47">
        <v>45632</v>
      </c>
      <c r="O1195" s="20">
        <f>INDEX(Auxiliar!$D$5:$F$13,MATCH(Table1[[#This Row],[Tipologia_Testes]],Auxiliar!$B$5:$B$13,0),MATCH(Table1[[#This Row],[Complexidade]],Auxiliar!$D$4:$F$4,0))</f>
        <v>2</v>
      </c>
      <c r="P1195" s="42"/>
      <c r="Q1195" s="113"/>
      <c r="R1195" s="151">
        <v>45589</v>
      </c>
      <c r="S1195" s="151"/>
      <c r="T1195" s="151">
        <v>45589</v>
      </c>
      <c r="U1195" s="151">
        <v>45611</v>
      </c>
      <c r="V1195" s="151">
        <v>45611</v>
      </c>
      <c r="W1195" s="2">
        <f>VLOOKUP(Table1[[#This Row],[Status]],Auxiliar!$B$16:$D$24,3,0)*Table1[[#This Row],[Estimação (horas)]]</f>
        <v>2</v>
      </c>
      <c r="X1195" s="165">
        <f>+VLOOKUP(CONCATENATE(Table1[[#This Row],[Tabela]],Table1[[#This Row],[Campo]]),'2. Status Detalhe Campos FY24'!A:J,9,FALSE)</f>
        <v>0</v>
      </c>
      <c r="Y1195" s="491" t="e">
        <f>+VLOOKUP(A1195,#REF!,1,FALSE)</f>
        <v>#REF!</v>
      </c>
    </row>
    <row r="1196" spans="1:25" ht="35.15" hidden="1" customHeight="1">
      <c r="A1196" t="str">
        <f>+Table1[[#This Row],[Tabela]]&amp;Table1[[#This Row],[Campo]]</f>
        <v>lt003_entityflg_nfrd_applcblty</v>
      </c>
      <c r="B1196" s="38" t="s">
        <v>26</v>
      </c>
      <c r="C1196" s="38" t="s">
        <v>26</v>
      </c>
      <c r="D1196" s="38" t="s">
        <v>325</v>
      </c>
      <c r="E1196" s="38" t="s">
        <v>1252</v>
      </c>
      <c r="F1196" s="38" t="s">
        <v>335</v>
      </c>
      <c r="G1196" s="38" t="s">
        <v>352</v>
      </c>
      <c r="H1196" s="58" t="str">
        <f>Table1[[#This Row],[Tabela]]&amp;Table1[[#This Row],[Campo]]</f>
        <v>lt003_entityflg_nfrd_applcblty</v>
      </c>
      <c r="I1196" s="2" t="s">
        <v>612</v>
      </c>
      <c r="J1196" s="44">
        <f>VLOOKUP(Table1[[#This Row],[Status]],Auxiliar!$B$16:$C$24,2,0)</f>
        <v>1</v>
      </c>
      <c r="K1196" s="44" t="s">
        <v>1171</v>
      </c>
      <c r="L1196" s="45" t="s">
        <v>1174</v>
      </c>
      <c r="M1196" s="20" t="s">
        <v>1175</v>
      </c>
      <c r="N1196" s="47">
        <v>45632</v>
      </c>
      <c r="O1196" s="20">
        <f>INDEX(Auxiliar!$D$5:$F$13,MATCH(Table1[[#This Row],[Tipologia_Testes]],Auxiliar!$B$5:$B$13,0),MATCH(Table1[[#This Row],[Complexidade]],Auxiliar!$D$4:$F$4,0))</f>
        <v>0.1</v>
      </c>
      <c r="P1196" s="42"/>
      <c r="Q1196" s="113"/>
      <c r="R1196" s="151">
        <v>45589</v>
      </c>
      <c r="S1196" s="151"/>
      <c r="T1196" s="151">
        <v>45589</v>
      </c>
      <c r="U1196" s="151">
        <v>45611</v>
      </c>
      <c r="V1196" s="151">
        <v>45611</v>
      </c>
      <c r="W1196" s="2">
        <f>VLOOKUP(Table1[[#This Row],[Status]],Auxiliar!$B$16:$D$24,3,0)*Table1[[#This Row],[Estimação (horas)]]</f>
        <v>0.1</v>
      </c>
      <c r="X1196" s="165">
        <f>+VLOOKUP(CONCATENATE(Table1[[#This Row],[Tabela]],Table1[[#This Row],[Campo]]),'2. Status Detalhe Campos FY24'!A:J,9,FALSE)</f>
        <v>0</v>
      </c>
      <c r="Y1196" s="491" t="e">
        <f>+VLOOKUP(A1196,#REF!,1,FALSE)</f>
        <v>#REF!</v>
      </c>
    </row>
    <row r="1197" spans="1:25" ht="17.899999999999999" hidden="1" customHeight="1">
      <c r="A1197" t="str">
        <f>+Table1[[#This Row],[Tabela]]&amp;Table1[[#This Row],[Campo]]</f>
        <v>lt003_entitycntrprty_emssns_scp1</v>
      </c>
      <c r="B1197" s="40" t="s">
        <v>26</v>
      </c>
      <c r="C1197" s="40" t="s">
        <v>26</v>
      </c>
      <c r="D1197" s="35" t="s">
        <v>325</v>
      </c>
      <c r="E1197" s="110" t="s">
        <v>285</v>
      </c>
      <c r="F1197" s="39" t="s">
        <v>335</v>
      </c>
      <c r="G1197" s="37" t="s">
        <v>353</v>
      </c>
      <c r="H1197" s="59" t="str">
        <f>Table1[[#This Row],[Tabela]]&amp;Table1[[#This Row],[Campo]]</f>
        <v>lt003_entitycntrprty_emssns_scp1</v>
      </c>
      <c r="I1197" s="2" t="s">
        <v>612</v>
      </c>
      <c r="J1197" s="44">
        <f>VLOOKUP(Table1[[#This Row],[Status]],Auxiliar!$B$16:$C$24,2,0)</f>
        <v>1</v>
      </c>
      <c r="K1197" s="44" t="s">
        <v>1168</v>
      </c>
      <c r="L1197" s="45" t="s">
        <v>1174</v>
      </c>
      <c r="M1197" s="20" t="s">
        <v>1175</v>
      </c>
      <c r="N1197" s="47">
        <v>45674</v>
      </c>
      <c r="O1197" s="20">
        <f>INDEX(Auxiliar!$D$5:$F$13,MATCH(Table1[[#This Row],[Tipologia_Testes]],Auxiliar!$B$5:$B$13,0),MATCH(Table1[[#This Row],[Complexidade]],Auxiliar!$D$4:$F$4,0))</f>
        <v>2</v>
      </c>
      <c r="P1197" s="42"/>
      <c r="Q1197" s="113"/>
      <c r="R1197" s="151">
        <v>45589</v>
      </c>
      <c r="S1197" s="151"/>
      <c r="T1197" s="151"/>
      <c r="U1197" s="151">
        <v>45621</v>
      </c>
      <c r="V1197" s="151">
        <v>45596</v>
      </c>
      <c r="W1197" s="2">
        <f>VLOOKUP(Table1[[#This Row],[Status]],Auxiliar!$B$16:$D$24,3,0)*Table1[[#This Row],[Estimação (horas)]]</f>
        <v>2</v>
      </c>
      <c r="X1197" s="165">
        <f>+VLOOKUP(CONCATENATE(Table1[[#This Row],[Tabela]],Table1[[#This Row],[Campo]]),'2. Status Detalhe Campos FY24'!A:J,9,FALSE)</f>
        <v>0</v>
      </c>
      <c r="Y1197" s="491" t="e">
        <f>+VLOOKUP(A1197,#REF!,1,FALSE)</f>
        <v>#REF!</v>
      </c>
    </row>
    <row r="1198" spans="1:25" ht="17.899999999999999" hidden="1" customHeight="1">
      <c r="A1198" t="str">
        <f>+Table1[[#This Row],[Tabela]]&amp;Table1[[#This Row],[Campo]]</f>
        <v>lt003_entitycntrprty_emssns_scp1</v>
      </c>
      <c r="B1198" s="38" t="s">
        <v>26</v>
      </c>
      <c r="C1198" s="38" t="s">
        <v>26</v>
      </c>
      <c r="D1198" s="38" t="s">
        <v>325</v>
      </c>
      <c r="E1198" s="38" t="s">
        <v>285</v>
      </c>
      <c r="F1198" s="38" t="s">
        <v>335</v>
      </c>
      <c r="G1198" s="38" t="s">
        <v>353</v>
      </c>
      <c r="H1198" s="58" t="str">
        <f>Table1[[#This Row],[Tabela]]&amp;Table1[[#This Row],[Campo]]</f>
        <v>lt003_entitycntrprty_emssns_scp1</v>
      </c>
      <c r="I1198" s="2" t="s">
        <v>612</v>
      </c>
      <c r="J1198" s="44">
        <f>VLOOKUP(Table1[[#This Row],[Status]],Auxiliar!$B$16:$C$24,2,0)</f>
        <v>1</v>
      </c>
      <c r="K1198" s="44" t="s">
        <v>1169</v>
      </c>
      <c r="L1198" s="45" t="s">
        <v>1174</v>
      </c>
      <c r="M1198" s="20" t="s">
        <v>1175</v>
      </c>
      <c r="N1198" s="47">
        <v>45674</v>
      </c>
      <c r="O1198" s="20">
        <f>INDEX(Auxiliar!$D$5:$F$13,MATCH(Table1[[#This Row],[Tipologia_Testes]],Auxiliar!$B$5:$B$13,0),MATCH(Table1[[#This Row],[Complexidade]],Auxiliar!$D$4:$F$4,0))</f>
        <v>2</v>
      </c>
      <c r="P1198" s="42"/>
      <c r="Q1198" s="113"/>
      <c r="R1198" s="151">
        <v>45589</v>
      </c>
      <c r="S1198" s="151"/>
      <c r="T1198" s="151"/>
      <c r="U1198" s="151">
        <v>45621</v>
      </c>
      <c r="V1198" s="151">
        <v>45596</v>
      </c>
      <c r="W1198" s="2">
        <f>VLOOKUP(Table1[[#This Row],[Status]],Auxiliar!$B$16:$D$24,3,0)*Table1[[#This Row],[Estimação (horas)]]</f>
        <v>2</v>
      </c>
      <c r="X1198" s="165">
        <f>+VLOOKUP(CONCATENATE(Table1[[#This Row],[Tabela]],Table1[[#This Row],[Campo]]),'2. Status Detalhe Campos FY24'!A:J,9,FALSE)</f>
        <v>0</v>
      </c>
      <c r="Y1198" s="491" t="e">
        <f>+VLOOKUP(A1198,#REF!,1,FALSE)</f>
        <v>#REF!</v>
      </c>
    </row>
    <row r="1199" spans="1:25" ht="35.15" hidden="1" customHeight="1">
      <c r="A1199" t="str">
        <f>+Table1[[#This Row],[Tabela]]&amp;Table1[[#This Row],[Campo]]</f>
        <v>lt003_entitycntrprty_emssns_scp1</v>
      </c>
      <c r="B1199" s="38" t="s">
        <v>26</v>
      </c>
      <c r="C1199" s="38" t="s">
        <v>26</v>
      </c>
      <c r="D1199" s="38" t="s">
        <v>325</v>
      </c>
      <c r="E1199" s="38" t="s">
        <v>285</v>
      </c>
      <c r="F1199" s="38" t="s">
        <v>335</v>
      </c>
      <c r="G1199" s="38" t="s">
        <v>353</v>
      </c>
      <c r="H1199" s="58" t="str">
        <f>Table1[[#This Row],[Tabela]]&amp;Table1[[#This Row],[Campo]]</f>
        <v>lt003_entitycntrprty_emssns_scp1</v>
      </c>
      <c r="I1199" s="2" t="s">
        <v>612</v>
      </c>
      <c r="J1199" s="44">
        <f>VLOOKUP(Table1[[#This Row],[Status]],Auxiliar!$B$16:$C$24,2,0)</f>
        <v>1</v>
      </c>
      <c r="K1199" s="44" t="s">
        <v>1171</v>
      </c>
      <c r="L1199" s="45" t="s">
        <v>1174</v>
      </c>
      <c r="M1199" s="20" t="s">
        <v>1175</v>
      </c>
      <c r="N1199" s="47">
        <v>45674</v>
      </c>
      <c r="O1199" s="20">
        <f>INDEX(Auxiliar!$D$5:$F$13,MATCH(Table1[[#This Row],[Tipologia_Testes]],Auxiliar!$B$5:$B$13,0),MATCH(Table1[[#This Row],[Complexidade]],Auxiliar!$D$4:$F$4,0))</f>
        <v>0.1</v>
      </c>
      <c r="P1199" s="42"/>
      <c r="Q1199" s="113"/>
      <c r="R1199" s="151">
        <v>45589</v>
      </c>
      <c r="S1199" s="151"/>
      <c r="T1199" s="151"/>
      <c r="U1199" s="151">
        <v>45621</v>
      </c>
      <c r="V1199" s="151">
        <v>45596</v>
      </c>
      <c r="W1199" s="2">
        <f>VLOOKUP(Table1[[#This Row],[Status]],Auxiliar!$B$16:$D$24,3,0)*Table1[[#This Row],[Estimação (horas)]]</f>
        <v>0.1</v>
      </c>
      <c r="X1199" s="165">
        <f>+VLOOKUP(CONCATENATE(Table1[[#This Row],[Tabela]],Table1[[#This Row],[Campo]]),'2. Status Detalhe Campos FY24'!A:J,9,FALSE)</f>
        <v>0</v>
      </c>
      <c r="Y1199" s="491" t="e">
        <f>+VLOOKUP(A1199,#REF!,1,FALSE)</f>
        <v>#REF!</v>
      </c>
    </row>
    <row r="1200" spans="1:25" ht="17.899999999999999" hidden="1" customHeight="1">
      <c r="A1200" t="str">
        <f>+Table1[[#This Row],[Tabela]]&amp;Table1[[#This Row],[Campo]]</f>
        <v>lt003_entitycntrprty_emssns_scp2</v>
      </c>
      <c r="B1200" s="40" t="s">
        <v>26</v>
      </c>
      <c r="C1200" s="40" t="s">
        <v>26</v>
      </c>
      <c r="D1200" s="35" t="s">
        <v>325</v>
      </c>
      <c r="E1200" s="110" t="s">
        <v>286</v>
      </c>
      <c r="F1200" s="39" t="s">
        <v>335</v>
      </c>
      <c r="G1200" s="37" t="s">
        <v>354</v>
      </c>
      <c r="H1200" s="59" t="str">
        <f>Table1[[#This Row],[Tabela]]&amp;Table1[[#This Row],[Campo]]</f>
        <v>lt003_entitycntrprty_emssns_scp2</v>
      </c>
      <c r="I1200" s="2" t="s">
        <v>612</v>
      </c>
      <c r="J1200" s="44">
        <f>VLOOKUP(Table1[[#This Row],[Status]],Auxiliar!$B$16:$C$24,2,0)</f>
        <v>1</v>
      </c>
      <c r="K1200" s="44" t="s">
        <v>1168</v>
      </c>
      <c r="L1200" s="45" t="s">
        <v>1174</v>
      </c>
      <c r="M1200" s="20" t="s">
        <v>1175</v>
      </c>
      <c r="N1200" s="47">
        <v>45674</v>
      </c>
      <c r="O1200" s="20">
        <f>INDEX(Auxiliar!$D$5:$F$13,MATCH(Table1[[#This Row],[Tipologia_Testes]],Auxiliar!$B$5:$B$13,0),MATCH(Table1[[#This Row],[Complexidade]],Auxiliar!$D$4:$F$4,0))</f>
        <v>2</v>
      </c>
      <c r="P1200" s="42"/>
      <c r="Q1200" s="113"/>
      <c r="R1200" s="151">
        <v>45589</v>
      </c>
      <c r="S1200" s="151"/>
      <c r="T1200" s="151"/>
      <c r="U1200" s="151">
        <v>45621</v>
      </c>
      <c r="V1200" s="151">
        <v>45596</v>
      </c>
      <c r="W1200" s="2">
        <f>VLOOKUP(Table1[[#This Row],[Status]],Auxiliar!$B$16:$D$24,3,0)*Table1[[#This Row],[Estimação (horas)]]</f>
        <v>2</v>
      </c>
      <c r="X1200" s="165">
        <f>+VLOOKUP(CONCATENATE(Table1[[#This Row],[Tabela]],Table1[[#This Row],[Campo]]),'2. Status Detalhe Campos FY24'!A:J,9,FALSE)</f>
        <v>0</v>
      </c>
      <c r="Y1200" s="491" t="e">
        <f>+VLOOKUP(A1200,#REF!,1,FALSE)</f>
        <v>#REF!</v>
      </c>
    </row>
    <row r="1201" spans="1:25" ht="17.899999999999999" hidden="1" customHeight="1">
      <c r="A1201" t="str">
        <f>+Table1[[#This Row],[Tabela]]&amp;Table1[[#This Row],[Campo]]</f>
        <v>lt003_entitycntrprty_emssns_scp2</v>
      </c>
      <c r="B1201" s="38" t="s">
        <v>26</v>
      </c>
      <c r="C1201" s="38" t="s">
        <v>26</v>
      </c>
      <c r="D1201" s="38" t="s">
        <v>325</v>
      </c>
      <c r="E1201" s="38" t="s">
        <v>286</v>
      </c>
      <c r="F1201" s="38" t="s">
        <v>335</v>
      </c>
      <c r="G1201" s="38" t="s">
        <v>354</v>
      </c>
      <c r="H1201" s="58" t="str">
        <f>Table1[[#This Row],[Tabela]]&amp;Table1[[#This Row],[Campo]]</f>
        <v>lt003_entitycntrprty_emssns_scp2</v>
      </c>
      <c r="I1201" s="2" t="s">
        <v>612</v>
      </c>
      <c r="J1201" s="44">
        <f>VLOOKUP(Table1[[#This Row],[Status]],Auxiliar!$B$16:$C$24,2,0)</f>
        <v>1</v>
      </c>
      <c r="K1201" s="44" t="s">
        <v>1169</v>
      </c>
      <c r="L1201" s="45" t="s">
        <v>1174</v>
      </c>
      <c r="M1201" s="20" t="s">
        <v>1175</v>
      </c>
      <c r="N1201" s="47">
        <v>45674</v>
      </c>
      <c r="O1201" s="20">
        <f>INDEX(Auxiliar!$D$5:$F$13,MATCH(Table1[[#This Row],[Tipologia_Testes]],Auxiliar!$B$5:$B$13,0),MATCH(Table1[[#This Row],[Complexidade]],Auxiliar!$D$4:$F$4,0))</f>
        <v>2</v>
      </c>
      <c r="P1201" s="42"/>
      <c r="Q1201" s="113"/>
      <c r="R1201" s="151">
        <v>45589</v>
      </c>
      <c r="S1201" s="151"/>
      <c r="T1201" s="151"/>
      <c r="U1201" s="151">
        <v>45621</v>
      </c>
      <c r="V1201" s="151">
        <v>45596</v>
      </c>
      <c r="W1201" s="2">
        <f>VLOOKUP(Table1[[#This Row],[Status]],Auxiliar!$B$16:$D$24,3,0)*Table1[[#This Row],[Estimação (horas)]]</f>
        <v>2</v>
      </c>
      <c r="X1201" s="165">
        <f>+VLOOKUP(CONCATENATE(Table1[[#This Row],[Tabela]],Table1[[#This Row],[Campo]]),'2. Status Detalhe Campos FY24'!A:J,9,FALSE)</f>
        <v>0</v>
      </c>
      <c r="Y1201" s="491" t="e">
        <f>+VLOOKUP(A1201,#REF!,1,FALSE)</f>
        <v>#REF!</v>
      </c>
    </row>
    <row r="1202" spans="1:25" ht="35.15" hidden="1" customHeight="1">
      <c r="A1202" t="str">
        <f>+Table1[[#This Row],[Tabela]]&amp;Table1[[#This Row],[Campo]]</f>
        <v>lt003_entitycntrprty_emssns_scp2</v>
      </c>
      <c r="B1202" s="38" t="s">
        <v>26</v>
      </c>
      <c r="C1202" s="38" t="s">
        <v>26</v>
      </c>
      <c r="D1202" s="38" t="s">
        <v>325</v>
      </c>
      <c r="E1202" s="38" t="s">
        <v>286</v>
      </c>
      <c r="F1202" s="38" t="s">
        <v>335</v>
      </c>
      <c r="G1202" s="38" t="s">
        <v>354</v>
      </c>
      <c r="H1202" s="58" t="str">
        <f>Table1[[#This Row],[Tabela]]&amp;Table1[[#This Row],[Campo]]</f>
        <v>lt003_entitycntrprty_emssns_scp2</v>
      </c>
      <c r="I1202" s="2" t="s">
        <v>612</v>
      </c>
      <c r="J1202" s="44">
        <f>VLOOKUP(Table1[[#This Row],[Status]],Auxiliar!$B$16:$C$24,2,0)</f>
        <v>1</v>
      </c>
      <c r="K1202" s="44" t="s">
        <v>1171</v>
      </c>
      <c r="L1202" s="45" t="s">
        <v>1174</v>
      </c>
      <c r="M1202" s="20" t="s">
        <v>1175</v>
      </c>
      <c r="N1202" s="47">
        <v>45674</v>
      </c>
      <c r="O1202" s="20">
        <f>INDEX(Auxiliar!$D$5:$F$13,MATCH(Table1[[#This Row],[Tipologia_Testes]],Auxiliar!$B$5:$B$13,0),MATCH(Table1[[#This Row],[Complexidade]],Auxiliar!$D$4:$F$4,0))</f>
        <v>0.1</v>
      </c>
      <c r="P1202" s="42"/>
      <c r="Q1202" s="113"/>
      <c r="R1202" s="151">
        <v>45589</v>
      </c>
      <c r="S1202" s="151"/>
      <c r="T1202" s="151"/>
      <c r="U1202" s="151">
        <v>45621</v>
      </c>
      <c r="V1202" s="151">
        <v>45596</v>
      </c>
      <c r="W1202" s="2">
        <f>VLOOKUP(Table1[[#This Row],[Status]],Auxiliar!$B$16:$D$24,3,0)*Table1[[#This Row],[Estimação (horas)]]</f>
        <v>0.1</v>
      </c>
      <c r="X1202" s="165">
        <f>+VLOOKUP(CONCATENATE(Table1[[#This Row],[Tabela]],Table1[[#This Row],[Campo]]),'2. Status Detalhe Campos FY24'!A:J,9,FALSE)</f>
        <v>0</v>
      </c>
      <c r="Y1202" s="491" t="e">
        <f>+VLOOKUP(A1202,#REF!,1,FALSE)</f>
        <v>#REF!</v>
      </c>
    </row>
    <row r="1203" spans="1:25" ht="17.899999999999999" hidden="1" customHeight="1">
      <c r="A1203" t="str">
        <f>+Table1[[#This Row],[Tabela]]&amp;Table1[[#This Row],[Campo]]</f>
        <v>lt003_entitycntrprty_emssns_scp3</v>
      </c>
      <c r="B1203" s="40" t="s">
        <v>26</v>
      </c>
      <c r="C1203" s="40" t="s">
        <v>26</v>
      </c>
      <c r="D1203" s="35" t="s">
        <v>325</v>
      </c>
      <c r="E1203" s="110" t="s">
        <v>287</v>
      </c>
      <c r="F1203" s="39" t="s">
        <v>335</v>
      </c>
      <c r="G1203" s="37" t="s">
        <v>355</v>
      </c>
      <c r="H1203" s="59" t="str">
        <f>Table1[[#This Row],[Tabela]]&amp;Table1[[#This Row],[Campo]]</f>
        <v>lt003_entitycntrprty_emssns_scp3</v>
      </c>
      <c r="I1203" s="2" t="s">
        <v>612</v>
      </c>
      <c r="J1203" s="44">
        <f>VLOOKUP(Table1[[#This Row],[Status]],Auxiliar!$B$16:$C$24,2,0)</f>
        <v>1</v>
      </c>
      <c r="K1203" s="44" t="s">
        <v>1168</v>
      </c>
      <c r="L1203" s="45" t="s">
        <v>1174</v>
      </c>
      <c r="M1203" s="20" t="s">
        <v>1175</v>
      </c>
      <c r="N1203" s="47">
        <v>45674</v>
      </c>
      <c r="O1203" s="20">
        <f>INDEX(Auxiliar!$D$5:$F$13,MATCH(Table1[[#This Row],[Tipologia_Testes]],Auxiliar!$B$5:$B$13,0),MATCH(Table1[[#This Row],[Complexidade]],Auxiliar!$D$4:$F$4,0))</f>
        <v>2</v>
      </c>
      <c r="P1203" s="42"/>
      <c r="Q1203" s="113"/>
      <c r="R1203" s="151">
        <v>45589</v>
      </c>
      <c r="S1203" s="151"/>
      <c r="T1203" s="151"/>
      <c r="U1203" s="151">
        <v>45621</v>
      </c>
      <c r="V1203" s="151">
        <v>45596</v>
      </c>
      <c r="W1203" s="2">
        <f>VLOOKUP(Table1[[#This Row],[Status]],Auxiliar!$B$16:$D$24,3,0)*Table1[[#This Row],[Estimação (horas)]]</f>
        <v>2</v>
      </c>
      <c r="X1203" s="165">
        <f>+VLOOKUP(CONCATENATE(Table1[[#This Row],[Tabela]],Table1[[#This Row],[Campo]]),'2. Status Detalhe Campos FY24'!A:J,9,FALSE)</f>
        <v>0</v>
      </c>
      <c r="Y1203" s="491" t="e">
        <f>+VLOOKUP(A1203,#REF!,1,FALSE)</f>
        <v>#REF!</v>
      </c>
    </row>
    <row r="1204" spans="1:25" ht="17.899999999999999" hidden="1" customHeight="1">
      <c r="A1204" t="str">
        <f>+Table1[[#This Row],[Tabela]]&amp;Table1[[#This Row],[Campo]]</f>
        <v>lt003_entitycntrprty_emssns_scp3</v>
      </c>
      <c r="B1204" s="38" t="s">
        <v>26</v>
      </c>
      <c r="C1204" s="38" t="s">
        <v>26</v>
      </c>
      <c r="D1204" s="38" t="s">
        <v>325</v>
      </c>
      <c r="E1204" s="38" t="s">
        <v>287</v>
      </c>
      <c r="F1204" s="38" t="s">
        <v>335</v>
      </c>
      <c r="G1204" s="38" t="s">
        <v>355</v>
      </c>
      <c r="H1204" s="58" t="str">
        <f>Table1[[#This Row],[Tabela]]&amp;Table1[[#This Row],[Campo]]</f>
        <v>lt003_entitycntrprty_emssns_scp3</v>
      </c>
      <c r="I1204" s="2" t="s">
        <v>612</v>
      </c>
      <c r="J1204" s="44">
        <f>VLOOKUP(Table1[[#This Row],[Status]],Auxiliar!$B$16:$C$24,2,0)</f>
        <v>1</v>
      </c>
      <c r="K1204" s="44" t="s">
        <v>1169</v>
      </c>
      <c r="L1204" s="45" t="s">
        <v>1174</v>
      </c>
      <c r="M1204" s="20" t="s">
        <v>1175</v>
      </c>
      <c r="N1204" s="47">
        <v>45674</v>
      </c>
      <c r="O1204" s="20">
        <f>INDEX(Auxiliar!$D$5:$F$13,MATCH(Table1[[#This Row],[Tipologia_Testes]],Auxiliar!$B$5:$B$13,0),MATCH(Table1[[#This Row],[Complexidade]],Auxiliar!$D$4:$F$4,0))</f>
        <v>2</v>
      </c>
      <c r="P1204" s="42"/>
      <c r="Q1204" s="113"/>
      <c r="R1204" s="151">
        <v>45589</v>
      </c>
      <c r="S1204" s="151"/>
      <c r="T1204" s="151"/>
      <c r="U1204" s="151">
        <v>45621</v>
      </c>
      <c r="V1204" s="151">
        <v>45596</v>
      </c>
      <c r="W1204" s="2">
        <f>VLOOKUP(Table1[[#This Row],[Status]],Auxiliar!$B$16:$D$24,3,0)*Table1[[#This Row],[Estimação (horas)]]</f>
        <v>2</v>
      </c>
      <c r="X1204" s="165">
        <f>+VLOOKUP(CONCATENATE(Table1[[#This Row],[Tabela]],Table1[[#This Row],[Campo]]),'2. Status Detalhe Campos FY24'!A:J,9,FALSE)</f>
        <v>0</v>
      </c>
      <c r="Y1204" s="491" t="e">
        <f>+VLOOKUP(A1204,#REF!,1,FALSE)</f>
        <v>#REF!</v>
      </c>
    </row>
    <row r="1205" spans="1:25" ht="35.15" hidden="1" customHeight="1">
      <c r="A1205" t="str">
        <f>+Table1[[#This Row],[Tabela]]&amp;Table1[[#This Row],[Campo]]</f>
        <v>lt003_entitycntrprty_emssns_scp3</v>
      </c>
      <c r="B1205" s="38" t="s">
        <v>26</v>
      </c>
      <c r="C1205" s="38" t="s">
        <v>26</v>
      </c>
      <c r="D1205" s="38" t="s">
        <v>325</v>
      </c>
      <c r="E1205" s="38" t="s">
        <v>287</v>
      </c>
      <c r="F1205" s="38" t="s">
        <v>335</v>
      </c>
      <c r="G1205" s="38" t="s">
        <v>355</v>
      </c>
      <c r="H1205" s="58" t="str">
        <f>Table1[[#This Row],[Tabela]]&amp;Table1[[#This Row],[Campo]]</f>
        <v>lt003_entitycntrprty_emssns_scp3</v>
      </c>
      <c r="I1205" s="2" t="s">
        <v>612</v>
      </c>
      <c r="J1205" s="44">
        <f>VLOOKUP(Table1[[#This Row],[Status]],Auxiliar!$B$16:$C$24,2,0)</f>
        <v>1</v>
      </c>
      <c r="K1205" s="44" t="s">
        <v>1171</v>
      </c>
      <c r="L1205" s="45" t="s">
        <v>1174</v>
      </c>
      <c r="M1205" s="20" t="s">
        <v>1175</v>
      </c>
      <c r="N1205" s="47">
        <v>45674</v>
      </c>
      <c r="O1205" s="20">
        <f>INDEX(Auxiliar!$D$5:$F$13,MATCH(Table1[[#This Row],[Tipologia_Testes]],Auxiliar!$B$5:$B$13,0),MATCH(Table1[[#This Row],[Complexidade]],Auxiliar!$D$4:$F$4,0))</f>
        <v>0.1</v>
      </c>
      <c r="P1205" s="42"/>
      <c r="Q1205" s="113"/>
      <c r="R1205" s="151">
        <v>45589</v>
      </c>
      <c r="S1205" s="151"/>
      <c r="T1205" s="151"/>
      <c r="U1205" s="151">
        <v>45621</v>
      </c>
      <c r="V1205" s="151">
        <v>45596</v>
      </c>
      <c r="W1205" s="2">
        <f>VLOOKUP(Table1[[#This Row],[Status]],Auxiliar!$B$16:$D$24,3,0)*Table1[[#This Row],[Estimação (horas)]]</f>
        <v>0.1</v>
      </c>
      <c r="X1205" s="165">
        <f>+VLOOKUP(CONCATENATE(Table1[[#This Row],[Tabela]],Table1[[#This Row],[Campo]]),'2. Status Detalhe Campos FY24'!A:J,9,FALSE)</f>
        <v>0</v>
      </c>
      <c r="Y1205" s="491" t="e">
        <f>+VLOOKUP(A1205,#REF!,1,FALSE)</f>
        <v>#REF!</v>
      </c>
    </row>
    <row r="1206" spans="1:25" ht="17.899999999999999" hidden="1" customHeight="1">
      <c r="A1206" t="str">
        <f>+Table1[[#This Row],[Tabela]]&amp;Table1[[#This Row],[Campo]]</f>
        <v>lt003_entityflg_excldd_eu_prs_algnd_bnchmrk</v>
      </c>
      <c r="B1206" s="40" t="s">
        <v>26</v>
      </c>
      <c r="C1206" s="40" t="s">
        <v>26</v>
      </c>
      <c r="D1206" s="35" t="s">
        <v>325</v>
      </c>
      <c r="E1206" s="110" t="s">
        <v>1252</v>
      </c>
      <c r="F1206" s="39" t="s">
        <v>335</v>
      </c>
      <c r="G1206" s="37" t="s">
        <v>356</v>
      </c>
      <c r="H1206" s="59" t="str">
        <f>Table1[[#This Row],[Tabela]]&amp;Table1[[#This Row],[Campo]]</f>
        <v>lt003_entityflg_excldd_eu_prs_algnd_bnchmrk</v>
      </c>
      <c r="I1206" s="2" t="s">
        <v>612</v>
      </c>
      <c r="J1206" s="44">
        <f>VLOOKUP(Table1[[#This Row],[Status]],Auxiliar!$B$16:$C$24,2,0)</f>
        <v>1</v>
      </c>
      <c r="K1206" s="44" t="s">
        <v>1168</v>
      </c>
      <c r="L1206" s="45" t="s">
        <v>1174</v>
      </c>
      <c r="M1206" s="20" t="s">
        <v>1175</v>
      </c>
      <c r="N1206" s="47">
        <v>45625</v>
      </c>
      <c r="O1206" s="20">
        <f>INDEX(Auxiliar!$D$5:$F$13,MATCH(Table1[[#This Row],[Tipologia_Testes]],Auxiliar!$B$5:$B$13,0),MATCH(Table1[[#This Row],[Complexidade]],Auxiliar!$D$4:$F$4,0))</f>
        <v>2</v>
      </c>
      <c r="P1206" s="42"/>
      <c r="Q1206" s="113"/>
      <c r="R1206" s="151">
        <v>45589</v>
      </c>
      <c r="S1206" s="151"/>
      <c r="T1206" s="151"/>
      <c r="U1206" s="151">
        <v>45614</v>
      </c>
      <c r="V1206" s="151">
        <v>45596</v>
      </c>
      <c r="W1206" s="2">
        <f>VLOOKUP(Table1[[#This Row],[Status]],Auxiliar!$B$16:$D$24,3,0)*Table1[[#This Row],[Estimação (horas)]]</f>
        <v>2</v>
      </c>
      <c r="X1206" s="165">
        <f>+VLOOKUP(CONCATENATE(Table1[[#This Row],[Tabela]],Table1[[#This Row],[Campo]]),'2. Status Detalhe Campos FY24'!A:J,9,FALSE)</f>
        <v>0</v>
      </c>
      <c r="Y1206" s="491" t="e">
        <f>+VLOOKUP(A1206,#REF!,1,FALSE)</f>
        <v>#REF!</v>
      </c>
    </row>
    <row r="1207" spans="1:25" ht="17.899999999999999" hidden="1" customHeight="1">
      <c r="A1207" t="str">
        <f>+Table1[[#This Row],[Tabela]]&amp;Table1[[#This Row],[Campo]]</f>
        <v>lt003_entityflg_excldd_eu_prs_algnd_bnchmrk</v>
      </c>
      <c r="B1207" s="38" t="s">
        <v>26</v>
      </c>
      <c r="C1207" s="38" t="s">
        <v>26</v>
      </c>
      <c r="D1207" s="38" t="s">
        <v>325</v>
      </c>
      <c r="E1207" s="38" t="s">
        <v>1252</v>
      </c>
      <c r="F1207" s="38" t="s">
        <v>335</v>
      </c>
      <c r="G1207" s="38" t="s">
        <v>356</v>
      </c>
      <c r="H1207" s="58" t="str">
        <f>Table1[[#This Row],[Tabela]]&amp;Table1[[#This Row],[Campo]]</f>
        <v>lt003_entityflg_excldd_eu_prs_algnd_bnchmrk</v>
      </c>
      <c r="I1207" s="2" t="s">
        <v>612</v>
      </c>
      <c r="J1207" s="44">
        <f>VLOOKUP(Table1[[#This Row],[Status]],Auxiliar!$B$16:$C$24,2,0)</f>
        <v>1</v>
      </c>
      <c r="K1207" s="44" t="s">
        <v>1169</v>
      </c>
      <c r="L1207" s="45" t="s">
        <v>1174</v>
      </c>
      <c r="M1207" s="20" t="s">
        <v>1175</v>
      </c>
      <c r="N1207" s="47">
        <v>45625</v>
      </c>
      <c r="O1207" s="20">
        <f>INDEX(Auxiliar!$D$5:$F$13,MATCH(Table1[[#This Row],[Tipologia_Testes]],Auxiliar!$B$5:$B$13,0),MATCH(Table1[[#This Row],[Complexidade]],Auxiliar!$D$4:$F$4,0))</f>
        <v>2</v>
      </c>
      <c r="P1207" s="42"/>
      <c r="Q1207" s="113"/>
      <c r="R1207" s="151">
        <v>45589</v>
      </c>
      <c r="S1207" s="151"/>
      <c r="T1207" s="151"/>
      <c r="U1207" s="151">
        <v>45614</v>
      </c>
      <c r="V1207" s="151">
        <v>45596</v>
      </c>
      <c r="W1207" s="2">
        <f>VLOOKUP(Table1[[#This Row],[Status]],Auxiliar!$B$16:$D$24,3,0)*Table1[[#This Row],[Estimação (horas)]]</f>
        <v>2</v>
      </c>
      <c r="X1207" s="165">
        <f>+VLOOKUP(CONCATENATE(Table1[[#This Row],[Tabela]],Table1[[#This Row],[Campo]]),'2. Status Detalhe Campos FY24'!A:J,9,FALSE)</f>
        <v>0</v>
      </c>
      <c r="Y1207" s="491" t="e">
        <f>+VLOOKUP(A1207,#REF!,1,FALSE)</f>
        <v>#REF!</v>
      </c>
    </row>
    <row r="1208" spans="1:25" ht="35.15" hidden="1" customHeight="1">
      <c r="A1208" t="str">
        <f>+Table1[[#This Row],[Tabela]]&amp;Table1[[#This Row],[Campo]]</f>
        <v>lt003_entityflg_excldd_eu_prs_algnd_bnchmrk</v>
      </c>
      <c r="B1208" s="38" t="s">
        <v>26</v>
      </c>
      <c r="C1208" s="38" t="s">
        <v>26</v>
      </c>
      <c r="D1208" s="38" t="s">
        <v>325</v>
      </c>
      <c r="E1208" s="38" t="s">
        <v>1252</v>
      </c>
      <c r="F1208" s="38" t="s">
        <v>335</v>
      </c>
      <c r="G1208" s="38" t="s">
        <v>356</v>
      </c>
      <c r="H1208" s="58" t="str">
        <f>Table1[[#This Row],[Tabela]]&amp;Table1[[#This Row],[Campo]]</f>
        <v>lt003_entityflg_excldd_eu_prs_algnd_bnchmrk</v>
      </c>
      <c r="I1208" s="2" t="s">
        <v>612</v>
      </c>
      <c r="J1208" s="44">
        <f>VLOOKUP(Table1[[#This Row],[Status]],Auxiliar!$B$16:$C$24,2,0)</f>
        <v>1</v>
      </c>
      <c r="K1208" s="44" t="s">
        <v>1171</v>
      </c>
      <c r="L1208" s="45" t="s">
        <v>1174</v>
      </c>
      <c r="M1208" s="20" t="s">
        <v>1175</v>
      </c>
      <c r="N1208" s="47">
        <v>45625</v>
      </c>
      <c r="O1208" s="20">
        <f>INDEX(Auxiliar!$D$5:$F$13,MATCH(Table1[[#This Row],[Tipologia_Testes]],Auxiliar!$B$5:$B$13,0),MATCH(Table1[[#This Row],[Complexidade]],Auxiliar!$D$4:$F$4,0))</f>
        <v>0.1</v>
      </c>
      <c r="P1208" s="42"/>
      <c r="Q1208" s="113"/>
      <c r="R1208" s="151">
        <v>45589</v>
      </c>
      <c r="S1208" s="151"/>
      <c r="T1208" s="151"/>
      <c r="U1208" s="151">
        <v>45614</v>
      </c>
      <c r="V1208" s="151">
        <v>45596</v>
      </c>
      <c r="W1208" s="2">
        <f>VLOOKUP(Table1[[#This Row],[Status]],Auxiliar!$B$16:$D$24,3,0)*Table1[[#This Row],[Estimação (horas)]]</f>
        <v>0.1</v>
      </c>
      <c r="X1208" s="165">
        <f>+VLOOKUP(CONCATENATE(Table1[[#This Row],[Tabela]],Table1[[#This Row],[Campo]]),'2. Status Detalhe Campos FY24'!A:J,9,FALSE)</f>
        <v>0</v>
      </c>
      <c r="Y1208" s="491" t="e">
        <f>+VLOOKUP(A1208,#REF!,1,FALSE)</f>
        <v>#REF!</v>
      </c>
    </row>
    <row r="1209" spans="1:25" ht="17.899999999999999" hidden="1" customHeight="1">
      <c r="A1209" t="str">
        <f>+Table1[[#This Row],[Tabela]]&amp;Table1[[#This Row],[Campo]]</f>
        <v>lt003_entityflg_act_physcl_rsk</v>
      </c>
      <c r="B1209" s="40" t="s">
        <v>26</v>
      </c>
      <c r="C1209" s="40" t="s">
        <v>26</v>
      </c>
      <c r="D1209" s="35" t="s">
        <v>325</v>
      </c>
      <c r="E1209" s="39" t="s">
        <v>1252</v>
      </c>
      <c r="F1209" s="39" t="s">
        <v>335</v>
      </c>
      <c r="G1209" s="37" t="s">
        <v>357</v>
      </c>
      <c r="H1209" s="59" t="str">
        <f>Table1[[#This Row],[Tabela]]&amp;Table1[[#This Row],[Campo]]</f>
        <v>lt003_entityflg_act_physcl_rsk</v>
      </c>
      <c r="I1209" s="2" t="s">
        <v>612</v>
      </c>
      <c r="J1209" s="44">
        <f>VLOOKUP(Table1[[#This Row],[Status]],Auxiliar!$B$16:$C$24,2,0)</f>
        <v>1</v>
      </c>
      <c r="K1209" s="44" t="s">
        <v>1168</v>
      </c>
      <c r="L1209" s="45" t="s">
        <v>1174</v>
      </c>
      <c r="M1209" s="20" t="s">
        <v>1175</v>
      </c>
      <c r="N1209" s="47">
        <v>45642</v>
      </c>
      <c r="O1209" s="20">
        <f>INDEX(Auxiliar!$D$5:$F$13,MATCH(Table1[[#This Row],[Tipologia_Testes]],Auxiliar!$B$5:$B$13,0),MATCH(Table1[[#This Row],[Complexidade]],Auxiliar!$D$4:$F$4,0))</f>
        <v>2</v>
      </c>
      <c r="P1209" s="42"/>
      <c r="Q1209" s="113"/>
      <c r="R1209" s="151">
        <v>45589</v>
      </c>
      <c r="S1209" s="151"/>
      <c r="T1209" s="151">
        <v>45589</v>
      </c>
      <c r="U1209" s="151"/>
      <c r="V1209" s="151">
        <v>45596</v>
      </c>
      <c r="W1209" s="2">
        <f>VLOOKUP(Table1[[#This Row],[Status]],Auxiliar!$B$16:$D$24,3,0)*Table1[[#This Row],[Estimação (horas)]]</f>
        <v>2</v>
      </c>
      <c r="X1209" s="165">
        <f>+VLOOKUP(CONCATENATE(Table1[[#This Row],[Tabela]],Table1[[#This Row],[Campo]]),'2. Status Detalhe Campos FY24'!A:J,9,FALSE)</f>
        <v>0</v>
      </c>
      <c r="Y1209" s="491" t="e">
        <f>+VLOOKUP(A1209,#REF!,1,FALSE)</f>
        <v>#REF!</v>
      </c>
    </row>
    <row r="1210" spans="1:25" ht="17.899999999999999" hidden="1" customHeight="1">
      <c r="A1210" t="str">
        <f>+Table1[[#This Row],[Tabela]]&amp;Table1[[#This Row],[Campo]]</f>
        <v>lt003_entityflg_act_physcl_rsk</v>
      </c>
      <c r="B1210" s="38" t="s">
        <v>26</v>
      </c>
      <c r="C1210" s="38" t="s">
        <v>26</v>
      </c>
      <c r="D1210" s="38" t="s">
        <v>325</v>
      </c>
      <c r="E1210" s="38" t="s">
        <v>1252</v>
      </c>
      <c r="F1210" s="38" t="s">
        <v>335</v>
      </c>
      <c r="G1210" s="38" t="s">
        <v>357</v>
      </c>
      <c r="H1210" s="58" t="str">
        <f>Table1[[#This Row],[Tabela]]&amp;Table1[[#This Row],[Campo]]</f>
        <v>lt003_entityflg_act_physcl_rsk</v>
      </c>
      <c r="I1210" s="2" t="s">
        <v>612</v>
      </c>
      <c r="J1210" s="44">
        <f>VLOOKUP(Table1[[#This Row],[Status]],Auxiliar!$B$16:$C$24,2,0)</f>
        <v>1</v>
      </c>
      <c r="K1210" s="44" t="s">
        <v>1169</v>
      </c>
      <c r="L1210" s="45" t="s">
        <v>1174</v>
      </c>
      <c r="M1210" s="20" t="s">
        <v>1175</v>
      </c>
      <c r="N1210" s="47">
        <v>45642</v>
      </c>
      <c r="O1210" s="20">
        <f>INDEX(Auxiliar!$D$5:$F$13,MATCH(Table1[[#This Row],[Tipologia_Testes]],Auxiliar!$B$5:$B$13,0),MATCH(Table1[[#This Row],[Complexidade]],Auxiliar!$D$4:$F$4,0))</f>
        <v>2</v>
      </c>
      <c r="P1210" s="42"/>
      <c r="Q1210" s="113"/>
      <c r="R1210" s="151">
        <v>45589</v>
      </c>
      <c r="S1210" s="151"/>
      <c r="T1210" s="151">
        <v>45589</v>
      </c>
      <c r="U1210" s="151"/>
      <c r="V1210" s="151">
        <v>45596</v>
      </c>
      <c r="W1210" s="2">
        <f>VLOOKUP(Table1[[#This Row],[Status]],Auxiliar!$B$16:$D$24,3,0)*Table1[[#This Row],[Estimação (horas)]]</f>
        <v>2</v>
      </c>
      <c r="X1210" s="165">
        <f>+VLOOKUP(CONCATENATE(Table1[[#This Row],[Tabela]],Table1[[#This Row],[Campo]]),'2. Status Detalhe Campos FY24'!A:J,9,FALSE)</f>
        <v>0</v>
      </c>
      <c r="Y1210" s="491" t="e">
        <f>+VLOOKUP(A1210,#REF!,1,FALSE)</f>
        <v>#REF!</v>
      </c>
    </row>
    <row r="1211" spans="1:25" ht="35.15" hidden="1" customHeight="1">
      <c r="A1211" t="str">
        <f>+Table1[[#This Row],[Tabela]]&amp;Table1[[#This Row],[Campo]]</f>
        <v>lt003_entityflg_act_physcl_rsk</v>
      </c>
      <c r="B1211" s="38" t="s">
        <v>26</v>
      </c>
      <c r="C1211" s="38" t="s">
        <v>26</v>
      </c>
      <c r="D1211" s="38" t="s">
        <v>325</v>
      </c>
      <c r="E1211" s="38" t="s">
        <v>1252</v>
      </c>
      <c r="F1211" s="38" t="s">
        <v>335</v>
      </c>
      <c r="G1211" s="38" t="s">
        <v>357</v>
      </c>
      <c r="H1211" s="58" t="str">
        <f>Table1[[#This Row],[Tabela]]&amp;Table1[[#This Row],[Campo]]</f>
        <v>lt003_entityflg_act_physcl_rsk</v>
      </c>
      <c r="I1211" s="2" t="s">
        <v>612</v>
      </c>
      <c r="J1211" s="44">
        <f>VLOOKUP(Table1[[#This Row],[Status]],Auxiliar!$B$16:$C$24,2,0)</f>
        <v>1</v>
      </c>
      <c r="K1211" s="44" t="s">
        <v>1171</v>
      </c>
      <c r="L1211" s="45" t="s">
        <v>1174</v>
      </c>
      <c r="M1211" s="20" t="s">
        <v>1175</v>
      </c>
      <c r="N1211" s="47">
        <v>45642</v>
      </c>
      <c r="O1211" s="20">
        <f>INDEX(Auxiliar!$D$5:$F$13,MATCH(Table1[[#This Row],[Tipologia_Testes]],Auxiliar!$B$5:$B$13,0),MATCH(Table1[[#This Row],[Complexidade]],Auxiliar!$D$4:$F$4,0))</f>
        <v>0.1</v>
      </c>
      <c r="P1211" s="42"/>
      <c r="Q1211" s="113"/>
      <c r="R1211" s="151">
        <v>45589</v>
      </c>
      <c r="S1211" s="151"/>
      <c r="T1211" s="151">
        <v>45589</v>
      </c>
      <c r="U1211" s="151"/>
      <c r="V1211" s="151">
        <v>45596</v>
      </c>
      <c r="W1211" s="2">
        <f>VLOOKUP(Table1[[#This Row],[Status]],Auxiliar!$B$16:$D$24,3,0)*Table1[[#This Row],[Estimação (horas)]]</f>
        <v>0.1</v>
      </c>
      <c r="X1211" s="165">
        <f>+VLOOKUP(CONCATENATE(Table1[[#This Row],[Tabela]],Table1[[#This Row],[Campo]]),'2. Status Detalhe Campos FY24'!A:J,9,FALSE)</f>
        <v>0</v>
      </c>
      <c r="Y1211" s="491" t="e">
        <f>+VLOOKUP(A1211,#REF!,1,FALSE)</f>
        <v>#REF!</v>
      </c>
    </row>
    <row r="1212" spans="1:25" ht="17.899999999999999" hidden="1" customHeight="1">
      <c r="A1212" t="str">
        <f>+Table1[[#This Row],[Tabela]]&amp;Table1[[#This Row],[Campo]]</f>
        <v>lt003_entityflg_chrnc_physcl_rsk</v>
      </c>
      <c r="B1212" s="40" t="s">
        <v>26</v>
      </c>
      <c r="C1212" s="40" t="s">
        <v>26</v>
      </c>
      <c r="D1212" s="35" t="s">
        <v>325</v>
      </c>
      <c r="E1212" s="39" t="s">
        <v>1252</v>
      </c>
      <c r="F1212" s="39" t="s">
        <v>335</v>
      </c>
      <c r="G1212" s="37" t="s">
        <v>358</v>
      </c>
      <c r="H1212" s="59" t="str">
        <f>Table1[[#This Row],[Tabela]]&amp;Table1[[#This Row],[Campo]]</f>
        <v>lt003_entityflg_chrnc_physcl_rsk</v>
      </c>
      <c r="I1212" s="2" t="s">
        <v>612</v>
      </c>
      <c r="J1212" s="44">
        <f>VLOOKUP(Table1[[#This Row],[Status]],Auxiliar!$B$16:$C$24,2,0)</f>
        <v>1</v>
      </c>
      <c r="K1212" s="44" t="s">
        <v>1168</v>
      </c>
      <c r="L1212" s="45" t="s">
        <v>1174</v>
      </c>
      <c r="M1212" s="20" t="s">
        <v>1175</v>
      </c>
      <c r="N1212" s="47">
        <v>45642</v>
      </c>
      <c r="O1212" s="20">
        <f>INDEX(Auxiliar!$D$5:$F$13,MATCH(Table1[[#This Row],[Tipologia_Testes]],Auxiliar!$B$5:$B$13,0),MATCH(Table1[[#This Row],[Complexidade]],Auxiliar!$D$4:$F$4,0))</f>
        <v>2</v>
      </c>
      <c r="P1212" s="42"/>
      <c r="Q1212" s="113"/>
      <c r="R1212" s="151">
        <v>45589</v>
      </c>
      <c r="S1212" s="151"/>
      <c r="T1212" s="151">
        <v>45589</v>
      </c>
      <c r="U1212" s="151"/>
      <c r="V1212" s="151">
        <v>45596</v>
      </c>
      <c r="W1212" s="2">
        <f>VLOOKUP(Table1[[#This Row],[Status]],Auxiliar!$B$16:$D$24,3,0)*Table1[[#This Row],[Estimação (horas)]]</f>
        <v>2</v>
      </c>
      <c r="X1212" s="165">
        <f>+VLOOKUP(CONCATENATE(Table1[[#This Row],[Tabela]],Table1[[#This Row],[Campo]]),'2. Status Detalhe Campos FY24'!A:J,9,FALSE)</f>
        <v>0</v>
      </c>
      <c r="Y1212" s="491" t="e">
        <f>+VLOOKUP(A1212,#REF!,1,FALSE)</f>
        <v>#REF!</v>
      </c>
    </row>
    <row r="1213" spans="1:25" ht="17.899999999999999" hidden="1" customHeight="1">
      <c r="A1213" t="str">
        <f>+Table1[[#This Row],[Tabela]]&amp;Table1[[#This Row],[Campo]]</f>
        <v>lt003_entityflg_chrnc_physcl_rsk</v>
      </c>
      <c r="B1213" s="38" t="s">
        <v>26</v>
      </c>
      <c r="C1213" s="38" t="s">
        <v>26</v>
      </c>
      <c r="D1213" s="38" t="s">
        <v>325</v>
      </c>
      <c r="E1213" s="38" t="s">
        <v>1252</v>
      </c>
      <c r="F1213" s="38" t="s">
        <v>335</v>
      </c>
      <c r="G1213" s="38" t="s">
        <v>358</v>
      </c>
      <c r="H1213" s="58" t="str">
        <f>Table1[[#This Row],[Tabela]]&amp;Table1[[#This Row],[Campo]]</f>
        <v>lt003_entityflg_chrnc_physcl_rsk</v>
      </c>
      <c r="I1213" s="2" t="s">
        <v>612</v>
      </c>
      <c r="J1213" s="44">
        <f>VLOOKUP(Table1[[#This Row],[Status]],Auxiliar!$B$16:$C$24,2,0)</f>
        <v>1</v>
      </c>
      <c r="K1213" s="44" t="s">
        <v>1169</v>
      </c>
      <c r="L1213" s="45" t="s">
        <v>1174</v>
      </c>
      <c r="M1213" s="20" t="s">
        <v>1175</v>
      </c>
      <c r="N1213" s="47">
        <v>45642</v>
      </c>
      <c r="O1213" s="20">
        <f>INDEX(Auxiliar!$D$5:$F$13,MATCH(Table1[[#This Row],[Tipologia_Testes]],Auxiliar!$B$5:$B$13,0),MATCH(Table1[[#This Row],[Complexidade]],Auxiliar!$D$4:$F$4,0))</f>
        <v>2</v>
      </c>
      <c r="P1213" s="42"/>
      <c r="Q1213" s="113"/>
      <c r="R1213" s="151">
        <v>45589</v>
      </c>
      <c r="S1213" s="151"/>
      <c r="T1213" s="151">
        <v>45589</v>
      </c>
      <c r="U1213" s="151"/>
      <c r="V1213" s="151">
        <v>45596</v>
      </c>
      <c r="W1213" s="2">
        <f>VLOOKUP(Table1[[#This Row],[Status]],Auxiliar!$B$16:$D$24,3,0)*Table1[[#This Row],[Estimação (horas)]]</f>
        <v>2</v>
      </c>
      <c r="X1213" s="165">
        <f>+VLOOKUP(CONCATENATE(Table1[[#This Row],[Tabela]],Table1[[#This Row],[Campo]]),'2. Status Detalhe Campos FY24'!A:J,9,FALSE)</f>
        <v>0</v>
      </c>
      <c r="Y1213" s="491" t="e">
        <f>+VLOOKUP(A1213,#REF!,1,FALSE)</f>
        <v>#REF!</v>
      </c>
    </row>
    <row r="1214" spans="1:25" ht="17.899999999999999" hidden="1" customHeight="1">
      <c r="A1214" t="str">
        <f>+Table1[[#This Row],[Tabela]]&amp;Table1[[#This Row],[Campo]]</f>
        <v>lt003_entityflg_chrnc_physcl_rsk</v>
      </c>
      <c r="B1214" s="38" t="s">
        <v>26</v>
      </c>
      <c r="C1214" s="38" t="s">
        <v>26</v>
      </c>
      <c r="D1214" s="38" t="s">
        <v>325</v>
      </c>
      <c r="E1214" s="38" t="s">
        <v>1252</v>
      </c>
      <c r="F1214" s="38" t="s">
        <v>335</v>
      </c>
      <c r="G1214" s="38" t="s">
        <v>358</v>
      </c>
      <c r="H1214" s="58" t="str">
        <f>Table1[[#This Row],[Tabela]]&amp;Table1[[#This Row],[Campo]]</f>
        <v>lt003_entityflg_chrnc_physcl_rsk</v>
      </c>
      <c r="I1214" s="2" t="s">
        <v>612</v>
      </c>
      <c r="J1214" s="44">
        <f>VLOOKUP(Table1[[#This Row],[Status]],Auxiliar!$B$16:$C$24,2,0)</f>
        <v>1</v>
      </c>
      <c r="K1214" s="44" t="s">
        <v>1171</v>
      </c>
      <c r="L1214" s="45" t="s">
        <v>1174</v>
      </c>
      <c r="M1214" s="20" t="s">
        <v>1175</v>
      </c>
      <c r="N1214" s="47">
        <v>45642</v>
      </c>
      <c r="O1214" s="20">
        <f>INDEX(Auxiliar!$D$5:$F$13,MATCH(Table1[[#This Row],[Tipologia_Testes]],Auxiliar!$B$5:$B$13,0),MATCH(Table1[[#This Row],[Complexidade]],Auxiliar!$D$4:$F$4,0))</f>
        <v>0.1</v>
      </c>
      <c r="P1214" s="42"/>
      <c r="Q1214" s="113"/>
      <c r="R1214" s="151">
        <v>45589</v>
      </c>
      <c r="S1214" s="151"/>
      <c r="T1214" s="151">
        <v>45589</v>
      </c>
      <c r="U1214" s="151"/>
      <c r="V1214" s="151">
        <v>45596</v>
      </c>
      <c r="W1214" s="2">
        <f>VLOOKUP(Table1[[#This Row],[Status]],Auxiliar!$B$16:$D$24,3,0)*Table1[[#This Row],[Estimação (horas)]]</f>
        <v>0.1</v>
      </c>
      <c r="X1214" s="165">
        <f>+VLOOKUP(CONCATENATE(Table1[[#This Row],[Tabela]],Table1[[#This Row],[Campo]]),'2. Status Detalhe Campos FY24'!A:J,9,FALSE)</f>
        <v>0</v>
      </c>
      <c r="Y1214" s="491" t="e">
        <f>+VLOOKUP(A1214,#REF!,1,FALSE)</f>
        <v>#REF!</v>
      </c>
    </row>
    <row r="1215" spans="1:25" ht="17.899999999999999" hidden="1" customHeight="1">
      <c r="A1215" t="str">
        <f>+Table1[[#This Row],[Tabela]]&amp;Table1[[#This Row],[Campo]]</f>
        <v>lt003_entitypst_cd</v>
      </c>
      <c r="B1215" s="40" t="s">
        <v>26</v>
      </c>
      <c r="C1215" s="40" t="s">
        <v>26</v>
      </c>
      <c r="D1215" s="41" t="s">
        <v>1254</v>
      </c>
      <c r="E1215" s="110" t="s">
        <v>1255</v>
      </c>
      <c r="F1215" s="39" t="s">
        <v>335</v>
      </c>
      <c r="G1215" s="37" t="s">
        <v>359</v>
      </c>
      <c r="H1215" s="59" t="str">
        <f>Table1[[#This Row],[Tabela]]&amp;Table1[[#This Row],[Campo]]</f>
        <v>lt003_entitypst_cd</v>
      </c>
      <c r="I1215" s="2" t="s">
        <v>612</v>
      </c>
      <c r="J1215" s="44">
        <f>VLOOKUP(Table1[[#This Row],[Status]],Auxiliar!$B$16:$C$24,2,0)</f>
        <v>1</v>
      </c>
      <c r="K1215" s="44" t="s">
        <v>1168</v>
      </c>
      <c r="L1215" s="45" t="s">
        <v>1174</v>
      </c>
      <c r="M1215" s="20" t="s">
        <v>1175</v>
      </c>
      <c r="N1215" s="47">
        <v>45604</v>
      </c>
      <c r="O1215" s="20">
        <f>INDEX(Auxiliar!$D$5:$F$13,MATCH(Table1[[#This Row],[Tipologia_Testes]],Auxiliar!$B$5:$B$13,0),MATCH(Table1[[#This Row],[Complexidade]],Auxiliar!$D$4:$F$4,0))</f>
        <v>2</v>
      </c>
      <c r="P1215" s="42" t="s">
        <v>1256</v>
      </c>
      <c r="Q1215" s="113"/>
      <c r="R1215" s="151">
        <v>45589</v>
      </c>
      <c r="S1215" s="151"/>
      <c r="T1215" s="151">
        <v>45589</v>
      </c>
      <c r="U1215" s="151">
        <v>45596</v>
      </c>
      <c r="V1215" s="151">
        <v>45596</v>
      </c>
      <c r="W1215" s="2">
        <f>VLOOKUP(Table1[[#This Row],[Status]],Auxiliar!$B$16:$D$24,3,0)*Table1[[#This Row],[Estimação (horas)]]</f>
        <v>2</v>
      </c>
      <c r="X1215" s="165">
        <f>+VLOOKUP(CONCATENATE(Table1[[#This Row],[Tabela]],Table1[[#This Row],[Campo]]),'2. Status Detalhe Campos FY24'!A:J,9,FALSE)</f>
        <v>0</v>
      </c>
      <c r="Y1215" s="491" t="e">
        <f>+VLOOKUP(A1215,#REF!,1,FALSE)</f>
        <v>#REF!</v>
      </c>
    </row>
    <row r="1216" spans="1:25" ht="17.899999999999999" hidden="1" customHeight="1">
      <c r="A1216" t="str">
        <f>+Table1[[#This Row],[Tabela]]&amp;Table1[[#This Row],[Campo]]</f>
        <v>lt003_entitypst_cd</v>
      </c>
      <c r="B1216" s="38" t="s">
        <v>26</v>
      </c>
      <c r="C1216" s="38" t="s">
        <v>26</v>
      </c>
      <c r="D1216" s="38" t="s">
        <v>1254</v>
      </c>
      <c r="E1216" s="38" t="s">
        <v>1255</v>
      </c>
      <c r="F1216" s="38" t="s">
        <v>335</v>
      </c>
      <c r="G1216" s="38" t="s">
        <v>359</v>
      </c>
      <c r="H1216" s="58" t="str">
        <f>Table1[[#This Row],[Tabela]]&amp;Table1[[#This Row],[Campo]]</f>
        <v>lt003_entitypst_cd</v>
      </c>
      <c r="I1216" s="2" t="s">
        <v>612</v>
      </c>
      <c r="J1216" s="44">
        <f>VLOOKUP(Table1[[#This Row],[Status]],Auxiliar!$B$16:$C$24,2,0)</f>
        <v>1</v>
      </c>
      <c r="K1216" s="44" t="s">
        <v>1169</v>
      </c>
      <c r="L1216" s="45" t="s">
        <v>1174</v>
      </c>
      <c r="M1216" s="20" t="s">
        <v>1175</v>
      </c>
      <c r="N1216" s="47">
        <v>45604</v>
      </c>
      <c r="O1216" s="20">
        <f>INDEX(Auxiliar!$D$5:$F$13,MATCH(Table1[[#This Row],[Tipologia_Testes]],Auxiliar!$B$5:$B$13,0),MATCH(Table1[[#This Row],[Complexidade]],Auxiliar!$D$4:$F$4,0))</f>
        <v>2</v>
      </c>
      <c r="P1216" s="42" t="s">
        <v>1256</v>
      </c>
      <c r="Q1216" s="113"/>
      <c r="R1216" s="151">
        <v>45589</v>
      </c>
      <c r="S1216" s="151"/>
      <c r="T1216" s="151">
        <v>45589</v>
      </c>
      <c r="U1216" s="151">
        <v>45596</v>
      </c>
      <c r="V1216" s="151">
        <v>45596</v>
      </c>
      <c r="W1216" s="2">
        <f>VLOOKUP(Table1[[#This Row],[Status]],Auxiliar!$B$16:$D$24,3,0)*Table1[[#This Row],[Estimação (horas)]]</f>
        <v>2</v>
      </c>
      <c r="X1216" s="165">
        <f>+VLOOKUP(CONCATENATE(Table1[[#This Row],[Tabela]],Table1[[#This Row],[Campo]]),'2. Status Detalhe Campos FY24'!A:J,9,FALSE)</f>
        <v>0</v>
      </c>
      <c r="Y1216" s="491" t="e">
        <f>+VLOOKUP(A1216,#REF!,1,FALSE)</f>
        <v>#REF!</v>
      </c>
    </row>
    <row r="1217" spans="1:25" ht="17.899999999999999" hidden="1" customHeight="1">
      <c r="A1217" t="str">
        <f>+Table1[[#This Row],[Tabela]]&amp;Table1[[#This Row],[Campo]]</f>
        <v>lt003_entitypst_cd</v>
      </c>
      <c r="B1217" s="38" t="s">
        <v>26</v>
      </c>
      <c r="C1217" s="38" t="s">
        <v>26</v>
      </c>
      <c r="D1217" s="38" t="s">
        <v>1254</v>
      </c>
      <c r="E1217" s="38" t="s">
        <v>1255</v>
      </c>
      <c r="F1217" s="38" t="s">
        <v>335</v>
      </c>
      <c r="G1217" s="38" t="s">
        <v>359</v>
      </c>
      <c r="H1217" s="58" t="str">
        <f>Table1[[#This Row],[Tabela]]&amp;Table1[[#This Row],[Campo]]</f>
        <v>lt003_entitypst_cd</v>
      </c>
      <c r="I1217" s="2" t="s">
        <v>612</v>
      </c>
      <c r="J1217" s="44">
        <f>VLOOKUP(Table1[[#This Row],[Status]],Auxiliar!$B$16:$C$24,2,0)</f>
        <v>1</v>
      </c>
      <c r="K1217" s="44" t="s">
        <v>1171</v>
      </c>
      <c r="L1217" s="45" t="s">
        <v>1174</v>
      </c>
      <c r="M1217" s="20" t="s">
        <v>1175</v>
      </c>
      <c r="N1217" s="47">
        <v>45604</v>
      </c>
      <c r="O1217" s="20">
        <f>INDEX(Auxiliar!$D$5:$F$13,MATCH(Table1[[#This Row],[Tipologia_Testes]],Auxiliar!$B$5:$B$13,0),MATCH(Table1[[#This Row],[Complexidade]],Auxiliar!$D$4:$F$4,0))</f>
        <v>0.1</v>
      </c>
      <c r="P1217" s="42" t="s">
        <v>1256</v>
      </c>
      <c r="Q1217" s="113"/>
      <c r="R1217" s="151">
        <v>45589</v>
      </c>
      <c r="S1217" s="151"/>
      <c r="T1217" s="151">
        <v>45589</v>
      </c>
      <c r="U1217" s="151">
        <v>45596</v>
      </c>
      <c r="V1217" s="151">
        <v>45596</v>
      </c>
      <c r="W1217" s="2">
        <f>VLOOKUP(Table1[[#This Row],[Status]],Auxiliar!$B$16:$D$24,3,0)*Table1[[#This Row],[Estimação (horas)]]</f>
        <v>0.1</v>
      </c>
      <c r="X1217" s="165">
        <f>+VLOOKUP(CONCATENATE(Table1[[#This Row],[Tabela]],Table1[[#This Row],[Campo]]),'2. Status Detalhe Campos FY24'!A:J,9,FALSE)</f>
        <v>0</v>
      </c>
      <c r="Y1217" s="491" t="e">
        <f>+VLOOKUP(A1217,#REF!,1,FALSE)</f>
        <v>#REF!</v>
      </c>
    </row>
    <row r="1218" spans="1:25" ht="17.899999999999999" hidden="1" customHeight="1">
      <c r="A1218" t="str">
        <f>+Table1[[#This Row],[Tabela]]&amp;Table1[[#This Row],[Campo]]</f>
        <v>lt003_entityesg_sbsctr</v>
      </c>
      <c r="B1218" s="40" t="s">
        <v>26</v>
      </c>
      <c r="C1218" s="40" t="s">
        <v>26</v>
      </c>
      <c r="D1218" s="41" t="s">
        <v>392</v>
      </c>
      <c r="E1218" s="110" t="s">
        <v>38</v>
      </c>
      <c r="F1218" s="39" t="s">
        <v>335</v>
      </c>
      <c r="G1218" s="37" t="s">
        <v>360</v>
      </c>
      <c r="H1218" s="59" t="str">
        <f>Table1[[#This Row],[Tabela]]&amp;Table1[[#This Row],[Campo]]</f>
        <v>lt003_entityesg_sbsctr</v>
      </c>
      <c r="I1218" s="2" t="s">
        <v>612</v>
      </c>
      <c r="J1218" s="44">
        <f>VLOOKUP(Table1[[#This Row],[Status]],Auxiliar!$B$16:$C$24,2,0)</f>
        <v>1</v>
      </c>
      <c r="K1218" s="44" t="s">
        <v>1168</v>
      </c>
      <c r="L1218" s="45" t="s">
        <v>1174</v>
      </c>
      <c r="M1218" s="20" t="s">
        <v>1175</v>
      </c>
      <c r="N1218" s="47">
        <v>45649</v>
      </c>
      <c r="O1218" s="20">
        <f>INDEX(Auxiliar!$D$5:$F$13,MATCH(Table1[[#This Row],[Tipologia_Testes]],Auxiliar!$B$5:$B$13,0),MATCH(Table1[[#This Row],[Complexidade]],Auxiliar!$D$4:$F$4,0))</f>
        <v>2</v>
      </c>
      <c r="P1218" s="42" t="s">
        <v>1253</v>
      </c>
      <c r="Q1218" s="113"/>
      <c r="R1218" s="151">
        <v>45583</v>
      </c>
      <c r="S1218" s="151"/>
      <c r="T1218" s="151">
        <v>45583</v>
      </c>
      <c r="U1218" s="151">
        <v>45611</v>
      </c>
      <c r="V1218" s="151">
        <v>45644</v>
      </c>
      <c r="W1218" s="2">
        <f>VLOOKUP(Table1[[#This Row],[Status]],Auxiliar!$B$16:$D$24,3,0)*Table1[[#This Row],[Estimação (horas)]]</f>
        <v>2</v>
      </c>
      <c r="X1218" s="165">
        <f>+VLOOKUP(CONCATENATE(Table1[[#This Row],[Tabela]],Table1[[#This Row],[Campo]]),'2. Status Detalhe Campos FY24'!A:J,9,FALSE)</f>
        <v>0</v>
      </c>
      <c r="Y1218" s="491" t="e">
        <f>+VLOOKUP(A1218,#REF!,1,FALSE)</f>
        <v>#REF!</v>
      </c>
    </row>
    <row r="1219" spans="1:25" ht="17.899999999999999" hidden="1" customHeight="1">
      <c r="A1219" t="str">
        <f>+Table1[[#This Row],[Tabela]]&amp;Table1[[#This Row],[Campo]]</f>
        <v>lt003_entityesg_sbsctr</v>
      </c>
      <c r="B1219" s="38" t="s">
        <v>26</v>
      </c>
      <c r="C1219" s="38" t="s">
        <v>26</v>
      </c>
      <c r="D1219" s="38" t="s">
        <v>392</v>
      </c>
      <c r="E1219" s="38" t="s">
        <v>38</v>
      </c>
      <c r="F1219" s="38" t="s">
        <v>335</v>
      </c>
      <c r="G1219" s="38" t="s">
        <v>360</v>
      </c>
      <c r="H1219" s="58" t="str">
        <f>Table1[[#This Row],[Tabela]]&amp;Table1[[#This Row],[Campo]]</f>
        <v>lt003_entityesg_sbsctr</v>
      </c>
      <c r="I1219" s="2" t="s">
        <v>612</v>
      </c>
      <c r="J1219" s="44">
        <f>VLOOKUP(Table1[[#This Row],[Status]],Auxiliar!$B$16:$C$24,2,0)</f>
        <v>1</v>
      </c>
      <c r="K1219" s="44" t="s">
        <v>1169</v>
      </c>
      <c r="L1219" s="45" t="s">
        <v>1174</v>
      </c>
      <c r="M1219" s="20" t="s">
        <v>1175</v>
      </c>
      <c r="N1219" s="47">
        <v>45649</v>
      </c>
      <c r="O1219" s="20">
        <f>INDEX(Auxiliar!$D$5:$F$13,MATCH(Table1[[#This Row],[Tipologia_Testes]],Auxiliar!$B$5:$B$13,0),MATCH(Table1[[#This Row],[Complexidade]],Auxiliar!$D$4:$F$4,0))</f>
        <v>2</v>
      </c>
      <c r="P1219" s="42" t="s">
        <v>1253</v>
      </c>
      <c r="Q1219" s="113"/>
      <c r="R1219" s="151">
        <v>45583</v>
      </c>
      <c r="S1219" s="151"/>
      <c r="T1219" s="151">
        <v>45583</v>
      </c>
      <c r="U1219" s="151">
        <v>45611</v>
      </c>
      <c r="V1219" s="151">
        <v>45644</v>
      </c>
      <c r="W1219" s="2">
        <f>VLOOKUP(Table1[[#This Row],[Status]],Auxiliar!$B$16:$D$24,3,0)*Table1[[#This Row],[Estimação (horas)]]</f>
        <v>2</v>
      </c>
      <c r="X1219" s="165">
        <f>+VLOOKUP(CONCATENATE(Table1[[#This Row],[Tabela]],Table1[[#This Row],[Campo]]),'2. Status Detalhe Campos FY24'!A:J,9,FALSE)</f>
        <v>0</v>
      </c>
      <c r="Y1219" s="491" t="e">
        <f>+VLOOKUP(A1219,#REF!,1,FALSE)</f>
        <v>#REF!</v>
      </c>
    </row>
    <row r="1220" spans="1:25" ht="35.15" hidden="1" customHeight="1">
      <c r="A1220" t="str">
        <f>+Table1[[#This Row],[Tabela]]&amp;Table1[[#This Row],[Campo]]</f>
        <v>lt003_entityesg_sbsctr</v>
      </c>
      <c r="B1220" s="38" t="s">
        <v>26</v>
      </c>
      <c r="C1220" s="38" t="s">
        <v>26</v>
      </c>
      <c r="D1220" s="38" t="s">
        <v>392</v>
      </c>
      <c r="E1220" s="38" t="s">
        <v>38</v>
      </c>
      <c r="F1220" s="38" t="s">
        <v>335</v>
      </c>
      <c r="G1220" s="38" t="s">
        <v>360</v>
      </c>
      <c r="H1220" s="58" t="str">
        <f>Table1[[#This Row],[Tabela]]&amp;Table1[[#This Row],[Campo]]</f>
        <v>lt003_entityesg_sbsctr</v>
      </c>
      <c r="I1220" s="2" t="s">
        <v>612</v>
      </c>
      <c r="J1220" s="44">
        <f>VLOOKUP(Table1[[#This Row],[Status]],Auxiliar!$B$16:$C$24,2,0)</f>
        <v>1</v>
      </c>
      <c r="K1220" s="44" t="s">
        <v>1171</v>
      </c>
      <c r="L1220" s="45" t="s">
        <v>1174</v>
      </c>
      <c r="M1220" s="20" t="s">
        <v>1175</v>
      </c>
      <c r="N1220" s="47">
        <v>45649</v>
      </c>
      <c r="O1220" s="20">
        <f>INDEX(Auxiliar!$D$5:$F$13,MATCH(Table1[[#This Row],[Tipologia_Testes]],Auxiliar!$B$5:$B$13,0),MATCH(Table1[[#This Row],[Complexidade]],Auxiliar!$D$4:$F$4,0))</f>
        <v>0.1</v>
      </c>
      <c r="P1220" s="42" t="s">
        <v>1253</v>
      </c>
      <c r="Q1220" s="113"/>
      <c r="R1220" s="151">
        <v>45583</v>
      </c>
      <c r="S1220" s="151"/>
      <c r="T1220" s="151">
        <v>45583</v>
      </c>
      <c r="U1220" s="151">
        <v>45611</v>
      </c>
      <c r="V1220" s="151">
        <v>45644</v>
      </c>
      <c r="W1220" s="2">
        <f>VLOOKUP(Table1[[#This Row],[Status]],Auxiliar!$B$16:$D$24,3,0)*Table1[[#This Row],[Estimação (horas)]]</f>
        <v>0.1</v>
      </c>
      <c r="X1220" s="165">
        <f>+VLOOKUP(CONCATENATE(Table1[[#This Row],[Tabela]],Table1[[#This Row],[Campo]]),'2. Status Detalhe Campos FY24'!A:J,9,FALSE)</f>
        <v>0</v>
      </c>
      <c r="Y1220" s="491" t="e">
        <f>+VLOOKUP(A1220,#REF!,1,FALSE)</f>
        <v>#REF!</v>
      </c>
    </row>
    <row r="1221" spans="1:25" ht="17.899999999999999" hidden="1" customHeight="1">
      <c r="A1221" t="str">
        <f>+Table1[[#This Row],[Tabela]]&amp;Table1[[#This Row],[Campo]]</f>
        <v>lt003_entityttl_lblty</v>
      </c>
      <c r="B1221" s="40" t="s">
        <v>26</v>
      </c>
      <c r="C1221" s="40" t="s">
        <v>26</v>
      </c>
      <c r="D1221" s="36" t="s">
        <v>1257</v>
      </c>
      <c r="E1221" s="110" t="s">
        <v>1258</v>
      </c>
      <c r="F1221" s="39" t="s">
        <v>335</v>
      </c>
      <c r="G1221" s="37" t="s">
        <v>361</v>
      </c>
      <c r="H1221" s="59" t="str">
        <f>Table1[[#This Row],[Tabela]]&amp;Table1[[#This Row],[Campo]]</f>
        <v>lt003_entityttl_lblty</v>
      </c>
      <c r="I1221" s="2" t="s">
        <v>612</v>
      </c>
      <c r="J1221" s="44">
        <f>VLOOKUP(Table1[[#This Row],[Status]],Auxiliar!$B$16:$C$24,2,0)</f>
        <v>1</v>
      </c>
      <c r="K1221" s="44" t="s">
        <v>1168</v>
      </c>
      <c r="L1221" s="45" t="s">
        <v>1174</v>
      </c>
      <c r="M1221" s="20" t="s">
        <v>1175</v>
      </c>
      <c r="N1221" s="47">
        <v>45649</v>
      </c>
      <c r="O1221" s="20">
        <f>INDEX(Auxiliar!$D$5:$F$13,MATCH(Table1[[#This Row],[Tipologia_Testes]],Auxiliar!$B$5:$B$13,0),MATCH(Table1[[#This Row],[Complexidade]],Auxiliar!$D$4:$F$4,0))</f>
        <v>2</v>
      </c>
      <c r="P1221" s="42" t="s">
        <v>1259</v>
      </c>
      <c r="Q1221" s="113"/>
      <c r="R1221" s="151">
        <v>45593</v>
      </c>
      <c r="S1221" s="151"/>
      <c r="T1221" s="151">
        <v>45593</v>
      </c>
      <c r="U1221" s="151">
        <v>45624</v>
      </c>
      <c r="V1221" s="151">
        <v>45644</v>
      </c>
      <c r="W1221" s="2">
        <f>VLOOKUP(Table1[[#This Row],[Status]],Auxiliar!$B$16:$D$24,3,0)*Table1[[#This Row],[Estimação (horas)]]</f>
        <v>2</v>
      </c>
      <c r="X1221" s="165">
        <f>+VLOOKUP(CONCATENATE(Table1[[#This Row],[Tabela]],Table1[[#This Row],[Campo]]),'2. Status Detalhe Campos FY24'!A:J,9,FALSE)</f>
        <v>0</v>
      </c>
      <c r="Y1221" s="491" t="e">
        <f>+VLOOKUP(A1221,#REF!,1,FALSE)</f>
        <v>#REF!</v>
      </c>
    </row>
    <row r="1222" spans="1:25" ht="17.899999999999999" hidden="1" customHeight="1">
      <c r="A1222" t="str">
        <f>+Table1[[#This Row],[Tabela]]&amp;Table1[[#This Row],[Campo]]</f>
        <v>lt003_entityttl_lblty</v>
      </c>
      <c r="B1222" s="38" t="s">
        <v>26</v>
      </c>
      <c r="C1222" s="38" t="s">
        <v>26</v>
      </c>
      <c r="D1222" s="38" t="s">
        <v>1257</v>
      </c>
      <c r="E1222" s="38" t="s">
        <v>1258</v>
      </c>
      <c r="F1222" s="38" t="s">
        <v>335</v>
      </c>
      <c r="G1222" s="38" t="s">
        <v>361</v>
      </c>
      <c r="H1222" s="58" t="str">
        <f>Table1[[#This Row],[Tabela]]&amp;Table1[[#This Row],[Campo]]</f>
        <v>lt003_entityttl_lblty</v>
      </c>
      <c r="I1222" s="2" t="s">
        <v>612</v>
      </c>
      <c r="J1222" s="44">
        <f>VLOOKUP(Table1[[#This Row],[Status]],Auxiliar!$B$16:$C$24,2,0)</f>
        <v>1</v>
      </c>
      <c r="K1222" s="44" t="s">
        <v>1169</v>
      </c>
      <c r="L1222" s="45" t="s">
        <v>1174</v>
      </c>
      <c r="M1222" s="20" t="s">
        <v>1175</v>
      </c>
      <c r="N1222" s="47">
        <v>45649</v>
      </c>
      <c r="O1222" s="20">
        <f>INDEX(Auxiliar!$D$5:$F$13,MATCH(Table1[[#This Row],[Tipologia_Testes]],Auxiliar!$B$5:$B$13,0),MATCH(Table1[[#This Row],[Complexidade]],Auxiliar!$D$4:$F$4,0))</f>
        <v>2</v>
      </c>
      <c r="P1222" s="42" t="s">
        <v>1259</v>
      </c>
      <c r="Q1222" s="113"/>
      <c r="R1222" s="151">
        <v>45593</v>
      </c>
      <c r="S1222" s="151"/>
      <c r="T1222" s="151">
        <v>45593</v>
      </c>
      <c r="U1222" s="151">
        <v>45624</v>
      </c>
      <c r="V1222" s="151">
        <v>45644</v>
      </c>
      <c r="W1222" s="2">
        <f>VLOOKUP(Table1[[#This Row],[Status]],Auxiliar!$B$16:$D$24,3,0)*Table1[[#This Row],[Estimação (horas)]]</f>
        <v>2</v>
      </c>
      <c r="X1222" s="165">
        <f>+VLOOKUP(CONCATENATE(Table1[[#This Row],[Tabela]],Table1[[#This Row],[Campo]]),'2. Status Detalhe Campos FY24'!A:J,9,FALSE)</f>
        <v>0</v>
      </c>
      <c r="Y1222" s="491" t="e">
        <f>+VLOOKUP(A1222,#REF!,1,FALSE)</f>
        <v>#REF!</v>
      </c>
    </row>
    <row r="1223" spans="1:25" ht="35.15" hidden="1" customHeight="1">
      <c r="A1223" t="str">
        <f>+Table1[[#This Row],[Tabela]]&amp;Table1[[#This Row],[Campo]]</f>
        <v>lt003_entityttl_lblty</v>
      </c>
      <c r="B1223" s="38" t="s">
        <v>26</v>
      </c>
      <c r="C1223" s="38" t="s">
        <v>26</v>
      </c>
      <c r="D1223" s="38" t="s">
        <v>1257</v>
      </c>
      <c r="E1223" s="38" t="s">
        <v>1258</v>
      </c>
      <c r="F1223" s="38" t="s">
        <v>335</v>
      </c>
      <c r="G1223" s="38" t="s">
        <v>361</v>
      </c>
      <c r="H1223" s="58" t="str">
        <f>Table1[[#This Row],[Tabela]]&amp;Table1[[#This Row],[Campo]]</f>
        <v>lt003_entityttl_lblty</v>
      </c>
      <c r="I1223" s="2" t="s">
        <v>612</v>
      </c>
      <c r="J1223" s="44">
        <f>VLOOKUP(Table1[[#This Row],[Status]],Auxiliar!$B$16:$C$24,2,0)</f>
        <v>1</v>
      </c>
      <c r="K1223" s="44" t="s">
        <v>1171</v>
      </c>
      <c r="L1223" s="45" t="s">
        <v>1174</v>
      </c>
      <c r="M1223" s="20" t="s">
        <v>1175</v>
      </c>
      <c r="N1223" s="47">
        <v>45649</v>
      </c>
      <c r="O1223" s="20">
        <f>INDEX(Auxiliar!$D$5:$F$13,MATCH(Table1[[#This Row],[Tipologia_Testes]],Auxiliar!$B$5:$B$13,0),MATCH(Table1[[#This Row],[Complexidade]],Auxiliar!$D$4:$F$4,0))</f>
        <v>0.1</v>
      </c>
      <c r="P1223" s="42" t="s">
        <v>1259</v>
      </c>
      <c r="Q1223" s="113"/>
      <c r="R1223" s="151">
        <v>45593</v>
      </c>
      <c r="S1223" s="151"/>
      <c r="T1223" s="151">
        <v>45593</v>
      </c>
      <c r="U1223" s="151">
        <v>45624</v>
      </c>
      <c r="V1223" s="151">
        <v>45644</v>
      </c>
      <c r="W1223" s="2">
        <f>VLOOKUP(Table1[[#This Row],[Status]],Auxiliar!$B$16:$D$24,3,0)*Table1[[#This Row],[Estimação (horas)]]</f>
        <v>0.1</v>
      </c>
      <c r="X1223" s="165">
        <f>+VLOOKUP(CONCATENATE(Table1[[#This Row],[Tabela]],Table1[[#This Row],[Campo]]),'2. Status Detalhe Campos FY24'!A:J,9,FALSE)</f>
        <v>0</v>
      </c>
      <c r="Y1223" s="491" t="e">
        <f>+VLOOKUP(A1223,#REF!,1,FALSE)</f>
        <v>#REF!</v>
      </c>
    </row>
    <row r="1224" spans="1:25" ht="17.899999999999999" hidden="1" customHeight="1">
      <c r="A1224" t="str">
        <f>+Table1[[#This Row],[Tabela]]&amp;Table1[[#This Row],[Campo]]</f>
        <v>lt003_entityisin</v>
      </c>
      <c r="B1224" s="40" t="s">
        <v>26</v>
      </c>
      <c r="C1224" s="40" t="s">
        <v>26</v>
      </c>
      <c r="D1224" s="35" t="s">
        <v>1260</v>
      </c>
      <c r="E1224" s="110" t="s">
        <v>1261</v>
      </c>
      <c r="F1224" s="39" t="s">
        <v>335</v>
      </c>
      <c r="G1224" s="37" t="s">
        <v>238</v>
      </c>
      <c r="H1224" s="59" t="str">
        <f>Table1[[#This Row],[Tabela]]&amp;Table1[[#This Row],[Campo]]</f>
        <v>lt003_entityisin</v>
      </c>
      <c r="I1224" s="2" t="s">
        <v>612</v>
      </c>
      <c r="J1224" s="44">
        <f>VLOOKUP(Table1[[#This Row],[Status]],Auxiliar!$B$16:$C$24,2,0)</f>
        <v>1</v>
      </c>
      <c r="K1224" s="44" t="s">
        <v>1168</v>
      </c>
      <c r="L1224" s="45" t="s">
        <v>1174</v>
      </c>
      <c r="M1224" s="20" t="s">
        <v>1175</v>
      </c>
      <c r="N1224" s="47">
        <v>45632</v>
      </c>
      <c r="O1224" s="20">
        <f>INDEX(Auxiliar!$D$5:$F$13,MATCH(Table1[[#This Row],[Tipologia_Testes]],Auxiliar!$B$5:$B$13,0),MATCH(Table1[[#This Row],[Complexidade]],Auxiliar!$D$4:$F$4,0))</f>
        <v>2</v>
      </c>
      <c r="P1224" s="42" t="s">
        <v>642</v>
      </c>
      <c r="Q1224" s="113"/>
      <c r="R1224" s="151">
        <v>45589</v>
      </c>
      <c r="S1224" s="151"/>
      <c r="T1224" s="151">
        <v>45589</v>
      </c>
      <c r="U1224" s="151"/>
      <c r="V1224" s="151">
        <v>45611</v>
      </c>
      <c r="W1224" s="2">
        <f>VLOOKUP(Table1[[#This Row],[Status]],Auxiliar!$B$16:$D$24,3,0)*Table1[[#This Row],[Estimação (horas)]]</f>
        <v>2</v>
      </c>
      <c r="X1224" s="165">
        <f>+VLOOKUP(CONCATENATE(Table1[[#This Row],[Tabela]],Table1[[#This Row],[Campo]]),'2. Status Detalhe Campos FY24'!A:J,9,FALSE)</f>
        <v>0</v>
      </c>
      <c r="Y1224" s="491" t="e">
        <f>+VLOOKUP(A1224,#REF!,1,FALSE)</f>
        <v>#REF!</v>
      </c>
    </row>
    <row r="1225" spans="1:25" ht="17.899999999999999" hidden="1" customHeight="1">
      <c r="A1225" t="str">
        <f>+Table1[[#This Row],[Tabela]]&amp;Table1[[#This Row],[Campo]]</f>
        <v>lt003_entityisin</v>
      </c>
      <c r="B1225" s="38" t="s">
        <v>26</v>
      </c>
      <c r="C1225" s="38" t="s">
        <v>26</v>
      </c>
      <c r="D1225" s="38" t="s">
        <v>1260</v>
      </c>
      <c r="E1225" s="38" t="s">
        <v>1261</v>
      </c>
      <c r="F1225" s="38" t="s">
        <v>335</v>
      </c>
      <c r="G1225" s="38" t="s">
        <v>238</v>
      </c>
      <c r="H1225" s="58" t="str">
        <f>Table1[[#This Row],[Tabela]]&amp;Table1[[#This Row],[Campo]]</f>
        <v>lt003_entityisin</v>
      </c>
      <c r="I1225" s="2" t="s">
        <v>612</v>
      </c>
      <c r="J1225" s="44">
        <f>VLOOKUP(Table1[[#This Row],[Status]],Auxiliar!$B$16:$C$24,2,0)</f>
        <v>1</v>
      </c>
      <c r="K1225" s="44" t="s">
        <v>1169</v>
      </c>
      <c r="L1225" s="45" t="s">
        <v>1174</v>
      </c>
      <c r="M1225" s="20" t="s">
        <v>1175</v>
      </c>
      <c r="N1225" s="47">
        <v>45632</v>
      </c>
      <c r="O1225" s="20">
        <f>INDEX(Auxiliar!$D$5:$F$13,MATCH(Table1[[#This Row],[Tipologia_Testes]],Auxiliar!$B$5:$B$13,0),MATCH(Table1[[#This Row],[Complexidade]],Auxiliar!$D$4:$F$4,0))</f>
        <v>2</v>
      </c>
      <c r="P1225" s="42" t="s">
        <v>642</v>
      </c>
      <c r="Q1225" s="113"/>
      <c r="R1225" s="151">
        <v>45589</v>
      </c>
      <c r="S1225" s="151"/>
      <c r="T1225" s="151">
        <v>45589</v>
      </c>
      <c r="U1225" s="151"/>
      <c r="V1225" s="151">
        <v>45611</v>
      </c>
      <c r="W1225" s="2">
        <f>VLOOKUP(Table1[[#This Row],[Status]],Auxiliar!$B$16:$D$24,3,0)*Table1[[#This Row],[Estimação (horas)]]</f>
        <v>2</v>
      </c>
      <c r="X1225" s="165">
        <f>+VLOOKUP(CONCATENATE(Table1[[#This Row],[Tabela]],Table1[[#This Row],[Campo]]),'2. Status Detalhe Campos FY24'!A:J,9,FALSE)</f>
        <v>0</v>
      </c>
      <c r="Y1225" s="491" t="e">
        <f>+VLOOKUP(A1225,#REF!,1,FALSE)</f>
        <v>#REF!</v>
      </c>
    </row>
    <row r="1226" spans="1:25" ht="35.15" hidden="1" customHeight="1">
      <c r="A1226" t="str">
        <f>+Table1[[#This Row],[Tabela]]&amp;Table1[[#This Row],[Campo]]</f>
        <v>lt003_entityisin</v>
      </c>
      <c r="B1226" s="38" t="s">
        <v>26</v>
      </c>
      <c r="C1226" s="38" t="s">
        <v>26</v>
      </c>
      <c r="D1226" s="38" t="s">
        <v>1260</v>
      </c>
      <c r="E1226" s="38" t="s">
        <v>1261</v>
      </c>
      <c r="F1226" s="38" t="s">
        <v>335</v>
      </c>
      <c r="G1226" s="38" t="s">
        <v>238</v>
      </c>
      <c r="H1226" s="58" t="str">
        <f>Table1[[#This Row],[Tabela]]&amp;Table1[[#This Row],[Campo]]</f>
        <v>lt003_entityisin</v>
      </c>
      <c r="I1226" s="2" t="s">
        <v>612</v>
      </c>
      <c r="J1226" s="44">
        <f>VLOOKUP(Table1[[#This Row],[Status]],Auxiliar!$B$16:$C$24,2,0)</f>
        <v>1</v>
      </c>
      <c r="K1226" s="44" t="s">
        <v>1171</v>
      </c>
      <c r="L1226" s="45" t="s">
        <v>1174</v>
      </c>
      <c r="M1226" s="20" t="s">
        <v>1175</v>
      </c>
      <c r="N1226" s="47">
        <v>45632</v>
      </c>
      <c r="O1226" s="20">
        <f>INDEX(Auxiliar!$D$5:$F$13,MATCH(Table1[[#This Row],[Tipologia_Testes]],Auxiliar!$B$5:$B$13,0),MATCH(Table1[[#This Row],[Complexidade]],Auxiliar!$D$4:$F$4,0))</f>
        <v>0.1</v>
      </c>
      <c r="P1226" s="42" t="s">
        <v>642</v>
      </c>
      <c r="Q1226" s="113"/>
      <c r="R1226" s="151">
        <v>45589</v>
      </c>
      <c r="S1226" s="151"/>
      <c r="T1226" s="151">
        <v>45589</v>
      </c>
      <c r="U1226" s="151"/>
      <c r="V1226" s="151">
        <v>45611</v>
      </c>
      <c r="W1226" s="2">
        <f>VLOOKUP(Table1[[#This Row],[Status]],Auxiliar!$B$16:$D$24,3,0)*Table1[[#This Row],[Estimação (horas)]]</f>
        <v>0.1</v>
      </c>
      <c r="X1226" s="165">
        <f>+VLOOKUP(CONCATENATE(Table1[[#This Row],[Tabela]],Table1[[#This Row],[Campo]]),'2. Status Detalhe Campos FY24'!A:J,9,FALSE)</f>
        <v>0</v>
      </c>
      <c r="Y1226" s="491" t="e">
        <f>+VLOOKUP(A1226,#REF!,1,FALSE)</f>
        <v>#REF!</v>
      </c>
    </row>
    <row r="1227" spans="1:25" ht="17.899999999999999" hidden="1" customHeight="1">
      <c r="A1227" t="str">
        <f>+Table1[[#This Row],[Tabela]]&amp;Table1[[#This Row],[Campo]]</f>
        <v>lt003_entitygrp_annl_trnvr_le</v>
      </c>
      <c r="B1227" s="40" t="s">
        <v>26</v>
      </c>
      <c r="C1227" s="40" t="s">
        <v>26</v>
      </c>
      <c r="D1227" s="35" t="s">
        <v>1262</v>
      </c>
      <c r="E1227" s="110" t="s">
        <v>1263</v>
      </c>
      <c r="F1227" s="39" t="s">
        <v>335</v>
      </c>
      <c r="G1227" s="37" t="s">
        <v>362</v>
      </c>
      <c r="H1227" s="59" t="str">
        <f>Table1[[#This Row],[Tabela]]&amp;Table1[[#This Row],[Campo]]</f>
        <v>lt003_entitygrp_annl_trnvr_le</v>
      </c>
      <c r="I1227" s="2" t="s">
        <v>612</v>
      </c>
      <c r="J1227" s="44">
        <f>VLOOKUP(Table1[[#This Row],[Status]],Auxiliar!$B$16:$C$24,2,0)</f>
        <v>1</v>
      </c>
      <c r="K1227" s="44" t="s">
        <v>1168</v>
      </c>
      <c r="L1227" s="45" t="s">
        <v>1174</v>
      </c>
      <c r="M1227" s="20" t="s">
        <v>1175</v>
      </c>
      <c r="N1227" s="47">
        <v>45632</v>
      </c>
      <c r="O1227" s="20">
        <f>INDEX(Auxiliar!$D$5:$F$13,MATCH(Table1[[#This Row],[Tipologia_Testes]],Auxiliar!$B$5:$B$13,0),MATCH(Table1[[#This Row],[Complexidade]],Auxiliar!$D$4:$F$4,0))</f>
        <v>2</v>
      </c>
      <c r="P1227" s="42" t="s">
        <v>1259</v>
      </c>
      <c r="Q1227" s="113"/>
      <c r="R1227" s="151">
        <v>45593</v>
      </c>
      <c r="S1227" s="151"/>
      <c r="T1227" s="151">
        <v>45593</v>
      </c>
      <c r="U1227" s="151">
        <v>45611</v>
      </c>
      <c r="V1227" s="151">
        <v>45611</v>
      </c>
      <c r="W1227" s="2">
        <f>VLOOKUP(Table1[[#This Row],[Status]],Auxiliar!$B$16:$D$24,3,0)*Table1[[#This Row],[Estimação (horas)]]</f>
        <v>2</v>
      </c>
      <c r="X1227" s="165">
        <f>+VLOOKUP(CONCATENATE(Table1[[#This Row],[Tabela]],Table1[[#This Row],[Campo]]),'2. Status Detalhe Campos FY24'!A:J,9,FALSE)</f>
        <v>0</v>
      </c>
      <c r="Y1227" s="491" t="e">
        <f>+VLOOKUP(A1227,#REF!,1,FALSE)</f>
        <v>#REF!</v>
      </c>
    </row>
    <row r="1228" spans="1:25" ht="17.899999999999999" hidden="1" customHeight="1">
      <c r="A1228" t="str">
        <f>+Table1[[#This Row],[Tabela]]&amp;Table1[[#This Row],[Campo]]</f>
        <v>lt003_entitygrp_annl_trnvr_le</v>
      </c>
      <c r="B1228" s="38" t="s">
        <v>26</v>
      </c>
      <c r="C1228" s="38" t="s">
        <v>26</v>
      </c>
      <c r="D1228" s="38" t="s">
        <v>1262</v>
      </c>
      <c r="E1228" s="38" t="s">
        <v>1263</v>
      </c>
      <c r="F1228" s="38" t="s">
        <v>335</v>
      </c>
      <c r="G1228" s="38" t="s">
        <v>362</v>
      </c>
      <c r="H1228" s="58" t="str">
        <f>Table1[[#This Row],[Tabela]]&amp;Table1[[#This Row],[Campo]]</f>
        <v>lt003_entitygrp_annl_trnvr_le</v>
      </c>
      <c r="I1228" s="2" t="s">
        <v>612</v>
      </c>
      <c r="J1228" s="44">
        <f>VLOOKUP(Table1[[#This Row],[Status]],Auxiliar!$B$16:$C$24,2,0)</f>
        <v>1</v>
      </c>
      <c r="K1228" s="44" t="s">
        <v>1169</v>
      </c>
      <c r="L1228" s="45" t="s">
        <v>1174</v>
      </c>
      <c r="M1228" s="20" t="s">
        <v>1175</v>
      </c>
      <c r="N1228" s="47">
        <v>45632</v>
      </c>
      <c r="O1228" s="20">
        <f>INDEX(Auxiliar!$D$5:$F$13,MATCH(Table1[[#This Row],[Tipologia_Testes]],Auxiliar!$B$5:$B$13,0),MATCH(Table1[[#This Row],[Complexidade]],Auxiliar!$D$4:$F$4,0))</f>
        <v>2</v>
      </c>
      <c r="P1228" s="42" t="s">
        <v>1259</v>
      </c>
      <c r="Q1228" s="113"/>
      <c r="R1228" s="151">
        <v>45593</v>
      </c>
      <c r="S1228" s="151"/>
      <c r="T1228" s="151">
        <v>45593</v>
      </c>
      <c r="U1228" s="151">
        <v>45611</v>
      </c>
      <c r="V1228" s="151">
        <v>45611</v>
      </c>
      <c r="W1228" s="2">
        <f>VLOOKUP(Table1[[#This Row],[Status]],Auxiliar!$B$16:$D$24,3,0)*Table1[[#This Row],[Estimação (horas)]]</f>
        <v>2</v>
      </c>
      <c r="X1228" s="165">
        <f>+VLOOKUP(CONCATENATE(Table1[[#This Row],[Tabela]],Table1[[#This Row],[Campo]]),'2. Status Detalhe Campos FY24'!A:J,9,FALSE)</f>
        <v>0</v>
      </c>
      <c r="Y1228" s="491" t="e">
        <f>+VLOOKUP(A1228,#REF!,1,FALSE)</f>
        <v>#REF!</v>
      </c>
    </row>
    <row r="1229" spans="1:25" ht="35.15" hidden="1" customHeight="1">
      <c r="A1229" t="str">
        <f>+Table1[[#This Row],[Tabela]]&amp;Table1[[#This Row],[Campo]]</f>
        <v>lt003_entitygrp_annl_trnvr_le</v>
      </c>
      <c r="B1229" s="38" t="s">
        <v>26</v>
      </c>
      <c r="C1229" s="38" t="s">
        <v>26</v>
      </c>
      <c r="D1229" s="38" t="s">
        <v>1262</v>
      </c>
      <c r="E1229" s="38" t="s">
        <v>1263</v>
      </c>
      <c r="F1229" s="38" t="s">
        <v>335</v>
      </c>
      <c r="G1229" s="38" t="s">
        <v>362</v>
      </c>
      <c r="H1229" s="58" t="str">
        <f>Table1[[#This Row],[Tabela]]&amp;Table1[[#This Row],[Campo]]</f>
        <v>lt003_entitygrp_annl_trnvr_le</v>
      </c>
      <c r="I1229" s="2" t="s">
        <v>612</v>
      </c>
      <c r="J1229" s="44">
        <f>VLOOKUP(Table1[[#This Row],[Status]],Auxiliar!$B$16:$C$24,2,0)</f>
        <v>1</v>
      </c>
      <c r="K1229" s="44" t="s">
        <v>1171</v>
      </c>
      <c r="L1229" s="45" t="s">
        <v>1174</v>
      </c>
      <c r="M1229" s="20" t="s">
        <v>1175</v>
      </c>
      <c r="N1229" s="47">
        <v>45632</v>
      </c>
      <c r="O1229" s="20">
        <f>INDEX(Auxiliar!$D$5:$F$13,MATCH(Table1[[#This Row],[Tipologia_Testes]],Auxiliar!$B$5:$B$13,0),MATCH(Table1[[#This Row],[Complexidade]],Auxiliar!$D$4:$F$4,0))</f>
        <v>0.1</v>
      </c>
      <c r="P1229" s="42" t="s">
        <v>1259</v>
      </c>
      <c r="Q1229" s="113"/>
      <c r="R1229" s="151">
        <v>45593</v>
      </c>
      <c r="S1229" s="151"/>
      <c r="T1229" s="151">
        <v>45593</v>
      </c>
      <c r="U1229" s="151">
        <v>45611</v>
      </c>
      <c r="V1229" s="151">
        <v>45611</v>
      </c>
      <c r="W1229" s="2">
        <f>VLOOKUP(Table1[[#This Row],[Status]],Auxiliar!$B$16:$D$24,3,0)*Table1[[#This Row],[Estimação (horas)]]</f>
        <v>0.1</v>
      </c>
      <c r="X1229" s="165">
        <f>+VLOOKUP(CONCATENATE(Table1[[#This Row],[Tabela]],Table1[[#This Row],[Campo]]),'2. Status Detalhe Campos FY24'!A:J,9,FALSE)</f>
        <v>0</v>
      </c>
      <c r="Y1229" s="491" t="e">
        <f>+VLOOKUP(A1229,#REF!,1,FALSE)</f>
        <v>#REF!</v>
      </c>
    </row>
    <row r="1230" spans="1:25" ht="17.899999999999999" hidden="1" customHeight="1">
      <c r="A1230" t="str">
        <f>+Table1[[#This Row],[Tabela]]&amp;Table1[[#This Row],[Campo]]</f>
        <v>lt003_entitygrp_ttl_lblty</v>
      </c>
      <c r="B1230" s="40" t="s">
        <v>26</v>
      </c>
      <c r="C1230" s="40" t="s">
        <v>26</v>
      </c>
      <c r="D1230" s="35" t="s">
        <v>1264</v>
      </c>
      <c r="E1230" s="110" t="s">
        <v>1258</v>
      </c>
      <c r="F1230" s="39" t="s">
        <v>335</v>
      </c>
      <c r="G1230" s="37" t="s">
        <v>363</v>
      </c>
      <c r="H1230" s="59" t="str">
        <f>Table1[[#This Row],[Tabela]]&amp;Table1[[#This Row],[Campo]]</f>
        <v>lt003_entitygrp_ttl_lblty</v>
      </c>
      <c r="I1230" s="2" t="s">
        <v>612</v>
      </c>
      <c r="J1230" s="44">
        <f>VLOOKUP(Table1[[#This Row],[Status]],Auxiliar!$B$16:$C$24,2,0)</f>
        <v>1</v>
      </c>
      <c r="K1230" s="44" t="s">
        <v>1168</v>
      </c>
      <c r="L1230" s="45" t="s">
        <v>1174</v>
      </c>
      <c r="M1230" s="20" t="s">
        <v>1175</v>
      </c>
      <c r="N1230" s="47">
        <v>45649</v>
      </c>
      <c r="O1230" s="20">
        <f>INDEX(Auxiliar!$D$5:$F$13,MATCH(Table1[[#This Row],[Tipologia_Testes]],Auxiliar!$B$5:$B$13,0),MATCH(Table1[[#This Row],[Complexidade]],Auxiliar!$D$4:$F$4,0))</f>
        <v>2</v>
      </c>
      <c r="P1230" s="42" t="s">
        <v>1259</v>
      </c>
      <c r="Q1230" s="113"/>
      <c r="R1230" s="151">
        <v>45593</v>
      </c>
      <c r="S1230" s="151"/>
      <c r="T1230" s="151">
        <v>45593</v>
      </c>
      <c r="U1230" s="151">
        <v>45611</v>
      </c>
      <c r="V1230" s="151">
        <v>45644</v>
      </c>
      <c r="W1230" s="2">
        <f>VLOOKUP(Table1[[#This Row],[Status]],Auxiliar!$B$16:$D$24,3,0)*Table1[[#This Row],[Estimação (horas)]]</f>
        <v>2</v>
      </c>
      <c r="X1230" s="165">
        <f>+VLOOKUP(CONCATENATE(Table1[[#This Row],[Tabela]],Table1[[#This Row],[Campo]]),'2. Status Detalhe Campos FY24'!A:J,9,FALSE)</f>
        <v>0</v>
      </c>
      <c r="Y1230" s="491" t="e">
        <f>+VLOOKUP(A1230,#REF!,1,FALSE)</f>
        <v>#REF!</v>
      </c>
    </row>
    <row r="1231" spans="1:25" ht="17.899999999999999" hidden="1" customHeight="1">
      <c r="A1231" t="str">
        <f>+Table1[[#This Row],[Tabela]]&amp;Table1[[#This Row],[Campo]]</f>
        <v>lt003_entitygrp_ttl_lblty</v>
      </c>
      <c r="B1231" s="38" t="s">
        <v>26</v>
      </c>
      <c r="C1231" s="38" t="s">
        <v>26</v>
      </c>
      <c r="D1231" s="38" t="s">
        <v>1264</v>
      </c>
      <c r="E1231" s="38" t="s">
        <v>1258</v>
      </c>
      <c r="F1231" s="38" t="s">
        <v>335</v>
      </c>
      <c r="G1231" s="38" t="s">
        <v>363</v>
      </c>
      <c r="H1231" s="58" t="str">
        <f>Table1[[#This Row],[Tabela]]&amp;Table1[[#This Row],[Campo]]</f>
        <v>lt003_entitygrp_ttl_lblty</v>
      </c>
      <c r="I1231" s="2" t="s">
        <v>612</v>
      </c>
      <c r="J1231" s="44">
        <f>VLOOKUP(Table1[[#This Row],[Status]],Auxiliar!$B$16:$C$24,2,0)</f>
        <v>1</v>
      </c>
      <c r="K1231" s="44" t="s">
        <v>1169</v>
      </c>
      <c r="L1231" s="45" t="s">
        <v>1174</v>
      </c>
      <c r="M1231" s="20" t="s">
        <v>1175</v>
      </c>
      <c r="N1231" s="47">
        <v>45649</v>
      </c>
      <c r="O1231" s="20">
        <f>INDEX(Auxiliar!$D$5:$F$13,MATCH(Table1[[#This Row],[Tipologia_Testes]],Auxiliar!$B$5:$B$13,0),MATCH(Table1[[#This Row],[Complexidade]],Auxiliar!$D$4:$F$4,0))</f>
        <v>2</v>
      </c>
      <c r="P1231" s="42" t="s">
        <v>1259</v>
      </c>
      <c r="Q1231" s="113"/>
      <c r="R1231" s="151">
        <v>45593</v>
      </c>
      <c r="S1231" s="151"/>
      <c r="T1231" s="151">
        <v>45593</v>
      </c>
      <c r="U1231" s="151">
        <v>45611</v>
      </c>
      <c r="V1231" s="151">
        <v>45644</v>
      </c>
      <c r="W1231" s="2">
        <f>VLOOKUP(Table1[[#This Row],[Status]],Auxiliar!$B$16:$D$24,3,0)*Table1[[#This Row],[Estimação (horas)]]</f>
        <v>2</v>
      </c>
      <c r="X1231" s="165">
        <f>+VLOOKUP(CONCATENATE(Table1[[#This Row],[Tabela]],Table1[[#This Row],[Campo]]),'2. Status Detalhe Campos FY24'!A:J,9,FALSE)</f>
        <v>0</v>
      </c>
      <c r="Y1231" s="491" t="e">
        <f>+VLOOKUP(A1231,#REF!,1,FALSE)</f>
        <v>#REF!</v>
      </c>
    </row>
    <row r="1232" spans="1:25" ht="35.15" hidden="1" customHeight="1">
      <c r="A1232" t="str">
        <f>+Table1[[#This Row],[Tabela]]&amp;Table1[[#This Row],[Campo]]</f>
        <v>lt003_entitygrp_ttl_lblty</v>
      </c>
      <c r="B1232" s="38" t="s">
        <v>26</v>
      </c>
      <c r="C1232" s="38" t="s">
        <v>26</v>
      </c>
      <c r="D1232" s="38" t="s">
        <v>1264</v>
      </c>
      <c r="E1232" s="38" t="s">
        <v>1258</v>
      </c>
      <c r="F1232" s="38" t="s">
        <v>335</v>
      </c>
      <c r="G1232" s="38" t="s">
        <v>363</v>
      </c>
      <c r="H1232" s="58" t="str">
        <f>Table1[[#This Row],[Tabela]]&amp;Table1[[#This Row],[Campo]]</f>
        <v>lt003_entitygrp_ttl_lblty</v>
      </c>
      <c r="I1232" s="2" t="s">
        <v>612</v>
      </c>
      <c r="J1232" s="44">
        <f>VLOOKUP(Table1[[#This Row],[Status]],Auxiliar!$B$16:$C$24,2,0)</f>
        <v>1</v>
      </c>
      <c r="K1232" s="44" t="s">
        <v>1171</v>
      </c>
      <c r="L1232" s="45" t="s">
        <v>1174</v>
      </c>
      <c r="M1232" s="20" t="s">
        <v>1175</v>
      </c>
      <c r="N1232" s="47">
        <v>45649</v>
      </c>
      <c r="O1232" s="20">
        <f>INDEX(Auxiliar!$D$5:$F$13,MATCH(Table1[[#This Row],[Tipologia_Testes]],Auxiliar!$B$5:$B$13,0),MATCH(Table1[[#This Row],[Complexidade]],Auxiliar!$D$4:$F$4,0))</f>
        <v>0.1</v>
      </c>
      <c r="P1232" s="42" t="s">
        <v>1259</v>
      </c>
      <c r="Q1232" s="113"/>
      <c r="R1232" s="151">
        <v>45593</v>
      </c>
      <c r="S1232" s="151"/>
      <c r="T1232" s="151">
        <v>45593</v>
      </c>
      <c r="U1232" s="151">
        <v>45611</v>
      </c>
      <c r="V1232" s="151">
        <v>45644</v>
      </c>
      <c r="W1232" s="2">
        <f>VLOOKUP(Table1[[#This Row],[Status]],Auxiliar!$B$16:$D$24,3,0)*Table1[[#This Row],[Estimação (horas)]]</f>
        <v>0.1</v>
      </c>
      <c r="X1232" s="165">
        <f>+VLOOKUP(CONCATENATE(Table1[[#This Row],[Tabela]],Table1[[#This Row],[Campo]]),'2. Status Detalhe Campos FY24'!A:J,9,FALSE)</f>
        <v>0</v>
      </c>
      <c r="Y1232" s="491" t="e">
        <f>+VLOOKUP(A1232,#REF!,1,FALSE)</f>
        <v>#REF!</v>
      </c>
    </row>
    <row r="1233" spans="1:25" ht="17.899999999999999" hidden="1" customHeight="1">
      <c r="A1233" t="str">
        <f>+Table1[[#This Row],[Tabela]]&amp;Table1[[#This Row],[Campo]]</f>
        <v>lt003_entityflg_grp_nfrd_applcblty</v>
      </c>
      <c r="B1233" s="40" t="s">
        <v>26</v>
      </c>
      <c r="C1233" s="40" t="s">
        <v>26</v>
      </c>
      <c r="D1233" s="35" t="s">
        <v>325</v>
      </c>
      <c r="E1233" s="110" t="s">
        <v>1265</v>
      </c>
      <c r="F1233" s="39" t="s">
        <v>335</v>
      </c>
      <c r="G1233" s="37" t="s">
        <v>364</v>
      </c>
      <c r="H1233" s="59" t="str">
        <f>Table1[[#This Row],[Tabela]]&amp;Table1[[#This Row],[Campo]]</f>
        <v>lt003_entityflg_grp_nfrd_applcblty</v>
      </c>
      <c r="I1233" s="2" t="s">
        <v>612</v>
      </c>
      <c r="J1233" s="44">
        <f>VLOOKUP(Table1[[#This Row],[Status]],Auxiliar!$B$16:$C$24,2,0)</f>
        <v>1</v>
      </c>
      <c r="K1233" s="44" t="s">
        <v>1168</v>
      </c>
      <c r="L1233" s="45" t="s">
        <v>1174</v>
      </c>
      <c r="M1233" s="20" t="s">
        <v>1175</v>
      </c>
      <c r="N1233" s="47">
        <v>45642</v>
      </c>
      <c r="O1233" s="20">
        <f>INDEX(Auxiliar!$D$5:$F$13,MATCH(Table1[[#This Row],[Tipologia_Testes]],Auxiliar!$B$5:$B$13,0),MATCH(Table1[[#This Row],[Complexidade]],Auxiliar!$D$4:$F$4,0))</f>
        <v>2</v>
      </c>
      <c r="P1233" s="42" t="s">
        <v>572</v>
      </c>
      <c r="Q1233" s="113"/>
      <c r="R1233" s="151">
        <v>45589</v>
      </c>
      <c r="S1233" s="151"/>
      <c r="T1233" s="151">
        <v>45589</v>
      </c>
      <c r="U1233" s="151"/>
      <c r="V1233" s="151">
        <v>45596</v>
      </c>
      <c r="W1233" s="2">
        <f>VLOOKUP(Table1[[#This Row],[Status]],Auxiliar!$B$16:$D$24,3,0)*Table1[[#This Row],[Estimação (horas)]]</f>
        <v>2</v>
      </c>
      <c r="X1233" s="165">
        <f>+VLOOKUP(CONCATENATE(Table1[[#This Row],[Tabela]],Table1[[#This Row],[Campo]]),'2. Status Detalhe Campos FY24'!A:J,9,FALSE)</f>
        <v>0</v>
      </c>
      <c r="Y1233" s="491" t="e">
        <f>+VLOOKUP(A1233,#REF!,1,FALSE)</f>
        <v>#REF!</v>
      </c>
    </row>
    <row r="1234" spans="1:25" ht="17.899999999999999" hidden="1" customHeight="1">
      <c r="A1234" t="str">
        <f>+Table1[[#This Row],[Tabela]]&amp;Table1[[#This Row],[Campo]]</f>
        <v>lt003_entityflg_grp_nfrd_applcblty</v>
      </c>
      <c r="B1234" s="38" t="s">
        <v>26</v>
      </c>
      <c r="C1234" s="38" t="s">
        <v>26</v>
      </c>
      <c r="D1234" s="38" t="s">
        <v>325</v>
      </c>
      <c r="E1234" s="38" t="s">
        <v>1265</v>
      </c>
      <c r="F1234" s="38" t="s">
        <v>335</v>
      </c>
      <c r="G1234" s="38" t="s">
        <v>364</v>
      </c>
      <c r="H1234" s="58" t="str">
        <f>Table1[[#This Row],[Tabela]]&amp;Table1[[#This Row],[Campo]]</f>
        <v>lt003_entityflg_grp_nfrd_applcblty</v>
      </c>
      <c r="I1234" s="2" t="s">
        <v>612</v>
      </c>
      <c r="J1234" s="44">
        <f>VLOOKUP(Table1[[#This Row],[Status]],Auxiliar!$B$16:$C$24,2,0)</f>
        <v>1</v>
      </c>
      <c r="K1234" s="44" t="s">
        <v>1169</v>
      </c>
      <c r="L1234" s="45" t="s">
        <v>1174</v>
      </c>
      <c r="M1234" s="20" t="s">
        <v>1175</v>
      </c>
      <c r="N1234" s="47">
        <v>45642</v>
      </c>
      <c r="O1234" s="20">
        <f>INDEX(Auxiliar!$D$5:$F$13,MATCH(Table1[[#This Row],[Tipologia_Testes]],Auxiliar!$B$5:$B$13,0),MATCH(Table1[[#This Row],[Complexidade]],Auxiliar!$D$4:$F$4,0))</f>
        <v>2</v>
      </c>
      <c r="P1234" s="42" t="s">
        <v>572</v>
      </c>
      <c r="Q1234" s="113"/>
      <c r="R1234" s="151">
        <v>45589</v>
      </c>
      <c r="S1234" s="151"/>
      <c r="T1234" s="151">
        <v>45589</v>
      </c>
      <c r="U1234" s="151"/>
      <c r="V1234" s="151">
        <v>45596</v>
      </c>
      <c r="W1234" s="2">
        <f>VLOOKUP(Table1[[#This Row],[Status]],Auxiliar!$B$16:$D$24,3,0)*Table1[[#This Row],[Estimação (horas)]]</f>
        <v>2</v>
      </c>
      <c r="X1234" s="165">
        <f>+VLOOKUP(CONCATENATE(Table1[[#This Row],[Tabela]],Table1[[#This Row],[Campo]]),'2. Status Detalhe Campos FY24'!A:J,9,FALSE)</f>
        <v>0</v>
      </c>
      <c r="Y1234" s="491" t="e">
        <f>+VLOOKUP(A1234,#REF!,1,FALSE)</f>
        <v>#REF!</v>
      </c>
    </row>
    <row r="1235" spans="1:25" ht="35.15" hidden="1" customHeight="1">
      <c r="A1235" t="str">
        <f>+Table1[[#This Row],[Tabela]]&amp;Table1[[#This Row],[Campo]]</f>
        <v>lt003_entityflg_grp_nfrd_applcblty</v>
      </c>
      <c r="B1235" s="38" t="s">
        <v>26</v>
      </c>
      <c r="C1235" s="38" t="s">
        <v>26</v>
      </c>
      <c r="D1235" s="38" t="s">
        <v>325</v>
      </c>
      <c r="E1235" s="38" t="s">
        <v>1265</v>
      </c>
      <c r="F1235" s="38" t="s">
        <v>335</v>
      </c>
      <c r="G1235" s="38" t="s">
        <v>364</v>
      </c>
      <c r="H1235" s="58" t="str">
        <f>Table1[[#This Row],[Tabela]]&amp;Table1[[#This Row],[Campo]]</f>
        <v>lt003_entityflg_grp_nfrd_applcblty</v>
      </c>
      <c r="I1235" s="2" t="s">
        <v>612</v>
      </c>
      <c r="J1235" s="44">
        <f>VLOOKUP(Table1[[#This Row],[Status]],Auxiliar!$B$16:$C$24,2,0)</f>
        <v>1</v>
      </c>
      <c r="K1235" s="44" t="s">
        <v>1171</v>
      </c>
      <c r="L1235" s="45" t="s">
        <v>1174</v>
      </c>
      <c r="M1235" s="20" t="s">
        <v>1175</v>
      </c>
      <c r="N1235" s="47">
        <v>45642</v>
      </c>
      <c r="O1235" s="20">
        <f>INDEX(Auxiliar!$D$5:$F$13,MATCH(Table1[[#This Row],[Tipologia_Testes]],Auxiliar!$B$5:$B$13,0),MATCH(Table1[[#This Row],[Complexidade]],Auxiliar!$D$4:$F$4,0))</f>
        <v>0.1</v>
      </c>
      <c r="P1235" s="42" t="s">
        <v>572</v>
      </c>
      <c r="Q1235" s="113"/>
      <c r="R1235" s="151">
        <v>45589</v>
      </c>
      <c r="S1235" s="151"/>
      <c r="T1235" s="151">
        <v>45589</v>
      </c>
      <c r="U1235" s="151"/>
      <c r="V1235" s="151">
        <v>45596</v>
      </c>
      <c r="W1235" s="2">
        <f>VLOOKUP(Table1[[#This Row],[Status]],Auxiliar!$B$16:$D$24,3,0)*Table1[[#This Row],[Estimação (horas)]]</f>
        <v>0.1</v>
      </c>
      <c r="X1235" s="165">
        <f>+VLOOKUP(CONCATENATE(Table1[[#This Row],[Tabela]],Table1[[#This Row],[Campo]]),'2. Status Detalhe Campos FY24'!A:J,9,FALSE)</f>
        <v>0</v>
      </c>
      <c r="Y1235" s="491" t="e">
        <f>+VLOOKUP(A1235,#REF!,1,FALSE)</f>
        <v>#REF!</v>
      </c>
    </row>
    <row r="1236" spans="1:25" ht="17.899999999999999" hidden="1" customHeight="1">
      <c r="A1236" t="str">
        <f>+Table1[[#This Row],[Tabela]]&amp;Table1[[#This Row],[Campo]]</f>
        <v>lt003_entitygrp_emssns_scp1</v>
      </c>
      <c r="B1236" s="40" t="s">
        <v>26</v>
      </c>
      <c r="C1236" s="40" t="s">
        <v>26</v>
      </c>
      <c r="D1236" s="35" t="s">
        <v>325</v>
      </c>
      <c r="E1236" s="110" t="s">
        <v>1266</v>
      </c>
      <c r="F1236" s="39" t="s">
        <v>335</v>
      </c>
      <c r="G1236" s="37" t="s">
        <v>365</v>
      </c>
      <c r="H1236" s="59" t="str">
        <f>Table1[[#This Row],[Tabela]]&amp;Table1[[#This Row],[Campo]]</f>
        <v>lt003_entitygrp_emssns_scp1</v>
      </c>
      <c r="I1236" s="2" t="s">
        <v>612</v>
      </c>
      <c r="J1236" s="44">
        <f>VLOOKUP(Table1[[#This Row],[Status]],Auxiliar!$B$16:$C$24,2,0)</f>
        <v>1</v>
      </c>
      <c r="K1236" s="44" t="s">
        <v>1168</v>
      </c>
      <c r="L1236" s="45" t="s">
        <v>1174</v>
      </c>
      <c r="M1236" s="20" t="s">
        <v>1175</v>
      </c>
      <c r="N1236" s="47">
        <v>45674</v>
      </c>
      <c r="O1236" s="20">
        <f>INDEX(Auxiliar!$D$5:$F$13,MATCH(Table1[[#This Row],[Tipologia_Testes]],Auxiliar!$B$5:$B$13,0),MATCH(Table1[[#This Row],[Complexidade]],Auxiliar!$D$4:$F$4,0))</f>
        <v>2</v>
      </c>
      <c r="P1236" s="42" t="s">
        <v>1267</v>
      </c>
      <c r="Q1236" s="113"/>
      <c r="R1236" s="151">
        <v>45589</v>
      </c>
      <c r="S1236" s="151"/>
      <c r="T1236" s="151">
        <v>45589</v>
      </c>
      <c r="U1236" s="151"/>
      <c r="V1236" s="151">
        <v>45644</v>
      </c>
      <c r="W1236" s="2">
        <f>VLOOKUP(Table1[[#This Row],[Status]],Auxiliar!$B$16:$D$24,3,0)*Table1[[#This Row],[Estimação (horas)]]</f>
        <v>2</v>
      </c>
      <c r="X1236" s="165">
        <f>+VLOOKUP(CONCATENATE(Table1[[#This Row],[Tabela]],Table1[[#This Row],[Campo]]),'2. Status Detalhe Campos FY24'!A:J,9,FALSE)</f>
        <v>0</v>
      </c>
      <c r="Y1236" s="491" t="e">
        <f>+VLOOKUP(A1236,#REF!,1,FALSE)</f>
        <v>#REF!</v>
      </c>
    </row>
    <row r="1237" spans="1:25" ht="17.899999999999999" hidden="1" customHeight="1">
      <c r="A1237" t="str">
        <f>+Table1[[#This Row],[Tabela]]&amp;Table1[[#This Row],[Campo]]</f>
        <v>lt003_entitygrp_emssns_scp1</v>
      </c>
      <c r="B1237" s="38" t="s">
        <v>26</v>
      </c>
      <c r="C1237" s="38" t="s">
        <v>26</v>
      </c>
      <c r="D1237" s="38" t="s">
        <v>325</v>
      </c>
      <c r="E1237" s="38" t="s">
        <v>1266</v>
      </c>
      <c r="F1237" s="38" t="s">
        <v>335</v>
      </c>
      <c r="G1237" s="38" t="s">
        <v>365</v>
      </c>
      <c r="H1237" s="58" t="str">
        <f>Table1[[#This Row],[Tabela]]&amp;Table1[[#This Row],[Campo]]</f>
        <v>lt003_entitygrp_emssns_scp1</v>
      </c>
      <c r="I1237" s="2" t="s">
        <v>612</v>
      </c>
      <c r="J1237" s="44">
        <f>VLOOKUP(Table1[[#This Row],[Status]],Auxiliar!$B$16:$C$24,2,0)</f>
        <v>1</v>
      </c>
      <c r="K1237" s="44" t="s">
        <v>1169</v>
      </c>
      <c r="L1237" s="45" t="s">
        <v>1174</v>
      </c>
      <c r="M1237" s="20" t="s">
        <v>1175</v>
      </c>
      <c r="N1237" s="47">
        <v>45674</v>
      </c>
      <c r="O1237" s="20">
        <f>INDEX(Auxiliar!$D$5:$F$13,MATCH(Table1[[#This Row],[Tipologia_Testes]],Auxiliar!$B$5:$B$13,0),MATCH(Table1[[#This Row],[Complexidade]],Auxiliar!$D$4:$F$4,0))</f>
        <v>2</v>
      </c>
      <c r="P1237" s="42" t="s">
        <v>1267</v>
      </c>
      <c r="Q1237" s="113"/>
      <c r="R1237" s="151">
        <v>45589</v>
      </c>
      <c r="S1237" s="151"/>
      <c r="T1237" s="151">
        <v>45589</v>
      </c>
      <c r="U1237" s="151"/>
      <c r="V1237" s="151">
        <v>45644</v>
      </c>
      <c r="W1237" s="2">
        <f>VLOOKUP(Table1[[#This Row],[Status]],Auxiliar!$B$16:$D$24,3,0)*Table1[[#This Row],[Estimação (horas)]]</f>
        <v>2</v>
      </c>
      <c r="X1237" s="165">
        <f>+VLOOKUP(CONCATENATE(Table1[[#This Row],[Tabela]],Table1[[#This Row],[Campo]]),'2. Status Detalhe Campos FY24'!A:J,9,FALSE)</f>
        <v>0</v>
      </c>
      <c r="Y1237" s="491" t="e">
        <f>+VLOOKUP(A1237,#REF!,1,FALSE)</f>
        <v>#REF!</v>
      </c>
    </row>
    <row r="1238" spans="1:25" ht="35.15" hidden="1" customHeight="1">
      <c r="A1238" t="str">
        <f>+Table1[[#This Row],[Tabela]]&amp;Table1[[#This Row],[Campo]]</f>
        <v>lt003_entitygrp_emssns_scp1</v>
      </c>
      <c r="B1238" s="38" t="s">
        <v>26</v>
      </c>
      <c r="C1238" s="38" t="s">
        <v>26</v>
      </c>
      <c r="D1238" s="38" t="s">
        <v>325</v>
      </c>
      <c r="E1238" s="38" t="s">
        <v>1266</v>
      </c>
      <c r="F1238" s="38" t="s">
        <v>335</v>
      </c>
      <c r="G1238" s="38" t="s">
        <v>365</v>
      </c>
      <c r="H1238" s="58" t="str">
        <f>Table1[[#This Row],[Tabela]]&amp;Table1[[#This Row],[Campo]]</f>
        <v>lt003_entitygrp_emssns_scp1</v>
      </c>
      <c r="I1238" s="2" t="s">
        <v>612</v>
      </c>
      <c r="J1238" s="44">
        <f>VLOOKUP(Table1[[#This Row],[Status]],Auxiliar!$B$16:$C$24,2,0)</f>
        <v>1</v>
      </c>
      <c r="K1238" s="44" t="s">
        <v>1171</v>
      </c>
      <c r="L1238" s="45" t="s">
        <v>1174</v>
      </c>
      <c r="M1238" s="20" t="s">
        <v>1175</v>
      </c>
      <c r="N1238" s="47">
        <v>45674</v>
      </c>
      <c r="O1238" s="20">
        <f>INDEX(Auxiliar!$D$5:$F$13,MATCH(Table1[[#This Row],[Tipologia_Testes]],Auxiliar!$B$5:$B$13,0),MATCH(Table1[[#This Row],[Complexidade]],Auxiliar!$D$4:$F$4,0))</f>
        <v>0.1</v>
      </c>
      <c r="P1238" s="42" t="s">
        <v>1267</v>
      </c>
      <c r="Q1238" s="113"/>
      <c r="R1238" s="151">
        <v>45589</v>
      </c>
      <c r="S1238" s="151"/>
      <c r="T1238" s="151">
        <v>45589</v>
      </c>
      <c r="U1238" s="151"/>
      <c r="V1238" s="151">
        <v>45644</v>
      </c>
      <c r="W1238" s="2">
        <f>VLOOKUP(Table1[[#This Row],[Status]],Auxiliar!$B$16:$D$24,3,0)*Table1[[#This Row],[Estimação (horas)]]</f>
        <v>0.1</v>
      </c>
      <c r="X1238" s="165">
        <f>+VLOOKUP(CONCATENATE(Table1[[#This Row],[Tabela]],Table1[[#This Row],[Campo]]),'2. Status Detalhe Campos FY24'!A:J,9,FALSE)</f>
        <v>0</v>
      </c>
      <c r="Y1238" s="491" t="e">
        <f>+VLOOKUP(A1238,#REF!,1,FALSE)</f>
        <v>#REF!</v>
      </c>
    </row>
    <row r="1239" spans="1:25" ht="17.899999999999999" hidden="1" customHeight="1">
      <c r="A1239" t="str">
        <f>+Table1[[#This Row],[Tabela]]&amp;Table1[[#This Row],[Campo]]</f>
        <v>lt003_entitygrp_emssns_scp2</v>
      </c>
      <c r="B1239" s="40" t="s">
        <v>26</v>
      </c>
      <c r="C1239" s="40" t="s">
        <v>26</v>
      </c>
      <c r="D1239" s="35" t="s">
        <v>325</v>
      </c>
      <c r="E1239" s="110" t="s">
        <v>1268</v>
      </c>
      <c r="F1239" s="39" t="s">
        <v>335</v>
      </c>
      <c r="G1239" s="37" t="s">
        <v>366</v>
      </c>
      <c r="H1239" s="59" t="str">
        <f>Table1[[#This Row],[Tabela]]&amp;Table1[[#This Row],[Campo]]</f>
        <v>lt003_entitygrp_emssns_scp2</v>
      </c>
      <c r="I1239" s="2" t="s">
        <v>612</v>
      </c>
      <c r="J1239" s="44">
        <f>VLOOKUP(Table1[[#This Row],[Status]],Auxiliar!$B$16:$C$24,2,0)</f>
        <v>1</v>
      </c>
      <c r="K1239" s="44" t="s">
        <v>1168</v>
      </c>
      <c r="L1239" s="45" t="s">
        <v>1174</v>
      </c>
      <c r="M1239" s="20" t="s">
        <v>1175</v>
      </c>
      <c r="N1239" s="47">
        <v>45674</v>
      </c>
      <c r="O1239" s="20">
        <f>INDEX(Auxiliar!$D$5:$F$13,MATCH(Table1[[#This Row],[Tipologia_Testes]],Auxiliar!$B$5:$B$13,0),MATCH(Table1[[#This Row],[Complexidade]],Auxiliar!$D$4:$F$4,0))</f>
        <v>2</v>
      </c>
      <c r="P1239" s="42" t="s">
        <v>1267</v>
      </c>
      <c r="Q1239" s="113"/>
      <c r="R1239" s="151">
        <v>45589</v>
      </c>
      <c r="S1239" s="151"/>
      <c r="T1239" s="151">
        <v>45589</v>
      </c>
      <c r="U1239" s="151"/>
      <c r="V1239" s="151">
        <v>45644</v>
      </c>
      <c r="W1239" s="2">
        <f>VLOOKUP(Table1[[#This Row],[Status]],Auxiliar!$B$16:$D$24,3,0)*Table1[[#This Row],[Estimação (horas)]]</f>
        <v>2</v>
      </c>
      <c r="X1239" s="165">
        <f>+VLOOKUP(CONCATENATE(Table1[[#This Row],[Tabela]],Table1[[#This Row],[Campo]]),'2. Status Detalhe Campos FY24'!A:J,9,FALSE)</f>
        <v>0</v>
      </c>
      <c r="Y1239" s="491" t="e">
        <f>+VLOOKUP(A1239,#REF!,1,FALSE)</f>
        <v>#REF!</v>
      </c>
    </row>
    <row r="1240" spans="1:25" ht="17.899999999999999" hidden="1" customHeight="1">
      <c r="A1240" t="str">
        <f>+Table1[[#This Row],[Tabela]]&amp;Table1[[#This Row],[Campo]]</f>
        <v>lt003_entitygrp_emssns_scp2</v>
      </c>
      <c r="B1240" s="38" t="s">
        <v>26</v>
      </c>
      <c r="C1240" s="38" t="s">
        <v>26</v>
      </c>
      <c r="D1240" s="38" t="s">
        <v>325</v>
      </c>
      <c r="E1240" s="38" t="s">
        <v>1268</v>
      </c>
      <c r="F1240" s="38" t="s">
        <v>335</v>
      </c>
      <c r="G1240" s="38" t="s">
        <v>366</v>
      </c>
      <c r="H1240" s="58" t="str">
        <f>Table1[[#This Row],[Tabela]]&amp;Table1[[#This Row],[Campo]]</f>
        <v>lt003_entitygrp_emssns_scp2</v>
      </c>
      <c r="I1240" s="2" t="s">
        <v>612</v>
      </c>
      <c r="J1240" s="44">
        <f>VLOOKUP(Table1[[#This Row],[Status]],Auxiliar!$B$16:$C$24,2,0)</f>
        <v>1</v>
      </c>
      <c r="K1240" s="44" t="s">
        <v>1169</v>
      </c>
      <c r="L1240" s="45" t="s">
        <v>1174</v>
      </c>
      <c r="M1240" s="20" t="s">
        <v>1175</v>
      </c>
      <c r="N1240" s="47">
        <v>45674</v>
      </c>
      <c r="O1240" s="20">
        <f>INDEX(Auxiliar!$D$5:$F$13,MATCH(Table1[[#This Row],[Tipologia_Testes]],Auxiliar!$B$5:$B$13,0),MATCH(Table1[[#This Row],[Complexidade]],Auxiliar!$D$4:$F$4,0))</f>
        <v>2</v>
      </c>
      <c r="P1240" s="42" t="s">
        <v>1267</v>
      </c>
      <c r="Q1240" s="113"/>
      <c r="R1240" s="151">
        <v>45589</v>
      </c>
      <c r="S1240" s="151"/>
      <c r="T1240" s="151">
        <v>45589</v>
      </c>
      <c r="U1240" s="151"/>
      <c r="V1240" s="151">
        <v>45644</v>
      </c>
      <c r="W1240" s="2">
        <f>VLOOKUP(Table1[[#This Row],[Status]],Auxiliar!$B$16:$D$24,3,0)*Table1[[#This Row],[Estimação (horas)]]</f>
        <v>2</v>
      </c>
      <c r="X1240" s="165">
        <f>+VLOOKUP(CONCATENATE(Table1[[#This Row],[Tabela]],Table1[[#This Row],[Campo]]),'2. Status Detalhe Campos FY24'!A:J,9,FALSE)</f>
        <v>0</v>
      </c>
      <c r="Y1240" s="491" t="e">
        <f>+VLOOKUP(A1240,#REF!,1,FALSE)</f>
        <v>#REF!</v>
      </c>
    </row>
    <row r="1241" spans="1:25" ht="35.15" hidden="1" customHeight="1">
      <c r="A1241" t="str">
        <f>+Table1[[#This Row],[Tabela]]&amp;Table1[[#This Row],[Campo]]</f>
        <v>lt003_entitygrp_emssns_scp2</v>
      </c>
      <c r="B1241" s="38" t="s">
        <v>26</v>
      </c>
      <c r="C1241" s="38" t="s">
        <v>26</v>
      </c>
      <c r="D1241" s="38" t="s">
        <v>325</v>
      </c>
      <c r="E1241" s="38" t="s">
        <v>1268</v>
      </c>
      <c r="F1241" s="38" t="s">
        <v>335</v>
      </c>
      <c r="G1241" s="38" t="s">
        <v>366</v>
      </c>
      <c r="H1241" s="58" t="str">
        <f>Table1[[#This Row],[Tabela]]&amp;Table1[[#This Row],[Campo]]</f>
        <v>lt003_entitygrp_emssns_scp2</v>
      </c>
      <c r="I1241" s="2" t="s">
        <v>612</v>
      </c>
      <c r="J1241" s="44">
        <f>VLOOKUP(Table1[[#This Row],[Status]],Auxiliar!$B$16:$C$24,2,0)</f>
        <v>1</v>
      </c>
      <c r="K1241" s="44" t="s">
        <v>1171</v>
      </c>
      <c r="L1241" s="45" t="s">
        <v>1174</v>
      </c>
      <c r="M1241" s="20" t="s">
        <v>1175</v>
      </c>
      <c r="N1241" s="47">
        <v>45674</v>
      </c>
      <c r="O1241" s="20">
        <f>INDEX(Auxiliar!$D$5:$F$13,MATCH(Table1[[#This Row],[Tipologia_Testes]],Auxiliar!$B$5:$B$13,0),MATCH(Table1[[#This Row],[Complexidade]],Auxiliar!$D$4:$F$4,0))</f>
        <v>0.1</v>
      </c>
      <c r="P1241" s="42" t="s">
        <v>1267</v>
      </c>
      <c r="Q1241" s="113"/>
      <c r="R1241" s="151">
        <v>45589</v>
      </c>
      <c r="S1241" s="151"/>
      <c r="T1241" s="151">
        <v>45589</v>
      </c>
      <c r="U1241" s="151"/>
      <c r="V1241" s="151">
        <v>45644</v>
      </c>
      <c r="W1241" s="2">
        <f>VLOOKUP(Table1[[#This Row],[Status]],Auxiliar!$B$16:$D$24,3,0)*Table1[[#This Row],[Estimação (horas)]]</f>
        <v>0.1</v>
      </c>
      <c r="X1241" s="165">
        <f>+VLOOKUP(CONCATENATE(Table1[[#This Row],[Tabela]],Table1[[#This Row],[Campo]]),'2. Status Detalhe Campos FY24'!A:J,9,FALSE)</f>
        <v>0</v>
      </c>
      <c r="Y1241" s="491" t="e">
        <f>+VLOOKUP(A1241,#REF!,1,FALSE)</f>
        <v>#REF!</v>
      </c>
    </row>
    <row r="1242" spans="1:25" ht="17.899999999999999" hidden="1" customHeight="1">
      <c r="A1242" t="str">
        <f>+Table1[[#This Row],[Tabela]]&amp;Table1[[#This Row],[Campo]]</f>
        <v>lt003_entitygrp_emssns_scp3</v>
      </c>
      <c r="B1242" s="40" t="s">
        <v>26</v>
      </c>
      <c r="C1242" s="40" t="s">
        <v>26</v>
      </c>
      <c r="D1242" s="35" t="s">
        <v>325</v>
      </c>
      <c r="E1242" s="110" t="s">
        <v>1269</v>
      </c>
      <c r="F1242" s="39" t="s">
        <v>335</v>
      </c>
      <c r="G1242" s="37" t="s">
        <v>367</v>
      </c>
      <c r="H1242" s="59" t="str">
        <f>Table1[[#This Row],[Tabela]]&amp;Table1[[#This Row],[Campo]]</f>
        <v>lt003_entitygrp_emssns_scp3</v>
      </c>
      <c r="I1242" s="2" t="s">
        <v>612</v>
      </c>
      <c r="J1242" s="44">
        <f>VLOOKUP(Table1[[#This Row],[Status]],Auxiliar!$B$16:$C$24,2,0)</f>
        <v>1</v>
      </c>
      <c r="K1242" s="44" t="s">
        <v>1168</v>
      </c>
      <c r="L1242" s="45" t="s">
        <v>1174</v>
      </c>
      <c r="M1242" s="20" t="s">
        <v>1175</v>
      </c>
      <c r="N1242" s="47">
        <v>45674</v>
      </c>
      <c r="O1242" s="20">
        <f>INDEX(Auxiliar!$D$5:$F$13,MATCH(Table1[[#This Row],[Tipologia_Testes]],Auxiliar!$B$5:$B$13,0),MATCH(Table1[[#This Row],[Complexidade]],Auxiliar!$D$4:$F$4,0))</f>
        <v>2</v>
      </c>
      <c r="P1242" s="42" t="s">
        <v>1267</v>
      </c>
      <c r="Q1242" s="113"/>
      <c r="R1242" s="151">
        <v>45589</v>
      </c>
      <c r="S1242" s="151"/>
      <c r="T1242" s="151">
        <v>45589</v>
      </c>
      <c r="U1242" s="151"/>
      <c r="V1242" s="151">
        <v>45644</v>
      </c>
      <c r="W1242" s="2">
        <f>VLOOKUP(Table1[[#This Row],[Status]],Auxiliar!$B$16:$D$24,3,0)*Table1[[#This Row],[Estimação (horas)]]</f>
        <v>2</v>
      </c>
      <c r="X1242" s="165">
        <f>+VLOOKUP(CONCATENATE(Table1[[#This Row],[Tabela]],Table1[[#This Row],[Campo]]),'2. Status Detalhe Campos FY24'!A:J,9,FALSE)</f>
        <v>0</v>
      </c>
      <c r="Y1242" s="491" t="e">
        <f>+VLOOKUP(A1242,#REF!,1,FALSE)</f>
        <v>#REF!</v>
      </c>
    </row>
    <row r="1243" spans="1:25" ht="17.899999999999999" hidden="1" customHeight="1">
      <c r="A1243" t="str">
        <f>+Table1[[#This Row],[Tabela]]&amp;Table1[[#This Row],[Campo]]</f>
        <v>lt003_entitygrp_emssns_scp3</v>
      </c>
      <c r="B1243" s="38" t="s">
        <v>26</v>
      </c>
      <c r="C1243" s="38" t="s">
        <v>26</v>
      </c>
      <c r="D1243" s="38" t="s">
        <v>325</v>
      </c>
      <c r="E1243" s="38" t="s">
        <v>1269</v>
      </c>
      <c r="F1243" s="38" t="s">
        <v>335</v>
      </c>
      <c r="G1243" s="38" t="s">
        <v>367</v>
      </c>
      <c r="H1243" s="58" t="str">
        <f>Table1[[#This Row],[Tabela]]&amp;Table1[[#This Row],[Campo]]</f>
        <v>lt003_entitygrp_emssns_scp3</v>
      </c>
      <c r="I1243" s="2" t="s">
        <v>612</v>
      </c>
      <c r="J1243" s="44">
        <f>VLOOKUP(Table1[[#This Row],[Status]],Auxiliar!$B$16:$C$24,2,0)</f>
        <v>1</v>
      </c>
      <c r="K1243" s="44" t="s">
        <v>1169</v>
      </c>
      <c r="L1243" s="45" t="s">
        <v>1174</v>
      </c>
      <c r="M1243" s="20" t="s">
        <v>1175</v>
      </c>
      <c r="N1243" s="47">
        <v>45674</v>
      </c>
      <c r="O1243" s="20">
        <f>INDEX(Auxiliar!$D$5:$F$13,MATCH(Table1[[#This Row],[Tipologia_Testes]],Auxiliar!$B$5:$B$13,0),MATCH(Table1[[#This Row],[Complexidade]],Auxiliar!$D$4:$F$4,0))</f>
        <v>2</v>
      </c>
      <c r="P1243" s="42" t="s">
        <v>1267</v>
      </c>
      <c r="Q1243" s="113"/>
      <c r="R1243" s="151">
        <v>45589</v>
      </c>
      <c r="S1243" s="151"/>
      <c r="T1243" s="151">
        <v>45589</v>
      </c>
      <c r="U1243" s="151"/>
      <c r="V1243" s="151">
        <v>45644</v>
      </c>
      <c r="W1243" s="2">
        <f>VLOOKUP(Table1[[#This Row],[Status]],Auxiliar!$B$16:$D$24,3,0)*Table1[[#This Row],[Estimação (horas)]]</f>
        <v>2</v>
      </c>
      <c r="X1243" s="165">
        <f>+VLOOKUP(CONCATENATE(Table1[[#This Row],[Tabela]],Table1[[#This Row],[Campo]]),'2. Status Detalhe Campos FY24'!A:J,9,FALSE)</f>
        <v>0</v>
      </c>
      <c r="Y1243" s="491" t="e">
        <f>+VLOOKUP(A1243,#REF!,1,FALSE)</f>
        <v>#REF!</v>
      </c>
    </row>
    <row r="1244" spans="1:25" ht="17.899999999999999" hidden="1" customHeight="1">
      <c r="A1244" t="str">
        <f>+Table1[[#This Row],[Tabela]]&amp;Table1[[#This Row],[Campo]]</f>
        <v>lt003_entitygrp_emssns_scp3</v>
      </c>
      <c r="B1244" s="38" t="s">
        <v>26</v>
      </c>
      <c r="C1244" s="38" t="s">
        <v>26</v>
      </c>
      <c r="D1244" s="38" t="s">
        <v>325</v>
      </c>
      <c r="E1244" s="38" t="s">
        <v>1269</v>
      </c>
      <c r="F1244" s="38" t="s">
        <v>335</v>
      </c>
      <c r="G1244" s="38" t="s">
        <v>367</v>
      </c>
      <c r="H1244" s="58" t="str">
        <f>Table1[[#This Row],[Tabela]]&amp;Table1[[#This Row],[Campo]]</f>
        <v>lt003_entitygrp_emssns_scp3</v>
      </c>
      <c r="I1244" s="2" t="s">
        <v>612</v>
      </c>
      <c r="J1244" s="44">
        <f>VLOOKUP(Table1[[#This Row],[Status]],Auxiliar!$B$16:$C$24,2,0)</f>
        <v>1</v>
      </c>
      <c r="K1244" s="44" t="s">
        <v>1171</v>
      </c>
      <c r="L1244" s="45" t="s">
        <v>1174</v>
      </c>
      <c r="M1244" s="20" t="s">
        <v>1175</v>
      </c>
      <c r="N1244" s="47">
        <v>45674</v>
      </c>
      <c r="O1244" s="20">
        <f>INDEX(Auxiliar!$D$5:$F$13,MATCH(Table1[[#This Row],[Tipologia_Testes]],Auxiliar!$B$5:$B$13,0),MATCH(Table1[[#This Row],[Complexidade]],Auxiliar!$D$4:$F$4,0))</f>
        <v>0.1</v>
      </c>
      <c r="P1244" s="42" t="s">
        <v>1267</v>
      </c>
      <c r="Q1244" s="113"/>
      <c r="R1244" s="151">
        <v>45589</v>
      </c>
      <c r="S1244" s="151"/>
      <c r="T1244" s="151">
        <v>45589</v>
      </c>
      <c r="U1244" s="151"/>
      <c r="V1244" s="151">
        <v>45644</v>
      </c>
      <c r="W1244" s="2">
        <f>VLOOKUP(Table1[[#This Row],[Status]],Auxiliar!$B$16:$D$24,3,0)*Table1[[#This Row],[Estimação (horas)]]</f>
        <v>0.1</v>
      </c>
      <c r="X1244" s="165">
        <f>+VLOOKUP(CONCATENATE(Table1[[#This Row],[Tabela]],Table1[[#This Row],[Campo]]),'2. Status Detalhe Campos FY24'!A:J,9,FALSE)</f>
        <v>0</v>
      </c>
      <c r="Y1244" s="491" t="e">
        <f>+VLOOKUP(A1244,#REF!,1,FALSE)</f>
        <v>#REF!</v>
      </c>
    </row>
    <row r="1245" spans="1:25" ht="17.899999999999999" hidden="1" customHeight="1">
      <c r="A1245" t="str">
        <f>+Table1[[#This Row],[Tabela]]&amp;Table1[[#This Row],[Campo]]</f>
        <v>lt004_protectiontyp_prtctn</v>
      </c>
      <c r="B1245" s="40" t="s">
        <v>26</v>
      </c>
      <c r="C1245" s="40" t="s">
        <v>26</v>
      </c>
      <c r="D1245" s="2" t="s">
        <v>399</v>
      </c>
      <c r="E1245" s="39" t="s">
        <v>38</v>
      </c>
      <c r="F1245" s="2" t="s">
        <v>368</v>
      </c>
      <c r="G1245" s="2" t="s">
        <v>436</v>
      </c>
      <c r="H1245" s="56" t="str">
        <f>Table1[[#This Row],[Tabela]]&amp;Table1[[#This Row],[Campo]]</f>
        <v>lt004_protectiontyp_prtctn</v>
      </c>
      <c r="I1245" s="2" t="s">
        <v>612</v>
      </c>
      <c r="J1245" s="44">
        <f>VLOOKUP(Table1[[#This Row],[Status]],Auxiliar!$B$16:$C$24,2,0)</f>
        <v>1</v>
      </c>
      <c r="K1245" s="43" t="s">
        <v>1173</v>
      </c>
      <c r="L1245" s="45" t="s">
        <v>1174</v>
      </c>
      <c r="M1245" s="20" t="s">
        <v>1175</v>
      </c>
      <c r="N1245" s="47">
        <v>45667</v>
      </c>
      <c r="O1245" s="112">
        <v>0.1</v>
      </c>
      <c r="P1245" s="2" t="s">
        <v>1922</v>
      </c>
      <c r="Q1245" s="151"/>
      <c r="R1245" s="151">
        <v>45603</v>
      </c>
      <c r="S1245" s="151"/>
      <c r="T1245" s="151">
        <v>45588</v>
      </c>
      <c r="U1245" s="151">
        <v>45624</v>
      </c>
      <c r="V1245" s="151">
        <v>45624</v>
      </c>
      <c r="W1245" s="2">
        <f>VLOOKUP(Table1[[#This Row],[Status]],Auxiliar!$B$16:$D$24,3,0)*Table1[[#This Row],[Estimação (horas)]]</f>
        <v>0.1</v>
      </c>
      <c r="X1245" s="165">
        <f>+VLOOKUP(CONCATENATE(Table1[[#This Row],[Tabela]],Table1[[#This Row],[Campo]]),'2. Status Detalhe Campos FY24'!A:J,9,FALSE)</f>
        <v>0</v>
      </c>
      <c r="Y1245" s="491" t="e">
        <f>+VLOOKUP(A1245,#REF!,1,FALSE)</f>
        <v>#REF!</v>
      </c>
    </row>
    <row r="1246" spans="1:25" ht="17.899999999999999" hidden="1" customHeight="1">
      <c r="A1246" t="str">
        <f>+Table1[[#This Row],[Tabela]]&amp;Table1[[#This Row],[Campo]]</f>
        <v>lt004_protectiontyp_epc_lbl</v>
      </c>
      <c r="B1246" s="38" t="s">
        <v>26</v>
      </c>
      <c r="C1246" s="38" t="s">
        <v>26</v>
      </c>
      <c r="D1246" s="332" t="s">
        <v>1270</v>
      </c>
      <c r="E1246" s="335" t="s">
        <v>1252</v>
      </c>
      <c r="F1246" s="334" t="s">
        <v>368</v>
      </c>
      <c r="G1246" s="336" t="s">
        <v>371</v>
      </c>
      <c r="H1246" s="338" t="str">
        <f>Table1[[#This Row],[Tabela]]&amp;Table1[[#This Row],[Campo]]</f>
        <v>lt004_protectiontyp_epc_lbl</v>
      </c>
      <c r="I1246" s="2" t="s">
        <v>612</v>
      </c>
      <c r="J1246" s="44">
        <f>VLOOKUP(Table1[[#This Row],[Status]],Auxiliar!$B$16:$C$24,2,0)</f>
        <v>1</v>
      </c>
      <c r="K1246" s="44" t="s">
        <v>1168</v>
      </c>
      <c r="L1246" s="45" t="s">
        <v>1174</v>
      </c>
      <c r="M1246" s="20" t="s">
        <v>1175</v>
      </c>
      <c r="N1246" s="47">
        <v>45642</v>
      </c>
      <c r="O1246" s="20">
        <f>INDEX(Auxiliar!$D$5:$F$13,MATCH(Table1[[#This Row],[Tipologia_Testes]],Auxiliar!$B$5:$B$13,0),MATCH(Table1[[#This Row],[Complexidade]],Auxiliar!$D$4:$F$4,0))</f>
        <v>2</v>
      </c>
      <c r="P1246" s="42" t="s">
        <v>1271</v>
      </c>
      <c r="Q1246" s="42"/>
      <c r="R1246" s="151">
        <v>45583</v>
      </c>
      <c r="S1246" s="151"/>
      <c r="T1246" s="151">
        <v>45583</v>
      </c>
      <c r="U1246" s="151">
        <v>45596</v>
      </c>
      <c r="V1246" s="151">
        <v>45596</v>
      </c>
      <c r="W1246" s="2">
        <f>VLOOKUP(Table1[[#This Row],[Status]],Auxiliar!$B$16:$D$24,3,0)*Table1[[#This Row],[Estimação (horas)]]</f>
        <v>2</v>
      </c>
      <c r="X1246" s="165">
        <f>+VLOOKUP(CONCATENATE(Table1[[#This Row],[Tabela]],Table1[[#This Row],[Campo]]),'2. Status Detalhe Campos FY24'!A:J,9,FALSE)</f>
        <v>0</v>
      </c>
      <c r="Y1246" s="491" t="e">
        <f>+VLOOKUP(A1246,#REF!,1,FALSE)</f>
        <v>#REF!</v>
      </c>
    </row>
    <row r="1247" spans="1:25" ht="17.899999999999999" hidden="1" customHeight="1">
      <c r="A1247" t="str">
        <f>+Table1[[#This Row],[Tabela]]&amp;Table1[[#This Row],[Campo]]</f>
        <v>lt004_protectiontyp_epc_lbl</v>
      </c>
      <c r="B1247" s="38" t="s">
        <v>26</v>
      </c>
      <c r="C1247" s="38" t="s">
        <v>26</v>
      </c>
      <c r="D1247" s="38" t="s">
        <v>1270</v>
      </c>
      <c r="E1247" s="38" t="s">
        <v>1252</v>
      </c>
      <c r="F1247" s="38" t="s">
        <v>368</v>
      </c>
      <c r="G1247" s="38" t="s">
        <v>371</v>
      </c>
      <c r="H1247" s="58" t="str">
        <f>Table1[[#This Row],[Tabela]]&amp;Table1[[#This Row],[Campo]]</f>
        <v>lt004_protectiontyp_epc_lbl</v>
      </c>
      <c r="I1247" s="2" t="s">
        <v>612</v>
      </c>
      <c r="J1247" s="44">
        <f>VLOOKUP(Table1[[#This Row],[Status]],Auxiliar!$B$16:$C$24,2,0)</f>
        <v>1</v>
      </c>
      <c r="K1247" s="44" t="s">
        <v>1169</v>
      </c>
      <c r="L1247" s="45" t="s">
        <v>1174</v>
      </c>
      <c r="M1247" s="20" t="s">
        <v>1175</v>
      </c>
      <c r="N1247" s="47">
        <v>45642</v>
      </c>
      <c r="O1247" s="20">
        <f>INDEX(Auxiliar!$D$5:$F$13,MATCH(Table1[[#This Row],[Tipologia_Testes]],Auxiliar!$B$5:$B$13,0),MATCH(Table1[[#This Row],[Complexidade]],Auxiliar!$D$4:$F$4,0))</f>
        <v>2</v>
      </c>
      <c r="P1247" s="42" t="s">
        <v>1271</v>
      </c>
      <c r="Q1247" s="42"/>
      <c r="R1247" s="151">
        <v>45583</v>
      </c>
      <c r="S1247" s="151"/>
      <c r="T1247" s="151">
        <v>45583</v>
      </c>
      <c r="U1247" s="151">
        <v>45596</v>
      </c>
      <c r="V1247" s="151">
        <v>45596</v>
      </c>
      <c r="W1247" s="2">
        <f>VLOOKUP(Table1[[#This Row],[Status]],Auxiliar!$B$16:$D$24,3,0)*Table1[[#This Row],[Estimação (horas)]]</f>
        <v>2</v>
      </c>
      <c r="X1247" s="165">
        <f>+VLOOKUP(CONCATENATE(Table1[[#This Row],[Tabela]],Table1[[#This Row],[Campo]]),'2. Status Detalhe Campos FY24'!A:J,9,FALSE)</f>
        <v>0</v>
      </c>
      <c r="Y1247" s="491" t="e">
        <f>+VLOOKUP(A1247,#REF!,1,FALSE)</f>
        <v>#REF!</v>
      </c>
    </row>
    <row r="1248" spans="1:25" ht="17.899999999999999" hidden="1" customHeight="1">
      <c r="A1248" t="str">
        <f>+Table1[[#This Row],[Tabela]]&amp;Table1[[#This Row],[Campo]]</f>
        <v>lt004_protectiontyp_epc_lbl</v>
      </c>
      <c r="B1248" s="40" t="s">
        <v>26</v>
      </c>
      <c r="C1248" s="40" t="s">
        <v>26</v>
      </c>
      <c r="D1248" s="42" t="s">
        <v>1270</v>
      </c>
      <c r="E1248" s="42" t="s">
        <v>1252</v>
      </c>
      <c r="F1248" s="42" t="s">
        <v>368</v>
      </c>
      <c r="G1248" s="42" t="s">
        <v>371</v>
      </c>
      <c r="H1248" s="56" t="str">
        <f>Table1[[#This Row],[Tabela]]&amp;Table1[[#This Row],[Campo]]</f>
        <v>lt004_protectiontyp_epc_lbl</v>
      </c>
      <c r="I1248" s="2" t="s">
        <v>612</v>
      </c>
      <c r="J1248" s="44">
        <f>VLOOKUP(Table1[[#This Row],[Status]],Auxiliar!$B$16:$C$24,2,0)</f>
        <v>1</v>
      </c>
      <c r="K1248" s="44" t="s">
        <v>1171</v>
      </c>
      <c r="L1248" s="45" t="s">
        <v>1174</v>
      </c>
      <c r="M1248" s="20" t="s">
        <v>1175</v>
      </c>
      <c r="N1248" s="47">
        <v>45642</v>
      </c>
      <c r="O1248" s="20">
        <f>INDEX(Auxiliar!$D$5:$F$13,MATCH(Table1[[#This Row],[Tipologia_Testes]],Auxiliar!$B$5:$B$13,0),MATCH(Table1[[#This Row],[Complexidade]],Auxiliar!$D$4:$F$4,0))</f>
        <v>0.1</v>
      </c>
      <c r="P1248" s="42" t="s">
        <v>1271</v>
      </c>
      <c r="Q1248" s="42"/>
      <c r="R1248" s="151">
        <v>45583</v>
      </c>
      <c r="S1248" s="151"/>
      <c r="T1248" s="151">
        <v>45583</v>
      </c>
      <c r="U1248" s="151">
        <v>45596</v>
      </c>
      <c r="V1248" s="151">
        <v>45596</v>
      </c>
      <c r="W1248" s="2">
        <f>VLOOKUP(Table1[[#This Row],[Status]],Auxiliar!$B$16:$D$24,3,0)*Table1[[#This Row],[Estimação (horas)]]</f>
        <v>0.1</v>
      </c>
      <c r="X1248" s="165">
        <f>+VLOOKUP(CONCATENATE(Table1[[#This Row],[Tabela]],Table1[[#This Row],[Campo]]),'2. Status Detalhe Campos FY24'!A:J,9,FALSE)</f>
        <v>0</v>
      </c>
      <c r="Y1248" s="491" t="e">
        <f>+VLOOKUP(A1248,#REF!,1,FALSE)</f>
        <v>#REF!</v>
      </c>
    </row>
    <row r="1249" spans="1:25" ht="17.899999999999999" hidden="1" customHeight="1">
      <c r="A1249" t="str">
        <f>+Table1[[#This Row],[Tabela]]&amp;Table1[[#This Row],[Campo]]</f>
        <v>lt004_protectiontyp_ep_scr</v>
      </c>
      <c r="B1249" s="38" t="s">
        <v>26</v>
      </c>
      <c r="C1249" s="38" t="s">
        <v>26</v>
      </c>
      <c r="D1249" s="332" t="s">
        <v>1270</v>
      </c>
      <c r="E1249" s="335" t="s">
        <v>1252</v>
      </c>
      <c r="F1249" s="334" t="s">
        <v>368</v>
      </c>
      <c r="G1249" s="336" t="s">
        <v>369</v>
      </c>
      <c r="H1249" s="338" t="str">
        <f>Table1[[#This Row],[Tabela]]&amp;Table1[[#This Row],[Campo]]</f>
        <v>lt004_protectiontyp_ep_scr</v>
      </c>
      <c r="I1249" s="2" t="s">
        <v>612</v>
      </c>
      <c r="J1249" s="44">
        <f>VLOOKUP(Table1[[#This Row],[Status]],Auxiliar!$B$16:$C$24,2,0)</f>
        <v>1</v>
      </c>
      <c r="K1249" s="44" t="s">
        <v>1168</v>
      </c>
      <c r="L1249" s="45" t="s">
        <v>1174</v>
      </c>
      <c r="M1249" s="20" t="s">
        <v>1175</v>
      </c>
      <c r="N1249" s="47">
        <v>45723</v>
      </c>
      <c r="O1249" s="20">
        <f>INDEX(Auxiliar!$D$5:$F$13,MATCH(Table1[[#This Row],[Tipologia_Testes]],Auxiliar!$B$5:$B$13,0),MATCH(Table1[[#This Row],[Complexidade]],Auxiliar!$D$4:$F$4,0))</f>
        <v>2</v>
      </c>
      <c r="P1249" s="42"/>
      <c r="Q1249" s="151"/>
      <c r="R1249" s="151">
        <v>45583</v>
      </c>
      <c r="S1249" s="151"/>
      <c r="T1249" s="151">
        <v>45583</v>
      </c>
      <c r="U1249" s="151">
        <v>45611</v>
      </c>
      <c r="V1249" s="151">
        <v>45611</v>
      </c>
      <c r="W1249" s="2">
        <f>VLOOKUP(Table1[[#This Row],[Status]],Auxiliar!$B$16:$D$24,3,0)*Table1[[#This Row],[Estimação (horas)]]</f>
        <v>2</v>
      </c>
      <c r="X1249" s="165">
        <f>+VLOOKUP(CONCATENATE(Table1[[#This Row],[Tabela]],Table1[[#This Row],[Campo]]),'2. Status Detalhe Campos FY24'!A:J,9,FALSE)</f>
        <v>0</v>
      </c>
      <c r="Y1249" s="491" t="e">
        <f>+VLOOKUP(A1249,#REF!,1,FALSE)</f>
        <v>#REF!</v>
      </c>
    </row>
    <row r="1250" spans="1:25" ht="17.899999999999999" hidden="1" customHeight="1">
      <c r="A1250" t="str">
        <f>+Table1[[#This Row],[Tabela]]&amp;Table1[[#This Row],[Campo]]</f>
        <v>lt004_protectiontyp_ep_scr</v>
      </c>
      <c r="B1250" s="38" t="s">
        <v>26</v>
      </c>
      <c r="C1250" s="38" t="s">
        <v>26</v>
      </c>
      <c r="D1250" s="38" t="s">
        <v>1270</v>
      </c>
      <c r="E1250" s="38" t="s">
        <v>1252</v>
      </c>
      <c r="F1250" s="38" t="s">
        <v>368</v>
      </c>
      <c r="G1250" s="38" t="s">
        <v>369</v>
      </c>
      <c r="H1250" s="58" t="str">
        <f>Table1[[#This Row],[Tabela]]&amp;Table1[[#This Row],[Campo]]</f>
        <v>lt004_protectiontyp_ep_scr</v>
      </c>
      <c r="I1250" s="2" t="s">
        <v>612</v>
      </c>
      <c r="J1250" s="44">
        <f>VLOOKUP(Table1[[#This Row],[Status]],Auxiliar!$B$16:$C$24,2,0)</f>
        <v>1</v>
      </c>
      <c r="K1250" s="44" t="s">
        <v>1169</v>
      </c>
      <c r="L1250" s="45" t="s">
        <v>1174</v>
      </c>
      <c r="M1250" s="20" t="s">
        <v>1175</v>
      </c>
      <c r="N1250" s="47">
        <v>45723</v>
      </c>
      <c r="O1250" s="20">
        <f>INDEX(Auxiliar!$D$5:$F$13,MATCH(Table1[[#This Row],[Tipologia_Testes]],Auxiliar!$B$5:$B$13,0),MATCH(Table1[[#This Row],[Complexidade]],Auxiliar!$D$4:$F$4,0))</f>
        <v>2</v>
      </c>
      <c r="P1250" s="42"/>
      <c r="Q1250" s="151"/>
      <c r="R1250" s="151">
        <v>45583</v>
      </c>
      <c r="S1250" s="151"/>
      <c r="T1250" s="151">
        <v>45583</v>
      </c>
      <c r="U1250" s="151">
        <v>45611</v>
      </c>
      <c r="V1250" s="151">
        <v>45611</v>
      </c>
      <c r="W1250" s="2">
        <f>VLOOKUP(Table1[[#This Row],[Status]],Auxiliar!$B$16:$D$24,3,0)*Table1[[#This Row],[Estimação (horas)]]</f>
        <v>2</v>
      </c>
      <c r="X1250" s="165">
        <f>+VLOOKUP(CONCATENATE(Table1[[#This Row],[Tabela]],Table1[[#This Row],[Campo]]),'2. Status Detalhe Campos FY24'!A:J,9,FALSE)</f>
        <v>0</v>
      </c>
      <c r="Y1250" s="491" t="e">
        <f>+VLOOKUP(A1250,#REF!,1,FALSE)</f>
        <v>#REF!</v>
      </c>
    </row>
    <row r="1251" spans="1:25" ht="17.899999999999999" hidden="1" customHeight="1">
      <c r="A1251" t="str">
        <f>+Table1[[#This Row],[Tabela]]&amp;Table1[[#This Row],[Campo]]</f>
        <v>lt004_protectiontyp_ep_scr</v>
      </c>
      <c r="B1251" s="40" t="s">
        <v>26</v>
      </c>
      <c r="C1251" s="40" t="s">
        <v>26</v>
      </c>
      <c r="D1251" s="42" t="s">
        <v>1270</v>
      </c>
      <c r="E1251" s="42" t="s">
        <v>1252</v>
      </c>
      <c r="F1251" s="42" t="s">
        <v>368</v>
      </c>
      <c r="G1251" s="42" t="s">
        <v>369</v>
      </c>
      <c r="H1251" s="56" t="str">
        <f>Table1[[#This Row],[Tabela]]&amp;Table1[[#This Row],[Campo]]</f>
        <v>lt004_protectiontyp_ep_scr</v>
      </c>
      <c r="I1251" s="2" t="s">
        <v>612</v>
      </c>
      <c r="J1251" s="44">
        <f>VLOOKUP(Table1[[#This Row],[Status]],Auxiliar!$B$16:$C$24,2,0)</f>
        <v>1</v>
      </c>
      <c r="K1251" s="44" t="s">
        <v>1171</v>
      </c>
      <c r="L1251" s="45" t="s">
        <v>1174</v>
      </c>
      <c r="M1251" s="20" t="s">
        <v>1175</v>
      </c>
      <c r="N1251" s="47">
        <v>45723</v>
      </c>
      <c r="O1251" s="20">
        <f>INDEX(Auxiliar!$D$5:$F$13,MATCH(Table1[[#This Row],[Tipologia_Testes]],Auxiliar!$B$5:$B$13,0),MATCH(Table1[[#This Row],[Complexidade]],Auxiliar!$D$4:$F$4,0))</f>
        <v>0.1</v>
      </c>
      <c r="P1251" s="42"/>
      <c r="Q1251" s="339"/>
      <c r="R1251" s="151">
        <v>45583</v>
      </c>
      <c r="S1251" s="151"/>
      <c r="T1251" s="151">
        <v>45583</v>
      </c>
      <c r="U1251" s="151">
        <v>45611</v>
      </c>
      <c r="V1251" s="151">
        <v>45611</v>
      </c>
      <c r="W1251" s="2">
        <f>VLOOKUP(Table1[[#This Row],[Status]],Auxiliar!$B$16:$D$24,3,0)*Table1[[#This Row],[Estimação (horas)]]</f>
        <v>0.1</v>
      </c>
      <c r="X1251" s="165">
        <f>+VLOOKUP(CONCATENATE(Table1[[#This Row],[Tabela]],Table1[[#This Row],[Campo]]),'2. Status Detalhe Campos FY24'!A:J,9,FALSE)</f>
        <v>0</v>
      </c>
      <c r="Y1251" s="491" t="e">
        <f>+VLOOKUP(A1251,#REF!,1,FALSE)</f>
        <v>#REF!</v>
      </c>
    </row>
    <row r="1252" spans="1:25" ht="17.899999999999999" hidden="1" customHeight="1">
      <c r="A1252" t="str">
        <f>+Table1[[#This Row],[Tabela]]&amp;Table1[[#This Row],[Campo]]</f>
        <v>lt004_protectionrl_estt_pst_cd</v>
      </c>
      <c r="B1252" s="38" t="s">
        <v>26</v>
      </c>
      <c r="C1252" s="38" t="s">
        <v>26</v>
      </c>
      <c r="D1252" s="19" t="s">
        <v>399</v>
      </c>
      <c r="E1252" s="334" t="s">
        <v>38</v>
      </c>
      <c r="F1252" s="19" t="s">
        <v>368</v>
      </c>
      <c r="G1252" s="19" t="s">
        <v>435</v>
      </c>
      <c r="H1252" s="58" t="str">
        <f>Table1[[#This Row],[Tabela]]&amp;Table1[[#This Row],[Campo]]</f>
        <v>lt004_protectionrl_estt_pst_cd</v>
      </c>
      <c r="I1252" s="2" t="s">
        <v>612</v>
      </c>
      <c r="J1252" s="44">
        <f>VLOOKUP(Table1[[#This Row],[Status]],Auxiliar!$B$16:$C$24,2,0)</f>
        <v>1</v>
      </c>
      <c r="K1252" s="43" t="s">
        <v>1173</v>
      </c>
      <c r="L1252" s="45" t="s">
        <v>1174</v>
      </c>
      <c r="M1252" s="20" t="s">
        <v>1175</v>
      </c>
      <c r="N1252" s="47">
        <v>45632</v>
      </c>
      <c r="O1252" s="112">
        <v>0.1</v>
      </c>
      <c r="P1252" s="2"/>
      <c r="Q1252" s="339"/>
      <c r="R1252" s="151">
        <v>45589</v>
      </c>
      <c r="S1252" s="151"/>
      <c r="T1252" s="151">
        <v>45589</v>
      </c>
      <c r="U1252" s="151">
        <v>45611</v>
      </c>
      <c r="V1252" s="151">
        <v>45611</v>
      </c>
      <c r="W1252" s="2">
        <f>VLOOKUP(Table1[[#This Row],[Status]],Auxiliar!$B$16:$D$24,3,0)*Table1[[#This Row],[Estimação (horas)]]</f>
        <v>0.1</v>
      </c>
      <c r="X1252" s="165">
        <f>+VLOOKUP(CONCATENATE(Table1[[#This Row],[Tabela]],Table1[[#This Row],[Campo]]),'2. Status Detalhe Campos FY24'!A:J,9,FALSE)</f>
        <v>0</v>
      </c>
      <c r="Y1252" s="491" t="e">
        <f>+VLOOKUP(A1252,#REF!,1,FALSE)</f>
        <v>#REF!</v>
      </c>
    </row>
    <row r="1253" spans="1:25" ht="17.899999999999999" hidden="1" customHeight="1">
      <c r="A1253" t="str">
        <f>+Table1[[#This Row],[Tabela]]&amp;Table1[[#This Row],[Campo]]</f>
        <v>lt004_protectionrl_estt_clltrl_lctn</v>
      </c>
      <c r="B1253" s="38" t="s">
        <v>26</v>
      </c>
      <c r="C1253" s="38" t="s">
        <v>26</v>
      </c>
      <c r="D1253" s="19" t="s">
        <v>399</v>
      </c>
      <c r="E1253" s="334" t="s">
        <v>38</v>
      </c>
      <c r="F1253" s="19" t="s">
        <v>368</v>
      </c>
      <c r="G1253" s="19" t="s">
        <v>434</v>
      </c>
      <c r="H1253" s="58" t="str">
        <f>Table1[[#This Row],[Tabela]]&amp;Table1[[#This Row],[Campo]]</f>
        <v>lt004_protectionrl_estt_clltrl_lctn</v>
      </c>
      <c r="I1253" s="2" t="s">
        <v>612</v>
      </c>
      <c r="J1253" s="44">
        <f>VLOOKUP(Table1[[#This Row],[Status]],Auxiliar!$B$16:$C$24,2,0)</f>
        <v>1</v>
      </c>
      <c r="K1253" s="43" t="s">
        <v>1173</v>
      </c>
      <c r="L1253" s="45" t="s">
        <v>1174</v>
      </c>
      <c r="M1253" s="20" t="s">
        <v>1175</v>
      </c>
      <c r="N1253" s="47">
        <v>45632</v>
      </c>
      <c r="O1253" s="112">
        <v>0.1</v>
      </c>
      <c r="P1253" s="2"/>
      <c r="Q1253" s="339"/>
      <c r="R1253" s="151">
        <v>45589</v>
      </c>
      <c r="S1253" s="151"/>
      <c r="T1253" s="151">
        <v>45589</v>
      </c>
      <c r="U1253" s="151">
        <v>45611</v>
      </c>
      <c r="V1253" s="151">
        <v>45611</v>
      </c>
      <c r="W1253" s="2">
        <f>VLOOKUP(Table1[[#This Row],[Status]],Auxiliar!$B$16:$D$24,3,0)*Table1[[#This Row],[Estimação (horas)]]</f>
        <v>0.1</v>
      </c>
      <c r="X1253" s="165">
        <f>+VLOOKUP(CONCATENATE(Table1[[#This Row],[Tabela]],Table1[[#This Row],[Campo]]),'2. Status Detalhe Campos FY24'!A:J,9,FALSE)</f>
        <v>0</v>
      </c>
      <c r="Y1253" s="491" t="e">
        <f>+VLOOKUP(A1253,#REF!,1,FALSE)</f>
        <v>#REF!</v>
      </c>
    </row>
    <row r="1254" spans="1:25" ht="17.899999999999999" hidden="1" customHeight="1">
      <c r="A1254" t="str">
        <f>+Table1[[#This Row],[Tabela]]&amp;Table1[[#This Row],[Campo]]</f>
        <v>lt004_protectionprtctn_vl</v>
      </c>
      <c r="B1254" s="40" t="s">
        <v>26</v>
      </c>
      <c r="C1254" s="40" t="s">
        <v>26</v>
      </c>
      <c r="D1254" s="2" t="s">
        <v>399</v>
      </c>
      <c r="E1254" s="39" t="s">
        <v>38</v>
      </c>
      <c r="F1254" s="2" t="s">
        <v>368</v>
      </c>
      <c r="G1254" s="2" t="s">
        <v>438</v>
      </c>
      <c r="H1254" s="56" t="str">
        <f>Table1[[#This Row],[Tabela]]&amp;Table1[[#This Row],[Campo]]</f>
        <v>lt004_protectionprtctn_vl</v>
      </c>
      <c r="I1254" s="2" t="s">
        <v>612</v>
      </c>
      <c r="J1254" s="44">
        <f>VLOOKUP(Table1[[#This Row],[Status]],Auxiliar!$B$16:$C$24,2,0)</f>
        <v>1</v>
      </c>
      <c r="K1254" s="43" t="s">
        <v>1173</v>
      </c>
      <c r="L1254" s="45" t="s">
        <v>1174</v>
      </c>
      <c r="M1254" s="20" t="s">
        <v>1175</v>
      </c>
      <c r="N1254" s="47">
        <v>45667</v>
      </c>
      <c r="O1254" s="112">
        <v>0.1</v>
      </c>
      <c r="P1254" s="2"/>
      <c r="Q1254" s="339"/>
      <c r="R1254" s="151">
        <v>45589</v>
      </c>
      <c r="S1254" s="151"/>
      <c r="T1254" s="151">
        <v>45589</v>
      </c>
      <c r="U1254" s="151">
        <v>45624</v>
      </c>
      <c r="V1254" s="151">
        <v>45624</v>
      </c>
      <c r="W1254" s="2">
        <f>VLOOKUP(Table1[[#This Row],[Status]],Auxiliar!$B$16:$D$24,3,0)*Table1[[#This Row],[Estimação (horas)]]</f>
        <v>0.1</v>
      </c>
      <c r="X1254" s="165">
        <f>+VLOOKUP(CONCATENATE(Table1[[#This Row],[Tabela]],Table1[[#This Row],[Campo]]),'2. Status Detalhe Campos FY24'!A:J,9,FALSE)</f>
        <v>0</v>
      </c>
      <c r="Y1254" s="491" t="e">
        <f>+VLOOKUP(A1254,#REF!,1,FALSE)</f>
        <v>#REF!</v>
      </c>
    </row>
    <row r="1255" spans="1:25" ht="17.899999999999999" hidden="1" customHeight="1">
      <c r="A1255" t="str">
        <f>+Table1[[#This Row],[Tabela]]&amp;Table1[[#This Row],[Campo]]</f>
        <v>lt004_protectionprtctn_id</v>
      </c>
      <c r="B1255" s="38" t="s">
        <v>26</v>
      </c>
      <c r="C1255" s="38" t="s">
        <v>26</v>
      </c>
      <c r="D1255" s="19" t="s">
        <v>399</v>
      </c>
      <c r="E1255" s="334" t="s">
        <v>38</v>
      </c>
      <c r="F1255" s="19" t="s">
        <v>368</v>
      </c>
      <c r="G1255" s="19" t="s">
        <v>433</v>
      </c>
      <c r="H1255" s="58" t="str">
        <f>Table1[[#This Row],[Tabela]]&amp;Table1[[#This Row],[Campo]]</f>
        <v>lt004_protectionprtctn_id</v>
      </c>
      <c r="I1255" s="2" t="s">
        <v>612</v>
      </c>
      <c r="J1255" s="44">
        <f>VLOOKUP(Table1[[#This Row],[Status]],Auxiliar!$B$16:$C$24,2,0)</f>
        <v>1</v>
      </c>
      <c r="K1255" s="43" t="s">
        <v>1173</v>
      </c>
      <c r="L1255" s="45" t="s">
        <v>1174</v>
      </c>
      <c r="M1255" s="20" t="s">
        <v>1175</v>
      </c>
      <c r="N1255" s="47">
        <v>45642</v>
      </c>
      <c r="O1255" s="112">
        <v>0.1</v>
      </c>
      <c r="P1255" s="2"/>
      <c r="Q1255" s="339"/>
      <c r="R1255" s="151">
        <v>45589</v>
      </c>
      <c r="S1255" s="151"/>
      <c r="T1255" s="151">
        <v>45589</v>
      </c>
      <c r="U1255" s="151">
        <v>45611</v>
      </c>
      <c r="V1255" s="151">
        <v>45611</v>
      </c>
      <c r="W1255" s="2">
        <f>VLOOKUP(Table1[[#This Row],[Status]],Auxiliar!$B$16:$D$24,3,0)*Table1[[#This Row],[Estimação (horas)]]</f>
        <v>0.1</v>
      </c>
      <c r="X1255" s="165">
        <f>+VLOOKUP(CONCATENATE(Table1[[#This Row],[Tabela]],Table1[[#This Row],[Campo]]),'2. Status Detalhe Campos FY24'!A:J,9,FALSE)</f>
        <v>0</v>
      </c>
      <c r="Y1255" s="491" t="e">
        <f>+VLOOKUP(A1255,#REF!,1,FALSE)</f>
        <v>#REF!</v>
      </c>
    </row>
    <row r="1256" spans="1:25" ht="52.4" hidden="1" customHeight="1">
      <c r="A1256" t="str">
        <f>+Table1[[#This Row],[Tabela]]&amp;Table1[[#This Row],[Campo]]</f>
        <v>lt004_protectionorgnl_prtctn_vl</v>
      </c>
      <c r="B1256" s="38" t="s">
        <v>26</v>
      </c>
      <c r="C1256" s="38" t="s">
        <v>26</v>
      </c>
      <c r="D1256" s="19" t="s">
        <v>399</v>
      </c>
      <c r="E1256" s="334" t="s">
        <v>38</v>
      </c>
      <c r="F1256" s="19" t="s">
        <v>368</v>
      </c>
      <c r="G1256" s="19" t="s">
        <v>437</v>
      </c>
      <c r="H1256" s="58" t="str">
        <f>Table1[[#This Row],[Tabela]]&amp;Table1[[#This Row],[Campo]]</f>
        <v>lt004_protectionorgnl_prtctn_vl</v>
      </c>
      <c r="I1256" s="2" t="s">
        <v>612</v>
      </c>
      <c r="J1256" s="44">
        <f>VLOOKUP(Table1[[#This Row],[Status]],Auxiliar!$B$16:$C$24,2,0)</f>
        <v>1</v>
      </c>
      <c r="K1256" s="43" t="s">
        <v>1173</v>
      </c>
      <c r="L1256" s="45" t="s">
        <v>1174</v>
      </c>
      <c r="M1256" s="20" t="s">
        <v>1175</v>
      </c>
      <c r="N1256" s="47">
        <v>45674</v>
      </c>
      <c r="O1256" s="240">
        <v>0.1</v>
      </c>
      <c r="P1256" s="2"/>
      <c r="Q1256" s="339"/>
      <c r="R1256" s="151">
        <v>45595</v>
      </c>
      <c r="S1256" s="151"/>
      <c r="T1256" s="151">
        <v>45595</v>
      </c>
      <c r="U1256" s="151">
        <v>45611</v>
      </c>
      <c r="V1256" s="151">
        <v>45611</v>
      </c>
      <c r="W1256" s="2">
        <f>VLOOKUP(Table1[[#This Row],[Status]],Auxiliar!$B$16:$D$24,3,0)*Table1[[#This Row],[Estimação (horas)]]</f>
        <v>0.1</v>
      </c>
      <c r="X1256" s="165">
        <f>+VLOOKUP(CONCATENATE(Table1[[#This Row],[Tabela]],Table1[[#This Row],[Campo]]),'2. Status Detalhe Campos FY24'!A:J,9,FALSE)</f>
        <v>0</v>
      </c>
      <c r="Y1256" s="491" t="e">
        <f>+VLOOKUP(A1256,#REF!,1,FALSE)</f>
        <v>#REF!</v>
      </c>
    </row>
    <row r="1257" spans="1:25" ht="17.899999999999999" hidden="1" customHeight="1">
      <c r="A1257" t="str">
        <f>+Table1[[#This Row],[Tabela]]&amp;Table1[[#This Row],[Campo]]</f>
        <v>lt004_protectionmthd_usd_prtctn_scp_3</v>
      </c>
      <c r="B1257" s="40" t="s">
        <v>26</v>
      </c>
      <c r="C1257" s="40" t="s">
        <v>26</v>
      </c>
      <c r="D1257" s="36" t="s">
        <v>1270</v>
      </c>
      <c r="E1257" s="41" t="s">
        <v>1252</v>
      </c>
      <c r="F1257" s="39" t="s">
        <v>368</v>
      </c>
      <c r="G1257" s="37" t="s">
        <v>378</v>
      </c>
      <c r="H1257" s="59" t="str">
        <f>Table1[[#This Row],[Tabela]]&amp;Table1[[#This Row],[Campo]]</f>
        <v>lt004_protectionmthd_usd_prtctn_scp_3</v>
      </c>
      <c r="I1257" s="2" t="s">
        <v>612</v>
      </c>
      <c r="J1257" s="44">
        <f>VLOOKUP(Table1[[#This Row],[Status]],Auxiliar!$B$16:$C$24,2,0)</f>
        <v>1</v>
      </c>
      <c r="K1257" s="44" t="s">
        <v>1168</v>
      </c>
      <c r="L1257" s="45" t="s">
        <v>1174</v>
      </c>
      <c r="M1257" s="20" t="s">
        <v>1175</v>
      </c>
      <c r="N1257" s="47">
        <v>45667</v>
      </c>
      <c r="O1257" s="20">
        <f>INDEX(Auxiliar!$D$5:$F$13,MATCH(Table1[[#This Row],[Tipologia_Testes]],Auxiliar!$B$5:$B$13,0),MATCH(Table1[[#This Row],[Complexidade]],Auxiliar!$D$4:$F$4,0))</f>
        <v>2</v>
      </c>
      <c r="P1257" s="42" t="s">
        <v>1271</v>
      </c>
      <c r="Q1257" s="339"/>
      <c r="R1257" s="151">
        <v>45622</v>
      </c>
      <c r="S1257" s="151"/>
      <c r="T1257" s="151"/>
      <c r="U1257" s="151">
        <v>45631</v>
      </c>
      <c r="V1257" s="151">
        <v>45631</v>
      </c>
      <c r="W1257" s="2">
        <f>VLOOKUP(Table1[[#This Row],[Status]],Auxiliar!$B$16:$D$24,3,0)*Table1[[#This Row],[Estimação (horas)]]</f>
        <v>2</v>
      </c>
      <c r="X1257" s="165">
        <f>+VLOOKUP(CONCATENATE(Table1[[#This Row],[Tabela]],Table1[[#This Row],[Campo]]),'2. Status Detalhe Campos FY24'!A:J,9,FALSE)</f>
        <v>0</v>
      </c>
      <c r="Y1257" s="491" t="e">
        <f>+VLOOKUP(A1257,#REF!,1,FALSE)</f>
        <v>#REF!</v>
      </c>
    </row>
    <row r="1258" spans="1:25" ht="17.899999999999999" hidden="1" customHeight="1">
      <c r="A1258" t="str">
        <f>+Table1[[#This Row],[Tabela]]&amp;Table1[[#This Row],[Campo]]</f>
        <v>lt004_protectionmthd_usd_prtctn_scp_3</v>
      </c>
      <c r="B1258" s="38" t="s">
        <v>26</v>
      </c>
      <c r="C1258" s="38" t="s">
        <v>26</v>
      </c>
      <c r="D1258" s="38" t="s">
        <v>1270</v>
      </c>
      <c r="E1258" s="38" t="s">
        <v>1252</v>
      </c>
      <c r="F1258" s="38" t="s">
        <v>368</v>
      </c>
      <c r="G1258" s="38" t="s">
        <v>378</v>
      </c>
      <c r="H1258" s="58" t="str">
        <f>Table1[[#This Row],[Tabela]]&amp;Table1[[#This Row],[Campo]]</f>
        <v>lt004_protectionmthd_usd_prtctn_scp_3</v>
      </c>
      <c r="I1258" s="2" t="s">
        <v>612</v>
      </c>
      <c r="J1258" s="44">
        <f>VLOOKUP(Table1[[#This Row],[Status]],Auxiliar!$B$16:$C$24,2,0)</f>
        <v>1</v>
      </c>
      <c r="K1258" s="44" t="s">
        <v>1169</v>
      </c>
      <c r="L1258" s="45" t="s">
        <v>1174</v>
      </c>
      <c r="M1258" s="20" t="s">
        <v>1175</v>
      </c>
      <c r="N1258" s="47">
        <v>45667</v>
      </c>
      <c r="O1258" s="20">
        <f>INDEX(Auxiliar!$D$5:$F$13,MATCH(Table1[[#This Row],[Tipologia_Testes]],Auxiliar!$B$5:$B$13,0),MATCH(Table1[[#This Row],[Complexidade]],Auxiliar!$D$4:$F$4,0))</f>
        <v>2</v>
      </c>
      <c r="P1258" s="42" t="s">
        <v>1271</v>
      </c>
      <c r="Q1258" s="339"/>
      <c r="R1258" s="151">
        <v>45622</v>
      </c>
      <c r="S1258" s="151"/>
      <c r="T1258" s="151"/>
      <c r="U1258" s="151">
        <v>45631</v>
      </c>
      <c r="V1258" s="151">
        <v>45631</v>
      </c>
      <c r="W1258" s="2">
        <f>VLOOKUP(Table1[[#This Row],[Status]],Auxiliar!$B$16:$D$24,3,0)*Table1[[#This Row],[Estimação (horas)]]</f>
        <v>2</v>
      </c>
      <c r="X1258" s="165">
        <f>+VLOOKUP(CONCATENATE(Table1[[#This Row],[Tabela]],Table1[[#This Row],[Campo]]),'2. Status Detalhe Campos FY24'!A:J,9,FALSE)</f>
        <v>0</v>
      </c>
      <c r="Y1258" s="491" t="e">
        <f>+VLOOKUP(A1258,#REF!,1,FALSE)</f>
        <v>#REF!</v>
      </c>
    </row>
    <row r="1259" spans="1:25" ht="52.4" hidden="1" customHeight="1">
      <c r="A1259" t="str">
        <f>+Table1[[#This Row],[Tabela]]&amp;Table1[[#This Row],[Campo]]</f>
        <v>lt004_protectionmthd_usd_prtctn_scp_3</v>
      </c>
      <c r="B1259" s="38" t="s">
        <v>26</v>
      </c>
      <c r="C1259" s="38" t="s">
        <v>26</v>
      </c>
      <c r="D1259" s="38" t="s">
        <v>1270</v>
      </c>
      <c r="E1259" s="38" t="s">
        <v>1252</v>
      </c>
      <c r="F1259" s="38" t="s">
        <v>368</v>
      </c>
      <c r="G1259" s="38" t="s">
        <v>378</v>
      </c>
      <c r="H1259" s="58" t="str">
        <f>Table1[[#This Row],[Tabela]]&amp;Table1[[#This Row],[Campo]]</f>
        <v>lt004_protectionmthd_usd_prtctn_scp_3</v>
      </c>
      <c r="I1259" s="2" t="s">
        <v>612</v>
      </c>
      <c r="J1259" s="44">
        <f>VLOOKUP(Table1[[#This Row],[Status]],Auxiliar!$B$16:$C$24,2,0)</f>
        <v>1</v>
      </c>
      <c r="K1259" s="44" t="s">
        <v>1171</v>
      </c>
      <c r="L1259" s="45" t="s">
        <v>1174</v>
      </c>
      <c r="M1259" s="20" t="s">
        <v>1175</v>
      </c>
      <c r="N1259" s="47">
        <v>45667</v>
      </c>
      <c r="O1259" s="20">
        <f>INDEX(Auxiliar!$D$5:$F$13,MATCH(Table1[[#This Row],[Tipologia_Testes]],Auxiliar!$B$5:$B$13,0),MATCH(Table1[[#This Row],[Complexidade]],Auxiliar!$D$4:$F$4,0))</f>
        <v>0.1</v>
      </c>
      <c r="P1259" s="42" t="s">
        <v>1271</v>
      </c>
      <c r="Q1259" s="339"/>
      <c r="R1259" s="151">
        <v>45622</v>
      </c>
      <c r="S1259" s="151"/>
      <c r="T1259" s="151"/>
      <c r="U1259" s="151">
        <v>45631</v>
      </c>
      <c r="V1259" s="151">
        <v>45631</v>
      </c>
      <c r="W1259" s="2">
        <f>VLOOKUP(Table1[[#This Row],[Status]],Auxiliar!$B$16:$D$24,3,0)*Table1[[#This Row],[Estimação (horas)]]</f>
        <v>0.1</v>
      </c>
      <c r="X1259" s="165">
        <f>+VLOOKUP(CONCATENATE(Table1[[#This Row],[Tabela]],Table1[[#This Row],[Campo]]),'2. Status Detalhe Campos FY24'!A:J,9,FALSE)</f>
        <v>0</v>
      </c>
      <c r="Y1259" s="491" t="e">
        <f>+VLOOKUP(A1259,#REF!,1,FALSE)</f>
        <v>#REF!</v>
      </c>
    </row>
    <row r="1260" spans="1:25" ht="17.899999999999999" hidden="1" customHeight="1">
      <c r="A1260" t="str">
        <f>+Table1[[#This Row],[Tabela]]&amp;Table1[[#This Row],[Campo]]</f>
        <v>lt004_protectionmthd_usd_prtctn_scp_2</v>
      </c>
      <c r="B1260" s="40" t="s">
        <v>26</v>
      </c>
      <c r="C1260" s="40" t="s">
        <v>26</v>
      </c>
      <c r="D1260" s="36" t="s">
        <v>1270</v>
      </c>
      <c r="E1260" s="41" t="s">
        <v>1252</v>
      </c>
      <c r="F1260" s="39" t="s">
        <v>368</v>
      </c>
      <c r="G1260" s="37" t="s">
        <v>377</v>
      </c>
      <c r="H1260" s="59" t="str">
        <f>Table1[[#This Row],[Tabela]]&amp;Table1[[#This Row],[Campo]]</f>
        <v>lt004_protectionmthd_usd_prtctn_scp_2</v>
      </c>
      <c r="I1260" s="2" t="s">
        <v>612</v>
      </c>
      <c r="J1260" s="44">
        <f>VLOOKUP(Table1[[#This Row],[Status]],Auxiliar!$B$16:$C$24,2,0)</f>
        <v>1</v>
      </c>
      <c r="K1260" s="44" t="s">
        <v>1168</v>
      </c>
      <c r="L1260" s="45" t="s">
        <v>1174</v>
      </c>
      <c r="M1260" s="20" t="s">
        <v>1175</v>
      </c>
      <c r="N1260" s="47">
        <v>45667</v>
      </c>
      <c r="O1260" s="20">
        <f>INDEX(Auxiliar!$D$5:$F$13,MATCH(Table1[[#This Row],[Tipologia_Testes]],Auxiliar!$B$5:$B$13,0),MATCH(Table1[[#This Row],[Complexidade]],Auxiliar!$D$4:$F$4,0))</f>
        <v>2</v>
      </c>
      <c r="P1260" s="42" t="s">
        <v>1271</v>
      </c>
      <c r="Q1260" s="151"/>
      <c r="R1260" s="151">
        <v>45622</v>
      </c>
      <c r="S1260" s="151"/>
      <c r="T1260" s="151"/>
      <c r="U1260" s="151">
        <v>45631</v>
      </c>
      <c r="V1260" s="151">
        <v>45631</v>
      </c>
      <c r="W1260" s="2">
        <f>VLOOKUP(Table1[[#This Row],[Status]],Auxiliar!$B$16:$D$24,3,0)*Table1[[#This Row],[Estimação (horas)]]</f>
        <v>2</v>
      </c>
      <c r="X1260" s="165">
        <f>+VLOOKUP(CONCATENATE(Table1[[#This Row],[Tabela]],Table1[[#This Row],[Campo]]),'2. Status Detalhe Campos FY24'!A:J,9,FALSE)</f>
        <v>0</v>
      </c>
      <c r="Y1260" s="491" t="e">
        <f>+VLOOKUP(A1260,#REF!,1,FALSE)</f>
        <v>#REF!</v>
      </c>
    </row>
    <row r="1261" spans="1:25" ht="17.899999999999999" hidden="1" customHeight="1">
      <c r="A1261" t="str">
        <f>+Table1[[#This Row],[Tabela]]&amp;Table1[[#This Row],[Campo]]</f>
        <v>lt004_protectionmthd_usd_prtctn_scp_2</v>
      </c>
      <c r="B1261" s="38" t="s">
        <v>26</v>
      </c>
      <c r="C1261" s="38" t="s">
        <v>26</v>
      </c>
      <c r="D1261" s="38" t="s">
        <v>1270</v>
      </c>
      <c r="E1261" s="38" t="s">
        <v>1252</v>
      </c>
      <c r="F1261" s="38" t="s">
        <v>368</v>
      </c>
      <c r="G1261" s="38" t="s">
        <v>377</v>
      </c>
      <c r="H1261" s="58" t="str">
        <f>Table1[[#This Row],[Tabela]]&amp;Table1[[#This Row],[Campo]]</f>
        <v>lt004_protectionmthd_usd_prtctn_scp_2</v>
      </c>
      <c r="I1261" s="2" t="s">
        <v>612</v>
      </c>
      <c r="J1261" s="44">
        <f>VLOOKUP(Table1[[#This Row],[Status]],Auxiliar!$B$16:$C$24,2,0)</f>
        <v>1</v>
      </c>
      <c r="K1261" s="44" t="s">
        <v>1169</v>
      </c>
      <c r="L1261" s="45" t="s">
        <v>1174</v>
      </c>
      <c r="M1261" s="20" t="s">
        <v>1175</v>
      </c>
      <c r="N1261" s="47">
        <v>45667</v>
      </c>
      <c r="O1261" s="20">
        <f>INDEX(Auxiliar!$D$5:$F$13,MATCH(Table1[[#This Row],[Tipologia_Testes]],Auxiliar!$B$5:$B$13,0),MATCH(Table1[[#This Row],[Complexidade]],Auxiliar!$D$4:$F$4,0))</f>
        <v>2</v>
      </c>
      <c r="P1261" s="42" t="s">
        <v>1271</v>
      </c>
      <c r="Q1261" s="151"/>
      <c r="R1261" s="151">
        <v>45622</v>
      </c>
      <c r="S1261" s="151"/>
      <c r="T1261" s="151"/>
      <c r="U1261" s="151">
        <v>45631</v>
      </c>
      <c r="V1261" s="151">
        <v>45631</v>
      </c>
      <c r="W1261" s="2">
        <f>VLOOKUP(Table1[[#This Row],[Status]],Auxiliar!$B$16:$D$24,3,0)*Table1[[#This Row],[Estimação (horas)]]</f>
        <v>2</v>
      </c>
      <c r="X1261" s="165">
        <f>+VLOOKUP(CONCATENATE(Table1[[#This Row],[Tabela]],Table1[[#This Row],[Campo]]),'2. Status Detalhe Campos FY24'!A:J,9,FALSE)</f>
        <v>0</v>
      </c>
      <c r="Y1261" s="491" t="e">
        <f>+VLOOKUP(A1261,#REF!,1,FALSE)</f>
        <v>#REF!</v>
      </c>
    </row>
    <row r="1262" spans="1:25" ht="52.4" hidden="1" customHeight="1">
      <c r="A1262" t="str">
        <f>+Table1[[#This Row],[Tabela]]&amp;Table1[[#This Row],[Campo]]</f>
        <v>lt004_protectionmthd_usd_prtctn_scp_2</v>
      </c>
      <c r="B1262" s="38" t="s">
        <v>26</v>
      </c>
      <c r="C1262" s="38" t="s">
        <v>26</v>
      </c>
      <c r="D1262" s="38" t="s">
        <v>1270</v>
      </c>
      <c r="E1262" s="38" t="s">
        <v>1252</v>
      </c>
      <c r="F1262" s="38" t="s">
        <v>368</v>
      </c>
      <c r="G1262" s="38" t="s">
        <v>377</v>
      </c>
      <c r="H1262" s="58" t="str">
        <f>Table1[[#This Row],[Tabela]]&amp;Table1[[#This Row],[Campo]]</f>
        <v>lt004_protectionmthd_usd_prtctn_scp_2</v>
      </c>
      <c r="I1262" s="2" t="s">
        <v>612</v>
      </c>
      <c r="J1262" s="44">
        <f>VLOOKUP(Table1[[#This Row],[Status]],Auxiliar!$B$16:$C$24,2,0)</f>
        <v>1</v>
      </c>
      <c r="K1262" s="44" t="s">
        <v>1171</v>
      </c>
      <c r="L1262" s="45" t="s">
        <v>1174</v>
      </c>
      <c r="M1262" s="20" t="s">
        <v>1175</v>
      </c>
      <c r="N1262" s="47">
        <v>45667</v>
      </c>
      <c r="O1262" s="20">
        <f>INDEX(Auxiliar!$D$5:$F$13,MATCH(Table1[[#This Row],[Tipologia_Testes]],Auxiliar!$B$5:$B$13,0),MATCH(Table1[[#This Row],[Complexidade]],Auxiliar!$D$4:$F$4,0))</f>
        <v>0.1</v>
      </c>
      <c r="P1262" s="42" t="s">
        <v>1271</v>
      </c>
      <c r="Q1262" s="151"/>
      <c r="R1262" s="151">
        <v>45622</v>
      </c>
      <c r="S1262" s="151"/>
      <c r="T1262" s="151"/>
      <c r="U1262" s="151">
        <v>45631</v>
      </c>
      <c r="V1262" s="151">
        <v>45631</v>
      </c>
      <c r="W1262" s="2">
        <f>VLOOKUP(Table1[[#This Row],[Status]],Auxiliar!$B$16:$D$24,3,0)*Table1[[#This Row],[Estimação (horas)]]</f>
        <v>0.1</v>
      </c>
      <c r="X1262" s="165">
        <f>+VLOOKUP(CONCATENATE(Table1[[#This Row],[Tabela]],Table1[[#This Row],[Campo]]),'2. Status Detalhe Campos FY24'!A:J,9,FALSE)</f>
        <v>0</v>
      </c>
      <c r="Y1262" s="491" t="e">
        <f>+VLOOKUP(A1262,#REF!,1,FALSE)</f>
        <v>#REF!</v>
      </c>
    </row>
    <row r="1263" spans="1:25" ht="17.899999999999999" hidden="1" customHeight="1">
      <c r="A1263" t="str">
        <f>+Table1[[#This Row],[Tabela]]&amp;Table1[[#This Row],[Campo]]</f>
        <v>lt004_protectionmthd_usd_prtctn_scp_1</v>
      </c>
      <c r="B1263" s="40" t="s">
        <v>26</v>
      </c>
      <c r="C1263" s="40" t="s">
        <v>26</v>
      </c>
      <c r="D1263" s="36" t="s">
        <v>1270</v>
      </c>
      <c r="E1263" s="41" t="s">
        <v>1252</v>
      </c>
      <c r="F1263" s="39" t="s">
        <v>368</v>
      </c>
      <c r="G1263" s="37" t="s">
        <v>376</v>
      </c>
      <c r="H1263" s="59" t="str">
        <f>Table1[[#This Row],[Tabela]]&amp;Table1[[#This Row],[Campo]]</f>
        <v>lt004_protectionmthd_usd_prtctn_scp_1</v>
      </c>
      <c r="I1263" s="2" t="s">
        <v>612</v>
      </c>
      <c r="J1263" s="44">
        <f>VLOOKUP(Table1[[#This Row],[Status]],Auxiliar!$B$16:$C$24,2,0)</f>
        <v>1</v>
      </c>
      <c r="K1263" s="44" t="s">
        <v>1168</v>
      </c>
      <c r="L1263" s="45" t="s">
        <v>1174</v>
      </c>
      <c r="M1263" s="20" t="s">
        <v>1175</v>
      </c>
      <c r="N1263" s="47">
        <v>45667</v>
      </c>
      <c r="O1263" s="20">
        <f>INDEX(Auxiliar!$D$5:$F$13,MATCH(Table1[[#This Row],[Tipologia_Testes]],Auxiliar!$B$5:$B$13,0),MATCH(Table1[[#This Row],[Complexidade]],Auxiliar!$D$4:$F$4,0))</f>
        <v>2</v>
      </c>
      <c r="P1263" s="42" t="s">
        <v>1271</v>
      </c>
      <c r="Q1263" s="151"/>
      <c r="R1263" s="151">
        <v>45622</v>
      </c>
      <c r="S1263" s="151"/>
      <c r="T1263" s="151"/>
      <c r="U1263" s="151">
        <v>45631</v>
      </c>
      <c r="V1263" s="151">
        <v>45631</v>
      </c>
      <c r="W1263" s="2">
        <f>VLOOKUP(Table1[[#This Row],[Status]],Auxiliar!$B$16:$D$24,3,0)*Table1[[#This Row],[Estimação (horas)]]</f>
        <v>2</v>
      </c>
      <c r="X1263" s="165">
        <f>+VLOOKUP(CONCATENATE(Table1[[#This Row],[Tabela]],Table1[[#This Row],[Campo]]),'2. Status Detalhe Campos FY24'!A:J,9,FALSE)</f>
        <v>0</v>
      </c>
      <c r="Y1263" s="491" t="e">
        <f>+VLOOKUP(A1263,#REF!,1,FALSE)</f>
        <v>#REF!</v>
      </c>
    </row>
    <row r="1264" spans="1:25" ht="17.899999999999999" hidden="1" customHeight="1">
      <c r="A1264" t="str">
        <f>+Table1[[#This Row],[Tabela]]&amp;Table1[[#This Row],[Campo]]</f>
        <v>lt004_protectionmthd_usd_prtctn_scp_1</v>
      </c>
      <c r="B1264" s="38" t="s">
        <v>26</v>
      </c>
      <c r="C1264" s="38" t="s">
        <v>26</v>
      </c>
      <c r="D1264" s="38" t="s">
        <v>1270</v>
      </c>
      <c r="E1264" s="38" t="s">
        <v>1252</v>
      </c>
      <c r="F1264" s="38" t="s">
        <v>368</v>
      </c>
      <c r="G1264" s="38" t="s">
        <v>376</v>
      </c>
      <c r="H1264" s="58" t="str">
        <f>Table1[[#This Row],[Tabela]]&amp;Table1[[#This Row],[Campo]]</f>
        <v>lt004_protectionmthd_usd_prtctn_scp_1</v>
      </c>
      <c r="I1264" s="2" t="s">
        <v>612</v>
      </c>
      <c r="J1264" s="44">
        <f>VLOOKUP(Table1[[#This Row],[Status]],Auxiliar!$B$16:$C$24,2,0)</f>
        <v>1</v>
      </c>
      <c r="K1264" s="44" t="s">
        <v>1169</v>
      </c>
      <c r="L1264" s="45" t="s">
        <v>1174</v>
      </c>
      <c r="M1264" s="20" t="s">
        <v>1175</v>
      </c>
      <c r="N1264" s="47">
        <v>45667</v>
      </c>
      <c r="O1264" s="20">
        <f>INDEX(Auxiliar!$D$5:$F$13,MATCH(Table1[[#This Row],[Tipologia_Testes]],Auxiliar!$B$5:$B$13,0),MATCH(Table1[[#This Row],[Complexidade]],Auxiliar!$D$4:$F$4,0))</f>
        <v>2</v>
      </c>
      <c r="P1264" s="42" t="s">
        <v>1271</v>
      </c>
      <c r="Q1264" s="151"/>
      <c r="R1264" s="151">
        <v>45622</v>
      </c>
      <c r="S1264" s="151"/>
      <c r="T1264" s="151"/>
      <c r="U1264" s="151">
        <v>45631</v>
      </c>
      <c r="V1264" s="151">
        <v>45631</v>
      </c>
      <c r="W1264" s="2">
        <f>VLOOKUP(Table1[[#This Row],[Status]],Auxiliar!$B$16:$D$24,3,0)*Table1[[#This Row],[Estimação (horas)]]</f>
        <v>2</v>
      </c>
      <c r="X1264" s="165">
        <f>+VLOOKUP(CONCATENATE(Table1[[#This Row],[Tabela]],Table1[[#This Row],[Campo]]),'2. Status Detalhe Campos FY24'!A:J,9,FALSE)</f>
        <v>0</v>
      </c>
      <c r="Y1264" s="491" t="e">
        <f>+VLOOKUP(A1264,#REF!,1,FALSE)</f>
        <v>#REF!</v>
      </c>
    </row>
    <row r="1265" spans="1:25" ht="17.899999999999999" hidden="1" customHeight="1">
      <c r="A1265" t="str">
        <f>+Table1[[#This Row],[Tabela]]&amp;Table1[[#This Row],[Campo]]</f>
        <v>lt004_protectionmthd_usd_prtctn_scp_1</v>
      </c>
      <c r="B1265" s="38" t="s">
        <v>26</v>
      </c>
      <c r="C1265" s="38" t="s">
        <v>26</v>
      </c>
      <c r="D1265" s="38" t="s">
        <v>1270</v>
      </c>
      <c r="E1265" s="38" t="s">
        <v>1252</v>
      </c>
      <c r="F1265" s="38" t="s">
        <v>368</v>
      </c>
      <c r="G1265" s="38" t="s">
        <v>376</v>
      </c>
      <c r="H1265" s="58" t="str">
        <f>Table1[[#This Row],[Tabela]]&amp;Table1[[#This Row],[Campo]]</f>
        <v>lt004_protectionmthd_usd_prtctn_scp_1</v>
      </c>
      <c r="I1265" s="2" t="s">
        <v>612</v>
      </c>
      <c r="J1265" s="44">
        <f>VLOOKUP(Table1[[#This Row],[Status]],Auxiliar!$B$16:$C$24,2,0)</f>
        <v>1</v>
      </c>
      <c r="K1265" s="44" t="s">
        <v>1171</v>
      </c>
      <c r="L1265" s="45" t="s">
        <v>1174</v>
      </c>
      <c r="M1265" s="20" t="s">
        <v>1175</v>
      </c>
      <c r="N1265" s="47">
        <v>45667</v>
      </c>
      <c r="O1265" s="20">
        <f>INDEX(Auxiliar!$D$5:$F$13,MATCH(Table1[[#This Row],[Tipologia_Testes]],Auxiliar!$B$5:$B$13,0),MATCH(Table1[[#This Row],[Complexidade]],Auxiliar!$D$4:$F$4,0))</f>
        <v>0.1</v>
      </c>
      <c r="P1265" s="42" t="s">
        <v>1271</v>
      </c>
      <c r="Q1265" s="151"/>
      <c r="R1265" s="151">
        <v>45622</v>
      </c>
      <c r="S1265" s="151"/>
      <c r="T1265" s="151"/>
      <c r="U1265" s="151">
        <v>45631</v>
      </c>
      <c r="V1265" s="151">
        <v>45631</v>
      </c>
      <c r="W1265" s="2">
        <f>VLOOKUP(Table1[[#This Row],[Status]],Auxiliar!$B$16:$D$24,3,0)*Table1[[#This Row],[Estimação (horas)]]</f>
        <v>0.1</v>
      </c>
      <c r="X1265" s="165">
        <f>+VLOOKUP(CONCATENATE(Table1[[#This Row],[Tabela]],Table1[[#This Row],[Campo]]),'2. Status Detalhe Campos FY24'!A:J,9,FALSE)</f>
        <v>0</v>
      </c>
      <c r="Y1265" s="491" t="e">
        <f>+VLOOKUP(A1265,#REF!,1,FALSE)</f>
        <v>#REF!</v>
      </c>
    </row>
    <row r="1266" spans="1:25" ht="17.899999999999999" hidden="1" customHeight="1">
      <c r="A1266" t="str">
        <f>+Table1[[#This Row],[Tabela]]&amp;Table1[[#This Row],[Campo]]</f>
        <v>lt004_protectionflg_pro</v>
      </c>
      <c r="B1266" s="40" t="s">
        <v>26</v>
      </c>
      <c r="C1266" s="40" t="s">
        <v>26</v>
      </c>
      <c r="D1266" s="36" t="s">
        <v>477</v>
      </c>
      <c r="E1266" s="39" t="s">
        <v>481</v>
      </c>
      <c r="F1266" s="39" t="s">
        <v>368</v>
      </c>
      <c r="G1266" s="37" t="s">
        <v>481</v>
      </c>
      <c r="H1266" s="59" t="str">
        <f>Table1[[#This Row],[Tabela]]&amp;Table1[[#This Row],[Campo]]</f>
        <v>lt004_protectionflg_pro</v>
      </c>
      <c r="I1266" s="2" t="s">
        <v>611</v>
      </c>
      <c r="J1266" s="44">
        <f>VLOOKUP(Table1[[#This Row],[Status]],Auxiliar!$B$16:$C$24,2,0)</f>
        <v>0</v>
      </c>
      <c r="K1266" s="44" t="s">
        <v>1168</v>
      </c>
      <c r="L1266" s="45" t="s">
        <v>1174</v>
      </c>
      <c r="M1266" s="20" t="s">
        <v>1175</v>
      </c>
      <c r="N1266" s="47">
        <v>45674</v>
      </c>
      <c r="O1266" s="20">
        <f>INDEX(Auxiliar!$D$5:$F$13,MATCH(Table1[[#This Row],[Tipologia_Testes]],Auxiliar!$B$5:$B$13,0),MATCH(Table1[[#This Row],[Complexidade]],Auxiliar!$D$4:$F$4,0))</f>
        <v>2</v>
      </c>
      <c r="P1266" s="42"/>
      <c r="Q1266" s="151"/>
      <c r="R1266" s="151">
        <v>45593</v>
      </c>
      <c r="S1266" s="151"/>
      <c r="T1266" s="151">
        <v>45593</v>
      </c>
      <c r="U1266" s="151">
        <v>45624</v>
      </c>
      <c r="V1266" s="151">
        <v>45624</v>
      </c>
      <c r="W1266" s="2">
        <f>VLOOKUP(Table1[[#This Row],[Status]],Auxiliar!$B$16:$D$24,3,0)*Table1[[#This Row],[Estimação (horas)]]</f>
        <v>0</v>
      </c>
      <c r="X1266" s="165">
        <f>+VLOOKUP(CONCATENATE(Table1[[#This Row],[Tabela]],Table1[[#This Row],[Campo]]),'2. Status Detalhe Campos FY24'!A:J,9,FALSE)</f>
        <v>0</v>
      </c>
      <c r="Y1266" s="491" t="e">
        <f>+VLOOKUP(A1266,#REF!,1,FALSE)</f>
        <v>#REF!</v>
      </c>
    </row>
    <row r="1267" spans="1:25" ht="17.899999999999999" hidden="1" customHeight="1">
      <c r="A1267" t="str">
        <f>+Table1[[#This Row],[Tabela]]&amp;Table1[[#This Row],[Campo]]</f>
        <v>lt004_protectionflg_pro</v>
      </c>
      <c r="B1267" s="38" t="s">
        <v>26</v>
      </c>
      <c r="C1267" s="38" t="s">
        <v>26</v>
      </c>
      <c r="D1267" s="38" t="s">
        <v>477</v>
      </c>
      <c r="E1267" s="38" t="s">
        <v>481</v>
      </c>
      <c r="F1267" s="38" t="s">
        <v>368</v>
      </c>
      <c r="G1267" s="38" t="s">
        <v>481</v>
      </c>
      <c r="H1267" s="58" t="str">
        <f>Table1[[#This Row],[Tabela]]&amp;Table1[[#This Row],[Campo]]</f>
        <v>lt004_protectionflg_pro</v>
      </c>
      <c r="I1267" s="2" t="s">
        <v>611</v>
      </c>
      <c r="J1267" s="44">
        <f>VLOOKUP(Table1[[#This Row],[Status]],Auxiliar!$B$16:$C$24,2,0)</f>
        <v>0</v>
      </c>
      <c r="K1267" s="44" t="s">
        <v>1169</v>
      </c>
      <c r="L1267" s="45" t="s">
        <v>1174</v>
      </c>
      <c r="M1267" s="20" t="s">
        <v>1175</v>
      </c>
      <c r="N1267" s="47">
        <v>45674</v>
      </c>
      <c r="O1267" s="20">
        <f>INDEX(Auxiliar!$D$5:$F$13,MATCH(Table1[[#This Row],[Tipologia_Testes]],Auxiliar!$B$5:$B$13,0),MATCH(Table1[[#This Row],[Complexidade]],Auxiliar!$D$4:$F$4,0))</f>
        <v>2</v>
      </c>
      <c r="P1267" s="42"/>
      <c r="Q1267" s="151"/>
      <c r="R1267" s="151">
        <v>45593</v>
      </c>
      <c r="S1267" s="151"/>
      <c r="T1267" s="151">
        <v>45593</v>
      </c>
      <c r="U1267" s="151">
        <v>45624</v>
      </c>
      <c r="V1267" s="151">
        <v>45624</v>
      </c>
      <c r="W1267" s="2">
        <f>VLOOKUP(Table1[[#This Row],[Status]],Auxiliar!$B$16:$D$24,3,0)*Table1[[#This Row],[Estimação (horas)]]</f>
        <v>0</v>
      </c>
      <c r="X1267" s="165">
        <f>+VLOOKUP(CONCATENATE(Table1[[#This Row],[Tabela]],Table1[[#This Row],[Campo]]),'2. Status Detalhe Campos FY24'!A:J,9,FALSE)</f>
        <v>0</v>
      </c>
      <c r="Y1267" s="491" t="e">
        <f>+VLOOKUP(A1267,#REF!,1,FALSE)</f>
        <v>#REF!</v>
      </c>
    </row>
    <row r="1268" spans="1:25" ht="17.899999999999999" hidden="1" customHeight="1">
      <c r="A1268" t="str">
        <f>+Table1[[#This Row],[Tabela]]&amp;Table1[[#This Row],[Campo]]</f>
        <v>lt004_protectionflg_pro</v>
      </c>
      <c r="B1268" s="38" t="s">
        <v>26</v>
      </c>
      <c r="C1268" s="38" t="s">
        <v>26</v>
      </c>
      <c r="D1268" s="38" t="s">
        <v>477</v>
      </c>
      <c r="E1268" s="38" t="s">
        <v>481</v>
      </c>
      <c r="F1268" s="38" t="s">
        <v>368</v>
      </c>
      <c r="G1268" s="38" t="s">
        <v>481</v>
      </c>
      <c r="H1268" s="58" t="str">
        <f>Table1[[#This Row],[Tabela]]&amp;Table1[[#This Row],[Campo]]</f>
        <v>lt004_protectionflg_pro</v>
      </c>
      <c r="I1268" s="2" t="s">
        <v>611</v>
      </c>
      <c r="J1268" s="44">
        <f>VLOOKUP(Table1[[#This Row],[Status]],Auxiliar!$B$16:$C$24,2,0)</f>
        <v>0</v>
      </c>
      <c r="K1268" s="44" t="s">
        <v>1171</v>
      </c>
      <c r="L1268" s="45" t="s">
        <v>1174</v>
      </c>
      <c r="M1268" s="20" t="s">
        <v>1175</v>
      </c>
      <c r="N1268" s="47">
        <v>45674</v>
      </c>
      <c r="O1268" s="20">
        <f>INDEX(Auxiliar!$D$5:$F$13,MATCH(Table1[[#This Row],[Tipologia_Testes]],Auxiliar!$B$5:$B$13,0),MATCH(Table1[[#This Row],[Complexidade]],Auxiliar!$D$4:$F$4,0))</f>
        <v>0.1</v>
      </c>
      <c r="P1268" s="42"/>
      <c r="Q1268" s="151"/>
      <c r="R1268" s="151">
        <v>45593</v>
      </c>
      <c r="S1268" s="151"/>
      <c r="T1268" s="151">
        <v>45593</v>
      </c>
      <c r="U1268" s="151">
        <v>45624</v>
      </c>
      <c r="V1268" s="151">
        <v>45624</v>
      </c>
      <c r="W1268" s="2">
        <f>VLOOKUP(Table1[[#This Row],[Status]],Auxiliar!$B$16:$D$24,3,0)*Table1[[#This Row],[Estimação (horas)]]</f>
        <v>0</v>
      </c>
      <c r="X1268" s="165">
        <f>+VLOOKUP(CONCATENATE(Table1[[#This Row],[Tabela]],Table1[[#This Row],[Campo]]),'2. Status Detalhe Campos FY24'!A:J,9,FALSE)</f>
        <v>0</v>
      </c>
      <c r="Y1268" s="491" t="e">
        <f>+VLOOKUP(A1268,#REF!,1,FALSE)</f>
        <v>#REF!</v>
      </c>
    </row>
    <row r="1269" spans="1:25" ht="17.899999999999999" hidden="1" customHeight="1">
      <c r="A1269" t="str">
        <f>+Table1[[#This Row],[Tabela]]&amp;Table1[[#This Row],[Campo]]</f>
        <v>lt004_protectionflg_fin</v>
      </c>
      <c r="B1269" s="40" t="s">
        <v>26</v>
      </c>
      <c r="C1269" s="40" t="s">
        <v>26</v>
      </c>
      <c r="D1269" s="36" t="s">
        <v>477</v>
      </c>
      <c r="E1269" s="41" t="s">
        <v>480</v>
      </c>
      <c r="F1269" s="39" t="s">
        <v>368</v>
      </c>
      <c r="G1269" s="37" t="s">
        <v>480</v>
      </c>
      <c r="H1269" s="59" t="str">
        <f>Table1[[#This Row],[Tabela]]&amp;Table1[[#This Row],[Campo]]</f>
        <v>lt004_protectionflg_fin</v>
      </c>
      <c r="I1269" s="2" t="s">
        <v>611</v>
      </c>
      <c r="J1269" s="44">
        <f>VLOOKUP(Table1[[#This Row],[Status]],Auxiliar!$B$16:$C$24,2,0)</f>
        <v>0</v>
      </c>
      <c r="K1269" s="44" t="s">
        <v>1168</v>
      </c>
      <c r="L1269" s="45" t="s">
        <v>1174</v>
      </c>
      <c r="M1269" s="20" t="s">
        <v>1175</v>
      </c>
      <c r="N1269" s="47">
        <v>45674</v>
      </c>
      <c r="O1269" s="20">
        <f>INDEX(Auxiliar!$D$5:$F$13,MATCH(Table1[[#This Row],[Tipologia_Testes]],Auxiliar!$B$5:$B$13,0),MATCH(Table1[[#This Row],[Complexidade]],Auxiliar!$D$4:$F$4,0))</f>
        <v>2</v>
      </c>
      <c r="P1269" s="42"/>
      <c r="Q1269" s="151"/>
      <c r="R1269" s="151">
        <v>45593</v>
      </c>
      <c r="S1269" s="151"/>
      <c r="T1269" s="151">
        <v>45593</v>
      </c>
      <c r="U1269" s="151">
        <v>45624</v>
      </c>
      <c r="V1269" s="151">
        <v>45624</v>
      </c>
      <c r="W1269" s="2">
        <f>VLOOKUP(Table1[[#This Row],[Status]],Auxiliar!$B$16:$D$24,3,0)*Table1[[#This Row],[Estimação (horas)]]</f>
        <v>0</v>
      </c>
      <c r="X1269" s="165">
        <f>+VLOOKUP(CONCATENATE(Table1[[#This Row],[Tabela]],Table1[[#This Row],[Campo]]),'2. Status Detalhe Campos FY24'!A:J,9,FALSE)</f>
        <v>0</v>
      </c>
      <c r="Y1269" s="491" t="e">
        <f>+VLOOKUP(A1269,#REF!,1,FALSE)</f>
        <v>#REF!</v>
      </c>
    </row>
    <row r="1270" spans="1:25" ht="17.899999999999999" hidden="1" customHeight="1">
      <c r="A1270" t="str">
        <f>+Table1[[#This Row],[Tabela]]&amp;Table1[[#This Row],[Campo]]</f>
        <v>lt004_protectionflg_fin</v>
      </c>
      <c r="B1270" s="38" t="s">
        <v>26</v>
      </c>
      <c r="C1270" s="38" t="s">
        <v>26</v>
      </c>
      <c r="D1270" s="38" t="s">
        <v>477</v>
      </c>
      <c r="E1270" s="38" t="s">
        <v>480</v>
      </c>
      <c r="F1270" s="38" t="s">
        <v>368</v>
      </c>
      <c r="G1270" s="38" t="s">
        <v>480</v>
      </c>
      <c r="H1270" s="58" t="str">
        <f>Table1[[#This Row],[Tabela]]&amp;Table1[[#This Row],[Campo]]</f>
        <v>lt004_protectionflg_fin</v>
      </c>
      <c r="I1270" s="2" t="s">
        <v>611</v>
      </c>
      <c r="J1270" s="44">
        <f>VLOOKUP(Table1[[#This Row],[Status]],Auxiliar!$B$16:$C$24,2,0)</f>
        <v>0</v>
      </c>
      <c r="K1270" s="44" t="s">
        <v>1169</v>
      </c>
      <c r="L1270" s="45" t="s">
        <v>1174</v>
      </c>
      <c r="M1270" s="20" t="s">
        <v>1175</v>
      </c>
      <c r="N1270" s="47">
        <v>45674</v>
      </c>
      <c r="O1270" s="20">
        <f>INDEX(Auxiliar!$D$5:$F$13,MATCH(Table1[[#This Row],[Tipologia_Testes]],Auxiliar!$B$5:$B$13,0),MATCH(Table1[[#This Row],[Complexidade]],Auxiliar!$D$4:$F$4,0))</f>
        <v>2</v>
      </c>
      <c r="P1270" s="42"/>
      <c r="Q1270" s="151"/>
      <c r="R1270" s="151">
        <v>45593</v>
      </c>
      <c r="S1270" s="151"/>
      <c r="T1270" s="151">
        <v>45593</v>
      </c>
      <c r="U1270" s="151">
        <v>45624</v>
      </c>
      <c r="V1270" s="151">
        <v>45624</v>
      </c>
      <c r="W1270" s="2">
        <f>VLOOKUP(Table1[[#This Row],[Status]],Auxiliar!$B$16:$D$24,3,0)*Table1[[#This Row],[Estimação (horas)]]</f>
        <v>0</v>
      </c>
      <c r="X1270" s="165">
        <f>+VLOOKUP(CONCATENATE(Table1[[#This Row],[Tabela]],Table1[[#This Row],[Campo]]),'2. Status Detalhe Campos FY24'!A:J,9,FALSE)</f>
        <v>0</v>
      </c>
      <c r="Y1270" s="491" t="e">
        <f>+VLOOKUP(A1270,#REF!,1,FALSE)</f>
        <v>#REF!</v>
      </c>
    </row>
    <row r="1271" spans="1:25" ht="17.899999999999999" hidden="1" customHeight="1">
      <c r="A1271" t="str">
        <f>+Table1[[#This Row],[Tabela]]&amp;Table1[[#This Row],[Campo]]</f>
        <v>lt004_protectionflg_fin</v>
      </c>
      <c r="B1271" s="38" t="s">
        <v>26</v>
      </c>
      <c r="C1271" s="38" t="s">
        <v>26</v>
      </c>
      <c r="D1271" s="38" t="s">
        <v>477</v>
      </c>
      <c r="E1271" s="38" t="s">
        <v>480</v>
      </c>
      <c r="F1271" s="38" t="s">
        <v>368</v>
      </c>
      <c r="G1271" s="38" t="s">
        <v>480</v>
      </c>
      <c r="H1271" s="58" t="str">
        <f>Table1[[#This Row],[Tabela]]&amp;Table1[[#This Row],[Campo]]</f>
        <v>lt004_protectionflg_fin</v>
      </c>
      <c r="I1271" s="2" t="s">
        <v>611</v>
      </c>
      <c r="J1271" s="44">
        <f>VLOOKUP(Table1[[#This Row],[Status]],Auxiliar!$B$16:$C$24,2,0)</f>
        <v>0</v>
      </c>
      <c r="K1271" s="44" t="s">
        <v>1171</v>
      </c>
      <c r="L1271" s="45" t="s">
        <v>1174</v>
      </c>
      <c r="M1271" s="20" t="s">
        <v>1175</v>
      </c>
      <c r="N1271" s="47">
        <v>45674</v>
      </c>
      <c r="O1271" s="20">
        <f>INDEX(Auxiliar!$D$5:$F$13,MATCH(Table1[[#This Row],[Tipologia_Testes]],Auxiliar!$B$5:$B$13,0),MATCH(Table1[[#This Row],[Complexidade]],Auxiliar!$D$4:$F$4,0))</f>
        <v>0.1</v>
      </c>
      <c r="P1271" s="42"/>
      <c r="Q1271" s="151"/>
      <c r="R1271" s="151">
        <v>45593</v>
      </c>
      <c r="S1271" s="151"/>
      <c r="T1271" s="151">
        <v>45593</v>
      </c>
      <c r="U1271" s="151">
        <v>45624</v>
      </c>
      <c r="V1271" s="151">
        <v>45624</v>
      </c>
      <c r="W1271" s="2">
        <f>VLOOKUP(Table1[[#This Row],[Status]],Auxiliar!$B$16:$D$24,3,0)*Table1[[#This Row],[Estimação (horas)]]</f>
        <v>0</v>
      </c>
      <c r="X1271" s="165">
        <f>+VLOOKUP(CONCATENATE(Table1[[#This Row],[Tabela]],Table1[[#This Row],[Campo]]),'2. Status Detalhe Campos FY24'!A:J,9,FALSE)</f>
        <v>0</v>
      </c>
      <c r="Y1271" s="491" t="e">
        <f>+VLOOKUP(A1271,#REF!,1,FALSE)</f>
        <v>#REF!</v>
      </c>
    </row>
    <row r="1272" spans="1:25" ht="17.899999999999999" hidden="1" customHeight="1">
      <c r="A1272" t="str">
        <f>+Table1[[#This Row],[Tabela]]&amp;Table1[[#This Row],[Campo]]</f>
        <v>lt004_protectionflg_exec</v>
      </c>
      <c r="B1272" s="40" t="s">
        <v>26</v>
      </c>
      <c r="C1272" s="40" t="s">
        <v>26</v>
      </c>
      <c r="D1272" s="36" t="s">
        <v>477</v>
      </c>
      <c r="E1272" s="41" t="s">
        <v>478</v>
      </c>
      <c r="F1272" s="39" t="s">
        <v>368</v>
      </c>
      <c r="G1272" s="37" t="s">
        <v>1276</v>
      </c>
      <c r="H1272" s="59" t="str">
        <f>Table1[[#This Row],[Tabela]]&amp;Table1[[#This Row],[Campo]]</f>
        <v>lt004_protectionflg_exec</v>
      </c>
      <c r="I1272" s="2" t="s">
        <v>611</v>
      </c>
      <c r="J1272" s="44">
        <f>VLOOKUP(Table1[[#This Row],[Status]],Auxiliar!$B$16:$C$24,2,0)</f>
        <v>0</v>
      </c>
      <c r="K1272" s="44" t="s">
        <v>1168</v>
      </c>
      <c r="L1272" s="45" t="s">
        <v>1174</v>
      </c>
      <c r="M1272" s="20" t="s">
        <v>1175</v>
      </c>
      <c r="N1272" s="47">
        <v>45674</v>
      </c>
      <c r="O1272" s="20">
        <f>INDEX(Auxiliar!$D$5:$F$13,MATCH(Table1[[#This Row],[Tipologia_Testes]],Auxiliar!$B$5:$B$13,0),MATCH(Table1[[#This Row],[Complexidade]],Auxiliar!$D$4:$F$4,0))</f>
        <v>2</v>
      </c>
      <c r="P1272" s="42"/>
      <c r="Q1272" s="151"/>
      <c r="R1272" s="151">
        <v>45593</v>
      </c>
      <c r="S1272" s="151"/>
      <c r="T1272" s="151">
        <v>45593</v>
      </c>
      <c r="U1272" s="151">
        <v>45624</v>
      </c>
      <c r="V1272" s="151">
        <v>45624</v>
      </c>
      <c r="W1272" s="2">
        <f>VLOOKUP(Table1[[#This Row],[Status]],Auxiliar!$B$16:$D$24,3,0)*Table1[[#This Row],[Estimação (horas)]]</f>
        <v>0</v>
      </c>
      <c r="X1272" s="165">
        <f>+VLOOKUP(CONCATENATE(Table1[[#This Row],[Tabela]],Table1[[#This Row],[Campo]]),'2. Status Detalhe Campos FY24'!A:J,9,FALSE)</f>
        <v>0</v>
      </c>
      <c r="Y1272" s="491" t="e">
        <f>+VLOOKUP(A1272,#REF!,1,FALSE)</f>
        <v>#REF!</v>
      </c>
    </row>
    <row r="1273" spans="1:25" ht="17.899999999999999" hidden="1" customHeight="1">
      <c r="A1273" t="str">
        <f>+Table1[[#This Row],[Tabela]]&amp;Table1[[#This Row],[Campo]]</f>
        <v>lt004_protectionflg_exec</v>
      </c>
      <c r="B1273" s="38" t="s">
        <v>26</v>
      </c>
      <c r="C1273" s="38" t="s">
        <v>26</v>
      </c>
      <c r="D1273" s="38" t="s">
        <v>477</v>
      </c>
      <c r="E1273" s="38" t="s">
        <v>478</v>
      </c>
      <c r="F1273" s="38" t="s">
        <v>368</v>
      </c>
      <c r="G1273" s="38" t="s">
        <v>1276</v>
      </c>
      <c r="H1273" s="58" t="str">
        <f>Table1[[#This Row],[Tabela]]&amp;Table1[[#This Row],[Campo]]</f>
        <v>lt004_protectionflg_exec</v>
      </c>
      <c r="I1273" s="2" t="s">
        <v>611</v>
      </c>
      <c r="J1273" s="44">
        <f>VLOOKUP(Table1[[#This Row],[Status]],Auxiliar!$B$16:$C$24,2,0)</f>
        <v>0</v>
      </c>
      <c r="K1273" s="44" t="s">
        <v>1169</v>
      </c>
      <c r="L1273" s="45" t="s">
        <v>1174</v>
      </c>
      <c r="M1273" s="20" t="s">
        <v>1175</v>
      </c>
      <c r="N1273" s="47">
        <v>45674</v>
      </c>
      <c r="O1273" s="20">
        <f>INDEX(Auxiliar!$D$5:$F$13,MATCH(Table1[[#This Row],[Tipologia_Testes]],Auxiliar!$B$5:$B$13,0),MATCH(Table1[[#This Row],[Complexidade]],Auxiliar!$D$4:$F$4,0))</f>
        <v>2</v>
      </c>
      <c r="P1273" s="42"/>
      <c r="Q1273" s="151"/>
      <c r="R1273" s="151">
        <v>45593</v>
      </c>
      <c r="S1273" s="151"/>
      <c r="T1273" s="151">
        <v>45593</v>
      </c>
      <c r="U1273" s="151">
        <v>45624</v>
      </c>
      <c r="V1273" s="151">
        <v>45624</v>
      </c>
      <c r="W1273" s="2">
        <f>VLOOKUP(Table1[[#This Row],[Status]],Auxiliar!$B$16:$D$24,3,0)*Table1[[#This Row],[Estimação (horas)]]</f>
        <v>0</v>
      </c>
      <c r="X1273" s="165">
        <f>+VLOOKUP(CONCATENATE(Table1[[#This Row],[Tabela]],Table1[[#This Row],[Campo]]),'2. Status Detalhe Campos FY24'!A:J,9,FALSE)</f>
        <v>0</v>
      </c>
      <c r="Y1273" s="491" t="e">
        <f>+VLOOKUP(A1273,#REF!,1,FALSE)</f>
        <v>#REF!</v>
      </c>
    </row>
    <row r="1274" spans="1:25" ht="35.15" hidden="1" customHeight="1">
      <c r="A1274" t="str">
        <f>+Table1[[#This Row],[Tabela]]&amp;Table1[[#This Row],[Campo]]</f>
        <v>lt004_protectionflg_exec</v>
      </c>
      <c r="B1274" s="38" t="s">
        <v>26</v>
      </c>
      <c r="C1274" s="38" t="s">
        <v>26</v>
      </c>
      <c r="D1274" s="38" t="s">
        <v>477</v>
      </c>
      <c r="E1274" s="38" t="s">
        <v>478</v>
      </c>
      <c r="F1274" s="38" t="s">
        <v>368</v>
      </c>
      <c r="G1274" s="38" t="s">
        <v>1276</v>
      </c>
      <c r="H1274" s="58" t="str">
        <f>Table1[[#This Row],[Tabela]]&amp;Table1[[#This Row],[Campo]]</f>
        <v>lt004_protectionflg_exec</v>
      </c>
      <c r="I1274" s="2" t="s">
        <v>611</v>
      </c>
      <c r="J1274" s="44">
        <f>VLOOKUP(Table1[[#This Row],[Status]],Auxiliar!$B$16:$C$24,2,0)</f>
        <v>0</v>
      </c>
      <c r="K1274" s="44" t="s">
        <v>1171</v>
      </c>
      <c r="L1274" s="45" t="s">
        <v>1174</v>
      </c>
      <c r="M1274" s="20" t="s">
        <v>1175</v>
      </c>
      <c r="N1274" s="47">
        <v>45674</v>
      </c>
      <c r="O1274" s="20">
        <f>INDEX(Auxiliar!$D$5:$F$13,MATCH(Table1[[#This Row],[Tipologia_Testes]],Auxiliar!$B$5:$B$13,0),MATCH(Table1[[#This Row],[Complexidade]],Auxiliar!$D$4:$F$4,0))</f>
        <v>0.1</v>
      </c>
      <c r="P1274" s="42"/>
      <c r="Q1274" s="151"/>
      <c r="R1274" s="151">
        <v>45593</v>
      </c>
      <c r="S1274" s="151"/>
      <c r="T1274" s="151">
        <v>45593</v>
      </c>
      <c r="U1274" s="151">
        <v>45624</v>
      </c>
      <c r="V1274" s="151">
        <v>45624</v>
      </c>
      <c r="W1274" s="2">
        <f>VLOOKUP(Table1[[#This Row],[Status]],Auxiliar!$B$16:$D$24,3,0)*Table1[[#This Row],[Estimação (horas)]]</f>
        <v>0</v>
      </c>
      <c r="X1274" s="165">
        <f>+VLOOKUP(CONCATENATE(Table1[[#This Row],[Tabela]],Table1[[#This Row],[Campo]]),'2. Status Detalhe Campos FY24'!A:J,9,FALSE)</f>
        <v>0</v>
      </c>
      <c r="Y1274" s="491" t="e">
        <f>+VLOOKUP(A1274,#REF!,1,FALSE)</f>
        <v>#REF!</v>
      </c>
    </row>
    <row r="1275" spans="1:25" ht="17.899999999999999" hidden="1" customHeight="1">
      <c r="A1275" t="str">
        <f>+Table1[[#This Row],[Tabela]]&amp;Table1[[#This Row],[Campo]]</f>
        <v>lt004_protectionflg_col</v>
      </c>
      <c r="B1275" s="40" t="s">
        <v>26</v>
      </c>
      <c r="C1275" s="40" t="s">
        <v>26</v>
      </c>
      <c r="D1275" s="36" t="s">
        <v>477</v>
      </c>
      <c r="E1275" s="39" t="s">
        <v>479</v>
      </c>
      <c r="F1275" s="39" t="s">
        <v>368</v>
      </c>
      <c r="G1275" s="37" t="s">
        <v>479</v>
      </c>
      <c r="H1275" s="59" t="str">
        <f>Table1[[#This Row],[Tabela]]&amp;Table1[[#This Row],[Campo]]</f>
        <v>lt004_protectionflg_col</v>
      </c>
      <c r="I1275" s="2" t="s">
        <v>611</v>
      </c>
      <c r="J1275" s="44">
        <f>VLOOKUP(Table1[[#This Row],[Status]],Auxiliar!$B$16:$C$24,2,0)</f>
        <v>0</v>
      </c>
      <c r="K1275" s="44" t="s">
        <v>1168</v>
      </c>
      <c r="L1275" s="45" t="s">
        <v>1174</v>
      </c>
      <c r="M1275" s="20" t="s">
        <v>1175</v>
      </c>
      <c r="N1275" s="47">
        <v>45674</v>
      </c>
      <c r="O1275" s="20">
        <f>INDEX(Auxiliar!$D$5:$F$13,MATCH(Table1[[#This Row],[Tipologia_Testes]],Auxiliar!$B$5:$B$13,0),MATCH(Table1[[#This Row],[Complexidade]],Auxiliar!$D$4:$F$4,0))</f>
        <v>2</v>
      </c>
      <c r="P1275" s="42"/>
      <c r="Q1275" s="151"/>
      <c r="R1275" s="151">
        <v>45593</v>
      </c>
      <c r="S1275" s="151"/>
      <c r="T1275" s="151">
        <v>45593</v>
      </c>
      <c r="U1275" s="151">
        <v>45624</v>
      </c>
      <c r="V1275" s="151">
        <v>45624</v>
      </c>
      <c r="W1275" s="2">
        <f>VLOOKUP(Table1[[#This Row],[Status]],Auxiliar!$B$16:$D$24,3,0)*Table1[[#This Row],[Estimação (horas)]]</f>
        <v>0</v>
      </c>
      <c r="X1275" s="165">
        <f>+VLOOKUP(CONCATENATE(Table1[[#This Row],[Tabela]],Table1[[#This Row],[Campo]]),'2. Status Detalhe Campos FY24'!A:J,9,FALSE)</f>
        <v>0</v>
      </c>
      <c r="Y1275" s="491" t="e">
        <f>+VLOOKUP(A1275,#REF!,1,FALSE)</f>
        <v>#REF!</v>
      </c>
    </row>
    <row r="1276" spans="1:25" ht="17.899999999999999" hidden="1" customHeight="1">
      <c r="A1276" t="str">
        <f>+Table1[[#This Row],[Tabela]]&amp;Table1[[#This Row],[Campo]]</f>
        <v>lt004_protectionflg_col</v>
      </c>
      <c r="B1276" s="38" t="s">
        <v>26</v>
      </c>
      <c r="C1276" s="38" t="s">
        <v>26</v>
      </c>
      <c r="D1276" s="38" t="s">
        <v>477</v>
      </c>
      <c r="E1276" s="38" t="s">
        <v>479</v>
      </c>
      <c r="F1276" s="38" t="s">
        <v>368</v>
      </c>
      <c r="G1276" s="38" t="s">
        <v>479</v>
      </c>
      <c r="H1276" s="58" t="str">
        <f>Table1[[#This Row],[Tabela]]&amp;Table1[[#This Row],[Campo]]</f>
        <v>lt004_protectionflg_col</v>
      </c>
      <c r="I1276" s="2" t="s">
        <v>611</v>
      </c>
      <c r="J1276" s="44">
        <f>VLOOKUP(Table1[[#This Row],[Status]],Auxiliar!$B$16:$C$24,2,0)</f>
        <v>0</v>
      </c>
      <c r="K1276" s="44" t="s">
        <v>1169</v>
      </c>
      <c r="L1276" s="45" t="s">
        <v>1174</v>
      </c>
      <c r="M1276" s="20" t="s">
        <v>1175</v>
      </c>
      <c r="N1276" s="47">
        <v>45674</v>
      </c>
      <c r="O1276" s="20">
        <f>INDEX(Auxiliar!$D$5:$F$13,MATCH(Table1[[#This Row],[Tipologia_Testes]],Auxiliar!$B$5:$B$13,0),MATCH(Table1[[#This Row],[Complexidade]],Auxiliar!$D$4:$F$4,0))</f>
        <v>2</v>
      </c>
      <c r="P1276" s="42"/>
      <c r="Q1276" s="151"/>
      <c r="R1276" s="151">
        <v>45593</v>
      </c>
      <c r="S1276" s="151"/>
      <c r="T1276" s="151">
        <v>45593</v>
      </c>
      <c r="U1276" s="151">
        <v>45624</v>
      </c>
      <c r="V1276" s="151">
        <v>45624</v>
      </c>
      <c r="W1276" s="2">
        <f>VLOOKUP(Table1[[#This Row],[Status]],Auxiliar!$B$16:$D$24,3,0)*Table1[[#This Row],[Estimação (horas)]]</f>
        <v>0</v>
      </c>
      <c r="X1276" s="165">
        <f>+VLOOKUP(CONCATENATE(Table1[[#This Row],[Tabela]],Table1[[#This Row],[Campo]]),'2. Status Detalhe Campos FY24'!A:J,9,FALSE)</f>
        <v>0</v>
      </c>
      <c r="Y1276" s="491" t="e">
        <f>+VLOOKUP(A1276,#REF!,1,FALSE)</f>
        <v>#REF!</v>
      </c>
    </row>
    <row r="1277" spans="1:25" ht="35.15" hidden="1" customHeight="1">
      <c r="A1277" t="str">
        <f>+Table1[[#This Row],[Tabela]]&amp;Table1[[#This Row],[Campo]]</f>
        <v>lt004_protectionflg_col</v>
      </c>
      <c r="B1277" s="38" t="s">
        <v>26</v>
      </c>
      <c r="C1277" s="38" t="s">
        <v>26</v>
      </c>
      <c r="D1277" s="38" t="s">
        <v>477</v>
      </c>
      <c r="E1277" s="38" t="s">
        <v>479</v>
      </c>
      <c r="F1277" s="38" t="s">
        <v>368</v>
      </c>
      <c r="G1277" s="38" t="s">
        <v>479</v>
      </c>
      <c r="H1277" s="58" t="str">
        <f>Table1[[#This Row],[Tabela]]&amp;Table1[[#This Row],[Campo]]</f>
        <v>lt004_protectionflg_col</v>
      </c>
      <c r="I1277" s="2" t="s">
        <v>611</v>
      </c>
      <c r="J1277" s="44">
        <f>VLOOKUP(Table1[[#This Row],[Status]],Auxiliar!$B$16:$C$24,2,0)</f>
        <v>0</v>
      </c>
      <c r="K1277" s="44" t="s">
        <v>1171</v>
      </c>
      <c r="L1277" s="45" t="s">
        <v>1174</v>
      </c>
      <c r="M1277" s="20" t="s">
        <v>1175</v>
      </c>
      <c r="N1277" s="47">
        <v>45674</v>
      </c>
      <c r="O1277" s="20">
        <f>INDEX(Auxiliar!$D$5:$F$13,MATCH(Table1[[#This Row],[Tipologia_Testes]],Auxiliar!$B$5:$B$13,0),MATCH(Table1[[#This Row],[Complexidade]],Auxiliar!$D$4:$F$4,0))</f>
        <v>0.1</v>
      </c>
      <c r="P1277" s="42"/>
      <c r="Q1277" s="151"/>
      <c r="R1277" s="151">
        <v>45593</v>
      </c>
      <c r="S1277" s="151"/>
      <c r="T1277" s="151">
        <v>45593</v>
      </c>
      <c r="U1277" s="151">
        <v>45624</v>
      </c>
      <c r="V1277" s="151">
        <v>45624</v>
      </c>
      <c r="W1277" s="2">
        <f>VLOOKUP(Table1[[#This Row],[Status]],Auxiliar!$B$16:$D$24,3,0)*Table1[[#This Row],[Estimação (horas)]]</f>
        <v>0</v>
      </c>
      <c r="X1277" s="165">
        <f>+VLOOKUP(CONCATENATE(Table1[[#This Row],[Tabela]],Table1[[#This Row],[Campo]]),'2. Status Detalhe Campos FY24'!A:J,9,FALSE)</f>
        <v>0</v>
      </c>
      <c r="Y1277" s="491" t="e">
        <f>+VLOOKUP(A1277,#REF!,1,FALSE)</f>
        <v>#REF!</v>
      </c>
    </row>
    <row r="1278" spans="1:25" ht="17.899999999999999" hidden="1" customHeight="1">
      <c r="A1278" t="str">
        <f>+Table1[[#This Row],[Tabela]]&amp;Table1[[#This Row],[Campo]]</f>
        <v>lt004_protectionflg_chrnc_physcl_rsk</v>
      </c>
      <c r="B1278" s="40" t="s">
        <v>26</v>
      </c>
      <c r="C1278" s="40" t="s">
        <v>26</v>
      </c>
      <c r="D1278" s="35" t="s">
        <v>311</v>
      </c>
      <c r="E1278" s="39" t="s">
        <v>283</v>
      </c>
      <c r="F1278" s="39" t="s">
        <v>368</v>
      </c>
      <c r="G1278" s="37" t="s">
        <v>358</v>
      </c>
      <c r="H1278" s="59" t="str">
        <f>Table1[[#This Row],[Tabela]]&amp;Table1[[#This Row],[Campo]]</f>
        <v>lt004_protectionflg_chrnc_physcl_rsk</v>
      </c>
      <c r="I1278" s="2" t="s">
        <v>612</v>
      </c>
      <c r="J1278" s="44">
        <f>VLOOKUP(Table1[[#This Row],[Status]],Auxiliar!$B$16:$C$24,2,0)</f>
        <v>1</v>
      </c>
      <c r="K1278" s="44" t="s">
        <v>1168</v>
      </c>
      <c r="L1278" s="45" t="s">
        <v>1174</v>
      </c>
      <c r="M1278" s="20" t="s">
        <v>1175</v>
      </c>
      <c r="N1278" s="47">
        <v>45716</v>
      </c>
      <c r="O1278" s="20">
        <f>INDEX(Auxiliar!$D$5:$F$13,MATCH(Table1[[#This Row],[Tipologia_Testes]],Auxiliar!$B$5:$B$13,0),MATCH(Table1[[#This Row],[Complexidade]],Auxiliar!$D$4:$F$4,0))</f>
        <v>2</v>
      </c>
      <c r="P1278" s="42" t="s">
        <v>1259</v>
      </c>
      <c r="Q1278" s="151"/>
      <c r="R1278" s="151">
        <v>45583</v>
      </c>
      <c r="S1278" s="151"/>
      <c r="T1278" s="151">
        <v>45583</v>
      </c>
      <c r="U1278" s="151">
        <v>45596</v>
      </c>
      <c r="V1278" s="151">
        <v>45596</v>
      </c>
      <c r="W1278" s="2">
        <f>VLOOKUP(Table1[[#This Row],[Status]],Auxiliar!$B$16:$D$24,3,0)*Table1[[#This Row],[Estimação (horas)]]</f>
        <v>2</v>
      </c>
      <c r="X1278" s="165">
        <f>+VLOOKUP(CONCATENATE(Table1[[#This Row],[Tabela]],Table1[[#This Row],[Campo]]),'2. Status Detalhe Campos FY24'!A:J,9,FALSE)</f>
        <v>0</v>
      </c>
      <c r="Y1278" s="491" t="e">
        <f>+VLOOKUP(A1278,#REF!,1,FALSE)</f>
        <v>#REF!</v>
      </c>
    </row>
    <row r="1279" spans="1:25" ht="17.899999999999999" hidden="1" customHeight="1">
      <c r="A1279" t="str">
        <f>+Table1[[#This Row],[Tabela]]&amp;Table1[[#This Row],[Campo]]</f>
        <v>lt004_protectionflg_chrnc_physcl_rsk</v>
      </c>
      <c r="B1279" s="38" t="s">
        <v>26</v>
      </c>
      <c r="C1279" s="38" t="s">
        <v>26</v>
      </c>
      <c r="D1279" s="38" t="s">
        <v>311</v>
      </c>
      <c r="E1279" s="38" t="s">
        <v>283</v>
      </c>
      <c r="F1279" s="38" t="s">
        <v>368</v>
      </c>
      <c r="G1279" s="38" t="s">
        <v>358</v>
      </c>
      <c r="H1279" s="58" t="str">
        <f>Table1[[#This Row],[Tabela]]&amp;Table1[[#This Row],[Campo]]</f>
        <v>lt004_protectionflg_chrnc_physcl_rsk</v>
      </c>
      <c r="I1279" s="2" t="s">
        <v>612</v>
      </c>
      <c r="J1279" s="44">
        <f>VLOOKUP(Table1[[#This Row],[Status]],Auxiliar!$B$16:$C$24,2,0)</f>
        <v>1</v>
      </c>
      <c r="K1279" s="44" t="s">
        <v>1169</v>
      </c>
      <c r="L1279" s="45" t="s">
        <v>1174</v>
      </c>
      <c r="M1279" s="20" t="s">
        <v>1175</v>
      </c>
      <c r="N1279" s="47">
        <v>45716</v>
      </c>
      <c r="O1279" s="20">
        <f>INDEX(Auxiliar!$D$5:$F$13,MATCH(Table1[[#This Row],[Tipologia_Testes]],Auxiliar!$B$5:$B$13,0),MATCH(Table1[[#This Row],[Complexidade]],Auxiliar!$D$4:$F$4,0))</f>
        <v>2</v>
      </c>
      <c r="P1279" s="42" t="s">
        <v>1259</v>
      </c>
      <c r="Q1279" s="151"/>
      <c r="R1279" s="151">
        <v>45583</v>
      </c>
      <c r="S1279" s="151"/>
      <c r="T1279" s="151">
        <v>45583</v>
      </c>
      <c r="U1279" s="151">
        <v>45596</v>
      </c>
      <c r="V1279" s="151">
        <v>45596</v>
      </c>
      <c r="W1279" s="2">
        <f>VLOOKUP(Table1[[#This Row],[Status]],Auxiliar!$B$16:$D$24,3,0)*Table1[[#This Row],[Estimação (horas)]]</f>
        <v>2</v>
      </c>
      <c r="X1279" s="165">
        <f>+VLOOKUP(CONCATENATE(Table1[[#This Row],[Tabela]],Table1[[#This Row],[Campo]]),'2. Status Detalhe Campos FY24'!A:J,9,FALSE)</f>
        <v>0</v>
      </c>
      <c r="Y1279" s="491" t="e">
        <f>+VLOOKUP(A1279,#REF!,1,FALSE)</f>
        <v>#REF!</v>
      </c>
    </row>
    <row r="1280" spans="1:25" ht="35.15" hidden="1" customHeight="1">
      <c r="A1280" t="str">
        <f>+Table1[[#This Row],[Tabela]]&amp;Table1[[#This Row],[Campo]]</f>
        <v>lt004_protectionflg_chrnc_physcl_rsk</v>
      </c>
      <c r="B1280" s="38" t="s">
        <v>26</v>
      </c>
      <c r="C1280" s="38" t="s">
        <v>26</v>
      </c>
      <c r="D1280" s="38" t="s">
        <v>311</v>
      </c>
      <c r="E1280" s="38" t="s">
        <v>283</v>
      </c>
      <c r="F1280" s="38" t="s">
        <v>368</v>
      </c>
      <c r="G1280" s="38" t="s">
        <v>358</v>
      </c>
      <c r="H1280" s="58" t="str">
        <f>Table1[[#This Row],[Tabela]]&amp;Table1[[#This Row],[Campo]]</f>
        <v>lt004_protectionflg_chrnc_physcl_rsk</v>
      </c>
      <c r="I1280" s="2" t="s">
        <v>612</v>
      </c>
      <c r="J1280" s="44">
        <f>VLOOKUP(Table1[[#This Row],[Status]],Auxiliar!$B$16:$C$24,2,0)</f>
        <v>1</v>
      </c>
      <c r="K1280" s="44" t="s">
        <v>1171</v>
      </c>
      <c r="L1280" s="45" t="s">
        <v>1174</v>
      </c>
      <c r="M1280" s="20" t="s">
        <v>1175</v>
      </c>
      <c r="N1280" s="47">
        <v>45716</v>
      </c>
      <c r="O1280" s="20">
        <f>INDEX(Auxiliar!$D$5:$F$13,MATCH(Table1[[#This Row],[Tipologia_Testes]],Auxiliar!$B$5:$B$13,0),MATCH(Table1[[#This Row],[Complexidade]],Auxiliar!$D$4:$F$4,0))</f>
        <v>0.1</v>
      </c>
      <c r="P1280" s="42" t="s">
        <v>1259</v>
      </c>
      <c r="Q1280" s="151"/>
      <c r="R1280" s="151">
        <v>45583</v>
      </c>
      <c r="S1280" s="151"/>
      <c r="T1280" s="151">
        <v>45583</v>
      </c>
      <c r="U1280" s="151">
        <v>45596</v>
      </c>
      <c r="V1280" s="151">
        <v>45596</v>
      </c>
      <c r="W1280" s="2">
        <f>VLOOKUP(Table1[[#This Row],[Status]],Auxiliar!$B$16:$D$24,3,0)*Table1[[#This Row],[Estimação (horas)]]</f>
        <v>0.1</v>
      </c>
      <c r="X1280" s="165">
        <f>+VLOOKUP(CONCATENATE(Table1[[#This Row],[Tabela]],Table1[[#This Row],[Campo]]),'2. Status Detalhe Campos FY24'!A:J,9,FALSE)</f>
        <v>0</v>
      </c>
      <c r="Y1280" s="491" t="e">
        <f>+VLOOKUP(A1280,#REF!,1,FALSE)</f>
        <v>#REF!</v>
      </c>
    </row>
    <row r="1281" spans="1:25" ht="17.899999999999999" hidden="1" customHeight="1">
      <c r="A1281" t="str">
        <f>+Table1[[#This Row],[Tabela]]&amp;Table1[[#This Row],[Campo]]</f>
        <v>lt004_protectionflg_act_physcl_rsk</v>
      </c>
      <c r="B1281" s="40" t="s">
        <v>26</v>
      </c>
      <c r="C1281" s="40" t="s">
        <v>26</v>
      </c>
      <c r="D1281" s="35" t="s">
        <v>311</v>
      </c>
      <c r="E1281" s="39" t="s">
        <v>282</v>
      </c>
      <c r="F1281" s="39" t="s">
        <v>368</v>
      </c>
      <c r="G1281" s="37" t="s">
        <v>357</v>
      </c>
      <c r="H1281" s="59" t="str">
        <f>Table1[[#This Row],[Tabela]]&amp;Table1[[#This Row],[Campo]]</f>
        <v>lt004_protectionflg_act_physcl_rsk</v>
      </c>
      <c r="I1281" s="2" t="s">
        <v>612</v>
      </c>
      <c r="J1281" s="44">
        <f>VLOOKUP(Table1[[#This Row],[Status]],Auxiliar!$B$16:$C$24,2,0)</f>
        <v>1</v>
      </c>
      <c r="K1281" s="44" t="s">
        <v>1168</v>
      </c>
      <c r="L1281" s="45" t="s">
        <v>1174</v>
      </c>
      <c r="M1281" s="20" t="s">
        <v>1175</v>
      </c>
      <c r="N1281" s="47">
        <v>45716</v>
      </c>
      <c r="O1281" s="20">
        <f>INDEX(Auxiliar!$D$5:$F$13,MATCH(Table1[[#This Row],[Tipologia_Testes]],Auxiliar!$B$5:$B$13,0),MATCH(Table1[[#This Row],[Complexidade]],Auxiliar!$D$4:$F$4,0))</f>
        <v>2</v>
      </c>
      <c r="P1281" s="42" t="s">
        <v>1259</v>
      </c>
      <c r="Q1281" s="151"/>
      <c r="R1281" s="151">
        <v>45583</v>
      </c>
      <c r="S1281" s="151"/>
      <c r="T1281" s="151">
        <v>45583</v>
      </c>
      <c r="U1281" s="151">
        <v>45596</v>
      </c>
      <c r="V1281" s="151">
        <v>45596</v>
      </c>
      <c r="W1281" s="2">
        <f>VLOOKUP(Table1[[#This Row],[Status]],Auxiliar!$B$16:$D$24,3,0)*Table1[[#This Row],[Estimação (horas)]]</f>
        <v>2</v>
      </c>
      <c r="X1281" s="165">
        <f>+VLOOKUP(CONCATENATE(Table1[[#This Row],[Tabela]],Table1[[#This Row],[Campo]]),'2. Status Detalhe Campos FY24'!A:J,9,FALSE)</f>
        <v>0</v>
      </c>
      <c r="Y1281" s="491" t="e">
        <f>+VLOOKUP(A1281,#REF!,1,FALSE)</f>
        <v>#REF!</v>
      </c>
    </row>
    <row r="1282" spans="1:25" ht="17.899999999999999" hidden="1" customHeight="1">
      <c r="A1282" t="str">
        <f>+Table1[[#This Row],[Tabela]]&amp;Table1[[#This Row],[Campo]]</f>
        <v>lt004_protectionflg_act_physcl_rsk</v>
      </c>
      <c r="B1282" s="38" t="s">
        <v>26</v>
      </c>
      <c r="C1282" s="38" t="s">
        <v>26</v>
      </c>
      <c r="D1282" s="38" t="s">
        <v>311</v>
      </c>
      <c r="E1282" s="38" t="s">
        <v>282</v>
      </c>
      <c r="F1282" s="38" t="s">
        <v>368</v>
      </c>
      <c r="G1282" s="38" t="s">
        <v>357</v>
      </c>
      <c r="H1282" s="58" t="str">
        <f>Table1[[#This Row],[Tabela]]&amp;Table1[[#This Row],[Campo]]</f>
        <v>lt004_protectionflg_act_physcl_rsk</v>
      </c>
      <c r="I1282" s="2" t="s">
        <v>612</v>
      </c>
      <c r="J1282" s="44">
        <f>VLOOKUP(Table1[[#This Row],[Status]],Auxiliar!$B$16:$C$24,2,0)</f>
        <v>1</v>
      </c>
      <c r="K1282" s="44" t="s">
        <v>1169</v>
      </c>
      <c r="L1282" s="45" t="s">
        <v>1174</v>
      </c>
      <c r="M1282" s="20" t="s">
        <v>1175</v>
      </c>
      <c r="N1282" s="47">
        <v>45716</v>
      </c>
      <c r="O1282" s="20">
        <f>INDEX(Auxiliar!$D$5:$F$13,MATCH(Table1[[#This Row],[Tipologia_Testes]],Auxiliar!$B$5:$B$13,0),MATCH(Table1[[#This Row],[Complexidade]],Auxiliar!$D$4:$F$4,0))</f>
        <v>2</v>
      </c>
      <c r="P1282" s="42" t="s">
        <v>1259</v>
      </c>
      <c r="Q1282" s="151"/>
      <c r="R1282" s="151">
        <v>45583</v>
      </c>
      <c r="S1282" s="151"/>
      <c r="T1282" s="151">
        <v>45583</v>
      </c>
      <c r="U1282" s="151">
        <v>45596</v>
      </c>
      <c r="V1282" s="151">
        <v>45596</v>
      </c>
      <c r="W1282" s="2">
        <f>VLOOKUP(Table1[[#This Row],[Status]],Auxiliar!$B$16:$D$24,3,0)*Table1[[#This Row],[Estimação (horas)]]</f>
        <v>2</v>
      </c>
      <c r="X1282" s="165">
        <f>+VLOOKUP(CONCATENATE(Table1[[#This Row],[Tabela]],Table1[[#This Row],[Campo]]),'2. Status Detalhe Campos FY24'!A:J,9,FALSE)</f>
        <v>0</v>
      </c>
      <c r="Y1282" s="491" t="e">
        <f>+VLOOKUP(A1282,#REF!,1,FALSE)</f>
        <v>#REF!</v>
      </c>
    </row>
    <row r="1283" spans="1:25" ht="35.15" hidden="1" customHeight="1">
      <c r="A1283" t="str">
        <f>+Table1[[#This Row],[Tabela]]&amp;Table1[[#This Row],[Campo]]</f>
        <v>lt004_protectionflg_act_physcl_rsk</v>
      </c>
      <c r="B1283" s="38" t="s">
        <v>26</v>
      </c>
      <c r="C1283" s="38" t="s">
        <v>26</v>
      </c>
      <c r="D1283" s="38" t="s">
        <v>311</v>
      </c>
      <c r="E1283" s="38" t="s">
        <v>282</v>
      </c>
      <c r="F1283" s="38" t="s">
        <v>368</v>
      </c>
      <c r="G1283" s="38" t="s">
        <v>357</v>
      </c>
      <c r="H1283" s="58" t="str">
        <f>Table1[[#This Row],[Tabela]]&amp;Table1[[#This Row],[Campo]]</f>
        <v>lt004_protectionflg_act_physcl_rsk</v>
      </c>
      <c r="I1283" s="2" t="s">
        <v>612</v>
      </c>
      <c r="J1283" s="44">
        <f>VLOOKUP(Table1[[#This Row],[Status]],Auxiliar!$B$16:$C$24,2,0)</f>
        <v>1</v>
      </c>
      <c r="K1283" s="44" t="s">
        <v>1171</v>
      </c>
      <c r="L1283" s="45" t="s">
        <v>1174</v>
      </c>
      <c r="M1283" s="20" t="s">
        <v>1175</v>
      </c>
      <c r="N1283" s="47">
        <v>45716</v>
      </c>
      <c r="O1283" s="20">
        <f>INDEX(Auxiliar!$D$5:$F$13,MATCH(Table1[[#This Row],[Tipologia_Testes]],Auxiliar!$B$5:$B$13,0),MATCH(Table1[[#This Row],[Complexidade]],Auxiliar!$D$4:$F$4,0))</f>
        <v>0.1</v>
      </c>
      <c r="P1283" s="42" t="s">
        <v>1259</v>
      </c>
      <c r="Q1283" s="151"/>
      <c r="R1283" s="151">
        <v>45583</v>
      </c>
      <c r="S1283" s="151"/>
      <c r="T1283" s="151">
        <v>45583</v>
      </c>
      <c r="U1283" s="151">
        <v>45596</v>
      </c>
      <c r="V1283" s="151">
        <v>45596</v>
      </c>
      <c r="W1283" s="2">
        <f>VLOOKUP(Table1[[#This Row],[Status]],Auxiliar!$B$16:$D$24,3,0)*Table1[[#This Row],[Estimação (horas)]]</f>
        <v>0.1</v>
      </c>
      <c r="X1283" s="165">
        <f>+VLOOKUP(CONCATENATE(Table1[[#This Row],[Tabela]],Table1[[#This Row],[Campo]]),'2. Status Detalhe Campos FY24'!A:J,9,FALSE)</f>
        <v>0</v>
      </c>
      <c r="Y1283" s="491" t="e">
        <f>+VLOOKUP(A1283,#REF!,1,FALSE)</f>
        <v>#REF!</v>
      </c>
    </row>
    <row r="1284" spans="1:25" ht="17.899999999999999" hidden="1" customHeight="1">
      <c r="A1284" t="str">
        <f>+Table1[[#This Row],[Tabela]]&amp;Table1[[#This Row],[Campo]]</f>
        <v>lt004_protectionepc_lbl</v>
      </c>
      <c r="B1284" s="40" t="s">
        <v>26</v>
      </c>
      <c r="C1284" s="40" t="s">
        <v>26</v>
      </c>
      <c r="D1284" s="36" t="s">
        <v>1270</v>
      </c>
      <c r="E1284" s="41" t="s">
        <v>1252</v>
      </c>
      <c r="F1284" s="39" t="s">
        <v>368</v>
      </c>
      <c r="G1284" s="37" t="s">
        <v>372</v>
      </c>
      <c r="H1284" s="59" t="str">
        <f>Table1[[#This Row],[Tabela]]&amp;Table1[[#This Row],[Campo]]</f>
        <v>lt004_protectionepc_lbl</v>
      </c>
      <c r="I1284" s="2" t="s">
        <v>612</v>
      </c>
      <c r="J1284" s="44">
        <f>VLOOKUP(Table1[[#This Row],[Status]],Auxiliar!$B$16:$C$24,2,0)</f>
        <v>1</v>
      </c>
      <c r="K1284" s="44" t="s">
        <v>1168</v>
      </c>
      <c r="L1284" s="45" t="s">
        <v>1174</v>
      </c>
      <c r="M1284" s="20" t="s">
        <v>1175</v>
      </c>
      <c r="N1284" s="47">
        <v>45667</v>
      </c>
      <c r="O1284" s="20">
        <f>INDEX(Auxiliar!$D$5:$F$13,MATCH(Table1[[#This Row],[Tipologia_Testes]],Auxiliar!$B$5:$B$13,0),MATCH(Table1[[#This Row],[Complexidade]],Auxiliar!$D$4:$F$4,0))</f>
        <v>2</v>
      </c>
      <c r="P1284" s="42" t="s">
        <v>1271</v>
      </c>
      <c r="Q1284" s="42"/>
      <c r="R1284" s="151">
        <v>45583</v>
      </c>
      <c r="S1284" s="151"/>
      <c r="T1284" s="151">
        <v>45583</v>
      </c>
      <c r="U1284" s="151">
        <v>45596</v>
      </c>
      <c r="V1284" s="151">
        <v>45596</v>
      </c>
      <c r="W1284" s="2">
        <f>VLOOKUP(Table1[[#This Row],[Status]],Auxiliar!$B$16:$D$24,3,0)*Table1[[#This Row],[Estimação (horas)]]</f>
        <v>2</v>
      </c>
      <c r="X1284" s="165">
        <f>+VLOOKUP(CONCATENATE(Table1[[#This Row],[Tabela]],Table1[[#This Row],[Campo]]),'2. Status Detalhe Campos FY24'!A:J,9,FALSE)</f>
        <v>0</v>
      </c>
      <c r="Y1284" s="491" t="e">
        <f>+VLOOKUP(A1284,#REF!,1,FALSE)</f>
        <v>#REF!</v>
      </c>
    </row>
    <row r="1285" spans="1:25" ht="17.899999999999999" hidden="1" customHeight="1">
      <c r="A1285" t="str">
        <f>+Table1[[#This Row],[Tabela]]&amp;Table1[[#This Row],[Campo]]</f>
        <v>lt004_protectionepc_lbl</v>
      </c>
      <c r="B1285" s="38" t="s">
        <v>26</v>
      </c>
      <c r="C1285" s="38" t="s">
        <v>26</v>
      </c>
      <c r="D1285" s="38" t="s">
        <v>1270</v>
      </c>
      <c r="E1285" s="38" t="s">
        <v>1252</v>
      </c>
      <c r="F1285" s="38" t="s">
        <v>368</v>
      </c>
      <c r="G1285" s="38" t="s">
        <v>372</v>
      </c>
      <c r="H1285" s="58" t="str">
        <f>Table1[[#This Row],[Tabela]]&amp;Table1[[#This Row],[Campo]]</f>
        <v>lt004_protectionepc_lbl</v>
      </c>
      <c r="I1285" s="2" t="s">
        <v>612</v>
      </c>
      <c r="J1285" s="44">
        <f>VLOOKUP(Table1[[#This Row],[Status]],Auxiliar!$B$16:$C$24,2,0)</f>
        <v>1</v>
      </c>
      <c r="K1285" s="44" t="s">
        <v>1169</v>
      </c>
      <c r="L1285" s="45" t="s">
        <v>1174</v>
      </c>
      <c r="M1285" s="20" t="s">
        <v>1175</v>
      </c>
      <c r="N1285" s="47">
        <v>45667</v>
      </c>
      <c r="O1285" s="20">
        <f>INDEX(Auxiliar!$D$5:$F$13,MATCH(Table1[[#This Row],[Tipologia_Testes]],Auxiliar!$B$5:$B$13,0),MATCH(Table1[[#This Row],[Complexidade]],Auxiliar!$D$4:$F$4,0))</f>
        <v>2</v>
      </c>
      <c r="P1285" s="42" t="s">
        <v>1271</v>
      </c>
      <c r="Q1285" s="42"/>
      <c r="R1285" s="151">
        <v>45583</v>
      </c>
      <c r="S1285" s="151"/>
      <c r="T1285" s="151">
        <v>45583</v>
      </c>
      <c r="U1285" s="151">
        <v>45596</v>
      </c>
      <c r="V1285" s="151">
        <v>45596</v>
      </c>
      <c r="W1285" s="2">
        <f>VLOOKUP(Table1[[#This Row],[Status]],Auxiliar!$B$16:$D$24,3,0)*Table1[[#This Row],[Estimação (horas)]]</f>
        <v>2</v>
      </c>
      <c r="X1285" s="165">
        <f>+VLOOKUP(CONCATENATE(Table1[[#This Row],[Tabela]],Table1[[#This Row],[Campo]]),'2. Status Detalhe Campos FY24'!A:J,9,FALSE)</f>
        <v>0</v>
      </c>
      <c r="Y1285" s="491" t="e">
        <f>+VLOOKUP(A1285,#REF!,1,FALSE)</f>
        <v>#REF!</v>
      </c>
    </row>
    <row r="1286" spans="1:25" ht="35.15" hidden="1" customHeight="1">
      <c r="A1286" t="str">
        <f>+Table1[[#This Row],[Tabela]]&amp;Table1[[#This Row],[Campo]]</f>
        <v>lt004_protectionepc_lbl</v>
      </c>
      <c r="B1286" s="38" t="s">
        <v>26</v>
      </c>
      <c r="C1286" s="38" t="s">
        <v>26</v>
      </c>
      <c r="D1286" s="38" t="s">
        <v>1270</v>
      </c>
      <c r="E1286" s="38" t="s">
        <v>1252</v>
      </c>
      <c r="F1286" s="38" t="s">
        <v>368</v>
      </c>
      <c r="G1286" s="38" t="s">
        <v>372</v>
      </c>
      <c r="H1286" s="58" t="str">
        <f>Table1[[#This Row],[Tabela]]&amp;Table1[[#This Row],[Campo]]</f>
        <v>lt004_protectionepc_lbl</v>
      </c>
      <c r="I1286" s="2" t="s">
        <v>612</v>
      </c>
      <c r="J1286" s="44">
        <f>VLOOKUP(Table1[[#This Row],[Status]],Auxiliar!$B$16:$C$24,2,0)</f>
        <v>1</v>
      </c>
      <c r="K1286" s="44" t="s">
        <v>1171</v>
      </c>
      <c r="L1286" s="45" t="s">
        <v>1174</v>
      </c>
      <c r="M1286" s="20" t="s">
        <v>1175</v>
      </c>
      <c r="N1286" s="47">
        <v>45667</v>
      </c>
      <c r="O1286" s="20">
        <f>INDEX(Auxiliar!$D$5:$F$13,MATCH(Table1[[#This Row],[Tipologia_Testes]],Auxiliar!$B$5:$B$13,0),MATCH(Table1[[#This Row],[Complexidade]],Auxiliar!$D$4:$F$4,0))</f>
        <v>0.1</v>
      </c>
      <c r="P1286" s="42" t="s">
        <v>1271</v>
      </c>
      <c r="Q1286" s="42"/>
      <c r="R1286" s="151">
        <v>45583</v>
      </c>
      <c r="S1286" s="151"/>
      <c r="T1286" s="151">
        <v>45583</v>
      </c>
      <c r="U1286" s="151">
        <v>45596</v>
      </c>
      <c r="V1286" s="151">
        <v>45596</v>
      </c>
      <c r="W1286" s="2">
        <f>VLOOKUP(Table1[[#This Row],[Status]],Auxiliar!$B$16:$D$24,3,0)*Table1[[#This Row],[Estimação (horas)]]</f>
        <v>0.1</v>
      </c>
      <c r="X1286" s="165">
        <f>+VLOOKUP(CONCATENATE(Table1[[#This Row],[Tabela]],Table1[[#This Row],[Campo]]),'2. Status Detalhe Campos FY24'!A:J,9,FALSE)</f>
        <v>0</v>
      </c>
      <c r="Y1286" s="491" t="e">
        <f>+VLOOKUP(A1286,#REF!,1,FALSE)</f>
        <v>#REF!</v>
      </c>
    </row>
    <row r="1287" spans="1:25" ht="17.899999999999999" hidden="1" customHeight="1">
      <c r="A1287" t="str">
        <f>+Table1[[#This Row],[Tabela]]&amp;Table1[[#This Row],[Campo]]</f>
        <v>lt004_protectionep_scr</v>
      </c>
      <c r="B1287" s="40" t="s">
        <v>26</v>
      </c>
      <c r="C1287" s="40" t="s">
        <v>26</v>
      </c>
      <c r="D1287" s="36" t="s">
        <v>1270</v>
      </c>
      <c r="E1287" s="41" t="s">
        <v>1252</v>
      </c>
      <c r="F1287" s="39" t="s">
        <v>368</v>
      </c>
      <c r="G1287" s="37" t="s">
        <v>370</v>
      </c>
      <c r="H1287" s="59" t="str">
        <f>Table1[[#This Row],[Tabela]]&amp;Table1[[#This Row],[Campo]]</f>
        <v>lt004_protectionep_scr</v>
      </c>
      <c r="I1287" s="2" t="s">
        <v>612</v>
      </c>
      <c r="J1287" s="44">
        <f>VLOOKUP(Table1[[#This Row],[Status]],Auxiliar!$B$16:$C$24,2,0)</f>
        <v>1</v>
      </c>
      <c r="K1287" s="44" t="s">
        <v>1168</v>
      </c>
      <c r="L1287" s="45" t="s">
        <v>1174</v>
      </c>
      <c r="M1287" s="20" t="s">
        <v>1175</v>
      </c>
      <c r="N1287" s="47">
        <v>45723</v>
      </c>
      <c r="O1287" s="20">
        <f>INDEX(Auxiliar!$D$5:$F$13,MATCH(Table1[[#This Row],[Tipologia_Testes]],Auxiliar!$B$5:$B$13,0),MATCH(Table1[[#This Row],[Complexidade]],Auxiliar!$D$4:$F$4,0))</f>
        <v>2</v>
      </c>
      <c r="P1287" s="42" t="s">
        <v>1271</v>
      </c>
      <c r="Q1287" s="151"/>
      <c r="R1287" s="151">
        <v>45583</v>
      </c>
      <c r="S1287" s="151"/>
      <c r="T1287" s="151">
        <v>45583</v>
      </c>
      <c r="U1287" s="151">
        <v>45596</v>
      </c>
      <c r="V1287" s="151">
        <v>45596</v>
      </c>
      <c r="W1287" s="2">
        <f>VLOOKUP(Table1[[#This Row],[Status]],Auxiliar!$B$16:$D$24,3,0)*Table1[[#This Row],[Estimação (horas)]]</f>
        <v>2</v>
      </c>
      <c r="X1287" s="165">
        <f>+VLOOKUP(CONCATENATE(Table1[[#This Row],[Tabela]],Table1[[#This Row],[Campo]]),'2. Status Detalhe Campos FY24'!A:J,9,FALSE)</f>
        <v>0</v>
      </c>
      <c r="Y1287" s="491" t="e">
        <f>+VLOOKUP(A1287,#REF!,1,FALSE)</f>
        <v>#REF!</v>
      </c>
    </row>
    <row r="1288" spans="1:25" ht="17.899999999999999" hidden="1" customHeight="1">
      <c r="A1288" t="str">
        <f>+Table1[[#This Row],[Tabela]]&amp;Table1[[#This Row],[Campo]]</f>
        <v>lt004_protectionep_scr</v>
      </c>
      <c r="B1288" s="38" t="s">
        <v>26</v>
      </c>
      <c r="C1288" s="38" t="s">
        <v>26</v>
      </c>
      <c r="D1288" s="38" t="s">
        <v>1270</v>
      </c>
      <c r="E1288" s="38" t="s">
        <v>1252</v>
      </c>
      <c r="F1288" s="38" t="s">
        <v>368</v>
      </c>
      <c r="G1288" s="38" t="s">
        <v>370</v>
      </c>
      <c r="H1288" s="58" t="str">
        <f>Table1[[#This Row],[Tabela]]&amp;Table1[[#This Row],[Campo]]</f>
        <v>lt004_protectionep_scr</v>
      </c>
      <c r="I1288" s="2" t="s">
        <v>612</v>
      </c>
      <c r="J1288" s="44">
        <f>VLOOKUP(Table1[[#This Row],[Status]],Auxiliar!$B$16:$C$24,2,0)</f>
        <v>1</v>
      </c>
      <c r="K1288" s="44" t="s">
        <v>1169</v>
      </c>
      <c r="L1288" s="45" t="s">
        <v>1174</v>
      </c>
      <c r="M1288" s="20" t="s">
        <v>1175</v>
      </c>
      <c r="N1288" s="47">
        <v>45723</v>
      </c>
      <c r="O1288" s="20">
        <f>INDEX(Auxiliar!$D$5:$F$13,MATCH(Table1[[#This Row],[Tipologia_Testes]],Auxiliar!$B$5:$B$13,0),MATCH(Table1[[#This Row],[Complexidade]],Auxiliar!$D$4:$F$4,0))</f>
        <v>2</v>
      </c>
      <c r="P1288" s="42" t="s">
        <v>1271</v>
      </c>
      <c r="Q1288" s="151"/>
      <c r="R1288" s="151">
        <v>45583</v>
      </c>
      <c r="S1288" s="151"/>
      <c r="T1288" s="151">
        <v>45583</v>
      </c>
      <c r="U1288" s="151">
        <v>45596</v>
      </c>
      <c r="V1288" s="151">
        <v>45596</v>
      </c>
      <c r="W1288" s="2">
        <f>VLOOKUP(Table1[[#This Row],[Status]],Auxiliar!$B$16:$D$24,3,0)*Table1[[#This Row],[Estimação (horas)]]</f>
        <v>2</v>
      </c>
      <c r="X1288" s="165">
        <f>+VLOOKUP(CONCATENATE(Table1[[#This Row],[Tabela]],Table1[[#This Row],[Campo]]),'2. Status Detalhe Campos FY24'!A:J,9,FALSE)</f>
        <v>0</v>
      </c>
      <c r="Y1288" s="491" t="e">
        <f>+VLOOKUP(A1288,#REF!,1,FALSE)</f>
        <v>#REF!</v>
      </c>
    </row>
    <row r="1289" spans="1:25" ht="35.15" hidden="1" customHeight="1">
      <c r="A1289" t="str">
        <f>+Table1[[#This Row],[Tabela]]&amp;Table1[[#This Row],[Campo]]</f>
        <v>lt004_protectionep_scr</v>
      </c>
      <c r="B1289" s="38" t="s">
        <v>26</v>
      </c>
      <c r="C1289" s="38" t="s">
        <v>26</v>
      </c>
      <c r="D1289" s="38" t="s">
        <v>1270</v>
      </c>
      <c r="E1289" s="38" t="s">
        <v>1252</v>
      </c>
      <c r="F1289" s="38" t="s">
        <v>368</v>
      </c>
      <c r="G1289" s="38" t="s">
        <v>370</v>
      </c>
      <c r="H1289" s="58" t="str">
        <f>Table1[[#This Row],[Tabela]]&amp;Table1[[#This Row],[Campo]]</f>
        <v>lt004_protectionep_scr</v>
      </c>
      <c r="I1289" s="2" t="s">
        <v>612</v>
      </c>
      <c r="J1289" s="44">
        <f>VLOOKUP(Table1[[#This Row],[Status]],Auxiliar!$B$16:$C$24,2,0)</f>
        <v>1</v>
      </c>
      <c r="K1289" s="44" t="s">
        <v>1171</v>
      </c>
      <c r="L1289" s="45" t="s">
        <v>1174</v>
      </c>
      <c r="M1289" s="20" t="s">
        <v>1175</v>
      </c>
      <c r="N1289" s="47">
        <v>45723</v>
      </c>
      <c r="O1289" s="20">
        <f>INDEX(Auxiliar!$D$5:$F$13,MATCH(Table1[[#This Row],[Tipologia_Testes]],Auxiliar!$B$5:$B$13,0),MATCH(Table1[[#This Row],[Complexidade]],Auxiliar!$D$4:$F$4,0))</f>
        <v>0.1</v>
      </c>
      <c r="P1289" s="42" t="s">
        <v>1271</v>
      </c>
      <c r="Q1289" s="151"/>
      <c r="R1289" s="151">
        <v>45583</v>
      </c>
      <c r="S1289" s="151"/>
      <c r="T1289" s="151">
        <v>45583</v>
      </c>
      <c r="U1289" s="151">
        <v>45596</v>
      </c>
      <c r="V1289" s="151">
        <v>45596</v>
      </c>
      <c r="W1289" s="2">
        <f>VLOOKUP(Table1[[#This Row],[Status]],Auxiliar!$B$16:$D$24,3,0)*Table1[[#This Row],[Estimação (horas)]]</f>
        <v>0.1</v>
      </c>
      <c r="X1289" s="165">
        <f>+VLOOKUP(CONCATENATE(Table1[[#This Row],[Tabela]],Table1[[#This Row],[Campo]]),'2. Status Detalhe Campos FY24'!A:J,9,FALSE)</f>
        <v>0</v>
      </c>
      <c r="Y1289" s="491" t="e">
        <f>+VLOOKUP(A1289,#REF!,1,FALSE)</f>
        <v>#REF!</v>
      </c>
    </row>
    <row r="1290" spans="1:25" ht="17.899999999999999" hidden="1" customHeight="1">
      <c r="A1290" t="str">
        <f>+Table1[[#This Row],[Tabela]]&amp;Table1[[#This Row],[Campo]]</f>
        <v>lt004_protectionemssns_scp3_prtctn</v>
      </c>
      <c r="B1290" s="40" t="s">
        <v>26</v>
      </c>
      <c r="C1290" s="40" t="s">
        <v>26</v>
      </c>
      <c r="D1290" s="35" t="s">
        <v>1272</v>
      </c>
      <c r="E1290" s="39" t="s">
        <v>1275</v>
      </c>
      <c r="F1290" s="39" t="s">
        <v>368</v>
      </c>
      <c r="G1290" s="37" t="s">
        <v>375</v>
      </c>
      <c r="H1290" s="59" t="str">
        <f>Table1[[#This Row],[Tabela]]&amp;Table1[[#This Row],[Campo]]</f>
        <v>lt004_protectionemssns_scp3_prtctn</v>
      </c>
      <c r="I1290" s="2" t="s">
        <v>612</v>
      </c>
      <c r="J1290" s="44">
        <f>VLOOKUP(Table1[[#This Row],[Status]],Auxiliar!$B$16:$C$24,2,0)</f>
        <v>1</v>
      </c>
      <c r="K1290" s="44" t="s">
        <v>1168</v>
      </c>
      <c r="L1290" s="45" t="s">
        <v>1174</v>
      </c>
      <c r="M1290" s="20" t="s">
        <v>1175</v>
      </c>
      <c r="N1290" s="47">
        <v>45667</v>
      </c>
      <c r="O1290" s="20">
        <f>INDEX(Auxiliar!$D$5:$F$13,MATCH(Table1[[#This Row],[Tipologia_Testes]],Auxiliar!$B$5:$B$13,0),MATCH(Table1[[#This Row],[Complexidade]],Auxiliar!$D$4:$F$4,0))</f>
        <v>2</v>
      </c>
      <c r="P1290" s="42" t="s">
        <v>1259</v>
      </c>
      <c r="Q1290" s="151"/>
      <c r="R1290" s="151">
        <v>45622</v>
      </c>
      <c r="S1290" s="151"/>
      <c r="T1290" s="151"/>
      <c r="U1290" s="151">
        <v>45631</v>
      </c>
      <c r="V1290" s="151">
        <v>45631</v>
      </c>
      <c r="W1290" s="2">
        <f>VLOOKUP(Table1[[#This Row],[Status]],Auxiliar!$B$16:$D$24,3,0)*Table1[[#This Row],[Estimação (horas)]]</f>
        <v>2</v>
      </c>
      <c r="X1290" s="165">
        <f>+VLOOKUP(CONCATENATE(Table1[[#This Row],[Tabela]],Table1[[#This Row],[Campo]]),'2. Status Detalhe Campos FY24'!A:J,9,FALSE)</f>
        <v>0</v>
      </c>
      <c r="Y1290" s="491" t="e">
        <f>+VLOOKUP(A1290,#REF!,1,FALSE)</f>
        <v>#REF!</v>
      </c>
    </row>
    <row r="1291" spans="1:25" ht="17.899999999999999" hidden="1" customHeight="1">
      <c r="A1291" t="str">
        <f>+Table1[[#This Row],[Tabela]]&amp;Table1[[#This Row],[Campo]]</f>
        <v>lt004_protectionemssns_scp3_prtctn</v>
      </c>
      <c r="B1291" s="38" t="s">
        <v>26</v>
      </c>
      <c r="C1291" s="38" t="s">
        <v>26</v>
      </c>
      <c r="D1291" s="38" t="s">
        <v>1272</v>
      </c>
      <c r="E1291" s="38" t="s">
        <v>1275</v>
      </c>
      <c r="F1291" s="38" t="s">
        <v>368</v>
      </c>
      <c r="G1291" s="38" t="s">
        <v>375</v>
      </c>
      <c r="H1291" s="58" t="str">
        <f>Table1[[#This Row],[Tabela]]&amp;Table1[[#This Row],[Campo]]</f>
        <v>lt004_protectionemssns_scp3_prtctn</v>
      </c>
      <c r="I1291" s="2" t="s">
        <v>612</v>
      </c>
      <c r="J1291" s="44">
        <f>VLOOKUP(Table1[[#This Row],[Status]],Auxiliar!$B$16:$C$24,2,0)</f>
        <v>1</v>
      </c>
      <c r="K1291" s="44" t="s">
        <v>1169</v>
      </c>
      <c r="L1291" s="45" t="s">
        <v>1174</v>
      </c>
      <c r="M1291" s="20" t="s">
        <v>1175</v>
      </c>
      <c r="N1291" s="47">
        <v>45667</v>
      </c>
      <c r="O1291" s="20">
        <f>INDEX(Auxiliar!$D$5:$F$13,MATCH(Table1[[#This Row],[Tipologia_Testes]],Auxiliar!$B$5:$B$13,0),MATCH(Table1[[#This Row],[Complexidade]],Auxiliar!$D$4:$F$4,0))</f>
        <v>2</v>
      </c>
      <c r="P1291" s="42" t="s">
        <v>1259</v>
      </c>
      <c r="Q1291" s="151"/>
      <c r="R1291" s="151">
        <v>45622</v>
      </c>
      <c r="S1291" s="151"/>
      <c r="T1291" s="151"/>
      <c r="U1291" s="151">
        <v>45631</v>
      </c>
      <c r="V1291" s="151">
        <v>45631</v>
      </c>
      <c r="W1291" s="2">
        <f>VLOOKUP(Table1[[#This Row],[Status]],Auxiliar!$B$16:$D$24,3,0)*Table1[[#This Row],[Estimação (horas)]]</f>
        <v>2</v>
      </c>
      <c r="X1291" s="165">
        <f>+VLOOKUP(CONCATENATE(Table1[[#This Row],[Tabela]],Table1[[#This Row],[Campo]]),'2. Status Detalhe Campos FY24'!A:J,9,FALSE)</f>
        <v>0</v>
      </c>
      <c r="Y1291" s="491" t="e">
        <f>+VLOOKUP(A1291,#REF!,1,FALSE)</f>
        <v>#REF!</v>
      </c>
    </row>
    <row r="1292" spans="1:25" ht="17.899999999999999" hidden="1" customHeight="1">
      <c r="A1292" t="str">
        <f>+Table1[[#This Row],[Tabela]]&amp;Table1[[#This Row],[Campo]]</f>
        <v>lt004_protectionemssns_scp3_prtctn</v>
      </c>
      <c r="B1292" s="38" t="s">
        <v>26</v>
      </c>
      <c r="C1292" s="38" t="s">
        <v>26</v>
      </c>
      <c r="D1292" s="38" t="s">
        <v>1272</v>
      </c>
      <c r="E1292" s="38" t="s">
        <v>1275</v>
      </c>
      <c r="F1292" s="38" t="s">
        <v>368</v>
      </c>
      <c r="G1292" s="38" t="s">
        <v>375</v>
      </c>
      <c r="H1292" s="58" t="str">
        <f>Table1[[#This Row],[Tabela]]&amp;Table1[[#This Row],[Campo]]</f>
        <v>lt004_protectionemssns_scp3_prtctn</v>
      </c>
      <c r="I1292" s="2" t="s">
        <v>612</v>
      </c>
      <c r="J1292" s="44">
        <f>VLOOKUP(Table1[[#This Row],[Status]],Auxiliar!$B$16:$C$24,2,0)</f>
        <v>1</v>
      </c>
      <c r="K1292" s="44" t="s">
        <v>1171</v>
      </c>
      <c r="L1292" s="45" t="s">
        <v>1174</v>
      </c>
      <c r="M1292" s="20" t="s">
        <v>1175</v>
      </c>
      <c r="N1292" s="47">
        <v>45667</v>
      </c>
      <c r="O1292" s="20">
        <f>INDEX(Auxiliar!$D$5:$F$13,MATCH(Table1[[#This Row],[Tipologia_Testes]],Auxiliar!$B$5:$B$13,0),MATCH(Table1[[#This Row],[Complexidade]],Auxiliar!$D$4:$F$4,0))</f>
        <v>0.1</v>
      </c>
      <c r="P1292" s="42" t="s">
        <v>1259</v>
      </c>
      <c r="Q1292" s="151"/>
      <c r="R1292" s="151">
        <v>45622</v>
      </c>
      <c r="S1292" s="151"/>
      <c r="T1292" s="151"/>
      <c r="U1292" s="151">
        <v>45631</v>
      </c>
      <c r="V1292" s="151">
        <v>45631</v>
      </c>
      <c r="W1292" s="2">
        <f>VLOOKUP(Table1[[#This Row],[Status]],Auxiliar!$B$16:$D$24,3,0)*Table1[[#This Row],[Estimação (horas)]]</f>
        <v>0.1</v>
      </c>
      <c r="X1292" s="165">
        <f>+VLOOKUP(CONCATENATE(Table1[[#This Row],[Tabela]],Table1[[#This Row],[Campo]]),'2. Status Detalhe Campos FY24'!A:J,9,FALSE)</f>
        <v>0</v>
      </c>
      <c r="Y1292" s="491" t="e">
        <f>+VLOOKUP(A1292,#REF!,1,FALSE)</f>
        <v>#REF!</v>
      </c>
    </row>
    <row r="1293" spans="1:25" ht="17.899999999999999" hidden="1" customHeight="1">
      <c r="A1293" t="str">
        <f>+Table1[[#This Row],[Tabela]]&amp;Table1[[#This Row],[Campo]]</f>
        <v>lt002_instrumentrsk_mtgtd_cct</v>
      </c>
      <c r="B1293" s="40" t="s">
        <v>26</v>
      </c>
      <c r="C1293" s="40" t="s">
        <v>26</v>
      </c>
      <c r="D1293" s="2" t="s">
        <v>38</v>
      </c>
      <c r="E1293" s="41" t="s">
        <v>38</v>
      </c>
      <c r="F1293" s="39" t="s">
        <v>379</v>
      </c>
      <c r="G1293" s="37" t="s">
        <v>380</v>
      </c>
      <c r="H1293" s="59" t="str">
        <f>Table1[[#This Row],[Tabela]]&amp;Table1[[#This Row],[Campo]]</f>
        <v>lt002_instrumentrsk_mtgtd_cct</v>
      </c>
      <c r="I1293" s="2" t="s">
        <v>612</v>
      </c>
      <c r="J1293" s="44">
        <f>VLOOKUP(Table1[[#This Row],[Status]],Auxiliar!$B$16:$C$24,2,0)</f>
        <v>1</v>
      </c>
      <c r="K1293" s="44" t="s">
        <v>1168</v>
      </c>
      <c r="L1293" s="45" t="s">
        <v>1174</v>
      </c>
      <c r="M1293" s="20" t="s">
        <v>1175</v>
      </c>
      <c r="N1293" s="47">
        <v>45625</v>
      </c>
      <c r="O1293" s="20">
        <f>INDEX(Auxiliar!$D$5:$F$13,MATCH(Table1[[#This Row],[Tipologia_Testes]],Auxiliar!$B$5:$B$13,0),MATCH(Table1[[#This Row],[Complexidade]],Auxiliar!$D$4:$F$4,0))</f>
        <v>2</v>
      </c>
      <c r="P1293" s="42"/>
      <c r="Q1293" s="151"/>
      <c r="R1293" s="151">
        <v>45595</v>
      </c>
      <c r="S1293" s="151"/>
      <c r="T1293" s="151">
        <v>45595</v>
      </c>
      <c r="U1293" s="151">
        <v>374329</v>
      </c>
      <c r="V1293" s="151">
        <v>374329</v>
      </c>
      <c r="W1293" s="2">
        <f>VLOOKUP(Table1[[#This Row],[Status]],Auxiliar!$B$16:$D$24,3,0)*Table1[[#This Row],[Estimação (horas)]]</f>
        <v>2</v>
      </c>
      <c r="X1293" s="165">
        <f>+VLOOKUP(CONCATENATE(Table1[[#This Row],[Tabela]],Table1[[#This Row],[Campo]]),'2. Status Detalhe Campos FY24'!A:J,9,FALSE)</f>
        <v>0</v>
      </c>
      <c r="Y1293" s="491" t="e">
        <f>+VLOOKUP(A1293,#REF!,1,FALSE)</f>
        <v>#REF!</v>
      </c>
    </row>
    <row r="1294" spans="1:25" ht="17.899999999999999" hidden="1" customHeight="1">
      <c r="A1294" t="str">
        <f>+Table1[[#This Row],[Tabela]]&amp;Table1[[#This Row],[Campo]]</f>
        <v>lt002_instrumentrsk_mtgtd_cct</v>
      </c>
      <c r="B1294" s="38" t="s">
        <v>26</v>
      </c>
      <c r="C1294" s="38" t="s">
        <v>26</v>
      </c>
      <c r="D1294" s="2" t="s">
        <v>38</v>
      </c>
      <c r="E1294" s="38" t="s">
        <v>38</v>
      </c>
      <c r="F1294" s="38" t="s">
        <v>379</v>
      </c>
      <c r="G1294" s="38" t="s">
        <v>380</v>
      </c>
      <c r="H1294" s="58" t="str">
        <f>Table1[[#This Row],[Tabela]]&amp;Table1[[#This Row],[Campo]]</f>
        <v>lt002_instrumentrsk_mtgtd_cct</v>
      </c>
      <c r="I1294" s="2" t="s">
        <v>612</v>
      </c>
      <c r="J1294" s="44">
        <f>VLOOKUP(Table1[[#This Row],[Status]],Auxiliar!$B$16:$C$24,2,0)</f>
        <v>1</v>
      </c>
      <c r="K1294" s="44" t="s">
        <v>1169</v>
      </c>
      <c r="L1294" s="45" t="s">
        <v>1174</v>
      </c>
      <c r="M1294" s="20" t="s">
        <v>1175</v>
      </c>
      <c r="N1294" s="47">
        <v>45625</v>
      </c>
      <c r="O1294" s="20">
        <f>INDEX(Auxiliar!$D$5:$F$13,MATCH(Table1[[#This Row],[Tipologia_Testes]],Auxiliar!$B$5:$B$13,0),MATCH(Table1[[#This Row],[Complexidade]],Auxiliar!$D$4:$F$4,0))</f>
        <v>2</v>
      </c>
      <c r="P1294" s="42"/>
      <c r="Q1294" s="151"/>
      <c r="R1294" s="151">
        <v>45595</v>
      </c>
      <c r="S1294" s="151"/>
      <c r="T1294" s="151">
        <v>45595</v>
      </c>
      <c r="U1294" s="151">
        <v>374329</v>
      </c>
      <c r="V1294" s="151">
        <v>374329</v>
      </c>
      <c r="W1294" s="2">
        <f>VLOOKUP(Table1[[#This Row],[Status]],Auxiliar!$B$16:$D$24,3,0)*Table1[[#This Row],[Estimação (horas)]]</f>
        <v>2</v>
      </c>
      <c r="X1294" s="165">
        <f>+VLOOKUP(CONCATENATE(Table1[[#This Row],[Tabela]],Table1[[#This Row],[Campo]]),'2. Status Detalhe Campos FY24'!A:J,9,FALSE)</f>
        <v>0</v>
      </c>
      <c r="Y1294" s="491" t="e">
        <f>+VLOOKUP(A1294,#REF!,1,FALSE)</f>
        <v>#REF!</v>
      </c>
    </row>
    <row r="1295" spans="1:25" ht="17.899999999999999" hidden="1" customHeight="1">
      <c r="A1295" t="str">
        <f>+Table1[[#This Row],[Tabela]]&amp;Table1[[#This Row],[Campo]]</f>
        <v>lt002_instrumentrsk_mtgtd_cct</v>
      </c>
      <c r="B1295" s="38" t="s">
        <v>26</v>
      </c>
      <c r="C1295" s="38" t="s">
        <v>26</v>
      </c>
      <c r="D1295" s="2" t="s">
        <v>38</v>
      </c>
      <c r="E1295" s="38" t="s">
        <v>38</v>
      </c>
      <c r="F1295" s="38" t="s">
        <v>379</v>
      </c>
      <c r="G1295" s="38" t="s">
        <v>380</v>
      </c>
      <c r="H1295" s="58" t="str">
        <f>Table1[[#This Row],[Tabela]]&amp;Table1[[#This Row],[Campo]]</f>
        <v>lt002_instrumentrsk_mtgtd_cct</v>
      </c>
      <c r="I1295" s="2" t="s">
        <v>612</v>
      </c>
      <c r="J1295" s="44">
        <f>VLOOKUP(Table1[[#This Row],[Status]],Auxiliar!$B$16:$C$24,2,0)</f>
        <v>1</v>
      </c>
      <c r="K1295" s="44" t="s">
        <v>1171</v>
      </c>
      <c r="L1295" s="45" t="s">
        <v>1174</v>
      </c>
      <c r="M1295" s="20" t="s">
        <v>1175</v>
      </c>
      <c r="N1295" s="47">
        <v>45625</v>
      </c>
      <c r="O1295" s="20">
        <f>INDEX(Auxiliar!$D$5:$F$13,MATCH(Table1[[#This Row],[Tipologia_Testes]],Auxiliar!$B$5:$B$13,0),MATCH(Table1[[#This Row],[Complexidade]],Auxiliar!$D$4:$F$4,0))</f>
        <v>0.1</v>
      </c>
      <c r="P1295" s="42"/>
      <c r="Q1295" s="151"/>
      <c r="R1295" s="151">
        <v>45595</v>
      </c>
      <c r="S1295" s="151"/>
      <c r="T1295" s="151">
        <v>45595</v>
      </c>
      <c r="U1295" s="151">
        <v>374329</v>
      </c>
      <c r="V1295" s="151">
        <v>374329</v>
      </c>
      <c r="W1295" s="2">
        <f>VLOOKUP(Table1[[#This Row],[Status]],Auxiliar!$B$16:$D$24,3,0)*Table1[[#This Row],[Estimação (horas)]]</f>
        <v>0.1</v>
      </c>
      <c r="X1295" s="165">
        <f>+VLOOKUP(CONCATENATE(Table1[[#This Row],[Tabela]],Table1[[#This Row],[Campo]]),'2. Status Detalhe Campos FY24'!A:J,9,FALSE)</f>
        <v>0</v>
      </c>
      <c r="Y1295" s="491" t="e">
        <f>+VLOOKUP(A1295,#REF!,1,FALSE)</f>
        <v>#REF!</v>
      </c>
    </row>
    <row r="1296" spans="1:25" ht="17.899999999999999" hidden="1" customHeight="1">
      <c r="A1296" t="str">
        <f>+Table1[[#This Row],[Tabela]]&amp;Table1[[#This Row],[Campo]]</f>
        <v>lt002_instrumentrsk_mtgtd_ccp</v>
      </c>
      <c r="B1296" s="40" t="s">
        <v>26</v>
      </c>
      <c r="C1296" s="40" t="s">
        <v>26</v>
      </c>
      <c r="D1296" s="2" t="s">
        <v>38</v>
      </c>
      <c r="E1296" s="41" t="s">
        <v>38</v>
      </c>
      <c r="F1296" s="39" t="s">
        <v>379</v>
      </c>
      <c r="G1296" s="37" t="s">
        <v>381</v>
      </c>
      <c r="H1296" s="59" t="str">
        <f>Table1[[#This Row],[Tabela]]&amp;Table1[[#This Row],[Campo]]</f>
        <v>lt002_instrumentrsk_mtgtd_ccp</v>
      </c>
      <c r="I1296" s="2" t="s">
        <v>615</v>
      </c>
      <c r="J1296" s="44">
        <f>VLOOKUP(Table1[[#This Row],[Status]],Auxiliar!$B$16:$C$24,2,0)</f>
        <v>6</v>
      </c>
      <c r="K1296" s="44" t="s">
        <v>1168</v>
      </c>
      <c r="L1296" s="45" t="s">
        <v>1174</v>
      </c>
      <c r="M1296" s="20" t="s">
        <v>1175</v>
      </c>
      <c r="N1296" s="47">
        <v>45642</v>
      </c>
      <c r="O1296" s="20">
        <f>INDEX(Auxiliar!$D$5:$F$13,MATCH(Table1[[#This Row],[Tipologia_Testes]],Auxiliar!$B$5:$B$13,0),MATCH(Table1[[#This Row],[Complexidade]],Auxiliar!$D$4:$F$4,0))</f>
        <v>2</v>
      </c>
      <c r="P1296" s="42"/>
      <c r="Q1296" s="151"/>
      <c r="R1296" s="151">
        <v>45595</v>
      </c>
      <c r="S1296" s="151"/>
      <c r="T1296" s="151">
        <v>45595</v>
      </c>
      <c r="U1296" s="151">
        <v>374342</v>
      </c>
      <c r="V1296" s="151">
        <v>374342</v>
      </c>
      <c r="W1296" s="2">
        <f>VLOOKUP(Table1[[#This Row],[Status]],Auxiliar!$B$16:$D$24,3,0)*Table1[[#This Row],[Estimação (horas)]]</f>
        <v>0.5</v>
      </c>
      <c r="X1296" s="165">
        <f>+VLOOKUP(CONCATENATE(Table1[[#This Row],[Tabela]],Table1[[#This Row],[Campo]]),'2. Status Detalhe Campos FY24'!A:J,9,FALSE)</f>
        <v>0</v>
      </c>
      <c r="Y1296" s="491" t="e">
        <f>+VLOOKUP(A1296,#REF!,1,FALSE)</f>
        <v>#REF!</v>
      </c>
    </row>
    <row r="1297" spans="1:25" ht="17.899999999999999" hidden="1" customHeight="1">
      <c r="A1297" t="str">
        <f>+Table1[[#This Row],[Tabela]]&amp;Table1[[#This Row],[Campo]]</f>
        <v>lt002_instrumentrsk_mtgtd_ccp</v>
      </c>
      <c r="B1297" s="38" t="s">
        <v>26</v>
      </c>
      <c r="C1297" s="38" t="s">
        <v>26</v>
      </c>
      <c r="D1297" s="2" t="s">
        <v>38</v>
      </c>
      <c r="E1297" s="38" t="s">
        <v>38</v>
      </c>
      <c r="F1297" s="38" t="s">
        <v>379</v>
      </c>
      <c r="G1297" s="38" t="s">
        <v>381</v>
      </c>
      <c r="H1297" s="58" t="str">
        <f>Table1[[#This Row],[Tabela]]&amp;Table1[[#This Row],[Campo]]</f>
        <v>lt002_instrumentrsk_mtgtd_ccp</v>
      </c>
      <c r="I1297" s="2" t="s">
        <v>615</v>
      </c>
      <c r="J1297" s="44">
        <f>VLOOKUP(Table1[[#This Row],[Status]],Auxiliar!$B$16:$C$24,2,0)</f>
        <v>6</v>
      </c>
      <c r="K1297" s="44" t="s">
        <v>1169</v>
      </c>
      <c r="L1297" s="45" t="s">
        <v>1174</v>
      </c>
      <c r="M1297" s="20" t="s">
        <v>1175</v>
      </c>
      <c r="N1297" s="47">
        <v>45642</v>
      </c>
      <c r="O1297" s="20">
        <f>INDEX(Auxiliar!$D$5:$F$13,MATCH(Table1[[#This Row],[Tipologia_Testes]],Auxiliar!$B$5:$B$13,0),MATCH(Table1[[#This Row],[Complexidade]],Auxiliar!$D$4:$F$4,0))</f>
        <v>2</v>
      </c>
      <c r="P1297" s="42"/>
      <c r="Q1297" s="151"/>
      <c r="R1297" s="151">
        <v>45595</v>
      </c>
      <c r="S1297" s="151"/>
      <c r="T1297" s="151">
        <v>45595</v>
      </c>
      <c r="U1297" s="151">
        <v>374342</v>
      </c>
      <c r="V1297" s="151">
        <v>374342</v>
      </c>
      <c r="W1297" s="2">
        <f>VLOOKUP(Table1[[#This Row],[Status]],Auxiliar!$B$16:$D$24,3,0)*Table1[[#This Row],[Estimação (horas)]]</f>
        <v>0.5</v>
      </c>
      <c r="X1297" s="165">
        <f>+VLOOKUP(CONCATENATE(Table1[[#This Row],[Tabela]],Table1[[#This Row],[Campo]]),'2. Status Detalhe Campos FY24'!A:J,9,FALSE)</f>
        <v>0</v>
      </c>
      <c r="Y1297" s="491" t="e">
        <f>+VLOOKUP(A1297,#REF!,1,FALSE)</f>
        <v>#REF!</v>
      </c>
    </row>
    <row r="1298" spans="1:25" ht="17.899999999999999" hidden="1" customHeight="1">
      <c r="A1298" t="str">
        <f>+Table1[[#This Row],[Tabela]]&amp;Table1[[#This Row],[Campo]]</f>
        <v>lt002_instrumentrsk_mtgtd_ccp</v>
      </c>
      <c r="B1298" s="38" t="s">
        <v>26</v>
      </c>
      <c r="C1298" s="38" t="s">
        <v>26</v>
      </c>
      <c r="D1298" s="2" t="s">
        <v>38</v>
      </c>
      <c r="E1298" s="38" t="s">
        <v>38</v>
      </c>
      <c r="F1298" s="38" t="s">
        <v>379</v>
      </c>
      <c r="G1298" s="38" t="s">
        <v>381</v>
      </c>
      <c r="H1298" s="58" t="str">
        <f>Table1[[#This Row],[Tabela]]&amp;Table1[[#This Row],[Campo]]</f>
        <v>lt002_instrumentrsk_mtgtd_ccp</v>
      </c>
      <c r="I1298" s="2" t="s">
        <v>615</v>
      </c>
      <c r="J1298" s="44">
        <f>VLOOKUP(Table1[[#This Row],[Status]],Auxiliar!$B$16:$C$24,2,0)</f>
        <v>6</v>
      </c>
      <c r="K1298" s="44" t="s">
        <v>1171</v>
      </c>
      <c r="L1298" s="45" t="s">
        <v>1174</v>
      </c>
      <c r="M1298" s="20" t="s">
        <v>1175</v>
      </c>
      <c r="N1298" s="47">
        <v>45642</v>
      </c>
      <c r="O1298" s="20">
        <f>INDEX(Auxiliar!$D$5:$F$13,MATCH(Table1[[#This Row],[Tipologia_Testes]],Auxiliar!$B$5:$B$13,0),MATCH(Table1[[#This Row],[Complexidade]],Auxiliar!$D$4:$F$4,0))</f>
        <v>0.1</v>
      </c>
      <c r="P1298" s="42"/>
      <c r="Q1298" s="151"/>
      <c r="R1298" s="151">
        <v>45595</v>
      </c>
      <c r="S1298" s="151"/>
      <c r="T1298" s="151">
        <v>45595</v>
      </c>
      <c r="U1298" s="151">
        <v>374342</v>
      </c>
      <c r="V1298" s="151">
        <v>374342</v>
      </c>
      <c r="W1298" s="2">
        <f>VLOOKUP(Table1[[#This Row],[Status]],Auxiliar!$B$16:$D$24,3,0)*Table1[[#This Row],[Estimação (horas)]]</f>
        <v>2.5000000000000001E-2</v>
      </c>
      <c r="X1298" s="165">
        <f>+VLOOKUP(CONCATENATE(Table1[[#This Row],[Tabela]],Table1[[#This Row],[Campo]]),'2. Status Detalhe Campos FY24'!A:J,9,FALSE)</f>
        <v>0</v>
      </c>
      <c r="Y1298" s="491" t="e">
        <f>+VLOOKUP(A1298,#REF!,1,FALSE)</f>
        <v>#REF!</v>
      </c>
    </row>
    <row r="1299" spans="1:25" ht="17.899999999999999" customHeight="1">
      <c r="A1299" t="str">
        <f>+Table1[[#This Row],[Tabela]]&amp;Table1[[#This Row],[Campo]]</f>
        <v>lt007_instr_activityenvrnmntl_objctv</v>
      </c>
      <c r="B1299" s="40" t="s">
        <v>26</v>
      </c>
      <c r="C1299" s="40" t="s">
        <v>26</v>
      </c>
      <c r="D1299" s="36" t="s">
        <v>1270</v>
      </c>
      <c r="E1299" s="41" t="s">
        <v>1252</v>
      </c>
      <c r="F1299" s="39" t="s">
        <v>1859</v>
      </c>
      <c r="G1299" s="37" t="s">
        <v>382</v>
      </c>
      <c r="H1299" s="59" t="str">
        <f>Table1[[#This Row],[Tabela]]&amp;Table1[[#This Row],[Campo]]</f>
        <v>lt007_instr_activityenvrnmntl_objctv</v>
      </c>
      <c r="I1299" s="2" t="s">
        <v>612</v>
      </c>
      <c r="J1299" s="44">
        <f>VLOOKUP(Table1[[#This Row],[Status]],Auxiliar!$B$16:$C$24,2,0)</f>
        <v>1</v>
      </c>
      <c r="K1299" s="44" t="s">
        <v>1168</v>
      </c>
      <c r="L1299" s="45" t="s">
        <v>1174</v>
      </c>
      <c r="M1299" s="20" t="s">
        <v>1175</v>
      </c>
      <c r="N1299" s="47">
        <v>45649</v>
      </c>
      <c r="O1299" s="20">
        <f>INDEX(Auxiliar!$D$5:$F$13,MATCH(Table1[[#This Row],[Tipologia_Testes]],Auxiliar!$B$5:$B$13,0),MATCH(Table1[[#This Row],[Complexidade]],Auxiliar!$D$4:$F$4,0))</f>
        <v>2</v>
      </c>
      <c r="P1299" s="42"/>
      <c r="Q1299" s="151"/>
      <c r="R1299" s="151">
        <v>45593</v>
      </c>
      <c r="S1299" s="151"/>
      <c r="T1299" s="151">
        <v>45593</v>
      </c>
      <c r="U1299" s="151">
        <v>45624</v>
      </c>
      <c r="V1299" s="151">
        <v>45624</v>
      </c>
      <c r="W1299" s="2">
        <f>VLOOKUP(Table1[[#This Row],[Status]],Auxiliar!$B$16:$D$24,3,0)*Table1[[#This Row],[Estimação (horas)]]</f>
        <v>2</v>
      </c>
      <c r="X1299" s="165">
        <f>+VLOOKUP(CONCATENATE(Table1[[#This Row],[Tabela]],Table1[[#This Row],[Campo]]),'2. Status Detalhe Campos FY24'!A:J,9,FALSE)</f>
        <v>0</v>
      </c>
      <c r="Y1299" s="491" t="e">
        <f>+VLOOKUP(A1299,#REF!,1,FALSE)</f>
        <v>#REF!</v>
      </c>
    </row>
    <row r="1300" spans="1:25" ht="17.899999999999999" customHeight="1">
      <c r="A1300" t="str">
        <f>+Table1[[#This Row],[Tabela]]&amp;Table1[[#This Row],[Campo]]</f>
        <v>lt007_instr_activityenvrnmntl_objctv</v>
      </c>
      <c r="B1300" s="38" t="s">
        <v>26</v>
      </c>
      <c r="C1300" s="38" t="s">
        <v>26</v>
      </c>
      <c r="D1300" s="38" t="s">
        <v>1270</v>
      </c>
      <c r="E1300" s="38" t="s">
        <v>1252</v>
      </c>
      <c r="F1300" s="39" t="s">
        <v>1859</v>
      </c>
      <c r="G1300" s="38" t="s">
        <v>382</v>
      </c>
      <c r="H1300" s="58" t="str">
        <f>Table1[[#This Row],[Tabela]]&amp;Table1[[#This Row],[Campo]]</f>
        <v>lt007_instr_activityenvrnmntl_objctv</v>
      </c>
      <c r="I1300" s="2" t="s">
        <v>612</v>
      </c>
      <c r="J1300" s="44">
        <f>VLOOKUP(Table1[[#This Row],[Status]],Auxiliar!$B$16:$C$24,2,0)</f>
        <v>1</v>
      </c>
      <c r="K1300" s="44" t="s">
        <v>1169</v>
      </c>
      <c r="L1300" s="45" t="s">
        <v>1174</v>
      </c>
      <c r="M1300" s="20" t="s">
        <v>1175</v>
      </c>
      <c r="N1300" s="47">
        <v>45649</v>
      </c>
      <c r="O1300" s="20">
        <f>INDEX(Auxiliar!$D$5:$F$13,MATCH(Table1[[#This Row],[Tipologia_Testes]],Auxiliar!$B$5:$B$13,0),MATCH(Table1[[#This Row],[Complexidade]],Auxiliar!$D$4:$F$4,0))</f>
        <v>2</v>
      </c>
      <c r="P1300" s="42"/>
      <c r="Q1300" s="151"/>
      <c r="R1300" s="151">
        <v>45593</v>
      </c>
      <c r="S1300" s="151"/>
      <c r="T1300" s="151">
        <v>45593</v>
      </c>
      <c r="U1300" s="151">
        <v>45624</v>
      </c>
      <c r="V1300" s="151">
        <v>45624</v>
      </c>
      <c r="W1300" s="2">
        <f>VLOOKUP(Table1[[#This Row],[Status]],Auxiliar!$B$16:$D$24,3,0)*Table1[[#This Row],[Estimação (horas)]]</f>
        <v>2</v>
      </c>
      <c r="X1300" s="165">
        <f>+VLOOKUP(CONCATENATE(Table1[[#This Row],[Tabela]],Table1[[#This Row],[Campo]]),'2. Status Detalhe Campos FY24'!A:J,9,FALSE)</f>
        <v>0</v>
      </c>
      <c r="Y1300" s="491" t="e">
        <f>+VLOOKUP(A1300,#REF!,1,FALSE)</f>
        <v>#REF!</v>
      </c>
    </row>
    <row r="1301" spans="1:25" ht="17.899999999999999" customHeight="1">
      <c r="A1301" t="str">
        <f>+Table1[[#This Row],[Tabela]]&amp;Table1[[#This Row],[Campo]]</f>
        <v>lt007_instr_activityenvrnmntl_objctv</v>
      </c>
      <c r="B1301" s="38" t="s">
        <v>26</v>
      </c>
      <c r="C1301" s="38" t="s">
        <v>26</v>
      </c>
      <c r="D1301" s="38" t="s">
        <v>1270</v>
      </c>
      <c r="E1301" s="38" t="s">
        <v>1252</v>
      </c>
      <c r="F1301" s="39" t="s">
        <v>1859</v>
      </c>
      <c r="G1301" s="38" t="s">
        <v>382</v>
      </c>
      <c r="H1301" s="58" t="str">
        <f>Table1[[#This Row],[Tabela]]&amp;Table1[[#This Row],[Campo]]</f>
        <v>lt007_instr_activityenvrnmntl_objctv</v>
      </c>
      <c r="I1301" s="2" t="s">
        <v>612</v>
      </c>
      <c r="J1301" s="44">
        <f>VLOOKUP(Table1[[#This Row],[Status]],Auxiliar!$B$16:$C$24,2,0)</f>
        <v>1</v>
      </c>
      <c r="K1301" s="44" t="s">
        <v>1171</v>
      </c>
      <c r="L1301" s="45" t="s">
        <v>1174</v>
      </c>
      <c r="M1301" s="20" t="s">
        <v>1175</v>
      </c>
      <c r="N1301" s="47">
        <v>45649</v>
      </c>
      <c r="O1301" s="20">
        <f>INDEX(Auxiliar!$D$5:$F$13,MATCH(Table1[[#This Row],[Tipologia_Testes]],Auxiliar!$B$5:$B$13,0),MATCH(Table1[[#This Row],[Complexidade]],Auxiliar!$D$4:$F$4,0))</f>
        <v>0.1</v>
      </c>
      <c r="P1301" s="42"/>
      <c r="Q1301" s="151"/>
      <c r="R1301" s="151">
        <v>45593</v>
      </c>
      <c r="S1301" s="151"/>
      <c r="T1301" s="151">
        <v>45593</v>
      </c>
      <c r="U1301" s="151">
        <v>45624</v>
      </c>
      <c r="V1301" s="151">
        <v>45624</v>
      </c>
      <c r="W1301" s="2">
        <f>VLOOKUP(Table1[[#This Row],[Status]],Auxiliar!$B$16:$D$24,3,0)*Table1[[#This Row],[Estimação (horas)]]</f>
        <v>0.1</v>
      </c>
      <c r="X1301" s="165">
        <f>+VLOOKUP(CONCATENATE(Table1[[#This Row],[Tabela]],Table1[[#This Row],[Campo]]),'2. Status Detalhe Campos FY24'!A:J,9,FALSE)</f>
        <v>0</v>
      </c>
      <c r="Y1301" s="491" t="e">
        <f>+VLOOKUP(A1301,#REF!,1,FALSE)</f>
        <v>#REF!</v>
      </c>
    </row>
    <row r="1302" spans="1:25" ht="17.899999999999999" customHeight="1">
      <c r="A1302" t="str">
        <f>+Table1[[#This Row],[Tabela]]&amp;Table1[[#This Row],[Campo]]</f>
        <v>lt007_instr_activitytyp_actvty</v>
      </c>
      <c r="B1302" s="40" t="s">
        <v>26</v>
      </c>
      <c r="C1302" s="40" t="s">
        <v>26</v>
      </c>
      <c r="D1302" s="36" t="s">
        <v>1270</v>
      </c>
      <c r="E1302" s="41" t="s">
        <v>1252</v>
      </c>
      <c r="F1302" s="39" t="s">
        <v>1859</v>
      </c>
      <c r="G1302" s="37" t="s">
        <v>383</v>
      </c>
      <c r="H1302" s="59" t="str">
        <f>Table1[[#This Row],[Tabela]]&amp;Table1[[#This Row],[Campo]]</f>
        <v>lt007_instr_activitytyp_actvty</v>
      </c>
      <c r="I1302" s="2" t="s">
        <v>612</v>
      </c>
      <c r="J1302" s="44">
        <f>VLOOKUP(Table1[[#This Row],[Status]],Auxiliar!$B$16:$C$24,2,0)</f>
        <v>1</v>
      </c>
      <c r="K1302" s="44" t="s">
        <v>1168</v>
      </c>
      <c r="L1302" s="45" t="s">
        <v>1174</v>
      </c>
      <c r="M1302" s="20" t="s">
        <v>1175</v>
      </c>
      <c r="N1302" s="47">
        <v>45649</v>
      </c>
      <c r="O1302" s="20">
        <f>INDEX(Auxiliar!$D$5:$F$13,MATCH(Table1[[#This Row],[Tipologia_Testes]],Auxiliar!$B$5:$B$13,0),MATCH(Table1[[#This Row],[Complexidade]],Auxiliar!$D$4:$F$4,0))</f>
        <v>2</v>
      </c>
      <c r="P1302" s="42"/>
      <c r="Q1302" s="151"/>
      <c r="R1302" s="151">
        <v>45593</v>
      </c>
      <c r="S1302" s="151"/>
      <c r="T1302" s="151">
        <v>45593</v>
      </c>
      <c r="U1302" s="151">
        <v>45624</v>
      </c>
      <c r="V1302" s="151">
        <v>45624</v>
      </c>
      <c r="W1302" s="2">
        <f>VLOOKUP(Table1[[#This Row],[Status]],Auxiliar!$B$16:$D$24,3,0)*Table1[[#This Row],[Estimação (horas)]]</f>
        <v>2</v>
      </c>
      <c r="X1302" s="165">
        <f>+VLOOKUP(CONCATENATE(Table1[[#This Row],[Tabela]],Table1[[#This Row],[Campo]]),'2. Status Detalhe Campos FY24'!A:J,9,FALSE)</f>
        <v>0</v>
      </c>
      <c r="Y1302" s="491" t="e">
        <f>+VLOOKUP(A1302,#REF!,1,FALSE)</f>
        <v>#REF!</v>
      </c>
    </row>
    <row r="1303" spans="1:25" ht="17.899999999999999" customHeight="1">
      <c r="A1303" t="str">
        <f>+Table1[[#This Row],[Tabela]]&amp;Table1[[#This Row],[Campo]]</f>
        <v>lt007_instr_activitytyp_actvty</v>
      </c>
      <c r="B1303" s="38" t="s">
        <v>26</v>
      </c>
      <c r="C1303" s="38" t="s">
        <v>26</v>
      </c>
      <c r="D1303" s="38" t="s">
        <v>1270</v>
      </c>
      <c r="E1303" s="38" t="s">
        <v>1252</v>
      </c>
      <c r="F1303" s="39" t="s">
        <v>1859</v>
      </c>
      <c r="G1303" s="38" t="s">
        <v>383</v>
      </c>
      <c r="H1303" s="58" t="str">
        <f>Table1[[#This Row],[Tabela]]&amp;Table1[[#This Row],[Campo]]</f>
        <v>lt007_instr_activitytyp_actvty</v>
      </c>
      <c r="I1303" s="2" t="s">
        <v>612</v>
      </c>
      <c r="J1303" s="44">
        <f>VLOOKUP(Table1[[#This Row],[Status]],Auxiliar!$B$16:$C$24,2,0)</f>
        <v>1</v>
      </c>
      <c r="K1303" s="44" t="s">
        <v>1169</v>
      </c>
      <c r="L1303" s="45" t="s">
        <v>1174</v>
      </c>
      <c r="M1303" s="20" t="s">
        <v>1175</v>
      </c>
      <c r="N1303" s="47">
        <v>45649</v>
      </c>
      <c r="O1303" s="20">
        <f>INDEX(Auxiliar!$D$5:$F$13,MATCH(Table1[[#This Row],[Tipologia_Testes]],Auxiliar!$B$5:$B$13,0),MATCH(Table1[[#This Row],[Complexidade]],Auxiliar!$D$4:$F$4,0))</f>
        <v>2</v>
      </c>
      <c r="P1303" s="42"/>
      <c r="Q1303" s="151"/>
      <c r="R1303" s="151">
        <v>45593</v>
      </c>
      <c r="S1303" s="151"/>
      <c r="T1303" s="151">
        <v>45593</v>
      </c>
      <c r="U1303" s="151">
        <v>45624</v>
      </c>
      <c r="V1303" s="151">
        <v>45624</v>
      </c>
      <c r="W1303" s="2">
        <f>VLOOKUP(Table1[[#This Row],[Status]],Auxiliar!$B$16:$D$24,3,0)*Table1[[#This Row],[Estimação (horas)]]</f>
        <v>2</v>
      </c>
      <c r="X1303" s="165">
        <f>+VLOOKUP(CONCATENATE(Table1[[#This Row],[Tabela]],Table1[[#This Row],[Campo]]),'2. Status Detalhe Campos FY24'!A:J,9,FALSE)</f>
        <v>0</v>
      </c>
      <c r="Y1303" s="491" t="e">
        <f>+VLOOKUP(A1303,#REF!,1,FALSE)</f>
        <v>#REF!</v>
      </c>
    </row>
    <row r="1304" spans="1:25" ht="17.899999999999999" customHeight="1">
      <c r="A1304" t="str">
        <f>+Table1[[#This Row],[Tabela]]&amp;Table1[[#This Row],[Campo]]</f>
        <v>lt007_instr_activitytyp_actvty</v>
      </c>
      <c r="B1304" s="38" t="s">
        <v>26</v>
      </c>
      <c r="C1304" s="38" t="s">
        <v>26</v>
      </c>
      <c r="D1304" s="38" t="s">
        <v>1270</v>
      </c>
      <c r="E1304" s="38" t="s">
        <v>1252</v>
      </c>
      <c r="F1304" s="39" t="s">
        <v>1859</v>
      </c>
      <c r="G1304" s="38" t="s">
        <v>383</v>
      </c>
      <c r="H1304" s="58" t="str">
        <f>Table1[[#This Row],[Tabela]]&amp;Table1[[#This Row],[Campo]]</f>
        <v>lt007_instr_activitytyp_actvty</v>
      </c>
      <c r="I1304" s="2" t="s">
        <v>612</v>
      </c>
      <c r="J1304" s="44">
        <f>VLOOKUP(Table1[[#This Row],[Status]],Auxiliar!$B$16:$C$24,2,0)</f>
        <v>1</v>
      </c>
      <c r="K1304" s="44" t="s">
        <v>1171</v>
      </c>
      <c r="L1304" s="45" t="s">
        <v>1174</v>
      </c>
      <c r="M1304" s="20" t="s">
        <v>1175</v>
      </c>
      <c r="N1304" s="47">
        <v>45649</v>
      </c>
      <c r="O1304" s="20">
        <f>INDEX(Auxiliar!$D$5:$F$13,MATCH(Table1[[#This Row],[Tipologia_Testes]],Auxiliar!$B$5:$B$13,0),MATCH(Table1[[#This Row],[Complexidade]],Auxiliar!$D$4:$F$4,0))</f>
        <v>0.1</v>
      </c>
      <c r="P1304" s="42"/>
      <c r="Q1304" s="151"/>
      <c r="R1304" s="151">
        <v>45593</v>
      </c>
      <c r="S1304" s="151"/>
      <c r="T1304" s="151">
        <v>45593</v>
      </c>
      <c r="U1304" s="151">
        <v>45624</v>
      </c>
      <c r="V1304" s="151">
        <v>45624</v>
      </c>
      <c r="W1304" s="2">
        <f>VLOOKUP(Table1[[#This Row],[Status]],Auxiliar!$B$16:$D$24,3,0)*Table1[[#This Row],[Estimação (horas)]]</f>
        <v>0.1</v>
      </c>
      <c r="X1304" s="165">
        <f>+VLOOKUP(CONCATENATE(Table1[[#This Row],[Tabela]],Table1[[#This Row],[Campo]]),'2. Status Detalhe Campos FY24'!A:J,9,FALSE)</f>
        <v>0</v>
      </c>
      <c r="Y1304" s="491" t="e">
        <f>+VLOOKUP(A1304,#REF!,1,FALSE)</f>
        <v>#REF!</v>
      </c>
    </row>
    <row r="1305" spans="1:25" ht="17.899999999999999" hidden="1" customHeight="1">
      <c r="A1305" t="str">
        <f>+Table1[[#This Row],[Tabela]]&amp;Table1[[#This Row],[Campo]]</f>
        <v>lt002_instrumentlns_clltrlzd_clssfctn</v>
      </c>
      <c r="B1305" s="38" t="s">
        <v>26</v>
      </c>
      <c r="C1305" s="38" t="s">
        <v>26</v>
      </c>
      <c r="D1305" s="37" t="s">
        <v>1270</v>
      </c>
      <c r="E1305" s="41" t="s">
        <v>1252</v>
      </c>
      <c r="F1305" s="39" t="s">
        <v>379</v>
      </c>
      <c r="G1305" s="37" t="s">
        <v>384</v>
      </c>
      <c r="H1305" s="59" t="str">
        <f>Table1[[#This Row],[Tabela]]&amp;Table1[[#This Row],[Campo]]</f>
        <v>lt002_instrumentlns_clltrlzd_clssfctn</v>
      </c>
      <c r="I1305" s="2" t="s">
        <v>612</v>
      </c>
      <c r="J1305" s="44">
        <f>VLOOKUP(Table1[[#This Row],[Status]],Auxiliar!$B$16:$C$24,2,0)</f>
        <v>1</v>
      </c>
      <c r="K1305" s="44" t="s">
        <v>1168</v>
      </c>
      <c r="L1305" s="45" t="s">
        <v>1174</v>
      </c>
      <c r="M1305" s="20" t="s">
        <v>1175</v>
      </c>
      <c r="N1305" s="47">
        <v>45583</v>
      </c>
      <c r="O1305" s="20">
        <f>INDEX(Auxiliar!$D$5:$F$13,MATCH(Table1[[#This Row],[Tipologia_Testes]],Auxiliar!$B$5:$B$13,0),MATCH(Table1[[#This Row],[Complexidade]],Auxiliar!$D$4:$F$4,0))</f>
        <v>2</v>
      </c>
      <c r="P1305" s="42" t="s">
        <v>1277</v>
      </c>
      <c r="Q1305" s="151"/>
      <c r="R1305" s="151">
        <v>45583</v>
      </c>
      <c r="S1305" s="151"/>
      <c r="T1305" s="151">
        <v>45583</v>
      </c>
      <c r="U1305" s="151">
        <v>45589</v>
      </c>
      <c r="V1305" s="151">
        <v>45589</v>
      </c>
      <c r="W1305" s="2">
        <f>VLOOKUP(Table1[[#This Row],[Status]],Auxiliar!$B$16:$D$24,3,0)*Table1[[#This Row],[Estimação (horas)]]</f>
        <v>2</v>
      </c>
      <c r="X1305" s="165">
        <f>+VLOOKUP(CONCATENATE(Table1[[#This Row],[Tabela]],Table1[[#This Row],[Campo]]),'2. Status Detalhe Campos FY24'!A:J,9,FALSE)</f>
        <v>0</v>
      </c>
      <c r="Y1305" s="491" t="e">
        <f>+VLOOKUP(A1305,#REF!,1,FALSE)</f>
        <v>#REF!</v>
      </c>
    </row>
    <row r="1306" spans="1:25" ht="17.899999999999999" hidden="1" customHeight="1">
      <c r="A1306" t="str">
        <f>+Table1[[#This Row],[Tabela]]&amp;Table1[[#This Row],[Campo]]</f>
        <v>lt002_instrumentlns_clltrlzd_clssfctn</v>
      </c>
      <c r="B1306" s="38" t="s">
        <v>26</v>
      </c>
      <c r="C1306" s="38" t="s">
        <v>26</v>
      </c>
      <c r="D1306" s="38" t="s">
        <v>1270</v>
      </c>
      <c r="E1306" s="38" t="s">
        <v>1252</v>
      </c>
      <c r="F1306" s="38" t="s">
        <v>379</v>
      </c>
      <c r="G1306" s="38" t="s">
        <v>384</v>
      </c>
      <c r="H1306" s="58" t="str">
        <f>Table1[[#This Row],[Tabela]]&amp;Table1[[#This Row],[Campo]]</f>
        <v>lt002_instrumentlns_clltrlzd_clssfctn</v>
      </c>
      <c r="I1306" s="2" t="s">
        <v>612</v>
      </c>
      <c r="J1306" s="44">
        <f>VLOOKUP(Table1[[#This Row],[Status]],Auxiliar!$B$16:$C$24,2,0)</f>
        <v>1</v>
      </c>
      <c r="K1306" s="44" t="s">
        <v>1169</v>
      </c>
      <c r="L1306" s="45" t="s">
        <v>1174</v>
      </c>
      <c r="M1306" s="20" t="s">
        <v>1175</v>
      </c>
      <c r="N1306" s="47">
        <v>45596</v>
      </c>
      <c r="O1306" s="20">
        <f>INDEX(Auxiliar!$D$5:$F$13,MATCH(Table1[[#This Row],[Tipologia_Testes]],Auxiliar!$B$5:$B$13,0),MATCH(Table1[[#This Row],[Complexidade]],Auxiliar!$D$4:$F$4,0))</f>
        <v>2</v>
      </c>
      <c r="P1306" s="42" t="s">
        <v>1277</v>
      </c>
      <c r="Q1306" s="151"/>
      <c r="R1306" s="151">
        <v>45583</v>
      </c>
      <c r="S1306" s="151"/>
      <c r="T1306" s="151">
        <v>45583</v>
      </c>
      <c r="U1306" s="151"/>
      <c r="V1306" s="151">
        <v>45589</v>
      </c>
      <c r="W1306" s="2">
        <f>VLOOKUP(Table1[[#This Row],[Status]],Auxiliar!$B$16:$D$24,3,0)*Table1[[#This Row],[Estimação (horas)]]</f>
        <v>2</v>
      </c>
      <c r="X1306" s="165">
        <f>+VLOOKUP(CONCATENATE(Table1[[#This Row],[Tabela]],Table1[[#This Row],[Campo]]),'2. Status Detalhe Campos FY24'!A:J,9,FALSE)</f>
        <v>0</v>
      </c>
      <c r="Y1306" s="491" t="e">
        <f>+VLOOKUP(A1306,#REF!,1,FALSE)</f>
        <v>#REF!</v>
      </c>
    </row>
    <row r="1307" spans="1:25" ht="17.899999999999999" hidden="1" customHeight="1">
      <c r="A1307" t="str">
        <f>+Table1[[#This Row],[Tabela]]&amp;Table1[[#This Row],[Campo]]</f>
        <v>lt002_instrumentlns_clltrlzd_clssfctn</v>
      </c>
      <c r="B1307" s="38" t="s">
        <v>26</v>
      </c>
      <c r="C1307" s="38" t="s">
        <v>26</v>
      </c>
      <c r="D1307" s="38" t="s">
        <v>1270</v>
      </c>
      <c r="E1307" s="38" t="s">
        <v>1252</v>
      </c>
      <c r="F1307" s="38" t="s">
        <v>379</v>
      </c>
      <c r="G1307" s="38" t="s">
        <v>384</v>
      </c>
      <c r="H1307" s="58" t="str">
        <f>Table1[[#This Row],[Tabela]]&amp;Table1[[#This Row],[Campo]]</f>
        <v>lt002_instrumentlns_clltrlzd_clssfctn</v>
      </c>
      <c r="I1307" s="2" t="s">
        <v>612</v>
      </c>
      <c r="J1307" s="44">
        <f>VLOOKUP(Table1[[#This Row],[Status]],Auxiliar!$B$16:$C$24,2,0)</f>
        <v>1</v>
      </c>
      <c r="K1307" s="44" t="s">
        <v>1171</v>
      </c>
      <c r="L1307" s="45" t="s">
        <v>1174</v>
      </c>
      <c r="M1307" s="20" t="s">
        <v>1175</v>
      </c>
      <c r="N1307" s="47">
        <v>45596</v>
      </c>
      <c r="O1307" s="20">
        <f>INDEX(Auxiliar!$D$5:$F$13,MATCH(Table1[[#This Row],[Tipologia_Testes]],Auxiliar!$B$5:$B$13,0),MATCH(Table1[[#This Row],[Complexidade]],Auxiliar!$D$4:$F$4,0))</f>
        <v>0.1</v>
      </c>
      <c r="P1307" s="42" t="s">
        <v>1277</v>
      </c>
      <c r="Q1307" s="151"/>
      <c r="R1307" s="151">
        <v>45583</v>
      </c>
      <c r="S1307" s="151"/>
      <c r="T1307" s="151">
        <v>45583</v>
      </c>
      <c r="U1307" s="151"/>
      <c r="V1307" s="151">
        <v>45589</v>
      </c>
      <c r="W1307" s="2">
        <f>VLOOKUP(Table1[[#This Row],[Status]],Auxiliar!$B$16:$D$24,3,0)*Table1[[#This Row],[Estimação (horas)]]</f>
        <v>0.1</v>
      </c>
      <c r="X1307" s="165">
        <f>+VLOOKUP(CONCATENATE(Table1[[#This Row],[Tabela]],Table1[[#This Row],[Campo]]),'2. Status Detalhe Campos FY24'!A:J,9,FALSE)</f>
        <v>0</v>
      </c>
      <c r="Y1307" s="491" t="e">
        <f>+VLOOKUP(A1307,#REF!,1,FALSE)</f>
        <v>#REF!</v>
      </c>
    </row>
    <row r="1308" spans="1:25" ht="17.899999999999999" hidden="1" customHeight="1">
      <c r="A1308" t="str">
        <f>+Table1[[#This Row],[Tabela]]&amp;Table1[[#This Row],[Campo]]</f>
        <v>lt002_instrumentFRBRNC_STTS_INSTRMNT</v>
      </c>
      <c r="B1308" s="38" t="s">
        <v>26</v>
      </c>
      <c r="C1308" s="38" t="s">
        <v>26</v>
      </c>
      <c r="D1308" s="38" t="s">
        <v>1270</v>
      </c>
      <c r="E1308" s="38" t="s">
        <v>1252</v>
      </c>
      <c r="F1308" s="38" t="s">
        <v>379</v>
      </c>
      <c r="G1308" s="38" t="s">
        <v>2163</v>
      </c>
      <c r="H1308" s="58" t="str">
        <f>Table1[[#This Row],[Tabela]]&amp;Table1[[#This Row],[Campo]]</f>
        <v>lt002_instrumentFRBRNC_STTS_INSTRMNT</v>
      </c>
      <c r="I1308" s="2" t="s">
        <v>612</v>
      </c>
      <c r="J1308" s="44">
        <f>VLOOKUP(Table1[[#This Row],[Status]],Auxiliar!$B$16:$C$24,2,0)</f>
        <v>1</v>
      </c>
      <c r="K1308" s="44" t="s">
        <v>1169</v>
      </c>
      <c r="L1308" s="45" t="s">
        <v>1174</v>
      </c>
      <c r="M1308" s="20" t="s">
        <v>1175</v>
      </c>
      <c r="N1308" s="47">
        <v>45723</v>
      </c>
      <c r="O1308" s="20">
        <f>INDEX(Auxiliar!$D$5:$F$11,MATCH(Table1[[#This Row],[Tipologia_Testes]],Auxiliar!$B$5:$B$11,0),MATCH(Table1[[#This Row],[Complexidade]],Auxiliar!$D$4:$F$4,0))</f>
        <v>2</v>
      </c>
      <c r="P1308" s="42"/>
      <c r="Q1308" s="151"/>
      <c r="R1308" s="151"/>
      <c r="S1308" s="151"/>
      <c r="T1308" s="151"/>
      <c r="U1308" s="151"/>
      <c r="V1308" s="151"/>
      <c r="W1308" s="2">
        <f>VLOOKUP(Table1[[#This Row],[Status]],Auxiliar!$B$16:$D$24,3,0)*Table1[[#This Row],[Estimação (horas)]]</f>
        <v>2</v>
      </c>
      <c r="X1308" s="165">
        <f>+VLOOKUP(CONCATENATE(Table1[[#This Row],[Tabela]],Table1[[#This Row],[Campo]]),'2. Status Detalhe Campos FY24'!A:J,9,FALSE)</f>
        <v>0</v>
      </c>
      <c r="Y1308" s="491" t="e">
        <f>+VLOOKUP(A1308,#REF!,1,FALSE)</f>
        <v>#REF!</v>
      </c>
    </row>
    <row r="1309" spans="1:25" ht="17.899999999999999" hidden="1" customHeight="1">
      <c r="A1309" t="str">
        <f>+Table1[[#This Row],[Tabela]]&amp;Table1[[#This Row],[Campo]]</f>
        <v>lt002_instrumentINTRNL_SGMNT</v>
      </c>
      <c r="B1309" s="38" t="s">
        <v>26</v>
      </c>
      <c r="C1309" s="38" t="s">
        <v>26</v>
      </c>
      <c r="D1309" s="38" t="s">
        <v>1270</v>
      </c>
      <c r="E1309" s="38" t="s">
        <v>1252</v>
      </c>
      <c r="F1309" s="38" t="s">
        <v>379</v>
      </c>
      <c r="G1309" s="38" t="s">
        <v>2164</v>
      </c>
      <c r="H1309" s="58" t="str">
        <f>Table1[[#This Row],[Tabela]]&amp;Table1[[#This Row],[Campo]]</f>
        <v>lt002_instrumentINTRNL_SGMNT</v>
      </c>
      <c r="I1309" s="2" t="s">
        <v>612</v>
      </c>
      <c r="J1309" s="44">
        <f>VLOOKUP(Table1[[#This Row],[Status]],Auxiliar!$B$16:$C$24,2,0)</f>
        <v>1</v>
      </c>
      <c r="K1309" s="44" t="s">
        <v>1169</v>
      </c>
      <c r="L1309" s="45" t="s">
        <v>1174</v>
      </c>
      <c r="M1309" s="20" t="s">
        <v>1175</v>
      </c>
      <c r="N1309" s="47">
        <v>45723</v>
      </c>
      <c r="O1309" s="20">
        <f>INDEX(Auxiliar!$D$5:$F$11,MATCH(Table1[[#This Row],[Tipologia_Testes]],Auxiliar!$B$5:$B$11,0),MATCH(Table1[[#This Row],[Complexidade]],Auxiliar!$D$4:$F$4,0))</f>
        <v>2</v>
      </c>
      <c r="P1309" s="42"/>
      <c r="Q1309" s="151"/>
      <c r="R1309" s="151"/>
      <c r="S1309" s="151"/>
      <c r="T1309" s="151"/>
      <c r="U1309" s="151"/>
      <c r="V1309" s="151"/>
      <c r="W1309" s="2">
        <f>VLOOKUP(Table1[[#This Row],[Status]],Auxiliar!$B$16:$D$24,3,0)*Table1[[#This Row],[Estimação (horas)]]</f>
        <v>2</v>
      </c>
      <c r="X1309" s="165">
        <f>+VLOOKUP(CONCATENATE(Table1[[#This Row],[Tabela]],Table1[[#This Row],[Campo]]),'2. Status Detalhe Campos FY24'!A:J,9,FALSE)</f>
        <v>0</v>
      </c>
      <c r="Y1309" s="491" t="e">
        <f>+VLOOKUP(A1309,#REF!,1,FALSE)</f>
        <v>#REF!</v>
      </c>
    </row>
    <row r="1310" spans="1:25" ht="17.899999999999999" hidden="1" customHeight="1">
      <c r="A1310" t="str">
        <f>+Table1[[#This Row],[Tabela]]&amp;Table1[[#This Row],[Campo]]</f>
        <v>lt002_instrumentDT_ORGNL_MTRTY</v>
      </c>
      <c r="B1310" s="38" t="s">
        <v>26</v>
      </c>
      <c r="C1310" s="38" t="s">
        <v>26</v>
      </c>
      <c r="D1310" s="38" t="s">
        <v>1270</v>
      </c>
      <c r="E1310" s="38" t="s">
        <v>1252</v>
      </c>
      <c r="F1310" s="38" t="s">
        <v>379</v>
      </c>
      <c r="G1310" s="38" t="s">
        <v>2165</v>
      </c>
      <c r="H1310" s="58" t="str">
        <f>Table1[[#This Row],[Tabela]]&amp;Table1[[#This Row],[Campo]]</f>
        <v>lt002_instrumentDT_ORGNL_MTRTY</v>
      </c>
      <c r="I1310" s="2" t="s">
        <v>612</v>
      </c>
      <c r="J1310" s="44">
        <f>VLOOKUP(Table1[[#This Row],[Status]],Auxiliar!$B$16:$C$24,2,0)</f>
        <v>1</v>
      </c>
      <c r="K1310" s="44" t="s">
        <v>1169</v>
      </c>
      <c r="L1310" s="45" t="s">
        <v>1174</v>
      </c>
      <c r="M1310" s="20" t="s">
        <v>1175</v>
      </c>
      <c r="N1310" s="47">
        <v>45723</v>
      </c>
      <c r="O1310" s="20">
        <f>INDEX(Auxiliar!$D$5:$F$11,MATCH(Table1[[#This Row],[Tipologia_Testes]],Auxiliar!$B$5:$B$11,0),MATCH(Table1[[#This Row],[Complexidade]],Auxiliar!$D$4:$F$4,0))</f>
        <v>2</v>
      </c>
      <c r="P1310" s="42"/>
      <c r="Q1310" s="151"/>
      <c r="R1310" s="151"/>
      <c r="S1310" s="151"/>
      <c r="T1310" s="151"/>
      <c r="U1310" s="151"/>
      <c r="V1310" s="151"/>
      <c r="W1310" s="2">
        <f>VLOOKUP(Table1[[#This Row],[Status]],Auxiliar!$B$16:$D$24,3,0)*Table1[[#This Row],[Estimação (horas)]]</f>
        <v>2</v>
      </c>
      <c r="X1310" s="165">
        <f>+VLOOKUP(CONCATENATE(Table1[[#This Row],[Tabela]],Table1[[#This Row],[Campo]]),'2. Status Detalhe Campos FY24'!A:J,9,FALSE)</f>
        <v>0</v>
      </c>
      <c r="Y1310" s="491" t="e">
        <f>+VLOOKUP(A1310,#REF!,1,FALSE)</f>
        <v>#REF!</v>
      </c>
    </row>
    <row r="1311" spans="1:25" ht="17.899999999999999" hidden="1" customHeight="1">
      <c r="A1311" t="str">
        <f>+Table1[[#This Row],[Tabela]]&amp;Table1[[#This Row],[Campo]]</f>
        <v>lt002_instrumentEAD</v>
      </c>
      <c r="B1311" s="38" t="s">
        <v>26</v>
      </c>
      <c r="C1311" s="38" t="s">
        <v>26</v>
      </c>
      <c r="D1311" s="38" t="s">
        <v>1270</v>
      </c>
      <c r="E1311" s="38" t="s">
        <v>1252</v>
      </c>
      <c r="F1311" s="38" t="s">
        <v>379</v>
      </c>
      <c r="G1311" s="38" t="s">
        <v>2166</v>
      </c>
      <c r="H1311" s="58" t="str">
        <f>Table1[[#This Row],[Tabela]]&amp;Table1[[#This Row],[Campo]]</f>
        <v>lt002_instrumentEAD</v>
      </c>
      <c r="I1311" s="2" t="s">
        <v>612</v>
      </c>
      <c r="J1311" s="44">
        <f>VLOOKUP(Table1[[#This Row],[Status]],Auxiliar!$B$16:$C$24,2,0)</f>
        <v>1</v>
      </c>
      <c r="K1311" s="44" t="s">
        <v>1169</v>
      </c>
      <c r="L1311" s="45" t="s">
        <v>1174</v>
      </c>
      <c r="M1311" s="20" t="s">
        <v>1175</v>
      </c>
      <c r="N1311" s="47">
        <v>45723</v>
      </c>
      <c r="O1311" s="20">
        <f>INDEX(Auxiliar!$D$5:$F$11,MATCH(Table1[[#This Row],[Tipologia_Testes]],Auxiliar!$B$5:$B$11,0),MATCH(Table1[[#This Row],[Complexidade]],Auxiliar!$D$4:$F$4,0))</f>
        <v>2</v>
      </c>
      <c r="P1311" s="42"/>
      <c r="Q1311" s="151"/>
      <c r="R1311" s="151"/>
      <c r="S1311" s="151"/>
      <c r="T1311" s="151"/>
      <c r="U1311" s="151"/>
      <c r="V1311" s="151"/>
      <c r="W1311" s="2">
        <f>VLOOKUP(Table1[[#This Row],[Status]],Auxiliar!$B$16:$D$24,3,0)*Table1[[#This Row],[Estimação (horas)]]</f>
        <v>2</v>
      </c>
      <c r="X1311" s="165">
        <f>+VLOOKUP(CONCATENATE(Table1[[#This Row],[Tabela]],Table1[[#This Row],[Campo]]),'2. Status Detalhe Campos FY24'!A:J,9,FALSE)</f>
        <v>0</v>
      </c>
      <c r="Y1311" s="491" t="e">
        <f>+VLOOKUP(A1311,#REF!,1,FALSE)</f>
        <v>#REF!</v>
      </c>
    </row>
    <row r="1312" spans="1:25" ht="17.899999999999999" hidden="1" customHeight="1">
      <c r="A1312" t="str">
        <f>+Table1[[#This Row],[Tabela]]&amp;Table1[[#This Row],[Campo]]</f>
        <v>lt002_instrumentOFF_BLNC_SHT_AMNT_INSTRMNT</v>
      </c>
      <c r="B1312" s="38" t="s">
        <v>26</v>
      </c>
      <c r="C1312" s="38" t="s">
        <v>26</v>
      </c>
      <c r="D1312" s="38" t="s">
        <v>1270</v>
      </c>
      <c r="E1312" s="38" t="s">
        <v>1252</v>
      </c>
      <c r="F1312" s="38" t="s">
        <v>379</v>
      </c>
      <c r="G1312" s="38" t="s">
        <v>1412</v>
      </c>
      <c r="H1312" s="58" t="str">
        <f>Table1[[#This Row],[Tabela]]&amp;Table1[[#This Row],[Campo]]</f>
        <v>lt002_instrumentOFF_BLNC_SHT_AMNT_INSTRMNT</v>
      </c>
      <c r="I1312" s="2" t="s">
        <v>612</v>
      </c>
      <c r="J1312" s="44">
        <f>VLOOKUP(Table1[[#This Row],[Status]],Auxiliar!$B$16:$C$24,2,0)</f>
        <v>1</v>
      </c>
      <c r="K1312" s="44" t="s">
        <v>1169</v>
      </c>
      <c r="L1312" s="45" t="s">
        <v>1174</v>
      </c>
      <c r="M1312" s="20" t="s">
        <v>1175</v>
      </c>
      <c r="N1312" s="47"/>
      <c r="O1312" s="20">
        <f>INDEX(Auxiliar!$D$5:$F$11,MATCH(Table1[[#This Row],[Tipologia_Testes]],Auxiliar!$B$5:$B$11,0),MATCH(Table1[[#This Row],[Complexidade]],Auxiliar!$D$4:$F$4,0))</f>
        <v>2</v>
      </c>
      <c r="P1312" s="42"/>
      <c r="Q1312" s="151"/>
      <c r="R1312" s="151"/>
      <c r="S1312" s="151"/>
      <c r="T1312" s="151"/>
      <c r="U1312" s="151"/>
      <c r="V1312" s="151"/>
      <c r="W1312" s="2">
        <f>VLOOKUP(Table1[[#This Row],[Status]],Auxiliar!$B$16:$D$24,3,0)*Table1[[#This Row],[Estimação (horas)]]</f>
        <v>2</v>
      </c>
      <c r="X1312" s="165">
        <f>+VLOOKUP(CONCATENATE(Table1[[#This Row],[Tabela]],Table1[[#This Row],[Campo]]),'2. Status Detalhe Campos FY24'!A:J,9,FALSE)</f>
        <v>0</v>
      </c>
      <c r="Y1312" s="491" t="e">
        <f>+VLOOKUP(A1312,#REF!,1,FALSE)</f>
        <v>#REF!</v>
      </c>
    </row>
    <row r="1313" spans="1:25" ht="17.899999999999999" hidden="1" customHeight="1">
      <c r="A1313" t="str">
        <f>+Table1[[#This Row],[Tabela]]&amp;Table1[[#This Row],[Campo]]</f>
        <v>lt002_instrumentRWA</v>
      </c>
      <c r="B1313" s="38" t="s">
        <v>26</v>
      </c>
      <c r="C1313" s="38" t="s">
        <v>26</v>
      </c>
      <c r="D1313" s="38" t="s">
        <v>1270</v>
      </c>
      <c r="E1313" s="38" t="s">
        <v>1252</v>
      </c>
      <c r="F1313" s="38" t="s">
        <v>379</v>
      </c>
      <c r="G1313" s="38" t="s">
        <v>1418</v>
      </c>
      <c r="H1313" s="58" t="str">
        <f>Table1[[#This Row],[Tabela]]&amp;Table1[[#This Row],[Campo]]</f>
        <v>lt002_instrumentRWA</v>
      </c>
      <c r="I1313" s="2" t="s">
        <v>612</v>
      </c>
      <c r="J1313" s="44">
        <f>VLOOKUP(Table1[[#This Row],[Status]],Auxiliar!$B$16:$C$24,2,0)</f>
        <v>1</v>
      </c>
      <c r="K1313" s="44" t="s">
        <v>1169</v>
      </c>
      <c r="L1313" s="45" t="s">
        <v>1174</v>
      </c>
      <c r="M1313" s="20" t="s">
        <v>1175</v>
      </c>
      <c r="N1313" s="47">
        <v>45723</v>
      </c>
      <c r="O1313" s="20">
        <f>INDEX(Auxiliar!$D$5:$F$11,MATCH(Table1[[#This Row],[Tipologia_Testes]],Auxiliar!$B$5:$B$11,0),MATCH(Table1[[#This Row],[Complexidade]],Auxiliar!$D$4:$F$4,0))</f>
        <v>2</v>
      </c>
      <c r="P1313" s="42"/>
      <c r="Q1313" s="151"/>
      <c r="R1313" s="151"/>
      <c r="S1313" s="151"/>
      <c r="T1313" s="151"/>
      <c r="U1313" s="151"/>
      <c r="V1313" s="151"/>
      <c r="W1313" s="2">
        <f>VLOOKUP(Table1[[#This Row],[Status]],Auxiliar!$B$16:$D$24,3,0)*Table1[[#This Row],[Estimação (horas)]]</f>
        <v>2</v>
      </c>
      <c r="X1313" s="165">
        <f>+VLOOKUP(CONCATENATE(Table1[[#This Row],[Tabela]],Table1[[#This Row],[Campo]]),'2. Status Detalhe Campos FY24'!A:J,9,FALSE)</f>
        <v>0</v>
      </c>
      <c r="Y1313" s="491" t="e">
        <f>+VLOOKUP(A1313,#REF!,1,FALSE)</f>
        <v>#REF!</v>
      </c>
    </row>
    <row r="1314" spans="1:25" ht="17.899999999999999" hidden="1" customHeight="1">
      <c r="A1314" t="str">
        <f>+Table1[[#This Row],[Tabela]]&amp;Table1[[#This Row],[Campo]]</f>
        <v>lt002_instrumentLTV</v>
      </c>
      <c r="B1314" s="38" t="s">
        <v>26</v>
      </c>
      <c r="C1314" s="38" t="s">
        <v>26</v>
      </c>
      <c r="D1314" s="38" t="s">
        <v>1270</v>
      </c>
      <c r="E1314" s="38" t="s">
        <v>1252</v>
      </c>
      <c r="F1314" s="38" t="s">
        <v>379</v>
      </c>
      <c r="G1314" s="38" t="s">
        <v>2167</v>
      </c>
      <c r="H1314" s="58" t="str">
        <f>Table1[[#This Row],[Tabela]]&amp;Table1[[#This Row],[Campo]]</f>
        <v>lt002_instrumentLTV</v>
      </c>
      <c r="I1314" s="2" t="s">
        <v>612</v>
      </c>
      <c r="J1314" s="44">
        <f>VLOOKUP(Table1[[#This Row],[Status]],Auxiliar!$B$16:$C$24,2,0)</f>
        <v>1</v>
      </c>
      <c r="K1314" s="44" t="s">
        <v>1169</v>
      </c>
      <c r="L1314" s="45" t="s">
        <v>1174</v>
      </c>
      <c r="M1314" s="20" t="s">
        <v>1175</v>
      </c>
      <c r="N1314" s="47">
        <v>45723</v>
      </c>
      <c r="O1314" s="20">
        <f>INDEX(Auxiliar!$D$5:$F$11,MATCH(Table1[[#This Row],[Tipologia_Testes]],Auxiliar!$B$5:$B$11,0),MATCH(Table1[[#This Row],[Complexidade]],Auxiliar!$D$4:$F$4,0))</f>
        <v>2</v>
      </c>
      <c r="P1314" s="42"/>
      <c r="Q1314" s="151"/>
      <c r="R1314" s="151"/>
      <c r="S1314" s="151"/>
      <c r="T1314" s="151"/>
      <c r="U1314" s="151"/>
      <c r="V1314" s="151"/>
      <c r="W1314" s="2">
        <f>VLOOKUP(Table1[[#This Row],[Status]],Auxiliar!$B$16:$D$24,3,0)*Table1[[#This Row],[Estimação (horas)]]</f>
        <v>2</v>
      </c>
      <c r="X1314" s="165">
        <f>+VLOOKUP(CONCATENATE(Table1[[#This Row],[Tabela]],Table1[[#This Row],[Campo]]),'2. Status Detalhe Campos FY24'!A:J,9,FALSE)</f>
        <v>0</v>
      </c>
      <c r="Y1314" s="491" t="e">
        <f>+VLOOKUP(A1314,#REF!,1,FALSE)</f>
        <v>#REF!</v>
      </c>
    </row>
    <row r="1315" spans="1:25" ht="17.899999999999999" hidden="1" customHeight="1">
      <c r="A1315" t="str">
        <f>+Table1[[#This Row],[Tabela]]&amp;Table1[[#This Row],[Campo]]</f>
        <v>lt002_instrumentLTV_INCPTN</v>
      </c>
      <c r="B1315" s="38" t="s">
        <v>26</v>
      </c>
      <c r="C1315" s="38" t="s">
        <v>26</v>
      </c>
      <c r="D1315" s="38" t="s">
        <v>1270</v>
      </c>
      <c r="E1315" s="38" t="s">
        <v>1252</v>
      </c>
      <c r="F1315" s="38" t="s">
        <v>379</v>
      </c>
      <c r="G1315" s="38" t="s">
        <v>2168</v>
      </c>
      <c r="H1315" s="58" t="str">
        <f>Table1[[#This Row],[Tabela]]&amp;Table1[[#This Row],[Campo]]</f>
        <v>lt002_instrumentLTV_INCPTN</v>
      </c>
      <c r="I1315" s="2" t="s">
        <v>612</v>
      </c>
      <c r="J1315" s="44">
        <f>VLOOKUP(Table1[[#This Row],[Status]],Auxiliar!$B$16:$C$24,2,0)</f>
        <v>1</v>
      </c>
      <c r="K1315" s="44" t="s">
        <v>1169</v>
      </c>
      <c r="L1315" s="45" t="s">
        <v>1174</v>
      </c>
      <c r="M1315" s="20" t="s">
        <v>1175</v>
      </c>
      <c r="N1315" s="47">
        <v>45723</v>
      </c>
      <c r="O1315" s="20">
        <f>INDEX(Auxiliar!$D$5:$F$11,MATCH(Table1[[#This Row],[Tipologia_Testes]],Auxiliar!$B$5:$B$11,0),MATCH(Table1[[#This Row],[Complexidade]],Auxiliar!$D$4:$F$4,0))</f>
        <v>2</v>
      </c>
      <c r="P1315" s="42"/>
      <c r="Q1315" s="151"/>
      <c r="R1315" s="151"/>
      <c r="S1315" s="151"/>
      <c r="T1315" s="151"/>
      <c r="U1315" s="151"/>
      <c r="V1315" s="151"/>
      <c r="W1315" s="2">
        <f>VLOOKUP(Table1[[#This Row],[Status]],Auxiliar!$B$16:$D$24,3,0)*Table1[[#This Row],[Estimação (horas)]]</f>
        <v>2</v>
      </c>
      <c r="X1315" s="165">
        <f>+VLOOKUP(CONCATENATE(Table1[[#This Row],[Tabela]],Table1[[#This Row],[Campo]]),'2. Status Detalhe Campos FY24'!A:J,9,FALSE)</f>
        <v>0</v>
      </c>
      <c r="Y1315" s="491" t="e">
        <f>+VLOOKUP(A1315,#REF!,1,FALSE)</f>
        <v>#REF!</v>
      </c>
    </row>
    <row r="1316" spans="1:25" ht="17.899999999999999" hidden="1" customHeight="1">
      <c r="A1316" t="str">
        <f>+Table1[[#This Row],[Tabela]]&amp;Table1[[#This Row],[Campo]]</f>
        <v>lt002_instrumentEIR</v>
      </c>
      <c r="B1316" s="38" t="s">
        <v>26</v>
      </c>
      <c r="C1316" s="38" t="s">
        <v>26</v>
      </c>
      <c r="D1316" s="38" t="s">
        <v>1270</v>
      </c>
      <c r="E1316" s="38" t="s">
        <v>1252</v>
      </c>
      <c r="F1316" s="38" t="s">
        <v>379</v>
      </c>
      <c r="G1316" s="38" t="s">
        <v>2169</v>
      </c>
      <c r="H1316" s="58" t="str">
        <f>Table1[[#This Row],[Tabela]]&amp;Table1[[#This Row],[Campo]]</f>
        <v>lt002_instrumentEIR</v>
      </c>
      <c r="I1316" s="2" t="s">
        <v>612</v>
      </c>
      <c r="J1316" s="44">
        <f>VLOOKUP(Table1[[#This Row],[Status]],Auxiliar!$B$16:$C$24,2,0)</f>
        <v>1</v>
      </c>
      <c r="K1316" s="44" t="s">
        <v>1169</v>
      </c>
      <c r="L1316" s="45" t="s">
        <v>1174</v>
      </c>
      <c r="M1316" s="20" t="s">
        <v>1175</v>
      </c>
      <c r="N1316" s="47">
        <v>45723</v>
      </c>
      <c r="O1316" s="20">
        <f>INDEX(Auxiliar!$D$5:$F$11,MATCH(Table1[[#This Row],[Tipologia_Testes]],Auxiliar!$B$5:$B$11,0),MATCH(Table1[[#This Row],[Complexidade]],Auxiliar!$D$4:$F$4,0))</f>
        <v>2</v>
      </c>
      <c r="P1316" s="42"/>
      <c r="Q1316" s="151"/>
      <c r="R1316" s="151"/>
      <c r="S1316" s="151"/>
      <c r="T1316" s="151"/>
      <c r="U1316" s="151"/>
      <c r="V1316" s="151"/>
      <c r="W1316" s="2">
        <f>VLOOKUP(Table1[[#This Row],[Status]],Auxiliar!$B$16:$D$24,3,0)*Table1[[#This Row],[Estimação (horas)]]</f>
        <v>2</v>
      </c>
      <c r="X1316" s="165">
        <f>+VLOOKUP(CONCATENATE(Table1[[#This Row],[Tabela]],Table1[[#This Row],[Campo]]),'2. Status Detalhe Campos FY24'!A:J,9,FALSE)</f>
        <v>0</v>
      </c>
      <c r="Y1316" s="491" t="e">
        <f>+VLOOKUP(A1316,#REF!,1,FALSE)</f>
        <v>#REF!</v>
      </c>
    </row>
    <row r="1317" spans="1:25" ht="17.899999999999999" hidden="1" customHeight="1">
      <c r="A1317" t="str">
        <f>+Table1[[#This Row],[Tabela]]&amp;Table1[[#This Row],[Campo]]</f>
        <v>lt002_instrumentEIR_INCPTN</v>
      </c>
      <c r="B1317" s="38" t="s">
        <v>26</v>
      </c>
      <c r="C1317" s="38" t="s">
        <v>26</v>
      </c>
      <c r="D1317" s="38" t="s">
        <v>1270</v>
      </c>
      <c r="E1317" s="38" t="s">
        <v>1252</v>
      </c>
      <c r="F1317" s="38" t="s">
        <v>379</v>
      </c>
      <c r="G1317" s="38" t="s">
        <v>2170</v>
      </c>
      <c r="H1317" s="58" t="str">
        <f>Table1[[#This Row],[Tabela]]&amp;Table1[[#This Row],[Campo]]</f>
        <v>lt002_instrumentEIR_INCPTN</v>
      </c>
      <c r="I1317" s="2" t="s">
        <v>612</v>
      </c>
      <c r="J1317" s="44">
        <f>VLOOKUP(Table1[[#This Row],[Status]],Auxiliar!$B$16:$C$24,2,0)</f>
        <v>1</v>
      </c>
      <c r="K1317" s="44" t="s">
        <v>1169</v>
      </c>
      <c r="L1317" s="45" t="s">
        <v>1174</v>
      </c>
      <c r="M1317" s="20" t="s">
        <v>1175</v>
      </c>
      <c r="N1317" s="47">
        <v>45723</v>
      </c>
      <c r="O1317" s="20">
        <f>INDEX(Auxiliar!$D$5:$F$11,MATCH(Table1[[#This Row],[Tipologia_Testes]],Auxiliar!$B$5:$B$11,0),MATCH(Table1[[#This Row],[Complexidade]],Auxiliar!$D$4:$F$4,0))</f>
        <v>2</v>
      </c>
      <c r="P1317" s="42"/>
      <c r="Q1317" s="151"/>
      <c r="R1317" s="151"/>
      <c r="S1317" s="151"/>
      <c r="T1317" s="151"/>
      <c r="U1317" s="151"/>
      <c r="V1317" s="151"/>
      <c r="W1317" s="2">
        <f>VLOOKUP(Table1[[#This Row],[Status]],Auxiliar!$B$16:$D$24,3,0)*Table1[[#This Row],[Estimação (horas)]]</f>
        <v>2</v>
      </c>
      <c r="X1317" s="165">
        <f>+VLOOKUP(CONCATENATE(Table1[[#This Row],[Tabela]],Table1[[#This Row],[Campo]]),'2. Status Detalhe Campos FY24'!A:J,9,FALSE)</f>
        <v>0</v>
      </c>
      <c r="Y1317" s="491" t="e">
        <f>+VLOOKUP(A1317,#REF!,1,FALSE)</f>
        <v>#REF!</v>
      </c>
    </row>
    <row r="1318" spans="1:25" ht="17.899999999999999" hidden="1" customHeight="1">
      <c r="A1318" t="str">
        <f>+Table1[[#This Row],[Tabela]]&amp;Table1[[#This Row],[Campo]]</f>
        <v>lt002_instrumentINTRNL_SGMNT_CAT_MSTA</v>
      </c>
      <c r="B1318" s="38" t="s">
        <v>26</v>
      </c>
      <c r="C1318" s="38" t="s">
        <v>26</v>
      </c>
      <c r="D1318" s="38" t="s">
        <v>1270</v>
      </c>
      <c r="E1318" s="38" t="s">
        <v>1252</v>
      </c>
      <c r="F1318" s="38" t="s">
        <v>379</v>
      </c>
      <c r="G1318" s="38" t="s">
        <v>2171</v>
      </c>
      <c r="H1318" s="58" t="str">
        <f>Table1[[#This Row],[Tabela]]&amp;Table1[[#This Row],[Campo]]</f>
        <v>lt002_instrumentINTRNL_SGMNT_CAT_MSTA</v>
      </c>
      <c r="I1318" s="2" t="s">
        <v>612</v>
      </c>
      <c r="J1318" s="44">
        <f>VLOOKUP(Table1[[#This Row],[Status]],Auxiliar!$B$16:$C$24,2,0)</f>
        <v>1</v>
      </c>
      <c r="K1318" s="44" t="s">
        <v>1169</v>
      </c>
      <c r="L1318" s="45" t="s">
        <v>1174</v>
      </c>
      <c r="M1318" s="20" t="s">
        <v>1175</v>
      </c>
      <c r="N1318" s="47">
        <v>45723</v>
      </c>
      <c r="O1318" s="20">
        <f>INDEX(Auxiliar!$D$5:$F$11,MATCH(Table1[[#This Row],[Tipologia_Testes]],Auxiliar!$B$5:$B$11,0),MATCH(Table1[[#This Row],[Complexidade]],Auxiliar!$D$4:$F$4,0))</f>
        <v>2</v>
      </c>
      <c r="P1318" s="42"/>
      <c r="Q1318" s="151"/>
      <c r="R1318" s="151"/>
      <c r="S1318" s="151"/>
      <c r="T1318" s="151"/>
      <c r="U1318" s="151"/>
      <c r="V1318" s="151"/>
      <c r="W1318" s="2">
        <f>VLOOKUP(Table1[[#This Row],[Status]],Auxiliar!$B$16:$D$24,3,0)*Table1[[#This Row],[Estimação (horas)]]</f>
        <v>2</v>
      </c>
      <c r="X1318" s="165">
        <f>+VLOOKUP(CONCATENATE(Table1[[#This Row],[Tabela]],Table1[[#This Row],[Campo]]),'2. Status Detalhe Campos FY24'!A:J,9,FALSE)</f>
        <v>0</v>
      </c>
      <c r="Y1318" s="491" t="e">
        <f>+VLOOKUP(A1318,#REF!,1,FALSE)</f>
        <v>#REF!</v>
      </c>
    </row>
    <row r="1319" spans="1:25" ht="17.899999999999999" hidden="1" customHeight="1">
      <c r="A1319" t="str">
        <f>+Table1[[#This Row],[Tabela]]&amp;Table1[[#This Row],[Campo]]</f>
        <v>lt002_instrumentINTRNL_SGMNT_CATGSUB</v>
      </c>
      <c r="B1319" s="38" t="s">
        <v>26</v>
      </c>
      <c r="C1319" s="38" t="s">
        <v>26</v>
      </c>
      <c r="D1319" s="38" t="s">
        <v>1270</v>
      </c>
      <c r="E1319" s="38" t="s">
        <v>1252</v>
      </c>
      <c r="F1319" s="38" t="s">
        <v>379</v>
      </c>
      <c r="G1319" s="38" t="s">
        <v>2172</v>
      </c>
      <c r="H1319" s="58" t="str">
        <f>Table1[[#This Row],[Tabela]]&amp;Table1[[#This Row],[Campo]]</f>
        <v>lt002_instrumentINTRNL_SGMNT_CATGSUB</v>
      </c>
      <c r="I1319" s="2" t="s">
        <v>612</v>
      </c>
      <c r="J1319" s="44">
        <f>VLOOKUP(Table1[[#This Row],[Status]],Auxiliar!$B$16:$C$24,2,0)</f>
        <v>1</v>
      </c>
      <c r="K1319" s="44" t="s">
        <v>1169</v>
      </c>
      <c r="L1319" s="45" t="s">
        <v>1174</v>
      </c>
      <c r="M1319" s="20" t="s">
        <v>1175</v>
      </c>
      <c r="N1319" s="47">
        <v>45723</v>
      </c>
      <c r="O1319" s="20">
        <f>INDEX(Auxiliar!$D$5:$F$11,MATCH(Table1[[#This Row],[Tipologia_Testes]],Auxiliar!$B$5:$B$11,0),MATCH(Table1[[#This Row],[Complexidade]],Auxiliar!$D$4:$F$4,0))</f>
        <v>2</v>
      </c>
      <c r="P1319" s="42"/>
      <c r="Q1319" s="151"/>
      <c r="R1319" s="151"/>
      <c r="S1319" s="151"/>
      <c r="T1319" s="151"/>
      <c r="U1319" s="151"/>
      <c r="V1319" s="151"/>
      <c r="W1319" s="2">
        <f>VLOOKUP(Table1[[#This Row],[Status]],Auxiliar!$B$16:$D$24,3,0)*Table1[[#This Row],[Estimação (horas)]]</f>
        <v>2</v>
      </c>
      <c r="X1319" s="165">
        <f>+VLOOKUP(CONCATENATE(Table1[[#This Row],[Tabela]],Table1[[#This Row],[Campo]]),'2. Status Detalhe Campos FY24'!A:J,9,FALSE)</f>
        <v>0</v>
      </c>
      <c r="Y1319" s="491" t="e">
        <f>+VLOOKUP(A1319,#REF!,1,FALSE)</f>
        <v>#REF!</v>
      </c>
    </row>
    <row r="1320" spans="1:25" ht="17.899999999999999" hidden="1" customHeight="1">
      <c r="A1320" t="str">
        <f>+Table1[[#This Row],[Tabela]]&amp;Table1[[#This Row],[Campo]]</f>
        <v>lt002_instrumentNW_BSNSS</v>
      </c>
      <c r="B1320" s="38" t="s">
        <v>26</v>
      </c>
      <c r="C1320" s="38" t="s">
        <v>26</v>
      </c>
      <c r="D1320" s="38" t="s">
        <v>1270</v>
      </c>
      <c r="E1320" s="38" t="s">
        <v>1252</v>
      </c>
      <c r="F1320" s="38" t="s">
        <v>379</v>
      </c>
      <c r="G1320" s="38" t="s">
        <v>1334</v>
      </c>
      <c r="H1320" s="58" t="str">
        <f>Table1[[#This Row],[Tabela]]&amp;Table1[[#This Row],[Campo]]</f>
        <v>lt002_instrumentNW_BSNSS</v>
      </c>
      <c r="I1320" s="2" t="s">
        <v>2319</v>
      </c>
      <c r="J1320" s="44">
        <f>VLOOKUP(Table1[[#This Row],[Status]],Auxiliar!$B$16:$C$24,2,0)</f>
        <v>7</v>
      </c>
      <c r="K1320" s="44" t="s">
        <v>1169</v>
      </c>
      <c r="L1320" s="45" t="s">
        <v>1174</v>
      </c>
      <c r="M1320" s="20" t="s">
        <v>1175</v>
      </c>
      <c r="N1320" s="47"/>
      <c r="O1320" s="20">
        <f>INDEX(Auxiliar!$D$5:$F$11,MATCH(Table1[[#This Row],[Tipologia_Testes]],Auxiliar!$B$5:$B$11,0),MATCH(Table1[[#This Row],[Complexidade]],Auxiliar!$D$4:$F$4,0))</f>
        <v>2</v>
      </c>
      <c r="P1320" s="42"/>
      <c r="Q1320" s="151"/>
      <c r="R1320" s="151"/>
      <c r="S1320" s="151"/>
      <c r="T1320" s="151"/>
      <c r="U1320" s="151"/>
      <c r="V1320" s="151"/>
      <c r="W1320" s="2">
        <f>VLOOKUP(Table1[[#This Row],[Status]],Auxiliar!$B$16:$D$24,3,0)*Table1[[#This Row],[Estimação (horas)]]</f>
        <v>0.5</v>
      </c>
      <c r="X1320" s="165">
        <f>+VLOOKUP(CONCATENATE(Table1[[#This Row],[Tabela]],Table1[[#This Row],[Campo]]),'2. Status Detalhe Campos FY24'!A:J,9,FALSE)</f>
        <v>0</v>
      </c>
      <c r="Y1320" s="491" t="e">
        <f>+VLOOKUP(A1320,#REF!,1,FALSE)</f>
        <v>#REF!</v>
      </c>
    </row>
    <row r="1321" spans="1:25" ht="17.899999999999999" hidden="1" customHeight="1">
      <c r="A1321" t="str">
        <f>+Table1[[#This Row],[Tabela]]&amp;Table1[[#This Row],[Campo]]</f>
        <v>lt002_instrumentCNCLLD_INSTRMNT_STTS</v>
      </c>
      <c r="B1321" s="38" t="s">
        <v>26</v>
      </c>
      <c r="C1321" s="38" t="s">
        <v>26</v>
      </c>
      <c r="D1321" s="38" t="s">
        <v>1270</v>
      </c>
      <c r="E1321" s="38" t="s">
        <v>1252</v>
      </c>
      <c r="F1321" s="38" t="s">
        <v>379</v>
      </c>
      <c r="G1321" s="38" t="s">
        <v>1344</v>
      </c>
      <c r="H1321" s="58" t="str">
        <f>Table1[[#This Row],[Tabela]]&amp;Table1[[#This Row],[Campo]]</f>
        <v>lt002_instrumentCNCLLD_INSTRMNT_STTS</v>
      </c>
      <c r="I1321" s="2" t="s">
        <v>2319</v>
      </c>
      <c r="J1321" s="44">
        <f>VLOOKUP(Table1[[#This Row],[Status]],Auxiliar!$B$16:$C$24,2,0)</f>
        <v>7</v>
      </c>
      <c r="K1321" s="44" t="s">
        <v>1169</v>
      </c>
      <c r="L1321" s="45" t="s">
        <v>1174</v>
      </c>
      <c r="M1321" s="20" t="s">
        <v>1175</v>
      </c>
      <c r="N1321" s="47"/>
      <c r="O1321" s="20">
        <f>INDEX(Auxiliar!$D$5:$F$11,MATCH(Table1[[#This Row],[Tipologia_Testes]],Auxiliar!$B$5:$B$11,0),MATCH(Table1[[#This Row],[Complexidade]],Auxiliar!$D$4:$F$4,0))</f>
        <v>2</v>
      </c>
      <c r="P1321" s="42"/>
      <c r="Q1321" s="151"/>
      <c r="R1321" s="151"/>
      <c r="S1321" s="151"/>
      <c r="T1321" s="151"/>
      <c r="U1321" s="151"/>
      <c r="V1321" s="151"/>
      <c r="W1321" s="2">
        <f>VLOOKUP(Table1[[#This Row],[Status]],Auxiliar!$B$16:$D$24,3,0)*Table1[[#This Row],[Estimação (horas)]]</f>
        <v>0.5</v>
      </c>
      <c r="X1321" s="165">
        <f>+VLOOKUP(CONCATENATE(Table1[[#This Row],[Tabela]],Table1[[#This Row],[Campo]]),'2. Status Detalhe Campos FY24'!A:J,9,FALSE)</f>
        <v>0</v>
      </c>
      <c r="Y1321" s="491" t="e">
        <f>+VLOOKUP(A1321,#REF!,1,FALSE)</f>
        <v>#REF!</v>
      </c>
    </row>
    <row r="1322" spans="1:25" ht="17.899999999999999" hidden="1" customHeight="1">
      <c r="A1322" t="str">
        <f>+Table1[[#This Row],[Tabela]]&amp;Table1[[#This Row],[Campo]]</f>
        <v>lt002_instrumentTYP_OFF_BLNC_PRDCT</v>
      </c>
      <c r="B1322" s="38" t="s">
        <v>26</v>
      </c>
      <c r="C1322" s="38" t="s">
        <v>26</v>
      </c>
      <c r="D1322" s="38" t="s">
        <v>1270</v>
      </c>
      <c r="E1322" s="38" t="s">
        <v>1252</v>
      </c>
      <c r="F1322" s="38" t="s">
        <v>379</v>
      </c>
      <c r="G1322" s="38" t="s">
        <v>2173</v>
      </c>
      <c r="H1322" s="58" t="str">
        <f>Table1[[#This Row],[Tabela]]&amp;Table1[[#This Row],[Campo]]</f>
        <v>lt002_instrumentTYP_OFF_BLNC_PRDCT</v>
      </c>
      <c r="I1322" s="2" t="s">
        <v>2319</v>
      </c>
      <c r="J1322" s="44">
        <f>VLOOKUP(Table1[[#This Row],[Status]],Auxiliar!$B$16:$C$24,2,0)</f>
        <v>7</v>
      </c>
      <c r="K1322" s="44" t="s">
        <v>1169</v>
      </c>
      <c r="L1322" s="45" t="s">
        <v>1174</v>
      </c>
      <c r="M1322" s="20" t="s">
        <v>1175</v>
      </c>
      <c r="N1322" s="47"/>
      <c r="O1322" s="20">
        <f>INDEX(Auxiliar!$D$5:$F$11,MATCH(Table1[[#This Row],[Tipologia_Testes]],Auxiliar!$B$5:$B$11,0),MATCH(Table1[[#This Row],[Complexidade]],Auxiliar!$D$4:$F$4,0))</f>
        <v>2</v>
      </c>
      <c r="P1322" s="42"/>
      <c r="Q1322" s="151"/>
      <c r="R1322" s="151"/>
      <c r="S1322" s="151"/>
      <c r="T1322" s="151"/>
      <c r="U1322" s="151"/>
      <c r="V1322" s="151"/>
      <c r="W1322" s="2">
        <f>VLOOKUP(Table1[[#This Row],[Status]],Auxiliar!$B$16:$D$24,3,0)*Table1[[#This Row],[Estimação (horas)]]</f>
        <v>0.5</v>
      </c>
      <c r="X1322" s="165">
        <f>+VLOOKUP(CONCATENATE(Table1[[#This Row],[Tabela]],Table1[[#This Row],[Campo]]),'2. Status Detalhe Campos FY24'!A:J,9,FALSE)</f>
        <v>0</v>
      </c>
      <c r="Y1322" s="491" t="e">
        <f>+VLOOKUP(A1322,#REF!,1,FALSE)</f>
        <v>#REF!</v>
      </c>
    </row>
    <row r="1323" spans="1:25" ht="35.15" hidden="1" customHeight="1">
      <c r="A1323" t="str">
        <f>+Table1[[#This Row],[Tabela]]&amp;Table1[[#This Row],[Campo]]</f>
        <v>lt002_instrumentFLG_MNMM_SFGRDS</v>
      </c>
      <c r="B1323" s="38" t="s">
        <v>26</v>
      </c>
      <c r="C1323" s="38" t="s">
        <v>26</v>
      </c>
      <c r="D1323" s="38" t="s">
        <v>1270</v>
      </c>
      <c r="E1323" s="38" t="s">
        <v>1252</v>
      </c>
      <c r="F1323" s="38" t="s">
        <v>379</v>
      </c>
      <c r="G1323" s="38" t="s">
        <v>2174</v>
      </c>
      <c r="H1323" s="58" t="str">
        <f>Table1[[#This Row],[Tabela]]&amp;Table1[[#This Row],[Campo]]</f>
        <v>lt002_instrumentFLG_MNMM_SFGRDS</v>
      </c>
      <c r="I1323" s="2" t="s">
        <v>612</v>
      </c>
      <c r="J1323" s="44">
        <f>VLOOKUP(Table1[[#This Row],[Status]],Auxiliar!$B$16:$C$24,2,0)</f>
        <v>1</v>
      </c>
      <c r="K1323" s="44" t="s">
        <v>1169</v>
      </c>
      <c r="L1323" s="45" t="s">
        <v>1174</v>
      </c>
      <c r="M1323" s="20" t="s">
        <v>1175</v>
      </c>
      <c r="N1323" s="47">
        <v>45737</v>
      </c>
      <c r="O1323" s="20">
        <f>INDEX(Auxiliar!$D$5:$F$11,MATCH(Table1[[#This Row],[Tipologia_Testes]],Auxiliar!$B$5:$B$11,0),MATCH(Table1[[#This Row],[Complexidade]],Auxiliar!$D$4:$F$4,0))</f>
        <v>2</v>
      </c>
      <c r="P1323" s="42"/>
      <c r="Q1323" s="151"/>
      <c r="R1323" s="151"/>
      <c r="S1323" s="151"/>
      <c r="T1323" s="151"/>
      <c r="U1323" s="151"/>
      <c r="V1323" s="151"/>
      <c r="W1323" s="2">
        <f>VLOOKUP(Table1[[#This Row],[Status]],Auxiliar!$B$16:$D$24,3,0)*Table1[[#This Row],[Estimação (horas)]]</f>
        <v>2</v>
      </c>
      <c r="X1323" s="165">
        <f>+VLOOKUP(CONCATENATE(Table1[[#This Row],[Tabela]],Table1[[#This Row],[Campo]]),'2. Status Detalhe Campos FY24'!A:J,9,FALSE)</f>
        <v>0</v>
      </c>
      <c r="Y1323" s="491" t="e">
        <f>+VLOOKUP(A1323,#REF!,1,FALSE)</f>
        <v>#REF!</v>
      </c>
    </row>
    <row r="1324" spans="1:25" ht="17.899999999999999" hidden="1" customHeight="1">
      <c r="A1324" t="str">
        <f>+Table1[[#This Row],[Tabela]]&amp;Table1[[#This Row],[Campo]]</f>
        <v>lt002_instrumentmthd_usd_instrmnt_scp_1</v>
      </c>
      <c r="B1324" s="38" t="s">
        <v>26</v>
      </c>
      <c r="C1324" s="38" t="s">
        <v>26</v>
      </c>
      <c r="D1324" s="36" t="s">
        <v>1860</v>
      </c>
      <c r="E1324" s="110" t="s">
        <v>38</v>
      </c>
      <c r="F1324" s="39" t="s">
        <v>379</v>
      </c>
      <c r="G1324" s="37" t="s">
        <v>385</v>
      </c>
      <c r="H1324" s="59" t="str">
        <f>Table1[[#This Row],[Tabela]]&amp;Table1[[#This Row],[Campo]]</f>
        <v>lt002_instrumentmthd_usd_instrmnt_scp_1</v>
      </c>
      <c r="I1324" s="2" t="s">
        <v>615</v>
      </c>
      <c r="J1324" s="44">
        <f>VLOOKUP(Table1[[#This Row],[Status]],Auxiliar!$B$16:$C$24,2,0)</f>
        <v>6</v>
      </c>
      <c r="K1324" s="44" t="s">
        <v>1168</v>
      </c>
      <c r="L1324" s="45" t="s">
        <v>1174</v>
      </c>
      <c r="M1324" s="20" t="s">
        <v>1175</v>
      </c>
      <c r="N1324" s="47">
        <v>45667</v>
      </c>
      <c r="O1324" s="20">
        <f>INDEX(Auxiliar!$D$5:$F$13,MATCH(Table1[[#This Row],[Tipologia_Testes]],Auxiliar!$B$5:$B$13,0),MATCH(Table1[[#This Row],[Complexidade]],Auxiliar!$D$4:$F$4,0))</f>
        <v>2</v>
      </c>
      <c r="P1324" s="42"/>
      <c r="Q1324" s="151"/>
      <c r="R1324" s="151">
        <v>45622</v>
      </c>
      <c r="S1324" s="151"/>
      <c r="T1324" s="151"/>
      <c r="U1324" s="151">
        <v>45631</v>
      </c>
      <c r="V1324" s="151">
        <v>45631</v>
      </c>
      <c r="W1324" s="2">
        <f>VLOOKUP(Table1[[#This Row],[Status]],Auxiliar!$B$16:$D$24,3,0)*Table1[[#This Row],[Estimação (horas)]]</f>
        <v>0.5</v>
      </c>
      <c r="X1324" s="165">
        <f>+VLOOKUP(CONCATENATE(Table1[[#This Row],[Tabela]],Table1[[#This Row],[Campo]]),'2. Status Detalhe Campos FY24'!A:J,9,FALSE)</f>
        <v>0</v>
      </c>
      <c r="Y1324" s="491" t="e">
        <f>+VLOOKUP(A1324,#REF!,1,FALSE)</f>
        <v>#REF!</v>
      </c>
    </row>
    <row r="1325" spans="1:25" ht="17.899999999999999" hidden="1" customHeight="1">
      <c r="A1325" t="str">
        <f>+Table1[[#This Row],[Tabela]]&amp;Table1[[#This Row],[Campo]]</f>
        <v>lt002_instrumentmthd_usd_instrmnt_scp_1</v>
      </c>
      <c r="B1325" s="38" t="s">
        <v>26</v>
      </c>
      <c r="C1325" s="38" t="s">
        <v>26</v>
      </c>
      <c r="D1325" s="38" t="s">
        <v>1860</v>
      </c>
      <c r="E1325" s="38" t="s">
        <v>38</v>
      </c>
      <c r="F1325" s="38" t="s">
        <v>379</v>
      </c>
      <c r="G1325" s="38" t="s">
        <v>385</v>
      </c>
      <c r="H1325" s="58" t="str">
        <f>Table1[[#This Row],[Tabela]]&amp;Table1[[#This Row],[Campo]]</f>
        <v>lt002_instrumentmthd_usd_instrmnt_scp_1</v>
      </c>
      <c r="I1325" s="2" t="s">
        <v>615</v>
      </c>
      <c r="J1325" s="44">
        <f>VLOOKUP(Table1[[#This Row],[Status]],Auxiliar!$B$16:$C$24,2,0)</f>
        <v>6</v>
      </c>
      <c r="K1325" s="44" t="s">
        <v>1169</v>
      </c>
      <c r="L1325" s="45" t="s">
        <v>1174</v>
      </c>
      <c r="M1325" s="20" t="s">
        <v>1175</v>
      </c>
      <c r="N1325" s="47">
        <v>45716</v>
      </c>
      <c r="O1325" s="20">
        <f>INDEX(Auxiliar!$D$5:$F$13,MATCH(Table1[[#This Row],[Tipologia_Testes]],Auxiliar!$B$5:$B$13,0),MATCH(Table1[[#This Row],[Complexidade]],Auxiliar!$D$4:$F$4,0))</f>
        <v>2</v>
      </c>
      <c r="P1325" s="42"/>
      <c r="Q1325" s="151"/>
      <c r="R1325" s="151">
        <v>45622</v>
      </c>
      <c r="S1325" s="151"/>
      <c r="T1325" s="151"/>
      <c r="U1325" s="151">
        <v>45631</v>
      </c>
      <c r="V1325" s="151">
        <v>45631</v>
      </c>
      <c r="W1325" s="2">
        <f>VLOOKUP(Table1[[#This Row],[Status]],Auxiliar!$B$16:$D$24,3,0)*Table1[[#This Row],[Estimação (horas)]]</f>
        <v>0.5</v>
      </c>
      <c r="X1325" s="165">
        <f>+VLOOKUP(CONCATENATE(Table1[[#This Row],[Tabela]],Table1[[#This Row],[Campo]]),'2. Status Detalhe Campos FY24'!A:J,9,FALSE)</f>
        <v>0</v>
      </c>
      <c r="Y1325" s="491" t="e">
        <f>+VLOOKUP(A1325,#REF!,1,FALSE)</f>
        <v>#REF!</v>
      </c>
    </row>
    <row r="1326" spans="1:25" ht="35.15" hidden="1" customHeight="1">
      <c r="A1326" t="str">
        <f>+Table1[[#This Row],[Tabela]]&amp;Table1[[#This Row],[Campo]]</f>
        <v>lt002_instrumentmthd_usd_instrmnt_scp_1</v>
      </c>
      <c r="B1326" s="38" t="s">
        <v>26</v>
      </c>
      <c r="C1326" s="38" t="s">
        <v>26</v>
      </c>
      <c r="D1326" s="38" t="s">
        <v>1860</v>
      </c>
      <c r="E1326" s="38" t="s">
        <v>38</v>
      </c>
      <c r="F1326" s="38" t="s">
        <v>379</v>
      </c>
      <c r="G1326" s="38" t="s">
        <v>385</v>
      </c>
      <c r="H1326" s="58" t="str">
        <f>Table1[[#This Row],[Tabela]]&amp;Table1[[#This Row],[Campo]]</f>
        <v>lt002_instrumentmthd_usd_instrmnt_scp_1</v>
      </c>
      <c r="I1326" s="2" t="s">
        <v>615</v>
      </c>
      <c r="J1326" s="44">
        <f>VLOOKUP(Table1[[#This Row],[Status]],Auxiliar!$B$16:$C$24,2,0)</f>
        <v>6</v>
      </c>
      <c r="K1326" s="44" t="s">
        <v>1171</v>
      </c>
      <c r="L1326" s="45" t="s">
        <v>1174</v>
      </c>
      <c r="M1326" s="20" t="s">
        <v>1175</v>
      </c>
      <c r="N1326" s="47">
        <v>45716</v>
      </c>
      <c r="O1326" s="20">
        <f>INDEX(Auxiliar!$D$5:$F$13,MATCH(Table1[[#This Row],[Tipologia_Testes]],Auxiliar!$B$5:$B$13,0),MATCH(Table1[[#This Row],[Complexidade]],Auxiliar!$D$4:$F$4,0))</f>
        <v>0.1</v>
      </c>
      <c r="P1326" s="42"/>
      <c r="Q1326" s="151"/>
      <c r="R1326" s="151">
        <v>45622</v>
      </c>
      <c r="S1326" s="151"/>
      <c r="T1326" s="151"/>
      <c r="U1326" s="151">
        <v>45631</v>
      </c>
      <c r="V1326" s="151">
        <v>45631</v>
      </c>
      <c r="W1326" s="2">
        <f>VLOOKUP(Table1[[#This Row],[Status]],Auxiliar!$B$16:$D$24,3,0)*Table1[[#This Row],[Estimação (horas)]]</f>
        <v>2.5000000000000001E-2</v>
      </c>
      <c r="X1326" s="165">
        <f>+VLOOKUP(CONCATENATE(Table1[[#This Row],[Tabela]],Table1[[#This Row],[Campo]]),'2. Status Detalhe Campos FY24'!A:J,9,FALSE)</f>
        <v>0</v>
      </c>
      <c r="Y1326" s="491" t="e">
        <f>+VLOOKUP(A1326,#REF!,1,FALSE)</f>
        <v>#REF!</v>
      </c>
    </row>
    <row r="1327" spans="1:25" ht="17.899999999999999" hidden="1" customHeight="1">
      <c r="A1327" t="str">
        <f>+Table1[[#This Row],[Tabela]]&amp;Table1[[#This Row],[Campo]]</f>
        <v>lt002_instrumentmthd_usd_instrmnt_scp_2</v>
      </c>
      <c r="B1327" s="38" t="s">
        <v>26</v>
      </c>
      <c r="C1327" s="38" t="s">
        <v>26</v>
      </c>
      <c r="D1327" s="36" t="s">
        <v>1860</v>
      </c>
      <c r="E1327" s="110" t="s">
        <v>38</v>
      </c>
      <c r="F1327" s="39" t="s">
        <v>379</v>
      </c>
      <c r="G1327" s="37" t="s">
        <v>386</v>
      </c>
      <c r="H1327" s="59" t="str">
        <f>Table1[[#This Row],[Tabela]]&amp;Table1[[#This Row],[Campo]]</f>
        <v>lt002_instrumentmthd_usd_instrmnt_scp_2</v>
      </c>
      <c r="I1327" s="2" t="s">
        <v>615</v>
      </c>
      <c r="J1327" s="44">
        <f>VLOOKUP(Table1[[#This Row],[Status]],Auxiliar!$B$16:$C$24,2,0)</f>
        <v>6</v>
      </c>
      <c r="K1327" s="44" t="s">
        <v>1168</v>
      </c>
      <c r="L1327" s="45" t="s">
        <v>1174</v>
      </c>
      <c r="M1327" s="20" t="s">
        <v>1175</v>
      </c>
      <c r="N1327" s="47">
        <v>45716</v>
      </c>
      <c r="O1327" s="20">
        <f>INDEX(Auxiliar!$D$5:$F$13,MATCH(Table1[[#This Row],[Tipologia_Testes]],Auxiliar!$B$5:$B$13,0),MATCH(Table1[[#This Row],[Complexidade]],Auxiliar!$D$4:$F$4,0))</f>
        <v>2</v>
      </c>
      <c r="P1327" s="42"/>
      <c r="Q1327" s="151"/>
      <c r="R1327" s="151">
        <v>45622</v>
      </c>
      <c r="S1327" s="151"/>
      <c r="T1327" s="151"/>
      <c r="U1327" s="151">
        <v>45631</v>
      </c>
      <c r="V1327" s="151">
        <v>45631</v>
      </c>
      <c r="W1327" s="2">
        <f>VLOOKUP(Table1[[#This Row],[Status]],Auxiliar!$B$16:$D$24,3,0)*Table1[[#This Row],[Estimação (horas)]]</f>
        <v>0.5</v>
      </c>
      <c r="X1327" s="165">
        <f>+VLOOKUP(CONCATENATE(Table1[[#This Row],[Tabela]],Table1[[#This Row],[Campo]]),'2. Status Detalhe Campos FY24'!A:J,9,FALSE)</f>
        <v>0</v>
      </c>
      <c r="Y1327" s="491" t="e">
        <f>+VLOOKUP(A1327,#REF!,1,FALSE)</f>
        <v>#REF!</v>
      </c>
    </row>
    <row r="1328" spans="1:25" ht="17.899999999999999" hidden="1" customHeight="1">
      <c r="A1328" t="str">
        <f>+Table1[[#This Row],[Tabela]]&amp;Table1[[#This Row],[Campo]]</f>
        <v>lt002_instrumentmthd_usd_instrmnt_scp_2</v>
      </c>
      <c r="B1328" s="38" t="s">
        <v>26</v>
      </c>
      <c r="C1328" s="38" t="s">
        <v>26</v>
      </c>
      <c r="D1328" s="38" t="s">
        <v>1860</v>
      </c>
      <c r="E1328" s="38" t="s">
        <v>38</v>
      </c>
      <c r="F1328" s="38" t="s">
        <v>379</v>
      </c>
      <c r="G1328" s="38" t="s">
        <v>386</v>
      </c>
      <c r="H1328" s="58" t="str">
        <f>Table1[[#This Row],[Tabela]]&amp;Table1[[#This Row],[Campo]]</f>
        <v>lt002_instrumentmthd_usd_instrmnt_scp_2</v>
      </c>
      <c r="I1328" s="2" t="s">
        <v>615</v>
      </c>
      <c r="J1328" s="44">
        <f>VLOOKUP(Table1[[#This Row],[Status]],Auxiliar!$B$16:$C$24,2,0)</f>
        <v>6</v>
      </c>
      <c r="K1328" s="44" t="s">
        <v>1169</v>
      </c>
      <c r="L1328" s="45" t="s">
        <v>1174</v>
      </c>
      <c r="M1328" s="20" t="s">
        <v>1175</v>
      </c>
      <c r="N1328" s="47">
        <v>45716</v>
      </c>
      <c r="O1328" s="20">
        <f>INDEX(Auxiliar!$D$5:$F$13,MATCH(Table1[[#This Row],[Tipologia_Testes]],Auxiliar!$B$5:$B$13,0),MATCH(Table1[[#This Row],[Complexidade]],Auxiliar!$D$4:$F$4,0))</f>
        <v>2</v>
      </c>
      <c r="P1328" s="42"/>
      <c r="Q1328" s="151"/>
      <c r="R1328" s="151">
        <v>45622</v>
      </c>
      <c r="S1328" s="151"/>
      <c r="T1328" s="151"/>
      <c r="U1328" s="151">
        <v>45631</v>
      </c>
      <c r="V1328" s="151">
        <v>45631</v>
      </c>
      <c r="W1328" s="2">
        <f>VLOOKUP(Table1[[#This Row],[Status]],Auxiliar!$B$16:$D$24,3,0)*Table1[[#This Row],[Estimação (horas)]]</f>
        <v>0.5</v>
      </c>
      <c r="X1328" s="165">
        <f>+VLOOKUP(CONCATENATE(Table1[[#This Row],[Tabela]],Table1[[#This Row],[Campo]]),'2. Status Detalhe Campos FY24'!A:J,9,FALSE)</f>
        <v>0</v>
      </c>
      <c r="Y1328" s="491" t="e">
        <f>+VLOOKUP(A1328,#REF!,1,FALSE)</f>
        <v>#REF!</v>
      </c>
    </row>
    <row r="1329" spans="1:25" ht="35.15" hidden="1" customHeight="1">
      <c r="A1329" t="str">
        <f>+Table1[[#This Row],[Tabela]]&amp;Table1[[#This Row],[Campo]]</f>
        <v>lt002_instrumentmthd_usd_instrmnt_scp_2</v>
      </c>
      <c r="B1329" s="38" t="s">
        <v>26</v>
      </c>
      <c r="C1329" s="38" t="s">
        <v>26</v>
      </c>
      <c r="D1329" s="38" t="s">
        <v>1860</v>
      </c>
      <c r="E1329" s="38" t="s">
        <v>38</v>
      </c>
      <c r="F1329" s="38" t="s">
        <v>379</v>
      </c>
      <c r="G1329" s="38" t="s">
        <v>386</v>
      </c>
      <c r="H1329" s="58" t="str">
        <f>Table1[[#This Row],[Tabela]]&amp;Table1[[#This Row],[Campo]]</f>
        <v>lt002_instrumentmthd_usd_instrmnt_scp_2</v>
      </c>
      <c r="I1329" s="2" t="s">
        <v>615</v>
      </c>
      <c r="J1329" s="44">
        <f>VLOOKUP(Table1[[#This Row],[Status]],Auxiliar!$B$16:$C$24,2,0)</f>
        <v>6</v>
      </c>
      <c r="K1329" s="44" t="s">
        <v>1171</v>
      </c>
      <c r="L1329" s="45" t="s">
        <v>1174</v>
      </c>
      <c r="M1329" s="20" t="s">
        <v>1175</v>
      </c>
      <c r="N1329" s="47">
        <v>45716</v>
      </c>
      <c r="O1329" s="20">
        <f>INDEX(Auxiliar!$D$5:$F$13,MATCH(Table1[[#This Row],[Tipologia_Testes]],Auxiliar!$B$5:$B$13,0),MATCH(Table1[[#This Row],[Complexidade]],Auxiliar!$D$4:$F$4,0))</f>
        <v>0.1</v>
      </c>
      <c r="P1329" s="42"/>
      <c r="Q1329" s="151"/>
      <c r="R1329" s="151">
        <v>45622</v>
      </c>
      <c r="S1329" s="151"/>
      <c r="T1329" s="151"/>
      <c r="U1329" s="151">
        <v>45631</v>
      </c>
      <c r="V1329" s="151">
        <v>45631</v>
      </c>
      <c r="W1329" s="2">
        <f>VLOOKUP(Table1[[#This Row],[Status]],Auxiliar!$B$16:$D$24,3,0)*Table1[[#This Row],[Estimação (horas)]]</f>
        <v>2.5000000000000001E-2</v>
      </c>
      <c r="X1329" s="165">
        <f>+VLOOKUP(CONCATENATE(Table1[[#This Row],[Tabela]],Table1[[#This Row],[Campo]]),'2. Status Detalhe Campos FY24'!A:J,9,FALSE)</f>
        <v>0</v>
      </c>
      <c r="Y1329" s="491" t="e">
        <f>+VLOOKUP(A1329,#REF!,1,FALSE)</f>
        <v>#REF!</v>
      </c>
    </row>
    <row r="1330" spans="1:25" ht="17.899999999999999" hidden="1" customHeight="1">
      <c r="A1330" t="str">
        <f>+Table1[[#This Row],[Tabela]]&amp;Table1[[#This Row],[Campo]]</f>
        <v>lt002_instrumentmthd_usd_instrmnt_scp_3</v>
      </c>
      <c r="B1330" s="38" t="s">
        <v>26</v>
      </c>
      <c r="C1330" s="38" t="s">
        <v>26</v>
      </c>
      <c r="D1330" s="36" t="s">
        <v>1860</v>
      </c>
      <c r="E1330" s="110" t="s">
        <v>38</v>
      </c>
      <c r="F1330" s="39" t="s">
        <v>379</v>
      </c>
      <c r="G1330" s="37" t="s">
        <v>387</v>
      </c>
      <c r="H1330" s="59" t="str">
        <f>Table1[[#This Row],[Tabela]]&amp;Table1[[#This Row],[Campo]]</f>
        <v>lt002_instrumentmthd_usd_instrmnt_scp_3</v>
      </c>
      <c r="I1330" s="2" t="s">
        <v>615</v>
      </c>
      <c r="J1330" s="44">
        <f>VLOOKUP(Table1[[#This Row],[Status]],Auxiliar!$B$16:$C$24,2,0)</f>
        <v>6</v>
      </c>
      <c r="K1330" s="44" t="s">
        <v>1168</v>
      </c>
      <c r="L1330" s="45" t="s">
        <v>1174</v>
      </c>
      <c r="M1330" s="20" t="s">
        <v>1175</v>
      </c>
      <c r="N1330" s="47">
        <v>45716</v>
      </c>
      <c r="O1330" s="20">
        <f>INDEX(Auxiliar!$D$5:$F$13,MATCH(Table1[[#This Row],[Tipologia_Testes]],Auxiliar!$B$5:$B$13,0),MATCH(Table1[[#This Row],[Complexidade]],Auxiliar!$D$4:$F$4,0))</f>
        <v>2</v>
      </c>
      <c r="P1330" s="42"/>
      <c r="Q1330" s="151"/>
      <c r="R1330" s="151">
        <v>45622</v>
      </c>
      <c r="S1330" s="151"/>
      <c r="T1330" s="151"/>
      <c r="U1330" s="151">
        <v>45631</v>
      </c>
      <c r="V1330" s="151">
        <v>45631</v>
      </c>
      <c r="W1330" s="2">
        <f>VLOOKUP(Table1[[#This Row],[Status]],Auxiliar!$B$16:$D$24,3,0)*Table1[[#This Row],[Estimação (horas)]]</f>
        <v>0.5</v>
      </c>
      <c r="X1330" s="165">
        <f>+VLOOKUP(CONCATENATE(Table1[[#This Row],[Tabela]],Table1[[#This Row],[Campo]]),'2. Status Detalhe Campos FY24'!A:J,9,FALSE)</f>
        <v>0</v>
      </c>
      <c r="Y1330" s="491" t="e">
        <f>+VLOOKUP(A1330,#REF!,1,FALSE)</f>
        <v>#REF!</v>
      </c>
    </row>
    <row r="1331" spans="1:25" ht="17.899999999999999" hidden="1" customHeight="1">
      <c r="A1331" t="str">
        <f>+Table1[[#This Row],[Tabela]]&amp;Table1[[#This Row],[Campo]]</f>
        <v>lt002_instrumentmthd_usd_instrmnt_scp_3</v>
      </c>
      <c r="B1331" s="38" t="s">
        <v>26</v>
      </c>
      <c r="C1331" s="38" t="s">
        <v>26</v>
      </c>
      <c r="D1331" s="38" t="s">
        <v>1860</v>
      </c>
      <c r="E1331" s="38" t="s">
        <v>38</v>
      </c>
      <c r="F1331" s="38" t="s">
        <v>379</v>
      </c>
      <c r="G1331" s="38" t="s">
        <v>387</v>
      </c>
      <c r="H1331" s="58" t="str">
        <f>Table1[[#This Row],[Tabela]]&amp;Table1[[#This Row],[Campo]]</f>
        <v>lt002_instrumentmthd_usd_instrmnt_scp_3</v>
      </c>
      <c r="I1331" s="2" t="s">
        <v>615</v>
      </c>
      <c r="J1331" s="44">
        <f>VLOOKUP(Table1[[#This Row],[Status]],Auxiliar!$B$16:$C$24,2,0)</f>
        <v>6</v>
      </c>
      <c r="K1331" s="44" t="s">
        <v>1169</v>
      </c>
      <c r="L1331" s="45" t="s">
        <v>1174</v>
      </c>
      <c r="M1331" s="20" t="s">
        <v>1175</v>
      </c>
      <c r="N1331" s="47">
        <v>45716</v>
      </c>
      <c r="O1331" s="20">
        <f>INDEX(Auxiliar!$D$5:$F$13,MATCH(Table1[[#This Row],[Tipologia_Testes]],Auxiliar!$B$5:$B$13,0),MATCH(Table1[[#This Row],[Complexidade]],Auxiliar!$D$4:$F$4,0))</f>
        <v>2</v>
      </c>
      <c r="P1331" s="42"/>
      <c r="Q1331" s="151"/>
      <c r="R1331" s="151">
        <v>45622</v>
      </c>
      <c r="S1331" s="151"/>
      <c r="T1331" s="151"/>
      <c r="U1331" s="151">
        <v>45631</v>
      </c>
      <c r="V1331" s="151">
        <v>45631</v>
      </c>
      <c r="W1331" s="2">
        <f>VLOOKUP(Table1[[#This Row],[Status]],Auxiliar!$B$16:$D$24,3,0)*Table1[[#This Row],[Estimação (horas)]]</f>
        <v>0.5</v>
      </c>
      <c r="X1331" s="165">
        <f>+VLOOKUP(CONCATENATE(Table1[[#This Row],[Tabela]],Table1[[#This Row],[Campo]]),'2. Status Detalhe Campos FY24'!A:J,9,FALSE)</f>
        <v>0</v>
      </c>
      <c r="Y1331" s="491" t="e">
        <f>+VLOOKUP(A1331,#REF!,1,FALSE)</f>
        <v>#REF!</v>
      </c>
    </row>
    <row r="1332" spans="1:25" ht="17.899999999999999" hidden="1" customHeight="1">
      <c r="A1332" t="str">
        <f>+Table1[[#This Row],[Tabela]]&amp;Table1[[#This Row],[Campo]]</f>
        <v>lt002_instrumentmthd_usd_instrmnt_scp_3</v>
      </c>
      <c r="B1332" s="38" t="s">
        <v>26</v>
      </c>
      <c r="C1332" s="38" t="s">
        <v>26</v>
      </c>
      <c r="D1332" s="38" t="s">
        <v>1860</v>
      </c>
      <c r="E1332" s="38" t="s">
        <v>38</v>
      </c>
      <c r="F1332" s="38" t="s">
        <v>379</v>
      </c>
      <c r="G1332" s="38" t="s">
        <v>387</v>
      </c>
      <c r="H1332" s="58" t="str">
        <f>Table1[[#This Row],[Tabela]]&amp;Table1[[#This Row],[Campo]]</f>
        <v>lt002_instrumentmthd_usd_instrmnt_scp_3</v>
      </c>
      <c r="I1332" s="2" t="s">
        <v>615</v>
      </c>
      <c r="J1332" s="44">
        <f>VLOOKUP(Table1[[#This Row],[Status]],Auxiliar!$B$16:$C$24,2,0)</f>
        <v>6</v>
      </c>
      <c r="K1332" s="44" t="s">
        <v>1171</v>
      </c>
      <c r="L1332" s="45" t="s">
        <v>1174</v>
      </c>
      <c r="M1332" s="20" t="s">
        <v>1175</v>
      </c>
      <c r="N1332" s="47">
        <v>45716</v>
      </c>
      <c r="O1332" s="20">
        <f>INDEX(Auxiliar!$D$5:$F$13,MATCH(Table1[[#This Row],[Tipologia_Testes]],Auxiliar!$B$5:$B$13,0),MATCH(Table1[[#This Row],[Complexidade]],Auxiliar!$D$4:$F$4,0))</f>
        <v>0.1</v>
      </c>
      <c r="P1332" s="42"/>
      <c r="Q1332" s="151"/>
      <c r="R1332" s="151">
        <v>45622</v>
      </c>
      <c r="S1332" s="151"/>
      <c r="T1332" s="151"/>
      <c r="U1332" s="151">
        <v>45631</v>
      </c>
      <c r="V1332" s="151">
        <v>45631</v>
      </c>
      <c r="W1332" s="2">
        <f>VLOOKUP(Table1[[#This Row],[Status]],Auxiliar!$B$16:$D$24,3,0)*Table1[[#This Row],[Estimação (horas)]]</f>
        <v>2.5000000000000001E-2</v>
      </c>
      <c r="X1332" s="165">
        <f>+VLOOKUP(CONCATENATE(Table1[[#This Row],[Tabela]],Table1[[#This Row],[Campo]]),'2. Status Detalhe Campos FY24'!A:J,9,FALSE)</f>
        <v>0</v>
      </c>
      <c r="Y1332" s="491" t="e">
        <f>+VLOOKUP(A1332,#REF!,1,FALSE)</f>
        <v>#REF!</v>
      </c>
    </row>
    <row r="1333" spans="1:25" ht="17.899999999999999" hidden="1" customHeight="1">
      <c r="A1333" t="str">
        <f>+Table1[[#This Row],[Tabela]]&amp;Table1[[#This Row],[Campo]]</f>
        <v>lt827_mthd_usd_instrmntambito</v>
      </c>
      <c r="B1333" s="38" t="s">
        <v>26</v>
      </c>
      <c r="C1333" s="38" t="s">
        <v>26</v>
      </c>
      <c r="D1333" s="2" t="s">
        <v>38</v>
      </c>
      <c r="E1333" s="39" t="s">
        <v>38</v>
      </c>
      <c r="F1333" s="39" t="s">
        <v>1860</v>
      </c>
      <c r="G1333" s="39" t="s">
        <v>390</v>
      </c>
      <c r="H1333" s="59" t="str">
        <f>Table1[[#This Row],[Tabela]]&amp;Table1[[#This Row],[Campo]]</f>
        <v>lt827_mthd_usd_instrmntambito</v>
      </c>
      <c r="I1333" s="2" t="s">
        <v>612</v>
      </c>
      <c r="J1333" s="44">
        <f>VLOOKUP(Table1[[#This Row],[Status]],Auxiliar!$B$16:$C$24,2,0)</f>
        <v>1</v>
      </c>
      <c r="K1333" s="44" t="s">
        <v>1168</v>
      </c>
      <c r="L1333" s="45" t="s">
        <v>1174</v>
      </c>
      <c r="M1333" s="20" t="s">
        <v>1175</v>
      </c>
      <c r="N1333" s="47">
        <v>45625</v>
      </c>
      <c r="O1333" s="20">
        <f>INDEX(Auxiliar!$D$5:$F$13,MATCH(Table1[[#This Row],[Tipologia_Testes]],Auxiliar!$B$5:$B$13,0),MATCH(Table1[[#This Row],[Complexidade]],Auxiliar!$D$4:$F$4,0))</f>
        <v>2</v>
      </c>
      <c r="P1333" s="42"/>
      <c r="Q1333" s="151"/>
      <c r="R1333" s="151">
        <v>45593</v>
      </c>
      <c r="S1333" s="151"/>
      <c r="T1333" s="151">
        <v>45593</v>
      </c>
      <c r="U1333" s="151">
        <v>45611</v>
      </c>
      <c r="V1333" s="151">
        <v>45611</v>
      </c>
      <c r="W1333" s="2">
        <f>VLOOKUP(Table1[[#This Row],[Status]],Auxiliar!$B$16:$D$24,3,0)*Table1[[#This Row],[Estimação (horas)]]</f>
        <v>2</v>
      </c>
      <c r="X1333" s="165">
        <f>+VLOOKUP(CONCATENATE(Table1[[#This Row],[Tabela]],Table1[[#This Row],[Campo]]),'2. Status Detalhe Campos FY24'!A:J,9,FALSE)</f>
        <v>0</v>
      </c>
      <c r="Y1333" s="491" t="e">
        <f>+VLOOKUP(A1333,#REF!,1,FALSE)</f>
        <v>#REF!</v>
      </c>
    </row>
    <row r="1334" spans="1:25" ht="17.899999999999999" hidden="1" customHeight="1">
      <c r="A1334" t="str">
        <f>+Table1[[#This Row],[Tabela]]&amp;Table1[[#This Row],[Campo]]</f>
        <v>lt827_mthd_usd_instrmntambito</v>
      </c>
      <c r="B1334" s="38" t="s">
        <v>26</v>
      </c>
      <c r="C1334" s="38" t="s">
        <v>26</v>
      </c>
      <c r="D1334" s="2" t="s">
        <v>38</v>
      </c>
      <c r="E1334" s="38" t="s">
        <v>38</v>
      </c>
      <c r="F1334" s="38" t="s">
        <v>1860</v>
      </c>
      <c r="G1334" s="38" t="s">
        <v>390</v>
      </c>
      <c r="H1334" s="58" t="str">
        <f>Table1[[#This Row],[Tabela]]&amp;Table1[[#This Row],[Campo]]</f>
        <v>lt827_mthd_usd_instrmntambito</v>
      </c>
      <c r="I1334" s="2" t="s">
        <v>612</v>
      </c>
      <c r="J1334" s="44">
        <f>VLOOKUP(Table1[[#This Row],[Status]],Auxiliar!$B$16:$C$24,2,0)</f>
        <v>1</v>
      </c>
      <c r="K1334" s="44" t="s">
        <v>1169</v>
      </c>
      <c r="L1334" s="45" t="s">
        <v>1174</v>
      </c>
      <c r="M1334" s="20" t="s">
        <v>1175</v>
      </c>
      <c r="N1334" s="47">
        <v>45625</v>
      </c>
      <c r="O1334" s="20">
        <f>INDEX(Auxiliar!$D$5:$F$13,MATCH(Table1[[#This Row],[Tipologia_Testes]],Auxiliar!$B$5:$B$13,0),MATCH(Table1[[#This Row],[Complexidade]],Auxiliar!$D$4:$F$4,0))</f>
        <v>2</v>
      </c>
      <c r="P1334" s="42"/>
      <c r="Q1334" s="151"/>
      <c r="R1334" s="151">
        <v>45593</v>
      </c>
      <c r="S1334" s="151"/>
      <c r="T1334" s="151">
        <v>45593</v>
      </c>
      <c r="U1334" s="151">
        <v>45611</v>
      </c>
      <c r="V1334" s="151">
        <v>45611</v>
      </c>
      <c r="W1334" s="2">
        <f>VLOOKUP(Table1[[#This Row],[Status]],Auxiliar!$B$16:$D$24,3,0)*Table1[[#This Row],[Estimação (horas)]]</f>
        <v>2</v>
      </c>
      <c r="X1334" s="165">
        <f>+VLOOKUP(CONCATENATE(Table1[[#This Row],[Tabela]],Table1[[#This Row],[Campo]]),'2. Status Detalhe Campos FY24'!A:J,9,FALSE)</f>
        <v>0</v>
      </c>
      <c r="Y1334" s="491" t="e">
        <f>+VLOOKUP(A1334,#REF!,1,FALSE)</f>
        <v>#REF!</v>
      </c>
    </row>
    <row r="1335" spans="1:25" ht="17.899999999999999" hidden="1" customHeight="1">
      <c r="A1335" t="str">
        <f>+Table1[[#This Row],[Tabela]]&amp;Table1[[#This Row],[Campo]]</f>
        <v>lt827_mthd_usd_instrmntambito</v>
      </c>
      <c r="B1335" s="38" t="s">
        <v>26</v>
      </c>
      <c r="C1335" s="38" t="s">
        <v>26</v>
      </c>
      <c r="D1335" s="2" t="s">
        <v>38</v>
      </c>
      <c r="E1335" s="38" t="s">
        <v>38</v>
      </c>
      <c r="F1335" s="38" t="s">
        <v>1860</v>
      </c>
      <c r="G1335" s="38" t="s">
        <v>390</v>
      </c>
      <c r="H1335" s="58" t="str">
        <f>Table1[[#This Row],[Tabela]]&amp;Table1[[#This Row],[Campo]]</f>
        <v>lt827_mthd_usd_instrmntambito</v>
      </c>
      <c r="I1335" s="2" t="s">
        <v>612</v>
      </c>
      <c r="J1335" s="44">
        <f>VLOOKUP(Table1[[#This Row],[Status]],Auxiliar!$B$16:$C$24,2,0)</f>
        <v>1</v>
      </c>
      <c r="K1335" s="44" t="s">
        <v>1171</v>
      </c>
      <c r="L1335" s="45" t="s">
        <v>1174</v>
      </c>
      <c r="M1335" s="20" t="s">
        <v>1175</v>
      </c>
      <c r="N1335" s="47">
        <v>45625</v>
      </c>
      <c r="O1335" s="20">
        <f>INDEX(Auxiliar!$D$5:$F$13,MATCH(Table1[[#This Row],[Tipologia_Testes]],Auxiliar!$B$5:$B$13,0),MATCH(Table1[[#This Row],[Complexidade]],Auxiliar!$D$4:$F$4,0))</f>
        <v>0.1</v>
      </c>
      <c r="P1335" s="42"/>
      <c r="Q1335" s="151"/>
      <c r="R1335" s="151">
        <v>45593</v>
      </c>
      <c r="S1335" s="151"/>
      <c r="T1335" s="151">
        <v>45593</v>
      </c>
      <c r="U1335" s="151">
        <v>45611</v>
      </c>
      <c r="V1335" s="151">
        <v>45611</v>
      </c>
      <c r="W1335" s="2">
        <f>VLOOKUP(Table1[[#This Row],[Status]],Auxiliar!$B$16:$D$24,3,0)*Table1[[#This Row],[Estimação (horas)]]</f>
        <v>0.1</v>
      </c>
      <c r="X1335" s="165">
        <f>+VLOOKUP(CONCATENATE(Table1[[#This Row],[Tabela]],Table1[[#This Row],[Campo]]),'2. Status Detalhe Campos FY24'!A:J,9,FALSE)</f>
        <v>0</v>
      </c>
      <c r="Y1335" s="491" t="e">
        <f>+VLOOKUP(A1335,#REF!,1,FALSE)</f>
        <v>#REF!</v>
      </c>
    </row>
    <row r="1336" spans="1:25" ht="17.899999999999999" hidden="1" customHeight="1">
      <c r="A1336" t="str">
        <f>+Table1[[#This Row],[Tabela]]&amp;Table1[[#This Row],[Campo]]</f>
        <v>lt827_mthd_usd_instrmntref_date</v>
      </c>
      <c r="B1336" s="38" t="s">
        <v>26</v>
      </c>
      <c r="C1336" s="38" t="s">
        <v>26</v>
      </c>
      <c r="D1336" s="2" t="s">
        <v>38</v>
      </c>
      <c r="E1336" s="39" t="s">
        <v>38</v>
      </c>
      <c r="F1336" s="39" t="s">
        <v>1860</v>
      </c>
      <c r="G1336" s="39" t="s">
        <v>208</v>
      </c>
      <c r="H1336" s="59" t="str">
        <f>Table1[[#This Row],[Tabela]]&amp;Table1[[#This Row],[Campo]]</f>
        <v>lt827_mthd_usd_instrmntref_date</v>
      </c>
      <c r="I1336" s="2" t="s">
        <v>612</v>
      </c>
      <c r="J1336" s="44">
        <f>VLOOKUP(Table1[[#This Row],[Status]],Auxiliar!$B$16:$C$24,2,0)</f>
        <v>1</v>
      </c>
      <c r="K1336" s="44" t="s">
        <v>1168</v>
      </c>
      <c r="L1336" s="45" t="s">
        <v>1174</v>
      </c>
      <c r="M1336" s="20" t="s">
        <v>1175</v>
      </c>
      <c r="N1336" s="47">
        <v>45625</v>
      </c>
      <c r="O1336" s="20">
        <f>INDEX(Auxiliar!$D$5:$F$13,MATCH(Table1[[#This Row],[Tipologia_Testes]],Auxiliar!$B$5:$B$13,0),MATCH(Table1[[#This Row],[Complexidade]],Auxiliar!$D$4:$F$4,0))</f>
        <v>2</v>
      </c>
      <c r="P1336" s="42"/>
      <c r="Q1336" s="151"/>
      <c r="R1336" s="151">
        <v>45593</v>
      </c>
      <c r="S1336" s="151"/>
      <c r="T1336" s="151">
        <v>45593</v>
      </c>
      <c r="U1336" s="151">
        <v>45611</v>
      </c>
      <c r="V1336" s="151">
        <v>45611</v>
      </c>
      <c r="W1336" s="2">
        <f>VLOOKUP(Table1[[#This Row],[Status]],Auxiliar!$B$16:$D$24,3,0)*Table1[[#This Row],[Estimação (horas)]]</f>
        <v>2</v>
      </c>
      <c r="X1336" s="165">
        <f>+VLOOKUP(CONCATENATE(Table1[[#This Row],[Tabela]],Table1[[#This Row],[Campo]]),'2. Status Detalhe Campos FY24'!A:J,9,FALSE)</f>
        <v>0</v>
      </c>
      <c r="Y1336" s="491" t="e">
        <f>+VLOOKUP(A1336,#REF!,1,FALSE)</f>
        <v>#REF!</v>
      </c>
    </row>
    <row r="1337" spans="1:25" ht="17.899999999999999" hidden="1" customHeight="1">
      <c r="A1337" t="str">
        <f>+Table1[[#This Row],[Tabela]]&amp;Table1[[#This Row],[Campo]]</f>
        <v>lt827_mthd_usd_instrmntref_date</v>
      </c>
      <c r="B1337" s="38" t="s">
        <v>26</v>
      </c>
      <c r="C1337" s="38" t="s">
        <v>26</v>
      </c>
      <c r="D1337" s="2" t="s">
        <v>38</v>
      </c>
      <c r="E1337" s="38" t="s">
        <v>38</v>
      </c>
      <c r="F1337" s="38" t="s">
        <v>1860</v>
      </c>
      <c r="G1337" s="38" t="s">
        <v>208</v>
      </c>
      <c r="H1337" s="58" t="str">
        <f>Table1[[#This Row],[Tabela]]&amp;Table1[[#This Row],[Campo]]</f>
        <v>lt827_mthd_usd_instrmntref_date</v>
      </c>
      <c r="I1337" s="2" t="s">
        <v>612</v>
      </c>
      <c r="J1337" s="44">
        <f>VLOOKUP(Table1[[#This Row],[Status]],Auxiliar!$B$16:$C$24,2,0)</f>
        <v>1</v>
      </c>
      <c r="K1337" s="44" t="s">
        <v>1169</v>
      </c>
      <c r="L1337" s="45" t="s">
        <v>1174</v>
      </c>
      <c r="M1337" s="20" t="s">
        <v>1175</v>
      </c>
      <c r="N1337" s="47">
        <v>45625</v>
      </c>
      <c r="O1337" s="20">
        <f>INDEX(Auxiliar!$D$5:$F$13,MATCH(Table1[[#This Row],[Tipologia_Testes]],Auxiliar!$B$5:$B$13,0),MATCH(Table1[[#This Row],[Complexidade]],Auxiliar!$D$4:$F$4,0))</f>
        <v>2</v>
      </c>
      <c r="P1337" s="42"/>
      <c r="Q1337" s="151"/>
      <c r="R1337" s="151">
        <v>45593</v>
      </c>
      <c r="S1337" s="151"/>
      <c r="T1337" s="151">
        <v>45593</v>
      </c>
      <c r="U1337" s="151">
        <v>45611</v>
      </c>
      <c r="V1337" s="151">
        <v>45611</v>
      </c>
      <c r="W1337" s="2">
        <f>VLOOKUP(Table1[[#This Row],[Status]],Auxiliar!$B$16:$D$24,3,0)*Table1[[#This Row],[Estimação (horas)]]</f>
        <v>2</v>
      </c>
      <c r="X1337" s="165">
        <f>+VLOOKUP(CONCATENATE(Table1[[#This Row],[Tabela]],Table1[[#This Row],[Campo]]),'2. Status Detalhe Campos FY24'!A:J,9,FALSE)</f>
        <v>0</v>
      </c>
      <c r="Y1337" s="491" t="e">
        <f>+VLOOKUP(A1337,#REF!,1,FALSE)</f>
        <v>#REF!</v>
      </c>
    </row>
    <row r="1338" spans="1:25" ht="17.899999999999999" hidden="1" customHeight="1">
      <c r="A1338" t="str">
        <f>+Table1[[#This Row],[Tabela]]&amp;Table1[[#This Row],[Campo]]</f>
        <v>lt827_mthd_usd_instrmntref_date</v>
      </c>
      <c r="B1338" s="38" t="s">
        <v>26</v>
      </c>
      <c r="C1338" s="38" t="s">
        <v>26</v>
      </c>
      <c r="D1338" s="2" t="s">
        <v>38</v>
      </c>
      <c r="E1338" s="38" t="s">
        <v>38</v>
      </c>
      <c r="F1338" s="38" t="s">
        <v>1860</v>
      </c>
      <c r="G1338" s="38" t="s">
        <v>208</v>
      </c>
      <c r="H1338" s="58" t="str">
        <f>Table1[[#This Row],[Tabela]]&amp;Table1[[#This Row],[Campo]]</f>
        <v>lt827_mthd_usd_instrmntref_date</v>
      </c>
      <c r="I1338" s="2" t="s">
        <v>612</v>
      </c>
      <c r="J1338" s="44">
        <f>VLOOKUP(Table1[[#This Row],[Status]],Auxiliar!$B$16:$C$24,2,0)</f>
        <v>1</v>
      </c>
      <c r="K1338" s="44" t="s">
        <v>1171</v>
      </c>
      <c r="L1338" s="45" t="s">
        <v>1174</v>
      </c>
      <c r="M1338" s="20" t="s">
        <v>1175</v>
      </c>
      <c r="N1338" s="47">
        <v>45625</v>
      </c>
      <c r="O1338" s="20">
        <f>INDEX(Auxiliar!$D$5:$F$13,MATCH(Table1[[#This Row],[Tipologia_Testes]],Auxiliar!$B$5:$B$13,0),MATCH(Table1[[#This Row],[Complexidade]],Auxiliar!$D$4:$F$4,0))</f>
        <v>0.1</v>
      </c>
      <c r="P1338" s="42"/>
      <c r="Q1338" s="151"/>
      <c r="R1338" s="151">
        <v>45593</v>
      </c>
      <c r="S1338" s="151"/>
      <c r="T1338" s="151">
        <v>45593</v>
      </c>
      <c r="U1338" s="151">
        <v>45611</v>
      </c>
      <c r="V1338" s="151">
        <v>45611</v>
      </c>
      <c r="W1338" s="2">
        <f>VLOOKUP(Table1[[#This Row],[Status]],Auxiliar!$B$16:$D$24,3,0)*Table1[[#This Row],[Estimação (horas)]]</f>
        <v>0.1</v>
      </c>
      <c r="X1338" s="165">
        <f>+VLOOKUP(CONCATENATE(Table1[[#This Row],[Tabela]],Table1[[#This Row],[Campo]]),'2. Status Detalhe Campos FY24'!A:J,9,FALSE)</f>
        <v>0</v>
      </c>
      <c r="Y1338" s="491" t="e">
        <f>+VLOOKUP(A1338,#REF!,1,FALSE)</f>
        <v>#REF!</v>
      </c>
    </row>
    <row r="1339" spans="1:25" ht="17.899999999999999" hidden="1" customHeight="1">
      <c r="A1339" t="str">
        <f>+Table1[[#This Row],[Tabela]]&amp;Table1[[#This Row],[Campo]]</f>
        <v>lt827_mthd_usd_instrmntordem</v>
      </c>
      <c r="B1339" s="38" t="s">
        <v>26</v>
      </c>
      <c r="C1339" s="38" t="s">
        <v>26</v>
      </c>
      <c r="D1339" s="2" t="s">
        <v>38</v>
      </c>
      <c r="E1339" s="39" t="s">
        <v>38</v>
      </c>
      <c r="F1339" s="39" t="s">
        <v>1860</v>
      </c>
      <c r="G1339" s="39" t="s">
        <v>211</v>
      </c>
      <c r="H1339" s="59" t="str">
        <f>Table1[[#This Row],[Tabela]]&amp;Table1[[#This Row],[Campo]]</f>
        <v>lt827_mthd_usd_instrmntordem</v>
      </c>
      <c r="I1339" s="2" t="s">
        <v>612</v>
      </c>
      <c r="J1339" s="44">
        <f>VLOOKUP(Table1[[#This Row],[Status]],Auxiliar!$B$16:$C$24,2,0)</f>
        <v>1</v>
      </c>
      <c r="K1339" s="44" t="s">
        <v>1168</v>
      </c>
      <c r="L1339" s="45" t="s">
        <v>1174</v>
      </c>
      <c r="M1339" s="20" t="s">
        <v>1175</v>
      </c>
      <c r="N1339" s="47">
        <v>45625</v>
      </c>
      <c r="O1339" s="20">
        <f>INDEX(Auxiliar!$D$5:$F$13,MATCH(Table1[[#This Row],[Tipologia_Testes]],Auxiliar!$B$5:$B$13,0),MATCH(Table1[[#This Row],[Complexidade]],Auxiliar!$D$4:$F$4,0))</f>
        <v>2</v>
      </c>
      <c r="P1339" s="42"/>
      <c r="Q1339" s="151"/>
      <c r="R1339" s="151">
        <v>45593</v>
      </c>
      <c r="S1339" s="151"/>
      <c r="T1339" s="151">
        <v>45593</v>
      </c>
      <c r="U1339" s="151">
        <v>45611</v>
      </c>
      <c r="V1339" s="151">
        <v>45611</v>
      </c>
      <c r="W1339" s="2">
        <f>VLOOKUP(Table1[[#This Row],[Status]],Auxiliar!$B$16:$D$24,3,0)*Table1[[#This Row],[Estimação (horas)]]</f>
        <v>2</v>
      </c>
      <c r="X1339" s="165">
        <f>+VLOOKUP(CONCATENATE(Table1[[#This Row],[Tabela]],Table1[[#This Row],[Campo]]),'2. Status Detalhe Campos FY24'!A:J,9,FALSE)</f>
        <v>0</v>
      </c>
      <c r="Y1339" s="491" t="e">
        <f>+VLOOKUP(A1339,#REF!,1,FALSE)</f>
        <v>#REF!</v>
      </c>
    </row>
    <row r="1340" spans="1:25" ht="17.899999999999999" hidden="1" customHeight="1">
      <c r="A1340" t="str">
        <f>+Table1[[#This Row],[Tabela]]&amp;Table1[[#This Row],[Campo]]</f>
        <v>lt827_mthd_usd_instrmntordem</v>
      </c>
      <c r="B1340" s="38" t="s">
        <v>26</v>
      </c>
      <c r="C1340" s="38" t="s">
        <v>26</v>
      </c>
      <c r="D1340" s="2" t="s">
        <v>38</v>
      </c>
      <c r="E1340" s="38" t="s">
        <v>38</v>
      </c>
      <c r="F1340" s="38" t="s">
        <v>1860</v>
      </c>
      <c r="G1340" s="38" t="s">
        <v>211</v>
      </c>
      <c r="H1340" s="58" t="str">
        <f>Table1[[#This Row],[Tabela]]&amp;Table1[[#This Row],[Campo]]</f>
        <v>lt827_mthd_usd_instrmntordem</v>
      </c>
      <c r="I1340" s="2" t="s">
        <v>612</v>
      </c>
      <c r="J1340" s="44">
        <f>VLOOKUP(Table1[[#This Row],[Status]],Auxiliar!$B$16:$C$24,2,0)</f>
        <v>1</v>
      </c>
      <c r="K1340" s="44" t="s">
        <v>1169</v>
      </c>
      <c r="L1340" s="45" t="s">
        <v>1174</v>
      </c>
      <c r="M1340" s="20" t="s">
        <v>1175</v>
      </c>
      <c r="N1340" s="47">
        <v>45625</v>
      </c>
      <c r="O1340" s="20">
        <f>INDEX(Auxiliar!$D$5:$F$13,MATCH(Table1[[#This Row],[Tipologia_Testes]],Auxiliar!$B$5:$B$13,0),MATCH(Table1[[#This Row],[Complexidade]],Auxiliar!$D$4:$F$4,0))</f>
        <v>2</v>
      </c>
      <c r="P1340" s="42"/>
      <c r="Q1340" s="151"/>
      <c r="R1340" s="151">
        <v>45593</v>
      </c>
      <c r="S1340" s="151"/>
      <c r="T1340" s="151">
        <v>45593</v>
      </c>
      <c r="U1340" s="151">
        <v>45611</v>
      </c>
      <c r="V1340" s="151">
        <v>45611</v>
      </c>
      <c r="W1340" s="2">
        <f>VLOOKUP(Table1[[#This Row],[Status]],Auxiliar!$B$16:$D$24,3,0)*Table1[[#This Row],[Estimação (horas)]]</f>
        <v>2</v>
      </c>
      <c r="X1340" s="165">
        <f>+VLOOKUP(CONCATENATE(Table1[[#This Row],[Tabela]],Table1[[#This Row],[Campo]]),'2. Status Detalhe Campos FY24'!A:J,9,FALSE)</f>
        <v>0</v>
      </c>
      <c r="Y1340" s="491" t="e">
        <f>+VLOOKUP(A1340,#REF!,1,FALSE)</f>
        <v>#REF!</v>
      </c>
    </row>
    <row r="1341" spans="1:25" ht="17.899999999999999" hidden="1" customHeight="1">
      <c r="A1341" t="str">
        <f>+Table1[[#This Row],[Tabela]]&amp;Table1[[#This Row],[Campo]]</f>
        <v>lt827_mthd_usd_instrmntordem</v>
      </c>
      <c r="B1341" s="38" t="s">
        <v>26</v>
      </c>
      <c r="C1341" s="38" t="s">
        <v>26</v>
      </c>
      <c r="D1341" s="2" t="s">
        <v>38</v>
      </c>
      <c r="E1341" s="38" t="s">
        <v>38</v>
      </c>
      <c r="F1341" s="38" t="s">
        <v>1860</v>
      </c>
      <c r="G1341" s="38" t="s">
        <v>211</v>
      </c>
      <c r="H1341" s="58" t="str">
        <f>Table1[[#This Row],[Tabela]]&amp;Table1[[#This Row],[Campo]]</f>
        <v>lt827_mthd_usd_instrmntordem</v>
      </c>
      <c r="I1341" s="2" t="s">
        <v>612</v>
      </c>
      <c r="J1341" s="44">
        <f>VLOOKUP(Table1[[#This Row],[Status]],Auxiliar!$B$16:$C$24,2,0)</f>
        <v>1</v>
      </c>
      <c r="K1341" s="44" t="s">
        <v>1171</v>
      </c>
      <c r="L1341" s="45" t="s">
        <v>1174</v>
      </c>
      <c r="M1341" s="20" t="s">
        <v>1175</v>
      </c>
      <c r="N1341" s="47">
        <v>45625</v>
      </c>
      <c r="O1341" s="20">
        <f>INDEX(Auxiliar!$D$5:$F$13,MATCH(Table1[[#This Row],[Tipologia_Testes]],Auxiliar!$B$5:$B$13,0),MATCH(Table1[[#This Row],[Complexidade]],Auxiliar!$D$4:$F$4,0))</f>
        <v>0.1</v>
      </c>
      <c r="P1341" s="42"/>
      <c r="Q1341" s="151"/>
      <c r="R1341" s="151">
        <v>45593</v>
      </c>
      <c r="S1341" s="151"/>
      <c r="T1341" s="151">
        <v>45593</v>
      </c>
      <c r="U1341" s="151">
        <v>45611</v>
      </c>
      <c r="V1341" s="151">
        <v>45611</v>
      </c>
      <c r="W1341" s="2">
        <f>VLOOKUP(Table1[[#This Row],[Status]],Auxiliar!$B$16:$D$24,3,0)*Table1[[#This Row],[Estimação (horas)]]</f>
        <v>0.1</v>
      </c>
      <c r="X1341" s="165">
        <f>+VLOOKUP(CONCATENATE(Table1[[#This Row],[Tabela]],Table1[[#This Row],[Campo]]),'2. Status Detalhe Campos FY24'!A:J,9,FALSE)</f>
        <v>0</v>
      </c>
      <c r="Y1341" s="491" t="e">
        <f>+VLOOKUP(A1341,#REF!,1,FALSE)</f>
        <v>#REF!</v>
      </c>
    </row>
    <row r="1342" spans="1:25" ht="17.899999999999999" hidden="1" customHeight="1">
      <c r="A1342" t="str">
        <f>+Table1[[#This Row],[Tabela]]&amp;Table1[[#This Row],[Campo]]</f>
        <v>lt827_mthd_usd_instrmnttabela</v>
      </c>
      <c r="B1342" s="38" t="s">
        <v>26</v>
      </c>
      <c r="C1342" s="38" t="s">
        <v>26</v>
      </c>
      <c r="D1342" s="2" t="s">
        <v>38</v>
      </c>
      <c r="E1342" s="39" t="s">
        <v>38</v>
      </c>
      <c r="F1342" s="39" t="s">
        <v>1860</v>
      </c>
      <c r="G1342" s="39" t="s">
        <v>391</v>
      </c>
      <c r="H1342" s="59" t="str">
        <f>Table1[[#This Row],[Tabela]]&amp;Table1[[#This Row],[Campo]]</f>
        <v>lt827_mthd_usd_instrmnttabela</v>
      </c>
      <c r="I1342" s="2" t="s">
        <v>612</v>
      </c>
      <c r="J1342" s="44">
        <f>VLOOKUP(Table1[[#This Row],[Status]],Auxiliar!$B$16:$C$24,2,0)</f>
        <v>1</v>
      </c>
      <c r="K1342" s="44" t="s">
        <v>1168</v>
      </c>
      <c r="L1342" s="45" t="s">
        <v>1174</v>
      </c>
      <c r="M1342" s="20" t="s">
        <v>1175</v>
      </c>
      <c r="N1342" s="47">
        <v>45625</v>
      </c>
      <c r="O1342" s="20">
        <f>INDEX(Auxiliar!$D$5:$F$13,MATCH(Table1[[#This Row],[Tipologia_Testes]],Auxiliar!$B$5:$B$13,0),MATCH(Table1[[#This Row],[Complexidade]],Auxiliar!$D$4:$F$4,0))</f>
        <v>2</v>
      </c>
      <c r="P1342" s="42"/>
      <c r="Q1342" s="151"/>
      <c r="R1342" s="151">
        <v>45593</v>
      </c>
      <c r="S1342" s="151"/>
      <c r="T1342" s="151">
        <v>45593</v>
      </c>
      <c r="U1342" s="151">
        <v>45611</v>
      </c>
      <c r="V1342" s="151">
        <v>45611</v>
      </c>
      <c r="W1342" s="2">
        <f>VLOOKUP(Table1[[#This Row],[Status]],Auxiliar!$B$16:$D$24,3,0)*Table1[[#This Row],[Estimação (horas)]]</f>
        <v>2</v>
      </c>
      <c r="X1342" s="165">
        <f>+VLOOKUP(CONCATENATE(Table1[[#This Row],[Tabela]],Table1[[#This Row],[Campo]]),'2. Status Detalhe Campos FY24'!A:J,9,FALSE)</f>
        <v>0</v>
      </c>
      <c r="Y1342" s="491" t="e">
        <f>+VLOOKUP(A1342,#REF!,1,FALSE)</f>
        <v>#REF!</v>
      </c>
    </row>
    <row r="1343" spans="1:25" ht="17.899999999999999" hidden="1" customHeight="1">
      <c r="A1343" t="str">
        <f>+Table1[[#This Row],[Tabela]]&amp;Table1[[#This Row],[Campo]]</f>
        <v>lt827_mthd_usd_instrmnttabela</v>
      </c>
      <c r="B1343" s="38" t="s">
        <v>26</v>
      </c>
      <c r="C1343" s="38" t="s">
        <v>26</v>
      </c>
      <c r="D1343" s="2" t="s">
        <v>38</v>
      </c>
      <c r="E1343" s="38" t="s">
        <v>38</v>
      </c>
      <c r="F1343" s="38" t="s">
        <v>1860</v>
      </c>
      <c r="G1343" s="38" t="s">
        <v>391</v>
      </c>
      <c r="H1343" s="58" t="str">
        <f>Table1[[#This Row],[Tabela]]&amp;Table1[[#This Row],[Campo]]</f>
        <v>lt827_mthd_usd_instrmnttabela</v>
      </c>
      <c r="I1343" s="2" t="s">
        <v>612</v>
      </c>
      <c r="J1343" s="44">
        <f>VLOOKUP(Table1[[#This Row],[Status]],Auxiliar!$B$16:$C$24,2,0)</f>
        <v>1</v>
      </c>
      <c r="K1343" s="44" t="s">
        <v>1169</v>
      </c>
      <c r="L1343" s="45" t="s">
        <v>1174</v>
      </c>
      <c r="M1343" s="20" t="s">
        <v>1175</v>
      </c>
      <c r="N1343" s="47">
        <v>45625</v>
      </c>
      <c r="O1343" s="20">
        <f>INDEX(Auxiliar!$D$5:$F$13,MATCH(Table1[[#This Row],[Tipologia_Testes]],Auxiliar!$B$5:$B$13,0),MATCH(Table1[[#This Row],[Complexidade]],Auxiliar!$D$4:$F$4,0))</f>
        <v>2</v>
      </c>
      <c r="P1343" s="42"/>
      <c r="Q1343" s="151"/>
      <c r="R1343" s="151">
        <v>45593</v>
      </c>
      <c r="S1343" s="151"/>
      <c r="T1343" s="151">
        <v>45593</v>
      </c>
      <c r="U1343" s="151">
        <v>45611</v>
      </c>
      <c r="V1343" s="151">
        <v>45611</v>
      </c>
      <c r="W1343" s="2">
        <f>VLOOKUP(Table1[[#This Row],[Status]],Auxiliar!$B$16:$D$24,3,0)*Table1[[#This Row],[Estimação (horas)]]</f>
        <v>2</v>
      </c>
      <c r="X1343" s="165">
        <f>+VLOOKUP(CONCATENATE(Table1[[#This Row],[Tabela]],Table1[[#This Row],[Campo]]),'2. Status Detalhe Campos FY24'!A:J,9,FALSE)</f>
        <v>0</v>
      </c>
      <c r="Y1343" s="491" t="e">
        <f>+VLOOKUP(A1343,#REF!,1,FALSE)</f>
        <v>#REF!</v>
      </c>
    </row>
    <row r="1344" spans="1:25" ht="17.899999999999999" hidden="1" customHeight="1">
      <c r="A1344" t="str">
        <f>+Table1[[#This Row],[Tabela]]&amp;Table1[[#This Row],[Campo]]</f>
        <v>lt827_mthd_usd_instrmnttabela</v>
      </c>
      <c r="B1344" s="38" t="s">
        <v>26</v>
      </c>
      <c r="C1344" s="38" t="s">
        <v>26</v>
      </c>
      <c r="D1344" s="2" t="s">
        <v>38</v>
      </c>
      <c r="E1344" s="38" t="s">
        <v>38</v>
      </c>
      <c r="F1344" s="38" t="s">
        <v>1860</v>
      </c>
      <c r="G1344" s="38" t="s">
        <v>391</v>
      </c>
      <c r="H1344" s="58" t="str">
        <f>Table1[[#This Row],[Tabela]]&amp;Table1[[#This Row],[Campo]]</f>
        <v>lt827_mthd_usd_instrmnttabela</v>
      </c>
      <c r="I1344" s="2" t="s">
        <v>612</v>
      </c>
      <c r="J1344" s="44">
        <f>VLOOKUP(Table1[[#This Row],[Status]],Auxiliar!$B$16:$C$24,2,0)</f>
        <v>1</v>
      </c>
      <c r="K1344" s="44" t="s">
        <v>1171</v>
      </c>
      <c r="L1344" s="45" t="s">
        <v>1174</v>
      </c>
      <c r="M1344" s="20" t="s">
        <v>1175</v>
      </c>
      <c r="N1344" s="47">
        <v>45625</v>
      </c>
      <c r="O1344" s="20">
        <f>INDEX(Auxiliar!$D$5:$F$13,MATCH(Table1[[#This Row],[Tipologia_Testes]],Auxiliar!$B$5:$B$13,0),MATCH(Table1[[#This Row],[Complexidade]],Auxiliar!$D$4:$F$4,0))</f>
        <v>0.1</v>
      </c>
      <c r="P1344" s="42"/>
      <c r="Q1344" s="151"/>
      <c r="R1344" s="151">
        <v>45593</v>
      </c>
      <c r="S1344" s="151"/>
      <c r="T1344" s="151">
        <v>45593</v>
      </c>
      <c r="U1344" s="151">
        <v>45611</v>
      </c>
      <c r="V1344" s="151">
        <v>45611</v>
      </c>
      <c r="W1344" s="2">
        <f>VLOOKUP(Table1[[#This Row],[Status]],Auxiliar!$B$16:$D$24,3,0)*Table1[[#This Row],[Estimação (horas)]]</f>
        <v>0.1</v>
      </c>
      <c r="X1344" s="165">
        <f>+VLOOKUP(CONCATENATE(Table1[[#This Row],[Tabela]],Table1[[#This Row],[Campo]]),'2. Status Detalhe Campos FY24'!A:J,9,FALSE)</f>
        <v>0</v>
      </c>
      <c r="Y1344" s="491" t="e">
        <f>+VLOOKUP(A1344,#REF!,1,FALSE)</f>
        <v>#REF!</v>
      </c>
    </row>
    <row r="1345" spans="1:25" ht="17.899999999999999" hidden="1" customHeight="1">
      <c r="A1345" t="str">
        <f>+Table1[[#This Row],[Tabela]]&amp;Table1[[#This Row],[Campo]]</f>
        <v>lt827_mthd_usd_instrmntorigem_scp1_emss</v>
      </c>
      <c r="B1345" s="38" t="s">
        <v>26</v>
      </c>
      <c r="C1345" s="38" t="s">
        <v>26</v>
      </c>
      <c r="D1345" s="2" t="s">
        <v>38</v>
      </c>
      <c r="E1345" s="39" t="s">
        <v>38</v>
      </c>
      <c r="F1345" s="39" t="s">
        <v>1860</v>
      </c>
      <c r="G1345" s="37" t="s">
        <v>319</v>
      </c>
      <c r="H1345" s="59" t="str">
        <f>Table1[[#This Row],[Tabela]]&amp;Table1[[#This Row],[Campo]]</f>
        <v>lt827_mthd_usd_instrmntorigem_scp1_emss</v>
      </c>
      <c r="I1345" s="2" t="s">
        <v>612</v>
      </c>
      <c r="J1345" s="44">
        <f>VLOOKUP(Table1[[#This Row],[Status]],Auxiliar!$B$16:$C$24,2,0)</f>
        <v>1</v>
      </c>
      <c r="K1345" s="44" t="s">
        <v>1168</v>
      </c>
      <c r="L1345" s="45" t="s">
        <v>1174</v>
      </c>
      <c r="M1345" s="20" t="s">
        <v>1175</v>
      </c>
      <c r="N1345" s="47">
        <v>45625</v>
      </c>
      <c r="O1345" s="20">
        <f>INDEX(Auxiliar!$D$5:$F$13,MATCH(Table1[[#This Row],[Tipologia_Testes]],Auxiliar!$B$5:$B$13,0),MATCH(Table1[[#This Row],[Complexidade]],Auxiliar!$D$4:$F$4,0))</f>
        <v>2</v>
      </c>
      <c r="P1345" s="42"/>
      <c r="Q1345" s="151"/>
      <c r="R1345" s="151">
        <v>45593</v>
      </c>
      <c r="S1345" s="151"/>
      <c r="T1345" s="151">
        <v>45593</v>
      </c>
      <c r="U1345" s="151">
        <v>45611</v>
      </c>
      <c r="V1345" s="151">
        <v>45611</v>
      </c>
      <c r="W1345" s="2">
        <f>VLOOKUP(Table1[[#This Row],[Status]],Auxiliar!$B$16:$D$24,3,0)*Table1[[#This Row],[Estimação (horas)]]</f>
        <v>2</v>
      </c>
      <c r="X1345" s="165">
        <f>+VLOOKUP(CONCATENATE(Table1[[#This Row],[Tabela]],Table1[[#This Row],[Campo]]),'2. Status Detalhe Campos FY24'!A:J,9,FALSE)</f>
        <v>0</v>
      </c>
      <c r="Y1345" s="491" t="e">
        <f>+VLOOKUP(A1345,#REF!,1,FALSE)</f>
        <v>#REF!</v>
      </c>
    </row>
    <row r="1346" spans="1:25" ht="17.899999999999999" hidden="1" customHeight="1">
      <c r="A1346" t="str">
        <f>+Table1[[#This Row],[Tabela]]&amp;Table1[[#This Row],[Campo]]</f>
        <v>lt827_mthd_usd_instrmntorigem_scp1_emss</v>
      </c>
      <c r="B1346" s="38" t="s">
        <v>26</v>
      </c>
      <c r="C1346" s="38" t="s">
        <v>26</v>
      </c>
      <c r="D1346" s="2" t="s">
        <v>38</v>
      </c>
      <c r="E1346" s="38" t="s">
        <v>38</v>
      </c>
      <c r="F1346" s="38" t="s">
        <v>1860</v>
      </c>
      <c r="G1346" s="38" t="s">
        <v>319</v>
      </c>
      <c r="H1346" s="58" t="str">
        <f>Table1[[#This Row],[Tabela]]&amp;Table1[[#This Row],[Campo]]</f>
        <v>lt827_mthd_usd_instrmntorigem_scp1_emss</v>
      </c>
      <c r="I1346" s="2" t="s">
        <v>612</v>
      </c>
      <c r="J1346" s="44">
        <f>VLOOKUP(Table1[[#This Row],[Status]],Auxiliar!$B$16:$C$24,2,0)</f>
        <v>1</v>
      </c>
      <c r="K1346" s="44" t="s">
        <v>1169</v>
      </c>
      <c r="L1346" s="45" t="s">
        <v>1174</v>
      </c>
      <c r="M1346" s="20" t="s">
        <v>1175</v>
      </c>
      <c r="N1346" s="47">
        <v>45625</v>
      </c>
      <c r="O1346" s="20">
        <f>INDEX(Auxiliar!$D$5:$F$13,MATCH(Table1[[#This Row],[Tipologia_Testes]],Auxiliar!$B$5:$B$13,0),MATCH(Table1[[#This Row],[Complexidade]],Auxiliar!$D$4:$F$4,0))</f>
        <v>2</v>
      </c>
      <c r="P1346" s="42"/>
      <c r="Q1346" s="151"/>
      <c r="R1346" s="151">
        <v>45593</v>
      </c>
      <c r="S1346" s="151"/>
      <c r="T1346" s="151">
        <v>45593</v>
      </c>
      <c r="U1346" s="151">
        <v>45611</v>
      </c>
      <c r="V1346" s="151">
        <v>45611</v>
      </c>
      <c r="W1346" s="2">
        <f>VLOOKUP(Table1[[#This Row],[Status]],Auxiliar!$B$16:$D$24,3,0)*Table1[[#This Row],[Estimação (horas)]]</f>
        <v>2</v>
      </c>
      <c r="X1346" s="165">
        <f>+VLOOKUP(CONCATENATE(Table1[[#This Row],[Tabela]],Table1[[#This Row],[Campo]]),'2. Status Detalhe Campos FY24'!A:J,9,FALSE)</f>
        <v>0</v>
      </c>
      <c r="Y1346" s="491" t="e">
        <f>+VLOOKUP(A1346,#REF!,1,FALSE)</f>
        <v>#REF!</v>
      </c>
    </row>
    <row r="1347" spans="1:25" ht="17.899999999999999" hidden="1" customHeight="1">
      <c r="A1347" t="str">
        <f>+Table1[[#This Row],[Tabela]]&amp;Table1[[#This Row],[Campo]]</f>
        <v>lt827_mthd_usd_instrmntorigem_scp1_emss</v>
      </c>
      <c r="B1347" s="38" t="s">
        <v>26</v>
      </c>
      <c r="C1347" s="38" t="s">
        <v>26</v>
      </c>
      <c r="D1347" s="2" t="s">
        <v>38</v>
      </c>
      <c r="E1347" s="38" t="s">
        <v>38</v>
      </c>
      <c r="F1347" s="38" t="s">
        <v>1860</v>
      </c>
      <c r="G1347" s="38" t="s">
        <v>319</v>
      </c>
      <c r="H1347" s="58" t="str">
        <f>Table1[[#This Row],[Tabela]]&amp;Table1[[#This Row],[Campo]]</f>
        <v>lt827_mthd_usd_instrmntorigem_scp1_emss</v>
      </c>
      <c r="I1347" s="2" t="s">
        <v>612</v>
      </c>
      <c r="J1347" s="44">
        <f>VLOOKUP(Table1[[#This Row],[Status]],Auxiliar!$B$16:$C$24,2,0)</f>
        <v>1</v>
      </c>
      <c r="K1347" s="44" t="s">
        <v>1171</v>
      </c>
      <c r="L1347" s="45" t="s">
        <v>1174</v>
      </c>
      <c r="M1347" s="20" t="s">
        <v>1175</v>
      </c>
      <c r="N1347" s="47">
        <v>45625</v>
      </c>
      <c r="O1347" s="20">
        <f>INDEX(Auxiliar!$D$5:$F$13,MATCH(Table1[[#This Row],[Tipologia_Testes]],Auxiliar!$B$5:$B$13,0),MATCH(Table1[[#This Row],[Complexidade]],Auxiliar!$D$4:$F$4,0))</f>
        <v>0.1</v>
      </c>
      <c r="P1347" s="42"/>
      <c r="Q1347" s="151"/>
      <c r="R1347" s="151">
        <v>45593</v>
      </c>
      <c r="S1347" s="151"/>
      <c r="T1347" s="151">
        <v>45593</v>
      </c>
      <c r="U1347" s="151">
        <v>45611</v>
      </c>
      <c r="V1347" s="151">
        <v>45611</v>
      </c>
      <c r="W1347" s="2">
        <f>VLOOKUP(Table1[[#This Row],[Status]],Auxiliar!$B$16:$D$24,3,0)*Table1[[#This Row],[Estimação (horas)]]</f>
        <v>0.1</v>
      </c>
      <c r="X1347" s="165">
        <f>+VLOOKUP(CONCATENATE(Table1[[#This Row],[Tabela]],Table1[[#This Row],[Campo]]),'2. Status Detalhe Campos FY24'!A:J,9,FALSE)</f>
        <v>0</v>
      </c>
      <c r="Y1347" s="491" t="e">
        <f>+VLOOKUP(A1347,#REF!,1,FALSE)</f>
        <v>#REF!</v>
      </c>
    </row>
    <row r="1348" spans="1:25" ht="17.899999999999999" hidden="1" customHeight="1">
      <c r="A1348" t="str">
        <f>+Table1[[#This Row],[Tabela]]&amp;Table1[[#This Row],[Campo]]</f>
        <v>lt827_mthd_usd_instrmntorigem_scp2_emss</v>
      </c>
      <c r="B1348" s="38" t="s">
        <v>26</v>
      </c>
      <c r="C1348" s="38" t="s">
        <v>26</v>
      </c>
      <c r="D1348" s="2" t="s">
        <v>38</v>
      </c>
      <c r="E1348" s="39" t="s">
        <v>38</v>
      </c>
      <c r="F1348" s="39" t="s">
        <v>1860</v>
      </c>
      <c r="G1348" s="37" t="s">
        <v>320</v>
      </c>
      <c r="H1348" s="59" t="str">
        <f>Table1[[#This Row],[Tabela]]&amp;Table1[[#This Row],[Campo]]</f>
        <v>lt827_mthd_usd_instrmntorigem_scp2_emss</v>
      </c>
      <c r="I1348" s="2" t="s">
        <v>612</v>
      </c>
      <c r="J1348" s="44">
        <f>VLOOKUP(Table1[[#This Row],[Status]],Auxiliar!$B$16:$C$24,2,0)</f>
        <v>1</v>
      </c>
      <c r="K1348" s="44" t="s">
        <v>1168</v>
      </c>
      <c r="L1348" s="45" t="s">
        <v>1174</v>
      </c>
      <c r="M1348" s="20" t="s">
        <v>1175</v>
      </c>
      <c r="N1348" s="47">
        <v>45625</v>
      </c>
      <c r="O1348" s="20">
        <f>INDEX(Auxiliar!$D$5:$F$13,MATCH(Table1[[#This Row],[Tipologia_Testes]],Auxiliar!$B$5:$B$13,0),MATCH(Table1[[#This Row],[Complexidade]],Auxiliar!$D$4:$F$4,0))</f>
        <v>2</v>
      </c>
      <c r="P1348" s="42"/>
      <c r="Q1348" s="151"/>
      <c r="R1348" s="151">
        <v>45593</v>
      </c>
      <c r="S1348" s="151"/>
      <c r="T1348" s="151">
        <v>45593</v>
      </c>
      <c r="U1348" s="151">
        <v>45611</v>
      </c>
      <c r="V1348" s="151">
        <v>45611</v>
      </c>
      <c r="W1348" s="2">
        <f>VLOOKUP(Table1[[#This Row],[Status]],Auxiliar!$B$16:$D$24,3,0)*Table1[[#This Row],[Estimação (horas)]]</f>
        <v>2</v>
      </c>
      <c r="X1348" s="165">
        <f>+VLOOKUP(CONCATENATE(Table1[[#This Row],[Tabela]],Table1[[#This Row],[Campo]]),'2. Status Detalhe Campos FY24'!A:J,9,FALSE)</f>
        <v>0</v>
      </c>
      <c r="Y1348" s="491" t="e">
        <f>+VLOOKUP(A1348,#REF!,1,FALSE)</f>
        <v>#REF!</v>
      </c>
    </row>
    <row r="1349" spans="1:25" ht="17.899999999999999" hidden="1" customHeight="1">
      <c r="A1349" t="str">
        <f>+Table1[[#This Row],[Tabela]]&amp;Table1[[#This Row],[Campo]]</f>
        <v>lt827_mthd_usd_instrmntorigem_scp2_emss</v>
      </c>
      <c r="B1349" s="38" t="s">
        <v>26</v>
      </c>
      <c r="C1349" s="38" t="s">
        <v>26</v>
      </c>
      <c r="D1349" s="2" t="s">
        <v>38</v>
      </c>
      <c r="E1349" s="38" t="s">
        <v>38</v>
      </c>
      <c r="F1349" s="38" t="s">
        <v>1860</v>
      </c>
      <c r="G1349" s="38" t="s">
        <v>320</v>
      </c>
      <c r="H1349" s="58" t="str">
        <f>Table1[[#This Row],[Tabela]]&amp;Table1[[#This Row],[Campo]]</f>
        <v>lt827_mthd_usd_instrmntorigem_scp2_emss</v>
      </c>
      <c r="I1349" s="2" t="s">
        <v>612</v>
      </c>
      <c r="J1349" s="44">
        <f>VLOOKUP(Table1[[#This Row],[Status]],Auxiliar!$B$16:$C$24,2,0)</f>
        <v>1</v>
      </c>
      <c r="K1349" s="44" t="s">
        <v>1169</v>
      </c>
      <c r="L1349" s="45" t="s">
        <v>1174</v>
      </c>
      <c r="M1349" s="20" t="s">
        <v>1175</v>
      </c>
      <c r="N1349" s="47">
        <v>45625</v>
      </c>
      <c r="O1349" s="20">
        <f>INDEX(Auxiliar!$D$5:$F$13,MATCH(Table1[[#This Row],[Tipologia_Testes]],Auxiliar!$B$5:$B$13,0),MATCH(Table1[[#This Row],[Complexidade]],Auxiliar!$D$4:$F$4,0))</f>
        <v>2</v>
      </c>
      <c r="P1349" s="42"/>
      <c r="Q1349" s="151"/>
      <c r="R1349" s="151">
        <v>45593</v>
      </c>
      <c r="S1349" s="151"/>
      <c r="T1349" s="151">
        <v>45593</v>
      </c>
      <c r="U1349" s="151">
        <v>45611</v>
      </c>
      <c r="V1349" s="151">
        <v>45611</v>
      </c>
      <c r="W1349" s="2">
        <f>VLOOKUP(Table1[[#This Row],[Status]],Auxiliar!$B$16:$D$24,3,0)*Table1[[#This Row],[Estimação (horas)]]</f>
        <v>2</v>
      </c>
      <c r="X1349" s="165">
        <f>+VLOOKUP(CONCATENATE(Table1[[#This Row],[Tabela]],Table1[[#This Row],[Campo]]),'2. Status Detalhe Campos FY24'!A:J,9,FALSE)</f>
        <v>0</v>
      </c>
      <c r="Y1349" s="491" t="e">
        <f>+VLOOKUP(A1349,#REF!,1,FALSE)</f>
        <v>#REF!</v>
      </c>
    </row>
    <row r="1350" spans="1:25" ht="17.899999999999999" hidden="1" customHeight="1">
      <c r="A1350" t="str">
        <f>+Table1[[#This Row],[Tabela]]&amp;Table1[[#This Row],[Campo]]</f>
        <v>lt827_mthd_usd_instrmntorigem_scp2_emss</v>
      </c>
      <c r="B1350" s="38" t="s">
        <v>26</v>
      </c>
      <c r="C1350" s="38" t="s">
        <v>26</v>
      </c>
      <c r="D1350" s="2" t="s">
        <v>38</v>
      </c>
      <c r="E1350" s="38" t="s">
        <v>38</v>
      </c>
      <c r="F1350" s="38" t="s">
        <v>1860</v>
      </c>
      <c r="G1350" s="38" t="s">
        <v>320</v>
      </c>
      <c r="H1350" s="58" t="str">
        <f>Table1[[#This Row],[Tabela]]&amp;Table1[[#This Row],[Campo]]</f>
        <v>lt827_mthd_usd_instrmntorigem_scp2_emss</v>
      </c>
      <c r="I1350" s="2" t="s">
        <v>612</v>
      </c>
      <c r="J1350" s="44">
        <f>VLOOKUP(Table1[[#This Row],[Status]],Auxiliar!$B$16:$C$24,2,0)</f>
        <v>1</v>
      </c>
      <c r="K1350" s="44" t="s">
        <v>1171</v>
      </c>
      <c r="L1350" s="45" t="s">
        <v>1174</v>
      </c>
      <c r="M1350" s="20" t="s">
        <v>1175</v>
      </c>
      <c r="N1350" s="47">
        <v>45625</v>
      </c>
      <c r="O1350" s="20">
        <f>INDEX(Auxiliar!$D$5:$F$13,MATCH(Table1[[#This Row],[Tipologia_Testes]],Auxiliar!$B$5:$B$13,0),MATCH(Table1[[#This Row],[Complexidade]],Auxiliar!$D$4:$F$4,0))</f>
        <v>0.1</v>
      </c>
      <c r="P1350" s="42"/>
      <c r="Q1350" s="151"/>
      <c r="R1350" s="151">
        <v>45593</v>
      </c>
      <c r="S1350" s="151"/>
      <c r="T1350" s="151">
        <v>45593</v>
      </c>
      <c r="U1350" s="151">
        <v>45611</v>
      </c>
      <c r="V1350" s="151">
        <v>45611</v>
      </c>
      <c r="W1350" s="2">
        <f>VLOOKUP(Table1[[#This Row],[Status]],Auxiliar!$B$16:$D$24,3,0)*Table1[[#This Row],[Estimação (horas)]]</f>
        <v>0.1</v>
      </c>
      <c r="X1350" s="165">
        <f>+VLOOKUP(CONCATENATE(Table1[[#This Row],[Tabela]],Table1[[#This Row],[Campo]]),'2. Status Detalhe Campos FY24'!A:J,9,FALSE)</f>
        <v>0</v>
      </c>
      <c r="Y1350" s="491" t="e">
        <f>+VLOOKUP(A1350,#REF!,1,FALSE)</f>
        <v>#REF!</v>
      </c>
    </row>
    <row r="1351" spans="1:25" ht="17.899999999999999" hidden="1" customHeight="1">
      <c r="A1351" t="str">
        <f>+Table1[[#This Row],[Tabela]]&amp;Table1[[#This Row],[Campo]]</f>
        <v>lt827_mthd_usd_instrmntorigem_scp3_emss</v>
      </c>
      <c r="B1351" s="38" t="s">
        <v>26</v>
      </c>
      <c r="C1351" s="38" t="s">
        <v>26</v>
      </c>
      <c r="D1351" s="2" t="s">
        <v>38</v>
      </c>
      <c r="E1351" s="39" t="s">
        <v>38</v>
      </c>
      <c r="F1351" s="39" t="s">
        <v>1860</v>
      </c>
      <c r="G1351" s="37" t="s">
        <v>321</v>
      </c>
      <c r="H1351" s="59" t="str">
        <f>Table1[[#This Row],[Tabela]]&amp;Table1[[#This Row],[Campo]]</f>
        <v>lt827_mthd_usd_instrmntorigem_scp3_emss</v>
      </c>
      <c r="I1351" s="2" t="s">
        <v>612</v>
      </c>
      <c r="J1351" s="44">
        <f>VLOOKUP(Table1[[#This Row],[Status]],Auxiliar!$B$16:$C$24,2,0)</f>
        <v>1</v>
      </c>
      <c r="K1351" s="44" t="s">
        <v>1168</v>
      </c>
      <c r="L1351" s="45" t="s">
        <v>1174</v>
      </c>
      <c r="M1351" s="20" t="s">
        <v>1175</v>
      </c>
      <c r="N1351" s="47">
        <v>45625</v>
      </c>
      <c r="O1351" s="20">
        <f>INDEX(Auxiliar!$D$5:$F$13,MATCH(Table1[[#This Row],[Tipologia_Testes]],Auxiliar!$B$5:$B$13,0),MATCH(Table1[[#This Row],[Complexidade]],Auxiliar!$D$4:$F$4,0))</f>
        <v>2</v>
      </c>
      <c r="P1351" s="42"/>
      <c r="Q1351" s="151"/>
      <c r="R1351" s="151">
        <v>45593</v>
      </c>
      <c r="S1351" s="151"/>
      <c r="T1351" s="151">
        <v>45593</v>
      </c>
      <c r="U1351" s="151">
        <v>45611</v>
      </c>
      <c r="V1351" s="151">
        <v>45611</v>
      </c>
      <c r="W1351" s="2">
        <f>VLOOKUP(Table1[[#This Row],[Status]],Auxiliar!$B$16:$D$24,3,0)*Table1[[#This Row],[Estimação (horas)]]</f>
        <v>2</v>
      </c>
      <c r="X1351" s="165">
        <f>+VLOOKUP(CONCATENATE(Table1[[#This Row],[Tabela]],Table1[[#This Row],[Campo]]),'2. Status Detalhe Campos FY24'!A:J,9,FALSE)</f>
        <v>0</v>
      </c>
      <c r="Y1351" s="491" t="e">
        <f>+VLOOKUP(A1351,#REF!,1,FALSE)</f>
        <v>#REF!</v>
      </c>
    </row>
    <row r="1352" spans="1:25" ht="17.899999999999999" hidden="1" customHeight="1">
      <c r="A1352" t="str">
        <f>+Table1[[#This Row],[Tabela]]&amp;Table1[[#This Row],[Campo]]</f>
        <v>lt827_mthd_usd_instrmntorigem_scp3_emss</v>
      </c>
      <c r="B1352" s="38" t="s">
        <v>26</v>
      </c>
      <c r="C1352" s="38" t="s">
        <v>26</v>
      </c>
      <c r="D1352" s="2" t="s">
        <v>38</v>
      </c>
      <c r="E1352" s="38" t="s">
        <v>38</v>
      </c>
      <c r="F1352" s="38" t="s">
        <v>1860</v>
      </c>
      <c r="G1352" s="38" t="s">
        <v>321</v>
      </c>
      <c r="H1352" s="58" t="str">
        <f>Table1[[#This Row],[Tabela]]&amp;Table1[[#This Row],[Campo]]</f>
        <v>lt827_mthd_usd_instrmntorigem_scp3_emss</v>
      </c>
      <c r="I1352" s="2" t="s">
        <v>612</v>
      </c>
      <c r="J1352" s="44">
        <f>VLOOKUP(Table1[[#This Row],[Status]],Auxiliar!$B$16:$C$24,2,0)</f>
        <v>1</v>
      </c>
      <c r="K1352" s="44" t="s">
        <v>1169</v>
      </c>
      <c r="L1352" s="45" t="s">
        <v>1174</v>
      </c>
      <c r="M1352" s="20" t="s">
        <v>1175</v>
      </c>
      <c r="N1352" s="47">
        <v>45625</v>
      </c>
      <c r="O1352" s="20">
        <f>INDEX(Auxiliar!$D$5:$F$13,MATCH(Table1[[#This Row],[Tipologia_Testes]],Auxiliar!$B$5:$B$13,0),MATCH(Table1[[#This Row],[Complexidade]],Auxiliar!$D$4:$F$4,0))</f>
        <v>2</v>
      </c>
      <c r="P1352" s="42"/>
      <c r="Q1352" s="151"/>
      <c r="R1352" s="151">
        <v>45593</v>
      </c>
      <c r="S1352" s="151"/>
      <c r="T1352" s="151">
        <v>45593</v>
      </c>
      <c r="U1352" s="151">
        <v>45611</v>
      </c>
      <c r="V1352" s="151">
        <v>45611</v>
      </c>
      <c r="W1352" s="2">
        <f>VLOOKUP(Table1[[#This Row],[Status]],Auxiliar!$B$16:$D$24,3,0)*Table1[[#This Row],[Estimação (horas)]]</f>
        <v>2</v>
      </c>
      <c r="X1352" s="165">
        <f>+VLOOKUP(CONCATENATE(Table1[[#This Row],[Tabela]],Table1[[#This Row],[Campo]]),'2. Status Detalhe Campos FY24'!A:J,9,FALSE)</f>
        <v>0</v>
      </c>
      <c r="Y1352" s="491" t="e">
        <f>+VLOOKUP(A1352,#REF!,1,FALSE)</f>
        <v>#REF!</v>
      </c>
    </row>
    <row r="1353" spans="1:25" ht="17.899999999999999" hidden="1" customHeight="1">
      <c r="A1353" t="str">
        <f>+Table1[[#This Row],[Tabela]]&amp;Table1[[#This Row],[Campo]]</f>
        <v>lt827_mthd_usd_instrmntorigem_scp3_emss</v>
      </c>
      <c r="B1353" s="38" t="s">
        <v>26</v>
      </c>
      <c r="C1353" s="38" t="s">
        <v>26</v>
      </c>
      <c r="D1353" s="2" t="s">
        <v>38</v>
      </c>
      <c r="E1353" s="38" t="s">
        <v>38</v>
      </c>
      <c r="F1353" s="38" t="s">
        <v>1860</v>
      </c>
      <c r="G1353" s="38" t="s">
        <v>321</v>
      </c>
      <c r="H1353" s="58" t="str">
        <f>Table1[[#This Row],[Tabela]]&amp;Table1[[#This Row],[Campo]]</f>
        <v>lt827_mthd_usd_instrmntorigem_scp3_emss</v>
      </c>
      <c r="I1353" s="2" t="s">
        <v>612</v>
      </c>
      <c r="J1353" s="44">
        <f>VLOOKUP(Table1[[#This Row],[Status]],Auxiliar!$B$16:$C$24,2,0)</f>
        <v>1</v>
      </c>
      <c r="K1353" s="44" t="s">
        <v>1171</v>
      </c>
      <c r="L1353" s="45" t="s">
        <v>1174</v>
      </c>
      <c r="M1353" s="20" t="s">
        <v>1175</v>
      </c>
      <c r="N1353" s="47">
        <v>45625</v>
      </c>
      <c r="O1353" s="20">
        <f>INDEX(Auxiliar!$D$5:$F$13,MATCH(Table1[[#This Row],[Tipologia_Testes]],Auxiliar!$B$5:$B$13,0),MATCH(Table1[[#This Row],[Complexidade]],Auxiliar!$D$4:$F$4,0))</f>
        <v>0.1</v>
      </c>
      <c r="P1353" s="42"/>
      <c r="Q1353" s="151"/>
      <c r="R1353" s="151">
        <v>45593</v>
      </c>
      <c r="S1353" s="151"/>
      <c r="T1353" s="151">
        <v>45593</v>
      </c>
      <c r="U1353" s="151">
        <v>45611</v>
      </c>
      <c r="V1353" s="151">
        <v>45611</v>
      </c>
      <c r="W1353" s="2">
        <f>VLOOKUP(Table1[[#This Row],[Status]],Auxiliar!$B$16:$D$24,3,0)*Table1[[#This Row],[Estimação (horas)]]</f>
        <v>0.1</v>
      </c>
      <c r="X1353" s="165">
        <f>+VLOOKUP(CONCATENATE(Table1[[#This Row],[Tabela]],Table1[[#This Row],[Campo]]),'2. Status Detalhe Campos FY24'!A:J,9,FALSE)</f>
        <v>0</v>
      </c>
      <c r="Y1353" s="491" t="e">
        <f>+VLOOKUP(A1353,#REF!,1,FALSE)</f>
        <v>#REF!</v>
      </c>
    </row>
    <row r="1354" spans="1:25" ht="17.899999999999999" hidden="1" customHeight="1">
      <c r="A1354" t="str">
        <f>+Table1[[#This Row],[Tabela]]&amp;Table1[[#This Row],[Campo]]</f>
        <v>lt827_mthd_usd_instrmntmthd_usd_instrmnt_scp_1</v>
      </c>
      <c r="B1354" s="38" t="s">
        <v>26</v>
      </c>
      <c r="C1354" s="38" t="s">
        <v>26</v>
      </c>
      <c r="D1354" s="2" t="s">
        <v>38</v>
      </c>
      <c r="E1354" s="39" t="s">
        <v>38</v>
      </c>
      <c r="F1354" s="39" t="s">
        <v>1860</v>
      </c>
      <c r="G1354" s="37" t="s">
        <v>385</v>
      </c>
      <c r="H1354" s="59" t="str">
        <f>Table1[[#This Row],[Tabela]]&amp;Table1[[#This Row],[Campo]]</f>
        <v>lt827_mthd_usd_instrmntmthd_usd_instrmnt_scp_1</v>
      </c>
      <c r="I1354" s="2" t="s">
        <v>612</v>
      </c>
      <c r="J1354" s="44">
        <f>VLOOKUP(Table1[[#This Row],[Status]],Auxiliar!$B$16:$C$24,2,0)</f>
        <v>1</v>
      </c>
      <c r="K1354" s="44" t="s">
        <v>1168</v>
      </c>
      <c r="L1354" s="45" t="s">
        <v>1174</v>
      </c>
      <c r="M1354" s="20" t="s">
        <v>1175</v>
      </c>
      <c r="N1354" s="47">
        <v>45625</v>
      </c>
      <c r="O1354" s="20">
        <f>INDEX(Auxiliar!$D$5:$F$13,MATCH(Table1[[#This Row],[Tipologia_Testes]],Auxiliar!$B$5:$B$13,0),MATCH(Table1[[#This Row],[Complexidade]],Auxiliar!$D$4:$F$4,0))</f>
        <v>2</v>
      </c>
      <c r="P1354" s="42"/>
      <c r="Q1354" s="151"/>
      <c r="R1354" s="151">
        <v>45593</v>
      </c>
      <c r="S1354" s="151"/>
      <c r="T1354" s="151">
        <v>45593</v>
      </c>
      <c r="U1354" s="151">
        <v>45611</v>
      </c>
      <c r="V1354" s="151">
        <v>45611</v>
      </c>
      <c r="W1354" s="2">
        <f>VLOOKUP(Table1[[#This Row],[Status]],Auxiliar!$B$16:$D$24,3,0)*Table1[[#This Row],[Estimação (horas)]]</f>
        <v>2</v>
      </c>
      <c r="X1354" s="165">
        <f>+VLOOKUP(CONCATENATE(Table1[[#This Row],[Tabela]],Table1[[#This Row],[Campo]]),'2. Status Detalhe Campos FY24'!A:J,9,FALSE)</f>
        <v>0</v>
      </c>
      <c r="Y1354" s="491" t="e">
        <f>+VLOOKUP(A1354,#REF!,1,FALSE)</f>
        <v>#REF!</v>
      </c>
    </row>
    <row r="1355" spans="1:25" ht="17.899999999999999" hidden="1" customHeight="1">
      <c r="A1355" t="str">
        <f>+Table1[[#This Row],[Tabela]]&amp;Table1[[#This Row],[Campo]]</f>
        <v>lt827_mthd_usd_instrmntmthd_usd_instrmnt_scp_1</v>
      </c>
      <c r="B1355" s="38" t="s">
        <v>26</v>
      </c>
      <c r="C1355" s="38" t="s">
        <v>26</v>
      </c>
      <c r="D1355" s="2" t="s">
        <v>38</v>
      </c>
      <c r="E1355" s="38" t="s">
        <v>38</v>
      </c>
      <c r="F1355" s="38" t="s">
        <v>1860</v>
      </c>
      <c r="G1355" s="38" t="s">
        <v>385</v>
      </c>
      <c r="H1355" s="58" t="str">
        <f>Table1[[#This Row],[Tabela]]&amp;Table1[[#This Row],[Campo]]</f>
        <v>lt827_mthd_usd_instrmntmthd_usd_instrmnt_scp_1</v>
      </c>
      <c r="I1355" s="2" t="s">
        <v>612</v>
      </c>
      <c r="J1355" s="44">
        <f>VLOOKUP(Table1[[#This Row],[Status]],Auxiliar!$B$16:$C$24,2,0)</f>
        <v>1</v>
      </c>
      <c r="K1355" s="44" t="s">
        <v>1169</v>
      </c>
      <c r="L1355" s="45" t="s">
        <v>1174</v>
      </c>
      <c r="M1355" s="20" t="s">
        <v>1175</v>
      </c>
      <c r="N1355" s="47">
        <v>45625</v>
      </c>
      <c r="O1355" s="20">
        <f>INDEX(Auxiliar!$D$5:$F$13,MATCH(Table1[[#This Row],[Tipologia_Testes]],Auxiliar!$B$5:$B$13,0),MATCH(Table1[[#This Row],[Complexidade]],Auxiliar!$D$4:$F$4,0))</f>
        <v>2</v>
      </c>
      <c r="P1355" s="42"/>
      <c r="Q1355" s="151"/>
      <c r="R1355" s="151">
        <v>45593</v>
      </c>
      <c r="S1355" s="151"/>
      <c r="T1355" s="151">
        <v>45593</v>
      </c>
      <c r="U1355" s="151">
        <v>45611</v>
      </c>
      <c r="V1355" s="151">
        <v>45611</v>
      </c>
      <c r="W1355" s="2">
        <f>VLOOKUP(Table1[[#This Row],[Status]],Auxiliar!$B$16:$D$24,3,0)*Table1[[#This Row],[Estimação (horas)]]</f>
        <v>2</v>
      </c>
      <c r="X1355" s="165">
        <f>+VLOOKUP(CONCATENATE(Table1[[#This Row],[Tabela]],Table1[[#This Row],[Campo]]),'2. Status Detalhe Campos FY24'!A:J,9,FALSE)</f>
        <v>0</v>
      </c>
      <c r="Y1355" s="491" t="e">
        <f>+VLOOKUP(A1355,#REF!,1,FALSE)</f>
        <v>#REF!</v>
      </c>
    </row>
    <row r="1356" spans="1:25" ht="17.899999999999999" hidden="1" customHeight="1">
      <c r="A1356" t="str">
        <f>+Table1[[#This Row],[Tabela]]&amp;Table1[[#This Row],[Campo]]</f>
        <v>lt827_mthd_usd_instrmntmthd_usd_instrmnt_scp_1</v>
      </c>
      <c r="B1356" s="38" t="s">
        <v>26</v>
      </c>
      <c r="C1356" s="38" t="s">
        <v>26</v>
      </c>
      <c r="D1356" s="2" t="s">
        <v>38</v>
      </c>
      <c r="E1356" s="38" t="s">
        <v>38</v>
      </c>
      <c r="F1356" s="38" t="s">
        <v>1860</v>
      </c>
      <c r="G1356" s="38" t="s">
        <v>385</v>
      </c>
      <c r="H1356" s="58" t="str">
        <f>Table1[[#This Row],[Tabela]]&amp;Table1[[#This Row],[Campo]]</f>
        <v>lt827_mthd_usd_instrmntmthd_usd_instrmnt_scp_1</v>
      </c>
      <c r="I1356" s="2" t="s">
        <v>612</v>
      </c>
      <c r="J1356" s="44">
        <f>VLOOKUP(Table1[[#This Row],[Status]],Auxiliar!$B$16:$C$24,2,0)</f>
        <v>1</v>
      </c>
      <c r="K1356" s="44" t="s">
        <v>1171</v>
      </c>
      <c r="L1356" s="45" t="s">
        <v>1174</v>
      </c>
      <c r="M1356" s="20" t="s">
        <v>1175</v>
      </c>
      <c r="N1356" s="47">
        <v>45625</v>
      </c>
      <c r="O1356" s="20">
        <f>INDEX(Auxiliar!$D$5:$F$13,MATCH(Table1[[#This Row],[Tipologia_Testes]],Auxiliar!$B$5:$B$13,0),MATCH(Table1[[#This Row],[Complexidade]],Auxiliar!$D$4:$F$4,0))</f>
        <v>0.1</v>
      </c>
      <c r="P1356" s="42"/>
      <c r="Q1356" s="151"/>
      <c r="R1356" s="151">
        <v>45593</v>
      </c>
      <c r="S1356" s="151"/>
      <c r="T1356" s="151">
        <v>45593</v>
      </c>
      <c r="U1356" s="151">
        <v>45611</v>
      </c>
      <c r="V1356" s="151">
        <v>45611</v>
      </c>
      <c r="W1356" s="2">
        <f>VLOOKUP(Table1[[#This Row],[Status]],Auxiliar!$B$16:$D$24,3,0)*Table1[[#This Row],[Estimação (horas)]]</f>
        <v>0.1</v>
      </c>
      <c r="X1356" s="165">
        <f>+VLOOKUP(CONCATENATE(Table1[[#This Row],[Tabela]],Table1[[#This Row],[Campo]]),'2. Status Detalhe Campos FY24'!A:J,9,FALSE)</f>
        <v>0</v>
      </c>
      <c r="Y1356" s="491" t="e">
        <f>+VLOOKUP(A1356,#REF!,1,FALSE)</f>
        <v>#REF!</v>
      </c>
    </row>
    <row r="1357" spans="1:25" ht="17.899999999999999" hidden="1" customHeight="1">
      <c r="A1357" t="str">
        <f>+Table1[[#This Row],[Tabela]]&amp;Table1[[#This Row],[Campo]]</f>
        <v>lt827_mthd_usd_instrmntmthd_usd_instrmnt_scp_2</v>
      </c>
      <c r="B1357" s="38" t="s">
        <v>26</v>
      </c>
      <c r="C1357" s="38" t="s">
        <v>26</v>
      </c>
      <c r="D1357" s="2" t="s">
        <v>38</v>
      </c>
      <c r="E1357" s="39" t="s">
        <v>38</v>
      </c>
      <c r="F1357" s="39" t="s">
        <v>1860</v>
      </c>
      <c r="G1357" s="37" t="s">
        <v>386</v>
      </c>
      <c r="H1357" s="59" t="str">
        <f>Table1[[#This Row],[Tabela]]&amp;Table1[[#This Row],[Campo]]</f>
        <v>lt827_mthd_usd_instrmntmthd_usd_instrmnt_scp_2</v>
      </c>
      <c r="I1357" s="2" t="s">
        <v>612</v>
      </c>
      <c r="J1357" s="44">
        <f>VLOOKUP(Table1[[#This Row],[Status]],Auxiliar!$B$16:$C$24,2,0)</f>
        <v>1</v>
      </c>
      <c r="K1357" s="44" t="s">
        <v>1168</v>
      </c>
      <c r="L1357" s="45" t="s">
        <v>1174</v>
      </c>
      <c r="M1357" s="20" t="s">
        <v>1175</v>
      </c>
      <c r="N1357" s="47">
        <v>45625</v>
      </c>
      <c r="O1357" s="20">
        <f>INDEX(Auxiliar!$D$5:$F$13,MATCH(Table1[[#This Row],[Tipologia_Testes]],Auxiliar!$B$5:$B$13,0),MATCH(Table1[[#This Row],[Complexidade]],Auxiliar!$D$4:$F$4,0))</f>
        <v>2</v>
      </c>
      <c r="P1357" s="42"/>
      <c r="Q1357" s="151"/>
      <c r="R1357" s="151">
        <v>45593</v>
      </c>
      <c r="S1357" s="151"/>
      <c r="T1357" s="151">
        <v>45593</v>
      </c>
      <c r="U1357" s="151">
        <v>45611</v>
      </c>
      <c r="V1357" s="151">
        <v>45611</v>
      </c>
      <c r="W1357" s="2">
        <f>VLOOKUP(Table1[[#This Row],[Status]],Auxiliar!$B$16:$D$24,3,0)*Table1[[#This Row],[Estimação (horas)]]</f>
        <v>2</v>
      </c>
      <c r="X1357" s="165">
        <f>+VLOOKUP(CONCATENATE(Table1[[#This Row],[Tabela]],Table1[[#This Row],[Campo]]),'2. Status Detalhe Campos FY24'!A:J,9,FALSE)</f>
        <v>0</v>
      </c>
      <c r="Y1357" s="491" t="e">
        <f>+VLOOKUP(A1357,#REF!,1,FALSE)</f>
        <v>#REF!</v>
      </c>
    </row>
    <row r="1358" spans="1:25" ht="17.899999999999999" hidden="1" customHeight="1">
      <c r="A1358" t="str">
        <f>+Table1[[#This Row],[Tabela]]&amp;Table1[[#This Row],[Campo]]</f>
        <v>lt827_mthd_usd_instrmntmthd_usd_instrmnt_scp_2</v>
      </c>
      <c r="B1358" s="38" t="s">
        <v>26</v>
      </c>
      <c r="C1358" s="38" t="s">
        <v>26</v>
      </c>
      <c r="D1358" s="2" t="s">
        <v>38</v>
      </c>
      <c r="E1358" s="38" t="s">
        <v>38</v>
      </c>
      <c r="F1358" s="38" t="s">
        <v>1860</v>
      </c>
      <c r="G1358" s="38" t="s">
        <v>386</v>
      </c>
      <c r="H1358" s="58" t="str">
        <f>Table1[[#This Row],[Tabela]]&amp;Table1[[#This Row],[Campo]]</f>
        <v>lt827_mthd_usd_instrmntmthd_usd_instrmnt_scp_2</v>
      </c>
      <c r="I1358" s="2" t="s">
        <v>612</v>
      </c>
      <c r="J1358" s="44">
        <f>VLOOKUP(Table1[[#This Row],[Status]],Auxiliar!$B$16:$C$24,2,0)</f>
        <v>1</v>
      </c>
      <c r="K1358" s="44" t="s">
        <v>1169</v>
      </c>
      <c r="L1358" s="45" t="s">
        <v>1174</v>
      </c>
      <c r="M1358" s="20" t="s">
        <v>1175</v>
      </c>
      <c r="N1358" s="47">
        <v>45625</v>
      </c>
      <c r="O1358" s="20">
        <f>INDEX(Auxiliar!$D$5:$F$13,MATCH(Table1[[#This Row],[Tipologia_Testes]],Auxiliar!$B$5:$B$13,0),MATCH(Table1[[#This Row],[Complexidade]],Auxiliar!$D$4:$F$4,0))</f>
        <v>2</v>
      </c>
      <c r="P1358" s="42"/>
      <c r="Q1358" s="151"/>
      <c r="R1358" s="151">
        <v>45593</v>
      </c>
      <c r="S1358" s="151"/>
      <c r="T1358" s="151">
        <v>45593</v>
      </c>
      <c r="U1358" s="151">
        <v>45611</v>
      </c>
      <c r="V1358" s="151">
        <v>45611</v>
      </c>
      <c r="W1358" s="2">
        <f>VLOOKUP(Table1[[#This Row],[Status]],Auxiliar!$B$16:$D$24,3,0)*Table1[[#This Row],[Estimação (horas)]]</f>
        <v>2</v>
      </c>
      <c r="X1358" s="165">
        <f>+VLOOKUP(CONCATENATE(Table1[[#This Row],[Tabela]],Table1[[#This Row],[Campo]]),'2. Status Detalhe Campos FY24'!A:J,9,FALSE)</f>
        <v>0</v>
      </c>
      <c r="Y1358" s="491" t="e">
        <f>+VLOOKUP(A1358,#REF!,1,FALSE)</f>
        <v>#REF!</v>
      </c>
    </row>
    <row r="1359" spans="1:25" ht="17.899999999999999" hidden="1" customHeight="1">
      <c r="A1359" t="str">
        <f>+Table1[[#This Row],[Tabela]]&amp;Table1[[#This Row],[Campo]]</f>
        <v>lt827_mthd_usd_instrmntmthd_usd_instrmnt_scp_2</v>
      </c>
      <c r="B1359" s="38" t="s">
        <v>26</v>
      </c>
      <c r="C1359" s="38" t="s">
        <v>26</v>
      </c>
      <c r="D1359" s="2" t="s">
        <v>38</v>
      </c>
      <c r="E1359" s="38" t="s">
        <v>38</v>
      </c>
      <c r="F1359" s="38" t="s">
        <v>1860</v>
      </c>
      <c r="G1359" s="38" t="s">
        <v>386</v>
      </c>
      <c r="H1359" s="58" t="str">
        <f>Table1[[#This Row],[Tabela]]&amp;Table1[[#This Row],[Campo]]</f>
        <v>lt827_mthd_usd_instrmntmthd_usd_instrmnt_scp_2</v>
      </c>
      <c r="I1359" s="2" t="s">
        <v>612</v>
      </c>
      <c r="J1359" s="44">
        <f>VLOOKUP(Table1[[#This Row],[Status]],Auxiliar!$B$16:$C$24,2,0)</f>
        <v>1</v>
      </c>
      <c r="K1359" s="44" t="s">
        <v>1171</v>
      </c>
      <c r="L1359" s="45" t="s">
        <v>1174</v>
      </c>
      <c r="M1359" s="20" t="s">
        <v>1175</v>
      </c>
      <c r="N1359" s="47">
        <v>45625</v>
      </c>
      <c r="O1359" s="20">
        <f>INDEX(Auxiliar!$D$5:$F$13,MATCH(Table1[[#This Row],[Tipologia_Testes]],Auxiliar!$B$5:$B$13,0),MATCH(Table1[[#This Row],[Complexidade]],Auxiliar!$D$4:$F$4,0))</f>
        <v>0.1</v>
      </c>
      <c r="P1359" s="42"/>
      <c r="Q1359" s="151"/>
      <c r="R1359" s="151">
        <v>45593</v>
      </c>
      <c r="S1359" s="151"/>
      <c r="T1359" s="151">
        <v>45593</v>
      </c>
      <c r="U1359" s="151">
        <v>45611</v>
      </c>
      <c r="V1359" s="151">
        <v>45611</v>
      </c>
      <c r="W1359" s="2">
        <f>VLOOKUP(Table1[[#This Row],[Status]],Auxiliar!$B$16:$D$24,3,0)*Table1[[#This Row],[Estimação (horas)]]</f>
        <v>0.1</v>
      </c>
      <c r="X1359" s="165">
        <f>+VLOOKUP(CONCATENATE(Table1[[#This Row],[Tabela]],Table1[[#This Row],[Campo]]),'2. Status Detalhe Campos FY24'!A:J,9,FALSE)</f>
        <v>0</v>
      </c>
      <c r="Y1359" s="491" t="e">
        <f>+VLOOKUP(A1359,#REF!,1,FALSE)</f>
        <v>#REF!</v>
      </c>
    </row>
    <row r="1360" spans="1:25" ht="17.899999999999999" hidden="1" customHeight="1">
      <c r="A1360" t="str">
        <f>+Table1[[#This Row],[Tabela]]&amp;Table1[[#This Row],[Campo]]</f>
        <v>lt827_mthd_usd_instrmntmthd_usd_instrmnt_scp_3</v>
      </c>
      <c r="B1360" s="38" t="s">
        <v>26</v>
      </c>
      <c r="C1360" s="38" t="s">
        <v>26</v>
      </c>
      <c r="D1360" s="2" t="s">
        <v>38</v>
      </c>
      <c r="E1360" s="39" t="s">
        <v>38</v>
      </c>
      <c r="F1360" s="39" t="s">
        <v>1860</v>
      </c>
      <c r="G1360" s="37" t="s">
        <v>387</v>
      </c>
      <c r="H1360" s="59" t="str">
        <f>Table1[[#This Row],[Tabela]]&amp;Table1[[#This Row],[Campo]]</f>
        <v>lt827_mthd_usd_instrmntmthd_usd_instrmnt_scp_3</v>
      </c>
      <c r="I1360" s="2" t="s">
        <v>612</v>
      </c>
      <c r="J1360" s="44">
        <f>VLOOKUP(Table1[[#This Row],[Status]],Auxiliar!$B$16:$C$24,2,0)</f>
        <v>1</v>
      </c>
      <c r="K1360" s="44" t="s">
        <v>1168</v>
      </c>
      <c r="L1360" s="45" t="s">
        <v>1174</v>
      </c>
      <c r="M1360" s="20" t="s">
        <v>1175</v>
      </c>
      <c r="N1360" s="47">
        <v>45625</v>
      </c>
      <c r="O1360" s="20">
        <f>INDEX(Auxiliar!$D$5:$F$13,MATCH(Table1[[#This Row],[Tipologia_Testes]],Auxiliar!$B$5:$B$13,0),MATCH(Table1[[#This Row],[Complexidade]],Auxiliar!$D$4:$F$4,0))</f>
        <v>2</v>
      </c>
      <c r="P1360" s="42"/>
      <c r="Q1360" s="151"/>
      <c r="R1360" s="151">
        <v>45593</v>
      </c>
      <c r="S1360" s="151"/>
      <c r="T1360" s="151">
        <v>45593</v>
      </c>
      <c r="U1360" s="151">
        <v>45611</v>
      </c>
      <c r="V1360" s="151">
        <v>45611</v>
      </c>
      <c r="W1360" s="2">
        <f>VLOOKUP(Table1[[#This Row],[Status]],Auxiliar!$B$16:$D$24,3,0)*Table1[[#This Row],[Estimação (horas)]]</f>
        <v>2</v>
      </c>
      <c r="X1360" s="165">
        <f>+VLOOKUP(CONCATENATE(Table1[[#This Row],[Tabela]],Table1[[#This Row],[Campo]]),'2. Status Detalhe Campos FY24'!A:J,9,FALSE)</f>
        <v>0</v>
      </c>
      <c r="Y1360" s="491" t="e">
        <f>+VLOOKUP(A1360,#REF!,1,FALSE)</f>
        <v>#REF!</v>
      </c>
    </row>
    <row r="1361" spans="1:25" ht="17.899999999999999" hidden="1" customHeight="1">
      <c r="A1361" t="str">
        <f>+Table1[[#This Row],[Tabela]]&amp;Table1[[#This Row],[Campo]]</f>
        <v>lt827_mthd_usd_instrmntmthd_usd_instrmnt_scp_3</v>
      </c>
      <c r="B1361" s="38" t="s">
        <v>26</v>
      </c>
      <c r="C1361" s="38" t="s">
        <v>26</v>
      </c>
      <c r="D1361" s="2" t="s">
        <v>38</v>
      </c>
      <c r="E1361" s="38" t="s">
        <v>38</v>
      </c>
      <c r="F1361" s="38" t="s">
        <v>1860</v>
      </c>
      <c r="G1361" s="38" t="s">
        <v>387</v>
      </c>
      <c r="H1361" s="58" t="str">
        <f>Table1[[#This Row],[Tabela]]&amp;Table1[[#This Row],[Campo]]</f>
        <v>lt827_mthd_usd_instrmntmthd_usd_instrmnt_scp_3</v>
      </c>
      <c r="I1361" s="2" t="s">
        <v>612</v>
      </c>
      <c r="J1361" s="44">
        <f>VLOOKUP(Table1[[#This Row],[Status]],Auxiliar!$B$16:$C$24,2,0)</f>
        <v>1</v>
      </c>
      <c r="K1361" s="44" t="s">
        <v>1169</v>
      </c>
      <c r="L1361" s="45" t="s">
        <v>1174</v>
      </c>
      <c r="M1361" s="20" t="s">
        <v>1175</v>
      </c>
      <c r="N1361" s="47">
        <v>45625</v>
      </c>
      <c r="O1361" s="20">
        <f>INDEX(Auxiliar!$D$5:$F$13,MATCH(Table1[[#This Row],[Tipologia_Testes]],Auxiliar!$B$5:$B$13,0),MATCH(Table1[[#This Row],[Complexidade]],Auxiliar!$D$4:$F$4,0))</f>
        <v>2</v>
      </c>
      <c r="P1361" s="42"/>
      <c r="Q1361" s="151"/>
      <c r="R1361" s="151">
        <v>45593</v>
      </c>
      <c r="S1361" s="151"/>
      <c r="T1361" s="151">
        <v>45593</v>
      </c>
      <c r="U1361" s="151">
        <v>45611</v>
      </c>
      <c r="V1361" s="151">
        <v>45611</v>
      </c>
      <c r="W1361" s="2">
        <f>VLOOKUP(Table1[[#This Row],[Status]],Auxiliar!$B$16:$D$24,3,0)*Table1[[#This Row],[Estimação (horas)]]</f>
        <v>2</v>
      </c>
      <c r="X1361" s="165">
        <f>+VLOOKUP(CONCATENATE(Table1[[#This Row],[Tabela]],Table1[[#This Row],[Campo]]),'2. Status Detalhe Campos FY24'!A:J,9,FALSE)</f>
        <v>0</v>
      </c>
      <c r="Y1361" s="491" t="e">
        <f>+VLOOKUP(A1361,#REF!,1,FALSE)</f>
        <v>#REF!</v>
      </c>
    </row>
    <row r="1362" spans="1:25" ht="17.899999999999999" hidden="1" customHeight="1">
      <c r="A1362" t="str">
        <f>+Table1[[#This Row],[Tabela]]&amp;Table1[[#This Row],[Campo]]</f>
        <v>lt827_mthd_usd_instrmntmthd_usd_instrmnt_scp_3</v>
      </c>
      <c r="B1362" s="38" t="s">
        <v>26</v>
      </c>
      <c r="C1362" s="38" t="s">
        <v>26</v>
      </c>
      <c r="D1362" s="2" t="s">
        <v>38</v>
      </c>
      <c r="E1362" s="38" t="s">
        <v>38</v>
      </c>
      <c r="F1362" s="38" t="s">
        <v>1860</v>
      </c>
      <c r="G1362" s="38" t="s">
        <v>387</v>
      </c>
      <c r="H1362" s="58" t="str">
        <f>Table1[[#This Row],[Tabela]]&amp;Table1[[#This Row],[Campo]]</f>
        <v>lt827_mthd_usd_instrmntmthd_usd_instrmnt_scp_3</v>
      </c>
      <c r="I1362" s="2" t="s">
        <v>612</v>
      </c>
      <c r="J1362" s="44">
        <f>VLOOKUP(Table1[[#This Row],[Status]],Auxiliar!$B$16:$C$24,2,0)</f>
        <v>1</v>
      </c>
      <c r="K1362" s="44" t="s">
        <v>1171</v>
      </c>
      <c r="L1362" s="45" t="s">
        <v>1174</v>
      </c>
      <c r="M1362" s="20" t="s">
        <v>1175</v>
      </c>
      <c r="N1362" s="47">
        <v>45625</v>
      </c>
      <c r="O1362" s="20">
        <f>INDEX(Auxiliar!$D$5:$F$13,MATCH(Table1[[#This Row],[Tipologia_Testes]],Auxiliar!$B$5:$B$13,0),MATCH(Table1[[#This Row],[Complexidade]],Auxiliar!$D$4:$F$4,0))</f>
        <v>0.1</v>
      </c>
      <c r="P1362" s="42"/>
      <c r="Q1362" s="151"/>
      <c r="R1362" s="151">
        <v>45593</v>
      </c>
      <c r="S1362" s="151"/>
      <c r="T1362" s="151">
        <v>45593</v>
      </c>
      <c r="U1362" s="151">
        <v>45611</v>
      </c>
      <c r="V1362" s="151">
        <v>45611</v>
      </c>
      <c r="W1362" s="2">
        <f>VLOOKUP(Table1[[#This Row],[Status]],Auxiliar!$B$16:$D$24,3,0)*Table1[[#This Row],[Estimação (horas)]]</f>
        <v>0.1</v>
      </c>
      <c r="X1362" s="165">
        <f>+VLOOKUP(CONCATENATE(Table1[[#This Row],[Tabela]],Table1[[#This Row],[Campo]]),'2. Status Detalhe Campos FY24'!A:J,9,FALSE)</f>
        <v>0</v>
      </c>
      <c r="Y1362" s="491" t="e">
        <f>+VLOOKUP(A1362,#REF!,1,FALSE)</f>
        <v>#REF!</v>
      </c>
    </row>
    <row r="1363" spans="1:25" ht="17.899999999999999" hidden="1" customHeight="1">
      <c r="A1363" t="str">
        <f>+Table1[[#This Row],[Tabela]]&amp;Table1[[#This Row],[Campo]]</f>
        <v>lt827_mthd_usd_instrmntpurpose_code</v>
      </c>
      <c r="B1363" s="38" t="s">
        <v>26</v>
      </c>
      <c r="C1363" s="38" t="s">
        <v>26</v>
      </c>
      <c r="D1363" s="2" t="s">
        <v>38</v>
      </c>
      <c r="E1363" s="38" t="s">
        <v>38</v>
      </c>
      <c r="F1363" s="38" t="s">
        <v>1860</v>
      </c>
      <c r="G1363" s="38" t="s">
        <v>1846</v>
      </c>
      <c r="H1363" s="58" t="str">
        <f>Table1[[#This Row],[Tabela]]&amp;Table1[[#This Row],[Campo]]</f>
        <v>lt827_mthd_usd_instrmntpurpose_code</v>
      </c>
      <c r="I1363" s="2" t="s">
        <v>612</v>
      </c>
      <c r="J1363" s="44">
        <f>VLOOKUP(Table1[[#This Row],[Status]],Auxiliar!$B$16:$C$24,2,0)</f>
        <v>1</v>
      </c>
      <c r="K1363" s="44" t="s">
        <v>1168</v>
      </c>
      <c r="L1363" s="45" t="s">
        <v>1174</v>
      </c>
      <c r="M1363" s="20" t="s">
        <v>1175</v>
      </c>
      <c r="N1363" s="47">
        <v>45625</v>
      </c>
      <c r="O1363" s="20">
        <f>INDEX(Auxiliar!$D$5:$F$11,MATCH(Table1[[#This Row],[Tipologia_Testes]],Auxiliar!$B$5:$B$11,0),MATCH(Table1[[#This Row],[Complexidade]],Auxiliar!$D$4:$F$4,0))</f>
        <v>2</v>
      </c>
      <c r="P1363" s="42"/>
      <c r="Q1363" s="151"/>
      <c r="R1363" s="151"/>
      <c r="S1363" s="151"/>
      <c r="T1363" s="151"/>
      <c r="U1363" s="151">
        <v>45611</v>
      </c>
      <c r="V1363" s="151">
        <v>45611</v>
      </c>
      <c r="W1363" s="2">
        <f>VLOOKUP(Table1[[#This Row],[Status]],Auxiliar!$B$16:$D$24,3,0)*Table1[[#This Row],[Estimação (horas)]]</f>
        <v>2</v>
      </c>
      <c r="X1363" s="165">
        <f>+VLOOKUP(CONCATENATE(Table1[[#This Row],[Tabela]],Table1[[#This Row],[Campo]]),'2. Status Detalhe Campos FY24'!A:J,9,FALSE)</f>
        <v>0</v>
      </c>
      <c r="Y1363" s="491" t="e">
        <f>+VLOOKUP(A1363,#REF!,1,FALSE)</f>
        <v>#REF!</v>
      </c>
    </row>
    <row r="1364" spans="1:25" ht="17.899999999999999" hidden="1" customHeight="1">
      <c r="A1364" t="str">
        <f>+Table1[[#This Row],[Tabela]]&amp;Table1[[#This Row],[Campo]]</f>
        <v>lt827_mthd_usd_instrmntpurpose_code</v>
      </c>
      <c r="B1364" s="38" t="s">
        <v>26</v>
      </c>
      <c r="C1364" s="38" t="s">
        <v>26</v>
      </c>
      <c r="D1364" s="2" t="s">
        <v>38</v>
      </c>
      <c r="E1364" s="38" t="s">
        <v>38</v>
      </c>
      <c r="F1364" s="38" t="s">
        <v>1860</v>
      </c>
      <c r="G1364" s="38" t="s">
        <v>1846</v>
      </c>
      <c r="H1364" s="58" t="str">
        <f>Table1[[#This Row],[Tabela]]&amp;Table1[[#This Row],[Campo]]</f>
        <v>lt827_mthd_usd_instrmntpurpose_code</v>
      </c>
      <c r="I1364" s="2" t="s">
        <v>612</v>
      </c>
      <c r="J1364" s="44">
        <f>VLOOKUP(Table1[[#This Row],[Status]],Auxiliar!$B$16:$C$24,2,0)</f>
        <v>1</v>
      </c>
      <c r="K1364" s="44" t="s">
        <v>1169</v>
      </c>
      <c r="L1364" s="45" t="s">
        <v>1174</v>
      </c>
      <c r="M1364" s="20" t="s">
        <v>1175</v>
      </c>
      <c r="N1364" s="47">
        <v>45625</v>
      </c>
      <c r="O1364" s="20">
        <f>INDEX(Auxiliar!$D$5:$F$11,MATCH(Table1[[#This Row],[Tipologia_Testes]],Auxiliar!$B$5:$B$11,0),MATCH(Table1[[#This Row],[Complexidade]],Auxiliar!$D$4:$F$4,0))</f>
        <v>2</v>
      </c>
      <c r="P1364" s="42"/>
      <c r="Q1364" s="151"/>
      <c r="R1364" s="151"/>
      <c r="S1364" s="151"/>
      <c r="T1364" s="151"/>
      <c r="U1364" s="151">
        <v>45611</v>
      </c>
      <c r="V1364" s="151">
        <v>45611</v>
      </c>
      <c r="W1364" s="2">
        <f>VLOOKUP(Table1[[#This Row],[Status]],Auxiliar!$B$16:$D$24,3,0)*Table1[[#This Row],[Estimação (horas)]]</f>
        <v>2</v>
      </c>
      <c r="X1364" s="165">
        <f>+VLOOKUP(CONCATENATE(Table1[[#This Row],[Tabela]],Table1[[#This Row],[Campo]]),'2. Status Detalhe Campos FY24'!A:J,9,FALSE)</f>
        <v>0</v>
      </c>
      <c r="Y1364" s="491" t="e">
        <f>+VLOOKUP(A1364,#REF!,1,FALSE)</f>
        <v>#REF!</v>
      </c>
    </row>
    <row r="1365" spans="1:25" ht="17.899999999999999" hidden="1" customHeight="1">
      <c r="A1365" t="str">
        <f>+Table1[[#This Row],[Tabela]]&amp;Table1[[#This Row],[Campo]]</f>
        <v>lt827_mthd_usd_instrmntpurpose_code</v>
      </c>
      <c r="B1365" s="38" t="s">
        <v>26</v>
      </c>
      <c r="C1365" s="38" t="s">
        <v>26</v>
      </c>
      <c r="D1365" s="2" t="s">
        <v>38</v>
      </c>
      <c r="E1365" s="38" t="s">
        <v>38</v>
      </c>
      <c r="F1365" s="38" t="s">
        <v>1860</v>
      </c>
      <c r="G1365" s="38" t="s">
        <v>1846</v>
      </c>
      <c r="H1365" s="58" t="str">
        <f>Table1[[#This Row],[Tabela]]&amp;Table1[[#This Row],[Campo]]</f>
        <v>lt827_mthd_usd_instrmntpurpose_code</v>
      </c>
      <c r="I1365" s="2" t="s">
        <v>612</v>
      </c>
      <c r="J1365" s="44">
        <f>VLOOKUP(Table1[[#This Row],[Status]],Auxiliar!$B$16:$C$24,2,0)</f>
        <v>1</v>
      </c>
      <c r="K1365" s="44" t="s">
        <v>1171</v>
      </c>
      <c r="L1365" s="45" t="s">
        <v>1174</v>
      </c>
      <c r="M1365" s="20" t="s">
        <v>1175</v>
      </c>
      <c r="N1365" s="47">
        <v>45625</v>
      </c>
      <c r="O1365" s="20">
        <f>INDEX(Auxiliar!$D$5:$F$11,MATCH(Table1[[#This Row],[Tipologia_Testes]],Auxiliar!$B$5:$B$11,0),MATCH(Table1[[#This Row],[Complexidade]],Auxiliar!$D$4:$F$4,0))</f>
        <v>0.1</v>
      </c>
      <c r="P1365" s="42"/>
      <c r="Q1365" s="151"/>
      <c r="R1365" s="151"/>
      <c r="S1365" s="151"/>
      <c r="T1365" s="151"/>
      <c r="U1365" s="151">
        <v>45611</v>
      </c>
      <c r="V1365" s="151">
        <v>45611</v>
      </c>
      <c r="W1365" s="2">
        <f>VLOOKUP(Table1[[#This Row],[Status]],Auxiliar!$B$16:$D$24,3,0)*Table1[[#This Row],[Estimação (horas)]]</f>
        <v>0.1</v>
      </c>
      <c r="X1365" s="165">
        <f>+VLOOKUP(CONCATENATE(Table1[[#This Row],[Tabela]],Table1[[#This Row],[Campo]]),'2. Status Detalhe Campos FY24'!A:J,9,FALSE)</f>
        <v>0</v>
      </c>
      <c r="Y1365" s="491" t="e">
        <f>+VLOOKUP(A1365,#REF!,1,FALSE)</f>
        <v>#REF!</v>
      </c>
    </row>
    <row r="1366" spans="1:25" ht="17.899999999999999" hidden="1" customHeight="1">
      <c r="A1366" t="str">
        <f>+Table1[[#This Row],[Tabela]]&amp;Table1[[#This Row],[Campo]]</f>
        <v>lt827_mthd_usd_instrmntflg_fin</v>
      </c>
      <c r="B1366" s="38" t="s">
        <v>26</v>
      </c>
      <c r="C1366" s="38" t="s">
        <v>26</v>
      </c>
      <c r="D1366" s="2" t="s">
        <v>38</v>
      </c>
      <c r="E1366" s="38" t="s">
        <v>38</v>
      </c>
      <c r="F1366" s="38" t="s">
        <v>1860</v>
      </c>
      <c r="G1366" s="38" t="s">
        <v>480</v>
      </c>
      <c r="H1366" s="58" t="str">
        <f>Table1[[#This Row],[Tabela]]&amp;Table1[[#This Row],[Campo]]</f>
        <v>lt827_mthd_usd_instrmntflg_fin</v>
      </c>
      <c r="I1366" s="2" t="s">
        <v>612</v>
      </c>
      <c r="J1366" s="44">
        <f>VLOOKUP(Table1[[#This Row],[Status]],Auxiliar!$B$16:$C$24,2,0)</f>
        <v>1</v>
      </c>
      <c r="K1366" s="44" t="s">
        <v>1168</v>
      </c>
      <c r="L1366" s="45" t="s">
        <v>1174</v>
      </c>
      <c r="M1366" s="20" t="s">
        <v>1175</v>
      </c>
      <c r="N1366" s="47">
        <v>45625</v>
      </c>
      <c r="O1366" s="20">
        <f>INDEX(Auxiliar!$D$5:$F$11,MATCH(Table1[[#This Row],[Tipologia_Testes]],Auxiliar!$B$5:$B$11,0),MATCH(Table1[[#This Row],[Complexidade]],Auxiliar!$D$4:$F$4,0))</f>
        <v>2</v>
      </c>
      <c r="P1366" s="42"/>
      <c r="Q1366" s="151"/>
      <c r="R1366" s="151"/>
      <c r="S1366" s="151"/>
      <c r="T1366" s="151"/>
      <c r="U1366" s="151">
        <v>45611</v>
      </c>
      <c r="V1366" s="151">
        <v>45611</v>
      </c>
      <c r="W1366" s="2">
        <f>VLOOKUP(Table1[[#This Row],[Status]],Auxiliar!$B$16:$D$24,3,0)*Table1[[#This Row],[Estimação (horas)]]</f>
        <v>2</v>
      </c>
      <c r="X1366" s="165">
        <f>+VLOOKUP(CONCATENATE(Table1[[#This Row],[Tabela]],Table1[[#This Row],[Campo]]),'2. Status Detalhe Campos FY24'!A:J,9,FALSE)</f>
        <v>0</v>
      </c>
      <c r="Y1366" s="491" t="e">
        <f>+VLOOKUP(A1366,#REF!,1,FALSE)</f>
        <v>#REF!</v>
      </c>
    </row>
    <row r="1367" spans="1:25" ht="17.899999999999999" hidden="1" customHeight="1">
      <c r="A1367" t="str">
        <f>+Table1[[#This Row],[Tabela]]&amp;Table1[[#This Row],[Campo]]</f>
        <v>lt827_mthd_usd_instrmntflg_fin</v>
      </c>
      <c r="B1367" s="38" t="s">
        <v>26</v>
      </c>
      <c r="C1367" s="38" t="s">
        <v>26</v>
      </c>
      <c r="D1367" s="2" t="s">
        <v>38</v>
      </c>
      <c r="E1367" s="38" t="s">
        <v>38</v>
      </c>
      <c r="F1367" s="38" t="s">
        <v>1860</v>
      </c>
      <c r="G1367" s="38" t="s">
        <v>480</v>
      </c>
      <c r="H1367" s="58" t="str">
        <f>Table1[[#This Row],[Tabela]]&amp;Table1[[#This Row],[Campo]]</f>
        <v>lt827_mthd_usd_instrmntflg_fin</v>
      </c>
      <c r="I1367" s="2" t="s">
        <v>612</v>
      </c>
      <c r="J1367" s="44">
        <f>VLOOKUP(Table1[[#This Row],[Status]],Auxiliar!$B$16:$C$24,2,0)</f>
        <v>1</v>
      </c>
      <c r="K1367" s="44" t="s">
        <v>1169</v>
      </c>
      <c r="L1367" s="45" t="s">
        <v>1174</v>
      </c>
      <c r="M1367" s="20" t="s">
        <v>1175</v>
      </c>
      <c r="N1367" s="47">
        <v>45625</v>
      </c>
      <c r="O1367" s="20">
        <f>INDEX(Auxiliar!$D$5:$F$11,MATCH(Table1[[#This Row],[Tipologia_Testes]],Auxiliar!$B$5:$B$11,0),MATCH(Table1[[#This Row],[Complexidade]],Auxiliar!$D$4:$F$4,0))</f>
        <v>2</v>
      </c>
      <c r="P1367" s="42"/>
      <c r="Q1367" s="151"/>
      <c r="R1367" s="151"/>
      <c r="S1367" s="151"/>
      <c r="T1367" s="151"/>
      <c r="U1367" s="151">
        <v>45611</v>
      </c>
      <c r="V1367" s="151">
        <v>45611</v>
      </c>
      <c r="W1367" s="2">
        <f>VLOOKUP(Table1[[#This Row],[Status]],Auxiliar!$B$16:$D$24,3,0)*Table1[[#This Row],[Estimação (horas)]]</f>
        <v>2</v>
      </c>
      <c r="X1367" s="165">
        <f>+VLOOKUP(CONCATENATE(Table1[[#This Row],[Tabela]],Table1[[#This Row],[Campo]]),'2. Status Detalhe Campos FY24'!A:J,9,FALSE)</f>
        <v>0</v>
      </c>
      <c r="Y1367" s="491" t="e">
        <f>+VLOOKUP(A1367,#REF!,1,FALSE)</f>
        <v>#REF!</v>
      </c>
    </row>
    <row r="1368" spans="1:25" ht="17.899999999999999" hidden="1" customHeight="1">
      <c r="A1368" t="str">
        <f>+Table1[[#This Row],[Tabela]]&amp;Table1[[#This Row],[Campo]]</f>
        <v>lt827_mthd_usd_instrmntflg_fin</v>
      </c>
      <c r="B1368" s="38" t="s">
        <v>26</v>
      </c>
      <c r="C1368" s="38" t="s">
        <v>26</v>
      </c>
      <c r="D1368" s="2" t="s">
        <v>38</v>
      </c>
      <c r="E1368" s="38" t="s">
        <v>38</v>
      </c>
      <c r="F1368" s="38" t="s">
        <v>1860</v>
      </c>
      <c r="G1368" s="38" t="s">
        <v>480</v>
      </c>
      <c r="H1368" s="58" t="str">
        <f>Table1[[#This Row],[Tabela]]&amp;Table1[[#This Row],[Campo]]</f>
        <v>lt827_mthd_usd_instrmntflg_fin</v>
      </c>
      <c r="I1368" s="2" t="s">
        <v>612</v>
      </c>
      <c r="J1368" s="44">
        <f>VLOOKUP(Table1[[#This Row],[Status]],Auxiliar!$B$16:$C$24,2,0)</f>
        <v>1</v>
      </c>
      <c r="K1368" s="44" t="s">
        <v>1171</v>
      </c>
      <c r="L1368" s="45" t="s">
        <v>1174</v>
      </c>
      <c r="M1368" s="20" t="s">
        <v>1175</v>
      </c>
      <c r="N1368" s="47">
        <v>45625</v>
      </c>
      <c r="O1368" s="20">
        <f>INDEX(Auxiliar!$D$5:$F$11,MATCH(Table1[[#This Row],[Tipologia_Testes]],Auxiliar!$B$5:$B$11,0),MATCH(Table1[[#This Row],[Complexidade]],Auxiliar!$D$4:$F$4,0))</f>
        <v>0.1</v>
      </c>
      <c r="P1368" s="42"/>
      <c r="Q1368" s="151"/>
      <c r="R1368" s="151"/>
      <c r="S1368" s="151"/>
      <c r="T1368" s="151"/>
      <c r="U1368" s="151">
        <v>45611</v>
      </c>
      <c r="V1368" s="151">
        <v>45611</v>
      </c>
      <c r="W1368" s="2">
        <f>VLOOKUP(Table1[[#This Row],[Status]],Auxiliar!$B$16:$D$24,3,0)*Table1[[#This Row],[Estimação (horas)]]</f>
        <v>0.1</v>
      </c>
      <c r="X1368" s="165">
        <f>+VLOOKUP(CONCATENATE(Table1[[#This Row],[Tabela]],Table1[[#This Row],[Campo]]),'2. Status Detalhe Campos FY24'!A:J,9,FALSE)</f>
        <v>0</v>
      </c>
      <c r="Y1368" s="491" t="e">
        <f>+VLOOKUP(A1368,#REF!,1,FALSE)</f>
        <v>#REF!</v>
      </c>
    </row>
    <row r="1369" spans="1:25" ht="17.899999999999999" hidden="1" customHeight="1">
      <c r="A1369" t="str">
        <f>+Table1[[#This Row],[Tabela]]&amp;Table1[[#This Row],[Campo]]</f>
        <v>lt827_mthd_usd_instrmntflg_exec</v>
      </c>
      <c r="B1369" s="38" t="s">
        <v>26</v>
      </c>
      <c r="C1369" s="38" t="s">
        <v>26</v>
      </c>
      <c r="D1369" s="2" t="s">
        <v>38</v>
      </c>
      <c r="E1369" s="38" t="s">
        <v>38</v>
      </c>
      <c r="F1369" s="38" t="s">
        <v>1860</v>
      </c>
      <c r="G1369" s="38" t="s">
        <v>1276</v>
      </c>
      <c r="H1369" s="58" t="str">
        <f>Table1[[#This Row],[Tabela]]&amp;Table1[[#This Row],[Campo]]</f>
        <v>lt827_mthd_usd_instrmntflg_exec</v>
      </c>
      <c r="I1369" s="2" t="s">
        <v>612</v>
      </c>
      <c r="J1369" s="44">
        <f>VLOOKUP(Table1[[#This Row],[Status]],Auxiliar!$B$16:$C$24,2,0)</f>
        <v>1</v>
      </c>
      <c r="K1369" s="44" t="s">
        <v>1168</v>
      </c>
      <c r="L1369" s="45" t="s">
        <v>1174</v>
      </c>
      <c r="M1369" s="20" t="s">
        <v>1175</v>
      </c>
      <c r="N1369" s="47">
        <v>45625</v>
      </c>
      <c r="O1369" s="20">
        <f>INDEX(Auxiliar!$D$5:$F$11,MATCH(Table1[[#This Row],[Tipologia_Testes]],Auxiliar!$B$5:$B$11,0),MATCH(Table1[[#This Row],[Complexidade]],Auxiliar!$D$4:$F$4,0))</f>
        <v>2</v>
      </c>
      <c r="P1369" s="42"/>
      <c r="Q1369" s="151"/>
      <c r="R1369" s="151"/>
      <c r="S1369" s="151"/>
      <c r="T1369" s="151"/>
      <c r="U1369" s="151">
        <v>45611</v>
      </c>
      <c r="V1369" s="151">
        <v>45611</v>
      </c>
      <c r="W1369" s="2">
        <f>VLOOKUP(Table1[[#This Row],[Status]],Auxiliar!$B$16:$D$24,3,0)*Table1[[#This Row],[Estimação (horas)]]</f>
        <v>2</v>
      </c>
      <c r="X1369" s="165">
        <f>+VLOOKUP(CONCATENATE(Table1[[#This Row],[Tabela]],Table1[[#This Row],[Campo]]),'2. Status Detalhe Campos FY24'!A:J,9,FALSE)</f>
        <v>0</v>
      </c>
      <c r="Y1369" s="491" t="e">
        <f>+VLOOKUP(A1369,#REF!,1,FALSE)</f>
        <v>#REF!</v>
      </c>
    </row>
    <row r="1370" spans="1:25" ht="17.899999999999999" hidden="1" customHeight="1">
      <c r="A1370" t="str">
        <f>+Table1[[#This Row],[Tabela]]&amp;Table1[[#This Row],[Campo]]</f>
        <v>lt827_mthd_usd_instrmntflg_exec</v>
      </c>
      <c r="B1370" s="38" t="s">
        <v>26</v>
      </c>
      <c r="C1370" s="38" t="s">
        <v>26</v>
      </c>
      <c r="D1370" s="2" t="s">
        <v>38</v>
      </c>
      <c r="E1370" s="38" t="s">
        <v>38</v>
      </c>
      <c r="F1370" s="38" t="s">
        <v>1860</v>
      </c>
      <c r="G1370" s="38" t="s">
        <v>1276</v>
      </c>
      <c r="H1370" s="58" t="str">
        <f>Table1[[#This Row],[Tabela]]&amp;Table1[[#This Row],[Campo]]</f>
        <v>lt827_mthd_usd_instrmntflg_exec</v>
      </c>
      <c r="I1370" s="2" t="s">
        <v>612</v>
      </c>
      <c r="J1370" s="44">
        <f>VLOOKUP(Table1[[#This Row],[Status]],Auxiliar!$B$16:$C$24,2,0)</f>
        <v>1</v>
      </c>
      <c r="K1370" s="44" t="s">
        <v>1169</v>
      </c>
      <c r="L1370" s="45" t="s">
        <v>1174</v>
      </c>
      <c r="M1370" s="20" t="s">
        <v>1175</v>
      </c>
      <c r="N1370" s="47">
        <v>45625</v>
      </c>
      <c r="O1370" s="20">
        <f>INDEX(Auxiliar!$D$5:$F$11,MATCH(Table1[[#This Row],[Tipologia_Testes]],Auxiliar!$B$5:$B$11,0),MATCH(Table1[[#This Row],[Complexidade]],Auxiliar!$D$4:$F$4,0))</f>
        <v>2</v>
      </c>
      <c r="P1370" s="42"/>
      <c r="Q1370" s="151"/>
      <c r="R1370" s="151"/>
      <c r="S1370" s="151"/>
      <c r="T1370" s="151"/>
      <c r="U1370" s="151">
        <v>45611</v>
      </c>
      <c r="V1370" s="151">
        <v>45611</v>
      </c>
      <c r="W1370" s="2">
        <f>VLOOKUP(Table1[[#This Row],[Status]],Auxiliar!$B$16:$D$24,3,0)*Table1[[#This Row],[Estimação (horas)]]</f>
        <v>2</v>
      </c>
      <c r="X1370" s="165">
        <f>+VLOOKUP(CONCATENATE(Table1[[#This Row],[Tabela]],Table1[[#This Row],[Campo]]),'2. Status Detalhe Campos FY24'!A:J,9,FALSE)</f>
        <v>0</v>
      </c>
      <c r="Y1370" s="491" t="e">
        <f>+VLOOKUP(A1370,#REF!,1,FALSE)</f>
        <v>#REF!</v>
      </c>
    </row>
    <row r="1371" spans="1:25" ht="17.899999999999999" hidden="1" customHeight="1">
      <c r="A1371" t="str">
        <f>+Table1[[#This Row],[Tabela]]&amp;Table1[[#This Row],[Campo]]</f>
        <v>lt827_mthd_usd_instrmntflg_exec</v>
      </c>
      <c r="B1371" s="38" t="s">
        <v>26</v>
      </c>
      <c r="C1371" s="38" t="s">
        <v>26</v>
      </c>
      <c r="D1371" s="2" t="s">
        <v>38</v>
      </c>
      <c r="E1371" s="38" t="s">
        <v>38</v>
      </c>
      <c r="F1371" s="38" t="s">
        <v>1860</v>
      </c>
      <c r="G1371" s="38" t="s">
        <v>1276</v>
      </c>
      <c r="H1371" s="58" t="str">
        <f>Table1[[#This Row],[Tabela]]&amp;Table1[[#This Row],[Campo]]</f>
        <v>lt827_mthd_usd_instrmntflg_exec</v>
      </c>
      <c r="I1371" s="2" t="s">
        <v>612</v>
      </c>
      <c r="J1371" s="44">
        <f>VLOOKUP(Table1[[#This Row],[Status]],Auxiliar!$B$16:$C$24,2,0)</f>
        <v>1</v>
      </c>
      <c r="K1371" s="44" t="s">
        <v>1171</v>
      </c>
      <c r="L1371" s="45" t="s">
        <v>1174</v>
      </c>
      <c r="M1371" s="20" t="s">
        <v>1175</v>
      </c>
      <c r="N1371" s="47">
        <v>45625</v>
      </c>
      <c r="O1371" s="20">
        <f>INDEX(Auxiliar!$D$5:$F$11,MATCH(Table1[[#This Row],[Tipologia_Testes]],Auxiliar!$B$5:$B$11,0),MATCH(Table1[[#This Row],[Complexidade]],Auxiliar!$D$4:$F$4,0))</f>
        <v>0.1</v>
      </c>
      <c r="P1371" s="42"/>
      <c r="Q1371" s="151"/>
      <c r="R1371" s="151"/>
      <c r="S1371" s="151"/>
      <c r="T1371" s="151"/>
      <c r="U1371" s="151">
        <v>45611</v>
      </c>
      <c r="V1371" s="151">
        <v>45611</v>
      </c>
      <c r="W1371" s="2">
        <f>VLOOKUP(Table1[[#This Row],[Status]],Auxiliar!$B$16:$D$24,3,0)*Table1[[#This Row],[Estimação (horas)]]</f>
        <v>0.1</v>
      </c>
      <c r="X1371" s="165">
        <f>+VLOOKUP(CONCATENATE(Table1[[#This Row],[Tabela]],Table1[[#This Row],[Campo]]),'2. Status Detalhe Campos FY24'!A:J,9,FALSE)</f>
        <v>0</v>
      </c>
      <c r="Y1371" s="491" t="e">
        <f>+VLOOKUP(A1371,#REF!,1,FALSE)</f>
        <v>#REF!</v>
      </c>
    </row>
    <row r="1372" spans="1:25" ht="17.899999999999999" hidden="1" customHeight="1">
      <c r="A1372" t="str">
        <f>+Table1[[#This Row],[Tabela]]&amp;Table1[[#This Row],[Campo]]</f>
        <v>lt827_mthd_usd_instrmntflg_col</v>
      </c>
      <c r="B1372" s="38" t="s">
        <v>26</v>
      </c>
      <c r="C1372" s="38" t="s">
        <v>26</v>
      </c>
      <c r="D1372" s="2" t="s">
        <v>38</v>
      </c>
      <c r="E1372" s="38" t="s">
        <v>38</v>
      </c>
      <c r="F1372" s="38" t="s">
        <v>1860</v>
      </c>
      <c r="G1372" s="38" t="s">
        <v>479</v>
      </c>
      <c r="H1372" s="58" t="str">
        <f>Table1[[#This Row],[Tabela]]&amp;Table1[[#This Row],[Campo]]</f>
        <v>lt827_mthd_usd_instrmntflg_col</v>
      </c>
      <c r="I1372" s="2" t="s">
        <v>612</v>
      </c>
      <c r="J1372" s="44">
        <f>VLOOKUP(Table1[[#This Row],[Status]],Auxiliar!$B$16:$C$24,2,0)</f>
        <v>1</v>
      </c>
      <c r="K1372" s="44" t="s">
        <v>1168</v>
      </c>
      <c r="L1372" s="45" t="s">
        <v>1174</v>
      </c>
      <c r="M1372" s="20" t="s">
        <v>1175</v>
      </c>
      <c r="N1372" s="47">
        <v>45625</v>
      </c>
      <c r="O1372" s="20">
        <f>INDEX(Auxiliar!$D$5:$F$11,MATCH(Table1[[#This Row],[Tipologia_Testes]],Auxiliar!$B$5:$B$11,0),MATCH(Table1[[#This Row],[Complexidade]],Auxiliar!$D$4:$F$4,0))</f>
        <v>2</v>
      </c>
      <c r="P1372" s="42"/>
      <c r="Q1372" s="151"/>
      <c r="R1372" s="151"/>
      <c r="S1372" s="151"/>
      <c r="T1372" s="151"/>
      <c r="U1372" s="151">
        <v>45611</v>
      </c>
      <c r="V1372" s="151">
        <v>45611</v>
      </c>
      <c r="W1372" s="2">
        <f>VLOOKUP(Table1[[#This Row],[Status]],Auxiliar!$B$16:$D$24,3,0)*Table1[[#This Row],[Estimação (horas)]]</f>
        <v>2</v>
      </c>
      <c r="X1372" s="165">
        <f>+VLOOKUP(CONCATENATE(Table1[[#This Row],[Tabela]],Table1[[#This Row],[Campo]]),'2. Status Detalhe Campos FY24'!A:J,9,FALSE)</f>
        <v>0</v>
      </c>
      <c r="Y1372" s="491" t="e">
        <f>+VLOOKUP(A1372,#REF!,1,FALSE)</f>
        <v>#REF!</v>
      </c>
    </row>
    <row r="1373" spans="1:25" ht="17.899999999999999" hidden="1" customHeight="1">
      <c r="A1373" t="str">
        <f>+Table1[[#This Row],[Tabela]]&amp;Table1[[#This Row],[Campo]]</f>
        <v>lt827_mthd_usd_instrmntflg_col</v>
      </c>
      <c r="B1373" s="38" t="s">
        <v>26</v>
      </c>
      <c r="C1373" s="38" t="s">
        <v>26</v>
      </c>
      <c r="D1373" s="2" t="s">
        <v>38</v>
      </c>
      <c r="E1373" s="38" t="s">
        <v>38</v>
      </c>
      <c r="F1373" s="38" t="s">
        <v>1860</v>
      </c>
      <c r="G1373" s="38" t="s">
        <v>479</v>
      </c>
      <c r="H1373" s="58" t="str">
        <f>Table1[[#This Row],[Tabela]]&amp;Table1[[#This Row],[Campo]]</f>
        <v>lt827_mthd_usd_instrmntflg_col</v>
      </c>
      <c r="I1373" s="2" t="s">
        <v>612</v>
      </c>
      <c r="J1373" s="44">
        <f>VLOOKUP(Table1[[#This Row],[Status]],Auxiliar!$B$16:$C$24,2,0)</f>
        <v>1</v>
      </c>
      <c r="K1373" s="44" t="s">
        <v>1169</v>
      </c>
      <c r="L1373" s="45" t="s">
        <v>1174</v>
      </c>
      <c r="M1373" s="20" t="s">
        <v>1175</v>
      </c>
      <c r="N1373" s="47">
        <v>45625</v>
      </c>
      <c r="O1373" s="20">
        <f>INDEX(Auxiliar!$D$5:$F$11,MATCH(Table1[[#This Row],[Tipologia_Testes]],Auxiliar!$B$5:$B$11,0),MATCH(Table1[[#This Row],[Complexidade]],Auxiliar!$D$4:$F$4,0))</f>
        <v>2</v>
      </c>
      <c r="P1373" s="42"/>
      <c r="Q1373" s="151"/>
      <c r="R1373" s="151"/>
      <c r="S1373" s="151"/>
      <c r="T1373" s="151"/>
      <c r="U1373" s="151">
        <v>45611</v>
      </c>
      <c r="V1373" s="151">
        <v>45611</v>
      </c>
      <c r="W1373" s="2">
        <f>VLOOKUP(Table1[[#This Row],[Status]],Auxiliar!$B$16:$D$24,3,0)*Table1[[#This Row],[Estimação (horas)]]</f>
        <v>2</v>
      </c>
      <c r="X1373" s="165">
        <f>+VLOOKUP(CONCATENATE(Table1[[#This Row],[Tabela]],Table1[[#This Row],[Campo]]),'2. Status Detalhe Campos FY24'!A:J,9,FALSE)</f>
        <v>0</v>
      </c>
      <c r="Y1373" s="491" t="e">
        <f>+VLOOKUP(A1373,#REF!,1,FALSE)</f>
        <v>#REF!</v>
      </c>
    </row>
    <row r="1374" spans="1:25" ht="17.899999999999999" hidden="1" customHeight="1">
      <c r="A1374" t="str">
        <f>+Table1[[#This Row],[Tabela]]&amp;Table1[[#This Row],[Campo]]</f>
        <v>lt827_mthd_usd_instrmntflg_col</v>
      </c>
      <c r="B1374" s="38" t="s">
        <v>26</v>
      </c>
      <c r="C1374" s="38" t="s">
        <v>26</v>
      </c>
      <c r="D1374" s="2" t="s">
        <v>38</v>
      </c>
      <c r="E1374" s="38" t="s">
        <v>38</v>
      </c>
      <c r="F1374" s="38" t="s">
        <v>1860</v>
      </c>
      <c r="G1374" s="38" t="s">
        <v>479</v>
      </c>
      <c r="H1374" s="58" t="str">
        <f>Table1[[#This Row],[Tabela]]&amp;Table1[[#This Row],[Campo]]</f>
        <v>lt827_mthd_usd_instrmntflg_col</v>
      </c>
      <c r="I1374" s="2" t="s">
        <v>612</v>
      </c>
      <c r="J1374" s="44">
        <f>VLOOKUP(Table1[[#This Row],[Status]],Auxiliar!$B$16:$C$24,2,0)</f>
        <v>1</v>
      </c>
      <c r="K1374" s="44" t="s">
        <v>1171</v>
      </c>
      <c r="L1374" s="45" t="s">
        <v>1174</v>
      </c>
      <c r="M1374" s="20" t="s">
        <v>1175</v>
      </c>
      <c r="N1374" s="47">
        <v>45625</v>
      </c>
      <c r="O1374" s="20">
        <f>INDEX(Auxiliar!$D$5:$F$11,MATCH(Table1[[#This Row],[Tipologia_Testes]],Auxiliar!$B$5:$B$11,0),MATCH(Table1[[#This Row],[Complexidade]],Auxiliar!$D$4:$F$4,0))</f>
        <v>0.1</v>
      </c>
      <c r="P1374" s="42"/>
      <c r="Q1374" s="151"/>
      <c r="R1374" s="151"/>
      <c r="S1374" s="151"/>
      <c r="T1374" s="151"/>
      <c r="U1374" s="151">
        <v>45611</v>
      </c>
      <c r="V1374" s="151">
        <v>45611</v>
      </c>
      <c r="W1374" s="2">
        <f>VLOOKUP(Table1[[#This Row],[Status]],Auxiliar!$B$16:$D$24,3,0)*Table1[[#This Row],[Estimação (horas)]]</f>
        <v>0.1</v>
      </c>
      <c r="X1374" s="165">
        <f>+VLOOKUP(CONCATENATE(Table1[[#This Row],[Tabela]],Table1[[#This Row],[Campo]]),'2. Status Detalhe Campos FY24'!A:J,9,FALSE)</f>
        <v>0</v>
      </c>
      <c r="Y1374" s="491" t="e">
        <f>+VLOOKUP(A1374,#REF!,1,FALSE)</f>
        <v>#REF!</v>
      </c>
    </row>
    <row r="1375" spans="1:25" ht="17.899999999999999" hidden="1" customHeight="1">
      <c r="A1375" t="str">
        <f>+Table1[[#This Row],[Tabela]]&amp;Table1[[#This Row],[Campo]]</f>
        <v>lt827_mthd_usd_instrmntflg_pro</v>
      </c>
      <c r="B1375" s="38" t="s">
        <v>26</v>
      </c>
      <c r="C1375" s="38" t="s">
        <v>26</v>
      </c>
      <c r="D1375" s="2" t="s">
        <v>38</v>
      </c>
      <c r="E1375" s="38" t="s">
        <v>38</v>
      </c>
      <c r="F1375" s="38" t="s">
        <v>1860</v>
      </c>
      <c r="G1375" s="38" t="s">
        <v>481</v>
      </c>
      <c r="H1375" s="58" t="str">
        <f>Table1[[#This Row],[Tabela]]&amp;Table1[[#This Row],[Campo]]</f>
        <v>lt827_mthd_usd_instrmntflg_pro</v>
      </c>
      <c r="I1375" s="2" t="s">
        <v>612</v>
      </c>
      <c r="J1375" s="44">
        <f>VLOOKUP(Table1[[#This Row],[Status]],Auxiliar!$B$16:$C$24,2,0)</f>
        <v>1</v>
      </c>
      <c r="K1375" s="44" t="s">
        <v>1168</v>
      </c>
      <c r="L1375" s="45" t="s">
        <v>1174</v>
      </c>
      <c r="M1375" s="20" t="s">
        <v>1175</v>
      </c>
      <c r="N1375" s="47">
        <v>45625</v>
      </c>
      <c r="O1375" s="20">
        <f>INDEX(Auxiliar!$D$5:$F$11,MATCH(Table1[[#This Row],[Tipologia_Testes]],Auxiliar!$B$5:$B$11,0),MATCH(Table1[[#This Row],[Complexidade]],Auxiliar!$D$4:$F$4,0))</f>
        <v>2</v>
      </c>
      <c r="P1375" s="42"/>
      <c r="Q1375" s="151"/>
      <c r="R1375" s="151"/>
      <c r="S1375" s="151"/>
      <c r="T1375" s="151"/>
      <c r="U1375" s="151">
        <v>45611</v>
      </c>
      <c r="V1375" s="151">
        <v>45611</v>
      </c>
      <c r="W1375" s="2">
        <f>VLOOKUP(Table1[[#This Row],[Status]],Auxiliar!$B$16:$D$24,3,0)*Table1[[#This Row],[Estimação (horas)]]</f>
        <v>2</v>
      </c>
      <c r="X1375" s="165">
        <f>+VLOOKUP(CONCATENATE(Table1[[#This Row],[Tabela]],Table1[[#This Row],[Campo]]),'2. Status Detalhe Campos FY24'!A:J,9,FALSE)</f>
        <v>0</v>
      </c>
      <c r="Y1375" s="491" t="e">
        <f>+VLOOKUP(A1375,#REF!,1,FALSE)</f>
        <v>#REF!</v>
      </c>
    </row>
    <row r="1376" spans="1:25" ht="17.899999999999999" hidden="1" customHeight="1">
      <c r="A1376" t="str">
        <f>+Table1[[#This Row],[Tabela]]&amp;Table1[[#This Row],[Campo]]</f>
        <v>lt827_mthd_usd_instrmntflg_pro</v>
      </c>
      <c r="B1376" s="38" t="s">
        <v>26</v>
      </c>
      <c r="C1376" s="38" t="s">
        <v>26</v>
      </c>
      <c r="D1376" s="2" t="s">
        <v>38</v>
      </c>
      <c r="E1376" s="38" t="s">
        <v>38</v>
      </c>
      <c r="F1376" s="38" t="s">
        <v>1860</v>
      </c>
      <c r="G1376" s="38" t="s">
        <v>481</v>
      </c>
      <c r="H1376" s="58" t="str">
        <f>Table1[[#This Row],[Tabela]]&amp;Table1[[#This Row],[Campo]]</f>
        <v>lt827_mthd_usd_instrmntflg_pro</v>
      </c>
      <c r="I1376" s="2" t="s">
        <v>612</v>
      </c>
      <c r="J1376" s="44">
        <f>VLOOKUP(Table1[[#This Row],[Status]],Auxiliar!$B$16:$C$24,2,0)</f>
        <v>1</v>
      </c>
      <c r="K1376" s="44" t="s">
        <v>1169</v>
      </c>
      <c r="L1376" s="45" t="s">
        <v>1174</v>
      </c>
      <c r="M1376" s="20" t="s">
        <v>1175</v>
      </c>
      <c r="N1376" s="47">
        <v>45625</v>
      </c>
      <c r="O1376" s="20">
        <f>INDEX(Auxiliar!$D$5:$F$11,MATCH(Table1[[#This Row],[Tipologia_Testes]],Auxiliar!$B$5:$B$11,0),MATCH(Table1[[#This Row],[Complexidade]],Auxiliar!$D$4:$F$4,0))</f>
        <v>2</v>
      </c>
      <c r="P1376" s="42"/>
      <c r="Q1376" s="151"/>
      <c r="R1376" s="151"/>
      <c r="S1376" s="151"/>
      <c r="T1376" s="151"/>
      <c r="U1376" s="151">
        <v>45611</v>
      </c>
      <c r="V1376" s="151">
        <v>45611</v>
      </c>
      <c r="W1376" s="2">
        <f>VLOOKUP(Table1[[#This Row],[Status]],Auxiliar!$B$16:$D$24,3,0)*Table1[[#This Row],[Estimação (horas)]]</f>
        <v>2</v>
      </c>
      <c r="X1376" s="165">
        <f>+VLOOKUP(CONCATENATE(Table1[[#This Row],[Tabela]],Table1[[#This Row],[Campo]]),'2. Status Detalhe Campos FY24'!A:J,9,FALSE)</f>
        <v>0</v>
      </c>
      <c r="Y1376" s="491" t="e">
        <f>+VLOOKUP(A1376,#REF!,1,FALSE)</f>
        <v>#REF!</v>
      </c>
    </row>
    <row r="1377" spans="1:25" ht="17.899999999999999" hidden="1" customHeight="1">
      <c r="A1377" t="str">
        <f>+Table1[[#This Row],[Tabela]]&amp;Table1[[#This Row],[Campo]]</f>
        <v>lt827_mthd_usd_instrmntflg_pro</v>
      </c>
      <c r="B1377" s="38" t="s">
        <v>26</v>
      </c>
      <c r="C1377" s="38" t="s">
        <v>26</v>
      </c>
      <c r="D1377" s="2" t="s">
        <v>38</v>
      </c>
      <c r="E1377" s="38" t="s">
        <v>38</v>
      </c>
      <c r="F1377" s="38" t="s">
        <v>1860</v>
      </c>
      <c r="G1377" s="38" t="s">
        <v>481</v>
      </c>
      <c r="H1377" s="58" t="str">
        <f>Table1[[#This Row],[Tabela]]&amp;Table1[[#This Row],[Campo]]</f>
        <v>lt827_mthd_usd_instrmntflg_pro</v>
      </c>
      <c r="I1377" s="2" t="s">
        <v>612</v>
      </c>
      <c r="J1377" s="44">
        <f>VLOOKUP(Table1[[#This Row],[Status]],Auxiliar!$B$16:$C$24,2,0)</f>
        <v>1</v>
      </c>
      <c r="K1377" s="44" t="s">
        <v>1171</v>
      </c>
      <c r="L1377" s="45" t="s">
        <v>1174</v>
      </c>
      <c r="M1377" s="20" t="s">
        <v>1175</v>
      </c>
      <c r="N1377" s="47">
        <v>45625</v>
      </c>
      <c r="O1377" s="20">
        <f>INDEX(Auxiliar!$D$5:$F$11,MATCH(Table1[[#This Row],[Tipologia_Testes]],Auxiliar!$B$5:$B$11,0),MATCH(Table1[[#This Row],[Complexidade]],Auxiliar!$D$4:$F$4,0))</f>
        <v>0.1</v>
      </c>
      <c r="P1377" s="42"/>
      <c r="Q1377" s="151"/>
      <c r="R1377" s="151"/>
      <c r="S1377" s="151"/>
      <c r="T1377" s="151"/>
      <c r="U1377" s="151">
        <v>45611</v>
      </c>
      <c r="V1377" s="151">
        <v>45611</v>
      </c>
      <c r="W1377" s="2">
        <f>VLOOKUP(Table1[[#This Row],[Status]],Auxiliar!$B$16:$D$24,3,0)*Table1[[#This Row],[Estimação (horas)]]</f>
        <v>0.1</v>
      </c>
      <c r="X1377" s="165">
        <f>+VLOOKUP(CONCATENATE(Table1[[#This Row],[Tabela]],Table1[[#This Row],[Campo]]),'2. Status Detalhe Campos FY24'!A:J,9,FALSE)</f>
        <v>0</v>
      </c>
      <c r="Y1377" s="491" t="e">
        <f>+VLOOKUP(A1377,#REF!,1,FALSE)</f>
        <v>#REF!</v>
      </c>
    </row>
    <row r="1378" spans="1:25" ht="17.899999999999999" hidden="1" customHeight="1">
      <c r="A1378" t="str">
        <f>+Table1[[#This Row],[Tabela]]&amp;Table1[[#This Row],[Campo]]</f>
        <v>lt826_esg_sbsctrambito</v>
      </c>
      <c r="B1378" s="38" t="s">
        <v>26</v>
      </c>
      <c r="C1378" s="38" t="s">
        <v>26</v>
      </c>
      <c r="D1378" s="2" t="s">
        <v>38</v>
      </c>
      <c r="E1378" s="39" t="s">
        <v>38</v>
      </c>
      <c r="F1378" s="39" t="s">
        <v>392</v>
      </c>
      <c r="G1378" s="39" t="s">
        <v>390</v>
      </c>
      <c r="H1378" s="59" t="str">
        <f>Table1[[#This Row],[Tabela]]&amp;Table1[[#This Row],[Campo]]</f>
        <v>lt826_esg_sbsctrambito</v>
      </c>
      <c r="I1378" s="2" t="s">
        <v>612</v>
      </c>
      <c r="J1378" s="44">
        <f>VLOOKUP(Table1[[#This Row],[Status]],Auxiliar!$B$16:$C$24,2,0)</f>
        <v>1</v>
      </c>
      <c r="K1378" s="44" t="s">
        <v>1168</v>
      </c>
      <c r="L1378" s="45" t="s">
        <v>1174</v>
      </c>
      <c r="M1378" s="20" t="s">
        <v>1175</v>
      </c>
      <c r="N1378" s="47">
        <v>45581</v>
      </c>
      <c r="O1378" s="20">
        <f>INDEX(Auxiliar!$D$5:$F$13,MATCH(Table1[[#This Row],[Tipologia_Testes]],Auxiliar!$B$5:$B$13,0),MATCH(Table1[[#This Row],[Complexidade]],Auxiliar!$D$4:$F$4,0))</f>
        <v>2</v>
      </c>
      <c r="P1378" s="42" t="s">
        <v>1256</v>
      </c>
      <c r="Q1378" s="151"/>
      <c r="R1378" s="151">
        <v>45261</v>
      </c>
      <c r="S1378" s="151"/>
      <c r="T1378" s="151"/>
      <c r="U1378" s="151"/>
      <c r="V1378" s="151"/>
      <c r="W1378" s="2">
        <f>VLOOKUP(Table1[[#This Row],[Status]],Auxiliar!$B$16:$D$24,3,0)*Table1[[#This Row],[Estimação (horas)]]</f>
        <v>2</v>
      </c>
      <c r="X1378" s="165">
        <f>+VLOOKUP(CONCATENATE(Table1[[#This Row],[Tabela]],Table1[[#This Row],[Campo]]),'2. Status Detalhe Campos FY24'!A:J,9,FALSE)</f>
        <v>0</v>
      </c>
      <c r="Y1378" s="491" t="e">
        <f>+VLOOKUP(A1378,#REF!,1,FALSE)</f>
        <v>#REF!</v>
      </c>
    </row>
    <row r="1379" spans="1:25" ht="17.899999999999999" hidden="1" customHeight="1">
      <c r="A1379" t="str">
        <f>+Table1[[#This Row],[Tabela]]&amp;Table1[[#This Row],[Campo]]</f>
        <v>lt826_esg_sbsctrambito</v>
      </c>
      <c r="B1379" s="38" t="s">
        <v>26</v>
      </c>
      <c r="C1379" s="38" t="s">
        <v>26</v>
      </c>
      <c r="D1379" s="2" t="s">
        <v>38</v>
      </c>
      <c r="E1379" s="38" t="s">
        <v>38</v>
      </c>
      <c r="F1379" s="38" t="s">
        <v>392</v>
      </c>
      <c r="G1379" s="38" t="s">
        <v>390</v>
      </c>
      <c r="H1379" s="58" t="str">
        <f>Table1[[#This Row],[Tabela]]&amp;Table1[[#This Row],[Campo]]</f>
        <v>lt826_esg_sbsctrambito</v>
      </c>
      <c r="I1379" s="2" t="s">
        <v>612</v>
      </c>
      <c r="J1379" s="44">
        <f>VLOOKUP(Table1[[#This Row],[Status]],Auxiliar!$B$16:$C$24,2,0)</f>
        <v>1</v>
      </c>
      <c r="K1379" s="44" t="s">
        <v>1169</v>
      </c>
      <c r="L1379" s="45" t="s">
        <v>1174</v>
      </c>
      <c r="M1379" s="20" t="s">
        <v>1175</v>
      </c>
      <c r="N1379" s="47">
        <v>45581</v>
      </c>
      <c r="O1379" s="20">
        <f>INDEX(Auxiliar!$D$5:$F$13,MATCH(Table1[[#This Row],[Tipologia_Testes]],Auxiliar!$B$5:$B$13,0),MATCH(Table1[[#This Row],[Complexidade]],Auxiliar!$D$4:$F$4,0))</f>
        <v>2</v>
      </c>
      <c r="P1379" s="42" t="s">
        <v>1256</v>
      </c>
      <c r="Q1379" s="151"/>
      <c r="R1379" s="151">
        <v>45261</v>
      </c>
      <c r="S1379" s="151"/>
      <c r="T1379" s="151"/>
      <c r="U1379" s="151"/>
      <c r="V1379" s="151"/>
      <c r="W1379" s="2">
        <f>VLOOKUP(Table1[[#This Row],[Status]],Auxiliar!$B$16:$D$24,3,0)*Table1[[#This Row],[Estimação (horas)]]</f>
        <v>2</v>
      </c>
      <c r="X1379" s="165">
        <f>+VLOOKUP(CONCATENATE(Table1[[#This Row],[Tabela]],Table1[[#This Row],[Campo]]),'2. Status Detalhe Campos FY24'!A:J,9,FALSE)</f>
        <v>0</v>
      </c>
      <c r="Y1379" s="491" t="e">
        <f>+VLOOKUP(A1379,#REF!,1,FALSE)</f>
        <v>#REF!</v>
      </c>
    </row>
    <row r="1380" spans="1:25" ht="17.899999999999999" hidden="1" customHeight="1">
      <c r="A1380" t="str">
        <f>+Table1[[#This Row],[Tabela]]&amp;Table1[[#This Row],[Campo]]</f>
        <v>lt826_esg_sbsctrambito</v>
      </c>
      <c r="B1380" s="38" t="s">
        <v>26</v>
      </c>
      <c r="C1380" s="38" t="s">
        <v>26</v>
      </c>
      <c r="D1380" s="2" t="s">
        <v>38</v>
      </c>
      <c r="E1380" s="38" t="s">
        <v>38</v>
      </c>
      <c r="F1380" s="38" t="s">
        <v>392</v>
      </c>
      <c r="G1380" s="38" t="s">
        <v>390</v>
      </c>
      <c r="H1380" s="58" t="str">
        <f>Table1[[#This Row],[Tabela]]&amp;Table1[[#This Row],[Campo]]</f>
        <v>lt826_esg_sbsctrambito</v>
      </c>
      <c r="I1380" s="2" t="s">
        <v>612</v>
      </c>
      <c r="J1380" s="44">
        <f>VLOOKUP(Table1[[#This Row],[Status]],Auxiliar!$B$16:$C$24,2,0)</f>
        <v>1</v>
      </c>
      <c r="K1380" s="44" t="s">
        <v>1171</v>
      </c>
      <c r="L1380" s="45" t="s">
        <v>1174</v>
      </c>
      <c r="M1380" s="20" t="s">
        <v>1175</v>
      </c>
      <c r="N1380" s="47">
        <v>45581</v>
      </c>
      <c r="O1380" s="20">
        <f>INDEX(Auxiliar!$D$5:$F$13,MATCH(Table1[[#This Row],[Tipologia_Testes]],Auxiliar!$B$5:$B$13,0),MATCH(Table1[[#This Row],[Complexidade]],Auxiliar!$D$4:$F$4,0))</f>
        <v>0.1</v>
      </c>
      <c r="P1380" s="42" t="s">
        <v>1256</v>
      </c>
      <c r="Q1380" s="151"/>
      <c r="R1380" s="151">
        <v>45261</v>
      </c>
      <c r="S1380" s="151"/>
      <c r="T1380" s="151"/>
      <c r="U1380" s="151"/>
      <c r="V1380" s="151"/>
      <c r="W1380" s="2">
        <f>VLOOKUP(Table1[[#This Row],[Status]],Auxiliar!$B$16:$D$24,3,0)*Table1[[#This Row],[Estimação (horas)]]</f>
        <v>0.1</v>
      </c>
      <c r="X1380" s="165">
        <f>+VLOOKUP(CONCATENATE(Table1[[#This Row],[Tabela]],Table1[[#This Row],[Campo]]),'2. Status Detalhe Campos FY24'!A:J,9,FALSE)</f>
        <v>0</v>
      </c>
      <c r="Y1380" s="491" t="e">
        <f>+VLOOKUP(A1380,#REF!,1,FALSE)</f>
        <v>#REF!</v>
      </c>
    </row>
    <row r="1381" spans="1:25" ht="17.899999999999999" hidden="1" customHeight="1">
      <c r="A1381" t="str">
        <f>+Table1[[#This Row],[Tabela]]&amp;Table1[[#This Row],[Campo]]</f>
        <v>lt826_esg_sbsctrref_date</v>
      </c>
      <c r="B1381" s="38" t="s">
        <v>26</v>
      </c>
      <c r="C1381" s="38" t="s">
        <v>26</v>
      </c>
      <c r="D1381" s="2" t="s">
        <v>38</v>
      </c>
      <c r="E1381" s="39" t="s">
        <v>38</v>
      </c>
      <c r="F1381" s="39" t="s">
        <v>392</v>
      </c>
      <c r="G1381" s="39" t="s">
        <v>208</v>
      </c>
      <c r="H1381" s="59" t="str">
        <f>Table1[[#This Row],[Tabela]]&amp;Table1[[#This Row],[Campo]]</f>
        <v>lt826_esg_sbsctrref_date</v>
      </c>
      <c r="I1381" s="2" t="s">
        <v>612</v>
      </c>
      <c r="J1381" s="44">
        <f>VLOOKUP(Table1[[#This Row],[Status]],Auxiliar!$B$16:$C$24,2,0)</f>
        <v>1</v>
      </c>
      <c r="K1381" s="44" t="s">
        <v>1168</v>
      </c>
      <c r="L1381" s="45" t="s">
        <v>1174</v>
      </c>
      <c r="M1381" s="20" t="s">
        <v>1175</v>
      </c>
      <c r="N1381" s="47">
        <v>45581</v>
      </c>
      <c r="O1381" s="20">
        <f>INDEX(Auxiliar!$D$5:$F$13,MATCH(Table1[[#This Row],[Tipologia_Testes]],Auxiliar!$B$5:$B$13,0),MATCH(Table1[[#This Row],[Complexidade]],Auxiliar!$D$4:$F$4,0))</f>
        <v>2</v>
      </c>
      <c r="P1381" s="42" t="s">
        <v>1256</v>
      </c>
      <c r="Q1381" s="151"/>
      <c r="R1381" s="151">
        <v>45261</v>
      </c>
      <c r="S1381" s="151"/>
      <c r="T1381" s="151"/>
      <c r="U1381" s="151"/>
      <c r="V1381" s="151"/>
      <c r="W1381" s="2">
        <f>VLOOKUP(Table1[[#This Row],[Status]],Auxiliar!$B$16:$D$24,3,0)*Table1[[#This Row],[Estimação (horas)]]</f>
        <v>2</v>
      </c>
      <c r="X1381" s="165">
        <f>+VLOOKUP(CONCATENATE(Table1[[#This Row],[Tabela]],Table1[[#This Row],[Campo]]),'2. Status Detalhe Campos FY24'!A:J,9,FALSE)</f>
        <v>0</v>
      </c>
      <c r="Y1381" s="491" t="e">
        <f>+VLOOKUP(A1381,#REF!,1,FALSE)</f>
        <v>#REF!</v>
      </c>
    </row>
    <row r="1382" spans="1:25" ht="17.899999999999999" hidden="1" customHeight="1">
      <c r="A1382" t="str">
        <f>+Table1[[#This Row],[Tabela]]&amp;Table1[[#This Row],[Campo]]</f>
        <v>lt826_esg_sbsctrref_date</v>
      </c>
      <c r="B1382" s="38" t="s">
        <v>26</v>
      </c>
      <c r="C1382" s="38" t="s">
        <v>26</v>
      </c>
      <c r="D1382" s="2" t="s">
        <v>38</v>
      </c>
      <c r="E1382" s="38" t="s">
        <v>38</v>
      </c>
      <c r="F1382" s="38" t="s">
        <v>392</v>
      </c>
      <c r="G1382" s="38" t="s">
        <v>208</v>
      </c>
      <c r="H1382" s="58" t="str">
        <f>Table1[[#This Row],[Tabela]]&amp;Table1[[#This Row],[Campo]]</f>
        <v>lt826_esg_sbsctrref_date</v>
      </c>
      <c r="I1382" s="2" t="s">
        <v>612</v>
      </c>
      <c r="J1382" s="44">
        <f>VLOOKUP(Table1[[#This Row],[Status]],Auxiliar!$B$16:$C$24,2,0)</f>
        <v>1</v>
      </c>
      <c r="K1382" s="44" t="s">
        <v>1169</v>
      </c>
      <c r="L1382" s="45" t="s">
        <v>1174</v>
      </c>
      <c r="M1382" s="20" t="s">
        <v>1175</v>
      </c>
      <c r="N1382" s="47">
        <v>45581</v>
      </c>
      <c r="O1382" s="20">
        <f>INDEX(Auxiliar!$D$5:$F$13,MATCH(Table1[[#This Row],[Tipologia_Testes]],Auxiliar!$B$5:$B$13,0),MATCH(Table1[[#This Row],[Complexidade]],Auxiliar!$D$4:$F$4,0))</f>
        <v>2</v>
      </c>
      <c r="P1382" s="42" t="s">
        <v>1256</v>
      </c>
      <c r="Q1382" s="151"/>
      <c r="R1382" s="151">
        <v>45261</v>
      </c>
      <c r="S1382" s="151"/>
      <c r="T1382" s="151"/>
      <c r="U1382" s="151"/>
      <c r="V1382" s="151"/>
      <c r="W1382" s="2">
        <f>VLOOKUP(Table1[[#This Row],[Status]],Auxiliar!$B$16:$D$24,3,0)*Table1[[#This Row],[Estimação (horas)]]</f>
        <v>2</v>
      </c>
      <c r="X1382" s="165">
        <f>+VLOOKUP(CONCATENATE(Table1[[#This Row],[Tabela]],Table1[[#This Row],[Campo]]),'2. Status Detalhe Campos FY24'!A:J,9,FALSE)</f>
        <v>0</v>
      </c>
      <c r="Y1382" s="491" t="e">
        <f>+VLOOKUP(A1382,#REF!,1,FALSE)</f>
        <v>#REF!</v>
      </c>
    </row>
    <row r="1383" spans="1:25" ht="17.899999999999999" hidden="1" customHeight="1">
      <c r="A1383" t="str">
        <f>+Table1[[#This Row],[Tabela]]&amp;Table1[[#This Row],[Campo]]</f>
        <v>lt826_esg_sbsctrref_date</v>
      </c>
      <c r="B1383" s="38" t="s">
        <v>26</v>
      </c>
      <c r="C1383" s="38" t="s">
        <v>26</v>
      </c>
      <c r="D1383" s="2" t="s">
        <v>38</v>
      </c>
      <c r="E1383" s="38" t="s">
        <v>38</v>
      </c>
      <c r="F1383" s="38" t="s">
        <v>392</v>
      </c>
      <c r="G1383" s="38" t="s">
        <v>208</v>
      </c>
      <c r="H1383" s="58" t="str">
        <f>Table1[[#This Row],[Tabela]]&amp;Table1[[#This Row],[Campo]]</f>
        <v>lt826_esg_sbsctrref_date</v>
      </c>
      <c r="I1383" s="2" t="s">
        <v>612</v>
      </c>
      <c r="J1383" s="44">
        <f>VLOOKUP(Table1[[#This Row],[Status]],Auxiliar!$B$16:$C$24,2,0)</f>
        <v>1</v>
      </c>
      <c r="K1383" s="44" t="s">
        <v>1171</v>
      </c>
      <c r="L1383" s="45" t="s">
        <v>1174</v>
      </c>
      <c r="M1383" s="20" t="s">
        <v>1175</v>
      </c>
      <c r="N1383" s="47">
        <v>45581</v>
      </c>
      <c r="O1383" s="20">
        <f>INDEX(Auxiliar!$D$5:$F$13,MATCH(Table1[[#This Row],[Tipologia_Testes]],Auxiliar!$B$5:$B$13,0),MATCH(Table1[[#This Row],[Complexidade]],Auxiliar!$D$4:$F$4,0))</f>
        <v>0.1</v>
      </c>
      <c r="P1383" s="42" t="s">
        <v>1256</v>
      </c>
      <c r="Q1383" s="151"/>
      <c r="R1383" s="151">
        <v>45261</v>
      </c>
      <c r="S1383" s="151"/>
      <c r="T1383" s="151"/>
      <c r="U1383" s="151"/>
      <c r="V1383" s="151"/>
      <c r="W1383" s="2">
        <f>VLOOKUP(Table1[[#This Row],[Status]],Auxiliar!$B$16:$D$24,3,0)*Table1[[#This Row],[Estimação (horas)]]</f>
        <v>0.1</v>
      </c>
      <c r="X1383" s="165">
        <f>+VLOOKUP(CONCATENATE(Table1[[#This Row],[Tabela]],Table1[[#This Row],[Campo]]),'2. Status Detalhe Campos FY24'!A:J,9,FALSE)</f>
        <v>0</v>
      </c>
      <c r="Y1383" s="491" t="e">
        <f>+VLOOKUP(A1383,#REF!,1,FALSE)</f>
        <v>#REF!</v>
      </c>
    </row>
    <row r="1384" spans="1:25" ht="17.899999999999999" hidden="1" customHeight="1">
      <c r="A1384" t="str">
        <f>+Table1[[#This Row],[Tabela]]&amp;Table1[[#This Row],[Campo]]</f>
        <v>lt826_esg_sbsctrordem</v>
      </c>
      <c r="B1384" s="38" t="s">
        <v>26</v>
      </c>
      <c r="C1384" s="38" t="s">
        <v>26</v>
      </c>
      <c r="D1384" s="2" t="s">
        <v>38</v>
      </c>
      <c r="E1384" s="39" t="s">
        <v>38</v>
      </c>
      <c r="F1384" s="39" t="s">
        <v>392</v>
      </c>
      <c r="G1384" s="39" t="s">
        <v>211</v>
      </c>
      <c r="H1384" s="59" t="str">
        <f>Table1[[#This Row],[Tabela]]&amp;Table1[[#This Row],[Campo]]</f>
        <v>lt826_esg_sbsctrordem</v>
      </c>
      <c r="I1384" s="2" t="s">
        <v>612</v>
      </c>
      <c r="J1384" s="44">
        <f>VLOOKUP(Table1[[#This Row],[Status]],Auxiliar!$B$16:$C$24,2,0)</f>
        <v>1</v>
      </c>
      <c r="K1384" s="44" t="s">
        <v>1168</v>
      </c>
      <c r="L1384" s="45" t="s">
        <v>1174</v>
      </c>
      <c r="M1384" s="20" t="s">
        <v>1175</v>
      </c>
      <c r="N1384" s="47">
        <v>45581</v>
      </c>
      <c r="O1384" s="20">
        <f>INDEX(Auxiliar!$D$5:$F$13,MATCH(Table1[[#This Row],[Tipologia_Testes]],Auxiliar!$B$5:$B$13,0),MATCH(Table1[[#This Row],[Complexidade]],Auxiliar!$D$4:$F$4,0))</f>
        <v>2</v>
      </c>
      <c r="P1384" s="42" t="s">
        <v>1256</v>
      </c>
      <c r="Q1384" s="151"/>
      <c r="R1384" s="151">
        <v>45261</v>
      </c>
      <c r="S1384" s="151"/>
      <c r="T1384" s="151"/>
      <c r="U1384" s="151"/>
      <c r="V1384" s="151"/>
      <c r="W1384" s="2">
        <f>VLOOKUP(Table1[[#This Row],[Status]],Auxiliar!$B$16:$D$24,3,0)*Table1[[#This Row],[Estimação (horas)]]</f>
        <v>2</v>
      </c>
      <c r="X1384" s="165">
        <f>+VLOOKUP(CONCATENATE(Table1[[#This Row],[Tabela]],Table1[[#This Row],[Campo]]),'2. Status Detalhe Campos FY24'!A:J,9,FALSE)</f>
        <v>0</v>
      </c>
      <c r="Y1384" s="491" t="e">
        <f>+VLOOKUP(A1384,#REF!,1,FALSE)</f>
        <v>#REF!</v>
      </c>
    </row>
    <row r="1385" spans="1:25" ht="17.899999999999999" hidden="1" customHeight="1">
      <c r="A1385" t="str">
        <f>+Table1[[#This Row],[Tabela]]&amp;Table1[[#This Row],[Campo]]</f>
        <v>lt826_esg_sbsctrordem</v>
      </c>
      <c r="B1385" s="38" t="s">
        <v>26</v>
      </c>
      <c r="C1385" s="38" t="s">
        <v>26</v>
      </c>
      <c r="D1385" s="2" t="s">
        <v>38</v>
      </c>
      <c r="E1385" s="38" t="s">
        <v>38</v>
      </c>
      <c r="F1385" s="38" t="s">
        <v>392</v>
      </c>
      <c r="G1385" s="38" t="s">
        <v>211</v>
      </c>
      <c r="H1385" s="58" t="str">
        <f>Table1[[#This Row],[Tabela]]&amp;Table1[[#This Row],[Campo]]</f>
        <v>lt826_esg_sbsctrordem</v>
      </c>
      <c r="I1385" s="2" t="s">
        <v>612</v>
      </c>
      <c r="J1385" s="44">
        <f>VLOOKUP(Table1[[#This Row],[Status]],Auxiliar!$B$16:$C$24,2,0)</f>
        <v>1</v>
      </c>
      <c r="K1385" s="44" t="s">
        <v>1169</v>
      </c>
      <c r="L1385" s="45" t="s">
        <v>1174</v>
      </c>
      <c r="M1385" s="20" t="s">
        <v>1175</v>
      </c>
      <c r="N1385" s="47">
        <v>45581</v>
      </c>
      <c r="O1385" s="20">
        <f>INDEX(Auxiliar!$D$5:$F$13,MATCH(Table1[[#This Row],[Tipologia_Testes]],Auxiliar!$B$5:$B$13,0),MATCH(Table1[[#This Row],[Complexidade]],Auxiliar!$D$4:$F$4,0))</f>
        <v>2</v>
      </c>
      <c r="P1385" s="42" t="s">
        <v>1256</v>
      </c>
      <c r="Q1385" s="151"/>
      <c r="R1385" s="151">
        <v>45261</v>
      </c>
      <c r="S1385" s="151"/>
      <c r="T1385" s="151"/>
      <c r="U1385" s="151"/>
      <c r="V1385" s="151"/>
      <c r="W1385" s="2">
        <f>VLOOKUP(Table1[[#This Row],[Status]],Auxiliar!$B$16:$D$24,3,0)*Table1[[#This Row],[Estimação (horas)]]</f>
        <v>2</v>
      </c>
      <c r="X1385" s="165">
        <f>+VLOOKUP(CONCATENATE(Table1[[#This Row],[Tabela]],Table1[[#This Row],[Campo]]),'2. Status Detalhe Campos FY24'!A:J,9,FALSE)</f>
        <v>0</v>
      </c>
      <c r="Y1385" s="491" t="e">
        <f>+VLOOKUP(A1385,#REF!,1,FALSE)</f>
        <v>#REF!</v>
      </c>
    </row>
    <row r="1386" spans="1:25" ht="17.899999999999999" hidden="1" customHeight="1">
      <c r="A1386" t="str">
        <f>+Table1[[#This Row],[Tabela]]&amp;Table1[[#This Row],[Campo]]</f>
        <v>lt826_esg_sbsctrordem</v>
      </c>
      <c r="B1386" s="38" t="s">
        <v>26</v>
      </c>
      <c r="C1386" s="38" t="s">
        <v>26</v>
      </c>
      <c r="D1386" s="2" t="s">
        <v>38</v>
      </c>
      <c r="E1386" s="38" t="s">
        <v>38</v>
      </c>
      <c r="F1386" s="38" t="s">
        <v>392</v>
      </c>
      <c r="G1386" s="38" t="s">
        <v>211</v>
      </c>
      <c r="H1386" s="58" t="str">
        <f>Table1[[#This Row],[Tabela]]&amp;Table1[[#This Row],[Campo]]</f>
        <v>lt826_esg_sbsctrordem</v>
      </c>
      <c r="I1386" s="2" t="s">
        <v>612</v>
      </c>
      <c r="J1386" s="44">
        <f>VLOOKUP(Table1[[#This Row],[Status]],Auxiliar!$B$16:$C$24,2,0)</f>
        <v>1</v>
      </c>
      <c r="K1386" s="44" t="s">
        <v>1171</v>
      </c>
      <c r="L1386" s="45" t="s">
        <v>1174</v>
      </c>
      <c r="M1386" s="20" t="s">
        <v>1175</v>
      </c>
      <c r="N1386" s="47">
        <v>45581</v>
      </c>
      <c r="O1386" s="20">
        <f>INDEX(Auxiliar!$D$5:$F$13,MATCH(Table1[[#This Row],[Tipologia_Testes]],Auxiliar!$B$5:$B$13,0),MATCH(Table1[[#This Row],[Complexidade]],Auxiliar!$D$4:$F$4,0))</f>
        <v>0.1</v>
      </c>
      <c r="P1386" s="42" t="s">
        <v>1256</v>
      </c>
      <c r="Q1386" s="151"/>
      <c r="R1386" s="151">
        <v>45261</v>
      </c>
      <c r="S1386" s="151"/>
      <c r="T1386" s="151"/>
      <c r="U1386" s="151"/>
      <c r="V1386" s="151"/>
      <c r="W1386" s="2">
        <f>VLOOKUP(Table1[[#This Row],[Status]],Auxiliar!$B$16:$D$24,3,0)*Table1[[#This Row],[Estimação (horas)]]</f>
        <v>0.1</v>
      </c>
      <c r="X1386" s="165">
        <f>+VLOOKUP(CONCATENATE(Table1[[#This Row],[Tabela]],Table1[[#This Row],[Campo]]),'2. Status Detalhe Campos FY24'!A:J,9,FALSE)</f>
        <v>0</v>
      </c>
      <c r="Y1386" s="491" t="e">
        <f>+VLOOKUP(A1386,#REF!,1,FALSE)</f>
        <v>#REF!</v>
      </c>
    </row>
    <row r="1387" spans="1:25" ht="17.899999999999999" hidden="1" customHeight="1">
      <c r="A1387" t="str">
        <f>+Table1[[#This Row],[Tabela]]&amp;Table1[[#This Row],[Campo]]</f>
        <v>lt826_esg_sbsctrnace_code</v>
      </c>
      <c r="B1387" s="38" t="s">
        <v>26</v>
      </c>
      <c r="C1387" s="38" t="s">
        <v>26</v>
      </c>
      <c r="D1387" s="2" t="s">
        <v>38</v>
      </c>
      <c r="E1387" s="39" t="s">
        <v>38</v>
      </c>
      <c r="F1387" s="39" t="s">
        <v>392</v>
      </c>
      <c r="G1387" s="37" t="s">
        <v>393</v>
      </c>
      <c r="H1387" s="59" t="str">
        <f>Table1[[#This Row],[Tabela]]&amp;Table1[[#This Row],[Campo]]</f>
        <v>lt826_esg_sbsctrnace_code</v>
      </c>
      <c r="I1387" s="2" t="s">
        <v>612</v>
      </c>
      <c r="J1387" s="44">
        <f>VLOOKUP(Table1[[#This Row],[Status]],Auxiliar!$B$16:$C$24,2,0)</f>
        <v>1</v>
      </c>
      <c r="K1387" s="44" t="s">
        <v>1168</v>
      </c>
      <c r="L1387" s="45" t="s">
        <v>1174</v>
      </c>
      <c r="M1387" s="20" t="s">
        <v>1175</v>
      </c>
      <c r="N1387" s="47">
        <v>45581</v>
      </c>
      <c r="O1387" s="20">
        <f>INDEX(Auxiliar!$D$5:$F$13,MATCH(Table1[[#This Row],[Tipologia_Testes]],Auxiliar!$B$5:$B$13,0),MATCH(Table1[[#This Row],[Complexidade]],Auxiliar!$D$4:$F$4,0))</f>
        <v>2</v>
      </c>
      <c r="P1387" s="42" t="s">
        <v>1256</v>
      </c>
      <c r="Q1387" s="151"/>
      <c r="R1387" s="151">
        <v>45261</v>
      </c>
      <c r="S1387" s="151"/>
      <c r="T1387" s="151"/>
      <c r="U1387" s="151"/>
      <c r="V1387" s="151"/>
      <c r="W1387" s="2">
        <f>VLOOKUP(Table1[[#This Row],[Status]],Auxiliar!$B$16:$D$24,3,0)*Table1[[#This Row],[Estimação (horas)]]</f>
        <v>2</v>
      </c>
      <c r="X1387" s="165">
        <f>+VLOOKUP(CONCATENATE(Table1[[#This Row],[Tabela]],Table1[[#This Row],[Campo]]),'2. Status Detalhe Campos FY24'!A:J,9,FALSE)</f>
        <v>0</v>
      </c>
      <c r="Y1387" s="491" t="e">
        <f>+VLOOKUP(A1387,#REF!,1,FALSE)</f>
        <v>#REF!</v>
      </c>
    </row>
    <row r="1388" spans="1:25" ht="17.899999999999999" hidden="1" customHeight="1">
      <c r="A1388" t="str">
        <f>+Table1[[#This Row],[Tabela]]&amp;Table1[[#This Row],[Campo]]</f>
        <v>lt826_esg_sbsctrnace_code</v>
      </c>
      <c r="B1388" s="38" t="s">
        <v>26</v>
      </c>
      <c r="C1388" s="38" t="s">
        <v>26</v>
      </c>
      <c r="D1388" s="2" t="s">
        <v>38</v>
      </c>
      <c r="E1388" s="38" t="s">
        <v>38</v>
      </c>
      <c r="F1388" s="38" t="s">
        <v>392</v>
      </c>
      <c r="G1388" s="38" t="s">
        <v>393</v>
      </c>
      <c r="H1388" s="58" t="str">
        <f>Table1[[#This Row],[Tabela]]&amp;Table1[[#This Row],[Campo]]</f>
        <v>lt826_esg_sbsctrnace_code</v>
      </c>
      <c r="I1388" s="2" t="s">
        <v>612</v>
      </c>
      <c r="J1388" s="44">
        <f>VLOOKUP(Table1[[#This Row],[Status]],Auxiliar!$B$16:$C$24,2,0)</f>
        <v>1</v>
      </c>
      <c r="K1388" s="44" t="s">
        <v>1169</v>
      </c>
      <c r="L1388" s="45" t="s">
        <v>1174</v>
      </c>
      <c r="M1388" s="20" t="s">
        <v>1175</v>
      </c>
      <c r="N1388" s="47">
        <v>45581</v>
      </c>
      <c r="O1388" s="20">
        <f>INDEX(Auxiliar!$D$5:$F$13,MATCH(Table1[[#This Row],[Tipologia_Testes]],Auxiliar!$B$5:$B$13,0),MATCH(Table1[[#This Row],[Complexidade]],Auxiliar!$D$4:$F$4,0))</f>
        <v>2</v>
      </c>
      <c r="P1388" s="42" t="s">
        <v>1256</v>
      </c>
      <c r="Q1388" s="151"/>
      <c r="R1388" s="151">
        <v>45261</v>
      </c>
      <c r="S1388" s="151"/>
      <c r="T1388" s="151"/>
      <c r="U1388" s="151"/>
      <c r="V1388" s="151"/>
      <c r="W1388" s="2">
        <f>VLOOKUP(Table1[[#This Row],[Status]],Auxiliar!$B$16:$D$24,3,0)*Table1[[#This Row],[Estimação (horas)]]</f>
        <v>2</v>
      </c>
      <c r="X1388" s="165">
        <f>+VLOOKUP(CONCATENATE(Table1[[#This Row],[Tabela]],Table1[[#This Row],[Campo]]),'2. Status Detalhe Campos FY24'!A:J,9,FALSE)</f>
        <v>0</v>
      </c>
      <c r="Y1388" s="491" t="e">
        <f>+VLOOKUP(A1388,#REF!,1,FALSE)</f>
        <v>#REF!</v>
      </c>
    </row>
    <row r="1389" spans="1:25" ht="17.899999999999999" hidden="1" customHeight="1">
      <c r="A1389" t="str">
        <f>+Table1[[#This Row],[Tabela]]&amp;Table1[[#This Row],[Campo]]</f>
        <v>lt826_esg_sbsctrnace_code</v>
      </c>
      <c r="B1389" s="38" t="s">
        <v>26</v>
      </c>
      <c r="C1389" s="38" t="s">
        <v>26</v>
      </c>
      <c r="D1389" s="2" t="s">
        <v>38</v>
      </c>
      <c r="E1389" s="38" t="s">
        <v>38</v>
      </c>
      <c r="F1389" s="38" t="s">
        <v>392</v>
      </c>
      <c r="G1389" s="38" t="s">
        <v>393</v>
      </c>
      <c r="H1389" s="58" t="str">
        <f>Table1[[#This Row],[Tabela]]&amp;Table1[[#This Row],[Campo]]</f>
        <v>lt826_esg_sbsctrnace_code</v>
      </c>
      <c r="I1389" s="2" t="s">
        <v>612</v>
      </c>
      <c r="J1389" s="44">
        <f>VLOOKUP(Table1[[#This Row],[Status]],Auxiliar!$B$16:$C$24,2,0)</f>
        <v>1</v>
      </c>
      <c r="K1389" s="44" t="s">
        <v>1171</v>
      </c>
      <c r="L1389" s="45" t="s">
        <v>1174</v>
      </c>
      <c r="M1389" s="20" t="s">
        <v>1175</v>
      </c>
      <c r="N1389" s="47">
        <v>45581</v>
      </c>
      <c r="O1389" s="20">
        <f>INDEX(Auxiliar!$D$5:$F$13,MATCH(Table1[[#This Row],[Tipologia_Testes]],Auxiliar!$B$5:$B$13,0),MATCH(Table1[[#This Row],[Complexidade]],Auxiliar!$D$4:$F$4,0))</f>
        <v>0.1</v>
      </c>
      <c r="P1389" s="42" t="s">
        <v>1256</v>
      </c>
      <c r="Q1389" s="151"/>
      <c r="R1389" s="151">
        <v>45261</v>
      </c>
      <c r="S1389" s="151"/>
      <c r="T1389" s="151"/>
      <c r="U1389" s="151"/>
      <c r="V1389" s="151"/>
      <c r="W1389" s="2">
        <f>VLOOKUP(Table1[[#This Row],[Status]],Auxiliar!$B$16:$D$24,3,0)*Table1[[#This Row],[Estimação (horas)]]</f>
        <v>0.1</v>
      </c>
      <c r="X1389" s="165">
        <f>+VLOOKUP(CONCATENATE(Table1[[#This Row],[Tabela]],Table1[[#This Row],[Campo]]),'2. Status Detalhe Campos FY24'!A:J,9,FALSE)</f>
        <v>0</v>
      </c>
      <c r="Y1389" s="491" t="e">
        <f>+VLOOKUP(A1389,#REF!,1,FALSE)</f>
        <v>#REF!</v>
      </c>
    </row>
    <row r="1390" spans="1:25" ht="17.899999999999999" hidden="1" customHeight="1">
      <c r="A1390" t="str">
        <f>+Table1[[#This Row],[Tabela]]&amp;Table1[[#This Row],[Campo]]</f>
        <v>lt826_esg_sbsctrcontraparte</v>
      </c>
      <c r="B1390" s="38" t="s">
        <v>26</v>
      </c>
      <c r="C1390" s="38" t="s">
        <v>26</v>
      </c>
      <c r="D1390" s="2" t="s">
        <v>38</v>
      </c>
      <c r="E1390" s="39" t="s">
        <v>38</v>
      </c>
      <c r="F1390" s="39" t="s">
        <v>392</v>
      </c>
      <c r="G1390" s="37" t="s">
        <v>394</v>
      </c>
      <c r="H1390" s="59" t="str">
        <f>Table1[[#This Row],[Tabela]]&amp;Table1[[#This Row],[Campo]]</f>
        <v>lt826_esg_sbsctrcontraparte</v>
      </c>
      <c r="I1390" s="2" t="s">
        <v>612</v>
      </c>
      <c r="J1390" s="44">
        <f>VLOOKUP(Table1[[#This Row],[Status]],Auxiliar!$B$16:$C$24,2,0)</f>
        <v>1</v>
      </c>
      <c r="K1390" s="44" t="s">
        <v>1168</v>
      </c>
      <c r="L1390" s="45" t="s">
        <v>1174</v>
      </c>
      <c r="M1390" s="20" t="s">
        <v>1175</v>
      </c>
      <c r="N1390" s="47">
        <v>45581</v>
      </c>
      <c r="O1390" s="20">
        <f>INDEX(Auxiliar!$D$5:$F$13,MATCH(Table1[[#This Row],[Tipologia_Testes]],Auxiliar!$B$5:$B$13,0),MATCH(Table1[[#This Row],[Complexidade]],Auxiliar!$D$4:$F$4,0))</f>
        <v>2</v>
      </c>
      <c r="P1390" s="42" t="s">
        <v>1256</v>
      </c>
      <c r="Q1390" s="151"/>
      <c r="R1390" s="151">
        <v>45261</v>
      </c>
      <c r="S1390" s="151"/>
      <c r="T1390" s="151"/>
      <c r="U1390" s="151"/>
      <c r="V1390" s="151"/>
      <c r="W1390" s="2">
        <f>VLOOKUP(Table1[[#This Row],[Status]],Auxiliar!$B$16:$D$24,3,0)*Table1[[#This Row],[Estimação (horas)]]</f>
        <v>2</v>
      </c>
      <c r="X1390" s="165">
        <f>+VLOOKUP(CONCATENATE(Table1[[#This Row],[Tabela]],Table1[[#This Row],[Campo]]),'2. Status Detalhe Campos FY24'!A:J,9,FALSE)</f>
        <v>0</v>
      </c>
      <c r="Y1390" s="491" t="e">
        <f>+VLOOKUP(A1390,#REF!,1,FALSE)</f>
        <v>#REF!</v>
      </c>
    </row>
    <row r="1391" spans="1:25" ht="17.899999999999999" hidden="1" customHeight="1">
      <c r="A1391" t="str">
        <f>+Table1[[#This Row],[Tabela]]&amp;Table1[[#This Row],[Campo]]</f>
        <v>lt826_esg_sbsctrcontraparte</v>
      </c>
      <c r="B1391" s="38" t="s">
        <v>26</v>
      </c>
      <c r="C1391" s="38" t="s">
        <v>26</v>
      </c>
      <c r="D1391" s="2" t="s">
        <v>38</v>
      </c>
      <c r="E1391" s="38" t="s">
        <v>38</v>
      </c>
      <c r="F1391" s="38" t="s">
        <v>392</v>
      </c>
      <c r="G1391" s="38" t="s">
        <v>394</v>
      </c>
      <c r="H1391" s="58" t="str">
        <f>Table1[[#This Row],[Tabela]]&amp;Table1[[#This Row],[Campo]]</f>
        <v>lt826_esg_sbsctrcontraparte</v>
      </c>
      <c r="I1391" s="2" t="s">
        <v>612</v>
      </c>
      <c r="J1391" s="44">
        <f>VLOOKUP(Table1[[#This Row],[Status]],Auxiliar!$B$16:$C$24,2,0)</f>
        <v>1</v>
      </c>
      <c r="K1391" s="44" t="s">
        <v>1169</v>
      </c>
      <c r="L1391" s="45" t="s">
        <v>1174</v>
      </c>
      <c r="M1391" s="20" t="s">
        <v>1175</v>
      </c>
      <c r="N1391" s="47">
        <v>45581</v>
      </c>
      <c r="O1391" s="20">
        <f>INDEX(Auxiliar!$D$5:$F$13,MATCH(Table1[[#This Row],[Tipologia_Testes]],Auxiliar!$B$5:$B$13,0),MATCH(Table1[[#This Row],[Complexidade]],Auxiliar!$D$4:$F$4,0))</f>
        <v>2</v>
      </c>
      <c r="P1391" s="42" t="s">
        <v>1256</v>
      </c>
      <c r="Q1391" s="151"/>
      <c r="R1391" s="151">
        <v>45261</v>
      </c>
      <c r="S1391" s="151"/>
      <c r="T1391" s="151"/>
      <c r="U1391" s="151"/>
      <c r="V1391" s="151"/>
      <c r="W1391" s="2">
        <f>VLOOKUP(Table1[[#This Row],[Status]],Auxiliar!$B$16:$D$24,3,0)*Table1[[#This Row],[Estimação (horas)]]</f>
        <v>2</v>
      </c>
      <c r="X1391" s="165">
        <f>+VLOOKUP(CONCATENATE(Table1[[#This Row],[Tabela]],Table1[[#This Row],[Campo]]),'2. Status Detalhe Campos FY24'!A:J,9,FALSE)</f>
        <v>0</v>
      </c>
      <c r="Y1391" s="491" t="e">
        <f>+VLOOKUP(A1391,#REF!,1,FALSE)</f>
        <v>#REF!</v>
      </c>
    </row>
    <row r="1392" spans="1:25" ht="17.899999999999999" hidden="1" customHeight="1">
      <c r="A1392" t="str">
        <f>+Table1[[#This Row],[Tabela]]&amp;Table1[[#This Row],[Campo]]</f>
        <v>lt826_esg_sbsctrcontraparte</v>
      </c>
      <c r="B1392" s="38" t="s">
        <v>26</v>
      </c>
      <c r="C1392" s="38" t="s">
        <v>26</v>
      </c>
      <c r="D1392" s="2" t="s">
        <v>38</v>
      </c>
      <c r="E1392" s="38" t="s">
        <v>38</v>
      </c>
      <c r="F1392" s="38" t="s">
        <v>392</v>
      </c>
      <c r="G1392" s="38" t="s">
        <v>394</v>
      </c>
      <c r="H1392" s="58" t="str">
        <f>Table1[[#This Row],[Tabela]]&amp;Table1[[#This Row],[Campo]]</f>
        <v>lt826_esg_sbsctrcontraparte</v>
      </c>
      <c r="I1392" s="2" t="s">
        <v>612</v>
      </c>
      <c r="J1392" s="44">
        <f>VLOOKUP(Table1[[#This Row],[Status]],Auxiliar!$B$16:$C$24,2,0)</f>
        <v>1</v>
      </c>
      <c r="K1392" s="44" t="s">
        <v>1171</v>
      </c>
      <c r="L1392" s="45" t="s">
        <v>1174</v>
      </c>
      <c r="M1392" s="20" t="s">
        <v>1175</v>
      </c>
      <c r="N1392" s="47">
        <v>45581</v>
      </c>
      <c r="O1392" s="20">
        <f>INDEX(Auxiliar!$D$5:$F$13,MATCH(Table1[[#This Row],[Tipologia_Testes]],Auxiliar!$B$5:$B$13,0),MATCH(Table1[[#This Row],[Complexidade]],Auxiliar!$D$4:$F$4,0))</f>
        <v>0.1</v>
      </c>
      <c r="P1392" s="42" t="s">
        <v>1256</v>
      </c>
      <c r="Q1392" s="151"/>
      <c r="R1392" s="151">
        <v>45261</v>
      </c>
      <c r="S1392" s="151"/>
      <c r="T1392" s="151"/>
      <c r="U1392" s="151"/>
      <c r="V1392" s="151"/>
      <c r="W1392" s="2">
        <f>VLOOKUP(Table1[[#This Row],[Status]],Auxiliar!$B$16:$D$24,3,0)*Table1[[#This Row],[Estimação (horas)]]</f>
        <v>0.1</v>
      </c>
      <c r="X1392" s="165">
        <f>+VLOOKUP(CONCATENATE(Table1[[#This Row],[Tabela]],Table1[[#This Row],[Campo]]),'2. Status Detalhe Campos FY24'!A:J,9,FALSE)</f>
        <v>0</v>
      </c>
      <c r="Y1392" s="491" t="e">
        <f>+VLOOKUP(A1392,#REF!,1,FALSE)</f>
        <v>#REF!</v>
      </c>
    </row>
    <row r="1393" spans="1:25" ht="17.899999999999999" hidden="1" customHeight="1">
      <c r="A1393" t="str">
        <f>+Table1[[#This Row],[Tabela]]&amp;Table1[[#This Row],[Campo]]</f>
        <v>lt826_esg_sbsctrcnatureza_juri</v>
      </c>
      <c r="B1393" s="38" t="s">
        <v>26</v>
      </c>
      <c r="C1393" s="38" t="s">
        <v>26</v>
      </c>
      <c r="D1393" s="2" t="s">
        <v>38</v>
      </c>
      <c r="E1393" s="39" t="s">
        <v>38</v>
      </c>
      <c r="F1393" s="39" t="s">
        <v>392</v>
      </c>
      <c r="G1393" s="37" t="s">
        <v>395</v>
      </c>
      <c r="H1393" s="59" t="str">
        <f>Table1[[#This Row],[Tabela]]&amp;Table1[[#This Row],[Campo]]</f>
        <v>lt826_esg_sbsctrcnatureza_juri</v>
      </c>
      <c r="I1393" s="2" t="s">
        <v>612</v>
      </c>
      <c r="J1393" s="44">
        <f>VLOOKUP(Table1[[#This Row],[Status]],Auxiliar!$B$16:$C$24,2,0)</f>
        <v>1</v>
      </c>
      <c r="K1393" s="44" t="s">
        <v>1168</v>
      </c>
      <c r="L1393" s="45" t="s">
        <v>1174</v>
      </c>
      <c r="M1393" s="20" t="s">
        <v>1175</v>
      </c>
      <c r="N1393" s="47">
        <v>45581</v>
      </c>
      <c r="O1393" s="20">
        <f>INDEX(Auxiliar!$D$5:$F$13,MATCH(Table1[[#This Row],[Tipologia_Testes]],Auxiliar!$B$5:$B$13,0),MATCH(Table1[[#This Row],[Complexidade]],Auxiliar!$D$4:$F$4,0))</f>
        <v>2</v>
      </c>
      <c r="P1393" s="42" t="s">
        <v>1256</v>
      </c>
      <c r="Q1393" s="151"/>
      <c r="R1393" s="151">
        <v>45261</v>
      </c>
      <c r="S1393" s="151"/>
      <c r="T1393" s="151"/>
      <c r="U1393" s="151"/>
      <c r="V1393" s="151"/>
      <c r="W1393" s="2">
        <f>VLOOKUP(Table1[[#This Row],[Status]],Auxiliar!$B$16:$D$24,3,0)*Table1[[#This Row],[Estimação (horas)]]</f>
        <v>2</v>
      </c>
      <c r="X1393" s="165">
        <f>+VLOOKUP(CONCATENATE(Table1[[#This Row],[Tabela]],Table1[[#This Row],[Campo]]),'2. Status Detalhe Campos FY24'!A:J,9,FALSE)</f>
        <v>0</v>
      </c>
      <c r="Y1393" s="491" t="e">
        <f>+VLOOKUP(A1393,#REF!,1,FALSE)</f>
        <v>#REF!</v>
      </c>
    </row>
    <row r="1394" spans="1:25" ht="17.899999999999999" hidden="1" customHeight="1">
      <c r="A1394" t="str">
        <f>+Table1[[#This Row],[Tabela]]&amp;Table1[[#This Row],[Campo]]</f>
        <v>lt826_esg_sbsctrcnatureza_juri</v>
      </c>
      <c r="B1394" s="38" t="s">
        <v>26</v>
      </c>
      <c r="C1394" s="38" t="s">
        <v>26</v>
      </c>
      <c r="D1394" s="2" t="s">
        <v>38</v>
      </c>
      <c r="E1394" s="38" t="s">
        <v>38</v>
      </c>
      <c r="F1394" s="38" t="s">
        <v>392</v>
      </c>
      <c r="G1394" s="38" t="s">
        <v>395</v>
      </c>
      <c r="H1394" s="58" t="str">
        <f>Table1[[#This Row],[Tabela]]&amp;Table1[[#This Row],[Campo]]</f>
        <v>lt826_esg_sbsctrcnatureza_juri</v>
      </c>
      <c r="I1394" s="2" t="s">
        <v>612</v>
      </c>
      <c r="J1394" s="44">
        <f>VLOOKUP(Table1[[#This Row],[Status]],Auxiliar!$B$16:$C$24,2,0)</f>
        <v>1</v>
      </c>
      <c r="K1394" s="44" t="s">
        <v>1169</v>
      </c>
      <c r="L1394" s="45" t="s">
        <v>1174</v>
      </c>
      <c r="M1394" s="20" t="s">
        <v>1175</v>
      </c>
      <c r="N1394" s="47">
        <v>45581</v>
      </c>
      <c r="O1394" s="20">
        <f>INDEX(Auxiliar!$D$5:$F$13,MATCH(Table1[[#This Row],[Tipologia_Testes]],Auxiliar!$B$5:$B$13,0),MATCH(Table1[[#This Row],[Complexidade]],Auxiliar!$D$4:$F$4,0))</f>
        <v>2</v>
      </c>
      <c r="P1394" s="42" t="s">
        <v>1256</v>
      </c>
      <c r="Q1394" s="151"/>
      <c r="R1394" s="151">
        <v>45261</v>
      </c>
      <c r="S1394" s="151"/>
      <c r="T1394" s="151"/>
      <c r="U1394" s="151"/>
      <c r="V1394" s="151"/>
      <c r="W1394" s="2">
        <f>VLOOKUP(Table1[[#This Row],[Status]],Auxiliar!$B$16:$D$24,3,0)*Table1[[#This Row],[Estimação (horas)]]</f>
        <v>2</v>
      </c>
      <c r="X1394" s="165">
        <f>+VLOOKUP(CONCATENATE(Table1[[#This Row],[Tabela]],Table1[[#This Row],[Campo]]),'2. Status Detalhe Campos FY24'!A:J,9,FALSE)</f>
        <v>0</v>
      </c>
      <c r="Y1394" s="491" t="e">
        <f>+VLOOKUP(A1394,#REF!,1,FALSE)</f>
        <v>#REF!</v>
      </c>
    </row>
    <row r="1395" spans="1:25" ht="17.899999999999999" hidden="1" customHeight="1">
      <c r="A1395" t="str">
        <f>+Table1[[#This Row],[Tabela]]&amp;Table1[[#This Row],[Campo]]</f>
        <v>lt826_esg_sbsctrcnatureza_juri</v>
      </c>
      <c r="B1395" s="38" t="s">
        <v>26</v>
      </c>
      <c r="C1395" s="38" t="s">
        <v>26</v>
      </c>
      <c r="D1395" s="2" t="s">
        <v>38</v>
      </c>
      <c r="E1395" s="38" t="s">
        <v>38</v>
      </c>
      <c r="F1395" s="38" t="s">
        <v>392</v>
      </c>
      <c r="G1395" s="38" t="s">
        <v>395</v>
      </c>
      <c r="H1395" s="58" t="str">
        <f>Table1[[#This Row],[Tabela]]&amp;Table1[[#This Row],[Campo]]</f>
        <v>lt826_esg_sbsctrcnatureza_juri</v>
      </c>
      <c r="I1395" s="2" t="s">
        <v>612</v>
      </c>
      <c r="J1395" s="44">
        <f>VLOOKUP(Table1[[#This Row],[Status]],Auxiliar!$B$16:$C$24,2,0)</f>
        <v>1</v>
      </c>
      <c r="K1395" s="44" t="s">
        <v>1171</v>
      </c>
      <c r="L1395" s="45" t="s">
        <v>1174</v>
      </c>
      <c r="M1395" s="20" t="s">
        <v>1175</v>
      </c>
      <c r="N1395" s="47">
        <v>45581</v>
      </c>
      <c r="O1395" s="20">
        <f>INDEX(Auxiliar!$D$5:$F$13,MATCH(Table1[[#This Row],[Tipologia_Testes]],Auxiliar!$B$5:$B$13,0),MATCH(Table1[[#This Row],[Complexidade]],Auxiliar!$D$4:$F$4,0))</f>
        <v>0.1</v>
      </c>
      <c r="P1395" s="42" t="s">
        <v>1256</v>
      </c>
      <c r="Q1395" s="151"/>
      <c r="R1395" s="151">
        <v>45261</v>
      </c>
      <c r="S1395" s="151"/>
      <c r="T1395" s="151"/>
      <c r="U1395" s="151"/>
      <c r="V1395" s="151"/>
      <c r="W1395" s="2">
        <f>VLOOKUP(Table1[[#This Row],[Status]],Auxiliar!$B$16:$D$24,3,0)*Table1[[#This Row],[Estimação (horas)]]</f>
        <v>0.1</v>
      </c>
      <c r="X1395" s="165">
        <f>+VLOOKUP(CONCATENATE(Table1[[#This Row],[Tabela]],Table1[[#This Row],[Campo]]),'2. Status Detalhe Campos FY24'!A:J,9,FALSE)</f>
        <v>0</v>
      </c>
      <c r="Y1395" s="491" t="e">
        <f>+VLOOKUP(A1395,#REF!,1,FALSE)</f>
        <v>#REF!</v>
      </c>
    </row>
    <row r="1396" spans="1:25" ht="17.899999999999999" hidden="1" customHeight="1">
      <c r="A1396" t="str">
        <f>+Table1[[#This Row],[Tabela]]&amp;Table1[[#This Row],[Campo]]</f>
        <v>lt826_esg_sbsctridcomb</v>
      </c>
      <c r="B1396" s="38" t="s">
        <v>26</v>
      </c>
      <c r="C1396" s="38" t="s">
        <v>26</v>
      </c>
      <c r="D1396" s="2" t="s">
        <v>38</v>
      </c>
      <c r="E1396" s="39" t="s">
        <v>38</v>
      </c>
      <c r="F1396" s="39" t="s">
        <v>392</v>
      </c>
      <c r="G1396" s="37" t="s">
        <v>396</v>
      </c>
      <c r="H1396" s="59" t="str">
        <f>Table1[[#This Row],[Tabela]]&amp;Table1[[#This Row],[Campo]]</f>
        <v>lt826_esg_sbsctridcomb</v>
      </c>
      <c r="I1396" s="2" t="s">
        <v>612</v>
      </c>
      <c r="J1396" s="44">
        <f>VLOOKUP(Table1[[#This Row],[Status]],Auxiliar!$B$16:$C$24,2,0)</f>
        <v>1</v>
      </c>
      <c r="K1396" s="44" t="s">
        <v>1168</v>
      </c>
      <c r="L1396" s="45" t="s">
        <v>1174</v>
      </c>
      <c r="M1396" s="20" t="s">
        <v>1175</v>
      </c>
      <c r="N1396" s="47">
        <v>45581</v>
      </c>
      <c r="O1396" s="20">
        <f>INDEX(Auxiliar!$D$5:$F$13,MATCH(Table1[[#This Row],[Tipologia_Testes]],Auxiliar!$B$5:$B$13,0),MATCH(Table1[[#This Row],[Complexidade]],Auxiliar!$D$4:$F$4,0))</f>
        <v>2</v>
      </c>
      <c r="P1396" s="42" t="s">
        <v>1256</v>
      </c>
      <c r="Q1396" s="151"/>
      <c r="R1396" s="151">
        <v>45261</v>
      </c>
      <c r="S1396" s="151"/>
      <c r="T1396" s="151"/>
      <c r="U1396" s="151"/>
      <c r="V1396" s="151"/>
      <c r="W1396" s="2">
        <f>VLOOKUP(Table1[[#This Row],[Status]],Auxiliar!$B$16:$D$24,3,0)*Table1[[#This Row],[Estimação (horas)]]</f>
        <v>2</v>
      </c>
      <c r="X1396" s="165">
        <f>+VLOOKUP(CONCATENATE(Table1[[#This Row],[Tabela]],Table1[[#This Row],[Campo]]),'2. Status Detalhe Campos FY24'!A:J,9,FALSE)</f>
        <v>0</v>
      </c>
      <c r="Y1396" s="491" t="e">
        <f>+VLOOKUP(A1396,#REF!,1,FALSE)</f>
        <v>#REF!</v>
      </c>
    </row>
    <row r="1397" spans="1:25" ht="17.899999999999999" hidden="1" customHeight="1">
      <c r="A1397" t="str">
        <f>+Table1[[#This Row],[Tabela]]&amp;Table1[[#This Row],[Campo]]</f>
        <v>lt826_esg_sbsctridcomb</v>
      </c>
      <c r="B1397" s="38" t="s">
        <v>26</v>
      </c>
      <c r="C1397" s="38" t="s">
        <v>26</v>
      </c>
      <c r="D1397" s="2" t="s">
        <v>38</v>
      </c>
      <c r="E1397" s="38" t="s">
        <v>38</v>
      </c>
      <c r="F1397" s="38" t="s">
        <v>392</v>
      </c>
      <c r="G1397" s="38" t="s">
        <v>396</v>
      </c>
      <c r="H1397" s="58" t="str">
        <f>Table1[[#This Row],[Tabela]]&amp;Table1[[#This Row],[Campo]]</f>
        <v>lt826_esg_sbsctridcomb</v>
      </c>
      <c r="I1397" s="2" t="s">
        <v>612</v>
      </c>
      <c r="J1397" s="44">
        <f>VLOOKUP(Table1[[#This Row],[Status]],Auxiliar!$B$16:$C$24,2,0)</f>
        <v>1</v>
      </c>
      <c r="K1397" s="44" t="s">
        <v>1169</v>
      </c>
      <c r="L1397" s="45" t="s">
        <v>1174</v>
      </c>
      <c r="M1397" s="20" t="s">
        <v>1175</v>
      </c>
      <c r="N1397" s="47">
        <v>45581</v>
      </c>
      <c r="O1397" s="20">
        <f>INDEX(Auxiliar!$D$5:$F$13,MATCH(Table1[[#This Row],[Tipologia_Testes]],Auxiliar!$B$5:$B$13,0),MATCH(Table1[[#This Row],[Complexidade]],Auxiliar!$D$4:$F$4,0))</f>
        <v>2</v>
      </c>
      <c r="P1397" s="42" t="s">
        <v>1256</v>
      </c>
      <c r="Q1397" s="151"/>
      <c r="R1397" s="151">
        <v>45261</v>
      </c>
      <c r="S1397" s="151"/>
      <c r="T1397" s="151"/>
      <c r="U1397" s="151"/>
      <c r="V1397" s="151"/>
      <c r="W1397" s="2">
        <f>VLOOKUP(Table1[[#This Row],[Status]],Auxiliar!$B$16:$D$24,3,0)*Table1[[#This Row],[Estimação (horas)]]</f>
        <v>2</v>
      </c>
      <c r="X1397" s="165">
        <f>+VLOOKUP(CONCATENATE(Table1[[#This Row],[Tabela]],Table1[[#This Row],[Campo]]),'2. Status Detalhe Campos FY24'!A:J,9,FALSE)</f>
        <v>0</v>
      </c>
      <c r="Y1397" s="491" t="e">
        <f>+VLOOKUP(A1397,#REF!,1,FALSE)</f>
        <v>#REF!</v>
      </c>
    </row>
    <row r="1398" spans="1:25" ht="17.899999999999999" hidden="1" customHeight="1">
      <c r="A1398" t="str">
        <f>+Table1[[#This Row],[Tabela]]&amp;Table1[[#This Row],[Campo]]</f>
        <v>lt826_esg_sbsctridcomb</v>
      </c>
      <c r="B1398" s="38" t="s">
        <v>26</v>
      </c>
      <c r="C1398" s="38" t="s">
        <v>26</v>
      </c>
      <c r="D1398" s="2" t="s">
        <v>38</v>
      </c>
      <c r="E1398" s="38" t="s">
        <v>38</v>
      </c>
      <c r="F1398" s="38" t="s">
        <v>392</v>
      </c>
      <c r="G1398" s="38" t="s">
        <v>396</v>
      </c>
      <c r="H1398" s="58" t="str">
        <f>Table1[[#This Row],[Tabela]]&amp;Table1[[#This Row],[Campo]]</f>
        <v>lt826_esg_sbsctridcomb</v>
      </c>
      <c r="I1398" s="2" t="s">
        <v>612</v>
      </c>
      <c r="J1398" s="44">
        <f>VLOOKUP(Table1[[#This Row],[Status]],Auxiliar!$B$16:$C$24,2,0)</f>
        <v>1</v>
      </c>
      <c r="K1398" s="44" t="s">
        <v>1171</v>
      </c>
      <c r="L1398" s="45" t="s">
        <v>1174</v>
      </c>
      <c r="M1398" s="20" t="s">
        <v>1175</v>
      </c>
      <c r="N1398" s="47">
        <v>45581</v>
      </c>
      <c r="O1398" s="20">
        <f>INDEX(Auxiliar!$D$5:$F$13,MATCH(Table1[[#This Row],[Tipologia_Testes]],Auxiliar!$B$5:$B$13,0),MATCH(Table1[[#This Row],[Complexidade]],Auxiliar!$D$4:$F$4,0))</f>
        <v>0.1</v>
      </c>
      <c r="P1398" s="42" t="s">
        <v>1256</v>
      </c>
      <c r="Q1398" s="151"/>
      <c r="R1398" s="151">
        <v>45261</v>
      </c>
      <c r="S1398" s="151"/>
      <c r="T1398" s="151"/>
      <c r="U1398" s="151"/>
      <c r="V1398" s="151"/>
      <c r="W1398" s="2">
        <f>VLOOKUP(Table1[[#This Row],[Status]],Auxiliar!$B$16:$D$24,3,0)*Table1[[#This Row],[Estimação (horas)]]</f>
        <v>0.1</v>
      </c>
      <c r="X1398" s="165">
        <f>+VLOOKUP(CONCATENATE(Table1[[#This Row],[Tabela]],Table1[[#This Row],[Campo]]),'2. Status Detalhe Campos FY24'!A:J,9,FALSE)</f>
        <v>0</v>
      </c>
      <c r="Y1398" s="491" t="e">
        <f>+VLOOKUP(A1398,#REF!,1,FALSE)</f>
        <v>#REF!</v>
      </c>
    </row>
    <row r="1399" spans="1:25" ht="17.899999999999999" hidden="1" customHeight="1">
      <c r="A1399" t="str">
        <f>+Table1[[#This Row],[Tabela]]&amp;Table1[[#This Row],[Campo]]</f>
        <v>lt826_esg_sbsctresg_sbsctr</v>
      </c>
      <c r="B1399" s="38" t="s">
        <v>26</v>
      </c>
      <c r="C1399" s="38" t="s">
        <v>26</v>
      </c>
      <c r="D1399" s="2" t="s">
        <v>38</v>
      </c>
      <c r="E1399" s="39" t="s">
        <v>38</v>
      </c>
      <c r="F1399" s="39" t="s">
        <v>392</v>
      </c>
      <c r="G1399" s="37" t="s">
        <v>360</v>
      </c>
      <c r="H1399" s="59" t="str">
        <f>Table1[[#This Row],[Tabela]]&amp;Table1[[#This Row],[Campo]]</f>
        <v>lt826_esg_sbsctresg_sbsctr</v>
      </c>
      <c r="I1399" s="2" t="s">
        <v>612</v>
      </c>
      <c r="J1399" s="44">
        <f>VLOOKUP(Table1[[#This Row],[Status]],Auxiliar!$B$16:$C$24,2,0)</f>
        <v>1</v>
      </c>
      <c r="K1399" s="44" t="s">
        <v>1168</v>
      </c>
      <c r="L1399" s="45" t="s">
        <v>1174</v>
      </c>
      <c r="M1399" s="20" t="s">
        <v>1175</v>
      </c>
      <c r="N1399" s="47">
        <v>45581</v>
      </c>
      <c r="O1399" s="20">
        <f>INDEX(Auxiliar!$D$5:$F$13,MATCH(Table1[[#This Row],[Tipologia_Testes]],Auxiliar!$B$5:$B$13,0),MATCH(Table1[[#This Row],[Complexidade]],Auxiliar!$D$4:$F$4,0))</f>
        <v>2</v>
      </c>
      <c r="P1399" s="42" t="s">
        <v>1256</v>
      </c>
      <c r="Q1399" s="151"/>
      <c r="R1399" s="151">
        <v>45261</v>
      </c>
      <c r="S1399" s="151"/>
      <c r="T1399" s="151"/>
      <c r="U1399" s="151"/>
      <c r="V1399" s="151"/>
      <c r="W1399" s="2">
        <f>VLOOKUP(Table1[[#This Row],[Status]],Auxiliar!$B$16:$D$24,3,0)*Table1[[#This Row],[Estimação (horas)]]</f>
        <v>2</v>
      </c>
      <c r="X1399" s="165">
        <f>+VLOOKUP(CONCATENATE(Table1[[#This Row],[Tabela]],Table1[[#This Row],[Campo]]),'2. Status Detalhe Campos FY24'!A:J,9,FALSE)</f>
        <v>0</v>
      </c>
      <c r="Y1399" s="491" t="e">
        <f>+VLOOKUP(A1399,#REF!,1,FALSE)</f>
        <v>#REF!</v>
      </c>
    </row>
    <row r="1400" spans="1:25" ht="17.899999999999999" hidden="1" customHeight="1">
      <c r="A1400" t="str">
        <f>+Table1[[#This Row],[Tabela]]&amp;Table1[[#This Row],[Campo]]</f>
        <v>lt826_esg_sbsctresg_sbsctr</v>
      </c>
      <c r="B1400" s="38" t="s">
        <v>26</v>
      </c>
      <c r="C1400" s="38" t="s">
        <v>26</v>
      </c>
      <c r="D1400" s="2" t="s">
        <v>38</v>
      </c>
      <c r="E1400" s="38" t="s">
        <v>38</v>
      </c>
      <c r="F1400" s="38" t="s">
        <v>392</v>
      </c>
      <c r="G1400" s="38" t="s">
        <v>360</v>
      </c>
      <c r="H1400" s="58" t="str">
        <f>Table1[[#This Row],[Tabela]]&amp;Table1[[#This Row],[Campo]]</f>
        <v>lt826_esg_sbsctresg_sbsctr</v>
      </c>
      <c r="I1400" s="2" t="s">
        <v>612</v>
      </c>
      <c r="J1400" s="44">
        <f>VLOOKUP(Table1[[#This Row],[Status]],Auxiliar!$B$16:$C$24,2,0)</f>
        <v>1</v>
      </c>
      <c r="K1400" s="44" t="s">
        <v>1169</v>
      </c>
      <c r="L1400" s="45" t="s">
        <v>1174</v>
      </c>
      <c r="M1400" s="20" t="s">
        <v>1175</v>
      </c>
      <c r="N1400" s="47">
        <v>45581</v>
      </c>
      <c r="O1400" s="20">
        <f>INDEX(Auxiliar!$D$5:$F$13,MATCH(Table1[[#This Row],[Tipologia_Testes]],Auxiliar!$B$5:$B$13,0),MATCH(Table1[[#This Row],[Complexidade]],Auxiliar!$D$4:$F$4,0))</f>
        <v>2</v>
      </c>
      <c r="P1400" s="42" t="s">
        <v>1256</v>
      </c>
      <c r="Q1400" s="151"/>
      <c r="R1400" s="151">
        <v>45261</v>
      </c>
      <c r="S1400" s="151"/>
      <c r="T1400" s="151"/>
      <c r="U1400" s="151"/>
      <c r="V1400" s="151"/>
      <c r="W1400" s="2">
        <f>VLOOKUP(Table1[[#This Row],[Status]],Auxiliar!$B$16:$D$24,3,0)*Table1[[#This Row],[Estimação (horas)]]</f>
        <v>2</v>
      </c>
      <c r="X1400" s="165">
        <f>+VLOOKUP(CONCATENATE(Table1[[#This Row],[Tabela]],Table1[[#This Row],[Campo]]),'2. Status Detalhe Campos FY24'!A:J,9,FALSE)</f>
        <v>0</v>
      </c>
      <c r="Y1400" s="491" t="e">
        <f>+VLOOKUP(A1400,#REF!,1,FALSE)</f>
        <v>#REF!</v>
      </c>
    </row>
    <row r="1401" spans="1:25" ht="17.899999999999999" hidden="1" customHeight="1">
      <c r="A1401" t="str">
        <f>+Table1[[#This Row],[Tabela]]&amp;Table1[[#This Row],[Campo]]</f>
        <v>lt826_esg_sbsctresg_sbsctr</v>
      </c>
      <c r="B1401" s="38" t="s">
        <v>26</v>
      </c>
      <c r="C1401" s="38" t="s">
        <v>26</v>
      </c>
      <c r="D1401" s="2" t="s">
        <v>38</v>
      </c>
      <c r="E1401" s="38" t="s">
        <v>38</v>
      </c>
      <c r="F1401" s="38" t="s">
        <v>392</v>
      </c>
      <c r="G1401" s="38" t="s">
        <v>360</v>
      </c>
      <c r="H1401" s="58" t="str">
        <f>Table1[[#This Row],[Tabela]]&amp;Table1[[#This Row],[Campo]]</f>
        <v>lt826_esg_sbsctresg_sbsctr</v>
      </c>
      <c r="I1401" s="2" t="s">
        <v>612</v>
      </c>
      <c r="J1401" s="44">
        <f>VLOOKUP(Table1[[#This Row],[Status]],Auxiliar!$B$16:$C$24,2,0)</f>
        <v>1</v>
      </c>
      <c r="K1401" s="44" t="s">
        <v>1171</v>
      </c>
      <c r="L1401" s="45" t="s">
        <v>1174</v>
      </c>
      <c r="M1401" s="20" t="s">
        <v>1175</v>
      </c>
      <c r="N1401" s="47">
        <v>45581</v>
      </c>
      <c r="O1401" s="20">
        <f>INDEX(Auxiliar!$D$5:$F$13,MATCH(Table1[[#This Row],[Tipologia_Testes]],Auxiliar!$B$5:$B$13,0),MATCH(Table1[[#This Row],[Complexidade]],Auxiliar!$D$4:$F$4,0))</f>
        <v>0.1</v>
      </c>
      <c r="P1401" s="42" t="s">
        <v>1256</v>
      </c>
      <c r="Q1401" s="151"/>
      <c r="R1401" s="151">
        <v>45261</v>
      </c>
      <c r="S1401" s="151"/>
      <c r="T1401" s="151"/>
      <c r="U1401" s="151"/>
      <c r="V1401" s="151"/>
      <c r="W1401" s="2">
        <f>VLOOKUP(Table1[[#This Row],[Status]],Auxiliar!$B$16:$D$24,3,0)*Table1[[#This Row],[Estimação (horas)]]</f>
        <v>0.1</v>
      </c>
      <c r="X1401" s="165">
        <f>+VLOOKUP(CONCATENATE(Table1[[#This Row],[Tabela]],Table1[[#This Row],[Campo]]),'2. Status Detalhe Campos FY24'!A:J,9,FALSE)</f>
        <v>0</v>
      </c>
      <c r="Y1401" s="491" t="e">
        <f>+VLOOKUP(A1401,#REF!,1,FALSE)</f>
        <v>#REF!</v>
      </c>
    </row>
    <row r="1402" spans="1:25" ht="17.899999999999999" hidden="1" customHeight="1">
      <c r="A1402" t="str">
        <f>+Table1[[#This Row],[Tabela]]&amp;Table1[[#This Row],[Campo]]</f>
        <v>lt826_esg_sbsctrdescrição</v>
      </c>
      <c r="B1402" s="38" t="s">
        <v>26</v>
      </c>
      <c r="C1402" s="38" t="s">
        <v>26</v>
      </c>
      <c r="D1402" s="2" t="s">
        <v>38</v>
      </c>
      <c r="E1402" s="39" t="s">
        <v>38</v>
      </c>
      <c r="F1402" s="39" t="s">
        <v>392</v>
      </c>
      <c r="G1402" s="37" t="s">
        <v>397</v>
      </c>
      <c r="H1402" s="59" t="str">
        <f>Table1[[#This Row],[Tabela]]&amp;Table1[[#This Row],[Campo]]</f>
        <v>lt826_esg_sbsctrdescrição</v>
      </c>
      <c r="I1402" s="2" t="s">
        <v>612</v>
      </c>
      <c r="J1402" s="44">
        <f>VLOOKUP(Table1[[#This Row],[Status]],Auxiliar!$B$16:$C$24,2,0)</f>
        <v>1</v>
      </c>
      <c r="K1402" s="44" t="s">
        <v>1168</v>
      </c>
      <c r="L1402" s="45" t="s">
        <v>1174</v>
      </c>
      <c r="M1402" s="20" t="s">
        <v>1175</v>
      </c>
      <c r="N1402" s="47">
        <v>45581</v>
      </c>
      <c r="O1402" s="20">
        <f>INDEX(Auxiliar!$D$5:$F$13,MATCH(Table1[[#This Row],[Tipologia_Testes]],Auxiliar!$B$5:$B$13,0),MATCH(Table1[[#This Row],[Complexidade]],Auxiliar!$D$4:$F$4,0))</f>
        <v>2</v>
      </c>
      <c r="P1402" s="42" t="s">
        <v>1256</v>
      </c>
      <c r="Q1402" s="151"/>
      <c r="R1402" s="151">
        <v>45261</v>
      </c>
      <c r="S1402" s="151"/>
      <c r="T1402" s="151"/>
      <c r="U1402" s="151"/>
      <c r="V1402" s="151"/>
      <c r="W1402" s="2">
        <f>VLOOKUP(Table1[[#This Row],[Status]],Auxiliar!$B$16:$D$24,3,0)*Table1[[#This Row],[Estimação (horas)]]</f>
        <v>2</v>
      </c>
      <c r="X1402" s="165">
        <f>+VLOOKUP(CONCATENATE(Table1[[#This Row],[Tabela]],Table1[[#This Row],[Campo]]),'2. Status Detalhe Campos FY24'!A:J,9,FALSE)</f>
        <v>0</v>
      </c>
      <c r="Y1402" s="491" t="e">
        <f>+VLOOKUP(A1402,#REF!,1,FALSE)</f>
        <v>#REF!</v>
      </c>
    </row>
    <row r="1403" spans="1:25" ht="17.899999999999999" hidden="1" customHeight="1">
      <c r="A1403" t="str">
        <f>+Table1[[#This Row],[Tabela]]&amp;Table1[[#This Row],[Campo]]</f>
        <v>lt826_esg_sbsctrdescrição</v>
      </c>
      <c r="B1403" s="38" t="s">
        <v>26</v>
      </c>
      <c r="C1403" s="38" t="s">
        <v>26</v>
      </c>
      <c r="D1403" s="2" t="s">
        <v>38</v>
      </c>
      <c r="E1403" s="111" t="s">
        <v>38</v>
      </c>
      <c r="F1403" s="38" t="s">
        <v>392</v>
      </c>
      <c r="G1403" s="38" t="s">
        <v>397</v>
      </c>
      <c r="H1403" s="58" t="str">
        <f>Table1[[#This Row],[Tabela]]&amp;Table1[[#This Row],[Campo]]</f>
        <v>lt826_esg_sbsctrdescrição</v>
      </c>
      <c r="I1403" s="2" t="s">
        <v>612</v>
      </c>
      <c r="J1403" s="44">
        <f>VLOOKUP(Table1[[#This Row],[Status]],Auxiliar!$B$16:$C$24,2,0)</f>
        <v>1</v>
      </c>
      <c r="K1403" s="44" t="s">
        <v>1169</v>
      </c>
      <c r="L1403" s="45" t="s">
        <v>1174</v>
      </c>
      <c r="M1403" s="20" t="s">
        <v>1175</v>
      </c>
      <c r="N1403" s="47">
        <v>45581</v>
      </c>
      <c r="O1403" s="20">
        <f>INDEX(Auxiliar!$D$5:$F$13,MATCH(Table1[[#This Row],[Tipologia_Testes]],Auxiliar!$B$5:$B$13,0),MATCH(Table1[[#This Row],[Complexidade]],Auxiliar!$D$4:$F$4,0))</f>
        <v>2</v>
      </c>
      <c r="P1403" s="42" t="s">
        <v>1256</v>
      </c>
      <c r="Q1403" s="151"/>
      <c r="R1403" s="151">
        <v>45261</v>
      </c>
      <c r="S1403" s="151"/>
      <c r="T1403" s="151"/>
      <c r="U1403" s="151"/>
      <c r="V1403" s="151"/>
      <c r="W1403" s="2">
        <f>VLOOKUP(Table1[[#This Row],[Status]],Auxiliar!$B$16:$D$24,3,0)*Table1[[#This Row],[Estimação (horas)]]</f>
        <v>2</v>
      </c>
      <c r="X1403" s="165">
        <f>+VLOOKUP(CONCATENATE(Table1[[#This Row],[Tabela]],Table1[[#This Row],[Campo]]),'2. Status Detalhe Campos FY24'!A:J,9,FALSE)</f>
        <v>0</v>
      </c>
      <c r="Y1403" s="491" t="e">
        <f>+VLOOKUP(A1403,#REF!,1,FALSE)</f>
        <v>#REF!</v>
      </c>
    </row>
    <row r="1404" spans="1:25" ht="17.899999999999999" hidden="1" customHeight="1">
      <c r="A1404" t="str">
        <f>+Table1[[#This Row],[Tabela]]&amp;Table1[[#This Row],[Campo]]</f>
        <v>lt826_esg_sbsctrdescrição</v>
      </c>
      <c r="B1404" s="38" t="s">
        <v>26</v>
      </c>
      <c r="C1404" s="38" t="s">
        <v>26</v>
      </c>
      <c r="D1404" s="2" t="s">
        <v>38</v>
      </c>
      <c r="E1404" s="111" t="s">
        <v>38</v>
      </c>
      <c r="F1404" s="38" t="s">
        <v>392</v>
      </c>
      <c r="G1404" s="38" t="s">
        <v>397</v>
      </c>
      <c r="H1404" s="58" t="str">
        <f>Table1[[#This Row],[Tabela]]&amp;Table1[[#This Row],[Campo]]</f>
        <v>lt826_esg_sbsctrdescrição</v>
      </c>
      <c r="I1404" s="2" t="s">
        <v>612</v>
      </c>
      <c r="J1404" s="44">
        <f>VLOOKUP(Table1[[#This Row],[Status]],Auxiliar!$B$16:$C$24,2,0)</f>
        <v>1</v>
      </c>
      <c r="K1404" s="44" t="s">
        <v>1171</v>
      </c>
      <c r="L1404" s="45" t="s">
        <v>1174</v>
      </c>
      <c r="M1404" s="20" t="s">
        <v>1175</v>
      </c>
      <c r="N1404" s="47">
        <v>45581</v>
      </c>
      <c r="O1404" s="20">
        <f>INDEX(Auxiliar!$D$5:$F$13,MATCH(Table1[[#This Row],[Tipologia_Testes]],Auxiliar!$B$5:$B$13,0),MATCH(Table1[[#This Row],[Complexidade]],Auxiliar!$D$4:$F$4,0))</f>
        <v>0.1</v>
      </c>
      <c r="P1404" s="42" t="s">
        <v>1256</v>
      </c>
      <c r="Q1404" s="151"/>
      <c r="R1404" s="151">
        <v>45261</v>
      </c>
      <c r="S1404" s="151"/>
      <c r="T1404" s="151"/>
      <c r="U1404" s="151"/>
      <c r="V1404" s="151"/>
      <c r="W1404" s="2">
        <f>VLOOKUP(Table1[[#This Row],[Status]],Auxiliar!$B$16:$D$24,3,0)*Table1[[#This Row],[Estimação (horas)]]</f>
        <v>0.1</v>
      </c>
      <c r="X1404" s="165">
        <f>+VLOOKUP(CONCATENATE(Table1[[#This Row],[Tabela]],Table1[[#This Row],[Campo]]),'2. Status Detalhe Campos FY24'!A:J,9,FALSE)</f>
        <v>0</v>
      </c>
      <c r="Y1404" s="491" t="e">
        <f>+VLOOKUP(A1404,#REF!,1,FALSE)</f>
        <v>#REF!</v>
      </c>
    </row>
    <row r="1405" spans="1:25" ht="17.899999999999999" hidden="1" customHeight="1">
      <c r="A1405" t="str">
        <f>+Table1[[#This Row],[Tabela]]&amp;Table1[[#This Row],[Campo]]</f>
        <v>lt002_instrumentdt_rfrnc</v>
      </c>
      <c r="B1405" s="38" t="s">
        <v>26</v>
      </c>
      <c r="C1405" s="38" t="s">
        <v>26</v>
      </c>
      <c r="D1405" s="12" t="s">
        <v>399</v>
      </c>
      <c r="E1405" s="111" t="s">
        <v>38</v>
      </c>
      <c r="F1405" s="2" t="s">
        <v>379</v>
      </c>
      <c r="G1405" s="12" t="s">
        <v>398</v>
      </c>
      <c r="H1405" s="58" t="str">
        <f>Table1[[#This Row],[Tabela]]&amp;Table1[[#This Row],[Campo]]</f>
        <v>lt002_instrumentdt_rfrnc</v>
      </c>
      <c r="I1405" s="2" t="s">
        <v>612</v>
      </c>
      <c r="J1405" s="44">
        <f>VLOOKUP(Table1[[#This Row],[Status]],Auxiliar!$B$16:$C$24,2,0)</f>
        <v>1</v>
      </c>
      <c r="K1405" s="20" t="s">
        <v>1173</v>
      </c>
      <c r="L1405" s="45" t="s">
        <v>1174</v>
      </c>
      <c r="M1405" s="20" t="s">
        <v>1175</v>
      </c>
      <c r="N1405" s="47">
        <v>45506</v>
      </c>
      <c r="O1405" s="112">
        <v>0.1</v>
      </c>
      <c r="P1405" s="2"/>
      <c r="Q1405" s="151"/>
      <c r="R1405" s="151"/>
      <c r="S1405" s="151"/>
      <c r="T1405" s="151"/>
      <c r="U1405" s="151"/>
      <c r="V1405" s="151"/>
      <c r="W1405" s="2">
        <f>VLOOKUP(Table1[[#This Row],[Status]],Auxiliar!$B$16:$D$24,3,0)*Table1[[#This Row],[Estimação (horas)]]</f>
        <v>0.1</v>
      </c>
      <c r="X1405" s="165">
        <f>+VLOOKUP(CONCATENATE(Table1[[#This Row],[Tabela]],Table1[[#This Row],[Campo]]),'2. Status Detalhe Campos FY24'!A:J,9,FALSE)</f>
        <v>0</v>
      </c>
      <c r="Y1405" s="491" t="e">
        <f>+VLOOKUP(A1405,#REF!,1,FALSE)</f>
        <v>#REF!</v>
      </c>
    </row>
    <row r="1406" spans="1:25" ht="17.899999999999999" hidden="1" customHeight="1">
      <c r="A1406" t="str">
        <f>+Table1[[#This Row],[Tabela]]&amp;Table1[[#This Row],[Campo]]</f>
        <v>lt002_instrumentinstrmnt_id</v>
      </c>
      <c r="B1406" s="38" t="s">
        <v>26</v>
      </c>
      <c r="C1406" s="38" t="s">
        <v>26</v>
      </c>
      <c r="D1406" s="12" t="s">
        <v>399</v>
      </c>
      <c r="E1406" s="111" t="s">
        <v>38</v>
      </c>
      <c r="F1406" s="2" t="s">
        <v>379</v>
      </c>
      <c r="G1406" s="12" t="s">
        <v>400</v>
      </c>
      <c r="H1406" s="58" t="str">
        <f>Table1[[#This Row],[Tabela]]&amp;Table1[[#This Row],[Campo]]</f>
        <v>lt002_instrumentinstrmnt_id</v>
      </c>
      <c r="I1406" s="2" t="s">
        <v>612</v>
      </c>
      <c r="J1406" s="44">
        <f>VLOOKUP(Table1[[#This Row],[Status]],Auxiliar!$B$16:$C$24,2,0)</f>
        <v>1</v>
      </c>
      <c r="K1406" s="20" t="s">
        <v>1173</v>
      </c>
      <c r="L1406" s="45" t="s">
        <v>1174</v>
      </c>
      <c r="M1406" s="20" t="s">
        <v>1175</v>
      </c>
      <c r="N1406" s="47">
        <v>45506</v>
      </c>
      <c r="O1406" s="112">
        <v>0.1</v>
      </c>
      <c r="P1406" s="2"/>
      <c r="Q1406" s="151"/>
      <c r="R1406" s="151"/>
      <c r="S1406" s="151"/>
      <c r="T1406" s="151"/>
      <c r="U1406" s="151"/>
      <c r="V1406" s="151"/>
      <c r="W1406" s="2">
        <f>VLOOKUP(Table1[[#This Row],[Status]],Auxiliar!$B$16:$D$24,3,0)*Table1[[#This Row],[Estimação (horas)]]</f>
        <v>0.1</v>
      </c>
      <c r="X1406" s="165">
        <f>+VLOOKUP(CONCATENATE(Table1[[#This Row],[Tabela]],Table1[[#This Row],[Campo]]),'2. Status Detalhe Campos FY24'!A:J,9,FALSE)</f>
        <v>0</v>
      </c>
      <c r="Y1406" s="491" t="e">
        <f>+VLOOKUP(A1406,#REF!,1,FALSE)</f>
        <v>#REF!</v>
      </c>
    </row>
    <row r="1407" spans="1:25" ht="17.899999999999999" hidden="1" customHeight="1">
      <c r="A1407" t="str">
        <f>+Table1[[#This Row],[Tabela]]&amp;Table1[[#This Row],[Campo]]</f>
        <v>lt002_instrumentdt_incptn</v>
      </c>
      <c r="B1407" s="38" t="s">
        <v>26</v>
      </c>
      <c r="C1407" s="38" t="s">
        <v>26</v>
      </c>
      <c r="D1407" s="12" t="s">
        <v>399</v>
      </c>
      <c r="E1407" s="111" t="s">
        <v>38</v>
      </c>
      <c r="F1407" s="2" t="s">
        <v>379</v>
      </c>
      <c r="G1407" s="12" t="s">
        <v>401</v>
      </c>
      <c r="H1407" s="58" t="str">
        <f>Table1[[#This Row],[Tabela]]&amp;Table1[[#This Row],[Campo]]</f>
        <v>lt002_instrumentdt_incptn</v>
      </c>
      <c r="I1407" s="2" t="s">
        <v>612</v>
      </c>
      <c r="J1407" s="44">
        <f>VLOOKUP(Table1[[#This Row],[Status]],Auxiliar!$B$16:$C$24,2,0)</f>
        <v>1</v>
      </c>
      <c r="K1407" s="20" t="s">
        <v>1173</v>
      </c>
      <c r="L1407" s="45" t="s">
        <v>1174</v>
      </c>
      <c r="M1407" s="20" t="s">
        <v>1175</v>
      </c>
      <c r="N1407" s="47">
        <v>45506</v>
      </c>
      <c r="O1407" s="112">
        <v>0.1</v>
      </c>
      <c r="P1407" s="2"/>
      <c r="Q1407" s="151"/>
      <c r="R1407" s="151"/>
      <c r="S1407" s="151"/>
      <c r="T1407" s="151"/>
      <c r="U1407" s="151"/>
      <c r="V1407" s="151"/>
      <c r="W1407" s="2">
        <f>VLOOKUP(Table1[[#This Row],[Status]],Auxiliar!$B$16:$D$24,3,0)*Table1[[#This Row],[Estimação (horas)]]</f>
        <v>0.1</v>
      </c>
      <c r="X1407" s="165">
        <f>+VLOOKUP(CONCATENATE(Table1[[#This Row],[Tabela]],Table1[[#This Row],[Campo]]),'2. Status Detalhe Campos FY24'!A:J,9,FALSE)</f>
        <v>0</v>
      </c>
      <c r="Y1407" s="491" t="e">
        <f>+VLOOKUP(A1407,#REF!,1,FALSE)</f>
        <v>#REF!</v>
      </c>
    </row>
    <row r="1408" spans="1:25" ht="17.899999999999999" hidden="1" customHeight="1">
      <c r="A1408" t="str">
        <f>+Table1[[#This Row],[Tabela]]&amp;Table1[[#This Row],[Campo]]</f>
        <v>lt002_instrumentdflt_stts_instrmnt</v>
      </c>
      <c r="B1408" s="38" t="s">
        <v>26</v>
      </c>
      <c r="C1408" s="38" t="s">
        <v>26</v>
      </c>
      <c r="D1408" s="12" t="s">
        <v>399</v>
      </c>
      <c r="E1408" s="111" t="s">
        <v>38</v>
      </c>
      <c r="F1408" s="2" t="s">
        <v>379</v>
      </c>
      <c r="G1408" s="12" t="s">
        <v>402</v>
      </c>
      <c r="H1408" s="58" t="str">
        <f>Table1[[#This Row],[Tabela]]&amp;Table1[[#This Row],[Campo]]</f>
        <v>lt002_instrumentdflt_stts_instrmnt</v>
      </c>
      <c r="I1408" s="2" t="s">
        <v>612</v>
      </c>
      <c r="J1408" s="44">
        <f>VLOOKUP(Table1[[#This Row],[Status]],Auxiliar!$B$16:$C$24,2,0)</f>
        <v>1</v>
      </c>
      <c r="K1408" s="20" t="s">
        <v>1173</v>
      </c>
      <c r="L1408" s="45" t="s">
        <v>1174</v>
      </c>
      <c r="M1408" s="20" t="s">
        <v>1175</v>
      </c>
      <c r="N1408" s="47">
        <v>45509</v>
      </c>
      <c r="O1408" s="112">
        <v>0.1</v>
      </c>
      <c r="P1408" s="2"/>
      <c r="Q1408" s="151"/>
      <c r="R1408" s="151"/>
      <c r="S1408" s="151"/>
      <c r="T1408" s="151"/>
      <c r="U1408" s="151"/>
      <c r="V1408" s="151"/>
      <c r="W1408" s="2">
        <f>VLOOKUP(Table1[[#This Row],[Status]],Auxiliar!$B$16:$D$24,3,0)*Table1[[#This Row],[Estimação (horas)]]</f>
        <v>0.1</v>
      </c>
      <c r="X1408" s="165">
        <f>+VLOOKUP(CONCATENATE(Table1[[#This Row],[Tabela]],Table1[[#This Row],[Campo]]),'2. Status Detalhe Campos FY24'!A:J,9,FALSE)</f>
        <v>0</v>
      </c>
      <c r="Y1408" s="491" t="e">
        <f>+VLOOKUP(A1408,#REF!,1,FALSE)</f>
        <v>#REF!</v>
      </c>
    </row>
    <row r="1409" spans="1:25" ht="17.899999999999999" hidden="1" customHeight="1">
      <c r="A1409" t="str">
        <f>+Table1[[#This Row],[Tabela]]&amp;Table1[[#This Row],[Campo]]</f>
        <v>lt002_instrumentimprmnt_stts</v>
      </c>
      <c r="B1409" s="38" t="s">
        <v>26</v>
      </c>
      <c r="C1409" s="38" t="s">
        <v>26</v>
      </c>
      <c r="D1409" s="12" t="s">
        <v>399</v>
      </c>
      <c r="E1409" s="111" t="s">
        <v>38</v>
      </c>
      <c r="F1409" s="2" t="s">
        <v>379</v>
      </c>
      <c r="G1409" s="12" t="s">
        <v>403</v>
      </c>
      <c r="H1409" s="58" t="str">
        <f>Table1[[#This Row],[Tabela]]&amp;Table1[[#This Row],[Campo]]</f>
        <v>lt002_instrumentimprmnt_stts</v>
      </c>
      <c r="I1409" s="2" t="s">
        <v>612</v>
      </c>
      <c r="J1409" s="44">
        <f>VLOOKUP(Table1[[#This Row],[Status]],Auxiliar!$B$16:$C$24,2,0)</f>
        <v>1</v>
      </c>
      <c r="K1409" s="20" t="s">
        <v>1173</v>
      </c>
      <c r="L1409" s="45" t="s">
        <v>1174</v>
      </c>
      <c r="M1409" s="20" t="s">
        <v>1175</v>
      </c>
      <c r="N1409" s="47">
        <v>45506</v>
      </c>
      <c r="O1409" s="112">
        <v>0.1</v>
      </c>
      <c r="P1409" s="2"/>
      <c r="Q1409" s="151"/>
      <c r="R1409" s="151"/>
      <c r="S1409" s="151"/>
      <c r="T1409" s="151"/>
      <c r="U1409" s="151"/>
      <c r="V1409" s="151"/>
      <c r="W1409" s="2">
        <f>VLOOKUP(Table1[[#This Row],[Status]],Auxiliar!$B$16:$D$24,3,0)*Table1[[#This Row],[Estimação (horas)]]</f>
        <v>0.1</v>
      </c>
      <c r="X1409" s="165">
        <f>+VLOOKUP(CONCATENATE(Table1[[#This Row],[Tabela]],Table1[[#This Row],[Campo]]),'2. Status Detalhe Campos FY24'!A:J,9,FALSE)</f>
        <v>0</v>
      </c>
      <c r="Y1409" s="491" t="e">
        <f>+VLOOKUP(A1409,#REF!,1,FALSE)</f>
        <v>#REF!</v>
      </c>
    </row>
    <row r="1410" spans="1:25" ht="17.899999999999999" hidden="1" customHeight="1">
      <c r="A1410" t="str">
        <f>+Table1[[#This Row],[Tabela]]&amp;Table1[[#This Row],[Campo]]</f>
        <v>lt002_instrumentprfrmng_stts</v>
      </c>
      <c r="B1410" s="38" t="s">
        <v>26</v>
      </c>
      <c r="C1410" s="38" t="s">
        <v>26</v>
      </c>
      <c r="D1410" s="12" t="s">
        <v>399</v>
      </c>
      <c r="E1410" s="111" t="s">
        <v>38</v>
      </c>
      <c r="F1410" s="2" t="s">
        <v>379</v>
      </c>
      <c r="G1410" s="12" t="s">
        <v>404</v>
      </c>
      <c r="H1410" s="58" t="str">
        <f>Table1[[#This Row],[Tabela]]&amp;Table1[[#This Row],[Campo]]</f>
        <v>lt002_instrumentprfrmng_stts</v>
      </c>
      <c r="I1410" s="2" t="s">
        <v>612</v>
      </c>
      <c r="J1410" s="44">
        <f>VLOOKUP(Table1[[#This Row],[Status]],Auxiliar!$B$16:$C$24,2,0)</f>
        <v>1</v>
      </c>
      <c r="K1410" s="20" t="s">
        <v>1173</v>
      </c>
      <c r="L1410" s="45" t="s">
        <v>1174</v>
      </c>
      <c r="M1410" s="20" t="s">
        <v>1175</v>
      </c>
      <c r="N1410" s="47">
        <v>45506</v>
      </c>
      <c r="O1410" s="112">
        <v>0.1</v>
      </c>
      <c r="P1410" s="2"/>
      <c r="Q1410" s="151"/>
      <c r="R1410" s="151"/>
      <c r="S1410" s="151"/>
      <c r="T1410" s="151"/>
      <c r="U1410" s="151"/>
      <c r="V1410" s="151"/>
      <c r="W1410" s="2">
        <f>VLOOKUP(Table1[[#This Row],[Status]],Auxiliar!$B$16:$D$24,3,0)*Table1[[#This Row],[Estimação (horas)]]</f>
        <v>0.1</v>
      </c>
      <c r="X1410" s="165">
        <f>+VLOOKUP(CONCATENATE(Table1[[#This Row],[Tabela]],Table1[[#This Row],[Campo]]),'2. Status Detalhe Campos FY24'!A:J,9,FALSE)</f>
        <v>0</v>
      </c>
      <c r="Y1410" s="491" t="e">
        <f>+VLOOKUP(A1410,#REF!,1,FALSE)</f>
        <v>#REF!</v>
      </c>
    </row>
    <row r="1411" spans="1:25" ht="17.899999999999999" hidden="1" customHeight="1">
      <c r="A1411" t="str">
        <f>+Table1[[#This Row],[Tabela]]&amp;Table1[[#This Row],[Campo]]</f>
        <v>lt002_instrumentprjct_fnnc_ln</v>
      </c>
      <c r="B1411" s="38" t="s">
        <v>26</v>
      </c>
      <c r="C1411" s="38" t="s">
        <v>26</v>
      </c>
      <c r="D1411" s="12" t="s">
        <v>399</v>
      </c>
      <c r="E1411" s="111" t="s">
        <v>38</v>
      </c>
      <c r="F1411" s="2" t="s">
        <v>379</v>
      </c>
      <c r="G1411" s="12" t="s">
        <v>405</v>
      </c>
      <c r="H1411" s="58" t="str">
        <f>Table1[[#This Row],[Tabela]]&amp;Table1[[#This Row],[Campo]]</f>
        <v>lt002_instrumentprjct_fnnc_ln</v>
      </c>
      <c r="I1411" s="2" t="s">
        <v>612</v>
      </c>
      <c r="J1411" s="44">
        <f>VLOOKUP(Table1[[#This Row],[Status]],Auxiliar!$B$16:$C$24,2,0)</f>
        <v>1</v>
      </c>
      <c r="K1411" s="20" t="s">
        <v>1173</v>
      </c>
      <c r="L1411" s="45" t="s">
        <v>1174</v>
      </c>
      <c r="M1411" s="20" t="s">
        <v>1175</v>
      </c>
      <c r="N1411" s="47">
        <v>45509</v>
      </c>
      <c r="O1411" s="112">
        <v>0.1</v>
      </c>
      <c r="P1411" s="2"/>
      <c r="Q1411" s="151"/>
      <c r="R1411" s="151"/>
      <c r="S1411" s="151"/>
      <c r="T1411" s="151"/>
      <c r="U1411" s="151"/>
      <c r="V1411" s="151"/>
      <c r="W1411" s="2">
        <f>VLOOKUP(Table1[[#This Row],[Status]],Auxiliar!$B$16:$D$24,3,0)*Table1[[#This Row],[Estimação (horas)]]</f>
        <v>0.1</v>
      </c>
      <c r="X1411" s="165">
        <f>+VLOOKUP(CONCATENATE(Table1[[#This Row],[Tabela]],Table1[[#This Row],[Campo]]),'2. Status Detalhe Campos FY24'!A:J,9,FALSE)</f>
        <v>0</v>
      </c>
      <c r="Y1411" s="491" t="e">
        <f>+VLOOKUP(A1411,#REF!,1,FALSE)</f>
        <v>#REF!</v>
      </c>
    </row>
    <row r="1412" spans="1:25" ht="17.899999999999999" hidden="1" customHeight="1">
      <c r="A1412" t="str">
        <f>+Table1[[#This Row],[Tabela]]&amp;Table1[[#This Row],[Campo]]</f>
        <v>lt002_instrumenttyp_instrmnt</v>
      </c>
      <c r="B1412" s="38" t="s">
        <v>26</v>
      </c>
      <c r="C1412" s="38" t="s">
        <v>26</v>
      </c>
      <c r="D1412" s="12" t="s">
        <v>399</v>
      </c>
      <c r="E1412" s="111" t="s">
        <v>38</v>
      </c>
      <c r="F1412" s="2" t="s">
        <v>379</v>
      </c>
      <c r="G1412" s="12" t="s">
        <v>406</v>
      </c>
      <c r="H1412" s="58" t="str">
        <f>Table1[[#This Row],[Tabela]]&amp;Table1[[#This Row],[Campo]]</f>
        <v>lt002_instrumenttyp_instrmnt</v>
      </c>
      <c r="I1412" s="2" t="s">
        <v>612</v>
      </c>
      <c r="J1412" s="44">
        <f>VLOOKUP(Table1[[#This Row],[Status]],Auxiliar!$B$16:$C$24,2,0)</f>
        <v>1</v>
      </c>
      <c r="K1412" s="20" t="s">
        <v>1173</v>
      </c>
      <c r="L1412" s="45" t="s">
        <v>1174</v>
      </c>
      <c r="M1412" s="20" t="s">
        <v>1175</v>
      </c>
      <c r="N1412" s="47">
        <v>45506</v>
      </c>
      <c r="O1412" s="112">
        <v>0.1</v>
      </c>
      <c r="P1412" s="2"/>
      <c r="Q1412" s="151"/>
      <c r="R1412" s="151"/>
      <c r="S1412" s="151"/>
      <c r="T1412" s="151"/>
      <c r="U1412" s="151"/>
      <c r="V1412" s="151"/>
      <c r="W1412" s="2">
        <f>VLOOKUP(Table1[[#This Row],[Status]],Auxiliar!$B$16:$D$24,3,0)*Table1[[#This Row],[Estimação (horas)]]</f>
        <v>0.1</v>
      </c>
      <c r="X1412" s="165">
        <f>+VLOOKUP(CONCATENATE(Table1[[#This Row],[Tabela]],Table1[[#This Row],[Campo]]),'2. Status Detalhe Campos FY24'!A:J,9,FALSE)</f>
        <v>0</v>
      </c>
      <c r="Y1412" s="491" t="e">
        <f>+VLOOKUP(A1412,#REF!,1,FALSE)</f>
        <v>#REF!</v>
      </c>
    </row>
    <row r="1413" spans="1:25" ht="17.899999999999999" hidden="1" customHeight="1">
      <c r="A1413" t="str">
        <f>+Table1[[#This Row],[Tabela]]&amp;Table1[[#This Row],[Campo]]</f>
        <v>lt002_instrumentgrss_crryng_amnt_instrmnt</v>
      </c>
      <c r="B1413" s="38" t="s">
        <v>26</v>
      </c>
      <c r="C1413" s="38" t="s">
        <v>26</v>
      </c>
      <c r="D1413" s="12" t="s">
        <v>399</v>
      </c>
      <c r="E1413" s="111" t="s">
        <v>38</v>
      </c>
      <c r="F1413" s="2" t="s">
        <v>379</v>
      </c>
      <c r="G1413" s="12" t="s">
        <v>407</v>
      </c>
      <c r="H1413" s="58" t="str">
        <f>Table1[[#This Row],[Tabela]]&amp;Table1[[#This Row],[Campo]]</f>
        <v>lt002_instrumentgrss_crryng_amnt_instrmnt</v>
      </c>
      <c r="I1413" s="2" t="s">
        <v>612</v>
      </c>
      <c r="J1413" s="44">
        <f>VLOOKUP(Table1[[#This Row],[Status]],Auxiliar!$B$16:$C$24,2,0)</f>
        <v>1</v>
      </c>
      <c r="K1413" s="20" t="s">
        <v>1173</v>
      </c>
      <c r="L1413" s="45" t="s">
        <v>1174</v>
      </c>
      <c r="M1413" s="20" t="s">
        <v>1175</v>
      </c>
      <c r="N1413" s="47">
        <v>45506</v>
      </c>
      <c r="O1413" s="112">
        <v>0.1</v>
      </c>
      <c r="P1413" s="2"/>
      <c r="Q1413" s="151"/>
      <c r="R1413" s="151"/>
      <c r="S1413" s="151"/>
      <c r="T1413" s="151"/>
      <c r="U1413" s="151">
        <v>45631</v>
      </c>
      <c r="V1413" s="151">
        <v>45631</v>
      </c>
      <c r="W1413" s="2">
        <f>VLOOKUP(Table1[[#This Row],[Status]],Auxiliar!$B$16:$D$24,3,0)*Table1[[#This Row],[Estimação (horas)]]</f>
        <v>0.1</v>
      </c>
      <c r="X1413" s="165">
        <f>+VLOOKUP(CONCATENATE(Table1[[#This Row],[Tabela]],Table1[[#This Row],[Campo]]),'2. Status Detalhe Campos FY24'!A:J,9,FALSE)</f>
        <v>0</v>
      </c>
      <c r="Y1413" s="491" t="e">
        <f>+VLOOKUP(A1413,#REF!,1,FALSE)</f>
        <v>#REF!</v>
      </c>
    </row>
    <row r="1414" spans="1:25" ht="17.899999999999999" hidden="1" customHeight="1">
      <c r="A1414" t="str">
        <f>+Table1[[#This Row],[Tabela]]&amp;Table1[[#This Row],[Campo]]</f>
        <v>lt002_instrumentaccmltd_chngs_fv_cr_instrmnt</v>
      </c>
      <c r="B1414" s="38" t="s">
        <v>26</v>
      </c>
      <c r="C1414" s="38" t="s">
        <v>26</v>
      </c>
      <c r="D1414" s="12" t="s">
        <v>399</v>
      </c>
      <c r="E1414" s="111" t="s">
        <v>38</v>
      </c>
      <c r="F1414" s="2" t="s">
        <v>379</v>
      </c>
      <c r="G1414" s="12" t="s">
        <v>408</v>
      </c>
      <c r="H1414" s="58" t="str">
        <f>Table1[[#This Row],[Tabela]]&amp;Table1[[#This Row],[Campo]]</f>
        <v>lt002_instrumentaccmltd_chngs_fv_cr_instrmnt</v>
      </c>
      <c r="I1414" s="2" t="s">
        <v>612</v>
      </c>
      <c r="J1414" s="44">
        <f>VLOOKUP(Table1[[#This Row],[Status]],Auxiliar!$B$16:$C$24,2,0)</f>
        <v>1</v>
      </c>
      <c r="K1414" s="20" t="s">
        <v>1173</v>
      </c>
      <c r="L1414" s="45" t="s">
        <v>1174</v>
      </c>
      <c r="M1414" s="20" t="s">
        <v>1175</v>
      </c>
      <c r="N1414" s="47">
        <v>45506</v>
      </c>
      <c r="O1414" s="112">
        <v>0.1</v>
      </c>
      <c r="P1414" s="2"/>
      <c r="Q1414" s="151"/>
      <c r="R1414" s="151"/>
      <c r="S1414" s="151"/>
      <c r="T1414" s="151"/>
      <c r="U1414" s="151"/>
      <c r="V1414" s="151"/>
      <c r="W1414" s="2">
        <f>VLOOKUP(Table1[[#This Row],[Status]],Auxiliar!$B$16:$D$24,3,0)*Table1[[#This Row],[Estimação (horas)]]</f>
        <v>0.1</v>
      </c>
      <c r="X1414" s="165">
        <f>+VLOOKUP(CONCATENATE(Table1[[#This Row],[Tabela]],Table1[[#This Row],[Campo]]),'2. Status Detalhe Campos FY24'!A:J,9,FALSE)</f>
        <v>0</v>
      </c>
      <c r="Y1414" s="491" t="e">
        <f>+VLOOKUP(A1414,#REF!,1,FALSE)</f>
        <v>#REF!</v>
      </c>
    </row>
    <row r="1415" spans="1:25" ht="17.899999999999999" hidden="1" customHeight="1">
      <c r="A1415" t="str">
        <f>+Table1[[#This Row],[Tabela]]&amp;Table1[[#This Row],[Campo]]</f>
        <v>lt002_instrumentaccntng_clssfctn</v>
      </c>
      <c r="B1415" s="38" t="s">
        <v>26</v>
      </c>
      <c r="C1415" s="38" t="s">
        <v>26</v>
      </c>
      <c r="D1415" s="12" t="s">
        <v>399</v>
      </c>
      <c r="E1415" s="111" t="s">
        <v>38</v>
      </c>
      <c r="F1415" s="2" t="s">
        <v>379</v>
      </c>
      <c r="G1415" s="12" t="s">
        <v>409</v>
      </c>
      <c r="H1415" s="58" t="str">
        <f>Table1[[#This Row],[Tabela]]&amp;Table1[[#This Row],[Campo]]</f>
        <v>lt002_instrumentaccntng_clssfctn</v>
      </c>
      <c r="I1415" s="2" t="s">
        <v>612</v>
      </c>
      <c r="J1415" s="44">
        <f>VLOOKUP(Table1[[#This Row],[Status]],Auxiliar!$B$16:$C$24,2,0)</f>
        <v>1</v>
      </c>
      <c r="K1415" s="20" t="s">
        <v>1173</v>
      </c>
      <c r="L1415" s="45" t="s">
        <v>1174</v>
      </c>
      <c r="M1415" s="20" t="s">
        <v>1175</v>
      </c>
      <c r="N1415" s="47">
        <v>45506</v>
      </c>
      <c r="O1415" s="112">
        <v>0.1</v>
      </c>
      <c r="P1415" s="2"/>
      <c r="Q1415" s="151"/>
      <c r="R1415" s="151"/>
      <c r="S1415" s="151"/>
      <c r="T1415" s="151"/>
      <c r="U1415" s="151"/>
      <c r="V1415" s="151"/>
      <c r="W1415" s="2">
        <f>VLOOKUP(Table1[[#This Row],[Status]],Auxiliar!$B$16:$D$24,3,0)*Table1[[#This Row],[Estimação (horas)]]</f>
        <v>0.1</v>
      </c>
      <c r="X1415" s="165">
        <f>+VLOOKUP(CONCATENATE(Table1[[#This Row],[Tabela]],Table1[[#This Row],[Campo]]),'2. Status Detalhe Campos FY24'!A:J,9,FALSE)</f>
        <v>0</v>
      </c>
      <c r="Y1415" s="491" t="e">
        <f>+VLOOKUP(A1415,#REF!,1,FALSE)</f>
        <v>#REF!</v>
      </c>
    </row>
    <row r="1416" spans="1:25" ht="17.899999999999999" hidden="1" customHeight="1">
      <c r="A1416" t="str">
        <f>+Table1[[#This Row],[Tabela]]&amp;Table1[[#This Row],[Campo]]</f>
        <v>lt002_instrumentdt_lgl_fnl_mtrty</v>
      </c>
      <c r="B1416" s="38" t="s">
        <v>26</v>
      </c>
      <c r="C1416" s="38" t="s">
        <v>26</v>
      </c>
      <c r="D1416" s="12" t="s">
        <v>399</v>
      </c>
      <c r="E1416" s="111" t="s">
        <v>38</v>
      </c>
      <c r="F1416" s="2" t="s">
        <v>379</v>
      </c>
      <c r="G1416" s="12" t="s">
        <v>410</v>
      </c>
      <c r="H1416" s="58" t="str">
        <f>Table1[[#This Row],[Tabela]]&amp;Table1[[#This Row],[Campo]]</f>
        <v>lt002_instrumentdt_lgl_fnl_mtrty</v>
      </c>
      <c r="I1416" s="2" t="s">
        <v>612</v>
      </c>
      <c r="J1416" s="44">
        <f>VLOOKUP(Table1[[#This Row],[Status]],Auxiliar!$B$16:$C$24,2,0)</f>
        <v>1</v>
      </c>
      <c r="K1416" s="20" t="s">
        <v>1173</v>
      </c>
      <c r="L1416" s="45" t="s">
        <v>1174</v>
      </c>
      <c r="M1416" s="20" t="s">
        <v>1175</v>
      </c>
      <c r="N1416" s="47">
        <v>45506</v>
      </c>
      <c r="O1416" s="112">
        <v>0.1</v>
      </c>
      <c r="P1416" s="2"/>
      <c r="Q1416" s="151"/>
      <c r="R1416" s="151"/>
      <c r="S1416" s="151"/>
      <c r="T1416" s="151"/>
      <c r="U1416" s="151"/>
      <c r="V1416" s="151"/>
      <c r="W1416" s="2">
        <f>VLOOKUP(Table1[[#This Row],[Status]],Auxiliar!$B$16:$D$24,3,0)*Table1[[#This Row],[Estimação (horas)]]</f>
        <v>0.1</v>
      </c>
      <c r="X1416" s="165">
        <f>+VLOOKUP(CONCATENATE(Table1[[#This Row],[Tabela]],Table1[[#This Row],[Campo]]),'2. Status Detalhe Campos FY24'!A:J,9,FALSE)</f>
        <v>0</v>
      </c>
      <c r="Y1416" s="491" t="e">
        <f>+VLOOKUP(A1416,#REF!,1,FALSE)</f>
        <v>#REF!</v>
      </c>
    </row>
    <row r="1417" spans="1:25" ht="17.899999999999999" hidden="1" customHeight="1">
      <c r="A1417" t="str">
        <f>+Table1[[#This Row],[Tabela]]&amp;Table1[[#This Row],[Campo]]</f>
        <v>lt002_instrumentaccmltd_imprmnt_instrmnt</v>
      </c>
      <c r="B1417" s="38" t="s">
        <v>26</v>
      </c>
      <c r="C1417" s="38" t="s">
        <v>26</v>
      </c>
      <c r="D1417" s="12" t="s">
        <v>399</v>
      </c>
      <c r="E1417" s="111" t="s">
        <v>38</v>
      </c>
      <c r="F1417" s="2" t="s">
        <v>379</v>
      </c>
      <c r="G1417" s="12" t="s">
        <v>411</v>
      </c>
      <c r="H1417" s="58" t="str">
        <f>Table1[[#This Row],[Tabela]]&amp;Table1[[#This Row],[Campo]]</f>
        <v>lt002_instrumentaccmltd_imprmnt_instrmnt</v>
      </c>
      <c r="I1417" s="2" t="s">
        <v>612</v>
      </c>
      <c r="J1417" s="44">
        <f>VLOOKUP(Table1[[#This Row],[Status]],Auxiliar!$B$16:$C$24,2,0)</f>
        <v>1</v>
      </c>
      <c r="K1417" s="20" t="s">
        <v>1173</v>
      </c>
      <c r="L1417" s="45" t="s">
        <v>1174</v>
      </c>
      <c r="M1417" s="20" t="s">
        <v>1175</v>
      </c>
      <c r="N1417" s="47">
        <v>45506</v>
      </c>
      <c r="O1417" s="112">
        <v>0.1</v>
      </c>
      <c r="P1417" s="2"/>
      <c r="Q1417" s="151"/>
      <c r="R1417" s="151"/>
      <c r="S1417" s="151"/>
      <c r="T1417" s="151"/>
      <c r="U1417" s="151"/>
      <c r="V1417" s="151"/>
      <c r="W1417" s="2">
        <f>VLOOKUP(Table1[[#This Row],[Status]],Auxiliar!$B$16:$D$24,3,0)*Table1[[#This Row],[Estimação (horas)]]</f>
        <v>0.1</v>
      </c>
      <c r="X1417" s="165">
        <f>+VLOOKUP(CONCATENATE(Table1[[#This Row],[Tabela]],Table1[[#This Row],[Campo]]),'2. Status Detalhe Campos FY24'!A:J,9,FALSE)</f>
        <v>0</v>
      </c>
      <c r="Y1417" s="491" t="e">
        <f>+VLOOKUP(A1417,#REF!,1,FALSE)</f>
        <v>#REF!</v>
      </c>
    </row>
    <row r="1418" spans="1:25" ht="17.899999999999999" hidden="1" customHeight="1">
      <c r="A1418" t="str">
        <f>+Table1[[#This Row],[Tabela]]&amp;Table1[[#This Row],[Campo]]</f>
        <v>lt002_instrumentissr_cntry</v>
      </c>
      <c r="B1418" s="38" t="s">
        <v>26</v>
      </c>
      <c r="C1418" s="38" t="s">
        <v>26</v>
      </c>
      <c r="D1418" s="12" t="s">
        <v>399</v>
      </c>
      <c r="E1418" s="111" t="s">
        <v>38</v>
      </c>
      <c r="F1418" s="2" t="s">
        <v>379</v>
      </c>
      <c r="G1418" s="12" t="s">
        <v>412</v>
      </c>
      <c r="H1418" s="58" t="str">
        <f>Table1[[#This Row],[Tabela]]&amp;Table1[[#This Row],[Campo]]</f>
        <v>lt002_instrumentissr_cntry</v>
      </c>
      <c r="I1418" s="2" t="s">
        <v>612</v>
      </c>
      <c r="J1418" s="44">
        <f>VLOOKUP(Table1[[#This Row],[Status]],Auxiliar!$B$16:$C$24,2,0)</f>
        <v>1</v>
      </c>
      <c r="K1418" s="20" t="s">
        <v>1173</v>
      </c>
      <c r="L1418" s="45" t="s">
        <v>1174</v>
      </c>
      <c r="M1418" s="20" t="s">
        <v>1175</v>
      </c>
      <c r="N1418" s="47">
        <v>45506</v>
      </c>
      <c r="O1418" s="112">
        <v>0.1</v>
      </c>
      <c r="P1418" s="2"/>
      <c r="Q1418" s="151"/>
      <c r="R1418" s="151"/>
      <c r="S1418" s="151"/>
      <c r="T1418" s="151"/>
      <c r="U1418" s="151"/>
      <c r="V1418" s="151"/>
      <c r="W1418" s="2">
        <f>VLOOKUP(Table1[[#This Row],[Status]],Auxiliar!$B$16:$D$24,3,0)*Table1[[#This Row],[Estimação (horas)]]</f>
        <v>0.1</v>
      </c>
      <c r="X1418" s="165">
        <f>+VLOOKUP(CONCATENATE(Table1[[#This Row],[Tabela]],Table1[[#This Row],[Campo]]),'2. Status Detalhe Campos FY24'!A:J,9,FALSE)</f>
        <v>0</v>
      </c>
      <c r="Y1418" s="491" t="e">
        <f>+VLOOKUP(A1418,#REF!,1,FALSE)</f>
        <v>#REF!</v>
      </c>
    </row>
    <row r="1419" spans="1:25" ht="17.899999999999999" hidden="1" customHeight="1">
      <c r="A1419" t="str">
        <f>+Table1[[#This Row],[Tabela]]&amp;Table1[[#This Row],[Campo]]</f>
        <v>lt002_instrumentissr_nace_sctr</v>
      </c>
      <c r="B1419" s="38" t="s">
        <v>26</v>
      </c>
      <c r="C1419" s="38" t="s">
        <v>26</v>
      </c>
      <c r="D1419" s="12" t="s">
        <v>399</v>
      </c>
      <c r="E1419" s="111" t="s">
        <v>38</v>
      </c>
      <c r="F1419" s="2" t="s">
        <v>379</v>
      </c>
      <c r="G1419" s="12" t="s">
        <v>413</v>
      </c>
      <c r="H1419" s="58" t="str">
        <f>Table1[[#This Row],[Tabela]]&amp;Table1[[#This Row],[Campo]]</f>
        <v>lt002_instrumentissr_nace_sctr</v>
      </c>
      <c r="I1419" s="2" t="s">
        <v>612</v>
      </c>
      <c r="J1419" s="44">
        <f>VLOOKUP(Table1[[#This Row],[Status]],Auxiliar!$B$16:$C$24,2,0)</f>
        <v>1</v>
      </c>
      <c r="K1419" s="20" t="s">
        <v>1173</v>
      </c>
      <c r="L1419" s="45" t="s">
        <v>1174</v>
      </c>
      <c r="M1419" s="20" t="s">
        <v>1175</v>
      </c>
      <c r="N1419" s="47">
        <v>45506</v>
      </c>
      <c r="O1419" s="112">
        <v>0.1</v>
      </c>
      <c r="P1419" s="2"/>
      <c r="Q1419" s="151"/>
      <c r="R1419" s="151"/>
      <c r="S1419" s="151"/>
      <c r="T1419" s="151"/>
      <c r="U1419" s="151"/>
      <c r="V1419" s="151"/>
      <c r="W1419" s="2">
        <f>VLOOKUP(Table1[[#This Row],[Status]],Auxiliar!$B$16:$D$24,3,0)*Table1[[#This Row],[Estimação (horas)]]</f>
        <v>0.1</v>
      </c>
      <c r="X1419" s="165">
        <f>+VLOOKUP(CONCATENATE(Table1[[#This Row],[Tabela]],Table1[[#This Row],[Campo]]),'2. Status Detalhe Campos FY24'!A:J,9,FALSE)</f>
        <v>0</v>
      </c>
      <c r="Y1419" s="491" t="e">
        <f>+VLOOKUP(A1419,#REF!,1,FALSE)</f>
        <v>#REF!</v>
      </c>
    </row>
    <row r="1420" spans="1:25" ht="17.899999999999999" hidden="1" customHeight="1">
      <c r="A1420" t="str">
        <f>+Table1[[#This Row],[Tabela]]&amp;Table1[[#This Row],[Campo]]</f>
        <v>lt002_instrumentprmry_asst_clssf</v>
      </c>
      <c r="B1420" s="38" t="s">
        <v>26</v>
      </c>
      <c r="C1420" s="38" t="s">
        <v>26</v>
      </c>
      <c r="D1420" s="12" t="s">
        <v>399</v>
      </c>
      <c r="E1420" s="111" t="s">
        <v>38</v>
      </c>
      <c r="F1420" s="2" t="s">
        <v>379</v>
      </c>
      <c r="G1420" s="12" t="s">
        <v>414</v>
      </c>
      <c r="H1420" s="58" t="str">
        <f>Table1[[#This Row],[Tabela]]&amp;Table1[[#This Row],[Campo]]</f>
        <v>lt002_instrumentprmry_asst_clssf</v>
      </c>
      <c r="I1420" s="2" t="s">
        <v>612</v>
      </c>
      <c r="J1420" s="44">
        <f>VLOOKUP(Table1[[#This Row],[Status]],Auxiliar!$B$16:$C$24,2,0)</f>
        <v>1</v>
      </c>
      <c r="K1420" s="20" t="s">
        <v>1173</v>
      </c>
      <c r="L1420" s="45" t="s">
        <v>1174</v>
      </c>
      <c r="M1420" s="20" t="s">
        <v>1175</v>
      </c>
      <c r="N1420" s="47">
        <v>45506</v>
      </c>
      <c r="O1420" s="112">
        <v>0.1</v>
      </c>
      <c r="P1420" s="2"/>
      <c r="Q1420" s="151"/>
      <c r="R1420" s="151"/>
      <c r="S1420" s="151"/>
      <c r="T1420" s="151"/>
      <c r="U1420" s="151"/>
      <c r="V1420" s="151"/>
      <c r="W1420" s="2">
        <f>VLOOKUP(Table1[[#This Row],[Status]],Auxiliar!$B$16:$D$24,3,0)*Table1[[#This Row],[Estimação (horas)]]</f>
        <v>0.1</v>
      </c>
      <c r="X1420" s="165">
        <f>+VLOOKUP(CONCATENATE(Table1[[#This Row],[Tabela]],Table1[[#This Row],[Campo]]),'2. Status Detalhe Campos FY24'!A:J,9,FALSE)</f>
        <v>0</v>
      </c>
      <c r="Y1420" s="491" t="e">
        <f>+VLOOKUP(A1420,#REF!,1,FALSE)</f>
        <v>#REF!</v>
      </c>
    </row>
    <row r="1421" spans="1:25" ht="17.899999999999999" hidden="1" customHeight="1">
      <c r="A1421" t="str">
        <f>+Table1[[#This Row],[Tabela]]&amp;Table1[[#This Row],[Campo]]</f>
        <v>lt002_instrumentsubportfolio_id</v>
      </c>
      <c r="B1421" s="38" t="s">
        <v>26</v>
      </c>
      <c r="C1421" s="38" t="s">
        <v>26</v>
      </c>
      <c r="D1421" s="12" t="s">
        <v>399</v>
      </c>
      <c r="E1421" s="111" t="s">
        <v>38</v>
      </c>
      <c r="F1421" s="2" t="s">
        <v>379</v>
      </c>
      <c r="G1421" s="12" t="s">
        <v>415</v>
      </c>
      <c r="H1421" s="58" t="str">
        <f>Table1[[#This Row],[Tabela]]&amp;Table1[[#This Row],[Campo]]</f>
        <v>lt002_instrumentsubportfolio_id</v>
      </c>
      <c r="I1421" s="2" t="s">
        <v>612</v>
      </c>
      <c r="J1421" s="44">
        <f>VLOOKUP(Table1[[#This Row],[Status]],Auxiliar!$B$16:$C$24,2,0)</f>
        <v>1</v>
      </c>
      <c r="K1421" s="20" t="s">
        <v>1173</v>
      </c>
      <c r="L1421" s="45" t="s">
        <v>1174</v>
      </c>
      <c r="M1421" s="20" t="s">
        <v>1175</v>
      </c>
      <c r="N1421" s="47">
        <v>45506</v>
      </c>
      <c r="O1421" s="112">
        <v>0.1</v>
      </c>
      <c r="P1421" s="2"/>
      <c r="Q1421" s="151"/>
      <c r="R1421" s="151"/>
      <c r="S1421" s="151"/>
      <c r="T1421" s="151"/>
      <c r="U1421" s="151"/>
      <c r="V1421" s="151"/>
      <c r="W1421" s="2">
        <f>VLOOKUP(Table1[[#This Row],[Status]],Auxiliar!$B$16:$D$24,3,0)*Table1[[#This Row],[Estimação (horas)]]</f>
        <v>0.1</v>
      </c>
      <c r="X1421" s="165">
        <f>+VLOOKUP(CONCATENATE(Table1[[#This Row],[Tabela]],Table1[[#This Row],[Campo]]),'2. Status Detalhe Campos FY24'!A:J,9,FALSE)</f>
        <v>0</v>
      </c>
      <c r="Y1421" s="491" t="e">
        <f>+VLOOKUP(A1421,#REF!,1,FALSE)</f>
        <v>#REF!</v>
      </c>
    </row>
    <row r="1422" spans="1:25" ht="17.899999999999999" hidden="1" customHeight="1">
      <c r="A1422" t="str">
        <f>+Table1[[#This Row],[Tabela]]&amp;Table1[[#This Row],[Campo]]</f>
        <v>lt002_instrumentcod_soc</v>
      </c>
      <c r="B1422" s="38" t="s">
        <v>26</v>
      </c>
      <c r="C1422" s="38" t="s">
        <v>26</v>
      </c>
      <c r="D1422" s="12" t="s">
        <v>399</v>
      </c>
      <c r="E1422" s="111" t="s">
        <v>38</v>
      </c>
      <c r="F1422" s="2" t="s">
        <v>379</v>
      </c>
      <c r="G1422" s="12" t="s">
        <v>416</v>
      </c>
      <c r="H1422" s="58" t="str">
        <f>Table1[[#This Row],[Tabela]]&amp;Table1[[#This Row],[Campo]]</f>
        <v>lt002_instrumentcod_soc</v>
      </c>
      <c r="I1422" s="2" t="s">
        <v>612</v>
      </c>
      <c r="J1422" s="44">
        <f>VLOOKUP(Table1[[#This Row],[Status]],Auxiliar!$B$16:$C$24,2,0)</f>
        <v>1</v>
      </c>
      <c r="K1422" s="20" t="s">
        <v>1173</v>
      </c>
      <c r="L1422" s="45" t="s">
        <v>1174</v>
      </c>
      <c r="M1422" s="20" t="s">
        <v>1175</v>
      </c>
      <c r="N1422" s="47">
        <v>45506</v>
      </c>
      <c r="O1422" s="112">
        <v>0.1</v>
      </c>
      <c r="P1422" s="2"/>
      <c r="Q1422" s="151"/>
      <c r="R1422" s="151"/>
      <c r="S1422" s="151"/>
      <c r="T1422" s="151"/>
      <c r="U1422" s="151"/>
      <c r="V1422" s="151"/>
      <c r="W1422" s="2">
        <f>VLOOKUP(Table1[[#This Row],[Status]],Auxiliar!$B$16:$D$24,3,0)*Table1[[#This Row],[Estimação (horas)]]</f>
        <v>0.1</v>
      </c>
      <c r="X1422" s="165">
        <f>+VLOOKUP(CONCATENATE(Table1[[#This Row],[Tabela]],Table1[[#This Row],[Campo]]),'2. Status Detalhe Campos FY24'!A:J,9,FALSE)</f>
        <v>0</v>
      </c>
      <c r="Y1422" s="491" t="e">
        <f>+VLOOKUP(A1422,#REF!,1,FALSE)</f>
        <v>#REF!</v>
      </c>
    </row>
    <row r="1423" spans="1:25" ht="17.899999999999999" hidden="1" customHeight="1">
      <c r="A1423" t="str">
        <f>+Table1[[#This Row],[Tabela]]&amp;Table1[[#This Row],[Campo]]</f>
        <v>lt002_instrumentlcl_instmrnt_id</v>
      </c>
      <c r="B1423" s="38" t="s">
        <v>26</v>
      </c>
      <c r="C1423" s="38" t="s">
        <v>26</v>
      </c>
      <c r="D1423" s="19" t="s">
        <v>399</v>
      </c>
      <c r="E1423" s="111" t="s">
        <v>38</v>
      </c>
      <c r="F1423" s="31" t="s">
        <v>379</v>
      </c>
      <c r="G1423" s="19" t="s">
        <v>417</v>
      </c>
      <c r="H1423" s="58" t="str">
        <f>Table1[[#This Row],[Tabela]]&amp;Table1[[#This Row],[Campo]]</f>
        <v>lt002_instrumentlcl_instmrnt_id</v>
      </c>
      <c r="I1423" s="2" t="s">
        <v>612</v>
      </c>
      <c r="J1423" s="44">
        <f>VLOOKUP(Table1[[#This Row],[Status]],Auxiliar!$B$16:$C$24,2,0)</f>
        <v>1</v>
      </c>
      <c r="K1423" s="20" t="s">
        <v>1173</v>
      </c>
      <c r="L1423" s="45" t="s">
        <v>1174</v>
      </c>
      <c r="M1423" s="20" t="s">
        <v>1175</v>
      </c>
      <c r="N1423" s="47">
        <v>45510</v>
      </c>
      <c r="O1423" s="112">
        <v>0.1</v>
      </c>
      <c r="P1423" s="31"/>
      <c r="Q1423" s="151"/>
      <c r="R1423" s="151"/>
      <c r="S1423" s="151"/>
      <c r="T1423" s="151"/>
      <c r="U1423" s="151"/>
      <c r="V1423" s="151"/>
      <c r="W1423" s="2">
        <f>VLOOKUP(Table1[[#This Row],[Status]],Auxiliar!$B$16:$D$24,3,0)*Table1[[#This Row],[Estimação (horas)]]</f>
        <v>0.1</v>
      </c>
      <c r="X1423" s="165">
        <f>+VLOOKUP(CONCATENATE(Table1[[#This Row],[Tabela]],Table1[[#This Row],[Campo]]),'2. Status Detalhe Campos FY24'!A:J,9,FALSE)</f>
        <v>0</v>
      </c>
      <c r="Y1423" s="491" t="e">
        <f>+VLOOKUP(A1423,#REF!,1,FALSE)</f>
        <v>#REF!</v>
      </c>
    </row>
    <row r="1424" spans="1:25" ht="17.899999999999999" customHeight="1">
      <c r="A1424" t="str">
        <f>+Table1[[#This Row],[Tabela]]&amp;Table1[[#This Row],[Campo]]</f>
        <v>lt007_instr_activityCOD_SOC</v>
      </c>
      <c r="B1424" s="38" t="s">
        <v>26</v>
      </c>
      <c r="C1424" s="38" t="s">
        <v>26</v>
      </c>
      <c r="D1424" s="19"/>
      <c r="E1424" s="111"/>
      <c r="F1424" s="39" t="s">
        <v>1859</v>
      </c>
      <c r="G1424" s="354" t="s">
        <v>1293</v>
      </c>
      <c r="H1424" s="58" t="str">
        <f>Table1[[#This Row],[Tabela]]&amp;Table1[[#This Row],[Campo]]</f>
        <v>lt007_instr_activityCOD_SOC</v>
      </c>
      <c r="I1424" s="2" t="s">
        <v>612</v>
      </c>
      <c r="J1424" s="44">
        <f>VLOOKUP(Table1[[#This Row],[Status]],Auxiliar!$B$16:$C$24,2,0)</f>
        <v>1</v>
      </c>
      <c r="K1424" s="20"/>
      <c r="L1424" s="45"/>
      <c r="M1424" s="20"/>
      <c r="N1424" s="47">
        <v>45746</v>
      </c>
      <c r="O1424" s="112" t="e">
        <f>INDEX(Auxiliar!$D$5:$F$11,MATCH(Table1[[#This Row],[Tipologia_Testes]],Auxiliar!$B$5:$B$11,0),MATCH(Table1[[#This Row],[Complexidade]],Auxiliar!$D$4:$F$4,0))</f>
        <v>#N/A</v>
      </c>
      <c r="P1424" s="31"/>
      <c r="Q1424" s="151"/>
      <c r="R1424" s="151"/>
      <c r="S1424" s="151"/>
      <c r="T1424" s="151"/>
      <c r="U1424" s="151"/>
      <c r="V1424" s="151"/>
      <c r="W1424" s="2" t="e">
        <f>VLOOKUP(Table1[[#This Row],[Status]],Auxiliar!$B$16:$D$24,3,0)*Table1[[#This Row],[Estimação (horas)]]</f>
        <v>#N/A</v>
      </c>
      <c r="X1424" s="165">
        <f>+VLOOKUP(CONCATENATE(Table1[[#This Row],[Tabela]],Table1[[#This Row],[Campo]]),'2. Status Detalhe Campos FY24'!A:J,9,FALSE)</f>
        <v>0</v>
      </c>
      <c r="Y1424" s="491" t="e">
        <f>+VLOOKUP(A1424,#REF!,1,FALSE)</f>
        <v>#REF!</v>
      </c>
    </row>
    <row r="1425" spans="1:25" ht="17.899999999999999" customHeight="1">
      <c r="A1425" t="str">
        <f>+Table1[[#This Row],[Tabela]]&amp;Table1[[#This Row],[Campo]]</f>
        <v>lt007_instr_activityDT_RFRNC</v>
      </c>
      <c r="B1425" s="38" t="s">
        <v>26</v>
      </c>
      <c r="C1425" s="38" t="s">
        <v>26</v>
      </c>
      <c r="D1425" s="19"/>
      <c r="E1425" s="111"/>
      <c r="F1425" s="39" t="s">
        <v>1859</v>
      </c>
      <c r="G1425" s="354" t="s">
        <v>1298</v>
      </c>
      <c r="H1425" s="58" t="str">
        <f>Table1[[#This Row],[Tabela]]&amp;Table1[[#This Row],[Campo]]</f>
        <v>lt007_instr_activityDT_RFRNC</v>
      </c>
      <c r="I1425" s="2" t="s">
        <v>612</v>
      </c>
      <c r="J1425" s="44">
        <f>VLOOKUP(Table1[[#This Row],[Status]],Auxiliar!$B$16:$C$24,2,0)</f>
        <v>1</v>
      </c>
      <c r="K1425" s="20"/>
      <c r="L1425" s="45"/>
      <c r="M1425" s="20"/>
      <c r="N1425" s="47">
        <v>45746</v>
      </c>
      <c r="O1425" s="112" t="e">
        <f>INDEX(Auxiliar!$D$5:$F$11,MATCH(Table1[[#This Row],[Tipologia_Testes]],Auxiliar!$B$5:$B$11,0),MATCH(Table1[[#This Row],[Complexidade]],Auxiliar!$D$4:$F$4,0))</f>
        <v>#N/A</v>
      </c>
      <c r="P1425" s="31"/>
      <c r="Q1425" s="151"/>
      <c r="R1425" s="151"/>
      <c r="S1425" s="151"/>
      <c r="T1425" s="151"/>
      <c r="U1425" s="151"/>
      <c r="V1425" s="151"/>
      <c r="W1425" s="2" t="e">
        <f>VLOOKUP(Table1[[#This Row],[Status]],Auxiliar!$B$16:$D$24,3,0)*Table1[[#This Row],[Estimação (horas)]]</f>
        <v>#N/A</v>
      </c>
      <c r="X1425" s="165">
        <f>+VLOOKUP(CONCATENATE(Table1[[#This Row],[Tabela]],Table1[[#This Row],[Campo]]),'2. Status Detalhe Campos FY24'!A:J,9,FALSE)</f>
        <v>0</v>
      </c>
      <c r="Y1425" s="491" t="e">
        <f>+VLOOKUP(A1425,#REF!,1,FALSE)</f>
        <v>#REF!</v>
      </c>
    </row>
    <row r="1426" spans="1:25" ht="17.899999999999999" customHeight="1">
      <c r="A1426" t="str">
        <f>+Table1[[#This Row],[Tabela]]&amp;Table1[[#This Row],[Campo]]</f>
        <v>lt007_instr_activityINSTRMNT_ID</v>
      </c>
      <c r="B1426" s="38" t="s">
        <v>26</v>
      </c>
      <c r="C1426" s="38" t="s">
        <v>26</v>
      </c>
      <c r="D1426" s="19"/>
      <c r="E1426" s="111"/>
      <c r="F1426" s="39" t="s">
        <v>1859</v>
      </c>
      <c r="G1426" s="354" t="s">
        <v>1307</v>
      </c>
      <c r="H1426" s="58" t="str">
        <f>Table1[[#This Row],[Tabela]]&amp;Table1[[#This Row],[Campo]]</f>
        <v>lt007_instr_activityINSTRMNT_ID</v>
      </c>
      <c r="I1426" s="2" t="s">
        <v>1840</v>
      </c>
      <c r="J1426" s="44">
        <f>VLOOKUP(Table1[[#This Row],[Status]],Auxiliar!$B$16:$C$24,2,0)</f>
        <v>2</v>
      </c>
      <c r="K1426" s="20"/>
      <c r="L1426" s="45"/>
      <c r="M1426" s="20"/>
      <c r="N1426" s="47">
        <v>45746</v>
      </c>
      <c r="O1426" s="112" t="e">
        <f>INDEX(Auxiliar!$D$5:$F$11,MATCH(Table1[[#This Row],[Tipologia_Testes]],Auxiliar!$B$5:$B$11,0),MATCH(Table1[[#This Row],[Complexidade]],Auxiliar!$D$4:$F$4,0))</f>
        <v>#N/A</v>
      </c>
      <c r="P1426" s="31"/>
      <c r="Q1426" s="151"/>
      <c r="R1426" s="151"/>
      <c r="S1426" s="151"/>
      <c r="T1426" s="151"/>
      <c r="U1426" s="151"/>
      <c r="V1426" s="151"/>
      <c r="W1426" s="2" t="e">
        <f>VLOOKUP(Table1[[#This Row],[Status]],Auxiliar!$B$16:$D$24,3,0)*Table1[[#This Row],[Estimação (horas)]]</f>
        <v>#N/A</v>
      </c>
      <c r="X1426" s="165">
        <f>+VLOOKUP(CONCATENATE(Table1[[#This Row],[Tabela]],Table1[[#This Row],[Campo]]),'2. Status Detalhe Campos FY24'!A:J,9,FALSE)</f>
        <v>0</v>
      </c>
      <c r="Y1426" s="491" t="e">
        <f>+VLOOKUP(A1426,#REF!,1,FALSE)</f>
        <v>#REF!</v>
      </c>
    </row>
    <row r="1427" spans="1:25" ht="17.899999999999999" customHeight="1">
      <c r="A1427" t="str">
        <f>+Table1[[#This Row],[Tabela]]&amp;Table1[[#This Row],[Campo]]</f>
        <v>lt007_instr_activityPRCNTG_ACTVTY</v>
      </c>
      <c r="B1427" s="38" t="s">
        <v>26</v>
      </c>
      <c r="C1427" s="38" t="s">
        <v>26</v>
      </c>
      <c r="D1427" s="19"/>
      <c r="E1427" s="111"/>
      <c r="F1427" s="39" t="s">
        <v>1859</v>
      </c>
      <c r="G1427" s="354" t="s">
        <v>2291</v>
      </c>
      <c r="H1427" s="58" t="str">
        <f>Table1[[#This Row],[Tabela]]&amp;Table1[[#This Row],[Campo]]</f>
        <v>lt007_instr_activityPRCNTG_ACTVTY</v>
      </c>
      <c r="I1427" s="2" t="s">
        <v>2319</v>
      </c>
      <c r="J1427" s="44">
        <f>VLOOKUP(Table1[[#This Row],[Status]],Auxiliar!$B$16:$C$24,2,0)</f>
        <v>7</v>
      </c>
      <c r="K1427" s="20"/>
      <c r="L1427" s="45"/>
      <c r="M1427" s="20"/>
      <c r="N1427" s="47"/>
      <c r="O1427" s="112" t="e">
        <f>INDEX(Auxiliar!$D$5:$F$11,MATCH(Table1[[#This Row],[Tipologia_Testes]],Auxiliar!$B$5:$B$11,0),MATCH(Table1[[#This Row],[Complexidade]],Auxiliar!$D$4:$F$4,0))</f>
        <v>#N/A</v>
      </c>
      <c r="P1427" s="31"/>
      <c r="Q1427" s="151"/>
      <c r="R1427" s="151"/>
      <c r="S1427" s="151"/>
      <c r="T1427" s="151"/>
      <c r="U1427" s="151"/>
      <c r="V1427" s="151"/>
      <c r="W1427" s="2" t="e">
        <f>VLOOKUP(Table1[[#This Row],[Status]],Auxiliar!$B$16:$D$24,3,0)*Table1[[#This Row],[Estimação (horas)]]</f>
        <v>#N/A</v>
      </c>
      <c r="X1427" s="165">
        <f>+VLOOKUP(CONCATENATE(Table1[[#This Row],[Tabela]],Table1[[#This Row],[Campo]]),'2. Status Detalhe Campos FY24'!A:J,9,FALSE)</f>
        <v>0</v>
      </c>
      <c r="Y1427" s="491" t="e">
        <f>+VLOOKUP(A1427,#REF!,1,FALSE)</f>
        <v>#REF!</v>
      </c>
    </row>
    <row r="1428" spans="1:25" ht="17.899999999999999" customHeight="1">
      <c r="A1428" t="str">
        <f>+Table1[[#This Row],[Tabela]]&amp;Table1[[#This Row],[Campo]]</f>
        <v>lt007_instr_activityFLG_SBSTNTL_CNTRBTN</v>
      </c>
      <c r="B1428" s="38" t="s">
        <v>26</v>
      </c>
      <c r="C1428" s="38" t="s">
        <v>26</v>
      </c>
      <c r="D1428" s="19"/>
      <c r="E1428" s="111"/>
      <c r="F1428" s="39" t="s">
        <v>1859</v>
      </c>
      <c r="G1428" s="354" t="s">
        <v>2292</v>
      </c>
      <c r="H1428" s="58" t="str">
        <f>Table1[[#This Row],[Tabela]]&amp;Table1[[#This Row],[Campo]]</f>
        <v>lt007_instr_activityFLG_SBSTNTL_CNTRBTN</v>
      </c>
      <c r="I1428" s="2" t="s">
        <v>2319</v>
      </c>
      <c r="J1428" s="44">
        <f>VLOOKUP(Table1[[#This Row],[Status]],Auxiliar!$B$16:$C$24,2,0)</f>
        <v>7</v>
      </c>
      <c r="K1428" s="20"/>
      <c r="L1428" s="45"/>
      <c r="M1428" s="20"/>
      <c r="N1428" s="47"/>
      <c r="O1428" s="112" t="e">
        <f>INDEX(Auxiliar!$D$5:$F$11,MATCH(Table1[[#This Row],[Tipologia_Testes]],Auxiliar!$B$5:$B$11,0),MATCH(Table1[[#This Row],[Complexidade]],Auxiliar!$D$4:$F$4,0))</f>
        <v>#N/A</v>
      </c>
      <c r="P1428" s="31"/>
      <c r="Q1428" s="151"/>
      <c r="R1428" s="151"/>
      <c r="S1428" s="151"/>
      <c r="T1428" s="151"/>
      <c r="U1428" s="151"/>
      <c r="V1428" s="151"/>
      <c r="W1428" s="2" t="e">
        <f>VLOOKUP(Table1[[#This Row],[Status]],Auxiliar!$B$16:$D$24,3,0)*Table1[[#This Row],[Estimação (horas)]]</f>
        <v>#N/A</v>
      </c>
      <c r="X1428" s="165">
        <f>+VLOOKUP(CONCATENATE(Table1[[#This Row],[Tabela]],Table1[[#This Row],[Campo]]),'2. Status Detalhe Campos FY24'!A:J,9,FALSE)</f>
        <v>0</v>
      </c>
      <c r="Y1428" s="491" t="e">
        <f>+VLOOKUP(A1428,#REF!,1,FALSE)</f>
        <v>#REF!</v>
      </c>
    </row>
    <row r="1429" spans="1:25" ht="17.899999999999999" customHeight="1">
      <c r="A1429" t="str">
        <f>+Table1[[#This Row],[Tabela]]&amp;Table1[[#This Row],[Campo]]</f>
        <v>lt007_instr_activityFLG_DNSH_CMPLNC</v>
      </c>
      <c r="B1429" s="38" t="s">
        <v>26</v>
      </c>
      <c r="C1429" s="38" t="s">
        <v>26</v>
      </c>
      <c r="D1429" s="19"/>
      <c r="E1429" s="111"/>
      <c r="F1429" s="39" t="s">
        <v>1859</v>
      </c>
      <c r="G1429" s="354" t="s">
        <v>2293</v>
      </c>
      <c r="H1429" s="58" t="str">
        <f>Table1[[#This Row],[Tabela]]&amp;Table1[[#This Row],[Campo]]</f>
        <v>lt007_instr_activityFLG_DNSH_CMPLNC</v>
      </c>
      <c r="I1429" s="2" t="s">
        <v>612</v>
      </c>
      <c r="J1429" s="44">
        <f>VLOOKUP(Table1[[#This Row],[Status]],Auxiliar!$B$16:$C$24,2,0)</f>
        <v>1</v>
      </c>
      <c r="K1429" s="20"/>
      <c r="L1429" s="45"/>
      <c r="M1429" s="20"/>
      <c r="N1429" s="47">
        <v>45737</v>
      </c>
      <c r="O1429" s="112" t="e">
        <f>INDEX(Auxiliar!$D$5:$F$11,MATCH(Table1[[#This Row],[Tipologia_Testes]],Auxiliar!$B$5:$B$11,0),MATCH(Table1[[#This Row],[Complexidade]],Auxiliar!$D$4:$F$4,0))</f>
        <v>#N/A</v>
      </c>
      <c r="P1429" s="31"/>
      <c r="Q1429" s="151"/>
      <c r="R1429" s="151"/>
      <c r="S1429" s="151"/>
      <c r="T1429" s="151"/>
      <c r="U1429" s="151"/>
      <c r="V1429" s="151"/>
      <c r="W1429" s="2" t="e">
        <f>VLOOKUP(Table1[[#This Row],[Status]],Auxiliar!$B$16:$D$24,3,0)*Table1[[#This Row],[Estimação (horas)]]</f>
        <v>#N/A</v>
      </c>
      <c r="X1429" s="165">
        <f>+VLOOKUP(CONCATENATE(Table1[[#This Row],[Tabela]],Table1[[#This Row],[Campo]]),'2. Status Detalhe Campos FY24'!A:J,9,FALSE)</f>
        <v>0</v>
      </c>
      <c r="Y1429" s="491" t="e">
        <f>+VLOOKUP(A1429,#REF!,1,FALSE)</f>
        <v>#REF!</v>
      </c>
    </row>
    <row r="1430" spans="1:25" ht="17.899999999999999" customHeight="1">
      <c r="A1430" t="str">
        <f>+Table1[[#This Row],[Tabela]]&amp;Table1[[#This Row],[Campo]]</f>
        <v>lt007_instr_activityDNSH_DTL</v>
      </c>
      <c r="B1430" s="38" t="s">
        <v>26</v>
      </c>
      <c r="C1430" s="38" t="s">
        <v>26</v>
      </c>
      <c r="D1430" s="19"/>
      <c r="E1430" s="111"/>
      <c r="F1430" s="39" t="s">
        <v>1859</v>
      </c>
      <c r="G1430" s="354" t="s">
        <v>2294</v>
      </c>
      <c r="H1430" s="58" t="str">
        <f>Table1[[#This Row],[Tabela]]&amp;Table1[[#This Row],[Campo]]</f>
        <v>lt007_instr_activityDNSH_DTL</v>
      </c>
      <c r="I1430" s="2" t="s">
        <v>1840</v>
      </c>
      <c r="J1430" s="44">
        <f>VLOOKUP(Table1[[#This Row],[Status]],Auxiliar!$B$16:$C$24,2,0)</f>
        <v>2</v>
      </c>
      <c r="K1430" s="20"/>
      <c r="L1430" s="45"/>
      <c r="M1430" s="20"/>
      <c r="N1430" s="47">
        <v>45746</v>
      </c>
      <c r="O1430" s="112" t="e">
        <f>INDEX(Auxiliar!$D$5:$F$11,MATCH(Table1[[#This Row],[Tipologia_Testes]],Auxiliar!$B$5:$B$11,0),MATCH(Table1[[#This Row],[Complexidade]],Auxiliar!$D$4:$F$4,0))</f>
        <v>#N/A</v>
      </c>
      <c r="P1430" s="31"/>
      <c r="Q1430" s="151"/>
      <c r="R1430" s="151"/>
      <c r="S1430" s="151"/>
      <c r="T1430" s="151"/>
      <c r="U1430" s="151"/>
      <c r="V1430" s="151"/>
      <c r="W1430" s="2" t="e">
        <f>VLOOKUP(Table1[[#This Row],[Status]],Auxiliar!$B$16:$D$24,3,0)*Table1[[#This Row],[Estimação (horas)]]</f>
        <v>#N/A</v>
      </c>
      <c r="X1430" s="165">
        <f>+VLOOKUP(CONCATENATE(Table1[[#This Row],[Tabela]],Table1[[#This Row],[Campo]]),'2. Status Detalhe Campos FY24'!A:J,9,FALSE)</f>
        <v>0</v>
      </c>
      <c r="Y1430" s="491" t="e">
        <f>+VLOOKUP(A1430,#REF!,1,FALSE)</f>
        <v>#REF!</v>
      </c>
    </row>
    <row r="1431" spans="1:25" ht="17.899999999999999" customHeight="1">
      <c r="A1431" t="str">
        <f>+Table1[[#This Row],[Tabela]]&amp;Table1[[#This Row],[Campo]]</f>
        <v>lt007_instr_activitysstnbl_indctr</v>
      </c>
      <c r="B1431" s="38" t="s">
        <v>26</v>
      </c>
      <c r="C1431" s="38" t="s">
        <v>26</v>
      </c>
      <c r="D1431" s="12" t="s">
        <v>31</v>
      </c>
      <c r="E1431" s="111" t="s">
        <v>38</v>
      </c>
      <c r="F1431" s="2" t="s">
        <v>1859</v>
      </c>
      <c r="G1431" s="12" t="s">
        <v>418</v>
      </c>
      <c r="H1431" s="58" t="str">
        <f>Table1[[#This Row],[Tabela]]&amp;Table1[[#This Row],[Campo]]</f>
        <v>lt007_instr_activitysstnbl_indctr</v>
      </c>
      <c r="I1431" s="2" t="s">
        <v>615</v>
      </c>
      <c r="J1431" s="44">
        <f>VLOOKUP(Table1[[#This Row],[Status]],Auxiliar!$B$16:$C$24,2,0)</f>
        <v>6</v>
      </c>
      <c r="K1431" s="20" t="s">
        <v>1173</v>
      </c>
      <c r="L1431" s="45" t="s">
        <v>1174</v>
      </c>
      <c r="M1431" s="20" t="s">
        <v>1175</v>
      </c>
      <c r="N1431" s="47">
        <v>45723</v>
      </c>
      <c r="O1431" s="112">
        <v>0.1</v>
      </c>
      <c r="P1431" s="42"/>
      <c r="Q1431" s="151"/>
      <c r="R1431" s="151"/>
      <c r="S1431" s="151"/>
      <c r="T1431" s="151"/>
      <c r="U1431" s="151">
        <v>45624</v>
      </c>
      <c r="V1431" s="151">
        <v>45624</v>
      </c>
      <c r="W1431" s="2">
        <f>VLOOKUP(Table1[[#This Row],[Status]],Auxiliar!$B$16:$D$24,3,0)*Table1[[#This Row],[Estimação (horas)]]</f>
        <v>2.5000000000000001E-2</v>
      </c>
      <c r="X1431" s="165">
        <f>+VLOOKUP(CONCATENATE(Table1[[#This Row],[Tabela]],Table1[[#This Row],[Campo]]),'2. Status Detalhe Campos FY24'!A:J,9,FALSE)</f>
        <v>0</v>
      </c>
      <c r="Y1431" s="491" t="e">
        <f>+VLOOKUP(A1431,#REF!,1,FALSE)</f>
        <v>#REF!</v>
      </c>
    </row>
    <row r="1432" spans="1:25" ht="17.899999999999999" customHeight="1">
      <c r="A1432" t="str">
        <f>+Table1[[#This Row],[Tabela]]&amp;Table1[[#This Row],[Campo]]</f>
        <v>lt007_instr_activitysstnbl_ctgry</v>
      </c>
      <c r="B1432" s="38" t="s">
        <v>26</v>
      </c>
      <c r="C1432" s="38" t="s">
        <v>26</v>
      </c>
      <c r="D1432" s="12" t="s">
        <v>31</v>
      </c>
      <c r="E1432" s="111" t="s">
        <v>38</v>
      </c>
      <c r="F1432" s="2" t="s">
        <v>1859</v>
      </c>
      <c r="G1432" s="12" t="s">
        <v>419</v>
      </c>
      <c r="H1432" s="58" t="str">
        <f>Table1[[#This Row],[Tabela]]&amp;Table1[[#This Row],[Campo]]</f>
        <v>lt007_instr_activitysstnbl_ctgry</v>
      </c>
      <c r="I1432" s="2" t="s">
        <v>1840</v>
      </c>
      <c r="J1432" s="44">
        <f>VLOOKUP(Table1[[#This Row],[Status]],Auxiliar!$B$16:$C$24,2,0)</f>
        <v>2</v>
      </c>
      <c r="K1432" s="20" t="s">
        <v>1173</v>
      </c>
      <c r="L1432" s="45" t="s">
        <v>1174</v>
      </c>
      <c r="M1432" s="20" t="s">
        <v>1175</v>
      </c>
      <c r="N1432" s="47">
        <v>45625</v>
      </c>
      <c r="O1432" s="112">
        <v>0.1</v>
      </c>
      <c r="P1432" s="42"/>
      <c r="Q1432" s="151"/>
      <c r="R1432" s="151">
        <v>45593</v>
      </c>
      <c r="S1432" s="151"/>
      <c r="T1432" s="151">
        <v>45593</v>
      </c>
      <c r="U1432" s="151">
        <v>45624</v>
      </c>
      <c r="V1432" s="151">
        <v>45624</v>
      </c>
      <c r="W1432" s="2">
        <f>VLOOKUP(Table1[[#This Row],[Status]],Auxiliar!$B$16:$D$24,3,0)*Table1[[#This Row],[Estimação (horas)]]</f>
        <v>0.05</v>
      </c>
      <c r="X1432" s="165">
        <f>+VLOOKUP(CONCATENATE(Table1[[#This Row],[Tabela]],Table1[[#This Row],[Campo]]),'2. Status Detalhe Campos FY24'!A:J,9,FALSE)</f>
        <v>0</v>
      </c>
      <c r="Y1432" s="491" t="e">
        <f>+VLOOKUP(A1432,#REF!,1,FALSE)</f>
        <v>#REF!</v>
      </c>
    </row>
    <row r="1433" spans="1:25" ht="17.899999999999999" hidden="1" customHeight="1">
      <c r="A1433" t="str">
        <f>+Table1[[#This Row],[Tabela]]&amp;Table1[[#This Row],[Campo]]</f>
        <v>lt002_instrumentgrss_intrst_incm</v>
      </c>
      <c r="B1433" s="38" t="s">
        <v>26</v>
      </c>
      <c r="C1433" s="38" t="s">
        <v>26</v>
      </c>
      <c r="D1433" s="12" t="s">
        <v>31</v>
      </c>
      <c r="E1433" s="111" t="s">
        <v>38</v>
      </c>
      <c r="F1433" s="2" t="s">
        <v>379</v>
      </c>
      <c r="G1433" s="12" t="s">
        <v>420</v>
      </c>
      <c r="H1433" s="58" t="str">
        <f>Table1[[#This Row],[Tabela]]&amp;Table1[[#This Row],[Campo]]</f>
        <v>lt002_instrumentgrss_intrst_incm</v>
      </c>
      <c r="I1433" s="2" t="s">
        <v>2319</v>
      </c>
      <c r="J1433" s="44">
        <f>VLOOKUP(Table1[[#This Row],[Status]],Auxiliar!$B$16:$C$24,2,0)</f>
        <v>7</v>
      </c>
      <c r="K1433" s="20" t="s">
        <v>1173</v>
      </c>
      <c r="L1433" s="45" t="s">
        <v>1174</v>
      </c>
      <c r="M1433" s="20" t="s">
        <v>1175</v>
      </c>
      <c r="N1433" s="47">
        <v>45716</v>
      </c>
      <c r="O1433" s="112">
        <v>0.1</v>
      </c>
      <c r="P1433" s="2"/>
      <c r="Q1433" s="151"/>
      <c r="R1433" s="151"/>
      <c r="S1433" s="151"/>
      <c r="T1433" s="151">
        <v>45618</v>
      </c>
      <c r="U1433" s="151">
        <v>45631</v>
      </c>
      <c r="V1433" s="151">
        <v>45631</v>
      </c>
      <c r="W1433" s="2">
        <f>VLOOKUP(Table1[[#This Row],[Status]],Auxiliar!$B$16:$D$24,3,0)*Table1[[#This Row],[Estimação (horas)]]</f>
        <v>2.5000000000000001E-2</v>
      </c>
      <c r="X1433" s="165">
        <f>+VLOOKUP(CONCATENATE(Table1[[#This Row],[Tabela]],Table1[[#This Row],[Campo]]),'2. Status Detalhe Campos FY24'!A:J,9,FALSE)</f>
        <v>0</v>
      </c>
      <c r="Y1433" s="491" t="e">
        <f>+VLOOKUP(A1433,#REF!,1,FALSE)</f>
        <v>#REF!</v>
      </c>
    </row>
    <row r="1434" spans="1:25" ht="17.899999999999999" hidden="1" customHeight="1">
      <c r="A1434" t="str">
        <f>+Table1[[#This Row],[Tabela]]&amp;Table1[[#This Row],[Campo]]</f>
        <v>lt002_instrumentgrss_cmmssn_incm</v>
      </c>
      <c r="B1434" s="38" t="s">
        <v>26</v>
      </c>
      <c r="C1434" s="38" t="s">
        <v>26</v>
      </c>
      <c r="D1434" s="12" t="s">
        <v>31</v>
      </c>
      <c r="E1434" s="111" t="s">
        <v>38</v>
      </c>
      <c r="F1434" s="2" t="s">
        <v>379</v>
      </c>
      <c r="G1434" s="12" t="s">
        <v>421</v>
      </c>
      <c r="H1434" s="58" t="str">
        <f>Table1[[#This Row],[Tabela]]&amp;Table1[[#This Row],[Campo]]</f>
        <v>lt002_instrumentgrss_cmmssn_incm</v>
      </c>
      <c r="I1434" s="2" t="s">
        <v>2319</v>
      </c>
      <c r="J1434" s="44">
        <f>VLOOKUP(Table1[[#This Row],[Status]],Auxiliar!$B$16:$C$24,2,0)</f>
        <v>7</v>
      </c>
      <c r="K1434" s="20" t="s">
        <v>1173</v>
      </c>
      <c r="L1434" s="45" t="s">
        <v>1174</v>
      </c>
      <c r="M1434" s="20" t="s">
        <v>1175</v>
      </c>
      <c r="N1434" s="47">
        <v>45716</v>
      </c>
      <c r="O1434" s="112">
        <v>0.1</v>
      </c>
      <c r="P1434" s="2"/>
      <c r="Q1434" s="151"/>
      <c r="R1434" s="151"/>
      <c r="S1434" s="151"/>
      <c r="T1434" s="151">
        <v>45618</v>
      </c>
      <c r="U1434" s="151">
        <v>45631</v>
      </c>
      <c r="V1434" s="151">
        <v>45631</v>
      </c>
      <c r="W1434" s="2">
        <f>VLOOKUP(Table1[[#This Row],[Status]],Auxiliar!$B$16:$D$24,3,0)*Table1[[#This Row],[Estimação (horas)]]</f>
        <v>2.5000000000000001E-2</v>
      </c>
      <c r="X1434" s="165">
        <f>+VLOOKUP(CONCATENATE(Table1[[#This Row],[Tabela]],Table1[[#This Row],[Campo]]),'2. Status Detalhe Campos FY24'!A:J,9,FALSE)</f>
        <v>0</v>
      </c>
      <c r="Y1434" s="491" t="e">
        <f>+VLOOKUP(A1434,#REF!,1,FALSE)</f>
        <v>#REF!</v>
      </c>
    </row>
    <row r="1435" spans="1:25" ht="17.899999999999999" hidden="1" customHeight="1">
      <c r="A1435" t="str">
        <f>+Table1[[#This Row],[Tabela]]&amp;Table1[[#This Row],[Campo]]</f>
        <v>lt002_instrumentgrss_cmmssn_incm_off_blnc</v>
      </c>
      <c r="B1435" s="38" t="s">
        <v>26</v>
      </c>
      <c r="C1435" s="38" t="s">
        <v>26</v>
      </c>
      <c r="D1435" s="12" t="s">
        <v>31</v>
      </c>
      <c r="E1435" s="111" t="s">
        <v>38</v>
      </c>
      <c r="F1435" s="2" t="s">
        <v>379</v>
      </c>
      <c r="G1435" s="12" t="s">
        <v>422</v>
      </c>
      <c r="H1435" s="58" t="str">
        <f>Table1[[#This Row],[Tabela]]&amp;Table1[[#This Row],[Campo]]</f>
        <v>lt002_instrumentgrss_cmmssn_incm_off_blnc</v>
      </c>
      <c r="I1435" s="2" t="s">
        <v>2319</v>
      </c>
      <c r="J1435" s="44">
        <f>VLOOKUP(Table1[[#This Row],[Status]],Auxiliar!$B$16:$C$24,2,0)</f>
        <v>7</v>
      </c>
      <c r="K1435" s="20" t="s">
        <v>1173</v>
      </c>
      <c r="L1435" s="45" t="s">
        <v>1174</v>
      </c>
      <c r="M1435" s="20" t="s">
        <v>1175</v>
      </c>
      <c r="N1435" s="47">
        <v>45716</v>
      </c>
      <c r="O1435" s="112">
        <v>0.1</v>
      </c>
      <c r="P1435" s="2"/>
      <c r="Q1435" s="151"/>
      <c r="R1435" s="151"/>
      <c r="S1435" s="151"/>
      <c r="T1435" s="151">
        <v>45618</v>
      </c>
      <c r="U1435" s="151">
        <v>45631</v>
      </c>
      <c r="V1435" s="151">
        <v>45631</v>
      </c>
      <c r="W1435" s="2">
        <f>VLOOKUP(Table1[[#This Row],[Status]],Auxiliar!$B$16:$D$24,3,0)*Table1[[#This Row],[Estimação (horas)]]</f>
        <v>2.5000000000000001E-2</v>
      </c>
      <c r="X1435" s="165">
        <f>+VLOOKUP(CONCATENATE(Table1[[#This Row],[Tabela]],Table1[[#This Row],[Campo]]),'2. Status Detalhe Campos FY24'!A:J,9,FALSE)</f>
        <v>0</v>
      </c>
      <c r="Y1435" s="491" t="e">
        <f>+VLOOKUP(A1435,#REF!,1,FALSE)</f>
        <v>#REF!</v>
      </c>
    </row>
    <row r="1436" spans="1:25" ht="17.899999999999999" hidden="1" customHeight="1">
      <c r="A1436" t="str">
        <f>+Table1[[#This Row],[Tabela]]&amp;Table1[[#This Row],[Campo]]</f>
        <v>lt002_instrumentidcmb</v>
      </c>
      <c r="B1436" s="38" t="s">
        <v>26</v>
      </c>
      <c r="C1436" s="38" t="s">
        <v>26</v>
      </c>
      <c r="D1436" s="12" t="s">
        <v>399</v>
      </c>
      <c r="E1436" s="111" t="s">
        <v>38</v>
      </c>
      <c r="F1436" s="2" t="s">
        <v>379</v>
      </c>
      <c r="G1436" s="12" t="s">
        <v>423</v>
      </c>
      <c r="H1436" s="58" t="str">
        <f>Table1[[#This Row],[Tabela]]&amp;Table1[[#This Row],[Campo]]</f>
        <v>lt002_instrumentidcmb</v>
      </c>
      <c r="I1436" s="2" t="s">
        <v>612</v>
      </c>
      <c r="J1436" s="44">
        <f>VLOOKUP(Table1[[#This Row],[Status]],Auxiliar!$B$16:$C$24,2,0)</f>
        <v>1</v>
      </c>
      <c r="K1436" s="20" t="s">
        <v>1173</v>
      </c>
      <c r="L1436" s="45" t="s">
        <v>1174</v>
      </c>
      <c r="M1436" s="20" t="s">
        <v>1175</v>
      </c>
      <c r="N1436" s="47">
        <v>45506</v>
      </c>
      <c r="O1436" s="112">
        <v>0.1</v>
      </c>
      <c r="P1436" s="2"/>
      <c r="Q1436" s="151"/>
      <c r="R1436" s="151"/>
      <c r="S1436" s="151"/>
      <c r="T1436" s="151"/>
      <c r="U1436" s="151"/>
      <c r="V1436" s="151"/>
      <c r="W1436" s="2">
        <f>VLOOKUP(Table1[[#This Row],[Status]],Auxiliar!$B$16:$D$24,3,0)*Table1[[#This Row],[Estimação (horas)]]</f>
        <v>0.1</v>
      </c>
      <c r="X1436" s="165">
        <f>+VLOOKUP(CONCATENATE(Table1[[#This Row],[Tabela]],Table1[[#This Row],[Campo]]),'2. Status Detalhe Campos FY24'!A:J,9,FALSE)</f>
        <v>0</v>
      </c>
      <c r="Y1436" s="491" t="e">
        <f>+VLOOKUP(A1436,#REF!,1,FALSE)</f>
        <v>#REF!</v>
      </c>
    </row>
    <row r="1437" spans="1:25" ht="17.899999999999999" hidden="1" customHeight="1">
      <c r="A1437" t="str">
        <f>+Table1[[#This Row],[Tabela]]&amp;Table1[[#This Row],[Campo]]</f>
        <v>lt003_entitycntry</v>
      </c>
      <c r="B1437" s="38" t="s">
        <v>26</v>
      </c>
      <c r="C1437" s="38" t="s">
        <v>26</v>
      </c>
      <c r="D1437" s="12" t="s">
        <v>399</v>
      </c>
      <c r="E1437" s="111" t="s">
        <v>38</v>
      </c>
      <c r="F1437" s="2" t="s">
        <v>335</v>
      </c>
      <c r="G1437" s="12" t="s">
        <v>424</v>
      </c>
      <c r="H1437" s="58" t="str">
        <f>Table1[[#This Row],[Tabela]]&amp;Table1[[#This Row],[Campo]]</f>
        <v>lt003_entitycntry</v>
      </c>
      <c r="I1437" s="2" t="s">
        <v>612</v>
      </c>
      <c r="J1437" s="44">
        <f>VLOOKUP(Table1[[#This Row],[Status]],Auxiliar!$B$16:$C$24,2,0)</f>
        <v>1</v>
      </c>
      <c r="K1437" s="20" t="s">
        <v>1173</v>
      </c>
      <c r="L1437" s="45" t="s">
        <v>1174</v>
      </c>
      <c r="M1437" s="20" t="s">
        <v>1175</v>
      </c>
      <c r="N1437" s="47">
        <v>45505</v>
      </c>
      <c r="O1437" s="112">
        <v>0.1</v>
      </c>
      <c r="P1437" s="2"/>
      <c r="Q1437" s="151"/>
      <c r="R1437" s="151"/>
      <c r="S1437" s="151"/>
      <c r="T1437" s="151"/>
      <c r="U1437" s="151"/>
      <c r="V1437" s="151"/>
      <c r="W1437" s="2">
        <f>VLOOKUP(Table1[[#This Row],[Status]],Auxiliar!$B$16:$D$24,3,0)*Table1[[#This Row],[Estimação (horas)]]</f>
        <v>0.1</v>
      </c>
      <c r="X1437" s="165">
        <f>+VLOOKUP(CONCATENATE(Table1[[#This Row],[Tabela]],Table1[[#This Row],[Campo]]),'2. Status Detalhe Campos FY24'!A:J,9,FALSE)</f>
        <v>0</v>
      </c>
      <c r="Y1437" s="491" t="e">
        <f>+VLOOKUP(A1437,#REF!,1,FALSE)</f>
        <v>#REF!</v>
      </c>
    </row>
    <row r="1438" spans="1:25" ht="17.899999999999999" hidden="1" customHeight="1">
      <c r="A1438" t="str">
        <f>+Table1[[#This Row],[Tabela]]&amp;Table1[[#This Row],[Campo]]</f>
        <v>lt003_entitydt_rfrnc</v>
      </c>
      <c r="B1438" s="38" t="s">
        <v>26</v>
      </c>
      <c r="C1438" s="38" t="s">
        <v>26</v>
      </c>
      <c r="D1438" s="12" t="s">
        <v>399</v>
      </c>
      <c r="E1438" s="111" t="s">
        <v>38</v>
      </c>
      <c r="F1438" s="2" t="s">
        <v>335</v>
      </c>
      <c r="G1438" s="12" t="s">
        <v>398</v>
      </c>
      <c r="H1438" s="58" t="str">
        <f>Table1[[#This Row],[Tabela]]&amp;Table1[[#This Row],[Campo]]</f>
        <v>lt003_entitydt_rfrnc</v>
      </c>
      <c r="I1438" s="2" t="s">
        <v>612</v>
      </c>
      <c r="J1438" s="44">
        <f>VLOOKUP(Table1[[#This Row],[Status]],Auxiliar!$B$16:$C$24,2,0)</f>
        <v>1</v>
      </c>
      <c r="K1438" s="20" t="s">
        <v>1173</v>
      </c>
      <c r="L1438" s="45" t="s">
        <v>1174</v>
      </c>
      <c r="M1438" s="20" t="s">
        <v>1175</v>
      </c>
      <c r="N1438" s="47">
        <v>45506</v>
      </c>
      <c r="O1438" s="112">
        <v>0.1</v>
      </c>
      <c r="P1438" s="2"/>
      <c r="Q1438" s="151"/>
      <c r="R1438" s="151"/>
      <c r="S1438" s="151"/>
      <c r="T1438" s="151"/>
      <c r="U1438" s="151"/>
      <c r="V1438" s="151"/>
      <c r="W1438" s="2">
        <f>VLOOKUP(Table1[[#This Row],[Status]],Auxiliar!$B$16:$D$24,3,0)*Table1[[#This Row],[Estimação (horas)]]</f>
        <v>0.1</v>
      </c>
      <c r="X1438" s="165">
        <f>+VLOOKUP(CONCATENATE(Table1[[#This Row],[Tabela]],Table1[[#This Row],[Campo]]),'2. Status Detalhe Campos FY24'!A:J,9,FALSE)</f>
        <v>0</v>
      </c>
      <c r="Y1438" s="491" t="e">
        <f>+VLOOKUP(A1438,#REF!,1,FALSE)</f>
        <v>#REF!</v>
      </c>
    </row>
    <row r="1439" spans="1:25" ht="17.899999999999999" hidden="1" customHeight="1">
      <c r="A1439" t="str">
        <f>+Table1[[#This Row],[Tabela]]&amp;Table1[[#This Row],[Campo]]</f>
        <v>lt003_entityentty_id</v>
      </c>
      <c r="B1439" s="38" t="s">
        <v>26</v>
      </c>
      <c r="C1439" s="38" t="s">
        <v>26</v>
      </c>
      <c r="D1439" s="12" t="s">
        <v>399</v>
      </c>
      <c r="E1439" s="111" t="s">
        <v>38</v>
      </c>
      <c r="F1439" s="2" t="s">
        <v>335</v>
      </c>
      <c r="G1439" s="12" t="s">
        <v>425</v>
      </c>
      <c r="H1439" s="58" t="str">
        <f>Table1[[#This Row],[Tabela]]&amp;Table1[[#This Row],[Campo]]</f>
        <v>lt003_entityentty_id</v>
      </c>
      <c r="I1439" s="2" t="s">
        <v>612</v>
      </c>
      <c r="J1439" s="44">
        <f>VLOOKUP(Table1[[#This Row],[Status]],Auxiliar!$B$16:$C$24,2,0)</f>
        <v>1</v>
      </c>
      <c r="K1439" s="20" t="s">
        <v>1173</v>
      </c>
      <c r="L1439" s="45" t="s">
        <v>1174</v>
      </c>
      <c r="M1439" s="20" t="s">
        <v>1175</v>
      </c>
      <c r="N1439" s="47">
        <v>45506</v>
      </c>
      <c r="O1439" s="112">
        <v>0.1</v>
      </c>
      <c r="P1439" s="2"/>
      <c r="Q1439" s="151"/>
      <c r="R1439" s="151"/>
      <c r="S1439" s="151"/>
      <c r="T1439" s="151"/>
      <c r="U1439" s="151"/>
      <c r="V1439" s="151"/>
      <c r="W1439" s="2">
        <f>VLOOKUP(Table1[[#This Row],[Status]],Auxiliar!$B$16:$D$24,3,0)*Table1[[#This Row],[Estimação (horas)]]</f>
        <v>0.1</v>
      </c>
      <c r="X1439" s="165">
        <f>+VLOOKUP(CONCATENATE(Table1[[#This Row],[Tabela]],Table1[[#This Row],[Campo]]),'2. Status Detalhe Campos FY24'!A:J,9,FALSE)</f>
        <v>0</v>
      </c>
      <c r="Y1439" s="491" t="e">
        <f>+VLOOKUP(A1439,#REF!,1,FALSE)</f>
        <v>#REF!</v>
      </c>
    </row>
    <row r="1440" spans="1:25" ht="17.899999999999999" hidden="1" customHeight="1">
      <c r="A1440" t="str">
        <f>+Table1[[#This Row],[Tabela]]&amp;Table1[[#This Row],[Campo]]</f>
        <v>lt003_entitylei</v>
      </c>
      <c r="B1440" s="38" t="s">
        <v>26</v>
      </c>
      <c r="C1440" s="38" t="s">
        <v>26</v>
      </c>
      <c r="D1440" s="12" t="s">
        <v>399</v>
      </c>
      <c r="E1440" s="111" t="s">
        <v>38</v>
      </c>
      <c r="F1440" s="2" t="s">
        <v>335</v>
      </c>
      <c r="G1440" s="12" t="s">
        <v>426</v>
      </c>
      <c r="H1440" s="58" t="str">
        <f>Table1[[#This Row],[Tabela]]&amp;Table1[[#This Row],[Campo]]</f>
        <v>lt003_entitylei</v>
      </c>
      <c r="I1440" s="2" t="s">
        <v>612</v>
      </c>
      <c r="J1440" s="44">
        <f>VLOOKUP(Table1[[#This Row],[Status]],Auxiliar!$B$16:$C$24,2,0)</f>
        <v>1</v>
      </c>
      <c r="K1440" s="20" t="s">
        <v>1173</v>
      </c>
      <c r="L1440" s="45" t="s">
        <v>1174</v>
      </c>
      <c r="M1440" s="20" t="s">
        <v>1175</v>
      </c>
      <c r="N1440" s="47">
        <v>45509</v>
      </c>
      <c r="O1440" s="112">
        <v>0.1</v>
      </c>
      <c r="P1440" s="2" t="s">
        <v>1278</v>
      </c>
      <c r="Q1440" s="151"/>
      <c r="R1440" s="151"/>
      <c r="S1440" s="151"/>
      <c r="T1440" s="151"/>
      <c r="U1440" s="151"/>
      <c r="V1440" s="151"/>
      <c r="W1440" s="2">
        <f>VLOOKUP(Table1[[#This Row],[Status]],Auxiliar!$B$16:$D$24,3,0)*Table1[[#This Row],[Estimação (horas)]]</f>
        <v>0.1</v>
      </c>
      <c r="X1440" s="165">
        <f>+VLOOKUP(CONCATENATE(Table1[[#This Row],[Tabela]],Table1[[#This Row],[Campo]]),'2. Status Detalhe Campos FY24'!A:J,9,FALSE)</f>
        <v>0</v>
      </c>
      <c r="Y1440" s="491" t="e">
        <f>+VLOOKUP(A1440,#REF!,1,FALSE)</f>
        <v>#REF!</v>
      </c>
    </row>
    <row r="1441" spans="1:25" ht="17.899999999999999" hidden="1" customHeight="1">
      <c r="A1441" t="str">
        <f>+Table1[[#This Row],[Tabela]]&amp;Table1[[#This Row],[Campo]]</f>
        <v>lt003_entityecnmc_actvty</v>
      </c>
      <c r="B1441" s="38" t="s">
        <v>26</v>
      </c>
      <c r="C1441" s="38" t="s">
        <v>26</v>
      </c>
      <c r="D1441" s="12" t="s">
        <v>399</v>
      </c>
      <c r="E1441" s="111" t="s">
        <v>38</v>
      </c>
      <c r="F1441" s="2" t="s">
        <v>335</v>
      </c>
      <c r="G1441" s="12" t="s">
        <v>427</v>
      </c>
      <c r="H1441" s="58" t="str">
        <f>Table1[[#This Row],[Tabela]]&amp;Table1[[#This Row],[Campo]]</f>
        <v>lt003_entityecnmc_actvty</v>
      </c>
      <c r="I1441" s="2" t="s">
        <v>612</v>
      </c>
      <c r="J1441" s="44">
        <f>VLOOKUP(Table1[[#This Row],[Status]],Auxiliar!$B$16:$C$24,2,0)</f>
        <v>1</v>
      </c>
      <c r="K1441" s="20" t="s">
        <v>1173</v>
      </c>
      <c r="L1441" s="45" t="s">
        <v>1174</v>
      </c>
      <c r="M1441" s="20" t="s">
        <v>1175</v>
      </c>
      <c r="N1441" s="47">
        <v>45509</v>
      </c>
      <c r="O1441" s="112">
        <v>0.1</v>
      </c>
      <c r="P1441" s="2" t="s">
        <v>1278</v>
      </c>
      <c r="Q1441" s="151"/>
      <c r="R1441" s="151"/>
      <c r="S1441" s="151"/>
      <c r="T1441" s="151"/>
      <c r="U1441" s="151"/>
      <c r="V1441" s="151"/>
      <c r="W1441" s="2">
        <f>VLOOKUP(Table1[[#This Row],[Status]],Auxiliar!$B$16:$D$24,3,0)*Table1[[#This Row],[Estimação (horas)]]</f>
        <v>0.1</v>
      </c>
      <c r="X1441" s="165">
        <f>+VLOOKUP(CONCATENATE(Table1[[#This Row],[Tabela]],Table1[[#This Row],[Campo]]),'2. Status Detalhe Campos FY24'!A:J,9,FALSE)</f>
        <v>0</v>
      </c>
      <c r="Y1441" s="491" t="e">
        <f>+VLOOKUP(A1441,#REF!,1,FALSE)</f>
        <v>#REF!</v>
      </c>
    </row>
    <row r="1442" spans="1:25" ht="17.899999999999999" hidden="1" customHeight="1">
      <c r="A1442" t="str">
        <f>+Table1[[#This Row],[Tabela]]&amp;Table1[[#This Row],[Campo]]</f>
        <v>lt003_entitygrp_eqty</v>
      </c>
      <c r="B1442" s="38" t="s">
        <v>26</v>
      </c>
      <c r="C1442" s="38" t="s">
        <v>26</v>
      </c>
      <c r="D1442" s="12" t="s">
        <v>399</v>
      </c>
      <c r="E1442" s="111" t="s">
        <v>38</v>
      </c>
      <c r="F1442" s="2" t="s">
        <v>335</v>
      </c>
      <c r="G1442" s="12" t="s">
        <v>428</v>
      </c>
      <c r="H1442" s="58" t="str">
        <f>Table1[[#This Row],[Tabela]]&amp;Table1[[#This Row],[Campo]]</f>
        <v>lt003_entitygrp_eqty</v>
      </c>
      <c r="I1442" s="2" t="s">
        <v>612</v>
      </c>
      <c r="J1442" s="44">
        <f>VLOOKUP(Table1[[#This Row],[Status]],Auxiliar!$B$16:$C$24,2,0)</f>
        <v>1</v>
      </c>
      <c r="K1442" s="20" t="s">
        <v>1173</v>
      </c>
      <c r="L1442" s="45" t="s">
        <v>1174</v>
      </c>
      <c r="M1442" s="20" t="s">
        <v>1175</v>
      </c>
      <c r="N1442" s="47">
        <v>45509</v>
      </c>
      <c r="O1442" s="112">
        <v>0.1</v>
      </c>
      <c r="P1442" s="2" t="s">
        <v>1278</v>
      </c>
      <c r="Q1442" s="151"/>
      <c r="R1442" s="151"/>
      <c r="S1442" s="151"/>
      <c r="T1442" s="151"/>
      <c r="U1442" s="151"/>
      <c r="V1442" s="151"/>
      <c r="W1442" s="2">
        <f>VLOOKUP(Table1[[#This Row],[Status]],Auxiliar!$B$16:$D$24,3,0)*Table1[[#This Row],[Estimação (horas)]]</f>
        <v>0.1</v>
      </c>
      <c r="X1442" s="165">
        <f>+VLOOKUP(CONCATENATE(Table1[[#This Row],[Tabela]],Table1[[#This Row],[Campo]]),'2. Status Detalhe Campos FY24'!A:J,9,FALSE)</f>
        <v>0</v>
      </c>
      <c r="Y1442" s="491" t="e">
        <f>+VLOOKUP(A1442,#REF!,1,FALSE)</f>
        <v>#REF!</v>
      </c>
    </row>
    <row r="1443" spans="1:25" ht="17.899999999999999" hidden="1" customHeight="1">
      <c r="A1443" t="str">
        <f>+Table1[[#This Row],[Tabela]]&amp;Table1[[#This Row],[Campo]]</f>
        <v>lt003_entityannl_trnvr_le</v>
      </c>
      <c r="B1443" s="38" t="s">
        <v>26</v>
      </c>
      <c r="C1443" s="38" t="s">
        <v>26</v>
      </c>
      <c r="D1443" s="12" t="s">
        <v>399</v>
      </c>
      <c r="E1443" s="111" t="s">
        <v>38</v>
      </c>
      <c r="F1443" s="2" t="s">
        <v>335</v>
      </c>
      <c r="G1443" s="12" t="s">
        <v>429</v>
      </c>
      <c r="H1443" s="58" t="str">
        <f>Table1[[#This Row],[Tabela]]&amp;Table1[[#This Row],[Campo]]</f>
        <v>lt003_entityannl_trnvr_le</v>
      </c>
      <c r="I1443" s="2" t="s">
        <v>612</v>
      </c>
      <c r="J1443" s="44">
        <f>VLOOKUP(Table1[[#This Row],[Status]],Auxiliar!$B$16:$C$24,2,0)</f>
        <v>1</v>
      </c>
      <c r="K1443" s="20" t="s">
        <v>1173</v>
      </c>
      <c r="L1443" s="45" t="s">
        <v>1174</v>
      </c>
      <c r="M1443" s="20" t="s">
        <v>1175</v>
      </c>
      <c r="N1443" s="47">
        <v>45509</v>
      </c>
      <c r="O1443" s="112">
        <v>0.1</v>
      </c>
      <c r="P1443" s="2" t="s">
        <v>1278</v>
      </c>
      <c r="Q1443" s="151"/>
      <c r="R1443" s="151"/>
      <c r="S1443" s="151"/>
      <c r="T1443" s="151"/>
      <c r="U1443" s="151"/>
      <c r="V1443" s="151"/>
      <c r="W1443" s="2">
        <f>VLOOKUP(Table1[[#This Row],[Status]],Auxiliar!$B$16:$D$24,3,0)*Table1[[#This Row],[Estimação (horas)]]</f>
        <v>0.1</v>
      </c>
      <c r="X1443" s="165">
        <f>+VLOOKUP(CONCATENATE(Table1[[#This Row],[Tabela]],Table1[[#This Row],[Campo]]),'2. Status Detalhe Campos FY24'!A:J,9,FALSE)</f>
        <v>0</v>
      </c>
      <c r="Y1443" s="491" t="e">
        <f>+VLOOKUP(A1443,#REF!,1,FALSE)</f>
        <v>#REF!</v>
      </c>
    </row>
    <row r="1444" spans="1:25" ht="17.899999999999999" hidden="1" customHeight="1">
      <c r="A1444" t="str">
        <f>+Table1[[#This Row],[Tabela]]&amp;Table1[[#This Row],[Campo]]</f>
        <v>lt003_entityeqty</v>
      </c>
      <c r="B1444" s="38" t="s">
        <v>26</v>
      </c>
      <c r="C1444" s="38" t="s">
        <v>26</v>
      </c>
      <c r="D1444" s="12" t="s">
        <v>399</v>
      </c>
      <c r="E1444" s="111" t="s">
        <v>38</v>
      </c>
      <c r="F1444" s="2" t="s">
        <v>335</v>
      </c>
      <c r="G1444" s="12" t="s">
        <v>430</v>
      </c>
      <c r="H1444" s="58" t="str">
        <f>Table1[[#This Row],[Tabela]]&amp;Table1[[#This Row],[Campo]]</f>
        <v>lt003_entityeqty</v>
      </c>
      <c r="I1444" s="2" t="s">
        <v>612</v>
      </c>
      <c r="J1444" s="44">
        <f>VLOOKUP(Table1[[#This Row],[Status]],Auxiliar!$B$16:$C$24,2,0)</f>
        <v>1</v>
      </c>
      <c r="K1444" s="20" t="s">
        <v>1173</v>
      </c>
      <c r="L1444" s="45" t="s">
        <v>1174</v>
      </c>
      <c r="M1444" s="20" t="s">
        <v>1175</v>
      </c>
      <c r="N1444" s="47">
        <v>45509</v>
      </c>
      <c r="O1444" s="112">
        <v>0.1</v>
      </c>
      <c r="P1444" s="2" t="s">
        <v>1278</v>
      </c>
      <c r="Q1444" s="151"/>
      <c r="R1444" s="151"/>
      <c r="S1444" s="151"/>
      <c r="T1444" s="151"/>
      <c r="U1444" s="151"/>
      <c r="V1444" s="151"/>
      <c r="W1444" s="2">
        <f>VLOOKUP(Table1[[#This Row],[Status]],Auxiliar!$B$16:$D$24,3,0)*Table1[[#This Row],[Estimação (horas)]]</f>
        <v>0.1</v>
      </c>
      <c r="X1444" s="165">
        <f>+VLOOKUP(CONCATENATE(Table1[[#This Row],[Tabela]],Table1[[#This Row],[Campo]]),'2. Status Detalhe Campos FY24'!A:J,9,FALSE)</f>
        <v>0</v>
      </c>
      <c r="Y1444" s="491" t="e">
        <f>+VLOOKUP(A1444,#REF!,1,FALSE)</f>
        <v>#REF!</v>
      </c>
    </row>
    <row r="1445" spans="1:25" ht="17.899999999999999" hidden="1" customHeight="1">
      <c r="A1445" t="str">
        <f>+Table1[[#This Row],[Tabela]]&amp;Table1[[#This Row],[Campo]]</f>
        <v>lt003_entitygrp_ttl_dbt</v>
      </c>
      <c r="B1445" s="38" t="s">
        <v>26</v>
      </c>
      <c r="C1445" s="38" t="s">
        <v>26</v>
      </c>
      <c r="D1445" s="12" t="s">
        <v>399</v>
      </c>
      <c r="E1445" s="111" t="s">
        <v>38</v>
      </c>
      <c r="F1445" s="2" t="s">
        <v>335</v>
      </c>
      <c r="G1445" s="12" t="s">
        <v>431</v>
      </c>
      <c r="H1445" s="58" t="str">
        <f>Table1[[#This Row],[Tabela]]&amp;Table1[[#This Row],[Campo]]</f>
        <v>lt003_entitygrp_ttl_dbt</v>
      </c>
      <c r="I1445" s="2" t="s">
        <v>612</v>
      </c>
      <c r="J1445" s="44">
        <f>VLOOKUP(Table1[[#This Row],[Status]],Auxiliar!$B$16:$C$24,2,0)</f>
        <v>1</v>
      </c>
      <c r="K1445" s="20" t="s">
        <v>1173</v>
      </c>
      <c r="L1445" s="45" t="s">
        <v>1174</v>
      </c>
      <c r="M1445" s="20" t="s">
        <v>1175</v>
      </c>
      <c r="N1445" s="47">
        <v>45509</v>
      </c>
      <c r="O1445" s="112">
        <v>0.1</v>
      </c>
      <c r="P1445" s="2" t="s">
        <v>1278</v>
      </c>
      <c r="Q1445" s="151"/>
      <c r="R1445" s="151"/>
      <c r="S1445" s="151"/>
      <c r="T1445" s="151"/>
      <c r="U1445" s="151"/>
      <c r="V1445" s="151"/>
      <c r="W1445" s="2">
        <f>VLOOKUP(Table1[[#This Row],[Status]],Auxiliar!$B$16:$D$24,3,0)*Table1[[#This Row],[Estimação (horas)]]</f>
        <v>0.1</v>
      </c>
      <c r="X1445" s="165">
        <f>+VLOOKUP(CONCATENATE(Table1[[#This Row],[Tabela]],Table1[[#This Row],[Campo]]),'2. Status Detalhe Campos FY24'!A:J,9,FALSE)</f>
        <v>0</v>
      </c>
      <c r="Y1445" s="491" t="e">
        <f>+VLOOKUP(A1445,#REF!,1,FALSE)</f>
        <v>#REF!</v>
      </c>
    </row>
    <row r="1446" spans="1:25" ht="17.899999999999999" hidden="1" customHeight="1">
      <c r="A1446" t="str">
        <f>+Table1[[#This Row],[Tabela]]&amp;Table1[[#This Row],[Campo]]</f>
        <v>lt003_entityttl_dbt</v>
      </c>
      <c r="B1446" s="38" t="s">
        <v>26</v>
      </c>
      <c r="C1446" s="38" t="s">
        <v>26</v>
      </c>
      <c r="D1446" s="12" t="s">
        <v>399</v>
      </c>
      <c r="E1446" s="111" t="s">
        <v>38</v>
      </c>
      <c r="F1446" s="2" t="s">
        <v>335</v>
      </c>
      <c r="G1446" s="12" t="s">
        <v>432</v>
      </c>
      <c r="H1446" s="58" t="str">
        <f>Table1[[#This Row],[Tabela]]&amp;Table1[[#This Row],[Campo]]</f>
        <v>lt003_entityttl_dbt</v>
      </c>
      <c r="I1446" s="2" t="s">
        <v>612</v>
      </c>
      <c r="J1446" s="44">
        <f>VLOOKUP(Table1[[#This Row],[Status]],Auxiliar!$B$16:$C$24,2,0)</f>
        <v>1</v>
      </c>
      <c r="K1446" s="20" t="s">
        <v>1173</v>
      </c>
      <c r="L1446" s="45" t="s">
        <v>1174</v>
      </c>
      <c r="M1446" s="20" t="s">
        <v>1175</v>
      </c>
      <c r="N1446" s="47">
        <v>45509</v>
      </c>
      <c r="O1446" s="112">
        <v>0.1</v>
      </c>
      <c r="P1446" s="2" t="s">
        <v>1278</v>
      </c>
      <c r="Q1446" s="151"/>
      <c r="R1446" s="151"/>
      <c r="S1446" s="151"/>
      <c r="T1446" s="151"/>
      <c r="U1446" s="151"/>
      <c r="V1446" s="151"/>
      <c r="W1446" s="2">
        <f>VLOOKUP(Table1[[#This Row],[Status]],Auxiliar!$B$16:$D$24,3,0)*Table1[[#This Row],[Estimação (horas)]]</f>
        <v>0.1</v>
      </c>
      <c r="X1446" s="165">
        <f>+VLOOKUP(CONCATENATE(Table1[[#This Row],[Tabela]],Table1[[#This Row],[Campo]]),'2. Status Detalhe Campos FY24'!A:J,9,FALSE)</f>
        <v>0</v>
      </c>
      <c r="Y1446" s="491" t="e">
        <f>+VLOOKUP(A1446,#REF!,1,FALSE)</f>
        <v>#REF!</v>
      </c>
    </row>
    <row r="1447" spans="1:25" ht="17.899999999999999" hidden="1" customHeight="1">
      <c r="A1447" t="str">
        <f>+Table1[[#This Row],[Tabela]]&amp;Table1[[#This Row],[Campo]]</f>
        <v>lt003_entitycod_soc</v>
      </c>
      <c r="B1447" s="38" t="s">
        <v>26</v>
      </c>
      <c r="C1447" s="38" t="s">
        <v>26</v>
      </c>
      <c r="D1447" s="19" t="s">
        <v>399</v>
      </c>
      <c r="E1447" s="111" t="s">
        <v>38</v>
      </c>
      <c r="F1447" s="31" t="s">
        <v>335</v>
      </c>
      <c r="G1447" s="19" t="s">
        <v>416</v>
      </c>
      <c r="H1447" s="58" t="str">
        <f>Table1[[#This Row],[Tabela]]&amp;Table1[[#This Row],[Campo]]</f>
        <v>lt003_entitycod_soc</v>
      </c>
      <c r="I1447" s="2" t="s">
        <v>612</v>
      </c>
      <c r="J1447" s="44">
        <f>VLOOKUP(Table1[[#This Row],[Status]],Auxiliar!$B$16:$C$24,2,0)</f>
        <v>1</v>
      </c>
      <c r="K1447" s="20" t="s">
        <v>1173</v>
      </c>
      <c r="L1447" s="45" t="s">
        <v>1174</v>
      </c>
      <c r="M1447" s="20" t="s">
        <v>1175</v>
      </c>
      <c r="N1447" s="47">
        <v>45491</v>
      </c>
      <c r="O1447" s="112">
        <v>0.1</v>
      </c>
      <c r="P1447" s="31"/>
      <c r="Q1447" s="151"/>
      <c r="R1447" s="151"/>
      <c r="S1447" s="151"/>
      <c r="T1447" s="151"/>
      <c r="U1447" s="151"/>
      <c r="V1447" s="151"/>
      <c r="W1447" s="2">
        <f>VLOOKUP(Table1[[#This Row],[Status]],Auxiliar!$B$16:$D$24,3,0)*Table1[[#This Row],[Estimação (horas)]]</f>
        <v>0.1</v>
      </c>
      <c r="X1447" s="165">
        <f>+VLOOKUP(CONCATENATE(Table1[[#This Row],[Tabela]],Table1[[#This Row],[Campo]]),'2. Status Detalhe Campos FY24'!A:J,9,FALSE)</f>
        <v>0</v>
      </c>
      <c r="Y1447" s="491" t="e">
        <f>+VLOOKUP(A1447,#REF!,1,FALSE)</f>
        <v>#REF!</v>
      </c>
    </row>
    <row r="1448" spans="1:25" ht="17.899999999999999" hidden="1" customHeight="1">
      <c r="A1448" t="str">
        <f>+Table1[[#This Row],[Tabela]]&amp;Table1[[#This Row],[Campo]]</f>
        <v>lt003_entityentty_nm</v>
      </c>
      <c r="B1448" s="38" t="s">
        <v>26</v>
      </c>
      <c r="C1448" s="38" t="s">
        <v>26</v>
      </c>
      <c r="D1448" s="19" t="s">
        <v>399</v>
      </c>
      <c r="E1448" s="111" t="s">
        <v>38</v>
      </c>
      <c r="F1448" s="31" t="s">
        <v>335</v>
      </c>
      <c r="G1448" s="354" t="s">
        <v>2191</v>
      </c>
      <c r="H1448" s="58" t="str">
        <f>Table1[[#This Row],[Tabela]]&amp;Table1[[#This Row],[Campo]]</f>
        <v>lt003_entityentty_nm</v>
      </c>
      <c r="I1448" s="2" t="s">
        <v>612</v>
      </c>
      <c r="J1448" s="44">
        <f>VLOOKUP(Table1[[#This Row],[Status]],Auxiliar!$B$16:$C$24,2,0)</f>
        <v>1</v>
      </c>
      <c r="K1448" s="20" t="s">
        <v>1173</v>
      </c>
      <c r="L1448" s="45" t="s">
        <v>1174</v>
      </c>
      <c r="M1448" s="20" t="s">
        <v>1175</v>
      </c>
      <c r="N1448" s="47">
        <v>45723</v>
      </c>
      <c r="O1448" s="112">
        <f>INDEX(Auxiliar!$D$5:$F$11,MATCH(Table1[[#This Row],[Tipologia_Testes]],Auxiliar!$B$5:$B$11,0),MATCH(Table1[[#This Row],[Complexidade]],Auxiliar!$D$4:$F$4,0))</f>
        <v>1</v>
      </c>
      <c r="P1448" s="31"/>
      <c r="Q1448" s="151"/>
      <c r="R1448" s="151"/>
      <c r="S1448" s="151"/>
      <c r="T1448" s="151"/>
      <c r="U1448" s="151"/>
      <c r="V1448" s="151"/>
      <c r="W1448" s="2">
        <f>VLOOKUP(Table1[[#This Row],[Status]],Auxiliar!$B$16:$D$24,3,0)*Table1[[#This Row],[Estimação (horas)]]</f>
        <v>1</v>
      </c>
      <c r="X1448" s="165">
        <f>+VLOOKUP(CONCATENATE(Table1[[#This Row],[Tabela]],Table1[[#This Row],[Campo]]),'2. Status Detalhe Campos FY24'!A:J,9,FALSE)</f>
        <v>0</v>
      </c>
      <c r="Y1448" s="491" t="e">
        <f>+VLOOKUP(A1448,#REF!,1,FALSE)</f>
        <v>#REF!</v>
      </c>
    </row>
    <row r="1449" spans="1:25" ht="17.899999999999999" hidden="1" customHeight="1">
      <c r="A1449" t="str">
        <f>+Table1[[#This Row],[Tabela]]&amp;Table1[[#This Row],[Campo]]</f>
        <v>lt003_entityec_grp_id</v>
      </c>
      <c r="B1449" s="38" t="s">
        <v>26</v>
      </c>
      <c r="C1449" s="38" t="s">
        <v>26</v>
      </c>
      <c r="D1449" s="19" t="s">
        <v>399</v>
      </c>
      <c r="E1449" s="111" t="s">
        <v>38</v>
      </c>
      <c r="F1449" s="31" t="s">
        <v>335</v>
      </c>
      <c r="G1449" s="501" t="s">
        <v>2192</v>
      </c>
      <c r="H1449" s="58" t="str">
        <f>Table1[[#This Row],[Tabela]]&amp;Table1[[#This Row],[Campo]]</f>
        <v>lt003_entityec_grp_id</v>
      </c>
      <c r="I1449" s="2" t="s">
        <v>612</v>
      </c>
      <c r="J1449" s="44">
        <f>VLOOKUP(Table1[[#This Row],[Status]],Auxiliar!$B$16:$C$24,2,0)</f>
        <v>1</v>
      </c>
      <c r="K1449" s="20" t="s">
        <v>1173</v>
      </c>
      <c r="L1449" s="45" t="s">
        <v>1174</v>
      </c>
      <c r="M1449" s="20" t="s">
        <v>1175</v>
      </c>
      <c r="N1449" s="47">
        <v>45688</v>
      </c>
      <c r="O1449" s="112">
        <f>INDEX(Auxiliar!$D$5:$F$11,MATCH(Table1[[#This Row],[Tipologia_Testes]],Auxiliar!$B$5:$B$11,0),MATCH(Table1[[#This Row],[Complexidade]],Auxiliar!$D$4:$F$4,0))</f>
        <v>1</v>
      </c>
      <c r="P1449" s="31"/>
      <c r="Q1449" s="151"/>
      <c r="R1449" s="151"/>
      <c r="S1449" s="151"/>
      <c r="T1449" s="151"/>
      <c r="U1449" s="151"/>
      <c r="V1449" s="151"/>
      <c r="W1449" s="2">
        <f>VLOOKUP(Table1[[#This Row],[Status]],Auxiliar!$B$16:$D$24,3,0)*Table1[[#This Row],[Estimação (horas)]]</f>
        <v>1</v>
      </c>
      <c r="X1449" s="165">
        <f>+VLOOKUP(CONCATENATE(Table1[[#This Row],[Tabela]],Table1[[#This Row],[Campo]]),'2. Status Detalhe Campos FY24'!A:J,9,FALSE)</f>
        <v>0</v>
      </c>
      <c r="Y1449" s="491" t="e">
        <f>+VLOOKUP(A1449,#REF!,1,FALSE)</f>
        <v>#REF!</v>
      </c>
    </row>
    <row r="1450" spans="1:25" ht="17.899999999999999" hidden="1" customHeight="1">
      <c r="A1450" t="str">
        <f>+Table1[[#This Row],[Tabela]]&amp;Table1[[#This Row],[Campo]]</f>
        <v>lt003_entityec_grp_nm</v>
      </c>
      <c r="B1450" s="38" t="s">
        <v>26</v>
      </c>
      <c r="C1450" s="38" t="s">
        <v>26</v>
      </c>
      <c r="D1450" s="19" t="s">
        <v>399</v>
      </c>
      <c r="E1450" s="111" t="s">
        <v>38</v>
      </c>
      <c r="F1450" s="31" t="s">
        <v>335</v>
      </c>
      <c r="G1450" s="501" t="s">
        <v>2193</v>
      </c>
      <c r="H1450" s="58" t="str">
        <f>Table1[[#This Row],[Tabela]]&amp;Table1[[#This Row],[Campo]]</f>
        <v>lt003_entityec_grp_nm</v>
      </c>
      <c r="I1450" s="28" t="s">
        <v>612</v>
      </c>
      <c r="J1450" s="44">
        <f>VLOOKUP(Table1[[#This Row],[Status]],Auxiliar!$B$16:$C$24,2,0)</f>
        <v>1</v>
      </c>
      <c r="K1450" s="20" t="s">
        <v>1173</v>
      </c>
      <c r="L1450" s="45" t="s">
        <v>1174</v>
      </c>
      <c r="M1450" s="20" t="s">
        <v>1175</v>
      </c>
      <c r="N1450" s="47">
        <v>45688</v>
      </c>
      <c r="O1450" s="112">
        <f>INDEX(Auxiliar!$D$5:$F$11,MATCH(Table1[[#This Row],[Tipologia_Testes]],Auxiliar!$B$5:$B$11,0),MATCH(Table1[[#This Row],[Complexidade]],Auxiliar!$D$4:$F$4,0))</f>
        <v>1</v>
      </c>
      <c r="P1450" s="31"/>
      <c r="Q1450" s="151"/>
      <c r="R1450" s="151"/>
      <c r="S1450" s="151"/>
      <c r="T1450" s="151"/>
      <c r="U1450" s="151"/>
      <c r="V1450" s="151"/>
      <c r="W1450" s="2">
        <f>VLOOKUP(Table1[[#This Row],[Status]],Auxiliar!$B$16:$D$24,3,0)*Table1[[#This Row],[Estimação (horas)]]</f>
        <v>1</v>
      </c>
      <c r="X1450" s="165">
        <f>+VLOOKUP(CONCATENATE(Table1[[#This Row],[Tabela]],Table1[[#This Row],[Campo]]),'2. Status Detalhe Campos FY24'!A:J,9,FALSE)</f>
        <v>0</v>
      </c>
      <c r="Y1450" s="491" t="e">
        <f>+VLOOKUP(A1450,#REF!,1,FALSE)</f>
        <v>#REF!</v>
      </c>
    </row>
    <row r="1451" spans="1:25" ht="17.899999999999999" hidden="1" customHeight="1">
      <c r="A1451" t="str">
        <f>+Table1[[#This Row],[Tabela]]&amp;Table1[[#This Row],[Campo]]</f>
        <v>lt003_entitygrp_ecnmc_actvty</v>
      </c>
      <c r="B1451" s="38" t="s">
        <v>26</v>
      </c>
      <c r="C1451" s="38" t="s">
        <v>26</v>
      </c>
      <c r="D1451" s="19" t="s">
        <v>399</v>
      </c>
      <c r="E1451" s="111" t="s">
        <v>38</v>
      </c>
      <c r="F1451" s="31" t="s">
        <v>335</v>
      </c>
      <c r="G1451" s="354" t="s">
        <v>2194</v>
      </c>
      <c r="H1451" s="58" t="str">
        <f>Table1[[#This Row],[Tabela]]&amp;Table1[[#This Row],[Campo]]</f>
        <v>lt003_entitygrp_ecnmc_actvty</v>
      </c>
      <c r="I1451" s="2" t="s">
        <v>612</v>
      </c>
      <c r="J1451" s="44">
        <f>VLOOKUP(Table1[[#This Row],[Status]],Auxiliar!$B$16:$C$24,2,0)</f>
        <v>1</v>
      </c>
      <c r="K1451" s="20" t="s">
        <v>1173</v>
      </c>
      <c r="L1451" s="45" t="s">
        <v>1174</v>
      </c>
      <c r="M1451" s="20" t="s">
        <v>1175</v>
      </c>
      <c r="N1451" s="47">
        <v>45688</v>
      </c>
      <c r="O1451" s="112">
        <f>INDEX(Auxiliar!$D$5:$F$11,MATCH(Table1[[#This Row],[Tipologia_Testes]],Auxiliar!$B$5:$B$11,0),MATCH(Table1[[#This Row],[Complexidade]],Auxiliar!$D$4:$F$4,0))</f>
        <v>1</v>
      </c>
      <c r="P1451" s="31"/>
      <c r="Q1451" s="151"/>
      <c r="R1451" s="151"/>
      <c r="S1451" s="151"/>
      <c r="T1451" s="151"/>
      <c r="U1451" s="151"/>
      <c r="V1451" s="151"/>
      <c r="W1451" s="2">
        <f>VLOOKUP(Table1[[#This Row],[Status]],Auxiliar!$B$16:$D$24,3,0)*Table1[[#This Row],[Estimação (horas)]]</f>
        <v>1</v>
      </c>
      <c r="X1451" s="165">
        <f>+VLOOKUP(CONCATENATE(Table1[[#This Row],[Tabela]],Table1[[#This Row],[Campo]]),'2. Status Detalhe Campos FY24'!A:J,9,FALSE)</f>
        <v>0</v>
      </c>
      <c r="Y1451" s="491" t="e">
        <f>+VLOOKUP(A1451,#REF!,1,FALSE)</f>
        <v>#REF!</v>
      </c>
    </row>
    <row r="1452" spans="1:25" ht="17.899999999999999" hidden="1" customHeight="1">
      <c r="A1452" t="str">
        <f>+Table1[[#This Row],[Tabela]]&amp;Table1[[#This Row],[Campo]]</f>
        <v>lt003_entitytxnmy_elgbl_capex_w</v>
      </c>
      <c r="B1452" s="38" t="s">
        <v>26</v>
      </c>
      <c r="C1452" s="38" t="s">
        <v>26</v>
      </c>
      <c r="D1452" s="19" t="s">
        <v>399</v>
      </c>
      <c r="E1452" s="111" t="s">
        <v>38</v>
      </c>
      <c r="F1452" s="31" t="s">
        <v>335</v>
      </c>
      <c r="G1452" s="354" t="s">
        <v>2195</v>
      </c>
      <c r="H1452" s="58" t="str">
        <f>Table1[[#This Row],[Tabela]]&amp;Table1[[#This Row],[Campo]]</f>
        <v>lt003_entitytxnmy_elgbl_capex_w</v>
      </c>
      <c r="I1452" s="2" t="s">
        <v>612</v>
      </c>
      <c r="J1452" s="44">
        <f>VLOOKUP(Table1[[#This Row],[Status]],Auxiliar!$B$16:$C$24,2,0)</f>
        <v>1</v>
      </c>
      <c r="K1452" s="20" t="s">
        <v>1173</v>
      </c>
      <c r="L1452" s="45" t="s">
        <v>1174</v>
      </c>
      <c r="M1452" s="20" t="s">
        <v>1175</v>
      </c>
      <c r="N1452" s="47">
        <v>45746</v>
      </c>
      <c r="O1452" s="112">
        <f>INDEX(Auxiliar!$D$5:$F$11,MATCH(Table1[[#This Row],[Tipologia_Testes]],Auxiliar!$B$5:$B$11,0),MATCH(Table1[[#This Row],[Complexidade]],Auxiliar!$D$4:$F$4,0))</f>
        <v>1</v>
      </c>
      <c r="P1452" s="31"/>
      <c r="Q1452" s="151"/>
      <c r="R1452" s="151"/>
      <c r="S1452" s="151"/>
      <c r="T1452" s="151"/>
      <c r="U1452" s="151"/>
      <c r="V1452" s="151"/>
      <c r="W1452" s="2">
        <f>VLOOKUP(Table1[[#This Row],[Status]],Auxiliar!$B$16:$D$24,3,0)*Table1[[#This Row],[Estimação (horas)]]</f>
        <v>1</v>
      </c>
      <c r="X1452" s="165">
        <f>+VLOOKUP(CONCATENATE(Table1[[#This Row],[Tabela]],Table1[[#This Row],[Campo]]),'2. Status Detalhe Campos FY24'!A:J,9,FALSE)</f>
        <v>0</v>
      </c>
      <c r="Y1452" s="491" t="e">
        <f>+VLOOKUP(A1452,#REF!,1,FALSE)</f>
        <v>#REF!</v>
      </c>
    </row>
    <row r="1453" spans="1:25" ht="17.899999999999999" hidden="1" customHeight="1">
      <c r="A1453" t="str">
        <f>+Table1[[#This Row],[Tabela]]&amp;Table1[[#This Row],[Campo]]</f>
        <v>lt003_entitytxnmy_elgbl_trnvr_w</v>
      </c>
      <c r="B1453" s="38" t="s">
        <v>26</v>
      </c>
      <c r="C1453" s="38" t="s">
        <v>26</v>
      </c>
      <c r="D1453" s="19" t="s">
        <v>399</v>
      </c>
      <c r="E1453" s="111" t="s">
        <v>38</v>
      </c>
      <c r="F1453" s="31" t="s">
        <v>335</v>
      </c>
      <c r="G1453" s="354" t="s">
        <v>2196</v>
      </c>
      <c r="H1453" s="58" t="str">
        <f>Table1[[#This Row],[Tabela]]&amp;Table1[[#This Row],[Campo]]</f>
        <v>lt003_entitytxnmy_elgbl_trnvr_w</v>
      </c>
      <c r="I1453" s="2" t="s">
        <v>612</v>
      </c>
      <c r="J1453" s="44">
        <f>VLOOKUP(Table1[[#This Row],[Status]],Auxiliar!$B$16:$C$24,2,0)</f>
        <v>1</v>
      </c>
      <c r="K1453" s="20" t="s">
        <v>1173</v>
      </c>
      <c r="L1453" s="45" t="s">
        <v>1174</v>
      </c>
      <c r="M1453" s="20" t="s">
        <v>1175</v>
      </c>
      <c r="N1453" s="47">
        <v>45746</v>
      </c>
      <c r="O1453" s="112">
        <f>INDEX(Auxiliar!$D$5:$F$11,MATCH(Table1[[#This Row],[Tipologia_Testes]],Auxiliar!$B$5:$B$11,0),MATCH(Table1[[#This Row],[Complexidade]],Auxiliar!$D$4:$F$4,0))</f>
        <v>1</v>
      </c>
      <c r="P1453" s="31"/>
      <c r="Q1453" s="151"/>
      <c r="R1453" s="151"/>
      <c r="S1453" s="151"/>
      <c r="T1453" s="151"/>
      <c r="U1453" s="151"/>
      <c r="V1453" s="151"/>
      <c r="W1453" s="2">
        <f>VLOOKUP(Table1[[#This Row],[Status]],Auxiliar!$B$16:$D$24,3,0)*Table1[[#This Row],[Estimação (horas)]]</f>
        <v>1</v>
      </c>
      <c r="X1453" s="165">
        <f>+VLOOKUP(CONCATENATE(Table1[[#This Row],[Tabela]],Table1[[#This Row],[Campo]]),'2. Status Detalhe Campos FY24'!A:J,9,FALSE)</f>
        <v>0</v>
      </c>
      <c r="Y1453" s="491" t="e">
        <f>+VLOOKUP(A1453,#REF!,1,FALSE)</f>
        <v>#REF!</v>
      </c>
    </row>
    <row r="1454" spans="1:25" ht="17.899999999999999" hidden="1" customHeight="1">
      <c r="A1454" t="str">
        <f>+Table1[[#This Row],[Tabela]]&amp;Table1[[#This Row],[Campo]]</f>
        <v>lt003_entitytxnmy_elgbl_capex_p</v>
      </c>
      <c r="B1454" s="38" t="s">
        <v>26</v>
      </c>
      <c r="C1454" s="38" t="s">
        <v>26</v>
      </c>
      <c r="D1454" s="19" t="s">
        <v>399</v>
      </c>
      <c r="E1454" s="111" t="s">
        <v>38</v>
      </c>
      <c r="F1454" s="31" t="s">
        <v>335</v>
      </c>
      <c r="G1454" s="354" t="s">
        <v>2197</v>
      </c>
      <c r="H1454" s="58" t="str">
        <f>Table1[[#This Row],[Tabela]]&amp;Table1[[#This Row],[Campo]]</f>
        <v>lt003_entitytxnmy_elgbl_capex_p</v>
      </c>
      <c r="I1454" s="2" t="s">
        <v>612</v>
      </c>
      <c r="J1454" s="44">
        <f>VLOOKUP(Table1[[#This Row],[Status]],Auxiliar!$B$16:$C$24,2,0)</f>
        <v>1</v>
      </c>
      <c r="K1454" s="20" t="s">
        <v>1173</v>
      </c>
      <c r="L1454" s="45" t="s">
        <v>1174</v>
      </c>
      <c r="M1454" s="20" t="s">
        <v>1175</v>
      </c>
      <c r="N1454" s="47">
        <v>45723</v>
      </c>
      <c r="O1454" s="112">
        <f>INDEX(Auxiliar!$D$5:$F$11,MATCH(Table1[[#This Row],[Tipologia_Testes]],Auxiliar!$B$5:$B$11,0),MATCH(Table1[[#This Row],[Complexidade]],Auxiliar!$D$4:$F$4,0))</f>
        <v>1</v>
      </c>
      <c r="P1454" s="31"/>
      <c r="Q1454" s="151"/>
      <c r="R1454" s="151"/>
      <c r="S1454" s="151"/>
      <c r="T1454" s="151"/>
      <c r="U1454" s="151"/>
      <c r="V1454" s="151"/>
      <c r="W1454" s="2">
        <f>VLOOKUP(Table1[[#This Row],[Status]],Auxiliar!$B$16:$D$24,3,0)*Table1[[#This Row],[Estimação (horas)]]</f>
        <v>1</v>
      </c>
      <c r="X1454" s="165">
        <f>+VLOOKUP(CONCATENATE(Table1[[#This Row],[Tabela]],Table1[[#This Row],[Campo]]),'2. Status Detalhe Campos FY24'!A:J,9,FALSE)</f>
        <v>0</v>
      </c>
      <c r="Y1454" s="491" t="e">
        <f>+VLOOKUP(A1454,#REF!,1,FALSE)</f>
        <v>#REF!</v>
      </c>
    </row>
    <row r="1455" spans="1:25" ht="17.899999999999999" hidden="1" customHeight="1">
      <c r="A1455" t="str">
        <f>+Table1[[#This Row],[Tabela]]&amp;Table1[[#This Row],[Campo]]</f>
        <v>lt003_entitytxnmy_elgbl_trnvr_p</v>
      </c>
      <c r="B1455" s="38" t="s">
        <v>26</v>
      </c>
      <c r="C1455" s="38" t="s">
        <v>26</v>
      </c>
      <c r="D1455" s="19" t="s">
        <v>399</v>
      </c>
      <c r="E1455" s="111" t="s">
        <v>38</v>
      </c>
      <c r="F1455" s="31" t="s">
        <v>335</v>
      </c>
      <c r="G1455" s="354" t="s">
        <v>2198</v>
      </c>
      <c r="H1455" s="58" t="str">
        <f>Table1[[#This Row],[Tabela]]&amp;Table1[[#This Row],[Campo]]</f>
        <v>lt003_entitytxnmy_elgbl_trnvr_p</v>
      </c>
      <c r="I1455" s="2" t="s">
        <v>612</v>
      </c>
      <c r="J1455" s="44">
        <f>VLOOKUP(Table1[[#This Row],[Status]],Auxiliar!$B$16:$C$24,2,0)</f>
        <v>1</v>
      </c>
      <c r="K1455" s="20" t="s">
        <v>1173</v>
      </c>
      <c r="L1455" s="45" t="s">
        <v>1174</v>
      </c>
      <c r="M1455" s="20" t="s">
        <v>1175</v>
      </c>
      <c r="N1455" s="47">
        <v>45746</v>
      </c>
      <c r="O1455" s="112">
        <f>INDEX(Auxiliar!$D$5:$F$11,MATCH(Table1[[#This Row],[Tipologia_Testes]],Auxiliar!$B$5:$B$11,0),MATCH(Table1[[#This Row],[Complexidade]],Auxiliar!$D$4:$F$4,0))</f>
        <v>1</v>
      </c>
      <c r="P1455" s="31"/>
      <c r="Q1455" s="151"/>
      <c r="R1455" s="151"/>
      <c r="S1455" s="151"/>
      <c r="T1455" s="151"/>
      <c r="U1455" s="151"/>
      <c r="V1455" s="151"/>
      <c r="W1455" s="2">
        <f>VLOOKUP(Table1[[#This Row],[Status]],Auxiliar!$B$16:$D$24,3,0)*Table1[[#This Row],[Estimação (horas)]]</f>
        <v>1</v>
      </c>
      <c r="X1455" s="165">
        <f>+VLOOKUP(CONCATENATE(Table1[[#This Row],[Tabela]],Table1[[#This Row],[Campo]]),'2. Status Detalhe Campos FY24'!A:J,9,FALSE)</f>
        <v>0</v>
      </c>
      <c r="Y1455" s="491" t="e">
        <f>+VLOOKUP(A1455,#REF!,1,FALSE)</f>
        <v>#REF!</v>
      </c>
    </row>
    <row r="1456" spans="1:25" ht="17.899999999999999" hidden="1" customHeight="1">
      <c r="A1456" t="str">
        <f>+Table1[[#This Row],[Tabela]]&amp;Table1[[#This Row],[Campo]]</f>
        <v>lt003_entitytxnmy_elgbl_capex_b</v>
      </c>
      <c r="B1456" s="38" t="s">
        <v>26</v>
      </c>
      <c r="C1456" s="38" t="s">
        <v>26</v>
      </c>
      <c r="D1456" s="19" t="s">
        <v>399</v>
      </c>
      <c r="E1456" s="111" t="s">
        <v>38</v>
      </c>
      <c r="F1456" s="31" t="s">
        <v>335</v>
      </c>
      <c r="G1456" s="354" t="s">
        <v>2199</v>
      </c>
      <c r="H1456" s="58" t="str">
        <f>Table1[[#This Row],[Tabela]]&amp;Table1[[#This Row],[Campo]]</f>
        <v>lt003_entitytxnmy_elgbl_capex_b</v>
      </c>
      <c r="I1456" s="2" t="s">
        <v>612</v>
      </c>
      <c r="J1456" s="44">
        <f>VLOOKUP(Table1[[#This Row],[Status]],Auxiliar!$B$16:$C$24,2,0)</f>
        <v>1</v>
      </c>
      <c r="K1456" s="20" t="s">
        <v>1173</v>
      </c>
      <c r="L1456" s="45" t="s">
        <v>1174</v>
      </c>
      <c r="M1456" s="20" t="s">
        <v>1175</v>
      </c>
      <c r="N1456" s="47">
        <v>45746</v>
      </c>
      <c r="O1456" s="112">
        <f>INDEX(Auxiliar!$D$5:$F$11,MATCH(Table1[[#This Row],[Tipologia_Testes]],Auxiliar!$B$5:$B$11,0),MATCH(Table1[[#This Row],[Complexidade]],Auxiliar!$D$4:$F$4,0))</f>
        <v>1</v>
      </c>
      <c r="P1456" s="31"/>
      <c r="Q1456" s="151"/>
      <c r="R1456" s="151"/>
      <c r="S1456" s="151"/>
      <c r="T1456" s="151"/>
      <c r="U1456" s="151"/>
      <c r="V1456" s="151"/>
      <c r="W1456" s="2">
        <f>VLOOKUP(Table1[[#This Row],[Status]],Auxiliar!$B$16:$D$24,3,0)*Table1[[#This Row],[Estimação (horas)]]</f>
        <v>1</v>
      </c>
      <c r="X1456" s="165">
        <f>+VLOOKUP(CONCATENATE(Table1[[#This Row],[Tabela]],Table1[[#This Row],[Campo]]),'2. Status Detalhe Campos FY24'!A:J,9,FALSE)</f>
        <v>0</v>
      </c>
      <c r="Y1456" s="491" t="e">
        <f>+VLOOKUP(A1456,#REF!,1,FALSE)</f>
        <v>#REF!</v>
      </c>
    </row>
    <row r="1457" spans="1:25" ht="17.899999999999999" hidden="1" customHeight="1">
      <c r="A1457" t="str">
        <f>+Table1[[#This Row],[Tabela]]&amp;Table1[[#This Row],[Campo]]</f>
        <v>lt003_entitytxnmy_elgbl_trnvr_b</v>
      </c>
      <c r="B1457" s="38" t="s">
        <v>26</v>
      </c>
      <c r="C1457" s="38" t="s">
        <v>26</v>
      </c>
      <c r="D1457" s="19" t="s">
        <v>399</v>
      </c>
      <c r="E1457" s="111" t="s">
        <v>38</v>
      </c>
      <c r="F1457" s="31" t="s">
        <v>335</v>
      </c>
      <c r="G1457" s="354" t="s">
        <v>2200</v>
      </c>
      <c r="H1457" s="58" t="str">
        <f>Table1[[#This Row],[Tabela]]&amp;Table1[[#This Row],[Campo]]</f>
        <v>lt003_entitytxnmy_elgbl_trnvr_b</v>
      </c>
      <c r="I1457" s="2" t="s">
        <v>612</v>
      </c>
      <c r="J1457" s="44">
        <f>VLOOKUP(Table1[[#This Row],[Status]],Auxiliar!$B$16:$C$24,2,0)</f>
        <v>1</v>
      </c>
      <c r="K1457" s="20" t="s">
        <v>1173</v>
      </c>
      <c r="L1457" s="45" t="s">
        <v>1174</v>
      </c>
      <c r="M1457" s="20" t="s">
        <v>1175</v>
      </c>
      <c r="N1457" s="47">
        <v>45746</v>
      </c>
      <c r="O1457" s="112">
        <f>INDEX(Auxiliar!$D$5:$F$11,MATCH(Table1[[#This Row],[Tipologia_Testes]],Auxiliar!$B$5:$B$11,0),MATCH(Table1[[#This Row],[Complexidade]],Auxiliar!$D$4:$F$4,0))</f>
        <v>1</v>
      </c>
      <c r="P1457" s="31"/>
      <c r="Q1457" s="151"/>
      <c r="R1457" s="151"/>
      <c r="S1457" s="151"/>
      <c r="T1457" s="151"/>
      <c r="U1457" s="151"/>
      <c r="V1457" s="151"/>
      <c r="W1457" s="2">
        <f>VLOOKUP(Table1[[#This Row],[Status]],Auxiliar!$B$16:$D$24,3,0)*Table1[[#This Row],[Estimação (horas)]]</f>
        <v>1</v>
      </c>
      <c r="X1457" s="165">
        <f>+VLOOKUP(CONCATENATE(Table1[[#This Row],[Tabela]],Table1[[#This Row],[Campo]]),'2. Status Detalhe Campos FY24'!A:J,9,FALSE)</f>
        <v>0</v>
      </c>
      <c r="Y1457" s="491" t="e">
        <f>+VLOOKUP(A1457,#REF!,1,FALSE)</f>
        <v>#REF!</v>
      </c>
    </row>
    <row r="1458" spans="1:25" ht="17.899999999999999" hidden="1" customHeight="1">
      <c r="A1458" t="str">
        <f>+Table1[[#This Row],[Tabela]]&amp;Table1[[#This Row],[Campo]]</f>
        <v>lt003_entitytxnmy_elgbl_capex_ce</v>
      </c>
      <c r="B1458" s="38" t="s">
        <v>26</v>
      </c>
      <c r="C1458" s="38" t="s">
        <v>26</v>
      </c>
      <c r="D1458" s="19" t="s">
        <v>399</v>
      </c>
      <c r="E1458" s="111" t="s">
        <v>38</v>
      </c>
      <c r="F1458" s="31" t="s">
        <v>335</v>
      </c>
      <c r="G1458" s="354" t="s">
        <v>2201</v>
      </c>
      <c r="H1458" s="58" t="str">
        <f>Table1[[#This Row],[Tabela]]&amp;Table1[[#This Row],[Campo]]</f>
        <v>lt003_entitytxnmy_elgbl_capex_ce</v>
      </c>
      <c r="I1458" s="2" t="s">
        <v>612</v>
      </c>
      <c r="J1458" s="44">
        <f>VLOOKUP(Table1[[#This Row],[Status]],Auxiliar!$B$16:$C$24,2,0)</f>
        <v>1</v>
      </c>
      <c r="K1458" s="20" t="s">
        <v>1173</v>
      </c>
      <c r="L1458" s="45" t="s">
        <v>1174</v>
      </c>
      <c r="M1458" s="20" t="s">
        <v>1175</v>
      </c>
      <c r="N1458" s="47">
        <v>45746</v>
      </c>
      <c r="O1458" s="112">
        <f>INDEX(Auxiliar!$D$5:$F$11,MATCH(Table1[[#This Row],[Tipologia_Testes]],Auxiliar!$B$5:$B$11,0),MATCH(Table1[[#This Row],[Complexidade]],Auxiliar!$D$4:$F$4,0))</f>
        <v>1</v>
      </c>
      <c r="P1458" s="31"/>
      <c r="Q1458" s="151"/>
      <c r="R1458" s="151"/>
      <c r="S1458" s="151"/>
      <c r="T1458" s="151"/>
      <c r="U1458" s="151"/>
      <c r="V1458" s="151"/>
      <c r="W1458" s="2">
        <f>VLOOKUP(Table1[[#This Row],[Status]],Auxiliar!$B$16:$D$24,3,0)*Table1[[#This Row],[Estimação (horas)]]</f>
        <v>1</v>
      </c>
      <c r="X1458" s="165">
        <f>+VLOOKUP(CONCATENATE(Table1[[#This Row],[Tabela]],Table1[[#This Row],[Campo]]),'2. Status Detalhe Campos FY24'!A:J,9,FALSE)</f>
        <v>0</v>
      </c>
      <c r="Y1458" s="491" t="e">
        <f>+VLOOKUP(A1458,#REF!,1,FALSE)</f>
        <v>#REF!</v>
      </c>
    </row>
    <row r="1459" spans="1:25" ht="17.899999999999999" hidden="1" customHeight="1">
      <c r="A1459" t="str">
        <f>+Table1[[#This Row],[Tabela]]&amp;Table1[[#This Row],[Campo]]</f>
        <v>lt003_entitytxnmy_elgbl_trnvr_ce</v>
      </c>
      <c r="B1459" s="38" t="s">
        <v>26</v>
      </c>
      <c r="C1459" s="38" t="s">
        <v>26</v>
      </c>
      <c r="D1459" s="19" t="s">
        <v>399</v>
      </c>
      <c r="E1459" s="111" t="s">
        <v>38</v>
      </c>
      <c r="F1459" s="31" t="s">
        <v>335</v>
      </c>
      <c r="G1459" s="354" t="s">
        <v>2202</v>
      </c>
      <c r="H1459" s="58" t="str">
        <f>Table1[[#This Row],[Tabela]]&amp;Table1[[#This Row],[Campo]]</f>
        <v>lt003_entitytxnmy_elgbl_trnvr_ce</v>
      </c>
      <c r="I1459" s="2" t="s">
        <v>612</v>
      </c>
      <c r="J1459" s="44">
        <f>VLOOKUP(Table1[[#This Row],[Status]],Auxiliar!$B$16:$C$24,2,0)</f>
        <v>1</v>
      </c>
      <c r="K1459" s="20" t="s">
        <v>1173</v>
      </c>
      <c r="L1459" s="45" t="s">
        <v>1174</v>
      </c>
      <c r="M1459" s="20" t="s">
        <v>1175</v>
      </c>
      <c r="N1459" s="47">
        <v>45746</v>
      </c>
      <c r="O1459" s="112">
        <f>INDEX(Auxiliar!$D$5:$F$11,MATCH(Table1[[#This Row],[Tipologia_Testes]],Auxiliar!$B$5:$B$11,0),MATCH(Table1[[#This Row],[Complexidade]],Auxiliar!$D$4:$F$4,0))</f>
        <v>1</v>
      </c>
      <c r="P1459" s="31"/>
      <c r="Q1459" s="151"/>
      <c r="R1459" s="151"/>
      <c r="S1459" s="151"/>
      <c r="T1459" s="151"/>
      <c r="U1459" s="151"/>
      <c r="V1459" s="151"/>
      <c r="W1459" s="2">
        <f>VLOOKUP(Table1[[#This Row],[Status]],Auxiliar!$B$16:$D$24,3,0)*Table1[[#This Row],[Estimação (horas)]]</f>
        <v>1</v>
      </c>
      <c r="X1459" s="165">
        <f>+VLOOKUP(CONCATENATE(Table1[[#This Row],[Tabela]],Table1[[#This Row],[Campo]]),'2. Status Detalhe Campos FY24'!A:J,9,FALSE)</f>
        <v>0</v>
      </c>
      <c r="Y1459" s="491" t="e">
        <f>+VLOOKUP(A1459,#REF!,1,FALSE)</f>
        <v>#REF!</v>
      </c>
    </row>
    <row r="1460" spans="1:25" ht="17.899999999999999" hidden="1" customHeight="1">
      <c r="A1460" t="str">
        <f>+Table1[[#This Row],[Tabela]]&amp;Table1[[#This Row],[Campo]]</f>
        <v>lt003_entitypure_capex_p</v>
      </c>
      <c r="B1460" s="38" t="s">
        <v>26</v>
      </c>
      <c r="C1460" s="38" t="s">
        <v>26</v>
      </c>
      <c r="D1460" s="19" t="s">
        <v>399</v>
      </c>
      <c r="E1460" s="111" t="s">
        <v>38</v>
      </c>
      <c r="F1460" s="31" t="s">
        <v>335</v>
      </c>
      <c r="G1460" s="354" t="s">
        <v>2203</v>
      </c>
      <c r="H1460" s="58" t="str">
        <f>Table1[[#This Row],[Tabela]]&amp;Table1[[#This Row],[Campo]]</f>
        <v>lt003_entitypure_capex_p</v>
      </c>
      <c r="I1460" s="2" t="s">
        <v>612</v>
      </c>
      <c r="J1460" s="44">
        <f>VLOOKUP(Table1[[#This Row],[Status]],Auxiliar!$B$16:$C$24,2,0)</f>
        <v>1</v>
      </c>
      <c r="K1460" s="20" t="s">
        <v>1173</v>
      </c>
      <c r="L1460" s="45" t="s">
        <v>1174</v>
      </c>
      <c r="M1460" s="20" t="s">
        <v>1175</v>
      </c>
      <c r="N1460" s="47">
        <v>45746</v>
      </c>
      <c r="O1460" s="112">
        <f>INDEX(Auxiliar!$D$5:$F$11,MATCH(Table1[[#This Row],[Tipologia_Testes]],Auxiliar!$B$5:$B$11,0),MATCH(Table1[[#This Row],[Complexidade]],Auxiliar!$D$4:$F$4,0))</f>
        <v>1</v>
      </c>
      <c r="P1460" s="31"/>
      <c r="Q1460" s="151"/>
      <c r="R1460" s="151"/>
      <c r="S1460" s="151"/>
      <c r="T1460" s="151"/>
      <c r="U1460" s="151"/>
      <c r="V1460" s="151"/>
      <c r="W1460" s="2">
        <f>VLOOKUP(Table1[[#This Row],[Status]],Auxiliar!$B$16:$D$24,3,0)*Table1[[#This Row],[Estimação (horas)]]</f>
        <v>1</v>
      </c>
      <c r="X1460" s="165">
        <f>+VLOOKUP(CONCATENATE(Table1[[#This Row],[Tabela]],Table1[[#This Row],[Campo]]),'2. Status Detalhe Campos FY24'!A:J,9,FALSE)</f>
        <v>0</v>
      </c>
      <c r="Y1460" s="491" t="e">
        <f>+VLOOKUP(A1460,#REF!,1,FALSE)</f>
        <v>#REF!</v>
      </c>
    </row>
    <row r="1461" spans="1:25" ht="17.899999999999999" hidden="1" customHeight="1">
      <c r="A1461" t="str">
        <f>+Table1[[#This Row],[Tabela]]&amp;Table1[[#This Row],[Campo]]</f>
        <v>lt003_entitypure_trnvr_p</v>
      </c>
      <c r="B1461" s="38" t="s">
        <v>26</v>
      </c>
      <c r="C1461" s="38" t="s">
        <v>26</v>
      </c>
      <c r="D1461" s="19" t="s">
        <v>399</v>
      </c>
      <c r="E1461" s="111" t="s">
        <v>38</v>
      </c>
      <c r="F1461" s="31" t="s">
        <v>335</v>
      </c>
      <c r="G1461" s="354" t="s">
        <v>2204</v>
      </c>
      <c r="H1461" s="58" t="str">
        <f>Table1[[#This Row],[Tabela]]&amp;Table1[[#This Row],[Campo]]</f>
        <v>lt003_entitypure_trnvr_p</v>
      </c>
      <c r="I1461" s="2" t="s">
        <v>612</v>
      </c>
      <c r="J1461" s="44">
        <f>VLOOKUP(Table1[[#This Row],[Status]],Auxiliar!$B$16:$C$24,2,0)</f>
        <v>1</v>
      </c>
      <c r="K1461" s="20" t="s">
        <v>1173</v>
      </c>
      <c r="L1461" s="45" t="s">
        <v>1174</v>
      </c>
      <c r="M1461" s="20" t="s">
        <v>1175</v>
      </c>
      <c r="N1461" s="47">
        <v>45746</v>
      </c>
      <c r="O1461" s="112">
        <f>INDEX(Auxiliar!$D$5:$F$11,MATCH(Table1[[#This Row],[Tipologia_Testes]],Auxiliar!$B$5:$B$11,0),MATCH(Table1[[#This Row],[Complexidade]],Auxiliar!$D$4:$F$4,0))</f>
        <v>1</v>
      </c>
      <c r="P1461" s="31"/>
      <c r="Q1461" s="151"/>
      <c r="R1461" s="151"/>
      <c r="S1461" s="151"/>
      <c r="T1461" s="151"/>
      <c r="U1461" s="151"/>
      <c r="V1461" s="151"/>
      <c r="W1461" s="2">
        <f>VLOOKUP(Table1[[#This Row],[Status]],Auxiliar!$B$16:$D$24,3,0)*Table1[[#This Row],[Estimação (horas)]]</f>
        <v>1</v>
      </c>
      <c r="X1461" s="165">
        <f>+VLOOKUP(CONCATENATE(Table1[[#This Row],[Tabela]],Table1[[#This Row],[Campo]]),'2. Status Detalhe Campos FY24'!A:J,9,FALSE)</f>
        <v>0</v>
      </c>
      <c r="Y1461" s="491" t="e">
        <f>+VLOOKUP(A1461,#REF!,1,FALSE)</f>
        <v>#REF!</v>
      </c>
    </row>
    <row r="1462" spans="1:25" ht="17.899999999999999" hidden="1" customHeight="1">
      <c r="A1462" t="str">
        <f>+Table1[[#This Row],[Tabela]]&amp;Table1[[#This Row],[Campo]]</f>
        <v>lt003_entitypure_capex_b</v>
      </c>
      <c r="B1462" s="38" t="s">
        <v>26</v>
      </c>
      <c r="C1462" s="38" t="s">
        <v>26</v>
      </c>
      <c r="D1462" s="19" t="s">
        <v>399</v>
      </c>
      <c r="E1462" s="111" t="s">
        <v>38</v>
      </c>
      <c r="F1462" s="31" t="s">
        <v>335</v>
      </c>
      <c r="G1462" s="354" t="s">
        <v>2205</v>
      </c>
      <c r="H1462" s="58" t="str">
        <f>Table1[[#This Row],[Tabela]]&amp;Table1[[#This Row],[Campo]]</f>
        <v>lt003_entitypure_capex_b</v>
      </c>
      <c r="I1462" s="2" t="s">
        <v>612</v>
      </c>
      <c r="J1462" s="44">
        <f>VLOOKUP(Table1[[#This Row],[Status]],Auxiliar!$B$16:$C$24,2,0)</f>
        <v>1</v>
      </c>
      <c r="K1462" s="20" t="s">
        <v>1173</v>
      </c>
      <c r="L1462" s="45" t="s">
        <v>1174</v>
      </c>
      <c r="M1462" s="20" t="s">
        <v>1175</v>
      </c>
      <c r="N1462" s="47">
        <v>45746</v>
      </c>
      <c r="O1462" s="112">
        <f>INDEX(Auxiliar!$D$5:$F$11,MATCH(Table1[[#This Row],[Tipologia_Testes]],Auxiliar!$B$5:$B$11,0),MATCH(Table1[[#This Row],[Complexidade]],Auxiliar!$D$4:$F$4,0))</f>
        <v>1</v>
      </c>
      <c r="P1462" s="31"/>
      <c r="Q1462" s="151"/>
      <c r="R1462" s="151"/>
      <c r="S1462" s="151"/>
      <c r="T1462" s="151"/>
      <c r="U1462" s="151"/>
      <c r="V1462" s="151"/>
      <c r="W1462" s="2">
        <f>VLOOKUP(Table1[[#This Row],[Status]],Auxiliar!$B$16:$D$24,3,0)*Table1[[#This Row],[Estimação (horas)]]</f>
        <v>1</v>
      </c>
      <c r="X1462" s="165">
        <f>+VLOOKUP(CONCATENATE(Table1[[#This Row],[Tabela]],Table1[[#This Row],[Campo]]),'2. Status Detalhe Campos FY24'!A:J,9,FALSE)</f>
        <v>0</v>
      </c>
      <c r="Y1462" s="491" t="e">
        <f>+VLOOKUP(A1462,#REF!,1,FALSE)</f>
        <v>#REF!</v>
      </c>
    </row>
    <row r="1463" spans="1:25" ht="17.899999999999999" hidden="1" customHeight="1">
      <c r="A1463" t="str">
        <f>+Table1[[#This Row],[Tabela]]&amp;Table1[[#This Row],[Campo]]</f>
        <v>lt003_entitypure_trnvr_b</v>
      </c>
      <c r="B1463" s="38" t="s">
        <v>26</v>
      </c>
      <c r="C1463" s="38" t="s">
        <v>26</v>
      </c>
      <c r="D1463" s="19" t="s">
        <v>399</v>
      </c>
      <c r="E1463" s="111" t="s">
        <v>38</v>
      </c>
      <c r="F1463" s="31" t="s">
        <v>335</v>
      </c>
      <c r="G1463" s="354" t="s">
        <v>2206</v>
      </c>
      <c r="H1463" s="58" t="str">
        <f>Table1[[#This Row],[Tabela]]&amp;Table1[[#This Row],[Campo]]</f>
        <v>lt003_entitypure_trnvr_b</v>
      </c>
      <c r="I1463" s="2" t="s">
        <v>612</v>
      </c>
      <c r="J1463" s="44">
        <f>VLOOKUP(Table1[[#This Row],[Status]],Auxiliar!$B$16:$C$24,2,0)</f>
        <v>1</v>
      </c>
      <c r="K1463" s="20" t="s">
        <v>1173</v>
      </c>
      <c r="L1463" s="45" t="s">
        <v>1174</v>
      </c>
      <c r="M1463" s="20" t="s">
        <v>1175</v>
      </c>
      <c r="N1463" s="47">
        <v>45746</v>
      </c>
      <c r="O1463" s="112">
        <f>INDEX(Auxiliar!$D$5:$F$11,MATCH(Table1[[#This Row],[Tipologia_Testes]],Auxiliar!$B$5:$B$11,0),MATCH(Table1[[#This Row],[Complexidade]],Auxiliar!$D$4:$F$4,0))</f>
        <v>1</v>
      </c>
      <c r="P1463" s="31"/>
      <c r="Q1463" s="151"/>
      <c r="R1463" s="151"/>
      <c r="S1463" s="151"/>
      <c r="T1463" s="151"/>
      <c r="U1463" s="151"/>
      <c r="V1463" s="151"/>
      <c r="W1463" s="2">
        <f>VLOOKUP(Table1[[#This Row],[Status]],Auxiliar!$B$16:$D$24,3,0)*Table1[[#This Row],[Estimação (horas)]]</f>
        <v>1</v>
      </c>
      <c r="X1463" s="165">
        <f>+VLOOKUP(CONCATENATE(Table1[[#This Row],[Tabela]],Table1[[#This Row],[Campo]]),'2. Status Detalhe Campos FY24'!A:J,9,FALSE)</f>
        <v>0</v>
      </c>
      <c r="Y1463" s="491" t="e">
        <f>+VLOOKUP(A1463,#REF!,1,FALSE)</f>
        <v>#REF!</v>
      </c>
    </row>
    <row r="1464" spans="1:25" ht="17.899999999999999" hidden="1" customHeight="1">
      <c r="A1464" t="str">
        <f>+Table1[[#This Row],[Tabela]]&amp;Table1[[#This Row],[Campo]]</f>
        <v>lt003_entitypure_capex_w</v>
      </c>
      <c r="B1464" s="38" t="s">
        <v>26</v>
      </c>
      <c r="C1464" s="38" t="s">
        <v>26</v>
      </c>
      <c r="D1464" s="19" t="s">
        <v>399</v>
      </c>
      <c r="E1464" s="111" t="s">
        <v>38</v>
      </c>
      <c r="F1464" s="31" t="s">
        <v>335</v>
      </c>
      <c r="G1464" s="354" t="s">
        <v>2207</v>
      </c>
      <c r="H1464" s="58" t="str">
        <f>Table1[[#This Row],[Tabela]]&amp;Table1[[#This Row],[Campo]]</f>
        <v>lt003_entitypure_capex_w</v>
      </c>
      <c r="I1464" s="2" t="s">
        <v>612</v>
      </c>
      <c r="J1464" s="44">
        <f>VLOOKUP(Table1[[#This Row],[Status]],Auxiliar!$B$16:$C$24,2,0)</f>
        <v>1</v>
      </c>
      <c r="K1464" s="20" t="s">
        <v>1173</v>
      </c>
      <c r="L1464" s="45" t="s">
        <v>1174</v>
      </c>
      <c r="M1464" s="20" t="s">
        <v>1175</v>
      </c>
      <c r="N1464" s="47">
        <v>45746</v>
      </c>
      <c r="O1464" s="112">
        <f>INDEX(Auxiliar!$D$5:$F$11,MATCH(Table1[[#This Row],[Tipologia_Testes]],Auxiliar!$B$5:$B$11,0),MATCH(Table1[[#This Row],[Complexidade]],Auxiliar!$D$4:$F$4,0))</f>
        <v>1</v>
      </c>
      <c r="P1464" s="31"/>
      <c r="Q1464" s="151"/>
      <c r="R1464" s="151"/>
      <c r="S1464" s="151"/>
      <c r="T1464" s="151"/>
      <c r="U1464" s="151"/>
      <c r="V1464" s="151"/>
      <c r="W1464" s="2">
        <f>VLOOKUP(Table1[[#This Row],[Status]],Auxiliar!$B$16:$D$24,3,0)*Table1[[#This Row],[Estimação (horas)]]</f>
        <v>1</v>
      </c>
      <c r="X1464" s="165">
        <f>+VLOOKUP(CONCATENATE(Table1[[#This Row],[Tabela]],Table1[[#This Row],[Campo]]),'2. Status Detalhe Campos FY24'!A:J,9,FALSE)</f>
        <v>0</v>
      </c>
      <c r="Y1464" s="491" t="e">
        <f>+VLOOKUP(A1464,#REF!,1,FALSE)</f>
        <v>#REF!</v>
      </c>
    </row>
    <row r="1465" spans="1:25" ht="17.899999999999999" hidden="1" customHeight="1">
      <c r="A1465" t="str">
        <f>+Table1[[#This Row],[Tabela]]&amp;Table1[[#This Row],[Campo]]</f>
        <v>lt003_entitypure_trnvr_w</v>
      </c>
      <c r="B1465" s="38" t="s">
        <v>26</v>
      </c>
      <c r="C1465" s="38" t="s">
        <v>26</v>
      </c>
      <c r="D1465" s="19" t="s">
        <v>399</v>
      </c>
      <c r="E1465" s="111" t="s">
        <v>38</v>
      </c>
      <c r="F1465" s="31" t="s">
        <v>335</v>
      </c>
      <c r="G1465" s="354" t="s">
        <v>2208</v>
      </c>
      <c r="H1465" s="58" t="str">
        <f>Table1[[#This Row],[Tabela]]&amp;Table1[[#This Row],[Campo]]</f>
        <v>lt003_entitypure_trnvr_w</v>
      </c>
      <c r="I1465" s="2" t="s">
        <v>612</v>
      </c>
      <c r="J1465" s="44">
        <f>VLOOKUP(Table1[[#This Row],[Status]],Auxiliar!$B$16:$C$24,2,0)</f>
        <v>1</v>
      </c>
      <c r="K1465" s="20" t="s">
        <v>1173</v>
      </c>
      <c r="L1465" s="45" t="s">
        <v>1174</v>
      </c>
      <c r="M1465" s="20" t="s">
        <v>1175</v>
      </c>
      <c r="N1465" s="47">
        <v>45746</v>
      </c>
      <c r="O1465" s="112">
        <f>INDEX(Auxiliar!$D$5:$F$11,MATCH(Table1[[#This Row],[Tipologia_Testes]],Auxiliar!$B$5:$B$11,0),MATCH(Table1[[#This Row],[Complexidade]],Auxiliar!$D$4:$F$4,0))</f>
        <v>1</v>
      </c>
      <c r="P1465" s="31"/>
      <c r="Q1465" s="151"/>
      <c r="R1465" s="151"/>
      <c r="S1465" s="151"/>
      <c r="T1465" s="151"/>
      <c r="U1465" s="151"/>
      <c r="V1465" s="151"/>
      <c r="W1465" s="2">
        <f>VLOOKUP(Table1[[#This Row],[Status]],Auxiliar!$B$16:$D$24,3,0)*Table1[[#This Row],[Estimação (horas)]]</f>
        <v>1</v>
      </c>
      <c r="X1465" s="165">
        <f>+VLOOKUP(CONCATENATE(Table1[[#This Row],[Tabela]],Table1[[#This Row],[Campo]]),'2. Status Detalhe Campos FY24'!A:J,9,FALSE)</f>
        <v>0</v>
      </c>
      <c r="Y1465" s="491" t="e">
        <f>+VLOOKUP(A1465,#REF!,1,FALSE)</f>
        <v>#REF!</v>
      </c>
    </row>
    <row r="1466" spans="1:25" ht="17.899999999999999" hidden="1" customHeight="1">
      <c r="A1466" t="str">
        <f>+Table1[[#This Row],[Tabela]]&amp;Table1[[#This Row],[Campo]]</f>
        <v>lt003_entitypure_capex_ce</v>
      </c>
      <c r="B1466" s="38" t="s">
        <v>26</v>
      </c>
      <c r="C1466" s="38" t="s">
        <v>26</v>
      </c>
      <c r="D1466" s="19" t="s">
        <v>399</v>
      </c>
      <c r="E1466" s="111" t="s">
        <v>38</v>
      </c>
      <c r="F1466" s="31" t="s">
        <v>335</v>
      </c>
      <c r="G1466" s="354" t="s">
        <v>2209</v>
      </c>
      <c r="H1466" s="58" t="str">
        <f>Table1[[#This Row],[Tabela]]&amp;Table1[[#This Row],[Campo]]</f>
        <v>lt003_entitypure_capex_ce</v>
      </c>
      <c r="I1466" s="2" t="s">
        <v>612</v>
      </c>
      <c r="J1466" s="44">
        <f>VLOOKUP(Table1[[#This Row],[Status]],Auxiliar!$B$16:$C$24,2,0)</f>
        <v>1</v>
      </c>
      <c r="K1466" s="20" t="s">
        <v>1173</v>
      </c>
      <c r="L1466" s="45" t="s">
        <v>1174</v>
      </c>
      <c r="M1466" s="20" t="s">
        <v>1175</v>
      </c>
      <c r="N1466" s="47">
        <v>45746</v>
      </c>
      <c r="O1466" s="112">
        <f>INDEX(Auxiliar!$D$5:$F$11,MATCH(Table1[[#This Row],[Tipologia_Testes]],Auxiliar!$B$5:$B$11,0),MATCH(Table1[[#This Row],[Complexidade]],Auxiliar!$D$4:$F$4,0))</f>
        <v>1</v>
      </c>
      <c r="P1466" s="31"/>
      <c r="Q1466" s="151"/>
      <c r="R1466" s="151"/>
      <c r="S1466" s="151"/>
      <c r="T1466" s="151"/>
      <c r="U1466" s="151"/>
      <c r="V1466" s="151"/>
      <c r="W1466" s="2">
        <f>VLOOKUP(Table1[[#This Row],[Status]],Auxiliar!$B$16:$D$24,3,0)*Table1[[#This Row],[Estimação (horas)]]</f>
        <v>1</v>
      </c>
      <c r="X1466" s="165">
        <f>+VLOOKUP(CONCATENATE(Table1[[#This Row],[Tabela]],Table1[[#This Row],[Campo]]),'2. Status Detalhe Campos FY24'!A:J,9,FALSE)</f>
        <v>0</v>
      </c>
      <c r="Y1466" s="491" t="e">
        <f>+VLOOKUP(A1466,#REF!,1,FALSE)</f>
        <v>#REF!</v>
      </c>
    </row>
    <row r="1467" spans="1:25" ht="17.899999999999999" hidden="1" customHeight="1">
      <c r="A1467" t="str">
        <f>+Table1[[#This Row],[Tabela]]&amp;Table1[[#This Row],[Campo]]</f>
        <v>lt003_entitypure_trnvr_ce</v>
      </c>
      <c r="B1467" s="38" t="s">
        <v>26</v>
      </c>
      <c r="C1467" s="38" t="s">
        <v>26</v>
      </c>
      <c r="D1467" s="19" t="s">
        <v>399</v>
      </c>
      <c r="E1467" s="111" t="s">
        <v>38</v>
      </c>
      <c r="F1467" s="31" t="s">
        <v>335</v>
      </c>
      <c r="G1467" s="354" t="s">
        <v>2210</v>
      </c>
      <c r="H1467" s="58" t="str">
        <f>Table1[[#This Row],[Tabela]]&amp;Table1[[#This Row],[Campo]]</f>
        <v>lt003_entitypure_trnvr_ce</v>
      </c>
      <c r="I1467" s="2" t="s">
        <v>612</v>
      </c>
      <c r="J1467" s="44">
        <f>VLOOKUP(Table1[[#This Row],[Status]],Auxiliar!$B$16:$C$24,2,0)</f>
        <v>1</v>
      </c>
      <c r="K1467" s="20" t="s">
        <v>1173</v>
      </c>
      <c r="L1467" s="45" t="s">
        <v>1174</v>
      </c>
      <c r="M1467" s="20" t="s">
        <v>1175</v>
      </c>
      <c r="N1467" s="47">
        <v>45746</v>
      </c>
      <c r="O1467" s="112">
        <f>INDEX(Auxiliar!$D$5:$F$11,MATCH(Table1[[#This Row],[Tipologia_Testes]],Auxiliar!$B$5:$B$11,0),MATCH(Table1[[#This Row],[Complexidade]],Auxiliar!$D$4:$F$4,0))</f>
        <v>1</v>
      </c>
      <c r="P1467" s="31"/>
      <c r="Q1467" s="151"/>
      <c r="R1467" s="151"/>
      <c r="S1467" s="151"/>
      <c r="T1467" s="151"/>
      <c r="U1467" s="151"/>
      <c r="V1467" s="151"/>
      <c r="W1467" s="2">
        <f>VLOOKUP(Table1[[#This Row],[Status]],Auxiliar!$B$16:$D$24,3,0)*Table1[[#This Row],[Estimação (horas)]]</f>
        <v>1</v>
      </c>
      <c r="X1467" s="165">
        <f>+VLOOKUP(CONCATENATE(Table1[[#This Row],[Tabela]],Table1[[#This Row],[Campo]]),'2. Status Detalhe Campos FY24'!A:J,9,FALSE)</f>
        <v>0</v>
      </c>
      <c r="Y1467" s="491" t="e">
        <f>+VLOOKUP(A1467,#REF!,1,FALSE)</f>
        <v>#REF!</v>
      </c>
    </row>
    <row r="1468" spans="1:25" ht="17.899999999999999" hidden="1" customHeight="1">
      <c r="A1468" t="str">
        <f>+Table1[[#This Row],[Tabela]]&amp;Table1[[#This Row],[Campo]]</f>
        <v>lt003_entityenblng_capex_w</v>
      </c>
      <c r="B1468" s="38" t="s">
        <v>26</v>
      </c>
      <c r="C1468" s="38" t="s">
        <v>26</v>
      </c>
      <c r="D1468" s="19" t="s">
        <v>399</v>
      </c>
      <c r="E1468" s="111" t="s">
        <v>38</v>
      </c>
      <c r="F1468" s="31" t="s">
        <v>335</v>
      </c>
      <c r="G1468" s="354" t="s">
        <v>2211</v>
      </c>
      <c r="H1468" s="58" t="str">
        <f>Table1[[#This Row],[Tabela]]&amp;Table1[[#This Row],[Campo]]</f>
        <v>lt003_entityenblng_capex_w</v>
      </c>
      <c r="I1468" s="2" t="s">
        <v>612</v>
      </c>
      <c r="J1468" s="44">
        <f>VLOOKUP(Table1[[#This Row],[Status]],Auxiliar!$B$16:$C$24,2,0)</f>
        <v>1</v>
      </c>
      <c r="K1468" s="20" t="s">
        <v>1173</v>
      </c>
      <c r="L1468" s="45" t="s">
        <v>1174</v>
      </c>
      <c r="M1468" s="20" t="s">
        <v>1175</v>
      </c>
      <c r="N1468" s="47">
        <v>45746</v>
      </c>
      <c r="O1468" s="112">
        <f>INDEX(Auxiliar!$D$5:$F$11,MATCH(Table1[[#This Row],[Tipologia_Testes]],Auxiliar!$B$5:$B$11,0),MATCH(Table1[[#This Row],[Complexidade]],Auxiliar!$D$4:$F$4,0))</f>
        <v>1</v>
      </c>
      <c r="P1468" s="31"/>
      <c r="Q1468" s="151"/>
      <c r="R1468" s="151"/>
      <c r="S1468" s="151"/>
      <c r="T1468" s="151"/>
      <c r="U1468" s="151"/>
      <c r="V1468" s="151"/>
      <c r="W1468" s="2">
        <f>VLOOKUP(Table1[[#This Row],[Status]],Auxiliar!$B$16:$D$24,3,0)*Table1[[#This Row],[Estimação (horas)]]</f>
        <v>1</v>
      </c>
      <c r="X1468" s="165">
        <f>+VLOOKUP(CONCATENATE(Table1[[#This Row],[Tabela]],Table1[[#This Row],[Campo]]),'2. Status Detalhe Campos FY24'!A:J,9,FALSE)</f>
        <v>0</v>
      </c>
      <c r="Y1468" s="491" t="e">
        <f>+VLOOKUP(A1468,#REF!,1,FALSE)</f>
        <v>#REF!</v>
      </c>
    </row>
    <row r="1469" spans="1:25" ht="17.899999999999999" hidden="1" customHeight="1">
      <c r="A1469" t="str">
        <f>+Table1[[#This Row],[Tabela]]&amp;Table1[[#This Row],[Campo]]</f>
        <v>lt003_entityenblng_trnvr_w</v>
      </c>
      <c r="B1469" s="38" t="s">
        <v>26</v>
      </c>
      <c r="C1469" s="38" t="s">
        <v>26</v>
      </c>
      <c r="D1469" s="19" t="s">
        <v>399</v>
      </c>
      <c r="E1469" s="111" t="s">
        <v>38</v>
      </c>
      <c r="F1469" s="31" t="s">
        <v>335</v>
      </c>
      <c r="G1469" s="354" t="s">
        <v>2212</v>
      </c>
      <c r="H1469" s="58" t="str">
        <f>Table1[[#This Row],[Tabela]]&amp;Table1[[#This Row],[Campo]]</f>
        <v>lt003_entityenblng_trnvr_w</v>
      </c>
      <c r="I1469" s="2" t="s">
        <v>612</v>
      </c>
      <c r="J1469" s="44">
        <f>VLOOKUP(Table1[[#This Row],[Status]],Auxiliar!$B$16:$C$24,2,0)</f>
        <v>1</v>
      </c>
      <c r="K1469" s="20" t="s">
        <v>1173</v>
      </c>
      <c r="L1469" s="45" t="s">
        <v>1174</v>
      </c>
      <c r="M1469" s="20" t="s">
        <v>1175</v>
      </c>
      <c r="N1469" s="47">
        <v>45746</v>
      </c>
      <c r="O1469" s="112">
        <f>INDEX(Auxiliar!$D$5:$F$11,MATCH(Table1[[#This Row],[Tipologia_Testes]],Auxiliar!$B$5:$B$11,0),MATCH(Table1[[#This Row],[Complexidade]],Auxiliar!$D$4:$F$4,0))</f>
        <v>1</v>
      </c>
      <c r="P1469" s="31"/>
      <c r="Q1469" s="151"/>
      <c r="R1469" s="151"/>
      <c r="S1469" s="151"/>
      <c r="T1469" s="151"/>
      <c r="U1469" s="151"/>
      <c r="V1469" s="151"/>
      <c r="W1469" s="2">
        <f>VLOOKUP(Table1[[#This Row],[Status]],Auxiliar!$B$16:$D$24,3,0)*Table1[[#This Row],[Estimação (horas)]]</f>
        <v>1</v>
      </c>
      <c r="X1469" s="165">
        <f>+VLOOKUP(CONCATENATE(Table1[[#This Row],[Tabela]],Table1[[#This Row],[Campo]]),'2. Status Detalhe Campos FY24'!A:J,9,FALSE)</f>
        <v>0</v>
      </c>
      <c r="Y1469" s="491" t="e">
        <f>+VLOOKUP(A1469,#REF!,1,FALSE)</f>
        <v>#REF!</v>
      </c>
    </row>
    <row r="1470" spans="1:25" ht="17.899999999999999" hidden="1" customHeight="1">
      <c r="A1470" t="str">
        <f>+Table1[[#This Row],[Tabela]]&amp;Table1[[#This Row],[Campo]]</f>
        <v>lt003_entityenblng_capex_ce</v>
      </c>
      <c r="B1470" s="38" t="s">
        <v>26</v>
      </c>
      <c r="C1470" s="38" t="s">
        <v>26</v>
      </c>
      <c r="D1470" s="19" t="s">
        <v>399</v>
      </c>
      <c r="E1470" s="111" t="s">
        <v>38</v>
      </c>
      <c r="F1470" s="31" t="s">
        <v>335</v>
      </c>
      <c r="G1470" s="354" t="s">
        <v>2213</v>
      </c>
      <c r="H1470" s="58" t="str">
        <f>Table1[[#This Row],[Tabela]]&amp;Table1[[#This Row],[Campo]]</f>
        <v>lt003_entityenblng_capex_ce</v>
      </c>
      <c r="I1470" s="2" t="s">
        <v>612</v>
      </c>
      <c r="J1470" s="44">
        <f>VLOOKUP(Table1[[#This Row],[Status]],Auxiliar!$B$16:$C$24,2,0)</f>
        <v>1</v>
      </c>
      <c r="K1470" s="20" t="s">
        <v>1173</v>
      </c>
      <c r="L1470" s="45" t="s">
        <v>1174</v>
      </c>
      <c r="M1470" s="20" t="s">
        <v>1175</v>
      </c>
      <c r="N1470" s="47">
        <v>45723</v>
      </c>
      <c r="O1470" s="112">
        <f>INDEX(Auxiliar!$D$5:$F$11,MATCH(Table1[[#This Row],[Tipologia_Testes]],Auxiliar!$B$5:$B$11,0),MATCH(Table1[[#This Row],[Complexidade]],Auxiliar!$D$4:$F$4,0))</f>
        <v>1</v>
      </c>
      <c r="P1470" s="31"/>
      <c r="Q1470" s="151"/>
      <c r="R1470" s="151"/>
      <c r="S1470" s="151"/>
      <c r="T1470" s="151"/>
      <c r="U1470" s="151"/>
      <c r="V1470" s="151"/>
      <c r="W1470" s="2">
        <f>VLOOKUP(Table1[[#This Row],[Status]],Auxiliar!$B$16:$D$24,3,0)*Table1[[#This Row],[Estimação (horas)]]</f>
        <v>1</v>
      </c>
      <c r="X1470" s="165">
        <f>+VLOOKUP(CONCATENATE(Table1[[#This Row],[Tabela]],Table1[[#This Row],[Campo]]),'2. Status Detalhe Campos FY24'!A:J,9,FALSE)</f>
        <v>0</v>
      </c>
      <c r="Y1470" s="491" t="e">
        <f>+VLOOKUP(A1470,#REF!,1,FALSE)</f>
        <v>#REF!</v>
      </c>
    </row>
    <row r="1471" spans="1:25" ht="17.899999999999999" hidden="1" customHeight="1">
      <c r="A1471" t="str">
        <f>+Table1[[#This Row],[Tabela]]&amp;Table1[[#This Row],[Campo]]</f>
        <v>lt003_entityenblng_trnvr_ce</v>
      </c>
      <c r="B1471" s="38" t="s">
        <v>26</v>
      </c>
      <c r="C1471" s="38" t="s">
        <v>26</v>
      </c>
      <c r="D1471" s="19" t="s">
        <v>399</v>
      </c>
      <c r="E1471" s="111" t="s">
        <v>38</v>
      </c>
      <c r="F1471" s="31" t="s">
        <v>335</v>
      </c>
      <c r="G1471" s="354" t="s">
        <v>2214</v>
      </c>
      <c r="H1471" s="58" t="str">
        <f>Table1[[#This Row],[Tabela]]&amp;Table1[[#This Row],[Campo]]</f>
        <v>lt003_entityenblng_trnvr_ce</v>
      </c>
      <c r="I1471" s="2" t="s">
        <v>612</v>
      </c>
      <c r="J1471" s="44">
        <f>VLOOKUP(Table1[[#This Row],[Status]],Auxiliar!$B$16:$C$24,2,0)</f>
        <v>1</v>
      </c>
      <c r="K1471" s="20" t="s">
        <v>1173</v>
      </c>
      <c r="L1471" s="45" t="s">
        <v>1174</v>
      </c>
      <c r="M1471" s="20" t="s">
        <v>1175</v>
      </c>
      <c r="N1471" s="47">
        <v>45746</v>
      </c>
      <c r="O1471" s="112">
        <f>INDEX(Auxiliar!$D$5:$F$11,MATCH(Table1[[#This Row],[Tipologia_Testes]],Auxiliar!$B$5:$B$11,0),MATCH(Table1[[#This Row],[Complexidade]],Auxiliar!$D$4:$F$4,0))</f>
        <v>1</v>
      </c>
      <c r="P1471" s="31"/>
      <c r="Q1471" s="151"/>
      <c r="R1471" s="151"/>
      <c r="S1471" s="151"/>
      <c r="T1471" s="151"/>
      <c r="U1471" s="151"/>
      <c r="V1471" s="151"/>
      <c r="W1471" s="2">
        <f>VLOOKUP(Table1[[#This Row],[Status]],Auxiliar!$B$16:$D$24,3,0)*Table1[[#This Row],[Estimação (horas)]]</f>
        <v>1</v>
      </c>
      <c r="X1471" s="165">
        <f>+VLOOKUP(CONCATENATE(Table1[[#This Row],[Tabela]],Table1[[#This Row],[Campo]]),'2. Status Detalhe Campos FY24'!A:J,9,FALSE)</f>
        <v>0</v>
      </c>
      <c r="Y1471" s="491" t="e">
        <f>+VLOOKUP(A1471,#REF!,1,FALSE)</f>
        <v>#REF!</v>
      </c>
    </row>
    <row r="1472" spans="1:25" ht="17.899999999999999" hidden="1" customHeight="1">
      <c r="A1472" t="str">
        <f>+Table1[[#This Row],[Tabela]]&amp;Table1[[#This Row],[Campo]]</f>
        <v>lt004_protectionemssns_scp2_prtctn</v>
      </c>
      <c r="B1472" s="38" t="s">
        <v>26</v>
      </c>
      <c r="C1472" s="38" t="s">
        <v>26</v>
      </c>
      <c r="D1472" s="333" t="s">
        <v>1272</v>
      </c>
      <c r="E1472" s="111" t="s">
        <v>1274</v>
      </c>
      <c r="F1472" s="39" t="s">
        <v>368</v>
      </c>
      <c r="G1472" s="337" t="s">
        <v>374</v>
      </c>
      <c r="H1472" s="338" t="str">
        <f>Table1[[#This Row],[Tabela]]&amp;Table1[[#This Row],[Campo]]</f>
        <v>lt004_protectionemssns_scp2_prtctn</v>
      </c>
      <c r="I1472" s="2" t="s">
        <v>612</v>
      </c>
      <c r="J1472" s="44">
        <f>VLOOKUP(Table1[[#This Row],[Status]],Auxiliar!$B$16:$C$24,2,0)</f>
        <v>1</v>
      </c>
      <c r="K1472" s="45" t="s">
        <v>1168</v>
      </c>
      <c r="L1472" s="45" t="s">
        <v>1174</v>
      </c>
      <c r="M1472" s="20" t="s">
        <v>1175</v>
      </c>
      <c r="N1472" s="47">
        <v>45667</v>
      </c>
      <c r="O1472" s="20">
        <f>INDEX(Auxiliar!$D$5:$F$13,MATCH(Table1[[#This Row],[Tipologia_Testes]],Auxiliar!$B$5:$B$13,0),MATCH(Table1[[#This Row],[Complexidade]],Auxiliar!$D$4:$F$4,0))</f>
        <v>2</v>
      </c>
      <c r="P1472" s="42" t="s">
        <v>1259</v>
      </c>
      <c r="Q1472" s="151"/>
      <c r="R1472" s="151">
        <v>45622</v>
      </c>
      <c r="S1472" s="151"/>
      <c r="T1472" s="151"/>
      <c r="U1472" s="151">
        <v>45631</v>
      </c>
      <c r="V1472" s="151">
        <v>45631</v>
      </c>
      <c r="W1472" s="2">
        <f>VLOOKUP(Table1[[#This Row],[Status]],Auxiliar!$B$16:$D$24,3,0)*Table1[[#This Row],[Estimação (horas)]]</f>
        <v>2</v>
      </c>
      <c r="X1472" s="165">
        <f>+VLOOKUP(CONCATENATE(Table1[[#This Row],[Tabela]],Table1[[#This Row],[Campo]]),'2. Status Detalhe Campos FY24'!A:J,9,FALSE)</f>
        <v>0</v>
      </c>
      <c r="Y1472" s="491" t="e">
        <f>+VLOOKUP(A1472,#REF!,1,FALSE)</f>
        <v>#REF!</v>
      </c>
    </row>
    <row r="1473" spans="1:25" ht="17.899999999999999" hidden="1" customHeight="1">
      <c r="A1473" t="str">
        <f>+Table1[[#This Row],[Tabela]]&amp;Table1[[#This Row],[Campo]]</f>
        <v>lt004_protectionemssns_scp2_prtctn</v>
      </c>
      <c r="B1473" s="38" t="s">
        <v>26</v>
      </c>
      <c r="C1473" s="38" t="s">
        <v>26</v>
      </c>
      <c r="D1473" s="40" t="s">
        <v>1272</v>
      </c>
      <c r="E1473" s="46" t="s">
        <v>1274</v>
      </c>
      <c r="F1473" s="42" t="s">
        <v>368</v>
      </c>
      <c r="G1473" s="40" t="s">
        <v>374</v>
      </c>
      <c r="H1473" s="58" t="str">
        <f>Table1[[#This Row],[Tabela]]&amp;Table1[[#This Row],[Campo]]</f>
        <v>lt004_protectionemssns_scp2_prtctn</v>
      </c>
      <c r="I1473" s="2" t="s">
        <v>612</v>
      </c>
      <c r="J1473" s="44">
        <f>VLOOKUP(Table1[[#This Row],[Status]],Auxiliar!$B$16:$C$24,2,0)</f>
        <v>1</v>
      </c>
      <c r="K1473" s="45" t="s">
        <v>1169</v>
      </c>
      <c r="L1473" s="45" t="s">
        <v>1174</v>
      </c>
      <c r="M1473" s="20" t="s">
        <v>1175</v>
      </c>
      <c r="N1473" s="47">
        <v>45667</v>
      </c>
      <c r="O1473" s="20">
        <f>INDEX(Auxiliar!$D$5:$F$13,MATCH(Table1[[#This Row],[Tipologia_Testes]],Auxiliar!$B$5:$B$13,0),MATCH(Table1[[#This Row],[Complexidade]],Auxiliar!$D$4:$F$4,0))</f>
        <v>2</v>
      </c>
      <c r="P1473" s="42" t="s">
        <v>1259</v>
      </c>
      <c r="Q1473" s="151"/>
      <c r="R1473" s="151">
        <v>45622</v>
      </c>
      <c r="S1473" s="151"/>
      <c r="T1473" s="151"/>
      <c r="U1473" s="151">
        <v>45631</v>
      </c>
      <c r="V1473" s="151">
        <v>45631</v>
      </c>
      <c r="W1473" s="2">
        <f>VLOOKUP(Table1[[#This Row],[Status]],Auxiliar!$B$16:$D$24,3,0)*Table1[[#This Row],[Estimação (horas)]]</f>
        <v>2</v>
      </c>
      <c r="X1473" s="165">
        <f>+VLOOKUP(CONCATENATE(Table1[[#This Row],[Tabela]],Table1[[#This Row],[Campo]]),'2. Status Detalhe Campos FY24'!A:J,9,FALSE)</f>
        <v>0</v>
      </c>
      <c r="Y1473" s="491" t="e">
        <f>+VLOOKUP(A1473,#REF!,1,FALSE)</f>
        <v>#REF!</v>
      </c>
    </row>
    <row r="1474" spans="1:25" ht="17.899999999999999" hidden="1" customHeight="1">
      <c r="A1474" t="str">
        <f>+Table1[[#This Row],[Tabela]]&amp;Table1[[#This Row],[Campo]]</f>
        <v>lt004_protectionemssns_scp2_prtctn</v>
      </c>
      <c r="B1474" s="38" t="s">
        <v>26</v>
      </c>
      <c r="C1474" s="38" t="s">
        <v>26</v>
      </c>
      <c r="D1474" s="40" t="s">
        <v>1272</v>
      </c>
      <c r="E1474" s="46" t="s">
        <v>1274</v>
      </c>
      <c r="F1474" s="42" t="s">
        <v>368</v>
      </c>
      <c r="G1474" s="40" t="s">
        <v>374</v>
      </c>
      <c r="H1474" s="58" t="str">
        <f>Table1[[#This Row],[Tabela]]&amp;Table1[[#This Row],[Campo]]</f>
        <v>lt004_protectionemssns_scp2_prtctn</v>
      </c>
      <c r="I1474" s="2" t="s">
        <v>612</v>
      </c>
      <c r="J1474" s="44">
        <f>VLOOKUP(Table1[[#This Row],[Status]],Auxiliar!$B$16:$C$24,2,0)</f>
        <v>1</v>
      </c>
      <c r="K1474" s="45" t="s">
        <v>1171</v>
      </c>
      <c r="L1474" s="45" t="s">
        <v>1174</v>
      </c>
      <c r="M1474" s="20" t="s">
        <v>1175</v>
      </c>
      <c r="N1474" s="47">
        <v>45667</v>
      </c>
      <c r="O1474" s="20">
        <f>INDEX(Auxiliar!$D$5:$F$13,MATCH(Table1[[#This Row],[Tipologia_Testes]],Auxiliar!$B$5:$B$13,0),MATCH(Table1[[#This Row],[Complexidade]],Auxiliar!$D$4:$F$4,0))</f>
        <v>0.1</v>
      </c>
      <c r="P1474" s="42" t="s">
        <v>1259</v>
      </c>
      <c r="Q1474" s="151"/>
      <c r="R1474" s="151">
        <v>45622</v>
      </c>
      <c r="S1474" s="151"/>
      <c r="T1474" s="151"/>
      <c r="U1474" s="151">
        <v>45631</v>
      </c>
      <c r="V1474" s="151">
        <v>45631</v>
      </c>
      <c r="W1474" s="2">
        <f>VLOOKUP(Table1[[#This Row],[Status]],Auxiliar!$B$16:$D$24,3,0)*Table1[[#This Row],[Estimação (horas)]]</f>
        <v>0.1</v>
      </c>
      <c r="X1474" s="165">
        <f>+VLOOKUP(CONCATENATE(Table1[[#This Row],[Tabela]],Table1[[#This Row],[Campo]]),'2. Status Detalhe Campos FY24'!A:J,9,FALSE)</f>
        <v>0</v>
      </c>
      <c r="Y1474" s="491" t="e">
        <f>+VLOOKUP(A1474,#REF!,1,FALSE)</f>
        <v>#REF!</v>
      </c>
    </row>
    <row r="1475" spans="1:25" ht="17.899999999999999" hidden="1" customHeight="1">
      <c r="A1475" t="str">
        <f>+Table1[[#This Row],[Tabela]]&amp;Table1[[#This Row],[Campo]]</f>
        <v>lt004_protectionemssns_scp1_prtctn</v>
      </c>
      <c r="B1475" s="38" t="s">
        <v>26</v>
      </c>
      <c r="C1475" s="38" t="s">
        <v>26</v>
      </c>
      <c r="D1475" s="333" t="s">
        <v>1272</v>
      </c>
      <c r="E1475" s="111" t="s">
        <v>1273</v>
      </c>
      <c r="F1475" s="39" t="s">
        <v>368</v>
      </c>
      <c r="G1475" s="337" t="s">
        <v>373</v>
      </c>
      <c r="H1475" s="338" t="str">
        <f>Table1[[#This Row],[Tabela]]&amp;Table1[[#This Row],[Campo]]</f>
        <v>lt004_protectionemssns_scp1_prtctn</v>
      </c>
      <c r="I1475" s="2" t="s">
        <v>612</v>
      </c>
      <c r="J1475" s="44">
        <f>VLOOKUP(Table1[[#This Row],[Status]],Auxiliar!$B$16:$C$24,2,0)</f>
        <v>1</v>
      </c>
      <c r="K1475" s="45" t="s">
        <v>1168</v>
      </c>
      <c r="L1475" s="45" t="s">
        <v>1174</v>
      </c>
      <c r="M1475" s="20" t="s">
        <v>1175</v>
      </c>
      <c r="N1475" s="47">
        <v>45667</v>
      </c>
      <c r="O1475" s="20">
        <f>INDEX(Auxiliar!$D$5:$F$13,MATCH(Table1[[#This Row],[Tipologia_Testes]],Auxiliar!$B$5:$B$13,0),MATCH(Table1[[#This Row],[Complexidade]],Auxiliar!$D$4:$F$4,0))</f>
        <v>2</v>
      </c>
      <c r="P1475" s="42" t="s">
        <v>1259</v>
      </c>
      <c r="Q1475" s="42"/>
      <c r="R1475" s="151">
        <v>45622</v>
      </c>
      <c r="S1475" s="151"/>
      <c r="T1475" s="151"/>
      <c r="U1475" s="151">
        <v>45631</v>
      </c>
      <c r="V1475" s="151">
        <v>45631</v>
      </c>
      <c r="W1475" s="2">
        <f>VLOOKUP(Table1[[#This Row],[Status]],Auxiliar!$B$16:$D$24,3,0)*Table1[[#This Row],[Estimação (horas)]]</f>
        <v>2</v>
      </c>
      <c r="X1475" s="165">
        <f>+VLOOKUP(CONCATENATE(Table1[[#This Row],[Tabela]],Table1[[#This Row],[Campo]]),'2. Status Detalhe Campos FY24'!A:J,9,FALSE)</f>
        <v>0</v>
      </c>
      <c r="Y1475" s="491" t="e">
        <f>+VLOOKUP(A1475,#REF!,1,FALSE)</f>
        <v>#REF!</v>
      </c>
    </row>
    <row r="1476" spans="1:25" ht="17.899999999999999" hidden="1" customHeight="1">
      <c r="A1476" t="str">
        <f>+Table1[[#This Row],[Tabela]]&amp;Table1[[#This Row],[Campo]]</f>
        <v>lt004_protectionemssns_scp1_prtctn</v>
      </c>
      <c r="B1476" s="38" t="s">
        <v>26</v>
      </c>
      <c r="C1476" s="38" t="s">
        <v>26</v>
      </c>
      <c r="D1476" s="40" t="s">
        <v>1272</v>
      </c>
      <c r="E1476" s="46" t="s">
        <v>1273</v>
      </c>
      <c r="F1476" s="42" t="s">
        <v>368</v>
      </c>
      <c r="G1476" s="40" t="s">
        <v>373</v>
      </c>
      <c r="H1476" s="58" t="str">
        <f>Table1[[#This Row],[Tabela]]&amp;Table1[[#This Row],[Campo]]</f>
        <v>lt004_protectionemssns_scp1_prtctn</v>
      </c>
      <c r="I1476" s="2" t="s">
        <v>612</v>
      </c>
      <c r="J1476" s="44">
        <f>VLOOKUP(Table1[[#This Row],[Status]],Auxiliar!$B$16:$C$24,2,0)</f>
        <v>1</v>
      </c>
      <c r="K1476" s="45" t="s">
        <v>1169</v>
      </c>
      <c r="L1476" s="45" t="s">
        <v>1174</v>
      </c>
      <c r="M1476" s="20" t="s">
        <v>1175</v>
      </c>
      <c r="N1476" s="47">
        <v>45667</v>
      </c>
      <c r="O1476" s="20">
        <f>INDEX(Auxiliar!$D$5:$F$13,MATCH(Table1[[#This Row],[Tipologia_Testes]],Auxiliar!$B$5:$B$13,0),MATCH(Table1[[#This Row],[Complexidade]],Auxiliar!$D$4:$F$4,0))</f>
        <v>2</v>
      </c>
      <c r="P1476" s="42" t="s">
        <v>1259</v>
      </c>
      <c r="Q1476" s="42"/>
      <c r="R1476" s="151">
        <v>45622</v>
      </c>
      <c r="S1476" s="151"/>
      <c r="T1476" s="151"/>
      <c r="U1476" s="151">
        <v>45631</v>
      </c>
      <c r="V1476" s="151">
        <v>45631</v>
      </c>
      <c r="W1476" s="2">
        <f>VLOOKUP(Table1[[#This Row],[Status]],Auxiliar!$B$16:$D$24,3,0)*Table1[[#This Row],[Estimação (horas)]]</f>
        <v>2</v>
      </c>
      <c r="X1476" s="165">
        <f>+VLOOKUP(CONCATENATE(Table1[[#This Row],[Tabela]],Table1[[#This Row],[Campo]]),'2. Status Detalhe Campos FY24'!A:J,9,FALSE)</f>
        <v>0</v>
      </c>
      <c r="Y1476" s="491" t="e">
        <f>+VLOOKUP(A1476,#REF!,1,FALSE)</f>
        <v>#REF!</v>
      </c>
    </row>
    <row r="1477" spans="1:25" ht="17.899999999999999" hidden="1" customHeight="1">
      <c r="A1477" t="str">
        <f>+Table1[[#This Row],[Tabela]]&amp;Table1[[#This Row],[Campo]]</f>
        <v>lt004_protectionemssns_scp1_prtctn</v>
      </c>
      <c r="B1477" s="38" t="s">
        <v>26</v>
      </c>
      <c r="C1477" s="38" t="s">
        <v>26</v>
      </c>
      <c r="D1477" s="40" t="s">
        <v>1272</v>
      </c>
      <c r="E1477" s="46" t="s">
        <v>1273</v>
      </c>
      <c r="F1477" s="42" t="s">
        <v>368</v>
      </c>
      <c r="G1477" s="40" t="s">
        <v>373</v>
      </c>
      <c r="H1477" s="58" t="str">
        <f>Table1[[#This Row],[Tabela]]&amp;Table1[[#This Row],[Campo]]</f>
        <v>lt004_protectionemssns_scp1_prtctn</v>
      </c>
      <c r="I1477" s="2" t="s">
        <v>612</v>
      </c>
      <c r="J1477" s="44">
        <f>VLOOKUP(Table1[[#This Row],[Status]],Auxiliar!$B$16:$C$24,2,0)</f>
        <v>1</v>
      </c>
      <c r="K1477" s="45" t="s">
        <v>1171</v>
      </c>
      <c r="L1477" s="45" t="s">
        <v>1174</v>
      </c>
      <c r="M1477" s="20" t="s">
        <v>1175</v>
      </c>
      <c r="N1477" s="47">
        <v>45667</v>
      </c>
      <c r="O1477" s="20">
        <f>INDEX(Auxiliar!$D$5:$F$13,MATCH(Table1[[#This Row],[Tipologia_Testes]],Auxiliar!$B$5:$B$13,0),MATCH(Table1[[#This Row],[Complexidade]],Auxiliar!$D$4:$F$4,0))</f>
        <v>0.1</v>
      </c>
      <c r="P1477" s="42" t="s">
        <v>1259</v>
      </c>
      <c r="Q1477" s="42"/>
      <c r="R1477" s="151">
        <v>45622</v>
      </c>
      <c r="S1477" s="151"/>
      <c r="T1477" s="151"/>
      <c r="U1477" s="151">
        <v>45631</v>
      </c>
      <c r="V1477" s="151">
        <v>45631</v>
      </c>
      <c r="W1477" s="2">
        <f>VLOOKUP(Table1[[#This Row],[Status]],Auxiliar!$B$16:$D$24,3,0)*Table1[[#This Row],[Estimação (horas)]]</f>
        <v>0.1</v>
      </c>
      <c r="X1477" s="165">
        <f>+VLOOKUP(CONCATENATE(Table1[[#This Row],[Tabela]],Table1[[#This Row],[Campo]]),'2. Status Detalhe Campos FY24'!A:J,9,FALSE)</f>
        <v>0</v>
      </c>
      <c r="Y1477" s="491" t="e">
        <f>+VLOOKUP(A1477,#REF!,1,FALSE)</f>
        <v>#REF!</v>
      </c>
    </row>
    <row r="1478" spans="1:25" ht="17.899999999999999" hidden="1" customHeight="1">
      <c r="A1478" t="str">
        <f>+Table1[[#This Row],[Tabela]]&amp;Table1[[#This Row],[Campo]]</f>
        <v>lt004_protectionRL_ESTT_ADDRSS</v>
      </c>
      <c r="B1478" s="38" t="s">
        <v>26</v>
      </c>
      <c r="C1478" s="38" t="s">
        <v>26</v>
      </c>
      <c r="D1478" s="40"/>
      <c r="E1478" s="46"/>
      <c r="F1478" s="42" t="s">
        <v>368</v>
      </c>
      <c r="G1478" s="356" t="s">
        <v>2243</v>
      </c>
      <c r="H1478" s="58" t="str">
        <f>Table1[[#This Row],[Tabela]]&amp;Table1[[#This Row],[Campo]]</f>
        <v>lt004_protectionRL_ESTT_ADDRSS</v>
      </c>
      <c r="I1478" s="2" t="s">
        <v>615</v>
      </c>
      <c r="J1478" s="44">
        <f>VLOOKUP(Table1[[#This Row],[Status]],Auxiliar!$B$16:$C$24,2,0)</f>
        <v>6</v>
      </c>
      <c r="K1478" s="45"/>
      <c r="L1478" s="45"/>
      <c r="M1478" s="20"/>
      <c r="N1478" s="47"/>
      <c r="O1478" s="20" t="e">
        <f>INDEX(Auxiliar!$D$5:$F$11,MATCH(Table1[[#This Row],[Tipologia_Testes]],Auxiliar!$B$5:$B$11,0),MATCH(Table1[[#This Row],[Complexidade]],Auxiliar!$D$4:$F$4,0))</f>
        <v>#N/A</v>
      </c>
      <c r="P1478" s="42"/>
      <c r="Q1478" s="42"/>
      <c r="R1478" s="151"/>
      <c r="S1478" s="151"/>
      <c r="T1478" s="151"/>
      <c r="U1478" s="151"/>
      <c r="V1478" s="151"/>
      <c r="W1478" s="2" t="e">
        <f>VLOOKUP(Table1[[#This Row],[Status]],Auxiliar!$B$16:$D$24,3,0)*Table1[[#This Row],[Estimação (horas)]]</f>
        <v>#N/A</v>
      </c>
      <c r="X1478" s="165">
        <f>+VLOOKUP(CONCATENATE(Table1[[#This Row],[Tabela]],Table1[[#This Row],[Campo]]),'2. Status Detalhe Campos FY24'!A:J,9,FALSE)</f>
        <v>0</v>
      </c>
      <c r="Y1478" s="491" t="e">
        <f>+VLOOKUP(A1478,#REF!,1,FALSE)</f>
        <v>#REF!</v>
      </c>
    </row>
    <row r="1479" spans="1:25" ht="17.899999999999999" hidden="1" customHeight="1">
      <c r="A1479" t="str">
        <f>+Table1[[#This Row],[Tabela]]&amp;Table1[[#This Row],[Campo]]</f>
        <v>lt004_protectionRL_ESTT_CLLTRL_LCTN_INT</v>
      </c>
      <c r="B1479" s="38" t="s">
        <v>26</v>
      </c>
      <c r="C1479" s="38" t="s">
        <v>26</v>
      </c>
      <c r="D1479" s="40"/>
      <c r="E1479" s="46"/>
      <c r="F1479" s="42" t="s">
        <v>368</v>
      </c>
      <c r="G1479" s="356" t="s">
        <v>2244</v>
      </c>
      <c r="H1479" s="58" t="str">
        <f>Table1[[#This Row],[Tabela]]&amp;Table1[[#This Row],[Campo]]</f>
        <v>lt004_protectionRL_ESTT_CLLTRL_LCTN_INT</v>
      </c>
      <c r="I1479" s="2" t="s">
        <v>612</v>
      </c>
      <c r="J1479" s="44">
        <f>VLOOKUP(Table1[[#This Row],[Status]],Auxiliar!$B$16:$C$24,2,0)</f>
        <v>1</v>
      </c>
      <c r="K1479" s="45"/>
      <c r="L1479" s="45"/>
      <c r="M1479" s="20"/>
      <c r="N1479" s="47"/>
      <c r="O1479" s="20" t="e">
        <f>INDEX(Auxiliar!$D$5:$F$11,MATCH(Table1[[#This Row],[Tipologia_Testes]],Auxiliar!$B$5:$B$11,0),MATCH(Table1[[#This Row],[Complexidade]],Auxiliar!$D$4:$F$4,0))</f>
        <v>#N/A</v>
      </c>
      <c r="P1479" s="42"/>
      <c r="Q1479" s="42"/>
      <c r="R1479" s="151"/>
      <c r="S1479" s="151"/>
      <c r="T1479" s="151"/>
      <c r="U1479" s="151"/>
      <c r="V1479" s="151"/>
      <c r="W1479" s="2" t="e">
        <f>VLOOKUP(Table1[[#This Row],[Status]],Auxiliar!$B$16:$D$24,3,0)*Table1[[#This Row],[Estimação (horas)]]</f>
        <v>#N/A</v>
      </c>
      <c r="X1479" s="165">
        <f>+VLOOKUP(CONCATENATE(Table1[[#This Row],[Tabela]],Table1[[#This Row],[Campo]]),'2. Status Detalhe Campos FY24'!A:J,9,FALSE)</f>
        <v>0</v>
      </c>
      <c r="Y1479" s="491" t="e">
        <f>+VLOOKUP(A1479,#REF!,1,FALSE)</f>
        <v>#REF!</v>
      </c>
    </row>
    <row r="1480" spans="1:25" ht="17.899999999999999" hidden="1" customHeight="1">
      <c r="A1480" t="str">
        <f>+Table1[[#This Row],[Tabela]]&amp;Table1[[#This Row],[Campo]]</f>
        <v>lt004_protectionRL_ESTT_CTY</v>
      </c>
      <c r="B1480" s="38" t="s">
        <v>26</v>
      </c>
      <c r="C1480" s="38" t="s">
        <v>26</v>
      </c>
      <c r="D1480" s="40"/>
      <c r="E1480" s="46"/>
      <c r="F1480" s="42" t="s">
        <v>368</v>
      </c>
      <c r="G1480" s="356" t="s">
        <v>2245</v>
      </c>
      <c r="H1480" s="58" t="str">
        <f>Table1[[#This Row],[Tabela]]&amp;Table1[[#This Row],[Campo]]</f>
        <v>lt004_protectionRL_ESTT_CTY</v>
      </c>
      <c r="I1480" s="2" t="s">
        <v>612</v>
      </c>
      <c r="J1480" s="44">
        <f>VLOOKUP(Table1[[#This Row],[Status]],Auxiliar!$B$16:$C$24,2,0)</f>
        <v>1</v>
      </c>
      <c r="K1480" s="45"/>
      <c r="L1480" s="45"/>
      <c r="M1480" s="20"/>
      <c r="N1480" s="47">
        <v>45695</v>
      </c>
      <c r="O1480" s="20" t="e">
        <f>INDEX(Auxiliar!$D$5:$F$11,MATCH(Table1[[#This Row],[Tipologia_Testes]],Auxiliar!$B$5:$B$11,0),MATCH(Table1[[#This Row],[Complexidade]],Auxiliar!$D$4:$F$4,0))</f>
        <v>#N/A</v>
      </c>
      <c r="P1480" s="42"/>
      <c r="Q1480" s="42"/>
      <c r="R1480" s="151"/>
      <c r="S1480" s="151"/>
      <c r="T1480" s="151"/>
      <c r="U1480" s="151"/>
      <c r="V1480" s="151"/>
      <c r="W1480" s="2" t="e">
        <f>VLOOKUP(Table1[[#This Row],[Status]],Auxiliar!$B$16:$D$24,3,0)*Table1[[#This Row],[Estimação (horas)]]</f>
        <v>#N/A</v>
      </c>
      <c r="X1480" s="165">
        <f>+VLOOKUP(CONCATENATE(Table1[[#This Row],[Tabela]],Table1[[#This Row],[Campo]]),'2. Status Detalhe Campos FY24'!A:J,9,FALSE)</f>
        <v>0</v>
      </c>
      <c r="Y1480" s="491" t="e">
        <f>+VLOOKUP(A1480,#REF!,1,FALSE)</f>
        <v>#REF!</v>
      </c>
    </row>
    <row r="1481" spans="1:25" ht="17.899999999999999" hidden="1" customHeight="1">
      <c r="A1481" t="str">
        <f>+Table1[[#This Row],[Tabela]]&amp;Table1[[#This Row],[Campo]]</f>
        <v>lt004_protectionTYP_EMSSNS_LBL</v>
      </c>
      <c r="B1481" s="38" t="s">
        <v>26</v>
      </c>
      <c r="C1481" s="38" t="s">
        <v>26</v>
      </c>
      <c r="D1481" s="40"/>
      <c r="E1481" s="46"/>
      <c r="F1481" s="42" t="s">
        <v>368</v>
      </c>
      <c r="G1481" s="356" t="s">
        <v>2246</v>
      </c>
      <c r="H1481" s="58" t="str">
        <f>Table1[[#This Row],[Tabela]]&amp;Table1[[#This Row],[Campo]]</f>
        <v>lt004_protectionTYP_EMSSNS_LBL</v>
      </c>
      <c r="I1481" s="2" t="s">
        <v>612</v>
      </c>
      <c r="J1481" s="44">
        <f>VLOOKUP(Table1[[#This Row],[Status]],Auxiliar!$B$16:$C$24,2,0)</f>
        <v>1</v>
      </c>
      <c r="K1481" s="45"/>
      <c r="L1481" s="45"/>
      <c r="M1481" s="20"/>
      <c r="N1481" s="47">
        <v>45723</v>
      </c>
      <c r="O1481" s="20" t="e">
        <f>INDEX(Auxiliar!$D$5:$F$11,MATCH(Table1[[#This Row],[Tipologia_Testes]],Auxiliar!$B$5:$B$11,0),MATCH(Table1[[#This Row],[Complexidade]],Auxiliar!$D$4:$F$4,0))</f>
        <v>#N/A</v>
      </c>
      <c r="P1481" s="42"/>
      <c r="Q1481" s="42"/>
      <c r="R1481" s="151"/>
      <c r="S1481" s="151"/>
      <c r="T1481" s="151"/>
      <c r="U1481" s="151"/>
      <c r="V1481" s="151"/>
      <c r="W1481" s="2" t="e">
        <f>VLOOKUP(Table1[[#This Row],[Status]],Auxiliar!$B$16:$D$24,3,0)*Table1[[#This Row],[Estimação (horas)]]</f>
        <v>#N/A</v>
      </c>
      <c r="X1481" s="165">
        <f>+VLOOKUP(CONCATENATE(Table1[[#This Row],[Tabela]],Table1[[#This Row],[Campo]]),'2. Status Detalhe Campos FY24'!A:J,9,FALSE)</f>
        <v>0</v>
      </c>
      <c r="Y1481" s="491" t="e">
        <f>+VLOOKUP(A1481,#REF!,1,FALSE)</f>
        <v>#REF!</v>
      </c>
    </row>
    <row r="1482" spans="1:25" ht="17.899999999999999" hidden="1" customHeight="1">
      <c r="A1482" t="str">
        <f>+Table1[[#This Row],[Tabela]]&amp;Table1[[#This Row],[Campo]]</f>
        <v>lt004_protectionEPC_EMSSNS_LBL</v>
      </c>
      <c r="B1482" s="38" t="s">
        <v>26</v>
      </c>
      <c r="C1482" s="38" t="s">
        <v>26</v>
      </c>
      <c r="D1482" s="40"/>
      <c r="E1482" s="46"/>
      <c r="F1482" s="42" t="s">
        <v>368</v>
      </c>
      <c r="G1482" s="484" t="s">
        <v>2247</v>
      </c>
      <c r="H1482" s="58" t="str">
        <f>Table1[[#This Row],[Tabela]]&amp;Table1[[#This Row],[Campo]]</f>
        <v>lt004_protectionEPC_EMSSNS_LBL</v>
      </c>
      <c r="I1482" s="2" t="s">
        <v>612</v>
      </c>
      <c r="J1482" s="44">
        <f>VLOOKUP(Table1[[#This Row],[Status]],Auxiliar!$B$16:$C$24,2,0)</f>
        <v>1</v>
      </c>
      <c r="K1482" s="45"/>
      <c r="L1482" s="45"/>
      <c r="M1482" s="20"/>
      <c r="N1482" s="47">
        <v>45716</v>
      </c>
      <c r="O1482" s="20" t="e">
        <f>INDEX(Auxiliar!$D$5:$F$11,MATCH(Table1[[#This Row],[Tipologia_Testes]],Auxiliar!$B$5:$B$11,0),MATCH(Table1[[#This Row],[Complexidade]],Auxiliar!$D$4:$F$4,0))</f>
        <v>#N/A</v>
      </c>
      <c r="P1482" s="42"/>
      <c r="Q1482" s="42"/>
      <c r="R1482" s="151"/>
      <c r="S1482" s="151"/>
      <c r="T1482" s="151"/>
      <c r="U1482" s="151"/>
      <c r="V1482" s="151"/>
      <c r="W1482" s="2" t="e">
        <f>VLOOKUP(Table1[[#This Row],[Status]],Auxiliar!$B$16:$D$24,3,0)*Table1[[#This Row],[Estimação (horas)]]</f>
        <v>#N/A</v>
      </c>
      <c r="X1482" s="165">
        <f>+VLOOKUP(CONCATENATE(Table1[[#This Row],[Tabela]],Table1[[#This Row],[Campo]]),'2. Status Detalhe Campos FY24'!A:J,9,FALSE)</f>
        <v>0</v>
      </c>
      <c r="Y1482" s="491" t="e">
        <f>+VLOOKUP(A1482,#REF!,1,FALSE)</f>
        <v>#REF!</v>
      </c>
    </row>
    <row r="1483" spans="1:25" ht="17.899999999999999" hidden="1" customHeight="1">
      <c r="A1483" t="str">
        <f>+Table1[[#This Row],[Tabela]]&amp;Table1[[#This Row],[Campo]]</f>
        <v>lt004_protectionVHCL_EMSSNS_LBL</v>
      </c>
      <c r="B1483" s="38" t="s">
        <v>26</v>
      </c>
      <c r="C1483" s="38" t="s">
        <v>26</v>
      </c>
      <c r="D1483" s="40"/>
      <c r="E1483" s="46"/>
      <c r="F1483" s="42" t="s">
        <v>368</v>
      </c>
      <c r="G1483" s="356" t="s">
        <v>2248</v>
      </c>
      <c r="H1483" s="58" t="str">
        <f>Table1[[#This Row],[Tabela]]&amp;Table1[[#This Row],[Campo]]</f>
        <v>lt004_protectionVHCL_EMSSNS_LBL</v>
      </c>
      <c r="I1483" s="2" t="s">
        <v>612</v>
      </c>
      <c r="J1483" s="44">
        <f>VLOOKUP(Table1[[#This Row],[Status]],Auxiliar!$B$16:$C$24,2,0)</f>
        <v>1</v>
      </c>
      <c r="K1483" s="45"/>
      <c r="L1483" s="45"/>
      <c r="M1483" s="20"/>
      <c r="N1483" s="47">
        <v>45723</v>
      </c>
      <c r="O1483" s="20" t="e">
        <f>INDEX(Auxiliar!$D$5:$F$11,MATCH(Table1[[#This Row],[Tipologia_Testes]],Auxiliar!$B$5:$B$11,0),MATCH(Table1[[#This Row],[Complexidade]],Auxiliar!$D$4:$F$4,0))</f>
        <v>#N/A</v>
      </c>
      <c r="P1483" s="42"/>
      <c r="Q1483" s="42"/>
      <c r="R1483" s="151"/>
      <c r="S1483" s="151"/>
      <c r="T1483" s="151"/>
      <c r="U1483" s="151"/>
      <c r="V1483" s="151"/>
      <c r="W1483" s="2" t="e">
        <f>VLOOKUP(Table1[[#This Row],[Status]],Auxiliar!$B$16:$D$24,3,0)*Table1[[#This Row],[Estimação (horas)]]</f>
        <v>#N/A</v>
      </c>
      <c r="X1483" s="165">
        <f>+VLOOKUP(CONCATENATE(Table1[[#This Row],[Tabela]],Table1[[#This Row],[Campo]]),'2. Status Detalhe Campos FY24'!A:J,9,FALSE)</f>
        <v>0</v>
      </c>
      <c r="Y1483" s="491" t="e">
        <f>+VLOOKUP(A1483,#REF!,1,FALSE)</f>
        <v>#REF!</v>
      </c>
    </row>
    <row r="1484" spans="1:25" ht="17.899999999999999" hidden="1" customHeight="1">
      <c r="A1484" t="str">
        <f>+Table1[[#This Row],[Tabela]]&amp;Table1[[#This Row],[Campo]]</f>
        <v>lt004_protectionTYP_EMSSNS_SCR</v>
      </c>
      <c r="B1484" s="38" t="s">
        <v>26</v>
      </c>
      <c r="C1484" s="38" t="s">
        <v>26</v>
      </c>
      <c r="D1484" s="40"/>
      <c r="E1484" s="46"/>
      <c r="F1484" s="42" t="s">
        <v>368</v>
      </c>
      <c r="G1484" s="484" t="s">
        <v>2249</v>
      </c>
      <c r="H1484" s="58" t="str">
        <f>Table1[[#This Row],[Tabela]]&amp;Table1[[#This Row],[Campo]]</f>
        <v>lt004_protectionTYP_EMSSNS_SCR</v>
      </c>
      <c r="I1484" s="2" t="s">
        <v>612</v>
      </c>
      <c r="J1484" s="44">
        <f>VLOOKUP(Table1[[#This Row],[Status]],Auxiliar!$B$16:$C$24,2,0)</f>
        <v>1</v>
      </c>
      <c r="K1484" s="45"/>
      <c r="L1484" s="45"/>
      <c r="M1484" s="20"/>
      <c r="N1484" s="47">
        <v>45723</v>
      </c>
      <c r="O1484" s="20" t="e">
        <f>INDEX(Auxiliar!$D$5:$F$11,MATCH(Table1[[#This Row],[Tipologia_Testes]],Auxiliar!$B$5:$B$11,0),MATCH(Table1[[#This Row],[Complexidade]],Auxiliar!$D$4:$F$4,0))</f>
        <v>#N/A</v>
      </c>
      <c r="P1484" s="42"/>
      <c r="Q1484" s="42"/>
      <c r="R1484" s="151"/>
      <c r="S1484" s="151"/>
      <c r="T1484" s="151"/>
      <c r="U1484" s="151"/>
      <c r="V1484" s="151"/>
      <c r="W1484" s="2" t="e">
        <f>VLOOKUP(Table1[[#This Row],[Status]],Auxiliar!$B$16:$D$24,3,0)*Table1[[#This Row],[Estimação (horas)]]</f>
        <v>#N/A</v>
      </c>
      <c r="X1484" s="165">
        <f>+VLOOKUP(CONCATENATE(Table1[[#This Row],[Tabela]],Table1[[#This Row],[Campo]]),'2. Status Detalhe Campos FY24'!A:J,9,FALSE)</f>
        <v>0</v>
      </c>
      <c r="Y1484" s="491" t="e">
        <f>+VLOOKUP(A1484,#REF!,1,FALSE)</f>
        <v>#REF!</v>
      </c>
    </row>
    <row r="1485" spans="1:25" ht="17.899999999999999" hidden="1" customHeight="1">
      <c r="A1485" t="str">
        <f>+Table1[[#This Row],[Tabela]]&amp;Table1[[#This Row],[Campo]]</f>
        <v>lt004_protectionEPC_EMSSNS_SCR</v>
      </c>
      <c r="B1485" s="38" t="s">
        <v>26</v>
      </c>
      <c r="C1485" s="38" t="s">
        <v>26</v>
      </c>
      <c r="D1485" s="40"/>
      <c r="E1485" s="46"/>
      <c r="F1485" s="42" t="s">
        <v>368</v>
      </c>
      <c r="G1485" s="484" t="s">
        <v>2250</v>
      </c>
      <c r="H1485" s="58" t="str">
        <f>Table1[[#This Row],[Tabela]]&amp;Table1[[#This Row],[Campo]]</f>
        <v>lt004_protectionEPC_EMSSNS_SCR</v>
      </c>
      <c r="I1485" s="2" t="s">
        <v>612</v>
      </c>
      <c r="J1485" s="44">
        <f>VLOOKUP(Table1[[#This Row],[Status]],Auxiliar!$B$16:$C$24,2,0)</f>
        <v>1</v>
      </c>
      <c r="K1485" s="45"/>
      <c r="L1485" s="45"/>
      <c r="M1485" s="20"/>
      <c r="N1485" s="47">
        <v>45723</v>
      </c>
      <c r="O1485" s="20" t="e">
        <f>INDEX(Auxiliar!$D$5:$F$11,MATCH(Table1[[#This Row],[Tipologia_Testes]],Auxiliar!$B$5:$B$11,0),MATCH(Table1[[#This Row],[Complexidade]],Auxiliar!$D$4:$F$4,0))</f>
        <v>#N/A</v>
      </c>
      <c r="P1485" s="42"/>
      <c r="Q1485" s="42"/>
      <c r="R1485" s="151"/>
      <c r="S1485" s="151"/>
      <c r="T1485" s="151"/>
      <c r="U1485" s="151"/>
      <c r="V1485" s="151"/>
      <c r="W1485" s="2" t="e">
        <f>VLOOKUP(Table1[[#This Row],[Status]],Auxiliar!$B$16:$D$24,3,0)*Table1[[#This Row],[Estimação (horas)]]</f>
        <v>#N/A</v>
      </c>
      <c r="X1485" s="165">
        <f>+VLOOKUP(CONCATENATE(Table1[[#This Row],[Tabela]],Table1[[#This Row],[Campo]]),'2. Status Detalhe Campos FY24'!A:J,9,FALSE)</f>
        <v>0</v>
      </c>
      <c r="Y1485" s="491" t="e">
        <f>+VLOOKUP(A1485,#REF!,1,FALSE)</f>
        <v>#REF!</v>
      </c>
    </row>
    <row r="1486" spans="1:25" ht="17.899999999999999" hidden="1" customHeight="1">
      <c r="A1486" t="str">
        <f>+Table1[[#This Row],[Tabela]]&amp;Table1[[#This Row],[Campo]]</f>
        <v>lt004_protectionVHCL_EMSSNS_SCR</v>
      </c>
      <c r="B1486" s="38" t="s">
        <v>26</v>
      </c>
      <c r="C1486" s="38" t="s">
        <v>26</v>
      </c>
      <c r="D1486" s="40"/>
      <c r="E1486" s="46"/>
      <c r="F1486" s="42" t="s">
        <v>368</v>
      </c>
      <c r="G1486" s="356" t="s">
        <v>2251</v>
      </c>
      <c r="H1486" s="58" t="str">
        <f>Table1[[#This Row],[Tabela]]&amp;Table1[[#This Row],[Campo]]</f>
        <v>lt004_protectionVHCL_EMSSNS_SCR</v>
      </c>
      <c r="I1486" s="2" t="s">
        <v>612</v>
      </c>
      <c r="J1486" s="44">
        <f>VLOOKUP(Table1[[#This Row],[Status]],Auxiliar!$B$16:$C$24,2,0)</f>
        <v>1</v>
      </c>
      <c r="K1486" s="45"/>
      <c r="L1486" s="45"/>
      <c r="M1486" s="20"/>
      <c r="N1486" s="47">
        <v>45723</v>
      </c>
      <c r="O1486" s="20" t="e">
        <f>INDEX(Auxiliar!$D$5:$F$11,MATCH(Table1[[#This Row],[Tipologia_Testes]],Auxiliar!$B$5:$B$11,0),MATCH(Table1[[#This Row],[Complexidade]],Auxiliar!$D$4:$F$4,0))</f>
        <v>#N/A</v>
      </c>
      <c r="P1486" s="42"/>
      <c r="Q1486" s="42"/>
      <c r="R1486" s="151"/>
      <c r="S1486" s="151"/>
      <c r="T1486" s="151"/>
      <c r="U1486" s="151"/>
      <c r="V1486" s="151"/>
      <c r="W1486" s="2" t="e">
        <f>VLOOKUP(Table1[[#This Row],[Status]],Auxiliar!$B$16:$D$24,3,0)*Table1[[#This Row],[Estimação (horas)]]</f>
        <v>#N/A</v>
      </c>
      <c r="X1486" s="165">
        <f>+VLOOKUP(CONCATENATE(Table1[[#This Row],[Tabela]],Table1[[#This Row],[Campo]]),'2. Status Detalhe Campos FY24'!A:J,9,FALSE)</f>
        <v>0</v>
      </c>
      <c r="Y1486" s="491" t="e">
        <f>+VLOOKUP(A1486,#REF!,1,FALSE)</f>
        <v>#REF!</v>
      </c>
    </row>
    <row r="1487" spans="1:25" ht="17.899999999999999" hidden="1" customHeight="1">
      <c r="A1487" t="str">
        <f>+Table1[[#This Row],[Tabela]]&amp;Table1[[#This Row],[Campo]]</f>
        <v>lt004_protectionINSRNC_ID</v>
      </c>
      <c r="B1487" s="38" t="s">
        <v>26</v>
      </c>
      <c r="C1487" s="38" t="s">
        <v>26</v>
      </c>
      <c r="D1487" s="40"/>
      <c r="E1487" s="46"/>
      <c r="F1487" s="42" t="s">
        <v>368</v>
      </c>
      <c r="G1487" s="356" t="s">
        <v>2252</v>
      </c>
      <c r="H1487" s="58" t="str">
        <f>Table1[[#This Row],[Tabela]]&amp;Table1[[#This Row],[Campo]]</f>
        <v>lt004_protectionINSRNC_ID</v>
      </c>
      <c r="I1487" s="2" t="s">
        <v>612</v>
      </c>
      <c r="J1487" s="44">
        <f>VLOOKUP(Table1[[#This Row],[Status]],Auxiliar!$B$16:$C$24,2,0)</f>
        <v>1</v>
      </c>
      <c r="K1487" s="45"/>
      <c r="L1487" s="45"/>
      <c r="M1487" s="20"/>
      <c r="N1487" s="47">
        <v>45723</v>
      </c>
      <c r="O1487" s="20" t="e">
        <f>INDEX(Auxiliar!$D$5:$F$11,MATCH(Table1[[#This Row],[Tipologia_Testes]],Auxiliar!$B$5:$B$11,0),MATCH(Table1[[#This Row],[Complexidade]],Auxiliar!$D$4:$F$4,0))</f>
        <v>#N/A</v>
      </c>
      <c r="P1487" s="42"/>
      <c r="Q1487" s="42"/>
      <c r="R1487" s="151"/>
      <c r="S1487" s="151"/>
      <c r="T1487" s="151"/>
      <c r="U1487" s="151"/>
      <c r="V1487" s="151"/>
      <c r="W1487" s="2" t="e">
        <f>VLOOKUP(Table1[[#This Row],[Status]],Auxiliar!$B$16:$D$24,3,0)*Table1[[#This Row],[Estimação (horas)]]</f>
        <v>#N/A</v>
      </c>
      <c r="X1487" s="165">
        <f>+VLOOKUP(CONCATENATE(Table1[[#This Row],[Tabela]],Table1[[#This Row],[Campo]]),'2. Status Detalhe Campos FY24'!A:J,9,FALSE)</f>
        <v>0</v>
      </c>
      <c r="Y1487" s="491" t="e">
        <f>+VLOOKUP(A1487,#REF!,1,FALSE)</f>
        <v>#REF!</v>
      </c>
    </row>
    <row r="1488" spans="1:25" ht="17.899999999999999" hidden="1" customHeight="1">
      <c r="A1488" t="str">
        <f>+Table1[[#This Row],[Tabela]]&amp;Table1[[#This Row],[Campo]]</f>
        <v>lt004_protectionTYP_HZRDS_INSRD</v>
      </c>
      <c r="B1488" s="38" t="s">
        <v>26</v>
      </c>
      <c r="C1488" s="38" t="s">
        <v>26</v>
      </c>
      <c r="D1488" s="40"/>
      <c r="E1488" s="46"/>
      <c r="F1488" s="42" t="s">
        <v>368</v>
      </c>
      <c r="G1488" s="356" t="s">
        <v>2253</v>
      </c>
      <c r="H1488" s="58" t="str">
        <f>Table1[[#This Row],[Tabela]]&amp;Table1[[#This Row],[Campo]]</f>
        <v>lt004_protectionTYP_HZRDS_INSRD</v>
      </c>
      <c r="I1488" s="2" t="s">
        <v>612</v>
      </c>
      <c r="J1488" s="44">
        <f>VLOOKUP(Table1[[#This Row],[Status]],Auxiliar!$B$16:$C$24,2,0)</f>
        <v>1</v>
      </c>
      <c r="K1488" s="45"/>
      <c r="L1488" s="45"/>
      <c r="M1488" s="20"/>
      <c r="N1488" s="47">
        <v>45723</v>
      </c>
      <c r="O1488" s="20" t="e">
        <f>INDEX(Auxiliar!$D$5:$F$11,MATCH(Table1[[#This Row],[Tipologia_Testes]],Auxiliar!$B$5:$B$11,0),MATCH(Table1[[#This Row],[Complexidade]],Auxiliar!$D$4:$F$4,0))</f>
        <v>#N/A</v>
      </c>
      <c r="P1488" s="42"/>
      <c r="Q1488" s="42"/>
      <c r="R1488" s="151"/>
      <c r="S1488" s="151"/>
      <c r="T1488" s="151"/>
      <c r="U1488" s="151"/>
      <c r="V1488" s="151"/>
      <c r="W1488" s="2" t="e">
        <f>VLOOKUP(Table1[[#This Row],[Status]],Auxiliar!$B$16:$D$24,3,0)*Table1[[#This Row],[Estimação (horas)]]</f>
        <v>#N/A</v>
      </c>
      <c r="X1488" s="165">
        <f>+VLOOKUP(CONCATENATE(Table1[[#This Row],[Tabela]],Table1[[#This Row],[Campo]]),'2. Status Detalhe Campos FY24'!A:J,9,FALSE)</f>
        <v>0</v>
      </c>
      <c r="Y1488" s="491" t="e">
        <f>+VLOOKUP(A1488,#REF!,1,FALSE)</f>
        <v>#REF!</v>
      </c>
    </row>
    <row r="1489" spans="1:25" ht="17.899999999999999" hidden="1" customHeight="1">
      <c r="A1489" t="str">
        <f>+Table1[[#This Row],[Tabela]]&amp;Table1[[#This Row],[Campo]]</f>
        <v>lt004_protectionAMNT_CVRD_INSRNC</v>
      </c>
      <c r="B1489" s="38" t="s">
        <v>26</v>
      </c>
      <c r="C1489" s="38" t="s">
        <v>26</v>
      </c>
      <c r="D1489" s="40"/>
      <c r="E1489" s="46"/>
      <c r="F1489" s="42" t="s">
        <v>368</v>
      </c>
      <c r="G1489" s="356" t="s">
        <v>2254</v>
      </c>
      <c r="H1489" s="58" t="str">
        <f>Table1[[#This Row],[Tabela]]&amp;Table1[[#This Row],[Campo]]</f>
        <v>lt004_protectionAMNT_CVRD_INSRNC</v>
      </c>
      <c r="I1489" s="2" t="s">
        <v>612</v>
      </c>
      <c r="J1489" s="44">
        <f>VLOOKUP(Table1[[#This Row],[Status]],Auxiliar!$B$16:$C$24,2,0)</f>
        <v>1</v>
      </c>
      <c r="K1489" s="45"/>
      <c r="L1489" s="45"/>
      <c r="M1489" s="20"/>
      <c r="N1489" s="47">
        <v>45723</v>
      </c>
      <c r="O1489" s="20" t="e">
        <f>INDEX(Auxiliar!$D$5:$F$11,MATCH(Table1[[#This Row],[Tipologia_Testes]],Auxiliar!$B$5:$B$11,0),MATCH(Table1[[#This Row],[Complexidade]],Auxiliar!$D$4:$F$4,0))</f>
        <v>#N/A</v>
      </c>
      <c r="P1489" s="42"/>
      <c r="Q1489" s="42"/>
      <c r="R1489" s="151"/>
      <c r="S1489" s="151"/>
      <c r="T1489" s="151"/>
      <c r="U1489" s="151"/>
      <c r="V1489" s="151"/>
      <c r="W1489" s="2" t="e">
        <f>VLOOKUP(Table1[[#This Row],[Status]],Auxiliar!$B$16:$D$24,3,0)*Table1[[#This Row],[Estimação (horas)]]</f>
        <v>#N/A</v>
      </c>
      <c r="X1489" s="165">
        <f>+VLOOKUP(CONCATENATE(Table1[[#This Row],[Tabela]],Table1[[#This Row],[Campo]]),'2. Status Detalhe Campos FY24'!A:J,9,FALSE)</f>
        <v>0</v>
      </c>
      <c r="Y1489" s="491" t="e">
        <f>+VLOOKUP(A1489,#REF!,1,FALSE)</f>
        <v>#REF!</v>
      </c>
    </row>
    <row r="1490" spans="1:25" ht="17.899999999999999" hidden="1" customHeight="1">
      <c r="A1490" t="str">
        <f>+Table1[[#This Row],[Tabela]]&amp;Table1[[#This Row],[Campo]]</f>
        <v>lt004_protectionDT_MTRTY_INSRNC</v>
      </c>
      <c r="B1490" s="38" t="s">
        <v>26</v>
      </c>
      <c r="C1490" s="38" t="s">
        <v>26</v>
      </c>
      <c r="D1490" s="40"/>
      <c r="E1490" s="46"/>
      <c r="F1490" s="42" t="s">
        <v>368</v>
      </c>
      <c r="G1490" s="356" t="s">
        <v>2255</v>
      </c>
      <c r="H1490" s="58" t="str">
        <f>Table1[[#This Row],[Tabela]]&amp;Table1[[#This Row],[Campo]]</f>
        <v>lt004_protectionDT_MTRTY_INSRNC</v>
      </c>
      <c r="I1490" s="2" t="s">
        <v>612</v>
      </c>
      <c r="J1490" s="44">
        <f>VLOOKUP(Table1[[#This Row],[Status]],Auxiliar!$B$16:$C$24,2,0)</f>
        <v>1</v>
      </c>
      <c r="K1490" s="45"/>
      <c r="L1490" s="45"/>
      <c r="M1490" s="20"/>
      <c r="N1490" s="47">
        <v>45723</v>
      </c>
      <c r="O1490" s="20" t="e">
        <f>INDEX(Auxiliar!$D$5:$F$11,MATCH(Table1[[#This Row],[Tipologia_Testes]],Auxiliar!$B$5:$B$11,0),MATCH(Table1[[#This Row],[Complexidade]],Auxiliar!$D$4:$F$4,0))</f>
        <v>#N/A</v>
      </c>
      <c r="P1490" s="42"/>
      <c r="Q1490" s="42"/>
      <c r="R1490" s="151"/>
      <c r="S1490" s="151"/>
      <c r="T1490" s="151"/>
      <c r="U1490" s="151"/>
      <c r="V1490" s="151"/>
      <c r="W1490" s="2" t="e">
        <f>VLOOKUP(Table1[[#This Row],[Status]],Auxiliar!$B$16:$D$24,3,0)*Table1[[#This Row],[Estimação (horas)]]</f>
        <v>#N/A</v>
      </c>
      <c r="X1490" s="165">
        <f>+VLOOKUP(CONCATENATE(Table1[[#This Row],[Tabela]],Table1[[#This Row],[Campo]]),'2. Status Detalhe Campos FY24'!A:J,9,FALSE)</f>
        <v>0</v>
      </c>
      <c r="Y1490" s="491" t="e">
        <f>+VLOOKUP(A1490,#REF!,1,FALSE)</f>
        <v>#REF!</v>
      </c>
    </row>
    <row r="1491" spans="1:25" ht="17.899999999999999" hidden="1" customHeight="1">
      <c r="A1491" t="str">
        <f>+Table1[[#This Row],[Tabela]]&amp;Table1[[#This Row],[Campo]]</f>
        <v>lt004_protectionFLG_FRST_HM</v>
      </c>
      <c r="B1491" s="38" t="s">
        <v>26</v>
      </c>
      <c r="C1491" s="38" t="s">
        <v>26</v>
      </c>
      <c r="D1491" s="40"/>
      <c r="E1491" s="46"/>
      <c r="F1491" s="42" t="s">
        <v>368</v>
      </c>
      <c r="G1491" s="356" t="s">
        <v>2256</v>
      </c>
      <c r="H1491" s="58" t="str">
        <f>Table1[[#This Row],[Tabela]]&amp;Table1[[#This Row],[Campo]]</f>
        <v>lt004_protectionFLG_FRST_HM</v>
      </c>
      <c r="I1491" s="2" t="s">
        <v>612</v>
      </c>
      <c r="J1491" s="44">
        <f>VLOOKUP(Table1[[#This Row],[Status]],Auxiliar!$B$16:$C$24,2,0)</f>
        <v>1</v>
      </c>
      <c r="K1491" s="45"/>
      <c r="L1491" s="45"/>
      <c r="M1491" s="20"/>
      <c r="N1491" s="47">
        <v>45723</v>
      </c>
      <c r="O1491" s="20" t="e">
        <f>INDEX(Auxiliar!$D$5:$F$11,MATCH(Table1[[#This Row],[Tipologia_Testes]],Auxiliar!$B$5:$B$11,0),MATCH(Table1[[#This Row],[Complexidade]],Auxiliar!$D$4:$F$4,0))</f>
        <v>#N/A</v>
      </c>
      <c r="P1491" s="42"/>
      <c r="Q1491" s="42"/>
      <c r="R1491" s="151"/>
      <c r="S1491" s="151"/>
      <c r="T1491" s="151"/>
      <c r="U1491" s="151"/>
      <c r="V1491" s="151"/>
      <c r="W1491" s="2" t="e">
        <f>VLOOKUP(Table1[[#This Row],[Status]],Auxiliar!$B$16:$D$24,3,0)*Table1[[#This Row],[Estimação (horas)]]</f>
        <v>#N/A</v>
      </c>
      <c r="X1491" s="165">
        <f>+VLOOKUP(CONCATENATE(Table1[[#This Row],[Tabela]],Table1[[#This Row],[Campo]]),'2. Status Detalhe Campos FY24'!A:J,9,FALSE)</f>
        <v>0</v>
      </c>
      <c r="Y1491" s="491" t="e">
        <f>+VLOOKUP(A1491,#REF!,1,FALSE)</f>
        <v>#REF!</v>
      </c>
    </row>
    <row r="1492" spans="1:25" ht="17.899999999999999" hidden="1" customHeight="1">
      <c r="A1492" t="str">
        <f>+Table1[[#This Row],[Tabela]]&amp;Table1[[#This Row],[Campo]]</f>
        <v>lt004_protectionYR_CNSTRCTN</v>
      </c>
      <c r="B1492" s="38" t="s">
        <v>26</v>
      </c>
      <c r="C1492" s="38" t="s">
        <v>26</v>
      </c>
      <c r="D1492" s="40"/>
      <c r="E1492" s="46"/>
      <c r="F1492" s="42" t="s">
        <v>368</v>
      </c>
      <c r="G1492" s="356" t="s">
        <v>2257</v>
      </c>
      <c r="H1492" s="58" t="str">
        <f>Table1[[#This Row],[Tabela]]&amp;Table1[[#This Row],[Campo]]</f>
        <v>lt004_protectionYR_CNSTRCTN</v>
      </c>
      <c r="I1492" s="2" t="s">
        <v>615</v>
      </c>
      <c r="J1492" s="44">
        <f>VLOOKUP(Table1[[#This Row],[Status]],Auxiliar!$B$16:$C$24,2,0)</f>
        <v>6</v>
      </c>
      <c r="K1492" s="45"/>
      <c r="L1492" s="45"/>
      <c r="M1492" s="20"/>
      <c r="N1492" s="47">
        <v>45695</v>
      </c>
      <c r="O1492" s="20" t="e">
        <f>INDEX(Auxiliar!$D$5:$F$11,MATCH(Table1[[#This Row],[Tipologia_Testes]],Auxiliar!$B$5:$B$11,0),MATCH(Table1[[#This Row],[Complexidade]],Auxiliar!$D$4:$F$4,0))</f>
        <v>#N/A</v>
      </c>
      <c r="P1492" s="42"/>
      <c r="Q1492" s="42"/>
      <c r="R1492" s="151"/>
      <c r="S1492" s="151"/>
      <c r="T1492" s="151"/>
      <c r="U1492" s="151"/>
      <c r="V1492" s="151"/>
      <c r="W1492" s="2" t="e">
        <f>VLOOKUP(Table1[[#This Row],[Status]],Auxiliar!$B$16:$D$24,3,0)*Table1[[#This Row],[Estimação (horas)]]</f>
        <v>#N/A</v>
      </c>
      <c r="X1492" s="165">
        <f>+VLOOKUP(CONCATENATE(Table1[[#This Row],[Tabela]],Table1[[#This Row],[Campo]]),'2. Status Detalhe Campos FY24'!A:J,9,FALSE)</f>
        <v>0</v>
      </c>
      <c r="Y1492" s="491" t="e">
        <f>+VLOOKUP(A1492,#REF!,1,FALSE)</f>
        <v>#REF!</v>
      </c>
    </row>
    <row r="1493" spans="1:25" ht="17.899999999999999" hidden="1" customHeight="1">
      <c r="A1493" t="str">
        <f>+Table1[[#This Row],[Tabela]]&amp;Table1[[#This Row],[Campo]]</f>
        <v>lt004_protectionBLDNG_AR</v>
      </c>
      <c r="B1493" s="38" t="s">
        <v>26</v>
      </c>
      <c r="C1493" s="38" t="s">
        <v>26</v>
      </c>
      <c r="D1493" s="40"/>
      <c r="E1493" s="46"/>
      <c r="F1493" s="42" t="s">
        <v>368</v>
      </c>
      <c r="G1493" s="356" t="s">
        <v>2258</v>
      </c>
      <c r="H1493" s="58" t="str">
        <f>Table1[[#This Row],[Tabela]]&amp;Table1[[#This Row],[Campo]]</f>
        <v>lt004_protectionBLDNG_AR</v>
      </c>
      <c r="I1493" s="2" t="s">
        <v>612</v>
      </c>
      <c r="J1493" s="44">
        <f>VLOOKUP(Table1[[#This Row],[Status]],Auxiliar!$B$16:$C$24,2,0)</f>
        <v>1</v>
      </c>
      <c r="K1493" s="45"/>
      <c r="L1493" s="45"/>
      <c r="M1493" s="20"/>
      <c r="N1493" s="47">
        <v>45695</v>
      </c>
      <c r="O1493" s="20" t="e">
        <f>INDEX(Auxiliar!$D$5:$F$11,MATCH(Table1[[#This Row],[Tipologia_Testes]],Auxiliar!$B$5:$B$11,0),MATCH(Table1[[#This Row],[Complexidade]],Auxiliar!$D$4:$F$4,0))</f>
        <v>#N/A</v>
      </c>
      <c r="P1493" s="42"/>
      <c r="Q1493" s="42"/>
      <c r="R1493" s="151"/>
      <c r="S1493" s="151"/>
      <c r="T1493" s="151"/>
      <c r="U1493" s="151"/>
      <c r="V1493" s="151"/>
      <c r="W1493" s="2" t="e">
        <f>VLOOKUP(Table1[[#This Row],[Status]],Auxiliar!$B$16:$D$24,3,0)*Table1[[#This Row],[Estimação (horas)]]</f>
        <v>#N/A</v>
      </c>
      <c r="X1493" s="165">
        <f>+VLOOKUP(CONCATENATE(Table1[[#This Row],[Tabela]],Table1[[#This Row],[Campo]]),'2. Status Detalhe Campos FY24'!A:J,9,FALSE)</f>
        <v>0</v>
      </c>
      <c r="Y1493" s="491" t="e">
        <f>+VLOOKUP(A1493,#REF!,1,FALSE)</f>
        <v>#REF!</v>
      </c>
    </row>
    <row r="1494" spans="1:25" ht="17.899999999999999" hidden="1" customHeight="1">
      <c r="A1494" t="str">
        <f>+Table1[[#This Row],[Tabela]]&amp;Table1[[#This Row],[Campo]]</f>
        <v>lt004_protectionRL_ESTT_CRTFCTN</v>
      </c>
      <c r="B1494" s="38" t="s">
        <v>26</v>
      </c>
      <c r="C1494" s="38" t="s">
        <v>26</v>
      </c>
      <c r="D1494" s="40"/>
      <c r="E1494" s="46"/>
      <c r="F1494" s="42" t="s">
        <v>368</v>
      </c>
      <c r="G1494" s="356" t="s">
        <v>2259</v>
      </c>
      <c r="H1494" s="58" t="str">
        <f>Table1[[#This Row],[Tabela]]&amp;Table1[[#This Row],[Campo]]</f>
        <v>lt004_protectionRL_ESTT_CRTFCTN</v>
      </c>
      <c r="I1494" s="2" t="s">
        <v>612</v>
      </c>
      <c r="J1494" s="44">
        <f>VLOOKUP(Table1[[#This Row],[Status]],Auxiliar!$B$16:$C$24,2,0)</f>
        <v>1</v>
      </c>
      <c r="K1494" s="45"/>
      <c r="L1494" s="45"/>
      <c r="M1494" s="20"/>
      <c r="N1494" s="47">
        <v>45723</v>
      </c>
      <c r="O1494" s="20" t="e">
        <f>INDEX(Auxiliar!$D$5:$F$11,MATCH(Table1[[#This Row],[Tipologia_Testes]],Auxiliar!$B$5:$B$11,0),MATCH(Table1[[#This Row],[Complexidade]],Auxiliar!$D$4:$F$4,0))</f>
        <v>#N/A</v>
      </c>
      <c r="P1494" s="42"/>
      <c r="Q1494" s="42"/>
      <c r="R1494" s="151"/>
      <c r="S1494" s="151"/>
      <c r="T1494" s="151"/>
      <c r="U1494" s="151"/>
      <c r="V1494" s="151"/>
      <c r="W1494" s="2" t="e">
        <f>VLOOKUP(Table1[[#This Row],[Status]],Auxiliar!$B$16:$D$24,3,0)*Table1[[#This Row],[Estimação (horas)]]</f>
        <v>#N/A</v>
      </c>
      <c r="X1494" s="165">
        <f>+VLOOKUP(CONCATENATE(Table1[[#This Row],[Tabela]],Table1[[#This Row],[Campo]]),'2. Status Detalhe Campos FY24'!A:J,9,FALSE)</f>
        <v>0</v>
      </c>
      <c r="Y1494" s="491" t="e">
        <f>+VLOOKUP(A1494,#REF!,1,FALSE)</f>
        <v>#REF!</v>
      </c>
    </row>
    <row r="1495" spans="1:25" ht="17.899999999999999" hidden="1" customHeight="1">
      <c r="A1495" t="str">
        <f>+Table1[[#This Row],[Tabela]]&amp;Table1[[#This Row],[Campo]]</f>
        <v>lt004_protectionTYP_VHCL</v>
      </c>
      <c r="B1495" s="38" t="s">
        <v>26</v>
      </c>
      <c r="C1495" s="38" t="s">
        <v>26</v>
      </c>
      <c r="D1495" s="40"/>
      <c r="E1495" s="46"/>
      <c r="F1495" s="42" t="s">
        <v>368</v>
      </c>
      <c r="G1495" s="356" t="s">
        <v>2260</v>
      </c>
      <c r="H1495" s="58" t="str">
        <f>Table1[[#This Row],[Tabela]]&amp;Table1[[#This Row],[Campo]]</f>
        <v>lt004_protectionTYP_VHCL</v>
      </c>
      <c r="I1495" s="2" t="s">
        <v>615</v>
      </c>
      <c r="J1495" s="44">
        <f>VLOOKUP(Table1[[#This Row],[Status]],Auxiliar!$B$16:$C$24,2,0)</f>
        <v>6</v>
      </c>
      <c r="K1495" s="45"/>
      <c r="L1495" s="45"/>
      <c r="M1495" s="20"/>
      <c r="N1495" s="47"/>
      <c r="O1495" s="20" t="e">
        <f>INDEX(Auxiliar!$D$5:$F$11,MATCH(Table1[[#This Row],[Tipologia_Testes]],Auxiliar!$B$5:$B$11,0),MATCH(Table1[[#This Row],[Complexidade]],Auxiliar!$D$4:$F$4,0))</f>
        <v>#N/A</v>
      </c>
      <c r="P1495" s="42"/>
      <c r="Q1495" s="42"/>
      <c r="R1495" s="151"/>
      <c r="S1495" s="151"/>
      <c r="T1495" s="151"/>
      <c r="U1495" s="151"/>
      <c r="V1495" s="151"/>
      <c r="W1495" s="2" t="e">
        <f>VLOOKUP(Table1[[#This Row],[Status]],Auxiliar!$B$16:$D$24,3,0)*Table1[[#This Row],[Estimação (horas)]]</f>
        <v>#N/A</v>
      </c>
      <c r="X1495" s="165">
        <f>+VLOOKUP(CONCATENATE(Table1[[#This Row],[Tabela]],Table1[[#This Row],[Campo]]),'2. Status Detalhe Campos FY24'!A:J,9,FALSE)</f>
        <v>0</v>
      </c>
      <c r="Y1495" s="491" t="e">
        <f>+VLOOKUP(A1495,#REF!,1,FALSE)</f>
        <v>#REF!</v>
      </c>
    </row>
    <row r="1496" spans="1:25" ht="17.899999999999999" hidden="1" customHeight="1">
      <c r="A1496" t="str">
        <f>+Table1[[#This Row],[Tabela]]&amp;Table1[[#This Row],[Campo]]</f>
        <v>lt004_protectionDT_RGSTRTN</v>
      </c>
      <c r="B1496" s="38" t="s">
        <v>26</v>
      </c>
      <c r="C1496" s="38" t="s">
        <v>26</v>
      </c>
      <c r="D1496" s="40"/>
      <c r="E1496" s="46"/>
      <c r="F1496" s="42" t="s">
        <v>368</v>
      </c>
      <c r="G1496" s="356" t="s">
        <v>2261</v>
      </c>
      <c r="H1496" s="58" t="str">
        <f>Table1[[#This Row],[Tabela]]&amp;Table1[[#This Row],[Campo]]</f>
        <v>lt004_protectionDT_RGSTRTN</v>
      </c>
      <c r="I1496" s="2" t="s">
        <v>612</v>
      </c>
      <c r="J1496" s="44">
        <f>VLOOKUP(Table1[[#This Row],[Status]],Auxiliar!$B$16:$C$24,2,0)</f>
        <v>1</v>
      </c>
      <c r="K1496" s="45"/>
      <c r="L1496" s="45"/>
      <c r="M1496" s="20"/>
      <c r="N1496" s="47">
        <v>45723</v>
      </c>
      <c r="O1496" s="20" t="e">
        <f>INDEX(Auxiliar!$D$5:$F$11,MATCH(Table1[[#This Row],[Tipologia_Testes]],Auxiliar!$B$5:$B$11,0),MATCH(Table1[[#This Row],[Complexidade]],Auxiliar!$D$4:$F$4,0))</f>
        <v>#N/A</v>
      </c>
      <c r="P1496" s="42"/>
      <c r="Q1496" s="42"/>
      <c r="R1496" s="151"/>
      <c r="S1496" s="151"/>
      <c r="T1496" s="151"/>
      <c r="U1496" s="151"/>
      <c r="V1496" s="151"/>
      <c r="W1496" s="2" t="e">
        <f>VLOOKUP(Table1[[#This Row],[Status]],Auxiliar!$B$16:$D$24,3,0)*Table1[[#This Row],[Estimação (horas)]]</f>
        <v>#N/A</v>
      </c>
      <c r="X1496" s="165">
        <f>+VLOOKUP(CONCATENATE(Table1[[#This Row],[Tabela]],Table1[[#This Row],[Campo]]),'2. Status Detalhe Campos FY24'!A:J,9,FALSE)</f>
        <v>0</v>
      </c>
      <c r="Y1496" s="491" t="e">
        <f>+VLOOKUP(A1496,#REF!,1,FALSE)</f>
        <v>#REF!</v>
      </c>
    </row>
    <row r="1497" spans="1:25" ht="17.899999999999999" hidden="1" customHeight="1">
      <c r="A1497" t="str">
        <f>+Table1[[#This Row],[Tabela]]&amp;Table1[[#This Row],[Campo]]</f>
        <v>lt004_protectionPRMRY_ENRGY_DMND_NN_RNWBL</v>
      </c>
      <c r="B1497" s="38" t="s">
        <v>26</v>
      </c>
      <c r="C1497" s="38" t="s">
        <v>26</v>
      </c>
      <c r="D1497" s="40"/>
      <c r="E1497" s="46"/>
      <c r="F1497" s="42" t="s">
        <v>368</v>
      </c>
      <c r="G1497" s="356" t="s">
        <v>2262</v>
      </c>
      <c r="H1497" s="58" t="str">
        <f>Table1[[#This Row],[Tabela]]&amp;Table1[[#This Row],[Campo]]</f>
        <v>lt004_protectionPRMRY_ENRGY_DMND_NN_RNWBL</v>
      </c>
      <c r="I1497" s="2" t="s">
        <v>612</v>
      </c>
      <c r="J1497" s="44">
        <f>VLOOKUP(Table1[[#This Row],[Status]],Auxiliar!$B$16:$C$24,2,0)</f>
        <v>1</v>
      </c>
      <c r="K1497" s="45"/>
      <c r="L1497" s="45"/>
      <c r="M1497" s="20"/>
      <c r="N1497" s="47">
        <v>45723</v>
      </c>
      <c r="O1497" s="20" t="e">
        <f>INDEX(Auxiliar!$D$5:$F$11,MATCH(Table1[[#This Row],[Tipologia_Testes]],Auxiliar!$B$5:$B$11,0),MATCH(Table1[[#This Row],[Complexidade]],Auxiliar!$D$4:$F$4,0))</f>
        <v>#N/A</v>
      </c>
      <c r="P1497" s="42"/>
      <c r="Q1497" s="42"/>
      <c r="R1497" s="151"/>
      <c r="S1497" s="151"/>
      <c r="T1497" s="151"/>
      <c r="U1497" s="151"/>
      <c r="V1497" s="151"/>
      <c r="W1497" s="2" t="e">
        <f>VLOOKUP(Table1[[#This Row],[Status]],Auxiliar!$B$16:$D$24,3,0)*Table1[[#This Row],[Estimação (horas)]]</f>
        <v>#N/A</v>
      </c>
      <c r="X1497" s="165">
        <f>+VLOOKUP(CONCATENATE(Table1[[#This Row],[Tabela]],Table1[[#This Row],[Campo]]),'2. Status Detalhe Campos FY24'!A:J,9,FALSE)</f>
        <v>0</v>
      </c>
      <c r="Y1497" s="491" t="e">
        <f>+VLOOKUP(A1497,#REF!,1,FALSE)</f>
        <v>#REF!</v>
      </c>
    </row>
    <row r="1498" spans="1:25" ht="17.899999999999999" hidden="1" customHeight="1">
      <c r="A1498" t="str">
        <f>+Table1[[#This Row],[Tabela]]&amp;Table1[[#This Row],[Campo]]</f>
        <v>lt004_protectionPRMRY_ENRGY_DMND_TTL</v>
      </c>
      <c r="B1498" s="38" t="s">
        <v>26</v>
      </c>
      <c r="C1498" s="38" t="s">
        <v>26</v>
      </c>
      <c r="D1498" s="40"/>
      <c r="E1498" s="46"/>
      <c r="F1498" s="42" t="s">
        <v>368</v>
      </c>
      <c r="G1498" s="484" t="s">
        <v>2263</v>
      </c>
      <c r="H1498" s="58" t="str">
        <f>Table1[[#This Row],[Tabela]]&amp;Table1[[#This Row],[Campo]]</f>
        <v>lt004_protectionPRMRY_ENRGY_DMND_TTL</v>
      </c>
      <c r="I1498" s="2" t="s">
        <v>612</v>
      </c>
      <c r="J1498" s="44">
        <f>VLOOKUP(Table1[[#This Row],[Status]],Auxiliar!$B$16:$C$24,2,0)</f>
        <v>1</v>
      </c>
      <c r="K1498" s="45"/>
      <c r="L1498" s="45"/>
      <c r="M1498" s="20"/>
      <c r="N1498" s="47"/>
      <c r="O1498" s="20" t="e">
        <f>INDEX(Auxiliar!$D$5:$F$11,MATCH(Table1[[#This Row],[Tipologia_Testes]],Auxiliar!$B$5:$B$11,0),MATCH(Table1[[#This Row],[Complexidade]],Auxiliar!$D$4:$F$4,0))</f>
        <v>#N/A</v>
      </c>
      <c r="P1498" s="42"/>
      <c r="Q1498" s="42"/>
      <c r="R1498" s="151"/>
      <c r="S1498" s="151"/>
      <c r="T1498" s="151"/>
      <c r="U1498" s="151"/>
      <c r="V1498" s="151"/>
      <c r="W1498" s="2" t="e">
        <f>VLOOKUP(Table1[[#This Row],[Status]],Auxiliar!$B$16:$D$24,3,0)*Table1[[#This Row],[Estimação (horas)]]</f>
        <v>#N/A</v>
      </c>
      <c r="X1498" s="165">
        <f>+VLOOKUP(CONCATENATE(Table1[[#This Row],[Tabela]],Table1[[#This Row],[Campo]]),'2. Status Detalhe Campos FY24'!A:J,9,FALSE)</f>
        <v>0</v>
      </c>
      <c r="Y1498" s="491" t="e">
        <f>+VLOOKUP(A1498,#REF!,1,FALSE)</f>
        <v>#REF!</v>
      </c>
    </row>
    <row r="1499" spans="1:25" ht="17.899999999999999" hidden="1" customHeight="1">
      <c r="A1499" t="str">
        <f>+Table1[[#This Row],[Tabela]]&amp;Table1[[#This Row],[Campo]]</f>
        <v>lt004_protectionPRMRY_ENRGY_DMND_RFRNC_VL</v>
      </c>
      <c r="B1499" s="38" t="s">
        <v>26</v>
      </c>
      <c r="C1499" s="38" t="s">
        <v>26</v>
      </c>
      <c r="D1499" s="40"/>
      <c r="E1499" s="46"/>
      <c r="F1499" s="42" t="s">
        <v>368</v>
      </c>
      <c r="G1499" s="484" t="s">
        <v>2264</v>
      </c>
      <c r="H1499" s="58" t="str">
        <f>Table1[[#This Row],[Tabela]]&amp;Table1[[#This Row],[Campo]]</f>
        <v>lt004_protectionPRMRY_ENRGY_DMND_RFRNC_VL</v>
      </c>
      <c r="I1499" s="2" t="s">
        <v>612</v>
      </c>
      <c r="J1499" s="44">
        <f>VLOOKUP(Table1[[#This Row],[Status]],Auxiliar!$B$16:$C$24,2,0)</f>
        <v>1</v>
      </c>
      <c r="K1499" s="45"/>
      <c r="L1499" s="45"/>
      <c r="M1499" s="20"/>
      <c r="N1499" s="47"/>
      <c r="O1499" s="20" t="e">
        <f>INDEX(Auxiliar!$D$5:$F$11,MATCH(Table1[[#This Row],[Tipologia_Testes]],Auxiliar!$B$5:$B$11,0),MATCH(Table1[[#This Row],[Complexidade]],Auxiliar!$D$4:$F$4,0))</f>
        <v>#N/A</v>
      </c>
      <c r="P1499" s="42"/>
      <c r="Q1499" s="42"/>
      <c r="R1499" s="151"/>
      <c r="S1499" s="151"/>
      <c r="T1499" s="151"/>
      <c r="U1499" s="151"/>
      <c r="V1499" s="151"/>
      <c r="W1499" s="2" t="e">
        <f>VLOOKUP(Table1[[#This Row],[Status]],Auxiliar!$B$16:$D$24,3,0)*Table1[[#This Row],[Estimação (horas)]]</f>
        <v>#N/A</v>
      </c>
      <c r="X1499" s="165">
        <f>+VLOOKUP(CONCATENATE(Table1[[#This Row],[Tabela]],Table1[[#This Row],[Campo]]),'2. Status Detalhe Campos FY24'!A:J,9,FALSE)</f>
        <v>0</v>
      </c>
      <c r="Y1499" s="491" t="e">
        <f>+VLOOKUP(A1499,#REF!,1,FALSE)</f>
        <v>#REF!</v>
      </c>
    </row>
    <row r="1500" spans="1:25" ht="17.899999999999999" hidden="1" customHeight="1">
      <c r="A1500" t="str">
        <f>+Table1[[#This Row],[Tabela]]&amp;Table1[[#This Row],[Campo]]</f>
        <v>lt004_protectionRL_ESTT_CLMT_ZN</v>
      </c>
      <c r="B1500" s="38" t="s">
        <v>26</v>
      </c>
      <c r="C1500" s="38" t="s">
        <v>26</v>
      </c>
      <c r="D1500" s="40"/>
      <c r="E1500" s="46"/>
      <c r="F1500" s="42" t="s">
        <v>368</v>
      </c>
      <c r="G1500" s="484" t="s">
        <v>2265</v>
      </c>
      <c r="H1500" s="58" t="str">
        <f>Table1[[#This Row],[Tabela]]&amp;Table1[[#This Row],[Campo]]</f>
        <v>lt004_protectionRL_ESTT_CLMT_ZN</v>
      </c>
      <c r="I1500" s="2" t="s">
        <v>612</v>
      </c>
      <c r="J1500" s="44">
        <f>VLOOKUP(Table1[[#This Row],[Status]],Auxiliar!$B$16:$C$24,2,0)</f>
        <v>1</v>
      </c>
      <c r="K1500" s="45"/>
      <c r="L1500" s="45"/>
      <c r="M1500" s="20"/>
      <c r="N1500" s="47"/>
      <c r="O1500" s="20" t="e">
        <f>INDEX(Auxiliar!$D$5:$F$11,MATCH(Table1[[#This Row],[Tipologia_Testes]],Auxiliar!$B$5:$B$11,0),MATCH(Table1[[#This Row],[Complexidade]],Auxiliar!$D$4:$F$4,0))</f>
        <v>#N/A</v>
      </c>
      <c r="P1500" s="42"/>
      <c r="Q1500" s="42"/>
      <c r="R1500" s="151"/>
      <c r="S1500" s="151"/>
      <c r="T1500" s="151"/>
      <c r="U1500" s="151"/>
      <c r="V1500" s="151"/>
      <c r="W1500" s="2" t="e">
        <f>VLOOKUP(Table1[[#This Row],[Status]],Auxiliar!$B$16:$D$24,3,0)*Table1[[#This Row],[Estimação (horas)]]</f>
        <v>#N/A</v>
      </c>
      <c r="X1500" s="165">
        <f>+VLOOKUP(CONCATENATE(Table1[[#This Row],[Tabela]],Table1[[#This Row],[Campo]]),'2. Status Detalhe Campos FY24'!A:J,9,FALSE)</f>
        <v>0</v>
      </c>
      <c r="Y1500" s="491" t="e">
        <f>+VLOOKUP(A1500,#REF!,1,FALSE)</f>
        <v>#REF!</v>
      </c>
    </row>
    <row r="1501" spans="1:25" ht="17.899999999999999" hidden="1" customHeight="1">
      <c r="A1501" t="str">
        <f>+Table1[[#This Row],[Tabela]]&amp;Table1[[#This Row],[Campo]]</f>
        <v>lt004_protectiondt_rfrnc</v>
      </c>
      <c r="B1501" s="38" t="s">
        <v>26</v>
      </c>
      <c r="C1501" s="38" t="s">
        <v>26</v>
      </c>
      <c r="D1501" s="12" t="s">
        <v>399</v>
      </c>
      <c r="E1501" s="111" t="s">
        <v>38</v>
      </c>
      <c r="F1501" s="2" t="s">
        <v>368</v>
      </c>
      <c r="G1501" s="12" t="s">
        <v>398</v>
      </c>
      <c r="H1501" s="58" t="str">
        <f>Table1[[#This Row],[Tabela]]&amp;Table1[[#This Row],[Campo]]</f>
        <v>lt004_protectiondt_rfrnc</v>
      </c>
      <c r="I1501" s="2" t="s">
        <v>612</v>
      </c>
      <c r="J1501" s="44">
        <f>VLOOKUP(Table1[[#This Row],[Status]],Auxiliar!$B$16:$C$24,2,0)</f>
        <v>1</v>
      </c>
      <c r="K1501" s="20" t="s">
        <v>1173</v>
      </c>
      <c r="L1501" s="45" t="s">
        <v>1174</v>
      </c>
      <c r="M1501" s="20" t="s">
        <v>1175</v>
      </c>
      <c r="N1501" s="47">
        <v>45509</v>
      </c>
      <c r="O1501" s="112">
        <v>0.1</v>
      </c>
      <c r="P1501" s="2"/>
      <c r="Q1501" s="151"/>
      <c r="R1501" s="151"/>
      <c r="S1501" s="151"/>
      <c r="T1501" s="151"/>
      <c r="U1501" s="151"/>
      <c r="V1501" s="151"/>
      <c r="W1501" s="2">
        <f>VLOOKUP(Table1[[#This Row],[Status]],Auxiliar!$B$16:$D$24,3,0)*Table1[[#This Row],[Estimação (horas)]]</f>
        <v>0.1</v>
      </c>
      <c r="X1501" s="165">
        <f>+VLOOKUP(CONCATENATE(Table1[[#This Row],[Tabela]],Table1[[#This Row],[Campo]]),'2. Status Detalhe Campos FY24'!A:J,9,FALSE)</f>
        <v>0</v>
      </c>
      <c r="Y1501" s="491" t="e">
        <f>+VLOOKUP(A1501,#REF!,1,FALSE)</f>
        <v>#REF!</v>
      </c>
    </row>
    <row r="1502" spans="1:25" ht="17.899999999999999" hidden="1" customHeight="1">
      <c r="A1502" t="str">
        <f>+Table1[[#This Row],[Tabela]]&amp;Table1[[#This Row],[Campo]]</f>
        <v>lt004_protectioncod_soc</v>
      </c>
      <c r="B1502" s="38" t="s">
        <v>26</v>
      </c>
      <c r="C1502" s="38" t="s">
        <v>26</v>
      </c>
      <c r="D1502" s="19" t="s">
        <v>399</v>
      </c>
      <c r="E1502" s="111" t="s">
        <v>38</v>
      </c>
      <c r="F1502" s="31" t="s">
        <v>368</v>
      </c>
      <c r="G1502" t="s">
        <v>416</v>
      </c>
      <c r="H1502" s="58" t="str">
        <f>Table1[[#This Row],[Tabela]]&amp;Table1[[#This Row],[Campo]]</f>
        <v>lt004_protectioncod_soc</v>
      </c>
      <c r="I1502" s="2" t="s">
        <v>612</v>
      </c>
      <c r="J1502" s="44">
        <f>VLOOKUP(Table1[[#This Row],[Status]],Auxiliar!$B$16:$C$24,2,0)</f>
        <v>1</v>
      </c>
      <c r="K1502" s="20" t="s">
        <v>1173</v>
      </c>
      <c r="L1502" s="45" t="s">
        <v>1174</v>
      </c>
      <c r="M1502" s="20" t="s">
        <v>1175</v>
      </c>
      <c r="N1502" s="47">
        <v>45590</v>
      </c>
      <c r="O1502" s="112">
        <v>0.1</v>
      </c>
      <c r="P1502" s="31" t="s">
        <v>1256</v>
      </c>
      <c r="Q1502" s="196"/>
      <c r="R1502" s="151"/>
      <c r="S1502" s="151"/>
      <c r="T1502" s="151"/>
      <c r="U1502" s="151"/>
      <c r="V1502" s="151"/>
      <c r="W1502" s="2">
        <f>VLOOKUP(Table1[[#This Row],[Status]],Auxiliar!$B$16:$D$24,3,0)*Table1[[#This Row],[Estimação (horas)]]</f>
        <v>0.1</v>
      </c>
      <c r="X1502" s="165">
        <f>+VLOOKUP(CONCATENATE(Table1[[#This Row],[Tabela]],Table1[[#This Row],[Campo]]),'2. Status Detalhe Campos FY24'!A:J,9,FALSE)</f>
        <v>0</v>
      </c>
      <c r="Y1502" s="491" t="e">
        <f>+VLOOKUP(A1502,#REF!,1,FALSE)</f>
        <v>#REF!</v>
      </c>
    </row>
    <row r="1503" spans="1:25" ht="17.899999999999999" hidden="1" customHeight="1">
      <c r="A1503" t="str">
        <f>+Table1[[#This Row],[Tabela]]&amp;Table1[[#This Row],[Campo]]</f>
        <v>lt005_instr_entdt_rfrnc</v>
      </c>
      <c r="B1503" s="38" t="s">
        <v>26</v>
      </c>
      <c r="C1503" s="38" t="s">
        <v>26</v>
      </c>
      <c r="D1503" s="19" t="s">
        <v>399</v>
      </c>
      <c r="E1503" s="111" t="s">
        <v>38</v>
      </c>
      <c r="F1503" s="2" t="s">
        <v>439</v>
      </c>
      <c r="G1503" s="12" t="s">
        <v>398</v>
      </c>
      <c r="H1503" s="58" t="str">
        <f>Table1[[#This Row],[Tabela]]&amp;Table1[[#This Row],[Campo]]</f>
        <v>lt005_instr_entdt_rfrnc</v>
      </c>
      <c r="I1503" s="2" t="s">
        <v>612</v>
      </c>
      <c r="J1503" s="44">
        <f>VLOOKUP(Table1[[#This Row],[Status]],Auxiliar!$B$16:$C$24,2,0)</f>
        <v>1</v>
      </c>
      <c r="K1503" s="20" t="s">
        <v>1173</v>
      </c>
      <c r="L1503" s="45" t="s">
        <v>1174</v>
      </c>
      <c r="M1503" s="20" t="s">
        <v>1175</v>
      </c>
      <c r="N1503" s="47">
        <v>45510</v>
      </c>
      <c r="O1503" s="112">
        <v>0.1</v>
      </c>
      <c r="P1503" s="2"/>
      <c r="Q1503" s="196"/>
      <c r="R1503" s="151"/>
      <c r="S1503" s="151"/>
      <c r="T1503" s="151"/>
      <c r="U1503" s="151"/>
      <c r="V1503" s="151"/>
      <c r="W1503" s="2">
        <f>VLOOKUP(Table1[[#This Row],[Status]],Auxiliar!$B$16:$D$24,3,0)*Table1[[#This Row],[Estimação (horas)]]</f>
        <v>0.1</v>
      </c>
      <c r="X1503" s="165">
        <f>+VLOOKUP(CONCATENATE(Table1[[#This Row],[Tabela]],Table1[[#This Row],[Campo]]),'2. Status Detalhe Campos FY24'!A:J,9,FALSE)</f>
        <v>0</v>
      </c>
      <c r="Y1503" s="491" t="e">
        <f>+VLOOKUP(A1503,#REF!,1,FALSE)</f>
        <v>#REF!</v>
      </c>
    </row>
    <row r="1504" spans="1:25" ht="17.899999999999999" hidden="1" customHeight="1">
      <c r="A1504" t="str">
        <f>+Table1[[#This Row],[Tabela]]&amp;Table1[[#This Row],[Campo]]</f>
        <v>lt005_instr_ententty_id</v>
      </c>
      <c r="B1504" s="38" t="s">
        <v>26</v>
      </c>
      <c r="C1504" s="38" t="s">
        <v>26</v>
      </c>
      <c r="D1504" s="19" t="s">
        <v>399</v>
      </c>
      <c r="E1504" s="111" t="s">
        <v>38</v>
      </c>
      <c r="F1504" s="2" t="s">
        <v>439</v>
      </c>
      <c r="G1504" s="12" t="s">
        <v>425</v>
      </c>
      <c r="H1504" s="58" t="str">
        <f>Table1[[#This Row],[Tabela]]&amp;Table1[[#This Row],[Campo]]</f>
        <v>lt005_instr_ententty_id</v>
      </c>
      <c r="I1504" s="2" t="s">
        <v>612</v>
      </c>
      <c r="J1504" s="44">
        <f>VLOOKUP(Table1[[#This Row],[Status]],Auxiliar!$B$16:$C$24,2,0)</f>
        <v>1</v>
      </c>
      <c r="K1504" s="20" t="s">
        <v>1173</v>
      </c>
      <c r="L1504" s="45" t="s">
        <v>1174</v>
      </c>
      <c r="M1504" s="20" t="s">
        <v>1175</v>
      </c>
      <c r="N1504" s="47">
        <v>45510</v>
      </c>
      <c r="O1504" s="112">
        <v>0.1</v>
      </c>
      <c r="P1504" s="2"/>
      <c r="Q1504" s="196"/>
      <c r="R1504" s="151"/>
      <c r="S1504" s="151"/>
      <c r="T1504" s="151"/>
      <c r="U1504" s="151"/>
      <c r="V1504" s="151"/>
      <c r="W1504" s="2">
        <f>VLOOKUP(Table1[[#This Row],[Status]],Auxiliar!$B$16:$D$24,3,0)*Table1[[#This Row],[Estimação (horas)]]</f>
        <v>0.1</v>
      </c>
      <c r="X1504" s="165">
        <f>+VLOOKUP(CONCATENATE(Table1[[#This Row],[Tabela]],Table1[[#This Row],[Campo]]),'2. Status Detalhe Campos FY24'!A:J,9,FALSE)</f>
        <v>0</v>
      </c>
      <c r="Y1504" s="491" t="e">
        <f>+VLOOKUP(A1504,#REF!,1,FALSE)</f>
        <v>#REF!</v>
      </c>
    </row>
    <row r="1505" spans="1:25" ht="17.899999999999999" hidden="1" customHeight="1">
      <c r="A1505" t="str">
        <f>+Table1[[#This Row],[Tabela]]&amp;Table1[[#This Row],[Campo]]</f>
        <v>lt005_instr_entinstrmnt_id</v>
      </c>
      <c r="B1505" s="38" t="s">
        <v>26</v>
      </c>
      <c r="C1505" s="38" t="s">
        <v>26</v>
      </c>
      <c r="D1505" s="19" t="s">
        <v>399</v>
      </c>
      <c r="E1505" s="111" t="s">
        <v>38</v>
      </c>
      <c r="F1505" s="2" t="s">
        <v>439</v>
      </c>
      <c r="G1505" s="12" t="s">
        <v>400</v>
      </c>
      <c r="H1505" s="58" t="str">
        <f>Table1[[#This Row],[Tabela]]&amp;Table1[[#This Row],[Campo]]</f>
        <v>lt005_instr_entinstrmnt_id</v>
      </c>
      <c r="I1505" s="2" t="s">
        <v>612</v>
      </c>
      <c r="J1505" s="44">
        <f>VLOOKUP(Table1[[#This Row],[Status]],Auxiliar!$B$16:$C$24,2,0)</f>
        <v>1</v>
      </c>
      <c r="K1505" s="20" t="s">
        <v>1173</v>
      </c>
      <c r="L1505" s="45" t="s">
        <v>1174</v>
      </c>
      <c r="M1505" s="20" t="s">
        <v>1175</v>
      </c>
      <c r="N1505" s="47">
        <v>45510</v>
      </c>
      <c r="O1505" s="112">
        <v>0.1</v>
      </c>
      <c r="P1505" s="2"/>
      <c r="Q1505" s="196"/>
      <c r="R1505" s="151"/>
      <c r="S1505" s="151"/>
      <c r="T1505" s="151"/>
      <c r="U1505" s="151"/>
      <c r="V1505" s="151"/>
      <c r="W1505" s="2">
        <f>VLOOKUP(Table1[[#This Row],[Status]],Auxiliar!$B$16:$D$24,3,0)*Table1[[#This Row],[Estimação (horas)]]</f>
        <v>0.1</v>
      </c>
      <c r="X1505" s="165">
        <f>+VLOOKUP(CONCATENATE(Table1[[#This Row],[Tabela]],Table1[[#This Row],[Campo]]),'2. Status Detalhe Campos FY24'!A:J,9,FALSE)</f>
        <v>0</v>
      </c>
      <c r="Y1505" s="491" t="e">
        <f>+VLOOKUP(A1505,#REF!,1,FALSE)</f>
        <v>#REF!</v>
      </c>
    </row>
    <row r="1506" spans="1:25" ht="17.899999999999999" hidden="1" customHeight="1">
      <c r="A1506" t="str">
        <f>+Table1[[#This Row],[Tabela]]&amp;Table1[[#This Row],[Campo]]</f>
        <v>lt005_instr_entcod_soc</v>
      </c>
      <c r="B1506" s="38" t="s">
        <v>26</v>
      </c>
      <c r="C1506" s="38" t="s">
        <v>26</v>
      </c>
      <c r="D1506" s="19" t="s">
        <v>399</v>
      </c>
      <c r="E1506" s="111" t="s">
        <v>38</v>
      </c>
      <c r="F1506" s="2" t="s">
        <v>439</v>
      </c>
      <c r="G1506" s="12" t="s">
        <v>416</v>
      </c>
      <c r="H1506" s="58" t="str">
        <f>Table1[[#This Row],[Tabela]]&amp;Table1[[#This Row],[Campo]]</f>
        <v>lt005_instr_entcod_soc</v>
      </c>
      <c r="I1506" s="2" t="s">
        <v>612</v>
      </c>
      <c r="J1506" s="44">
        <f>VLOOKUP(Table1[[#This Row],[Status]],Auxiliar!$B$16:$C$24,2,0)</f>
        <v>1</v>
      </c>
      <c r="K1506" s="20" t="s">
        <v>1173</v>
      </c>
      <c r="L1506" s="45" t="s">
        <v>1174</v>
      </c>
      <c r="M1506" s="20" t="s">
        <v>1175</v>
      </c>
      <c r="N1506" s="47">
        <v>45510</v>
      </c>
      <c r="O1506" s="112">
        <v>0.1</v>
      </c>
      <c r="P1506" s="2"/>
      <c r="Q1506" s="196"/>
      <c r="R1506" s="151"/>
      <c r="S1506" s="151"/>
      <c r="T1506" s="151"/>
      <c r="U1506" s="151"/>
      <c r="V1506" s="151"/>
      <c r="W1506" s="2">
        <f>VLOOKUP(Table1[[#This Row],[Status]],Auxiliar!$B$16:$D$24,3,0)*Table1[[#This Row],[Estimação (horas)]]</f>
        <v>0.1</v>
      </c>
      <c r="X1506" s="165">
        <f>+VLOOKUP(CONCATENATE(Table1[[#This Row],[Tabela]],Table1[[#This Row],[Campo]]),'2. Status Detalhe Campos FY24'!A:J,9,FALSE)</f>
        <v>0</v>
      </c>
      <c r="Y1506" s="491" t="e">
        <f>+VLOOKUP(A1506,#REF!,1,FALSE)</f>
        <v>#REF!</v>
      </c>
    </row>
    <row r="1507" spans="1:25" ht="17.899999999999999" hidden="1" customHeight="1">
      <c r="A1507" t="str">
        <f>+Table1[[#This Row],[Tabela]]&amp;Table1[[#This Row],[Campo]]</f>
        <v>lt005_instr_entmn_entty_id</v>
      </c>
      <c r="B1507" s="38" t="s">
        <v>26</v>
      </c>
      <c r="C1507" s="38" t="s">
        <v>26</v>
      </c>
      <c r="D1507" s="19" t="s">
        <v>399</v>
      </c>
      <c r="E1507" s="111" t="s">
        <v>38</v>
      </c>
      <c r="F1507" s="2" t="s">
        <v>439</v>
      </c>
      <c r="G1507" s="12" t="s">
        <v>440</v>
      </c>
      <c r="H1507" s="58" t="str">
        <f>Table1[[#This Row],[Tabela]]&amp;Table1[[#This Row],[Campo]]</f>
        <v>lt005_instr_entmn_entty_id</v>
      </c>
      <c r="I1507" s="2" t="s">
        <v>612</v>
      </c>
      <c r="J1507" s="44">
        <f>VLOOKUP(Table1[[#This Row],[Status]],Auxiliar!$B$16:$C$24,2,0)</f>
        <v>1</v>
      </c>
      <c r="K1507" s="20" t="s">
        <v>1173</v>
      </c>
      <c r="L1507" s="45" t="s">
        <v>1174</v>
      </c>
      <c r="M1507" s="20" t="s">
        <v>1175</v>
      </c>
      <c r="N1507" s="47">
        <v>45510</v>
      </c>
      <c r="O1507" s="112">
        <v>0.1</v>
      </c>
      <c r="P1507" s="2"/>
      <c r="Q1507" s="196"/>
      <c r="R1507" s="151"/>
      <c r="S1507" s="151"/>
      <c r="T1507" s="151"/>
      <c r="U1507" s="151"/>
      <c r="V1507" s="151"/>
      <c r="W1507" s="2">
        <f>VLOOKUP(Table1[[#This Row],[Status]],Auxiliar!$B$16:$D$24,3,0)*Table1[[#This Row],[Estimação (horas)]]</f>
        <v>0.1</v>
      </c>
      <c r="X1507" s="165">
        <f>+VLOOKUP(CONCATENATE(Table1[[#This Row],[Tabela]],Table1[[#This Row],[Campo]]),'2. Status Detalhe Campos FY24'!A:J,9,FALSE)</f>
        <v>0</v>
      </c>
      <c r="Y1507" s="491" t="e">
        <f>+VLOOKUP(A1507,#REF!,1,FALSE)</f>
        <v>#REF!</v>
      </c>
    </row>
    <row r="1508" spans="1:25" ht="17.899999999999999" hidden="1" customHeight="1">
      <c r="A1508" t="str">
        <f>+Table1[[#This Row],[Tabela]]&amp;Table1[[#This Row],[Campo]]</f>
        <v>lt006_instr_protdt_rfrnc</v>
      </c>
      <c r="B1508" s="38" t="s">
        <v>26</v>
      </c>
      <c r="C1508" s="38" t="s">
        <v>26</v>
      </c>
      <c r="D1508" s="19" t="s">
        <v>399</v>
      </c>
      <c r="E1508" s="111" t="s">
        <v>38</v>
      </c>
      <c r="F1508" s="2" t="s">
        <v>441</v>
      </c>
      <c r="G1508" s="12" t="s">
        <v>398</v>
      </c>
      <c r="H1508" s="58" t="str">
        <f>Table1[[#This Row],[Tabela]]&amp;Table1[[#This Row],[Campo]]</f>
        <v>lt006_instr_protdt_rfrnc</v>
      </c>
      <c r="I1508" s="2" t="s">
        <v>612</v>
      </c>
      <c r="J1508" s="44">
        <f>VLOOKUP(Table1[[#This Row],[Status]],Auxiliar!$B$16:$C$24,2,0)</f>
        <v>1</v>
      </c>
      <c r="K1508" s="20" t="s">
        <v>1173</v>
      </c>
      <c r="L1508" s="45" t="s">
        <v>1174</v>
      </c>
      <c r="M1508" s="20" t="s">
        <v>1175</v>
      </c>
      <c r="N1508" s="47">
        <v>45509</v>
      </c>
      <c r="O1508" s="112">
        <v>0.1</v>
      </c>
      <c r="P1508" s="2"/>
      <c r="Q1508" s="196"/>
      <c r="R1508" s="151"/>
      <c r="S1508" s="151"/>
      <c r="T1508" s="151"/>
      <c r="U1508" s="151"/>
      <c r="V1508" s="151"/>
      <c r="W1508" s="2">
        <f>VLOOKUP(Table1[[#This Row],[Status]],Auxiliar!$B$16:$D$24,3,0)*Table1[[#This Row],[Estimação (horas)]]</f>
        <v>0.1</v>
      </c>
      <c r="X1508" s="165">
        <f>+VLOOKUP(CONCATENATE(Table1[[#This Row],[Tabela]],Table1[[#This Row],[Campo]]),'2. Status Detalhe Campos FY24'!A:J,9,FALSE)</f>
        <v>0</v>
      </c>
      <c r="Y1508" s="491" t="e">
        <f>+VLOOKUP(A1508,#REF!,1,FALSE)</f>
        <v>#REF!</v>
      </c>
    </row>
    <row r="1509" spans="1:25" ht="17.899999999999999" hidden="1" customHeight="1">
      <c r="A1509" t="str">
        <f>+Table1[[#This Row],[Tabela]]&amp;Table1[[#This Row],[Campo]]</f>
        <v>lt006_instr_protinstrmnt_id</v>
      </c>
      <c r="B1509" s="38" t="s">
        <v>26</v>
      </c>
      <c r="C1509" s="38" t="s">
        <v>26</v>
      </c>
      <c r="D1509" s="19" t="s">
        <v>399</v>
      </c>
      <c r="E1509" s="111" t="s">
        <v>38</v>
      </c>
      <c r="F1509" s="2" t="s">
        <v>441</v>
      </c>
      <c r="G1509" s="12" t="s">
        <v>400</v>
      </c>
      <c r="H1509" s="58" t="str">
        <f>Table1[[#This Row],[Tabela]]&amp;Table1[[#This Row],[Campo]]</f>
        <v>lt006_instr_protinstrmnt_id</v>
      </c>
      <c r="I1509" s="2" t="s">
        <v>612</v>
      </c>
      <c r="J1509" s="44">
        <f>VLOOKUP(Table1[[#This Row],[Status]],Auxiliar!$B$16:$C$24,2,0)</f>
        <v>1</v>
      </c>
      <c r="K1509" s="20" t="s">
        <v>1173</v>
      </c>
      <c r="L1509" s="45" t="s">
        <v>1174</v>
      </c>
      <c r="M1509" s="20" t="s">
        <v>1175</v>
      </c>
      <c r="N1509" s="47">
        <v>45509</v>
      </c>
      <c r="O1509" s="112">
        <v>0.1</v>
      </c>
      <c r="P1509" s="2"/>
      <c r="Q1509" s="196"/>
      <c r="R1509" s="151"/>
      <c r="S1509" s="151"/>
      <c r="T1509" s="151"/>
      <c r="U1509" s="151"/>
      <c r="V1509" s="151"/>
      <c r="W1509" s="2">
        <f>VLOOKUP(Table1[[#This Row],[Status]],Auxiliar!$B$16:$D$24,3,0)*Table1[[#This Row],[Estimação (horas)]]</f>
        <v>0.1</v>
      </c>
      <c r="X1509" s="165">
        <f>+VLOOKUP(CONCATENATE(Table1[[#This Row],[Tabela]],Table1[[#This Row],[Campo]]),'2. Status Detalhe Campos FY24'!A:J,9,FALSE)</f>
        <v>0</v>
      </c>
      <c r="Y1509" s="491" t="e">
        <f>+VLOOKUP(A1509,#REF!,1,FALSE)</f>
        <v>#REF!</v>
      </c>
    </row>
    <row r="1510" spans="1:25" ht="17.899999999999999" hidden="1" customHeight="1">
      <c r="A1510" t="str">
        <f>+Table1[[#This Row],[Tabela]]&amp;Table1[[#This Row],[Campo]]</f>
        <v>lt006_instr_protprtctn_id</v>
      </c>
      <c r="B1510" s="38" t="s">
        <v>26</v>
      </c>
      <c r="C1510" s="38" t="s">
        <v>26</v>
      </c>
      <c r="D1510" s="19" t="s">
        <v>399</v>
      </c>
      <c r="E1510" s="111" t="s">
        <v>38</v>
      </c>
      <c r="F1510" s="2" t="s">
        <v>441</v>
      </c>
      <c r="G1510" s="12" t="s">
        <v>433</v>
      </c>
      <c r="H1510" s="58" t="str">
        <f>Table1[[#This Row],[Tabela]]&amp;Table1[[#This Row],[Campo]]</f>
        <v>lt006_instr_protprtctn_id</v>
      </c>
      <c r="I1510" s="2" t="s">
        <v>612</v>
      </c>
      <c r="J1510" s="44">
        <f>VLOOKUP(Table1[[#This Row],[Status]],Auxiliar!$B$16:$C$24,2,0)</f>
        <v>1</v>
      </c>
      <c r="K1510" s="20" t="s">
        <v>1173</v>
      </c>
      <c r="L1510" s="45" t="s">
        <v>1174</v>
      </c>
      <c r="M1510" s="20" t="s">
        <v>1175</v>
      </c>
      <c r="N1510" s="47">
        <v>45509</v>
      </c>
      <c r="O1510" s="112">
        <v>0.1</v>
      </c>
      <c r="P1510" s="2"/>
      <c r="Q1510" s="196"/>
      <c r="R1510" s="151"/>
      <c r="S1510" s="151"/>
      <c r="T1510" s="151"/>
      <c r="U1510" s="151"/>
      <c r="V1510" s="151"/>
      <c r="W1510" s="2">
        <f>VLOOKUP(Table1[[#This Row],[Status]],Auxiliar!$B$16:$D$24,3,0)*Table1[[#This Row],[Estimação (horas)]]</f>
        <v>0.1</v>
      </c>
      <c r="X1510" s="165">
        <f>+VLOOKUP(CONCATENATE(Table1[[#This Row],[Tabela]],Table1[[#This Row],[Campo]]),'2. Status Detalhe Campos FY24'!A:J,9,FALSE)</f>
        <v>0</v>
      </c>
      <c r="Y1510" s="491" t="e">
        <f>+VLOOKUP(A1510,#REF!,1,FALSE)</f>
        <v>#REF!</v>
      </c>
    </row>
    <row r="1511" spans="1:25" ht="17.899999999999999" hidden="1" customHeight="1">
      <c r="A1511" t="str">
        <f>+Table1[[#This Row],[Tabela]]&amp;Table1[[#This Row],[Campo]]</f>
        <v>lt006_instr_protprtctn_allctd_vl</v>
      </c>
      <c r="B1511" s="38" t="s">
        <v>26</v>
      </c>
      <c r="C1511" s="38" t="s">
        <v>26</v>
      </c>
      <c r="D1511" s="19" t="s">
        <v>399</v>
      </c>
      <c r="E1511" s="111" t="s">
        <v>38</v>
      </c>
      <c r="F1511" s="2" t="s">
        <v>441</v>
      </c>
      <c r="G1511" s="12" t="s">
        <v>442</v>
      </c>
      <c r="H1511" s="58" t="str">
        <f>Table1[[#This Row],[Tabela]]&amp;Table1[[#This Row],[Campo]]</f>
        <v>lt006_instr_protprtctn_allctd_vl</v>
      </c>
      <c r="I1511" s="2" t="s">
        <v>615</v>
      </c>
      <c r="J1511" s="44">
        <f>VLOOKUP(Table1[[#This Row],[Status]],Auxiliar!$B$16:$C$24,2,0)</f>
        <v>6</v>
      </c>
      <c r="K1511" s="20" t="s">
        <v>1173</v>
      </c>
      <c r="L1511" s="45" t="s">
        <v>1174</v>
      </c>
      <c r="M1511" s="20" t="s">
        <v>1175</v>
      </c>
      <c r="N1511" s="47">
        <v>45358</v>
      </c>
      <c r="O1511" s="112">
        <v>0.1</v>
      </c>
      <c r="P1511" s="2"/>
      <c r="Q1511" s="196"/>
      <c r="R1511" s="151"/>
      <c r="S1511" s="151"/>
      <c r="T1511" s="151"/>
      <c r="U1511" s="151"/>
      <c r="V1511" s="151"/>
      <c r="W1511" s="2">
        <f>VLOOKUP(Table1[[#This Row],[Status]],Auxiliar!$B$16:$D$24,3,0)*Table1[[#This Row],[Estimação (horas)]]</f>
        <v>2.5000000000000001E-2</v>
      </c>
      <c r="X1511" s="165">
        <f>+VLOOKUP(CONCATENATE(Table1[[#This Row],[Tabela]],Table1[[#This Row],[Campo]]),'2. Status Detalhe Campos FY24'!A:J,9,FALSE)</f>
        <v>0</v>
      </c>
      <c r="Y1511" s="491" t="e">
        <f>+VLOOKUP(A1511,#REF!,1,FALSE)</f>
        <v>#REF!</v>
      </c>
    </row>
    <row r="1512" spans="1:25" ht="17.899999999999999" hidden="1" customHeight="1">
      <c r="A1512" t="str">
        <f>+Table1[[#This Row],[Tabela]]&amp;Table1[[#This Row],[Campo]]</f>
        <v>lt006_instr_protTYP_RLTN</v>
      </c>
      <c r="B1512" s="38" t="s">
        <v>26</v>
      </c>
      <c r="C1512" s="38" t="s">
        <v>26</v>
      </c>
      <c r="D1512" s="19" t="s">
        <v>399</v>
      </c>
      <c r="E1512" s="111" t="s">
        <v>38</v>
      </c>
      <c r="F1512" s="2" t="s">
        <v>441</v>
      </c>
      <c r="G1512" s="12" t="s">
        <v>2289</v>
      </c>
      <c r="H1512" s="58" t="str">
        <f>Table1[[#This Row],[Tabela]]&amp;Table1[[#This Row],[Campo]]</f>
        <v>lt006_instr_protTYP_RLTN</v>
      </c>
      <c r="I1512" s="2" t="s">
        <v>2319</v>
      </c>
      <c r="J1512" s="44">
        <f>VLOOKUP(Table1[[#This Row],[Status]],Auxiliar!$B$16:$C$24,2,0)</f>
        <v>7</v>
      </c>
      <c r="K1512" s="20" t="s">
        <v>1173</v>
      </c>
      <c r="L1512" s="45" t="s">
        <v>1174</v>
      </c>
      <c r="M1512" s="20" t="s">
        <v>1175</v>
      </c>
      <c r="N1512" s="47">
        <v>45509</v>
      </c>
      <c r="O1512" s="112">
        <v>0.1</v>
      </c>
      <c r="P1512" s="2"/>
      <c r="Q1512" s="196"/>
      <c r="R1512" s="151"/>
      <c r="S1512" s="151"/>
      <c r="T1512" s="151"/>
      <c r="U1512" s="151"/>
      <c r="V1512" s="151"/>
      <c r="W1512" s="2">
        <f>VLOOKUP(Table1[[#This Row],[Status]],Auxiliar!$B$16:$D$24,3,0)*Table1[[#This Row],[Estimação (horas)]]</f>
        <v>2.5000000000000001E-2</v>
      </c>
      <c r="X1512" s="165">
        <f>+VLOOKUP(CONCATENATE(Table1[[#This Row],[Tabela]],Table1[[#This Row],[Campo]]),'2. Status Detalhe Campos FY24'!A:J,9,FALSE)</f>
        <v>0</v>
      </c>
      <c r="Y1512" s="491" t="e">
        <f>+VLOOKUP(A1512,#REF!,1,FALSE)</f>
        <v>#REF!</v>
      </c>
    </row>
    <row r="1513" spans="1:25" ht="17.899999999999999" hidden="1" customHeight="1">
      <c r="A1513" t="str">
        <f>+Table1[[#This Row],[Tabela]]&amp;Table1[[#This Row],[Campo]]</f>
        <v>lt006_instr_protcod_soc</v>
      </c>
      <c r="B1513" s="38" t="s">
        <v>26</v>
      </c>
      <c r="C1513" s="38" t="s">
        <v>26</v>
      </c>
      <c r="D1513" s="19" t="s">
        <v>399</v>
      </c>
      <c r="E1513" s="111" t="s">
        <v>38</v>
      </c>
      <c r="F1513" s="31" t="s">
        <v>441</v>
      </c>
      <c r="G1513" s="19" t="s">
        <v>416</v>
      </c>
      <c r="H1513" s="58" t="str">
        <f>Table1[[#This Row],[Tabela]]&amp;Table1[[#This Row],[Campo]]</f>
        <v>lt006_instr_protcod_soc</v>
      </c>
      <c r="I1513" s="2" t="s">
        <v>612</v>
      </c>
      <c r="J1513" s="44">
        <f>VLOOKUP(Table1[[#This Row],[Status]],Auxiliar!$B$16:$C$24,2,0)</f>
        <v>1</v>
      </c>
      <c r="K1513" s="20" t="s">
        <v>1173</v>
      </c>
      <c r="L1513" s="45" t="s">
        <v>1174</v>
      </c>
      <c r="M1513" s="20" t="s">
        <v>1175</v>
      </c>
      <c r="N1513" s="47">
        <v>45509</v>
      </c>
      <c r="O1513" s="112">
        <v>0.1</v>
      </c>
      <c r="P1513" s="31"/>
      <c r="Q1513" s="196"/>
      <c r="R1513" s="151"/>
      <c r="S1513" s="151"/>
      <c r="T1513" s="151"/>
      <c r="U1513" s="151"/>
      <c r="V1513" s="151"/>
      <c r="W1513" s="2">
        <f>VLOOKUP(Table1[[#This Row],[Status]],Auxiliar!$B$16:$D$24,3,0)*Table1[[#This Row],[Estimação (horas)]]</f>
        <v>0.1</v>
      </c>
      <c r="X1513" s="165">
        <f>+VLOOKUP(CONCATENATE(Table1[[#This Row],[Tabela]],Table1[[#This Row],[Campo]]),'2. Status Detalhe Campos FY24'!A:J,9,FALSE)</f>
        <v>0</v>
      </c>
      <c r="Y1513" s="491" t="e">
        <f>+VLOOKUP(A1513,#REF!,1,FALSE)</f>
        <v>#REF!</v>
      </c>
    </row>
    <row r="1514" spans="1:25" ht="17.899999999999999" hidden="1" customHeight="1">
      <c r="A1514" t="str">
        <f>+Table1[[#This Row],[Tabela]]&amp;Table1[[#This Row],[Campo]]</f>
        <v>modesg_inp_emss_nacenome_regiao</v>
      </c>
      <c r="B1514" s="12" t="s">
        <v>26</v>
      </c>
      <c r="C1514" s="12" t="s">
        <v>181</v>
      </c>
      <c r="D1514" s="12" t="s">
        <v>1218</v>
      </c>
      <c r="E1514" s="2" t="s">
        <v>38</v>
      </c>
      <c r="F1514" s="2" t="s">
        <v>218</v>
      </c>
      <c r="G1514" s="12" t="s">
        <v>220</v>
      </c>
      <c r="H1514" s="58" t="str">
        <f>Table1[[#This Row],[Tabela]]&amp;Table1[[#This Row],[Campo]]</f>
        <v>modesg_inp_emss_nacenome_regiao</v>
      </c>
      <c r="I1514" s="2" t="s">
        <v>611</v>
      </c>
      <c r="J1514" s="44">
        <f>VLOOKUP(Table1[[#This Row],[Status]],Auxiliar!$B$16:$C$24,2,0)</f>
        <v>0</v>
      </c>
      <c r="K1514" s="20" t="s">
        <v>1179</v>
      </c>
      <c r="L1514" s="20" t="s">
        <v>1186</v>
      </c>
      <c r="M1514" s="20" t="s">
        <v>1175</v>
      </c>
      <c r="N1514" s="47">
        <v>45501</v>
      </c>
      <c r="O1514" s="20">
        <f>INDEX(Auxiliar!$D$5:$F$13,MATCH(Table1[[#This Row],[Tipologia_Testes]],Auxiliar!$B$5:$B$13,0),MATCH(Table1[[#This Row],[Complexidade]],Auxiliar!$D$4:$F$4,0))</f>
        <v>0.5</v>
      </c>
      <c r="P1514" s="2"/>
      <c r="Q1514" s="196"/>
      <c r="R1514" s="151"/>
      <c r="S1514" s="151"/>
      <c r="T1514" s="151"/>
      <c r="U1514" s="151"/>
      <c r="V1514" s="151"/>
      <c r="W1514" s="2">
        <f>VLOOKUP(Table1[[#This Row],[Status]],Auxiliar!$B$16:$D$24,3,0)*Table1[[#This Row],[Estimação (horas)]]</f>
        <v>0</v>
      </c>
      <c r="X1514" s="165">
        <f>+VLOOKUP(CONCATENATE(Table1[[#This Row],[Tabela]],Table1[[#This Row],[Campo]]),'2. Status Detalhe Campos FY24'!A:J,9,FALSE)</f>
        <v>0</v>
      </c>
      <c r="Y1514" s="491" t="e">
        <f>+VLOOKUP(A1514,#REF!,1,FALSE)</f>
        <v>#REF!</v>
      </c>
    </row>
    <row r="1515" spans="1:25" ht="17.899999999999999" hidden="1" customHeight="1">
      <c r="A1515" t="str">
        <f>+Table1[[#This Row],[Tabela]]&amp;Table1[[#This Row],[Campo]]</f>
        <v>modesg_inp_emss_nacearea_atividade</v>
      </c>
      <c r="B1515" s="12" t="s">
        <v>26</v>
      </c>
      <c r="C1515" s="12" t="s">
        <v>181</v>
      </c>
      <c r="D1515" s="12" t="s">
        <v>1218</v>
      </c>
      <c r="E1515" s="2" t="s">
        <v>38</v>
      </c>
      <c r="F1515" s="2" t="s">
        <v>218</v>
      </c>
      <c r="G1515" s="12" t="s">
        <v>643</v>
      </c>
      <c r="H1515" s="58" t="str">
        <f>Table1[[#This Row],[Tabela]]&amp;Table1[[#This Row],[Campo]]</f>
        <v>modesg_inp_emss_nacearea_atividade</v>
      </c>
      <c r="I1515" s="2" t="s">
        <v>611</v>
      </c>
      <c r="J1515" s="44">
        <f>VLOOKUP(Table1[[#This Row],[Status]],Auxiliar!$B$16:$C$24,2,0)</f>
        <v>0</v>
      </c>
      <c r="K1515" s="20" t="s">
        <v>1179</v>
      </c>
      <c r="L1515" s="20" t="s">
        <v>1186</v>
      </c>
      <c r="M1515" s="20" t="s">
        <v>1175</v>
      </c>
      <c r="N1515" s="47">
        <v>45501</v>
      </c>
      <c r="O1515" s="20">
        <f>INDEX(Auxiliar!$D$5:$F$13,MATCH(Table1[[#This Row],[Tipologia_Testes]],Auxiliar!$B$5:$B$13,0),MATCH(Table1[[#This Row],[Complexidade]],Auxiliar!$D$4:$F$4,0))</f>
        <v>0.5</v>
      </c>
      <c r="P1515" s="2"/>
      <c r="Q1515" s="196"/>
      <c r="R1515" s="151"/>
      <c r="S1515" s="151"/>
      <c r="T1515" s="151"/>
      <c r="U1515" s="151"/>
      <c r="V1515" s="151"/>
      <c r="W1515" s="2">
        <f>VLOOKUP(Table1[[#This Row],[Status]],Auxiliar!$B$16:$D$24,3,0)*Table1[[#This Row],[Estimação (horas)]]</f>
        <v>0</v>
      </c>
      <c r="X1515" s="165">
        <f>+VLOOKUP(CONCATENATE(Table1[[#This Row],[Tabela]],Table1[[#This Row],[Campo]]),'2. Status Detalhe Campos FY24'!A:J,9,FALSE)</f>
        <v>0</v>
      </c>
      <c r="Y1515" s="491" t="e">
        <f>+VLOOKUP(A1515,#REF!,1,FALSE)</f>
        <v>#REF!</v>
      </c>
    </row>
    <row r="1516" spans="1:25" ht="17.899999999999999" hidden="1" customHeight="1">
      <c r="A1516" t="str">
        <f>+Table1[[#This Row],[Tabela]]&amp;Table1[[#This Row],[Campo]]</f>
        <v>modesg_inp_emss_nacetipo_atividade</v>
      </c>
      <c r="B1516" s="12" t="s">
        <v>26</v>
      </c>
      <c r="C1516" s="12" t="s">
        <v>181</v>
      </c>
      <c r="D1516" s="12" t="s">
        <v>1218</v>
      </c>
      <c r="E1516" s="2" t="s">
        <v>38</v>
      </c>
      <c r="F1516" s="2" t="s">
        <v>218</v>
      </c>
      <c r="G1516" s="12" t="s">
        <v>644</v>
      </c>
      <c r="H1516" s="58" t="str">
        <f>Table1[[#This Row],[Tabela]]&amp;Table1[[#This Row],[Campo]]</f>
        <v>modesg_inp_emss_nacetipo_atividade</v>
      </c>
      <c r="I1516" s="2" t="s">
        <v>611</v>
      </c>
      <c r="J1516" s="44">
        <f>VLOOKUP(Table1[[#This Row],[Status]],Auxiliar!$B$16:$C$24,2,0)</f>
        <v>0</v>
      </c>
      <c r="K1516" s="20" t="s">
        <v>1179</v>
      </c>
      <c r="L1516" s="20" t="s">
        <v>1186</v>
      </c>
      <c r="M1516" s="20" t="s">
        <v>1175</v>
      </c>
      <c r="N1516" s="47">
        <v>45501</v>
      </c>
      <c r="O1516" s="20">
        <f>INDEX(Auxiliar!$D$5:$F$13,MATCH(Table1[[#This Row],[Tipologia_Testes]],Auxiliar!$B$5:$B$13,0),MATCH(Table1[[#This Row],[Complexidade]],Auxiliar!$D$4:$F$4,0))</f>
        <v>0.5</v>
      </c>
      <c r="P1516" s="2"/>
      <c r="Q1516" s="196"/>
      <c r="R1516" s="151"/>
      <c r="S1516" s="151"/>
      <c r="T1516" s="151"/>
      <c r="U1516" s="151"/>
      <c r="V1516" s="151"/>
      <c r="W1516" s="2">
        <f>VLOOKUP(Table1[[#This Row],[Status]],Auxiliar!$B$16:$D$24,3,0)*Table1[[#This Row],[Estimação (horas)]]</f>
        <v>0</v>
      </c>
      <c r="X1516" s="165">
        <f>+VLOOKUP(CONCATENATE(Table1[[#This Row],[Tabela]],Table1[[#This Row],[Campo]]),'2. Status Detalhe Campos FY24'!A:J,9,FALSE)</f>
        <v>0</v>
      </c>
      <c r="Y1516" s="491" t="e">
        <f>+VLOOKUP(A1516,#REF!,1,FALSE)</f>
        <v>#REF!</v>
      </c>
    </row>
    <row r="1517" spans="1:25" ht="17.899999999999999" hidden="1" customHeight="1">
      <c r="A1517" t="str">
        <f>+Table1[[#This Row],[Tabela]]&amp;Table1[[#This Row],[Campo]]</f>
        <v>modesg_inp_emss_nacesub_tipo_atividade_1</v>
      </c>
      <c r="B1517" s="12" t="s">
        <v>26</v>
      </c>
      <c r="C1517" s="12" t="s">
        <v>181</v>
      </c>
      <c r="D1517" s="12" t="s">
        <v>1218</v>
      </c>
      <c r="E1517" s="2" t="s">
        <v>38</v>
      </c>
      <c r="F1517" s="2" t="s">
        <v>218</v>
      </c>
      <c r="G1517" s="12" t="s">
        <v>645</v>
      </c>
      <c r="H1517" s="58" t="str">
        <f>Table1[[#This Row],[Tabela]]&amp;Table1[[#This Row],[Campo]]</f>
        <v>modesg_inp_emss_nacesub_tipo_atividade_1</v>
      </c>
      <c r="I1517" s="2" t="s">
        <v>611</v>
      </c>
      <c r="J1517" s="44">
        <f>VLOOKUP(Table1[[#This Row],[Status]],Auxiliar!$B$16:$C$24,2,0)</f>
        <v>0</v>
      </c>
      <c r="K1517" s="20" t="s">
        <v>1179</v>
      </c>
      <c r="L1517" s="20" t="s">
        <v>1186</v>
      </c>
      <c r="M1517" s="20" t="s">
        <v>1175</v>
      </c>
      <c r="N1517" s="47">
        <v>45501</v>
      </c>
      <c r="O1517" s="20">
        <f>INDEX(Auxiliar!$D$5:$F$13,MATCH(Table1[[#This Row],[Tipologia_Testes]],Auxiliar!$B$5:$B$13,0),MATCH(Table1[[#This Row],[Complexidade]],Auxiliar!$D$4:$F$4,0))</f>
        <v>0.5</v>
      </c>
      <c r="P1517" s="2"/>
      <c r="Q1517" s="196"/>
      <c r="R1517" s="151"/>
      <c r="S1517" s="151"/>
      <c r="T1517" s="151"/>
      <c r="U1517" s="151"/>
      <c r="V1517" s="151"/>
      <c r="W1517" s="2">
        <f>VLOOKUP(Table1[[#This Row],[Status]],Auxiliar!$B$16:$D$24,3,0)*Table1[[#This Row],[Estimação (horas)]]</f>
        <v>0</v>
      </c>
      <c r="X1517" s="165">
        <f>+VLOOKUP(CONCATENATE(Table1[[#This Row],[Tabela]],Table1[[#This Row],[Campo]]),'2. Status Detalhe Campos FY24'!A:J,9,FALSE)</f>
        <v>0</v>
      </c>
      <c r="Y1517" s="491" t="e">
        <f>+VLOOKUP(A1517,#REF!,1,FALSE)</f>
        <v>#REF!</v>
      </c>
    </row>
    <row r="1518" spans="1:25" ht="17.899999999999999" hidden="1" customHeight="1">
      <c r="A1518" t="str">
        <f>+Table1[[#This Row],[Tabela]]&amp;Table1[[#This Row],[Campo]]</f>
        <v>modesg_inp_emss_nacesub_tipo_atividade_2</v>
      </c>
      <c r="B1518" s="12" t="s">
        <v>26</v>
      </c>
      <c r="C1518" s="12" t="s">
        <v>181</v>
      </c>
      <c r="D1518" s="12" t="s">
        <v>1218</v>
      </c>
      <c r="E1518" s="2" t="s">
        <v>38</v>
      </c>
      <c r="F1518" s="2" t="s">
        <v>218</v>
      </c>
      <c r="G1518" s="12" t="s">
        <v>646</v>
      </c>
      <c r="H1518" s="58" t="str">
        <f>Table1[[#This Row],[Tabela]]&amp;Table1[[#This Row],[Campo]]</f>
        <v>modesg_inp_emss_nacesub_tipo_atividade_2</v>
      </c>
      <c r="I1518" s="2" t="s">
        <v>611</v>
      </c>
      <c r="J1518" s="44">
        <f>VLOOKUP(Table1[[#This Row],[Status]],Auxiliar!$B$16:$C$24,2,0)</f>
        <v>0</v>
      </c>
      <c r="K1518" s="20" t="s">
        <v>1179</v>
      </c>
      <c r="L1518" s="20" t="s">
        <v>1186</v>
      </c>
      <c r="M1518" s="20" t="s">
        <v>1175</v>
      </c>
      <c r="N1518" s="47">
        <v>45501</v>
      </c>
      <c r="O1518" s="20">
        <f>INDEX(Auxiliar!$D$5:$F$13,MATCH(Table1[[#This Row],[Tipologia_Testes]],Auxiliar!$B$5:$B$13,0),MATCH(Table1[[#This Row],[Complexidade]],Auxiliar!$D$4:$F$4,0))</f>
        <v>0.5</v>
      </c>
      <c r="P1518" s="2"/>
      <c r="Q1518" s="196"/>
      <c r="R1518" s="151"/>
      <c r="S1518" s="151"/>
      <c r="T1518" s="151"/>
      <c r="U1518" s="151"/>
      <c r="V1518" s="151"/>
      <c r="W1518" s="2">
        <f>VLOOKUP(Table1[[#This Row],[Status]],Auxiliar!$B$16:$D$24,3,0)*Table1[[#This Row],[Estimação (horas)]]</f>
        <v>0</v>
      </c>
      <c r="X1518" s="165">
        <f>+VLOOKUP(CONCATENATE(Table1[[#This Row],[Tabela]],Table1[[#This Row],[Campo]]),'2. Status Detalhe Campos FY24'!A:J,9,FALSE)</f>
        <v>0</v>
      </c>
      <c r="Y1518" s="491" t="e">
        <f>+VLOOKUP(A1518,#REF!,1,FALSE)</f>
        <v>#REF!</v>
      </c>
    </row>
    <row r="1519" spans="1:25" ht="17.899999999999999" hidden="1" customHeight="1">
      <c r="A1519" t="str">
        <f>+Table1[[#This Row],[Tabela]]&amp;Table1[[#This Row],[Campo]]</f>
        <v>modesg_inp_emss_naceunidades_unidade_funcional</v>
      </c>
      <c r="B1519" s="12" t="s">
        <v>26</v>
      </c>
      <c r="C1519" s="12" t="s">
        <v>181</v>
      </c>
      <c r="D1519" s="12" t="s">
        <v>1218</v>
      </c>
      <c r="E1519" s="2" t="s">
        <v>38</v>
      </c>
      <c r="F1519" s="2" t="s">
        <v>218</v>
      </c>
      <c r="G1519" s="12" t="s">
        <v>647</v>
      </c>
      <c r="H1519" s="58" t="str">
        <f>Table1[[#This Row],[Tabela]]&amp;Table1[[#This Row],[Campo]]</f>
        <v>modesg_inp_emss_naceunidades_unidade_funcional</v>
      </c>
      <c r="I1519" s="2" t="s">
        <v>611</v>
      </c>
      <c r="J1519" s="44">
        <f>VLOOKUP(Table1[[#This Row],[Status]],Auxiliar!$B$16:$C$24,2,0)</f>
        <v>0</v>
      </c>
      <c r="K1519" s="20" t="s">
        <v>1179</v>
      </c>
      <c r="L1519" s="20" t="s">
        <v>1186</v>
      </c>
      <c r="M1519" s="20" t="s">
        <v>1175</v>
      </c>
      <c r="N1519" s="47">
        <v>45501</v>
      </c>
      <c r="O1519" s="20">
        <f>INDEX(Auxiliar!$D$5:$F$13,MATCH(Table1[[#This Row],[Tipologia_Testes]],Auxiliar!$B$5:$B$13,0),MATCH(Table1[[#This Row],[Complexidade]],Auxiliar!$D$4:$F$4,0))</f>
        <v>0.5</v>
      </c>
      <c r="P1519" s="2"/>
      <c r="Q1519" s="196"/>
      <c r="R1519" s="151"/>
      <c r="S1519" s="151"/>
      <c r="T1519" s="151"/>
      <c r="U1519" s="151"/>
      <c r="V1519" s="151"/>
      <c r="W1519" s="2">
        <f>VLOOKUP(Table1[[#This Row],[Status]],Auxiliar!$B$16:$D$24,3,0)*Table1[[#This Row],[Estimação (horas)]]</f>
        <v>0</v>
      </c>
      <c r="X1519" s="165">
        <f>+VLOOKUP(CONCATENATE(Table1[[#This Row],[Tabela]],Table1[[#This Row],[Campo]]),'2. Status Detalhe Campos FY24'!A:J,9,FALSE)</f>
        <v>0</v>
      </c>
      <c r="Y1519" s="491" t="e">
        <f>+VLOOKUP(A1519,#REF!,1,FALSE)</f>
        <v>#REF!</v>
      </c>
    </row>
    <row r="1520" spans="1:25" ht="17.899999999999999" hidden="1" customHeight="1">
      <c r="A1520" t="str">
        <f>+Table1[[#This Row],[Tabela]]&amp;Table1[[#This Row],[Campo]]</f>
        <v>modesg_inp_emss_nacefator_emissao</v>
      </c>
      <c r="B1520" s="12" t="s">
        <v>26</v>
      </c>
      <c r="C1520" s="12" t="s">
        <v>181</v>
      </c>
      <c r="D1520" s="12" t="s">
        <v>1218</v>
      </c>
      <c r="E1520" s="2" t="s">
        <v>38</v>
      </c>
      <c r="F1520" s="2" t="s">
        <v>218</v>
      </c>
      <c r="G1520" s="12" t="s">
        <v>648</v>
      </c>
      <c r="H1520" s="58" t="str">
        <f>Table1[[#This Row],[Tabela]]&amp;Table1[[#This Row],[Campo]]</f>
        <v>modesg_inp_emss_nacefator_emissao</v>
      </c>
      <c r="I1520" s="2" t="s">
        <v>611</v>
      </c>
      <c r="J1520" s="44">
        <f>VLOOKUP(Table1[[#This Row],[Status]],Auxiliar!$B$16:$C$24,2,0)</f>
        <v>0</v>
      </c>
      <c r="K1520" s="20" t="s">
        <v>1179</v>
      </c>
      <c r="L1520" s="20" t="s">
        <v>1186</v>
      </c>
      <c r="M1520" s="20" t="s">
        <v>1175</v>
      </c>
      <c r="N1520" s="47">
        <v>45501</v>
      </c>
      <c r="O1520" s="20">
        <f>INDEX(Auxiliar!$D$5:$F$13,MATCH(Table1[[#This Row],[Tipologia_Testes]],Auxiliar!$B$5:$B$13,0),MATCH(Table1[[#This Row],[Complexidade]],Auxiliar!$D$4:$F$4,0))</f>
        <v>0.5</v>
      </c>
      <c r="P1520" s="2"/>
      <c r="Q1520" s="196"/>
      <c r="R1520" s="151"/>
      <c r="S1520" s="151"/>
      <c r="T1520" s="151"/>
      <c r="U1520" s="151"/>
      <c r="V1520" s="151"/>
      <c r="W1520" s="2">
        <f>VLOOKUP(Table1[[#This Row],[Status]],Auxiliar!$B$16:$D$24,3,0)*Table1[[#This Row],[Estimação (horas)]]</f>
        <v>0</v>
      </c>
      <c r="X1520" s="165">
        <f>+VLOOKUP(CONCATENATE(Table1[[#This Row],[Tabela]],Table1[[#This Row],[Campo]]),'2. Status Detalhe Campos FY24'!A:J,9,FALSE)</f>
        <v>0</v>
      </c>
      <c r="Y1520" s="491" t="e">
        <f>+VLOOKUP(A1520,#REF!,1,FALSE)</f>
        <v>#REF!</v>
      </c>
    </row>
    <row r="1521" spans="1:25" ht="17.899999999999999" hidden="1" customHeight="1">
      <c r="A1521" t="str">
        <f>+Table1[[#This Row],[Tabela]]&amp;Table1[[#This Row],[Campo]]</f>
        <v>modesg_inp_km_medios_emss_vclsmedia_scp1_emss</v>
      </c>
      <c r="B1521" s="12" t="s">
        <v>26</v>
      </c>
      <c r="C1521" s="12" t="s">
        <v>181</v>
      </c>
      <c r="D1521" s="12" t="s">
        <v>1218</v>
      </c>
      <c r="E1521" s="2" t="s">
        <v>38</v>
      </c>
      <c r="F1521" s="2" t="s">
        <v>213</v>
      </c>
      <c r="G1521" s="12" t="s">
        <v>649</v>
      </c>
      <c r="H1521" s="58" t="str">
        <f>Table1[[#This Row],[Tabela]]&amp;Table1[[#This Row],[Campo]]</f>
        <v>modesg_inp_km_medios_emss_vclsmedia_scp1_emss</v>
      </c>
      <c r="I1521" s="2" t="s">
        <v>611</v>
      </c>
      <c r="J1521" s="44">
        <f>VLOOKUP(Table1[[#This Row],[Status]],Auxiliar!$B$16:$C$24,2,0)</f>
        <v>0</v>
      </c>
      <c r="K1521" s="20" t="s">
        <v>1179</v>
      </c>
      <c r="L1521" s="20" t="s">
        <v>1186</v>
      </c>
      <c r="M1521" s="20" t="s">
        <v>1175</v>
      </c>
      <c r="N1521" s="47">
        <v>45491</v>
      </c>
      <c r="O1521" s="20">
        <f>INDEX(Auxiliar!$D$5:$F$13,MATCH(Table1[[#This Row],[Tipologia_Testes]],Auxiliar!$B$5:$B$13,0),MATCH(Table1[[#This Row],[Complexidade]],Auxiliar!$D$4:$F$4,0))</f>
        <v>0.5</v>
      </c>
      <c r="P1521" s="2"/>
      <c r="Q1521" s="196"/>
      <c r="R1521" s="151"/>
      <c r="S1521" s="151"/>
      <c r="T1521" s="151"/>
      <c r="U1521" s="151"/>
      <c r="V1521" s="151"/>
      <c r="W1521" s="2">
        <f>VLOOKUP(Table1[[#This Row],[Status]],Auxiliar!$B$16:$D$24,3,0)*Table1[[#This Row],[Estimação (horas)]]</f>
        <v>0</v>
      </c>
      <c r="X1521" s="165">
        <f>+VLOOKUP(CONCATENATE(Table1[[#This Row],[Tabela]],Table1[[#This Row],[Campo]]),'2. Status Detalhe Campos FY24'!A:J,9,FALSE)</f>
        <v>0</v>
      </c>
      <c r="Y1521" s="491" t="e">
        <f>+VLOOKUP(A1521,#REF!,1,FALSE)</f>
        <v>#REF!</v>
      </c>
    </row>
    <row r="1522" spans="1:25" ht="17.5" hidden="1" customHeight="1">
      <c r="A1522" t="str">
        <f>+Table1[[#This Row],[Tabela]]&amp;Table1[[#This Row],[Campo]]</f>
        <v>modesg_inp_km_medios_emss_vclsmedia_scp2_emss</v>
      </c>
      <c r="B1522" s="12" t="s">
        <v>26</v>
      </c>
      <c r="C1522" s="12" t="s">
        <v>181</v>
      </c>
      <c r="D1522" s="12" t="s">
        <v>1218</v>
      </c>
      <c r="E1522" s="2" t="s">
        <v>38</v>
      </c>
      <c r="F1522" s="2" t="s">
        <v>213</v>
      </c>
      <c r="G1522" s="12" t="s">
        <v>650</v>
      </c>
      <c r="H1522" s="58" t="str">
        <f>Table1[[#This Row],[Tabela]]&amp;Table1[[#This Row],[Campo]]</f>
        <v>modesg_inp_km_medios_emss_vclsmedia_scp2_emss</v>
      </c>
      <c r="I1522" s="2" t="s">
        <v>611</v>
      </c>
      <c r="J1522" s="44">
        <f>VLOOKUP(Table1[[#This Row],[Status]],Auxiliar!$B$16:$C$24,2,0)</f>
        <v>0</v>
      </c>
      <c r="K1522" s="20" t="s">
        <v>1179</v>
      </c>
      <c r="L1522" s="20" t="s">
        <v>1186</v>
      </c>
      <c r="M1522" s="20" t="s">
        <v>1175</v>
      </c>
      <c r="N1522" s="47">
        <v>45491</v>
      </c>
      <c r="O1522" s="20">
        <f>INDEX(Auxiliar!$D$5:$F$13,MATCH(Table1[[#This Row],[Tipologia_Testes]],Auxiliar!$B$5:$B$13,0),MATCH(Table1[[#This Row],[Complexidade]],Auxiliar!$D$4:$F$4,0))</f>
        <v>0.5</v>
      </c>
      <c r="P1522" s="2"/>
      <c r="Q1522" s="196"/>
      <c r="R1522" s="151"/>
      <c r="S1522" s="151"/>
      <c r="T1522" s="151"/>
      <c r="U1522" s="151"/>
      <c r="V1522" s="151"/>
      <c r="W1522" s="2">
        <f>VLOOKUP(Table1[[#This Row],[Status]],Auxiliar!$B$16:$D$24,3,0)*Table1[[#This Row],[Estimação (horas)]]</f>
        <v>0</v>
      </c>
      <c r="X1522" s="165">
        <f>+VLOOKUP(CONCATENATE(Table1[[#This Row],[Tabela]],Table1[[#This Row],[Campo]]),'2. Status Detalhe Campos FY24'!A:J,9,FALSE)</f>
        <v>0</v>
      </c>
      <c r="Y1522" s="491" t="e">
        <f>+VLOOKUP(A1522,#REF!,1,FALSE)</f>
        <v>#REF!</v>
      </c>
    </row>
    <row r="1523" spans="1:25" ht="17.5" hidden="1" customHeight="1">
      <c r="A1523" t="str">
        <f>+Table1[[#This Row],[Tabela]]&amp;Table1[[#This Row],[Campo]]</f>
        <v>modesg_inp_km_medios_emss_vclsmedia_scp3_emss</v>
      </c>
      <c r="B1523" s="19" t="s">
        <v>26</v>
      </c>
      <c r="C1523" s="19" t="s">
        <v>181</v>
      </c>
      <c r="D1523" s="12" t="s">
        <v>1218</v>
      </c>
      <c r="E1523" s="2" t="s">
        <v>38</v>
      </c>
      <c r="F1523" s="31" t="s">
        <v>213</v>
      </c>
      <c r="G1523" s="19" t="s">
        <v>651</v>
      </c>
      <c r="H1523" s="58" t="str">
        <f>Table1[[#This Row],[Tabela]]&amp;Table1[[#This Row],[Campo]]</f>
        <v>modesg_inp_km_medios_emss_vclsmedia_scp3_emss</v>
      </c>
      <c r="I1523" s="2" t="s">
        <v>611</v>
      </c>
      <c r="J1523" s="44">
        <f>VLOOKUP(Table1[[#This Row],[Status]],Auxiliar!$B$16:$C$24,2,0)</f>
        <v>0</v>
      </c>
      <c r="K1523" s="20" t="s">
        <v>1179</v>
      </c>
      <c r="L1523" s="20" t="s">
        <v>1186</v>
      </c>
      <c r="M1523" s="20" t="s">
        <v>1175</v>
      </c>
      <c r="N1523" s="47">
        <v>45491</v>
      </c>
      <c r="O1523" s="20">
        <f>INDEX(Auxiliar!$D$5:$F$13,MATCH(Table1[[#This Row],[Tipologia_Testes]],Auxiliar!$B$5:$B$13,0),MATCH(Table1[[#This Row],[Complexidade]],Auxiliar!$D$4:$F$4,0))</f>
        <v>0.5</v>
      </c>
      <c r="P1523" s="2" t="s">
        <v>1188</v>
      </c>
      <c r="Q1523" s="196"/>
      <c r="R1523" s="151"/>
      <c r="S1523" s="151"/>
      <c r="T1523" s="151"/>
      <c r="U1523" s="151"/>
      <c r="V1523" s="151"/>
      <c r="W1523" s="2">
        <f>VLOOKUP(Table1[[#This Row],[Status]],Auxiliar!$B$16:$D$24,3,0)*Table1[[#This Row],[Estimação (horas)]]</f>
        <v>0</v>
      </c>
      <c r="X1523" s="165">
        <f>+VLOOKUP(CONCATENATE(Table1[[#This Row],[Tabela]],Table1[[#This Row],[Campo]]),'2. Status Detalhe Campos FY24'!A:J,9,FALSE)</f>
        <v>0</v>
      </c>
      <c r="Y1523" s="491" t="e">
        <f>+VLOOKUP(A1523,#REF!,1,FALSE)</f>
        <v>#REF!</v>
      </c>
    </row>
    <row r="1524" spans="1:25" ht="17.5" hidden="1" customHeight="1">
      <c r="A1524" t="str">
        <f>+Table1[[#This Row],[Tabela]]&amp;Table1[[#This Row],[Campo]]</f>
        <v>modesg_inp_project_financecodigo_unidade</v>
      </c>
      <c r="B1524" s="19" t="s">
        <v>26</v>
      </c>
      <c r="C1524" s="19" t="s">
        <v>181</v>
      </c>
      <c r="D1524" s="12" t="s">
        <v>1218</v>
      </c>
      <c r="E1524" s="2" t="s">
        <v>38</v>
      </c>
      <c r="F1524" s="31" t="s">
        <v>2060</v>
      </c>
      <c r="G1524" s="19" t="s">
        <v>2061</v>
      </c>
      <c r="H1524" s="58" t="str">
        <f>Table1[[#This Row],[Tabela]]&amp;Table1[[#This Row],[Campo]]</f>
        <v>modesg_inp_project_financecodigo_unidade</v>
      </c>
      <c r="I1524" s="2" t="s">
        <v>612</v>
      </c>
      <c r="J1524" s="44">
        <f>VLOOKUP(Table1[[#This Row],[Status]],Auxiliar!$B$16:$C$24,2,0)</f>
        <v>1</v>
      </c>
      <c r="K1524" s="20" t="s">
        <v>1179</v>
      </c>
      <c r="L1524" s="20" t="s">
        <v>1174</v>
      </c>
      <c r="M1524" s="20" t="s">
        <v>1175</v>
      </c>
      <c r="N1524" s="47">
        <v>45688</v>
      </c>
      <c r="O1524" s="20" t="e">
        <f>INDEX(Auxiliar!$D$5:$F$11,MATCH(Table1[[#This Row],[Tipologia_Testes]],Auxiliar!$B$5:$B$11,0),MATCH(Table1[[#This Row],[Complexidade]],Auxiliar!$D$4:$F$4,0))</f>
        <v>#N/A</v>
      </c>
      <c r="P1524" s="2"/>
      <c r="Q1524" s="196"/>
      <c r="R1524" s="151"/>
      <c r="S1524" s="151"/>
      <c r="T1524" s="151"/>
      <c r="U1524" s="151"/>
      <c r="V1524" s="151"/>
      <c r="W1524" s="2" t="e">
        <f>VLOOKUP(Table1[[#This Row],[Status]],Auxiliar!$B$16:$D$24,3,0)*Table1[[#This Row],[Estimação (horas)]]</f>
        <v>#N/A</v>
      </c>
      <c r="X1524" s="165">
        <f>+VLOOKUP(CONCATENATE(Table1[[#This Row],[Tabela]],Table1[[#This Row],[Campo]]),'2. Status Detalhe Campos FY24'!A:J,9,FALSE)</f>
        <v>0</v>
      </c>
      <c r="Y1524" s="491" t="e">
        <f>+VLOOKUP(A1524,#REF!,1,FALSE)</f>
        <v>#REF!</v>
      </c>
    </row>
    <row r="1525" spans="1:25" ht="17.5" hidden="1" customHeight="1">
      <c r="A1525" t="str">
        <f>+Table1[[#This Row],[Tabela]]&amp;Table1[[#This Row],[Campo]]</f>
        <v>modesg_inp_project_financenome_unidade</v>
      </c>
      <c r="B1525" s="19" t="s">
        <v>26</v>
      </c>
      <c r="C1525" s="19" t="s">
        <v>181</v>
      </c>
      <c r="D1525" s="12" t="s">
        <v>1218</v>
      </c>
      <c r="E1525" s="2" t="s">
        <v>38</v>
      </c>
      <c r="F1525" s="31" t="s">
        <v>2060</v>
      </c>
      <c r="G1525" s="19" t="s">
        <v>2062</v>
      </c>
      <c r="H1525" s="58" t="str">
        <f>Table1[[#This Row],[Tabela]]&amp;Table1[[#This Row],[Campo]]</f>
        <v>modesg_inp_project_financenome_unidade</v>
      </c>
      <c r="I1525" s="2" t="s">
        <v>612</v>
      </c>
      <c r="J1525" s="44">
        <f>VLOOKUP(Table1[[#This Row],[Status]],Auxiliar!$B$16:$C$24,2,0)</f>
        <v>1</v>
      </c>
      <c r="K1525" s="20" t="s">
        <v>1179</v>
      </c>
      <c r="L1525" s="20" t="s">
        <v>1174</v>
      </c>
      <c r="M1525" s="20" t="s">
        <v>1175</v>
      </c>
      <c r="N1525" s="47">
        <v>45688</v>
      </c>
      <c r="O1525" s="20" t="e">
        <f>INDEX(Auxiliar!$D$5:$F$11,MATCH(Table1[[#This Row],[Tipologia_Testes]],Auxiliar!$B$5:$B$11,0),MATCH(Table1[[#This Row],[Complexidade]],Auxiliar!$D$4:$F$4,0))</f>
        <v>#N/A</v>
      </c>
      <c r="P1525" s="2"/>
      <c r="Q1525" s="196"/>
      <c r="R1525" s="151"/>
      <c r="S1525" s="151"/>
      <c r="T1525" s="151"/>
      <c r="U1525" s="151"/>
      <c r="V1525" s="151"/>
      <c r="W1525" s="2" t="e">
        <f>VLOOKUP(Table1[[#This Row],[Status]],Auxiliar!$B$16:$D$24,3,0)*Table1[[#This Row],[Estimação (horas)]]</f>
        <v>#N/A</v>
      </c>
      <c r="X1525" s="165">
        <f>+VLOOKUP(CONCATENATE(Table1[[#This Row],[Tabela]],Table1[[#This Row],[Campo]]),'2. Status Detalhe Campos FY24'!A:J,9,FALSE)</f>
        <v>0</v>
      </c>
      <c r="Y1525" s="491" t="e">
        <f>+VLOOKUP(A1525,#REF!,1,FALSE)</f>
        <v>#REF!</v>
      </c>
    </row>
    <row r="1526" spans="1:25" ht="17.5" hidden="1" customHeight="1">
      <c r="A1526" t="str">
        <f>+Table1[[#This Row],[Tabela]]&amp;Table1[[#This Row],[Campo]]</f>
        <v>modesg_inp_project_financekgl</v>
      </c>
      <c r="B1526" s="19" t="s">
        <v>26</v>
      </c>
      <c r="C1526" s="19" t="s">
        <v>181</v>
      </c>
      <c r="D1526" s="12" t="s">
        <v>1218</v>
      </c>
      <c r="E1526" s="2" t="s">
        <v>38</v>
      </c>
      <c r="F1526" s="31" t="s">
        <v>2060</v>
      </c>
      <c r="G1526" s="19" t="s">
        <v>2063</v>
      </c>
      <c r="H1526" s="58" t="str">
        <f>Table1[[#This Row],[Tabela]]&amp;Table1[[#This Row],[Campo]]</f>
        <v>modesg_inp_project_financekgl</v>
      </c>
      <c r="I1526" s="2" t="s">
        <v>612</v>
      </c>
      <c r="J1526" s="44">
        <f>VLOOKUP(Table1[[#This Row],[Status]],Auxiliar!$B$16:$C$24,2,0)</f>
        <v>1</v>
      </c>
      <c r="K1526" s="20" t="s">
        <v>1179</v>
      </c>
      <c r="L1526" s="20" t="s">
        <v>1174</v>
      </c>
      <c r="M1526" s="20" t="s">
        <v>1175</v>
      </c>
      <c r="N1526" s="47">
        <v>45688</v>
      </c>
      <c r="O1526" s="20" t="e">
        <f>INDEX(Auxiliar!$D$5:$F$11,MATCH(Table1[[#This Row],[Tipologia_Testes]],Auxiliar!$B$5:$B$11,0),MATCH(Table1[[#This Row],[Complexidade]],Auxiliar!$D$4:$F$4,0))</f>
        <v>#N/A</v>
      </c>
      <c r="P1526" s="2"/>
      <c r="Q1526" s="196"/>
      <c r="R1526" s="151"/>
      <c r="S1526" s="151"/>
      <c r="T1526" s="151"/>
      <c r="U1526" s="151"/>
      <c r="V1526" s="151"/>
      <c r="W1526" s="2" t="e">
        <f>VLOOKUP(Table1[[#This Row],[Status]],Auxiliar!$B$16:$D$24,3,0)*Table1[[#This Row],[Estimação (horas)]]</f>
        <v>#N/A</v>
      </c>
      <c r="X1526" s="165">
        <f>+VLOOKUP(CONCATENATE(Table1[[#This Row],[Tabela]],Table1[[#This Row],[Campo]]),'2. Status Detalhe Campos FY24'!A:J,9,FALSE)</f>
        <v>0</v>
      </c>
      <c r="Y1526" s="491" t="e">
        <f>+VLOOKUP(A1526,#REF!,1,FALSE)</f>
        <v>#REF!</v>
      </c>
    </row>
    <row r="1527" spans="1:25" ht="17.5" hidden="1" customHeight="1">
      <c r="A1527" t="str">
        <f>+Table1[[#This Row],[Tabela]]&amp;Table1[[#This Row],[Campo]]</f>
        <v>modesg_inp_project_financenome_legal_kgl</v>
      </c>
      <c r="B1527" s="19" t="s">
        <v>26</v>
      </c>
      <c r="C1527" s="19" t="s">
        <v>181</v>
      </c>
      <c r="D1527" s="12" t="s">
        <v>1218</v>
      </c>
      <c r="E1527" s="2" t="s">
        <v>38</v>
      </c>
      <c r="F1527" s="31" t="s">
        <v>2060</v>
      </c>
      <c r="G1527" s="19" t="s">
        <v>2064</v>
      </c>
      <c r="H1527" s="58" t="str">
        <f>Table1[[#This Row],[Tabela]]&amp;Table1[[#This Row],[Campo]]</f>
        <v>modesg_inp_project_financenome_legal_kgl</v>
      </c>
      <c r="I1527" s="2" t="s">
        <v>612</v>
      </c>
      <c r="J1527" s="44">
        <f>VLOOKUP(Table1[[#This Row],[Status]],Auxiliar!$B$16:$C$24,2,0)</f>
        <v>1</v>
      </c>
      <c r="K1527" s="20" t="s">
        <v>1179</v>
      </c>
      <c r="L1527" s="20" t="s">
        <v>1174</v>
      </c>
      <c r="M1527" s="20" t="s">
        <v>1175</v>
      </c>
      <c r="N1527" s="47">
        <v>45688</v>
      </c>
      <c r="O1527" s="20" t="e">
        <f>INDEX(Auxiliar!$D$5:$F$11,MATCH(Table1[[#This Row],[Tipologia_Testes]],Auxiliar!$B$5:$B$11,0),MATCH(Table1[[#This Row],[Complexidade]],Auxiliar!$D$4:$F$4,0))</f>
        <v>#N/A</v>
      </c>
      <c r="P1527" s="2"/>
      <c r="Q1527" s="196"/>
      <c r="R1527" s="151"/>
      <c r="S1527" s="151"/>
      <c r="T1527" s="151"/>
      <c r="U1527" s="151"/>
      <c r="V1527" s="151"/>
      <c r="W1527" s="2" t="e">
        <f>VLOOKUP(Table1[[#This Row],[Status]],Auxiliar!$B$16:$D$24,3,0)*Table1[[#This Row],[Estimação (horas)]]</f>
        <v>#N/A</v>
      </c>
      <c r="X1527" s="165">
        <f>+VLOOKUP(CONCATENATE(Table1[[#This Row],[Tabela]],Table1[[#This Row],[Campo]]),'2. Status Detalhe Campos FY24'!A:J,9,FALSE)</f>
        <v>0</v>
      </c>
      <c r="Y1527" s="491" t="e">
        <f>+VLOOKUP(A1527,#REF!,1,FALSE)</f>
        <v>#REF!</v>
      </c>
    </row>
    <row r="1528" spans="1:25" ht="17.5" hidden="1" customHeight="1">
      <c r="A1528" t="str">
        <f>+Table1[[#This Row],[Tabela]]&amp;Table1[[#This Row],[Campo]]</f>
        <v>modesg_inp_project_financekgl_top_entidade_principal</v>
      </c>
      <c r="B1528" s="19" t="s">
        <v>26</v>
      </c>
      <c r="C1528" s="19" t="s">
        <v>181</v>
      </c>
      <c r="D1528" s="12" t="s">
        <v>1218</v>
      </c>
      <c r="E1528" s="2" t="s">
        <v>38</v>
      </c>
      <c r="F1528" s="31" t="s">
        <v>2060</v>
      </c>
      <c r="G1528" s="19" t="s">
        <v>2065</v>
      </c>
      <c r="H1528" s="58" t="str">
        <f>Table1[[#This Row],[Tabela]]&amp;Table1[[#This Row],[Campo]]</f>
        <v>modesg_inp_project_financekgl_top_entidade_principal</v>
      </c>
      <c r="I1528" s="2" t="s">
        <v>612</v>
      </c>
      <c r="J1528" s="44">
        <f>VLOOKUP(Table1[[#This Row],[Status]],Auxiliar!$B$16:$C$24,2,0)</f>
        <v>1</v>
      </c>
      <c r="K1528" s="20" t="s">
        <v>1179</v>
      </c>
      <c r="L1528" s="20" t="s">
        <v>1174</v>
      </c>
      <c r="M1528" s="20" t="s">
        <v>1175</v>
      </c>
      <c r="N1528" s="47">
        <v>45688</v>
      </c>
      <c r="O1528" s="20" t="e">
        <f>INDEX(Auxiliar!$D$5:$F$11,MATCH(Table1[[#This Row],[Tipologia_Testes]],Auxiliar!$B$5:$B$11,0),MATCH(Table1[[#This Row],[Complexidade]],Auxiliar!$D$4:$F$4,0))</f>
        <v>#N/A</v>
      </c>
      <c r="P1528" s="2"/>
      <c r="Q1528" s="196"/>
      <c r="R1528" s="151"/>
      <c r="S1528" s="151"/>
      <c r="T1528" s="151"/>
      <c r="U1528" s="151"/>
      <c r="V1528" s="151"/>
      <c r="W1528" s="2" t="e">
        <f>VLOOKUP(Table1[[#This Row],[Status]],Auxiliar!$B$16:$D$24,3,0)*Table1[[#This Row],[Estimação (horas)]]</f>
        <v>#N/A</v>
      </c>
      <c r="X1528" s="165">
        <f>+VLOOKUP(CONCATENATE(Table1[[#This Row],[Tabela]],Table1[[#This Row],[Campo]]),'2. Status Detalhe Campos FY24'!A:J,9,FALSE)</f>
        <v>0</v>
      </c>
      <c r="Y1528" s="491" t="e">
        <f>+VLOOKUP(A1528,#REF!,1,FALSE)</f>
        <v>#REF!</v>
      </c>
    </row>
    <row r="1529" spans="1:25" ht="17.5" hidden="1" customHeight="1">
      <c r="A1529" t="str">
        <f>+Table1[[#This Row],[Tabela]]&amp;Table1[[#This Row],[Campo]]</f>
        <v>modesg_inp_project_financekgl_entidade_principal</v>
      </c>
      <c r="B1529" s="19" t="s">
        <v>26</v>
      </c>
      <c r="C1529" s="19" t="s">
        <v>181</v>
      </c>
      <c r="D1529" s="12" t="s">
        <v>1218</v>
      </c>
      <c r="E1529" s="2" t="s">
        <v>38</v>
      </c>
      <c r="F1529" s="31" t="s">
        <v>2060</v>
      </c>
      <c r="G1529" s="19" t="s">
        <v>2066</v>
      </c>
      <c r="H1529" s="58" t="str">
        <f>Table1[[#This Row],[Tabela]]&amp;Table1[[#This Row],[Campo]]</f>
        <v>modesg_inp_project_financekgl_entidade_principal</v>
      </c>
      <c r="I1529" s="2" t="s">
        <v>612</v>
      </c>
      <c r="J1529" s="44">
        <f>VLOOKUP(Table1[[#This Row],[Status]],Auxiliar!$B$16:$C$24,2,0)</f>
        <v>1</v>
      </c>
      <c r="K1529" s="20" t="s">
        <v>1179</v>
      </c>
      <c r="L1529" s="20" t="s">
        <v>1174</v>
      </c>
      <c r="M1529" s="20" t="s">
        <v>1175</v>
      </c>
      <c r="N1529" s="47">
        <v>45688</v>
      </c>
      <c r="O1529" s="20" t="e">
        <f>INDEX(Auxiliar!$D$5:$F$11,MATCH(Table1[[#This Row],[Tipologia_Testes]],Auxiliar!$B$5:$B$11,0),MATCH(Table1[[#This Row],[Complexidade]],Auxiliar!$D$4:$F$4,0))</f>
        <v>#N/A</v>
      </c>
      <c r="P1529" s="2"/>
      <c r="Q1529" s="196"/>
      <c r="R1529" s="151"/>
      <c r="S1529" s="151"/>
      <c r="T1529" s="151"/>
      <c r="U1529" s="151"/>
      <c r="V1529" s="151"/>
      <c r="W1529" s="2" t="e">
        <f>VLOOKUP(Table1[[#This Row],[Status]],Auxiliar!$B$16:$D$24,3,0)*Table1[[#This Row],[Estimação (horas)]]</f>
        <v>#N/A</v>
      </c>
      <c r="X1529" s="165">
        <f>+VLOOKUP(CONCATENATE(Table1[[#This Row],[Tabela]],Table1[[#This Row],[Campo]]),'2. Status Detalhe Campos FY24'!A:J,9,FALSE)</f>
        <v>0</v>
      </c>
      <c r="Y1529" s="491" t="e">
        <f>+VLOOKUP(A1529,#REF!,1,FALSE)</f>
        <v>#REF!</v>
      </c>
    </row>
    <row r="1530" spans="1:25" ht="17.5" hidden="1" customHeight="1">
      <c r="A1530" t="str">
        <f>+Table1[[#This Row],[Tabela]]&amp;Table1[[#This Row],[Campo]]</f>
        <v>modesg_inp_project_financenome_top_entidade_principal</v>
      </c>
      <c r="B1530" s="19" t="s">
        <v>26</v>
      </c>
      <c r="C1530" s="19" t="s">
        <v>181</v>
      </c>
      <c r="D1530" s="12" t="s">
        <v>1218</v>
      </c>
      <c r="E1530" s="2" t="s">
        <v>38</v>
      </c>
      <c r="F1530" s="31" t="s">
        <v>2060</v>
      </c>
      <c r="G1530" s="19" t="s">
        <v>2067</v>
      </c>
      <c r="H1530" s="58" t="str">
        <f>Table1[[#This Row],[Tabela]]&amp;Table1[[#This Row],[Campo]]</f>
        <v>modesg_inp_project_financenome_top_entidade_principal</v>
      </c>
      <c r="I1530" s="2" t="s">
        <v>612</v>
      </c>
      <c r="J1530" s="44">
        <f>VLOOKUP(Table1[[#This Row],[Status]],Auxiliar!$B$16:$C$24,2,0)</f>
        <v>1</v>
      </c>
      <c r="K1530" s="20" t="s">
        <v>1179</v>
      </c>
      <c r="L1530" s="20" t="s">
        <v>1174</v>
      </c>
      <c r="M1530" s="20" t="s">
        <v>1175</v>
      </c>
      <c r="N1530" s="47">
        <v>45688</v>
      </c>
      <c r="O1530" s="20" t="e">
        <f>INDEX(Auxiliar!$D$5:$F$11,MATCH(Table1[[#This Row],[Tipologia_Testes]],Auxiliar!$B$5:$B$11,0),MATCH(Table1[[#This Row],[Complexidade]],Auxiliar!$D$4:$F$4,0))</f>
        <v>#N/A</v>
      </c>
      <c r="P1530" s="2"/>
      <c r="Q1530" s="196"/>
      <c r="R1530" s="151"/>
      <c r="S1530" s="151"/>
      <c r="T1530" s="151"/>
      <c r="U1530" s="151"/>
      <c r="V1530" s="151"/>
      <c r="W1530" s="2" t="e">
        <f>VLOOKUP(Table1[[#This Row],[Status]],Auxiliar!$B$16:$D$24,3,0)*Table1[[#This Row],[Estimação (horas)]]</f>
        <v>#N/A</v>
      </c>
      <c r="X1530" s="165">
        <f>+VLOOKUP(CONCATENATE(Table1[[#This Row],[Tabela]],Table1[[#This Row],[Campo]]),'2. Status Detalhe Campos FY24'!A:J,9,FALSE)</f>
        <v>0</v>
      </c>
      <c r="Y1530" s="491" t="e">
        <f>+VLOOKUP(A1530,#REF!,1,FALSE)</f>
        <v>#REF!</v>
      </c>
    </row>
    <row r="1531" spans="1:25" ht="17.5" hidden="1" customHeight="1">
      <c r="A1531" t="str">
        <f>+Table1[[#This Row],[Tabela]]&amp;Table1[[#This Row],[Campo]]</f>
        <v>modesg_inp_project_financecodigo_unidade_operativa</v>
      </c>
      <c r="B1531" s="19" t="s">
        <v>26</v>
      </c>
      <c r="C1531" s="19" t="s">
        <v>181</v>
      </c>
      <c r="D1531" s="12" t="s">
        <v>1218</v>
      </c>
      <c r="E1531" s="2" t="s">
        <v>38</v>
      </c>
      <c r="F1531" s="31" t="s">
        <v>2060</v>
      </c>
      <c r="G1531" s="344" t="s">
        <v>2068</v>
      </c>
      <c r="H1531" s="346" t="str">
        <f>Table1[[#This Row],[Tabela]]&amp;Table1[[#This Row],[Campo]]</f>
        <v>modesg_inp_project_financecodigo_unidade_operativa</v>
      </c>
      <c r="I1531" s="2" t="s">
        <v>612</v>
      </c>
      <c r="J1531" s="347">
        <f>VLOOKUP(Table1[[#This Row],[Status]],Auxiliar!$B$16:$C$24,2,0)</f>
        <v>1</v>
      </c>
      <c r="K1531" s="20" t="s">
        <v>1179</v>
      </c>
      <c r="L1531" s="20" t="s">
        <v>1174</v>
      </c>
      <c r="M1531" s="20" t="s">
        <v>1175</v>
      </c>
      <c r="N1531" s="47">
        <v>45688</v>
      </c>
      <c r="O1531" s="348" t="e">
        <f>INDEX(Auxiliar!$D$5:$F$11,MATCH(Table1[[#This Row],[Tipologia_Testes]],Auxiliar!$B$5:$B$11,0),MATCH(Table1[[#This Row],[Complexidade]],Auxiliar!$D$4:$F$4,0))</f>
        <v>#N/A</v>
      </c>
      <c r="P1531" s="345"/>
      <c r="Q1531" s="349"/>
      <c r="R1531" s="350"/>
      <c r="S1531" s="351"/>
      <c r="T1531" s="351"/>
      <c r="U1531" s="351"/>
      <c r="V1531" s="351"/>
      <c r="W1531" s="345" t="e">
        <f>VLOOKUP(Table1[[#This Row],[Status]],Auxiliar!$B$16:$D$24,3,0)*Table1[[#This Row],[Estimação (horas)]]</f>
        <v>#N/A</v>
      </c>
      <c r="X1531" s="165">
        <f>+VLOOKUP(CONCATENATE(Table1[[#This Row],[Tabela]],Table1[[#This Row],[Campo]]),'2. Status Detalhe Campos FY24'!A:J,9,FALSE)</f>
        <v>0</v>
      </c>
      <c r="Y1531" s="491" t="e">
        <f>+VLOOKUP(A1531,#REF!,1,FALSE)</f>
        <v>#REF!</v>
      </c>
    </row>
    <row r="1532" spans="1:25" ht="18" hidden="1" customHeight="1">
      <c r="A1532" t="str">
        <f>+Table1[[#This Row],[Tabela]]&amp;Table1[[#This Row],[Campo]]</f>
        <v>modesg_inp_project_financenome_entidade_operativa</v>
      </c>
      <c r="B1532" s="19" t="s">
        <v>26</v>
      </c>
      <c r="C1532" s="19" t="s">
        <v>181</v>
      </c>
      <c r="D1532" s="12" t="s">
        <v>1218</v>
      </c>
      <c r="E1532" s="2" t="s">
        <v>38</v>
      </c>
      <c r="F1532" s="31" t="s">
        <v>2060</v>
      </c>
      <c r="G1532" s="19" t="s">
        <v>2069</v>
      </c>
      <c r="H1532" s="346" t="str">
        <f>Table1[[#This Row],[Tabela]]&amp;Table1[[#This Row],[Campo]]</f>
        <v>modesg_inp_project_financenome_entidade_operativa</v>
      </c>
      <c r="I1532" s="2" t="s">
        <v>612</v>
      </c>
      <c r="J1532" s="347">
        <f>VLOOKUP(Table1[[#This Row],[Status]],Auxiliar!$B$16:$C$24,2,0)</f>
        <v>1</v>
      </c>
      <c r="K1532" s="20" t="s">
        <v>1179</v>
      </c>
      <c r="L1532" s="20" t="s">
        <v>1174</v>
      </c>
      <c r="M1532" s="20" t="s">
        <v>1175</v>
      </c>
      <c r="N1532" s="47">
        <v>45688</v>
      </c>
      <c r="O1532" s="348" t="e">
        <f>INDEX(Auxiliar!$D$5:$F$11,MATCH(Table1[[#This Row],[Tipologia_Testes]],Auxiliar!$B$5:$B$11,0),MATCH(Table1[[#This Row],[Complexidade]],Auxiliar!$D$4:$F$4,0))</f>
        <v>#N/A</v>
      </c>
      <c r="P1532" s="2"/>
      <c r="Q1532" s="196"/>
      <c r="R1532" s="151"/>
      <c r="S1532" s="151"/>
      <c r="T1532" s="151"/>
      <c r="U1532" s="151"/>
      <c r="V1532" s="151"/>
      <c r="W1532" s="2"/>
      <c r="X1532" s="165">
        <f>+VLOOKUP(CONCATENATE(Table1[[#This Row],[Tabela]],Table1[[#This Row],[Campo]]),'2. Status Detalhe Campos FY24'!A:J,9,FALSE)</f>
        <v>0</v>
      </c>
      <c r="Y1532" s="494" t="e">
        <f>+VLOOKUP(A1532,#REF!,1,FALSE)</f>
        <v>#REF!</v>
      </c>
    </row>
  </sheetData>
  <phoneticPr fontId="12" type="noConversion"/>
  <pageMargins left="0.7" right="0.7" top="0.75" bottom="0.75" header="0.3" footer="0.3"/>
  <pageSetup paperSize="9" orientation="portrait" r:id="rId1"/>
  <drawing r:id="rId2"/>
  <tableParts count="1">
    <tablePart r:id="rId3"/>
  </tableParts>
  <extLst>
    <ext xmlns:x14="http://schemas.microsoft.com/office/spreadsheetml/2009/9/main" uri="{78C0D931-6437-407d-A8EE-F0AAD7539E65}">
      <x14:conditionalFormattings>
        <x14:conditionalFormatting xmlns:xm="http://schemas.microsoft.com/office/excel/2006/main">
          <x14:cfRule type="containsText" priority="265" operator="containsText" id="{8983D8D5-C2D6-4B72-B323-1B9C72824199}">
            <xm:f>NOT(ISERROR(SEARCH(Auxiliar!$B$21,I10)))</xm:f>
            <xm:f>Auxiliar!$B$21</xm:f>
            <x14:dxf>
              <font>
                <b/>
                <i val="0"/>
                <color rgb="FFFFC000"/>
              </font>
              <fill>
                <patternFill>
                  <bgColor theme="9" tint="0.59996337778862885"/>
                </patternFill>
              </fill>
            </x14:dxf>
          </x14:cfRule>
          <x14:cfRule type="cellIs" priority="266" operator="equal" id="{851F9D3C-DE91-4C20-A255-DBA976D47256}">
            <xm:f>Auxiliar!$B$24</xm:f>
            <x14:dxf>
              <font>
                <b/>
                <i val="0"/>
                <color theme="1"/>
              </font>
              <fill>
                <patternFill patternType="darkUp">
                  <bgColor theme="0"/>
                </patternFill>
              </fill>
            </x14:dxf>
          </x14:cfRule>
          <x14:cfRule type="cellIs" priority="267" operator="equal" id="{AEB76678-92B6-4E42-BA0D-898B2AB889D7}">
            <xm:f>Auxiliar!$B$18</xm:f>
            <x14:dxf>
              <font>
                <b/>
                <i val="0"/>
                <color theme="0" tint="-0.499984740745262"/>
              </font>
              <fill>
                <patternFill>
                  <bgColor theme="0" tint="-4.9989318521683403E-2"/>
                </patternFill>
              </fill>
            </x14:dxf>
          </x14:cfRule>
          <x14:cfRule type="containsText" priority="268" operator="containsText" id="{0FA99019-873A-4C78-82AA-9EEE3B126F8F}">
            <xm:f>NOT(ISERROR(SEARCH(Auxiliar!$B$22,I10)))</xm:f>
            <xm:f>Auxiliar!$B$22</xm:f>
            <x14:dxf>
              <font>
                <b/>
                <i val="0"/>
                <color rgb="FFC00000"/>
              </font>
              <fill>
                <patternFill>
                  <bgColor theme="4" tint="0.79998168889431442"/>
                </patternFill>
              </fill>
            </x14:dxf>
          </x14:cfRule>
          <x14:cfRule type="containsText" priority="269" operator="containsText" id="{A5A57686-717C-424E-ACA5-1F1162CB1E85}">
            <xm:f>NOT(ISERROR(SEARCH(Auxiliar!$B$19,I10)))</xm:f>
            <xm:f>Auxiliar!$B$19</xm:f>
            <x14:dxf>
              <font>
                <b/>
                <i val="0"/>
                <color theme="9" tint="-0.499984740745262"/>
              </font>
              <fill>
                <patternFill>
                  <bgColor theme="9" tint="0.79998168889431442"/>
                </patternFill>
              </fill>
            </x14:dxf>
          </x14:cfRule>
          <x14:cfRule type="containsText" priority="270" operator="containsText" id="{415BD618-B6DB-47BA-AC61-D38B6035A87E}">
            <xm:f>NOT(ISERROR(SEARCH(Auxiliar!$B$16,I10)))</xm:f>
            <xm:f>Auxiliar!$B$16</xm:f>
            <x14:dxf>
              <font>
                <b/>
                <i val="0"/>
                <color theme="7"/>
              </font>
              <fill>
                <patternFill>
                  <bgColor theme="7" tint="0.79998168889431442"/>
                </patternFill>
              </fill>
            </x14:dxf>
          </x14:cfRule>
          <xm:sqref>I10:I11 I248:J290</xm:sqref>
        </x14:conditionalFormatting>
        <x14:conditionalFormatting xmlns:xm="http://schemas.microsoft.com/office/excel/2006/main">
          <x14:cfRule type="containsText" priority="547" operator="containsText" id="{F0FC3167-D078-4732-B252-F6CF35A33118}">
            <xm:f>NOT(ISERROR(SEARCH(Auxiliar!$B$21,I193)))</xm:f>
            <xm:f>Auxiliar!$B$21</xm:f>
            <x14:dxf>
              <font>
                <b/>
                <i val="0"/>
                <color rgb="FFFFC000"/>
              </font>
              <fill>
                <patternFill>
                  <bgColor theme="9" tint="0.59996337778862885"/>
                </patternFill>
              </fill>
            </x14:dxf>
          </x14:cfRule>
          <x14:cfRule type="cellIs" priority="548" operator="equal" id="{0DF84132-7044-4342-A136-5BB25A806900}">
            <xm:f>Auxiliar!$B$24</xm:f>
            <x14:dxf>
              <font>
                <b/>
                <i val="0"/>
                <color theme="1"/>
              </font>
              <fill>
                <patternFill patternType="darkUp">
                  <bgColor theme="0"/>
                </patternFill>
              </fill>
            </x14:dxf>
          </x14:cfRule>
          <x14:cfRule type="cellIs" priority="549" operator="equal" id="{0AA668F3-08F2-48AD-824F-FDAAFE4C3390}">
            <xm:f>Auxiliar!$B$18</xm:f>
            <x14:dxf>
              <font>
                <b/>
                <i val="0"/>
                <color theme="0" tint="-0.499984740745262"/>
              </font>
              <fill>
                <patternFill>
                  <bgColor theme="0" tint="-4.9989318521683403E-2"/>
                </patternFill>
              </fill>
            </x14:dxf>
          </x14:cfRule>
          <x14:cfRule type="containsText" priority="550" operator="containsText" id="{2F2F1030-A93F-4284-BDDC-9C16098FB547}">
            <xm:f>NOT(ISERROR(SEARCH(Auxiliar!$B$22,I193)))</xm:f>
            <xm:f>Auxiliar!$B$22</xm:f>
            <x14:dxf>
              <font>
                <b/>
                <i val="0"/>
                <color rgb="FFC00000"/>
              </font>
              <fill>
                <patternFill>
                  <bgColor theme="4" tint="0.79998168889431442"/>
                </patternFill>
              </fill>
            </x14:dxf>
          </x14:cfRule>
          <x14:cfRule type="containsText" priority="551" operator="containsText" id="{8B608662-470C-4F3E-9E18-1AFCEE672B2F}">
            <xm:f>NOT(ISERROR(SEARCH(Auxiliar!$B$19,I193)))</xm:f>
            <xm:f>Auxiliar!$B$19</xm:f>
            <x14:dxf>
              <font>
                <b/>
                <i val="0"/>
                <color theme="9" tint="-0.499984740745262"/>
              </font>
              <fill>
                <patternFill>
                  <bgColor theme="9" tint="0.79998168889431442"/>
                </patternFill>
              </fill>
            </x14:dxf>
          </x14:cfRule>
          <x14:cfRule type="containsText" priority="552" operator="containsText" id="{7629F55A-D9CB-4BF4-A52D-9E00F0CCDEF2}">
            <xm:f>NOT(ISERROR(SEARCH(Auxiliar!$B$16,I193)))</xm:f>
            <xm:f>Auxiliar!$B$16</xm:f>
            <x14:dxf>
              <font>
                <b/>
                <i val="0"/>
                <color theme="7"/>
              </font>
              <fill>
                <patternFill>
                  <bgColor theme="7" tint="0.79998168889431442"/>
                </patternFill>
              </fill>
            </x14:dxf>
          </x14:cfRule>
          <xm:sqref>I193:I195</xm:sqref>
        </x14:conditionalFormatting>
        <x14:conditionalFormatting xmlns:xm="http://schemas.microsoft.com/office/excel/2006/main">
          <x14:cfRule type="containsText" priority="271" operator="containsText" id="{680189A3-E553-4E28-88AF-4BE37876E399}">
            <xm:f>NOT(ISERROR(SEARCH(Auxiliar!$B$21,I224)))</xm:f>
            <xm:f>Auxiliar!$B$21</xm:f>
            <x14:dxf>
              <font>
                <b/>
                <i val="0"/>
                <color rgb="FFFFC000"/>
              </font>
              <fill>
                <patternFill>
                  <bgColor theme="9" tint="0.59996337778862885"/>
                </patternFill>
              </fill>
            </x14:dxf>
          </x14:cfRule>
          <x14:cfRule type="cellIs" priority="272" operator="equal" id="{837D1480-3614-407B-A9D1-E2F5BA61EA3D}">
            <xm:f>Auxiliar!$B$24</xm:f>
            <x14:dxf>
              <font>
                <b/>
                <i val="0"/>
                <color theme="1"/>
              </font>
              <fill>
                <patternFill patternType="darkUp">
                  <bgColor theme="0"/>
                </patternFill>
              </fill>
            </x14:dxf>
          </x14:cfRule>
          <x14:cfRule type="cellIs" priority="273" operator="equal" id="{782D49B3-623A-4DF5-8308-75A6F81A19FD}">
            <xm:f>Auxiliar!$B$18</xm:f>
            <x14:dxf>
              <font>
                <b/>
                <i val="0"/>
                <color theme="0" tint="-0.499984740745262"/>
              </font>
              <fill>
                <patternFill>
                  <bgColor theme="0" tint="-4.9989318521683403E-2"/>
                </patternFill>
              </fill>
            </x14:dxf>
          </x14:cfRule>
          <x14:cfRule type="containsText" priority="274" operator="containsText" id="{C205C645-60BD-4A28-A3C2-A05369D77106}">
            <xm:f>NOT(ISERROR(SEARCH(Auxiliar!$B$22,I224)))</xm:f>
            <xm:f>Auxiliar!$B$22</xm:f>
            <x14:dxf>
              <font>
                <b/>
                <i val="0"/>
                <color rgb="FFC00000"/>
              </font>
              <fill>
                <patternFill>
                  <bgColor theme="4" tint="0.79998168889431442"/>
                </patternFill>
              </fill>
            </x14:dxf>
          </x14:cfRule>
          <x14:cfRule type="containsText" priority="275" operator="containsText" id="{3B79FD3F-1308-4A72-955E-634AFEEBC48D}">
            <xm:f>NOT(ISERROR(SEARCH(Auxiliar!$B$19,I224)))</xm:f>
            <xm:f>Auxiliar!$B$19</xm:f>
            <x14:dxf>
              <font>
                <b/>
                <i val="0"/>
                <color theme="9" tint="-0.499984740745262"/>
              </font>
              <fill>
                <patternFill>
                  <bgColor theme="9" tint="0.79998168889431442"/>
                </patternFill>
              </fill>
            </x14:dxf>
          </x14:cfRule>
          <x14:cfRule type="containsText" priority="276" operator="containsText" id="{26A20443-BC57-4315-9725-5F704346CF3C}">
            <xm:f>NOT(ISERROR(SEARCH(Auxiliar!$B$16,I224)))</xm:f>
            <xm:f>Auxiliar!$B$16</xm:f>
            <x14:dxf>
              <font>
                <b/>
                <i val="0"/>
                <color theme="7"/>
              </font>
              <fill>
                <patternFill>
                  <bgColor theme="7" tint="0.79998168889431442"/>
                </patternFill>
              </fill>
            </x14:dxf>
          </x14:cfRule>
          <xm:sqref>I224:I226 I291:I294 I318:I320 I663:I685 I245:I247</xm:sqref>
        </x14:conditionalFormatting>
        <x14:conditionalFormatting xmlns:xm="http://schemas.microsoft.com/office/excel/2006/main">
          <x14:cfRule type="containsText" priority="253" operator="containsText" id="{BA88C474-7CD5-48E4-BBD7-168BDC558FC6}">
            <xm:f>NOT(ISERROR(SEARCH(Auxiliar!$B$21,I393)))</xm:f>
            <xm:f>Auxiliar!$B$21</xm:f>
            <x14:dxf>
              <font>
                <b/>
                <i val="0"/>
                <color rgb="FFFFC000"/>
              </font>
              <fill>
                <patternFill>
                  <bgColor theme="9" tint="0.59996337778862885"/>
                </patternFill>
              </fill>
            </x14:dxf>
          </x14:cfRule>
          <x14:cfRule type="cellIs" priority="254" operator="equal" id="{09D83F8A-0668-4607-A721-73C22171BC18}">
            <xm:f>Auxiliar!$B$24</xm:f>
            <x14:dxf>
              <font>
                <b/>
                <i val="0"/>
                <color theme="1"/>
              </font>
              <fill>
                <patternFill patternType="darkUp">
                  <bgColor theme="0"/>
                </patternFill>
              </fill>
            </x14:dxf>
          </x14:cfRule>
          <x14:cfRule type="cellIs" priority="255" operator="equal" id="{630BCF05-930B-451C-86BD-163F900C7CF1}">
            <xm:f>Auxiliar!$B$18</xm:f>
            <x14:dxf>
              <font>
                <b/>
                <i val="0"/>
                <color theme="0" tint="-0.499984740745262"/>
              </font>
              <fill>
                <patternFill>
                  <bgColor theme="0" tint="-4.9989318521683403E-2"/>
                </patternFill>
              </fill>
            </x14:dxf>
          </x14:cfRule>
          <x14:cfRule type="containsText" priority="256" operator="containsText" id="{BF81759B-9A73-4F4E-A14D-5B0AFAE1F960}">
            <xm:f>NOT(ISERROR(SEARCH(Auxiliar!$B$22,I393)))</xm:f>
            <xm:f>Auxiliar!$B$22</xm:f>
            <x14:dxf>
              <font>
                <b/>
                <i val="0"/>
                <color rgb="FFC00000"/>
              </font>
              <fill>
                <patternFill>
                  <bgColor theme="4" tint="0.79998168889431442"/>
                </patternFill>
              </fill>
            </x14:dxf>
          </x14:cfRule>
          <x14:cfRule type="containsText" priority="257" operator="containsText" id="{11F071DA-A70A-402B-BA4D-93B21A89D57D}">
            <xm:f>NOT(ISERROR(SEARCH(Auxiliar!$B$19,I393)))</xm:f>
            <xm:f>Auxiliar!$B$19</xm:f>
            <x14:dxf>
              <font>
                <b/>
                <i val="0"/>
                <color theme="9" tint="-0.499984740745262"/>
              </font>
              <fill>
                <patternFill>
                  <bgColor theme="9" tint="0.79998168889431442"/>
                </patternFill>
              </fill>
            </x14:dxf>
          </x14:cfRule>
          <x14:cfRule type="containsText" priority="258" operator="containsText" id="{936ADC1F-ED34-4A69-B09A-51B306E204CC}">
            <xm:f>NOT(ISERROR(SEARCH(Auxiliar!$B$16,I393)))</xm:f>
            <xm:f>Auxiliar!$B$16</xm:f>
            <x14:dxf>
              <font>
                <b/>
                <i val="0"/>
                <color theme="7"/>
              </font>
              <fill>
                <patternFill>
                  <bgColor theme="7" tint="0.79998168889431442"/>
                </patternFill>
              </fill>
            </x14:dxf>
          </x14:cfRule>
          <xm:sqref>I393:I413 I416:I417</xm:sqref>
        </x14:conditionalFormatting>
        <x14:conditionalFormatting xmlns:xm="http://schemas.microsoft.com/office/excel/2006/main">
          <x14:cfRule type="containsText" priority="307" operator="containsText" id="{6DE85724-2EE4-4C5C-BFE4-5CDF139191EE}">
            <xm:f>NOT(ISERROR(SEARCH(Auxiliar!$B$21,I1149)))</xm:f>
            <xm:f>Auxiliar!$B$21</xm:f>
            <x14:dxf>
              <font>
                <b/>
                <i val="0"/>
                <color rgb="FFFFC000"/>
              </font>
              <fill>
                <patternFill>
                  <bgColor theme="9" tint="0.59996337778862885"/>
                </patternFill>
              </fill>
            </x14:dxf>
          </x14:cfRule>
          <x14:cfRule type="cellIs" priority="308" operator="equal" id="{108BBB59-B3A9-4718-AE41-245162C547B8}">
            <xm:f>Auxiliar!$B$24</xm:f>
            <x14:dxf>
              <font>
                <b/>
                <i val="0"/>
                <color theme="1"/>
              </font>
              <fill>
                <patternFill patternType="darkUp">
                  <bgColor theme="0"/>
                </patternFill>
              </fill>
            </x14:dxf>
          </x14:cfRule>
          <x14:cfRule type="cellIs" priority="309" operator="equal" id="{9568F5E2-6C96-435A-A8A4-37A212A788A8}">
            <xm:f>Auxiliar!$B$18</xm:f>
            <x14:dxf>
              <font>
                <b/>
                <i val="0"/>
                <color theme="0" tint="-0.499984740745262"/>
              </font>
              <fill>
                <patternFill>
                  <bgColor theme="0" tint="-4.9989318521683403E-2"/>
                </patternFill>
              </fill>
            </x14:dxf>
          </x14:cfRule>
          <x14:cfRule type="containsText" priority="310" operator="containsText" id="{8553F79C-55B9-4EB5-8FD1-CC23872287B0}">
            <xm:f>NOT(ISERROR(SEARCH(Auxiliar!$B$22,I1149)))</xm:f>
            <xm:f>Auxiliar!$B$22</xm:f>
            <x14:dxf>
              <font>
                <b/>
                <i val="0"/>
                <color rgb="FFC00000"/>
              </font>
              <fill>
                <patternFill>
                  <bgColor theme="4" tint="0.79998168889431442"/>
                </patternFill>
              </fill>
            </x14:dxf>
          </x14:cfRule>
          <x14:cfRule type="containsText" priority="311" operator="containsText" id="{E65FF1A7-1132-4734-B2E9-49C1BE194A2C}">
            <xm:f>NOT(ISERROR(SEARCH(Auxiliar!$B$19,I1149)))</xm:f>
            <xm:f>Auxiliar!$B$19</xm:f>
            <x14:dxf>
              <font>
                <b/>
                <i val="0"/>
                <color theme="9" tint="-0.499984740745262"/>
              </font>
              <fill>
                <patternFill>
                  <bgColor theme="9" tint="0.79998168889431442"/>
                </patternFill>
              </fill>
            </x14:dxf>
          </x14:cfRule>
          <x14:cfRule type="containsText" priority="312" operator="containsText" id="{AEFD7584-5373-4489-BD92-567B86236418}">
            <xm:f>NOT(ISERROR(SEARCH(Auxiliar!$B$16,I1149)))</xm:f>
            <xm:f>Auxiliar!$B$16</xm:f>
            <x14:dxf>
              <font>
                <b/>
                <i val="0"/>
                <color theme="7"/>
              </font>
              <fill>
                <patternFill>
                  <bgColor theme="7" tint="0.79998168889431442"/>
                </patternFill>
              </fill>
            </x14:dxf>
          </x14:cfRule>
          <xm:sqref>I1149:I1283</xm:sqref>
        </x14:conditionalFormatting>
        <x14:conditionalFormatting xmlns:xm="http://schemas.microsoft.com/office/excel/2006/main">
          <x14:cfRule type="containsText" priority="235" operator="containsText" id="{2B892DA0-DAF7-421F-B66B-0FB6F4150541}">
            <xm:f>NOT(ISERROR(SEARCH(Auxiliar!$B$21,I1305)))</xm:f>
            <xm:f>Auxiliar!$B$21</xm:f>
            <x14:dxf>
              <font>
                <b/>
                <i val="0"/>
                <color rgb="FFFFC000"/>
              </font>
              <fill>
                <patternFill>
                  <bgColor theme="9" tint="0.59996337778862885"/>
                </patternFill>
              </fill>
            </x14:dxf>
          </x14:cfRule>
          <x14:cfRule type="cellIs" priority="236" operator="equal" id="{6F6FE95C-2911-46F9-A476-E59F486686B1}">
            <xm:f>Auxiliar!$B$24</xm:f>
            <x14:dxf>
              <font>
                <b/>
                <i val="0"/>
                <color theme="1"/>
              </font>
              <fill>
                <patternFill patternType="darkUp">
                  <bgColor theme="0"/>
                </patternFill>
              </fill>
            </x14:dxf>
          </x14:cfRule>
          <x14:cfRule type="cellIs" priority="237" operator="equal" id="{33721898-A6FE-4D41-9A0F-2B8F543A091F}">
            <xm:f>Auxiliar!$B$18</xm:f>
            <x14:dxf>
              <font>
                <b/>
                <i val="0"/>
                <color theme="0" tint="-0.499984740745262"/>
              </font>
              <fill>
                <patternFill>
                  <bgColor theme="0" tint="-4.9989318521683403E-2"/>
                </patternFill>
              </fill>
            </x14:dxf>
          </x14:cfRule>
          <x14:cfRule type="containsText" priority="238" operator="containsText" id="{42622CAB-BE97-4E36-B248-D2206C42A982}">
            <xm:f>NOT(ISERROR(SEARCH(Auxiliar!$B$22,I1305)))</xm:f>
            <xm:f>Auxiliar!$B$22</xm:f>
            <x14:dxf>
              <font>
                <b/>
                <i val="0"/>
                <color rgb="FFC00000"/>
              </font>
              <fill>
                <patternFill>
                  <bgColor theme="4" tint="0.79998168889431442"/>
                </patternFill>
              </fill>
            </x14:dxf>
          </x14:cfRule>
          <x14:cfRule type="containsText" priority="239" operator="containsText" id="{4A39AED0-8D8A-4564-B76A-B8A0F0577707}">
            <xm:f>NOT(ISERROR(SEARCH(Auxiliar!$B$19,I1305)))</xm:f>
            <xm:f>Auxiliar!$B$19</xm:f>
            <x14:dxf>
              <font>
                <b/>
                <i val="0"/>
                <color theme="9" tint="-0.499984740745262"/>
              </font>
              <fill>
                <patternFill>
                  <bgColor theme="9" tint="0.79998168889431442"/>
                </patternFill>
              </fill>
            </x14:dxf>
          </x14:cfRule>
          <x14:cfRule type="containsText" priority="240" operator="containsText" id="{D649B6A0-A2C9-48EC-9B7E-43B5FD640F24}">
            <xm:f>NOT(ISERROR(SEARCH(Auxiliar!$B$16,I1305)))</xm:f>
            <xm:f>Auxiliar!$B$16</xm:f>
            <x14:dxf>
              <font>
                <b/>
                <i val="0"/>
                <color theme="7"/>
              </font>
              <fill>
                <patternFill>
                  <bgColor theme="7" tint="0.79998168889431442"/>
                </patternFill>
              </fill>
            </x14:dxf>
          </x14:cfRule>
          <xm:sqref>I1305:I1323</xm:sqref>
        </x14:conditionalFormatting>
        <x14:conditionalFormatting xmlns:xm="http://schemas.microsoft.com/office/excel/2006/main">
          <x14:cfRule type="containsText" priority="1081" operator="containsText" id="{A0E353A4-BC40-460B-BB47-B57EC0BDDA87}">
            <xm:f>NOT(ISERROR(SEARCH(Auxiliar!$B$21,I419)))</xm:f>
            <xm:f>Auxiliar!$B$21</xm:f>
            <x14:dxf>
              <font>
                <b/>
                <i val="0"/>
                <color rgb="FFFFC000"/>
              </font>
              <fill>
                <patternFill>
                  <bgColor theme="9" tint="0.59996337778862885"/>
                </patternFill>
              </fill>
            </x14:dxf>
          </x14:cfRule>
          <xm:sqref>I1333:I1377 I1532 J663:J685 J1149:J1283 I1284:J1286 J1287:J1289 J1305:J1332 J1334:J1404 J1473:J1502 I1503:J1510 J1511 I1290:J1295 I1333:J1333 I419:J662 I686:J691 I698:J706 J692:J697 J707:J712 I1299:J1304 J1296:J1298 J1429:J1435 I1436:J1472 I713:J801 I824:J1148 I1405:J1425 I1427:J1428 J1426</xm:sqref>
        </x14:conditionalFormatting>
        <x14:conditionalFormatting xmlns:xm="http://schemas.microsoft.com/office/excel/2006/main">
          <x14:cfRule type="containsText" priority="523" operator="containsText" id="{818B4E3F-A611-4A6A-A815-B804D1E3C747}">
            <xm:f>NOT(ISERROR(SEARCH(Auxiliar!$B$21,I1334)))</xm:f>
            <xm:f>Auxiliar!$B$21</xm:f>
            <x14:dxf>
              <font>
                <b/>
                <i val="0"/>
                <color rgb="FFFFC000"/>
              </font>
              <fill>
                <patternFill>
                  <bgColor theme="9" tint="0.59996337778862885"/>
                </patternFill>
              </fill>
            </x14:dxf>
          </x14:cfRule>
          <x14:cfRule type="cellIs" priority="524" operator="equal" id="{49F42230-2FF0-42CE-B047-38469DF4FF91}">
            <xm:f>Auxiliar!$B$24</xm:f>
            <x14:dxf>
              <font>
                <b/>
                <i val="0"/>
                <color theme="1"/>
              </font>
              <fill>
                <patternFill patternType="darkUp">
                  <bgColor theme="0"/>
                </patternFill>
              </fill>
            </x14:dxf>
          </x14:cfRule>
          <x14:cfRule type="cellIs" priority="525" operator="equal" id="{340814F4-4DC4-4851-925E-2EA110D79ECA}">
            <xm:f>Auxiliar!$B$18</xm:f>
            <x14:dxf>
              <font>
                <b/>
                <i val="0"/>
                <color theme="0" tint="-0.499984740745262"/>
              </font>
              <fill>
                <patternFill>
                  <bgColor theme="0" tint="-4.9989318521683403E-2"/>
                </patternFill>
              </fill>
            </x14:dxf>
          </x14:cfRule>
          <x14:cfRule type="containsText" priority="526" operator="containsText" id="{E28141F3-5A6E-41CE-B06F-37F11754FF33}">
            <xm:f>NOT(ISERROR(SEARCH(Auxiliar!$B$22,I1334)))</xm:f>
            <xm:f>Auxiliar!$B$22</xm:f>
            <x14:dxf>
              <font>
                <b/>
                <i val="0"/>
                <color rgb="FFC00000"/>
              </font>
              <fill>
                <patternFill>
                  <bgColor theme="4" tint="0.79998168889431442"/>
                </patternFill>
              </fill>
            </x14:dxf>
          </x14:cfRule>
          <x14:cfRule type="containsText" priority="527" operator="containsText" id="{FFEC3B97-FFCD-4F44-80C1-F8E1BE955C8F}">
            <xm:f>NOT(ISERROR(SEARCH(Auxiliar!$B$19,I1334)))</xm:f>
            <xm:f>Auxiliar!$B$19</xm:f>
            <x14:dxf>
              <font>
                <b/>
                <i val="0"/>
                <color theme="9" tint="-0.499984740745262"/>
              </font>
              <fill>
                <patternFill>
                  <bgColor theme="9" tint="0.79998168889431442"/>
                </patternFill>
              </fill>
            </x14:dxf>
          </x14:cfRule>
          <x14:cfRule type="containsText" priority="528" operator="containsText" id="{CD308544-9CE6-4FAC-9303-AD8028CE88C4}">
            <xm:f>NOT(ISERROR(SEARCH(Auxiliar!$B$16,I1334)))</xm:f>
            <xm:f>Auxiliar!$B$16</xm:f>
            <x14:dxf>
              <font>
                <b/>
                <i val="0"/>
                <color theme="7"/>
              </font>
              <fill>
                <patternFill>
                  <bgColor theme="7" tint="0.79998168889431442"/>
                </patternFill>
              </fill>
            </x14:dxf>
          </x14:cfRule>
          <xm:sqref>I1334:I1404</xm:sqref>
        </x14:conditionalFormatting>
        <x14:conditionalFormatting xmlns:xm="http://schemas.microsoft.com/office/excel/2006/main">
          <x14:cfRule type="containsText" priority="277" operator="containsText" id="{780D834D-C977-4B94-81EF-A8A47D289907}">
            <xm:f>NOT(ISERROR(SEARCH(Auxiliar!$B$21,I1433)))</xm:f>
            <xm:f>Auxiliar!$B$21</xm:f>
            <x14:dxf>
              <font>
                <b/>
                <i val="0"/>
                <color rgb="FFFFC000"/>
              </font>
              <fill>
                <patternFill>
                  <bgColor theme="9" tint="0.59996337778862885"/>
                </patternFill>
              </fill>
            </x14:dxf>
          </x14:cfRule>
          <x14:cfRule type="cellIs" priority="278" operator="equal" id="{A6EB2312-FB92-41F7-9CCA-3B81CF6C2FD3}">
            <xm:f>Auxiliar!$B$24</xm:f>
            <x14:dxf>
              <font>
                <b/>
                <i val="0"/>
                <color theme="1"/>
              </font>
              <fill>
                <patternFill patternType="darkUp">
                  <bgColor theme="0"/>
                </patternFill>
              </fill>
            </x14:dxf>
          </x14:cfRule>
          <x14:cfRule type="cellIs" priority="279" operator="equal" id="{BB030E3C-F572-4B6B-8325-D47BA2E295D4}">
            <xm:f>Auxiliar!$B$18</xm:f>
            <x14:dxf>
              <font>
                <b/>
                <i val="0"/>
                <color theme="0" tint="-0.499984740745262"/>
              </font>
              <fill>
                <patternFill>
                  <bgColor theme="0" tint="-4.9989318521683403E-2"/>
                </patternFill>
              </fill>
            </x14:dxf>
          </x14:cfRule>
          <x14:cfRule type="containsText" priority="280" operator="containsText" id="{5546A8F1-D653-4D26-9A1D-7DFDB5699A2A}">
            <xm:f>NOT(ISERROR(SEARCH(Auxiliar!$B$22,I1433)))</xm:f>
            <xm:f>Auxiliar!$B$22</xm:f>
            <x14:dxf>
              <font>
                <b/>
                <i val="0"/>
                <color rgb="FFC00000"/>
              </font>
              <fill>
                <patternFill>
                  <bgColor theme="4" tint="0.79998168889431442"/>
                </patternFill>
              </fill>
            </x14:dxf>
          </x14:cfRule>
          <x14:cfRule type="containsText" priority="281" operator="containsText" id="{D0888343-A986-48A6-BF2A-D69C985DC724}">
            <xm:f>NOT(ISERROR(SEARCH(Auxiliar!$B$19,I1433)))</xm:f>
            <xm:f>Auxiliar!$B$19</xm:f>
            <x14:dxf>
              <font>
                <b/>
                <i val="0"/>
                <color theme="9" tint="-0.499984740745262"/>
              </font>
              <fill>
                <patternFill>
                  <bgColor theme="9" tint="0.79998168889431442"/>
                </patternFill>
              </fill>
            </x14:dxf>
          </x14:cfRule>
          <x14:cfRule type="containsText" priority="282" operator="containsText" id="{29044AF0-D435-46E7-A14A-FF511F53368C}">
            <xm:f>NOT(ISERROR(SEARCH(Auxiliar!$B$16,I1433)))</xm:f>
            <xm:f>Auxiliar!$B$16</xm:f>
            <x14:dxf>
              <font>
                <b/>
                <i val="0"/>
                <color theme="7"/>
              </font>
              <fill>
                <patternFill>
                  <bgColor theme="7" tint="0.79998168889431442"/>
                </patternFill>
              </fill>
            </x14:dxf>
          </x14:cfRule>
          <xm:sqref>I1433:I1435</xm:sqref>
        </x14:conditionalFormatting>
        <x14:conditionalFormatting xmlns:xm="http://schemas.microsoft.com/office/excel/2006/main">
          <x14:cfRule type="containsText" priority="217" operator="containsText" id="{6DA62849-05D4-40B1-87CE-BD01F462C809}">
            <xm:f>NOT(ISERROR(SEARCH(Auxiliar!$B$21,I1473)))</xm:f>
            <xm:f>Auxiliar!$B$21</xm:f>
            <x14:dxf>
              <font>
                <b/>
                <i val="0"/>
                <color rgb="FFFFC000"/>
              </font>
              <fill>
                <patternFill>
                  <bgColor theme="9" tint="0.59996337778862885"/>
                </patternFill>
              </fill>
            </x14:dxf>
          </x14:cfRule>
          <x14:cfRule type="cellIs" priority="218" operator="equal" id="{1E79D505-B910-4D78-97DA-7353733B54BB}">
            <xm:f>Auxiliar!$B$24</xm:f>
            <x14:dxf>
              <font>
                <b/>
                <i val="0"/>
                <color theme="1"/>
              </font>
              <fill>
                <patternFill patternType="darkUp">
                  <bgColor theme="0"/>
                </patternFill>
              </fill>
            </x14:dxf>
          </x14:cfRule>
          <x14:cfRule type="cellIs" priority="219" operator="equal" id="{00DE0B36-B6EA-4EC5-9098-B394F10BE65F}">
            <xm:f>Auxiliar!$B$18</xm:f>
            <x14:dxf>
              <font>
                <b/>
                <i val="0"/>
                <color theme="0" tint="-0.499984740745262"/>
              </font>
              <fill>
                <patternFill>
                  <bgColor theme="0" tint="-4.9989318521683403E-2"/>
                </patternFill>
              </fill>
            </x14:dxf>
          </x14:cfRule>
          <x14:cfRule type="containsText" priority="220" operator="containsText" id="{14C9609C-8350-4E36-BC39-9E172C68CB4E}">
            <xm:f>NOT(ISERROR(SEARCH(Auxiliar!$B$22,I1473)))</xm:f>
            <xm:f>Auxiliar!$B$22</xm:f>
            <x14:dxf>
              <font>
                <b/>
                <i val="0"/>
                <color rgb="FFC00000"/>
              </font>
              <fill>
                <patternFill>
                  <bgColor theme="4" tint="0.79998168889431442"/>
                </patternFill>
              </fill>
            </x14:dxf>
          </x14:cfRule>
          <x14:cfRule type="containsText" priority="221" operator="containsText" id="{D7B4F9CC-95FD-4E13-BB0C-D7A0FB81481D}">
            <xm:f>NOT(ISERROR(SEARCH(Auxiliar!$B$19,I1473)))</xm:f>
            <xm:f>Auxiliar!$B$19</xm:f>
            <x14:dxf>
              <font>
                <b/>
                <i val="0"/>
                <color theme="9" tint="-0.499984740745262"/>
              </font>
              <fill>
                <patternFill>
                  <bgColor theme="9" tint="0.79998168889431442"/>
                </patternFill>
              </fill>
            </x14:dxf>
          </x14:cfRule>
          <x14:cfRule type="containsText" priority="222" operator="containsText" id="{F5F0373A-93E7-41AB-B49D-1026D0BC279A}">
            <xm:f>NOT(ISERROR(SEARCH(Auxiliar!$B$16,I1473)))</xm:f>
            <xm:f>Auxiliar!$B$16</xm:f>
            <x14:dxf>
              <font>
                <b/>
                <i val="0"/>
                <color theme="7"/>
              </font>
              <fill>
                <patternFill>
                  <bgColor theme="7" tint="0.79998168889431442"/>
                </patternFill>
              </fill>
            </x14:dxf>
          </x14:cfRule>
          <xm:sqref>I1482 I1498:I1502 I1492:I1496 I1473:I1480</xm:sqref>
        </x14:conditionalFormatting>
        <x14:conditionalFormatting xmlns:xm="http://schemas.microsoft.com/office/excel/2006/main">
          <x14:cfRule type="containsText" priority="295" operator="containsText" id="{910038CB-D1D6-461C-9800-1C7E617EFE24}">
            <xm:f>NOT(ISERROR(SEARCH(Auxiliar!$B$21,I1511)))</xm:f>
            <xm:f>Auxiliar!$B$21</xm:f>
            <x14:dxf>
              <font>
                <b/>
                <i val="0"/>
                <color rgb="FFFFC000"/>
              </font>
              <fill>
                <patternFill>
                  <bgColor theme="9" tint="0.59996337778862885"/>
                </patternFill>
              </fill>
            </x14:dxf>
          </x14:cfRule>
          <x14:cfRule type="cellIs" priority="296" operator="equal" id="{25D71A38-C4F5-4732-B7AB-6520ECA4FB07}">
            <xm:f>Auxiliar!$B$24</xm:f>
            <x14:dxf>
              <font>
                <b/>
                <i val="0"/>
                <color theme="1"/>
              </font>
              <fill>
                <patternFill patternType="darkUp">
                  <bgColor theme="0"/>
                </patternFill>
              </fill>
            </x14:dxf>
          </x14:cfRule>
          <x14:cfRule type="cellIs" priority="297" operator="equal" id="{8B1AAD81-3C08-40FA-906E-0B19D6772275}">
            <xm:f>Auxiliar!$B$18</xm:f>
            <x14:dxf>
              <font>
                <b/>
                <i val="0"/>
                <color theme="0" tint="-0.499984740745262"/>
              </font>
              <fill>
                <patternFill>
                  <bgColor theme="0" tint="-4.9989318521683403E-2"/>
                </patternFill>
              </fill>
            </x14:dxf>
          </x14:cfRule>
          <x14:cfRule type="containsText" priority="298" operator="containsText" id="{9B54D405-4BA5-4403-8670-C95CA75F5233}">
            <xm:f>NOT(ISERROR(SEARCH(Auxiliar!$B$22,I1511)))</xm:f>
            <xm:f>Auxiliar!$B$22</xm:f>
            <x14:dxf>
              <font>
                <b/>
                <i val="0"/>
                <color rgb="FFC00000"/>
              </font>
              <fill>
                <patternFill>
                  <bgColor theme="4" tint="0.79998168889431442"/>
                </patternFill>
              </fill>
            </x14:dxf>
          </x14:cfRule>
          <x14:cfRule type="containsText" priority="299" operator="containsText" id="{95BF54D7-8ADA-477D-9E49-7C0E46B3BB4F}">
            <xm:f>NOT(ISERROR(SEARCH(Auxiliar!$B$19,I1511)))</xm:f>
            <xm:f>Auxiliar!$B$19</xm:f>
            <x14:dxf>
              <font>
                <b/>
                <i val="0"/>
                <color theme="9" tint="-0.499984740745262"/>
              </font>
              <fill>
                <patternFill>
                  <bgColor theme="9" tint="0.79998168889431442"/>
                </patternFill>
              </fill>
            </x14:dxf>
          </x14:cfRule>
          <x14:cfRule type="containsText" priority="300" operator="containsText" id="{F3F3BE24-A38E-4AB8-879A-BA75729B9D0F}">
            <xm:f>NOT(ISERROR(SEARCH(Auxiliar!$B$16,I1511)))</xm:f>
            <xm:f>Auxiliar!$B$16</xm:f>
            <x14:dxf>
              <font>
                <b/>
                <i val="0"/>
                <color theme="7"/>
              </font>
              <fill>
                <patternFill>
                  <bgColor theme="7" tint="0.79998168889431442"/>
                </patternFill>
              </fill>
            </x14:dxf>
          </x14:cfRule>
          <xm:sqref>I1511</xm:sqref>
        </x14:conditionalFormatting>
        <x14:conditionalFormatting xmlns:xm="http://schemas.microsoft.com/office/excel/2006/main">
          <x14:cfRule type="containsText" priority="355" operator="containsText" id="{192E6ADB-36E7-4F12-99CD-3DDBE5DB687B}">
            <xm:f>NOT(ISERROR(SEARCH(Auxiliar!$B$21,I1524)))</xm:f>
            <xm:f>Auxiliar!$B$21</xm:f>
            <x14:dxf>
              <font>
                <b/>
                <i val="0"/>
                <color rgb="FFFFC000"/>
              </font>
              <fill>
                <patternFill>
                  <bgColor theme="9" tint="0.59996337778862885"/>
                </patternFill>
              </fill>
            </x14:dxf>
          </x14:cfRule>
          <xm:sqref>I1524:I1532</xm:sqref>
        </x14:conditionalFormatting>
        <x14:conditionalFormatting xmlns:xm="http://schemas.microsoft.com/office/excel/2006/main">
          <x14:cfRule type="containsText" priority="931" operator="containsText" id="{22EE3303-E871-4FDC-B876-3AC40B4BB29E}">
            <xm:f>NOT(ISERROR(SEARCH(Auxiliar!$B$21,I9)))</xm:f>
            <xm:f>Auxiliar!$B$21</xm:f>
            <x14:dxf>
              <font>
                <b/>
                <i val="0"/>
                <color rgb="FFFFC000"/>
              </font>
              <fill>
                <patternFill>
                  <bgColor theme="9" tint="0.59996337778862885"/>
                </patternFill>
              </fill>
            </x14:dxf>
          </x14:cfRule>
          <x14:cfRule type="cellIs" priority="932" operator="equal" id="{A75C795E-F66D-4DC2-A9AF-15BDCED7DA25}">
            <xm:f>Auxiliar!$B$24</xm:f>
            <x14:dxf>
              <font>
                <b/>
                <i val="0"/>
                <color theme="1"/>
              </font>
              <fill>
                <patternFill patternType="darkUp">
                  <bgColor theme="0"/>
                </patternFill>
              </fill>
            </x14:dxf>
          </x14:cfRule>
          <x14:cfRule type="cellIs" priority="933" operator="equal" id="{68C7A1CE-73C7-4D91-A2AC-1493C4E277DD}">
            <xm:f>Auxiliar!$B$18</xm:f>
            <x14:dxf>
              <font>
                <b/>
                <i val="0"/>
                <color theme="0" tint="-0.499984740745262"/>
              </font>
              <fill>
                <patternFill>
                  <bgColor theme="0" tint="-4.9989318521683403E-2"/>
                </patternFill>
              </fill>
            </x14:dxf>
          </x14:cfRule>
          <x14:cfRule type="containsText" priority="934" operator="containsText" id="{6A2CADA4-F650-4DEF-8995-04741341356E}">
            <xm:f>NOT(ISERROR(SEARCH(Auxiliar!$B$22,I9)))</xm:f>
            <xm:f>Auxiliar!$B$22</xm:f>
            <x14:dxf>
              <font>
                <b/>
                <i val="0"/>
                <color rgb="FFC00000"/>
              </font>
              <fill>
                <patternFill>
                  <bgColor theme="4" tint="0.79998168889431442"/>
                </patternFill>
              </fill>
            </x14:dxf>
          </x14:cfRule>
          <x14:cfRule type="containsText" priority="935" operator="containsText" id="{9F3711CD-2F78-4222-B937-E9D50642D8CE}">
            <xm:f>NOT(ISERROR(SEARCH(Auxiliar!$B$19,I9)))</xm:f>
            <xm:f>Auxiliar!$B$19</xm:f>
            <x14:dxf>
              <font>
                <b/>
                <i val="0"/>
                <color theme="9" tint="-0.499984740745262"/>
              </font>
              <fill>
                <patternFill>
                  <bgColor theme="9" tint="0.79998168889431442"/>
                </patternFill>
              </fill>
            </x14:dxf>
          </x14:cfRule>
          <x14:cfRule type="containsText" priority="936" operator="containsText" id="{4E533A52-7B9B-43BD-B042-872B81470415}">
            <xm:f>NOT(ISERROR(SEARCH(Auxiliar!$B$16,I9)))</xm:f>
            <xm:f>Auxiliar!$B$16</xm:f>
            <x14:dxf>
              <font>
                <b/>
                <i val="0"/>
                <color theme="7"/>
              </font>
              <fill>
                <patternFill>
                  <bgColor theme="7" tint="0.79998168889431442"/>
                </patternFill>
              </fill>
            </x14:dxf>
          </x14:cfRule>
          <xm:sqref>I9:J9 J10:J11 I12:J192</xm:sqref>
        </x14:conditionalFormatting>
        <x14:conditionalFormatting xmlns:xm="http://schemas.microsoft.com/office/excel/2006/main">
          <x14:cfRule type="containsText" priority="1015" operator="containsText" id="{6928D489-0130-4A60-BE2B-1D9108B02454}">
            <xm:f>NOT(ISERROR(SEARCH(Auxiliar!$B$21,I196)))</xm:f>
            <xm:f>Auxiliar!$B$21</xm:f>
            <x14:dxf>
              <font>
                <b/>
                <i val="0"/>
                <color rgb="FFFFC000"/>
              </font>
              <fill>
                <patternFill>
                  <bgColor theme="9" tint="0.59996337778862885"/>
                </patternFill>
              </fill>
            </x14:dxf>
          </x14:cfRule>
          <x14:cfRule type="cellIs" priority="1016" operator="equal" id="{E2F14AF0-878C-4184-86EE-1EC72D11FF82}">
            <xm:f>Auxiliar!$B$24</xm:f>
            <x14:dxf>
              <font>
                <b/>
                <i val="0"/>
                <color theme="1"/>
              </font>
              <fill>
                <patternFill patternType="darkUp">
                  <bgColor theme="0"/>
                </patternFill>
              </fill>
            </x14:dxf>
          </x14:cfRule>
          <x14:cfRule type="cellIs" priority="1017" operator="equal" id="{662C2D77-73A6-422E-B043-D39190EAAFD3}">
            <xm:f>Auxiliar!$B$18</xm:f>
            <x14:dxf>
              <font>
                <b/>
                <i val="0"/>
                <color theme="0" tint="-0.499984740745262"/>
              </font>
              <fill>
                <patternFill>
                  <bgColor theme="0" tint="-4.9989318521683403E-2"/>
                </patternFill>
              </fill>
            </x14:dxf>
          </x14:cfRule>
          <x14:cfRule type="containsText" priority="1018" operator="containsText" id="{1C605820-AEBD-4208-9678-39797EC5D8B3}">
            <xm:f>NOT(ISERROR(SEARCH(Auxiliar!$B$22,I196)))</xm:f>
            <xm:f>Auxiliar!$B$22</xm:f>
            <x14:dxf>
              <font>
                <b/>
                <i val="0"/>
                <color rgb="FFC00000"/>
              </font>
              <fill>
                <patternFill>
                  <bgColor theme="4" tint="0.79998168889431442"/>
                </patternFill>
              </fill>
            </x14:dxf>
          </x14:cfRule>
          <x14:cfRule type="containsText" priority="1019" operator="containsText" id="{4B5AAE13-0E71-4FB3-8557-D3601D3E971D}">
            <xm:f>NOT(ISERROR(SEARCH(Auxiliar!$B$19,I196)))</xm:f>
            <xm:f>Auxiliar!$B$19</xm:f>
            <x14:dxf>
              <font>
                <b/>
                <i val="0"/>
                <color theme="9" tint="-0.499984740745262"/>
              </font>
              <fill>
                <patternFill>
                  <bgColor theme="9" tint="0.79998168889431442"/>
                </patternFill>
              </fill>
            </x14:dxf>
          </x14:cfRule>
          <x14:cfRule type="containsText" priority="1020" operator="containsText" id="{E1F4ABAD-4246-42AD-B2CD-8E341D15C381}">
            <xm:f>NOT(ISERROR(SEARCH(Auxiliar!$B$16,I196)))</xm:f>
            <xm:f>Auxiliar!$B$16</xm:f>
            <x14:dxf>
              <font>
                <b/>
                <i val="0"/>
                <color theme="7"/>
              </font>
              <fill>
                <patternFill>
                  <bgColor theme="7" tint="0.79998168889431442"/>
                </patternFill>
              </fill>
            </x14:dxf>
          </x14:cfRule>
          <xm:sqref>I196:J223 J224:J226 I227:J244 J245:J247 J291:J293 I294:J317 J318:J320 I321:J392</xm:sqref>
        </x14:conditionalFormatting>
        <x14:conditionalFormatting xmlns:xm="http://schemas.microsoft.com/office/excel/2006/main">
          <x14:cfRule type="cellIs" priority="1082" operator="equal" id="{461BEC2A-3AB6-4974-9160-0CC657CD83C0}">
            <xm:f>Auxiliar!$B$24</xm:f>
            <x14:dxf>
              <font>
                <b/>
                <i val="0"/>
                <color theme="1"/>
              </font>
              <fill>
                <patternFill patternType="darkUp">
                  <bgColor theme="0"/>
                </patternFill>
              </fill>
            </x14:dxf>
          </x14:cfRule>
          <x14:cfRule type="cellIs" priority="1549" operator="equal" id="{5CC18A3F-CC0C-4983-A19C-E91C49A3DB8A}">
            <xm:f>Auxiliar!$B$18</xm:f>
            <x14:dxf>
              <font>
                <b/>
                <i val="0"/>
                <color theme="0" tint="-0.499984740745262"/>
              </font>
              <fill>
                <patternFill>
                  <bgColor theme="0" tint="-4.9989318521683403E-2"/>
                </patternFill>
              </fill>
            </x14:dxf>
          </x14:cfRule>
          <x14:cfRule type="containsText" priority="1550" operator="containsText" id="{660301DE-C76B-41C9-A83A-298D08A1276D}">
            <xm:f>NOT(ISERROR(SEARCH(Auxiliar!$B$22,I419)))</xm:f>
            <xm:f>Auxiliar!$B$22</xm:f>
            <x14:dxf>
              <font>
                <b/>
                <i val="0"/>
                <color rgb="FFC00000"/>
              </font>
              <fill>
                <patternFill>
                  <bgColor theme="4" tint="0.79998168889431442"/>
                </patternFill>
              </fill>
            </x14:dxf>
          </x14:cfRule>
          <x14:cfRule type="containsText" priority="1551" operator="containsText" id="{E48215E9-5888-4D3F-A01B-A05864457930}">
            <xm:f>NOT(ISERROR(SEARCH(Auxiliar!$B$19,I419)))</xm:f>
            <xm:f>Auxiliar!$B$19</xm:f>
            <x14:dxf>
              <font>
                <b/>
                <i val="0"/>
                <color theme="9" tint="-0.499984740745262"/>
              </font>
              <fill>
                <patternFill>
                  <bgColor theme="9" tint="0.79998168889431442"/>
                </patternFill>
              </fill>
            </x14:dxf>
          </x14:cfRule>
          <x14:cfRule type="containsText" priority="1552" operator="containsText" id="{E24FE097-F3CC-4A48-80A2-F7619DECA0EF}">
            <xm:f>NOT(ISERROR(SEARCH(Auxiliar!$B$16,I419)))</xm:f>
            <xm:f>Auxiliar!$B$16</xm:f>
            <x14:dxf>
              <font>
                <b/>
                <i val="0"/>
                <color theme="7"/>
              </font>
              <fill>
                <patternFill>
                  <bgColor theme="7" tint="0.79998168889431442"/>
                </patternFill>
              </fill>
            </x14:dxf>
          </x14:cfRule>
          <xm:sqref>J663:J685 J1149:J1283 I1284:J1286 J1287:J1289 J1305:J1332 I1333:I1377 J1334:J1404 J1473:J1502 I1503:J1510 J1511 I1532 I1290:J1295 I1333:J1333 I419:J662 I686:J691 I698:J706 J692:J697 J707:J712 I1299:J1304 J1296:J1298 J1429:J1435 I1436:J1472 I713:J801 I824:J1148 I1405:J1425 I1427:J1428 J1426</xm:sqref>
        </x14:conditionalFormatting>
        <x14:conditionalFormatting xmlns:xm="http://schemas.microsoft.com/office/excel/2006/main">
          <x14:cfRule type="cellIs" priority="302" operator="equal" id="{CCD751C7-B7A2-4F98-8B22-D6FDAB936BE9}">
            <xm:f>Auxiliar!$B$24</xm:f>
            <x14:dxf>
              <font>
                <b/>
                <i val="0"/>
                <color theme="1"/>
              </font>
              <fill>
                <patternFill patternType="darkUp">
                  <bgColor theme="0"/>
                </patternFill>
              </fill>
            </x14:dxf>
          </x14:cfRule>
          <x14:cfRule type="cellIs" priority="303" operator="equal" id="{4D1BE949-1D0D-486A-8EBA-CAC34A73CAEF}">
            <xm:f>Auxiliar!$B$18</xm:f>
            <x14:dxf>
              <font>
                <b/>
                <i val="0"/>
                <color theme="0" tint="-0.499984740745262"/>
              </font>
              <fill>
                <patternFill>
                  <bgColor theme="0" tint="-4.9989318521683403E-2"/>
                </patternFill>
              </fill>
            </x14:dxf>
          </x14:cfRule>
          <x14:cfRule type="containsText" priority="304" operator="containsText" id="{213CA02B-DB6F-4539-AE1F-82CAEDC0E43C}">
            <xm:f>NOT(ISERROR(SEARCH(Auxiliar!$B$22,I1512)))</xm:f>
            <xm:f>Auxiliar!$B$22</xm:f>
            <x14:dxf>
              <font>
                <b/>
                <i val="0"/>
                <color rgb="FFC00000"/>
              </font>
              <fill>
                <patternFill>
                  <bgColor theme="4" tint="0.79998168889431442"/>
                </patternFill>
              </fill>
            </x14:dxf>
          </x14:cfRule>
          <x14:cfRule type="containsText" priority="305" operator="containsText" id="{8B057A44-2EBC-4603-8052-ED1722A2D2AF}">
            <xm:f>NOT(ISERROR(SEARCH(Auxiliar!$B$19,I1512)))</xm:f>
            <xm:f>Auxiliar!$B$19</xm:f>
            <x14:dxf>
              <font>
                <b/>
                <i val="0"/>
                <color theme="9" tint="-0.499984740745262"/>
              </font>
              <fill>
                <patternFill>
                  <bgColor theme="9" tint="0.79998168889431442"/>
                </patternFill>
              </fill>
            </x14:dxf>
          </x14:cfRule>
          <x14:cfRule type="containsText" priority="306" operator="containsText" id="{E27CF042-A6F2-447B-9BB5-6EFA806CD029}">
            <xm:f>NOT(ISERROR(SEARCH(Auxiliar!$B$16,I1512)))</xm:f>
            <xm:f>Auxiliar!$B$16</xm:f>
            <x14:dxf>
              <font>
                <b/>
                <i val="0"/>
                <color theme="7"/>
              </font>
              <fill>
                <patternFill>
                  <bgColor theme="7" tint="0.79998168889431442"/>
                </patternFill>
              </fill>
            </x14:dxf>
          </x14:cfRule>
          <xm:sqref>I1512:J1512</xm:sqref>
        </x14:conditionalFormatting>
        <x14:conditionalFormatting xmlns:xm="http://schemas.microsoft.com/office/excel/2006/main">
          <x14:cfRule type="containsText" priority="301" operator="containsText" id="{C1D88142-065A-4A60-8C88-C84E0F437B32}">
            <xm:f>NOT(ISERROR(SEARCH(Auxiliar!$B$21,I1512)))</xm:f>
            <xm:f>Auxiliar!$B$21</xm:f>
            <x14:dxf>
              <font>
                <b/>
                <i val="0"/>
                <color rgb="FFFFC000"/>
              </font>
              <fill>
                <patternFill>
                  <bgColor theme="9" tint="0.59996337778862885"/>
                </patternFill>
              </fill>
            </x14:dxf>
          </x14:cfRule>
          <xm:sqref>I1512:J1531</xm:sqref>
        </x14:conditionalFormatting>
        <x14:conditionalFormatting xmlns:xm="http://schemas.microsoft.com/office/excel/2006/main">
          <x14:cfRule type="cellIs" priority="356" operator="equal" id="{76582525-4532-4825-BBF1-E67A9D75C9D5}">
            <xm:f>Auxiliar!$B$24</xm:f>
            <x14:dxf>
              <font>
                <b/>
                <i val="0"/>
                <color theme="1"/>
              </font>
              <fill>
                <patternFill patternType="darkUp">
                  <bgColor theme="0"/>
                </patternFill>
              </fill>
            </x14:dxf>
          </x14:cfRule>
          <x14:cfRule type="cellIs" priority="357" operator="equal" id="{93C49E19-F144-4F91-BF43-40521F41D17C}">
            <xm:f>Auxiliar!$B$18</xm:f>
            <x14:dxf>
              <font>
                <b/>
                <i val="0"/>
                <color theme="0" tint="-0.499984740745262"/>
              </font>
              <fill>
                <patternFill>
                  <bgColor theme="0" tint="-4.9989318521683403E-2"/>
                </patternFill>
              </fill>
            </x14:dxf>
          </x14:cfRule>
          <x14:cfRule type="containsText" priority="358" operator="containsText" id="{1CE2E2E1-FB2E-4D1A-91AE-012679E5C1FF}">
            <xm:f>NOT(ISERROR(SEARCH(Auxiliar!$B$22,I1513)))</xm:f>
            <xm:f>Auxiliar!$B$22</xm:f>
            <x14:dxf>
              <font>
                <b/>
                <i val="0"/>
                <color rgb="FFC00000"/>
              </font>
              <fill>
                <patternFill>
                  <bgColor theme="4" tint="0.79998168889431442"/>
                </patternFill>
              </fill>
            </x14:dxf>
          </x14:cfRule>
          <x14:cfRule type="containsText" priority="359" operator="containsText" id="{3F6EEFB5-2700-4CD6-9BC6-1EABD5D011B2}">
            <xm:f>NOT(ISERROR(SEARCH(Auxiliar!$B$19,I1513)))</xm:f>
            <xm:f>Auxiliar!$B$19</xm:f>
            <x14:dxf>
              <font>
                <b/>
                <i val="0"/>
                <color theme="9" tint="-0.499984740745262"/>
              </font>
              <fill>
                <patternFill>
                  <bgColor theme="9" tint="0.79998168889431442"/>
                </patternFill>
              </fill>
            </x14:dxf>
          </x14:cfRule>
          <x14:cfRule type="containsText" priority="360" operator="containsText" id="{D95616F3-A992-4C37-A772-3C5882F684DD}">
            <xm:f>NOT(ISERROR(SEARCH(Auxiliar!$B$16,I1513)))</xm:f>
            <xm:f>Auxiliar!$B$16</xm:f>
            <x14:dxf>
              <font>
                <b/>
                <i val="0"/>
                <color theme="7"/>
              </font>
              <fill>
                <patternFill>
                  <bgColor theme="7" tint="0.79998168889431442"/>
                </patternFill>
              </fill>
            </x14:dxf>
          </x14:cfRule>
          <xm:sqref>I1513:J1531 I1524:I1532</xm:sqref>
        </x14:conditionalFormatting>
        <x14:conditionalFormatting xmlns:xm="http://schemas.microsoft.com/office/excel/2006/main">
          <x14:cfRule type="containsText" priority="907" operator="containsText" id="{B9BA2292-98F1-4845-8262-A781D9352444}">
            <xm:f>NOT(ISERROR(SEARCH(Auxiliar!$B$21,J193)))</xm:f>
            <xm:f>Auxiliar!$B$21</xm:f>
            <x14:dxf>
              <font>
                <b/>
                <i val="0"/>
                <color rgb="FFFFC000"/>
              </font>
              <fill>
                <patternFill>
                  <bgColor theme="9" tint="0.59996337778862885"/>
                </patternFill>
              </fill>
            </x14:dxf>
          </x14:cfRule>
          <x14:cfRule type="cellIs" priority="908" operator="equal" id="{D32B9961-C82B-426A-A975-2475FFC80C76}">
            <xm:f>Auxiliar!$B$24</xm:f>
            <x14:dxf>
              <font>
                <b/>
                <i val="0"/>
                <color theme="1"/>
              </font>
              <fill>
                <patternFill patternType="darkUp">
                  <bgColor theme="0"/>
                </patternFill>
              </fill>
            </x14:dxf>
          </x14:cfRule>
          <x14:cfRule type="cellIs" priority="909" operator="equal" id="{EE9F5D7D-A515-4B4F-859E-E804329C9CE0}">
            <xm:f>Auxiliar!$B$18</xm:f>
            <x14:dxf>
              <font>
                <b/>
                <i val="0"/>
                <color theme="0" tint="-0.499984740745262"/>
              </font>
              <fill>
                <patternFill>
                  <bgColor theme="0" tint="-4.9989318521683403E-2"/>
                </patternFill>
              </fill>
            </x14:dxf>
          </x14:cfRule>
          <x14:cfRule type="containsText" priority="910" operator="containsText" id="{55E3A954-A50C-4D34-B023-9E253EB8A546}">
            <xm:f>NOT(ISERROR(SEARCH(Auxiliar!$B$22,J193)))</xm:f>
            <xm:f>Auxiliar!$B$22</xm:f>
            <x14:dxf>
              <font>
                <b/>
                <i val="0"/>
                <color rgb="FFC00000"/>
              </font>
              <fill>
                <patternFill>
                  <bgColor theme="4" tint="0.79998168889431442"/>
                </patternFill>
              </fill>
            </x14:dxf>
          </x14:cfRule>
          <x14:cfRule type="containsText" priority="911" operator="containsText" id="{09758088-3BB8-4F8B-8F4A-65B6532009ED}">
            <xm:f>NOT(ISERROR(SEARCH(Auxiliar!$B$19,J193)))</xm:f>
            <xm:f>Auxiliar!$B$19</xm:f>
            <x14:dxf>
              <font>
                <b/>
                <i val="0"/>
                <color theme="9" tint="-0.499984740745262"/>
              </font>
              <fill>
                <patternFill>
                  <bgColor theme="9" tint="0.79998168889431442"/>
                </patternFill>
              </fill>
            </x14:dxf>
          </x14:cfRule>
          <x14:cfRule type="containsText" priority="912" operator="containsText" id="{60E8EEAB-4A84-421A-9942-CDECD6831FAB}">
            <xm:f>NOT(ISERROR(SEARCH(Auxiliar!$B$16,J193)))</xm:f>
            <xm:f>Auxiliar!$B$16</xm:f>
            <x14:dxf>
              <font>
                <b/>
                <i val="0"/>
                <color theme="7"/>
              </font>
              <fill>
                <patternFill>
                  <bgColor theme="7" tint="0.79998168889431442"/>
                </patternFill>
              </fill>
            </x14:dxf>
          </x14:cfRule>
          <xm:sqref>J193:J195</xm:sqref>
        </x14:conditionalFormatting>
        <x14:conditionalFormatting xmlns:xm="http://schemas.microsoft.com/office/excel/2006/main">
          <x14:cfRule type="containsText" priority="397" operator="containsText" id="{68B7879D-8888-41E7-95DE-17E280293E9E}">
            <xm:f>NOT(ISERROR(SEARCH(Auxiliar!$B$21,J393)))</xm:f>
            <xm:f>Auxiliar!$B$21</xm:f>
            <x14:dxf>
              <font>
                <b/>
                <i val="0"/>
                <color rgb="FFFFC000"/>
              </font>
              <fill>
                <patternFill>
                  <bgColor theme="9" tint="0.59996337778862885"/>
                </patternFill>
              </fill>
            </x14:dxf>
          </x14:cfRule>
          <x14:cfRule type="cellIs" priority="398" operator="equal" id="{E7918B5B-09E9-4D9E-8DEF-22B78ADEF4EC}">
            <xm:f>Auxiliar!$B$24</xm:f>
            <x14:dxf>
              <font>
                <b/>
                <i val="0"/>
                <color theme="1"/>
              </font>
              <fill>
                <patternFill patternType="darkUp">
                  <bgColor theme="0"/>
                </patternFill>
              </fill>
            </x14:dxf>
          </x14:cfRule>
          <x14:cfRule type="cellIs" priority="399" operator="equal" id="{C9734D25-1591-44F4-B84A-F9635F7E3A1E}">
            <xm:f>Auxiliar!$B$18</xm:f>
            <x14:dxf>
              <font>
                <b/>
                <i val="0"/>
                <color theme="0" tint="-0.499984740745262"/>
              </font>
              <fill>
                <patternFill>
                  <bgColor theme="0" tint="-4.9989318521683403E-2"/>
                </patternFill>
              </fill>
            </x14:dxf>
          </x14:cfRule>
          <x14:cfRule type="containsText" priority="400" operator="containsText" id="{8EC9EB6C-BAAE-4C5B-A0A3-D4BEBFE063BC}">
            <xm:f>NOT(ISERROR(SEARCH(Auxiliar!$B$22,J393)))</xm:f>
            <xm:f>Auxiliar!$B$22</xm:f>
            <x14:dxf>
              <font>
                <b/>
                <i val="0"/>
                <color rgb="FFC00000"/>
              </font>
              <fill>
                <patternFill>
                  <bgColor theme="4" tint="0.79998168889431442"/>
                </patternFill>
              </fill>
            </x14:dxf>
          </x14:cfRule>
          <x14:cfRule type="containsText" priority="401" operator="containsText" id="{65C65B03-C4AD-4686-BF38-974CBE69DD1C}">
            <xm:f>NOT(ISERROR(SEARCH(Auxiliar!$B$19,J393)))</xm:f>
            <xm:f>Auxiliar!$B$19</xm:f>
            <x14:dxf>
              <font>
                <b/>
                <i val="0"/>
                <color theme="9" tint="-0.499984740745262"/>
              </font>
              <fill>
                <patternFill>
                  <bgColor theme="9" tint="0.79998168889431442"/>
                </patternFill>
              </fill>
            </x14:dxf>
          </x14:cfRule>
          <x14:cfRule type="containsText" priority="402" operator="containsText" id="{9D562BB6-8DA0-42FC-B513-95C95541161C}">
            <xm:f>NOT(ISERROR(SEARCH(Auxiliar!$B$16,J393)))</xm:f>
            <xm:f>Auxiliar!$B$16</xm:f>
            <x14:dxf>
              <font>
                <b/>
                <i val="0"/>
                <color theme="7"/>
              </font>
              <fill>
                <patternFill>
                  <bgColor theme="7" tint="0.79998168889431442"/>
                </patternFill>
              </fill>
            </x14:dxf>
          </x14:cfRule>
          <xm:sqref>J393:J418</xm:sqref>
        </x14:conditionalFormatting>
        <x14:conditionalFormatting xmlns:xm="http://schemas.microsoft.com/office/excel/2006/main">
          <x14:cfRule type="containsText" priority="343" operator="containsText" id="{EE480963-A851-4287-A599-BA2BEAF698FD}">
            <xm:f>NOT(ISERROR(SEARCH(Auxiliar!$B$21,J802)))</xm:f>
            <xm:f>Auxiliar!$B$21</xm:f>
            <x14:dxf>
              <font>
                <b/>
                <i val="0"/>
                <color rgb="FFFFC000"/>
              </font>
              <fill>
                <patternFill>
                  <bgColor theme="9" tint="0.59996337778862885"/>
                </patternFill>
              </fill>
            </x14:dxf>
          </x14:cfRule>
          <x14:cfRule type="cellIs" priority="344" operator="equal" id="{E65463CC-CED3-418A-850B-2AEC62B95131}">
            <xm:f>Auxiliar!$B$24</xm:f>
            <x14:dxf>
              <font>
                <b/>
                <i val="0"/>
                <color theme="1"/>
              </font>
              <fill>
                <patternFill patternType="darkUp">
                  <bgColor theme="0"/>
                </patternFill>
              </fill>
            </x14:dxf>
          </x14:cfRule>
          <x14:cfRule type="cellIs" priority="345" operator="equal" id="{BFBBF7BF-D3FA-4006-A560-667BD910E543}">
            <xm:f>Auxiliar!$B$18</xm:f>
            <x14:dxf>
              <font>
                <b/>
                <i val="0"/>
                <color theme="0" tint="-0.499984740745262"/>
              </font>
              <fill>
                <patternFill>
                  <bgColor theme="0" tint="-4.9989318521683403E-2"/>
                </patternFill>
              </fill>
            </x14:dxf>
          </x14:cfRule>
          <x14:cfRule type="containsText" priority="346" operator="containsText" id="{B36EA303-33F8-41E6-8826-FF98839EFE05}">
            <xm:f>NOT(ISERROR(SEARCH(Auxiliar!$B$22,J802)))</xm:f>
            <xm:f>Auxiliar!$B$22</xm:f>
            <x14:dxf>
              <font>
                <b/>
                <i val="0"/>
                <color rgb="FFC00000"/>
              </font>
              <fill>
                <patternFill>
                  <bgColor theme="4" tint="0.79998168889431442"/>
                </patternFill>
              </fill>
            </x14:dxf>
          </x14:cfRule>
          <x14:cfRule type="containsText" priority="347" operator="containsText" id="{7DCBBE39-6C3A-4A6D-84D7-898BA5BDA9B4}">
            <xm:f>NOT(ISERROR(SEARCH(Auxiliar!$B$19,J802)))</xm:f>
            <xm:f>Auxiliar!$B$19</xm:f>
            <x14:dxf>
              <font>
                <b/>
                <i val="0"/>
                <color theme="9" tint="-0.499984740745262"/>
              </font>
              <fill>
                <patternFill>
                  <bgColor theme="9" tint="0.79998168889431442"/>
                </patternFill>
              </fill>
            </x14:dxf>
          </x14:cfRule>
          <x14:cfRule type="containsText" priority="348" operator="containsText" id="{A67AFEE5-07CA-4A4E-877C-ED6F6AD6A524}">
            <xm:f>NOT(ISERROR(SEARCH(Auxiliar!$B$16,J802)))</xm:f>
            <xm:f>Auxiliar!$B$16</xm:f>
            <x14:dxf>
              <font>
                <b/>
                <i val="0"/>
                <color theme="7"/>
              </font>
              <fill>
                <patternFill>
                  <bgColor theme="7" tint="0.79998168889431442"/>
                </patternFill>
              </fill>
            </x14:dxf>
          </x14:cfRule>
          <xm:sqref>J802:J823</xm:sqref>
        </x14:conditionalFormatting>
        <x14:conditionalFormatting xmlns:xm="http://schemas.microsoft.com/office/excel/2006/main">
          <x14:cfRule type="containsText" priority="349" operator="containsText" id="{38F96929-C4AA-431E-B12A-0DCF4864D5CD}">
            <xm:f>NOT(ISERROR(SEARCH(Auxiliar!$B$21,J1532)))</xm:f>
            <xm:f>Auxiliar!$B$21</xm:f>
            <x14:dxf>
              <font>
                <b/>
                <i val="0"/>
                <color rgb="FFFFC000"/>
              </font>
              <fill>
                <patternFill>
                  <bgColor theme="9" tint="0.59996337778862885"/>
                </patternFill>
              </fill>
            </x14:dxf>
          </x14:cfRule>
          <x14:cfRule type="cellIs" priority="350" operator="equal" id="{A23AEDE7-80C2-459D-94A3-CF50BC8E067F}">
            <xm:f>Auxiliar!$B$24</xm:f>
            <x14:dxf>
              <font>
                <b/>
                <i val="0"/>
                <color theme="1"/>
              </font>
              <fill>
                <patternFill patternType="darkUp">
                  <bgColor theme="0"/>
                </patternFill>
              </fill>
            </x14:dxf>
          </x14:cfRule>
          <x14:cfRule type="cellIs" priority="351" operator="equal" id="{BD63F02A-7953-4EFD-A25E-5F5A4519C878}">
            <xm:f>Auxiliar!$B$18</xm:f>
            <x14:dxf>
              <font>
                <b/>
                <i val="0"/>
                <color theme="0" tint="-0.499984740745262"/>
              </font>
              <fill>
                <patternFill>
                  <bgColor theme="0" tint="-4.9989318521683403E-2"/>
                </patternFill>
              </fill>
            </x14:dxf>
          </x14:cfRule>
          <x14:cfRule type="containsText" priority="352" operator="containsText" id="{9D29B155-8122-422F-A137-EEA182F6B984}">
            <xm:f>NOT(ISERROR(SEARCH(Auxiliar!$B$22,J1532)))</xm:f>
            <xm:f>Auxiliar!$B$22</xm:f>
            <x14:dxf>
              <font>
                <b/>
                <i val="0"/>
                <color rgb="FFC00000"/>
              </font>
              <fill>
                <patternFill>
                  <bgColor theme="4" tint="0.79998168889431442"/>
                </patternFill>
              </fill>
            </x14:dxf>
          </x14:cfRule>
          <x14:cfRule type="containsText" priority="353" operator="containsText" id="{14D7CE32-2AD5-4C8F-952D-CACCABEF04B1}">
            <xm:f>NOT(ISERROR(SEARCH(Auxiliar!$B$19,J1532)))</xm:f>
            <xm:f>Auxiliar!$B$19</xm:f>
            <x14:dxf>
              <font>
                <b/>
                <i val="0"/>
                <color theme="9" tint="-0.499984740745262"/>
              </font>
              <fill>
                <patternFill>
                  <bgColor theme="9" tint="0.79998168889431442"/>
                </patternFill>
              </fill>
            </x14:dxf>
          </x14:cfRule>
          <x14:cfRule type="containsText" priority="354" operator="containsText" id="{749528D8-FC33-4432-83FE-EBD00AF80543}">
            <xm:f>NOT(ISERROR(SEARCH(Auxiliar!$B$16,J1532)))</xm:f>
            <xm:f>Auxiliar!$B$16</xm:f>
            <x14:dxf>
              <font>
                <b/>
                <i val="0"/>
                <color theme="7"/>
              </font>
              <fill>
                <patternFill>
                  <bgColor theme="7" tint="0.79998168889431442"/>
                </patternFill>
              </fill>
            </x14:dxf>
          </x14:cfRule>
          <xm:sqref>J1532</xm:sqref>
        </x14:conditionalFormatting>
        <x14:conditionalFormatting xmlns:xm="http://schemas.microsoft.com/office/excel/2006/main">
          <x14:cfRule type="containsText" priority="187" operator="containsText" id="{B2D23FBA-A51D-48EA-8F07-0EE4D8A4D4F5}">
            <xm:f>NOT(ISERROR(SEARCH(Auxiliar!$B$21,I692)))</xm:f>
            <xm:f>Auxiliar!$B$21</xm:f>
            <x14:dxf>
              <font>
                <b/>
                <i val="0"/>
                <color rgb="FFFFC000"/>
              </font>
              <fill>
                <patternFill>
                  <bgColor theme="9" tint="0.59996337778862885"/>
                </patternFill>
              </fill>
            </x14:dxf>
          </x14:cfRule>
          <x14:cfRule type="cellIs" priority="188" operator="equal" id="{142E032A-CC22-40A8-8963-A9419EFD1875}">
            <xm:f>Auxiliar!$B$24</xm:f>
            <x14:dxf>
              <font>
                <b/>
                <i val="0"/>
                <color theme="1"/>
              </font>
              <fill>
                <patternFill patternType="darkUp">
                  <bgColor theme="0"/>
                </patternFill>
              </fill>
            </x14:dxf>
          </x14:cfRule>
          <x14:cfRule type="cellIs" priority="189" operator="equal" id="{5E9F3038-1A0C-40B9-BA0C-6B6DB3E11D9A}">
            <xm:f>Auxiliar!$B$18</xm:f>
            <x14:dxf>
              <font>
                <b/>
                <i val="0"/>
                <color theme="0" tint="-0.499984740745262"/>
              </font>
              <fill>
                <patternFill>
                  <bgColor theme="0" tint="-4.9989318521683403E-2"/>
                </patternFill>
              </fill>
            </x14:dxf>
          </x14:cfRule>
          <x14:cfRule type="containsText" priority="190" operator="containsText" id="{3EB13DC0-58B7-4AD2-B8B3-C7A8DF326A11}">
            <xm:f>NOT(ISERROR(SEARCH(Auxiliar!$B$22,I692)))</xm:f>
            <xm:f>Auxiliar!$B$22</xm:f>
            <x14:dxf>
              <font>
                <b/>
                <i val="0"/>
                <color rgb="FFC00000"/>
              </font>
              <fill>
                <patternFill>
                  <bgColor theme="4" tint="0.79998168889431442"/>
                </patternFill>
              </fill>
            </x14:dxf>
          </x14:cfRule>
          <x14:cfRule type="containsText" priority="191" operator="containsText" id="{97264E1D-A3C9-448C-92B2-280A83B4C9A0}">
            <xm:f>NOT(ISERROR(SEARCH(Auxiliar!$B$19,I692)))</xm:f>
            <xm:f>Auxiliar!$B$19</xm:f>
            <x14:dxf>
              <font>
                <b/>
                <i val="0"/>
                <color theme="9" tint="-0.499984740745262"/>
              </font>
              <fill>
                <patternFill>
                  <bgColor theme="9" tint="0.79998168889431442"/>
                </patternFill>
              </fill>
            </x14:dxf>
          </x14:cfRule>
          <x14:cfRule type="containsText" priority="192" operator="containsText" id="{980DB7C4-F81E-4333-87A4-C22DB0F824D8}">
            <xm:f>NOT(ISERROR(SEARCH(Auxiliar!$B$16,I692)))</xm:f>
            <xm:f>Auxiliar!$B$16</xm:f>
            <x14:dxf>
              <font>
                <b/>
                <i val="0"/>
                <color theme="7"/>
              </font>
              <fill>
                <patternFill>
                  <bgColor theme="7" tint="0.79998168889431442"/>
                </patternFill>
              </fill>
            </x14:dxf>
          </x14:cfRule>
          <xm:sqref>I692:I697 I707:I712</xm:sqref>
        </x14:conditionalFormatting>
        <x14:conditionalFormatting xmlns:xm="http://schemas.microsoft.com/office/excel/2006/main">
          <x14:cfRule type="containsText" priority="163" operator="containsText" id="{467E6DCD-B2BF-4E18-8034-F3514A283A82}">
            <xm:f>NOT(ISERROR(SEARCH(Auxiliar!$B$21,I1484)))</xm:f>
            <xm:f>Auxiliar!$B$21</xm:f>
            <x14:dxf>
              <font>
                <b/>
                <i val="0"/>
                <color rgb="FFFFC000"/>
              </font>
              <fill>
                <patternFill>
                  <bgColor theme="9" tint="0.59996337778862885"/>
                </patternFill>
              </fill>
            </x14:dxf>
          </x14:cfRule>
          <x14:cfRule type="cellIs" priority="164" operator="equal" id="{5BAE6283-FC73-4A20-9ACB-6FC78FD87AE5}">
            <xm:f>Auxiliar!$B$24</xm:f>
            <x14:dxf>
              <font>
                <b/>
                <i val="0"/>
                <color theme="1"/>
              </font>
              <fill>
                <patternFill patternType="darkUp">
                  <bgColor theme="0"/>
                </patternFill>
              </fill>
            </x14:dxf>
          </x14:cfRule>
          <x14:cfRule type="cellIs" priority="165" operator="equal" id="{F786D52B-8A76-4448-B668-4B7F3898B687}">
            <xm:f>Auxiliar!$B$18</xm:f>
            <x14:dxf>
              <font>
                <b/>
                <i val="0"/>
                <color theme="0" tint="-0.499984740745262"/>
              </font>
              <fill>
                <patternFill>
                  <bgColor theme="0" tint="-4.9989318521683403E-2"/>
                </patternFill>
              </fill>
            </x14:dxf>
          </x14:cfRule>
          <x14:cfRule type="containsText" priority="166" operator="containsText" id="{A5ED752C-6252-4B92-B59A-5FA3D4EEEEE1}">
            <xm:f>NOT(ISERROR(SEARCH(Auxiliar!$B$22,I1484)))</xm:f>
            <xm:f>Auxiliar!$B$22</xm:f>
            <x14:dxf>
              <font>
                <b/>
                <i val="0"/>
                <color rgb="FFC00000"/>
              </font>
              <fill>
                <patternFill>
                  <bgColor theme="4" tint="0.79998168889431442"/>
                </patternFill>
              </fill>
            </x14:dxf>
          </x14:cfRule>
          <x14:cfRule type="containsText" priority="167" operator="containsText" id="{7CA5CB93-318B-4E78-8334-FE79E6A6EEA6}">
            <xm:f>NOT(ISERROR(SEARCH(Auxiliar!$B$19,I1484)))</xm:f>
            <xm:f>Auxiliar!$B$19</xm:f>
            <x14:dxf>
              <font>
                <b/>
                <i val="0"/>
                <color theme="9" tint="-0.499984740745262"/>
              </font>
              <fill>
                <patternFill>
                  <bgColor theme="9" tint="0.79998168889431442"/>
                </patternFill>
              </fill>
            </x14:dxf>
          </x14:cfRule>
          <x14:cfRule type="containsText" priority="168" operator="containsText" id="{2DA60BF8-95B7-42C5-9858-82421D57DAFF}">
            <xm:f>NOT(ISERROR(SEARCH(Auxiliar!$B$16,I1484)))</xm:f>
            <xm:f>Auxiliar!$B$16</xm:f>
            <x14:dxf>
              <font>
                <b/>
                <i val="0"/>
                <color theme="7"/>
              </font>
              <fill>
                <patternFill>
                  <bgColor theme="7" tint="0.79998168889431442"/>
                </patternFill>
              </fill>
            </x14:dxf>
          </x14:cfRule>
          <xm:sqref>I1484:I1485</xm:sqref>
        </x14:conditionalFormatting>
        <x14:conditionalFormatting xmlns:xm="http://schemas.microsoft.com/office/excel/2006/main">
          <x14:cfRule type="containsText" priority="145" operator="containsText" id="{AE09CA56-BF65-4882-872B-309E69B62AA8}">
            <xm:f>NOT(ISERROR(SEARCH(Auxiliar!$B$21,I1481)))</xm:f>
            <xm:f>Auxiliar!$B$21</xm:f>
            <x14:dxf>
              <font>
                <b/>
                <i val="0"/>
                <color rgb="FFFFC000"/>
              </font>
              <fill>
                <patternFill>
                  <bgColor theme="9" tint="0.59996337778862885"/>
                </patternFill>
              </fill>
            </x14:dxf>
          </x14:cfRule>
          <xm:sqref>I1481</xm:sqref>
        </x14:conditionalFormatting>
        <x14:conditionalFormatting xmlns:xm="http://schemas.microsoft.com/office/excel/2006/main">
          <x14:cfRule type="cellIs" priority="146" operator="equal" id="{B8B3A70C-D509-450E-A55F-4A7962EE7F12}">
            <xm:f>Auxiliar!$B$24</xm:f>
            <x14:dxf>
              <font>
                <b/>
                <i val="0"/>
                <color theme="1"/>
              </font>
              <fill>
                <patternFill patternType="darkUp">
                  <bgColor theme="0"/>
                </patternFill>
              </fill>
            </x14:dxf>
          </x14:cfRule>
          <x14:cfRule type="cellIs" priority="147" operator="equal" id="{66BF32AF-ABF1-4676-9EAE-BC89CE12FBB0}">
            <xm:f>Auxiliar!$B$18</xm:f>
            <x14:dxf>
              <font>
                <b/>
                <i val="0"/>
                <color theme="0" tint="-0.499984740745262"/>
              </font>
              <fill>
                <patternFill>
                  <bgColor theme="0" tint="-4.9989318521683403E-2"/>
                </patternFill>
              </fill>
            </x14:dxf>
          </x14:cfRule>
          <x14:cfRule type="containsText" priority="148" operator="containsText" id="{B0E2F2F4-B774-4DDE-BC0D-85A26DF0CD9B}">
            <xm:f>NOT(ISERROR(SEARCH(Auxiliar!$B$22,I1481)))</xm:f>
            <xm:f>Auxiliar!$B$22</xm:f>
            <x14:dxf>
              <font>
                <b/>
                <i val="0"/>
                <color rgb="FFC00000"/>
              </font>
              <fill>
                <patternFill>
                  <bgColor theme="4" tint="0.79998168889431442"/>
                </patternFill>
              </fill>
            </x14:dxf>
          </x14:cfRule>
          <x14:cfRule type="containsText" priority="149" operator="containsText" id="{F9386B6F-BF69-4572-BE12-0C9200C5E269}">
            <xm:f>NOT(ISERROR(SEARCH(Auxiliar!$B$19,I1481)))</xm:f>
            <xm:f>Auxiliar!$B$19</xm:f>
            <x14:dxf>
              <font>
                <b/>
                <i val="0"/>
                <color theme="9" tint="-0.499984740745262"/>
              </font>
              <fill>
                <patternFill>
                  <bgColor theme="9" tint="0.79998168889431442"/>
                </patternFill>
              </fill>
            </x14:dxf>
          </x14:cfRule>
          <x14:cfRule type="containsText" priority="150" operator="containsText" id="{107437CC-ADD8-4D20-9A1C-28775FA588B0}">
            <xm:f>NOT(ISERROR(SEARCH(Auxiliar!$B$16,I1481)))</xm:f>
            <xm:f>Auxiliar!$B$16</xm:f>
            <x14:dxf>
              <font>
                <b/>
                <i val="0"/>
                <color theme="7"/>
              </font>
              <fill>
                <patternFill>
                  <bgColor theme="7" tint="0.79998168889431442"/>
                </patternFill>
              </fill>
            </x14:dxf>
          </x14:cfRule>
          <xm:sqref>I1481</xm:sqref>
        </x14:conditionalFormatting>
        <x14:conditionalFormatting xmlns:xm="http://schemas.microsoft.com/office/excel/2006/main">
          <x14:cfRule type="containsText" priority="139" operator="containsText" id="{E51C09E5-EDD7-4D9F-ABA2-57E905E9C37E}">
            <xm:f>NOT(ISERROR(SEARCH(Auxiliar!$B$21,I1483)))</xm:f>
            <xm:f>Auxiliar!$B$21</xm:f>
            <x14:dxf>
              <font>
                <b/>
                <i val="0"/>
                <color rgb="FFFFC000"/>
              </font>
              <fill>
                <patternFill>
                  <bgColor theme="9" tint="0.59996337778862885"/>
                </patternFill>
              </fill>
            </x14:dxf>
          </x14:cfRule>
          <xm:sqref>I1483</xm:sqref>
        </x14:conditionalFormatting>
        <x14:conditionalFormatting xmlns:xm="http://schemas.microsoft.com/office/excel/2006/main">
          <x14:cfRule type="cellIs" priority="140" operator="equal" id="{73DC47AF-3F1E-45DF-AD5C-D7D83200AC0C}">
            <xm:f>Auxiliar!$B$24</xm:f>
            <x14:dxf>
              <font>
                <b/>
                <i val="0"/>
                <color theme="1"/>
              </font>
              <fill>
                <patternFill patternType="darkUp">
                  <bgColor theme="0"/>
                </patternFill>
              </fill>
            </x14:dxf>
          </x14:cfRule>
          <x14:cfRule type="cellIs" priority="141" operator="equal" id="{2B6707CF-983A-4674-B0E5-388DEF87F80D}">
            <xm:f>Auxiliar!$B$18</xm:f>
            <x14:dxf>
              <font>
                <b/>
                <i val="0"/>
                <color theme="0" tint="-0.499984740745262"/>
              </font>
              <fill>
                <patternFill>
                  <bgColor theme="0" tint="-4.9989318521683403E-2"/>
                </patternFill>
              </fill>
            </x14:dxf>
          </x14:cfRule>
          <x14:cfRule type="containsText" priority="142" operator="containsText" id="{EE57935B-A1EA-44A1-98AA-677289A562FA}">
            <xm:f>NOT(ISERROR(SEARCH(Auxiliar!$B$22,I1483)))</xm:f>
            <xm:f>Auxiliar!$B$22</xm:f>
            <x14:dxf>
              <font>
                <b/>
                <i val="0"/>
                <color rgb="FFC00000"/>
              </font>
              <fill>
                <patternFill>
                  <bgColor theme="4" tint="0.79998168889431442"/>
                </patternFill>
              </fill>
            </x14:dxf>
          </x14:cfRule>
          <x14:cfRule type="containsText" priority="143" operator="containsText" id="{5F3EA703-BA97-4F7A-8B34-726366CCA0D9}">
            <xm:f>NOT(ISERROR(SEARCH(Auxiliar!$B$19,I1483)))</xm:f>
            <xm:f>Auxiliar!$B$19</xm:f>
            <x14:dxf>
              <font>
                <b/>
                <i val="0"/>
                <color theme="9" tint="-0.499984740745262"/>
              </font>
              <fill>
                <patternFill>
                  <bgColor theme="9" tint="0.79998168889431442"/>
                </patternFill>
              </fill>
            </x14:dxf>
          </x14:cfRule>
          <x14:cfRule type="containsText" priority="144" operator="containsText" id="{7B67476C-52B4-44F6-984E-E1577971F385}">
            <xm:f>NOT(ISERROR(SEARCH(Auxiliar!$B$16,I1483)))</xm:f>
            <xm:f>Auxiliar!$B$16</xm:f>
            <x14:dxf>
              <font>
                <b/>
                <i val="0"/>
                <color theme="7"/>
              </font>
              <fill>
                <patternFill>
                  <bgColor theme="7" tint="0.79998168889431442"/>
                </patternFill>
              </fill>
            </x14:dxf>
          </x14:cfRule>
          <xm:sqref>I1483</xm:sqref>
        </x14:conditionalFormatting>
        <x14:conditionalFormatting xmlns:xm="http://schemas.microsoft.com/office/excel/2006/main">
          <x14:cfRule type="containsText" priority="133" operator="containsText" id="{E93BBB5F-6A4D-45EB-AA95-8E0645254D1A}">
            <xm:f>NOT(ISERROR(SEARCH(Auxiliar!$B$21,I1486)))</xm:f>
            <xm:f>Auxiliar!$B$21</xm:f>
            <x14:dxf>
              <font>
                <b/>
                <i val="0"/>
                <color rgb="FFFFC000"/>
              </font>
              <fill>
                <patternFill>
                  <bgColor theme="9" tint="0.59996337778862885"/>
                </patternFill>
              </fill>
            </x14:dxf>
          </x14:cfRule>
          <xm:sqref>I1486</xm:sqref>
        </x14:conditionalFormatting>
        <x14:conditionalFormatting xmlns:xm="http://schemas.microsoft.com/office/excel/2006/main">
          <x14:cfRule type="cellIs" priority="134" operator="equal" id="{01040CC1-7AAF-449E-B1C0-8F9ADFC44FC8}">
            <xm:f>Auxiliar!$B$24</xm:f>
            <x14:dxf>
              <font>
                <b/>
                <i val="0"/>
                <color theme="1"/>
              </font>
              <fill>
                <patternFill patternType="darkUp">
                  <bgColor theme="0"/>
                </patternFill>
              </fill>
            </x14:dxf>
          </x14:cfRule>
          <x14:cfRule type="cellIs" priority="135" operator="equal" id="{B1C5B44C-DA1A-4A58-9870-C0E00A6A5C70}">
            <xm:f>Auxiliar!$B$18</xm:f>
            <x14:dxf>
              <font>
                <b/>
                <i val="0"/>
                <color theme="0" tint="-0.499984740745262"/>
              </font>
              <fill>
                <patternFill>
                  <bgColor theme="0" tint="-4.9989318521683403E-2"/>
                </patternFill>
              </fill>
            </x14:dxf>
          </x14:cfRule>
          <x14:cfRule type="containsText" priority="136" operator="containsText" id="{EC2A74BC-69CB-4336-96AE-9FF3D23B2861}">
            <xm:f>NOT(ISERROR(SEARCH(Auxiliar!$B$22,I1486)))</xm:f>
            <xm:f>Auxiliar!$B$22</xm:f>
            <x14:dxf>
              <font>
                <b/>
                <i val="0"/>
                <color rgb="FFC00000"/>
              </font>
              <fill>
                <patternFill>
                  <bgColor theme="4" tint="0.79998168889431442"/>
                </patternFill>
              </fill>
            </x14:dxf>
          </x14:cfRule>
          <x14:cfRule type="containsText" priority="137" operator="containsText" id="{E272F408-E7A6-49D1-A5A3-C6234BB278B9}">
            <xm:f>NOT(ISERROR(SEARCH(Auxiliar!$B$19,I1486)))</xm:f>
            <xm:f>Auxiliar!$B$19</xm:f>
            <x14:dxf>
              <font>
                <b/>
                <i val="0"/>
                <color theme="9" tint="-0.499984740745262"/>
              </font>
              <fill>
                <patternFill>
                  <bgColor theme="9" tint="0.79998168889431442"/>
                </patternFill>
              </fill>
            </x14:dxf>
          </x14:cfRule>
          <x14:cfRule type="containsText" priority="138" operator="containsText" id="{D5DB302B-9D2B-444B-A999-0291337A6581}">
            <xm:f>NOT(ISERROR(SEARCH(Auxiliar!$B$16,I1486)))</xm:f>
            <xm:f>Auxiliar!$B$16</xm:f>
            <x14:dxf>
              <font>
                <b/>
                <i val="0"/>
                <color theme="7"/>
              </font>
              <fill>
                <patternFill>
                  <bgColor theme="7" tint="0.79998168889431442"/>
                </patternFill>
              </fill>
            </x14:dxf>
          </x14:cfRule>
          <xm:sqref>I1486</xm:sqref>
        </x14:conditionalFormatting>
        <x14:conditionalFormatting xmlns:xm="http://schemas.microsoft.com/office/excel/2006/main">
          <x14:cfRule type="containsText" priority="127" operator="containsText" id="{9C420064-6B3B-44DE-8C5D-9AF6F22FCA9C}">
            <xm:f>NOT(ISERROR(SEARCH(Auxiliar!$B$21,I1487)))</xm:f>
            <xm:f>Auxiliar!$B$21</xm:f>
            <x14:dxf>
              <font>
                <b/>
                <i val="0"/>
                <color rgb="FFFFC000"/>
              </font>
              <fill>
                <patternFill>
                  <bgColor theme="9" tint="0.59996337778862885"/>
                </patternFill>
              </fill>
            </x14:dxf>
          </x14:cfRule>
          <xm:sqref>I1487</xm:sqref>
        </x14:conditionalFormatting>
        <x14:conditionalFormatting xmlns:xm="http://schemas.microsoft.com/office/excel/2006/main">
          <x14:cfRule type="cellIs" priority="128" operator="equal" id="{8E7873B8-3382-4E62-991F-3EAD1327F9E2}">
            <xm:f>Auxiliar!$B$24</xm:f>
            <x14:dxf>
              <font>
                <b/>
                <i val="0"/>
                <color theme="1"/>
              </font>
              <fill>
                <patternFill patternType="darkUp">
                  <bgColor theme="0"/>
                </patternFill>
              </fill>
            </x14:dxf>
          </x14:cfRule>
          <x14:cfRule type="cellIs" priority="129" operator="equal" id="{961A0862-0BE4-4167-9561-084BA7058D75}">
            <xm:f>Auxiliar!$B$18</xm:f>
            <x14:dxf>
              <font>
                <b/>
                <i val="0"/>
                <color theme="0" tint="-0.499984740745262"/>
              </font>
              <fill>
                <patternFill>
                  <bgColor theme="0" tint="-4.9989318521683403E-2"/>
                </patternFill>
              </fill>
            </x14:dxf>
          </x14:cfRule>
          <x14:cfRule type="containsText" priority="130" operator="containsText" id="{AFDF6F86-771F-4007-A9B3-314625A3EE04}">
            <xm:f>NOT(ISERROR(SEARCH(Auxiliar!$B$22,I1487)))</xm:f>
            <xm:f>Auxiliar!$B$22</xm:f>
            <x14:dxf>
              <font>
                <b/>
                <i val="0"/>
                <color rgb="FFC00000"/>
              </font>
              <fill>
                <patternFill>
                  <bgColor theme="4" tint="0.79998168889431442"/>
                </patternFill>
              </fill>
            </x14:dxf>
          </x14:cfRule>
          <x14:cfRule type="containsText" priority="131" operator="containsText" id="{69F04B6D-C4F0-4155-AC40-D3517D8B1CAB}">
            <xm:f>NOT(ISERROR(SEARCH(Auxiliar!$B$19,I1487)))</xm:f>
            <xm:f>Auxiliar!$B$19</xm:f>
            <x14:dxf>
              <font>
                <b/>
                <i val="0"/>
                <color theme="9" tint="-0.499984740745262"/>
              </font>
              <fill>
                <patternFill>
                  <bgColor theme="9" tint="0.79998168889431442"/>
                </patternFill>
              </fill>
            </x14:dxf>
          </x14:cfRule>
          <x14:cfRule type="containsText" priority="132" operator="containsText" id="{AF9828C2-1A3F-4F45-B585-AD8305FEC226}">
            <xm:f>NOT(ISERROR(SEARCH(Auxiliar!$B$16,I1487)))</xm:f>
            <xm:f>Auxiliar!$B$16</xm:f>
            <x14:dxf>
              <font>
                <b/>
                <i val="0"/>
                <color theme="7"/>
              </font>
              <fill>
                <patternFill>
                  <bgColor theme="7" tint="0.79998168889431442"/>
                </patternFill>
              </fill>
            </x14:dxf>
          </x14:cfRule>
          <xm:sqref>I1487</xm:sqref>
        </x14:conditionalFormatting>
        <x14:conditionalFormatting xmlns:xm="http://schemas.microsoft.com/office/excel/2006/main">
          <x14:cfRule type="containsText" priority="121" operator="containsText" id="{1C493133-9289-4B55-8292-97103B7C9419}">
            <xm:f>NOT(ISERROR(SEARCH(Auxiliar!$B$21,I1488)))</xm:f>
            <xm:f>Auxiliar!$B$21</xm:f>
            <x14:dxf>
              <font>
                <b/>
                <i val="0"/>
                <color rgb="FFFFC000"/>
              </font>
              <fill>
                <patternFill>
                  <bgColor theme="9" tint="0.59996337778862885"/>
                </patternFill>
              </fill>
            </x14:dxf>
          </x14:cfRule>
          <xm:sqref>I1488</xm:sqref>
        </x14:conditionalFormatting>
        <x14:conditionalFormatting xmlns:xm="http://schemas.microsoft.com/office/excel/2006/main">
          <x14:cfRule type="cellIs" priority="122" operator="equal" id="{4DAE3995-11B7-48F6-AF0E-CA5332CEB81B}">
            <xm:f>Auxiliar!$B$24</xm:f>
            <x14:dxf>
              <font>
                <b/>
                <i val="0"/>
                <color theme="1"/>
              </font>
              <fill>
                <patternFill patternType="darkUp">
                  <bgColor theme="0"/>
                </patternFill>
              </fill>
            </x14:dxf>
          </x14:cfRule>
          <x14:cfRule type="cellIs" priority="123" operator="equal" id="{C27F6A88-7F24-4B31-BB9F-52D24EC4B91A}">
            <xm:f>Auxiliar!$B$18</xm:f>
            <x14:dxf>
              <font>
                <b/>
                <i val="0"/>
                <color theme="0" tint="-0.499984740745262"/>
              </font>
              <fill>
                <patternFill>
                  <bgColor theme="0" tint="-4.9989318521683403E-2"/>
                </patternFill>
              </fill>
            </x14:dxf>
          </x14:cfRule>
          <x14:cfRule type="containsText" priority="124" operator="containsText" id="{CCA299DB-EF37-492B-8074-ACBB38023AA7}">
            <xm:f>NOT(ISERROR(SEARCH(Auxiliar!$B$22,I1488)))</xm:f>
            <xm:f>Auxiliar!$B$22</xm:f>
            <x14:dxf>
              <font>
                <b/>
                <i val="0"/>
                <color rgb="FFC00000"/>
              </font>
              <fill>
                <patternFill>
                  <bgColor theme="4" tint="0.79998168889431442"/>
                </patternFill>
              </fill>
            </x14:dxf>
          </x14:cfRule>
          <x14:cfRule type="containsText" priority="125" operator="containsText" id="{0729B1B5-0210-4A84-8202-F32D6C2AB0A5}">
            <xm:f>NOT(ISERROR(SEARCH(Auxiliar!$B$19,I1488)))</xm:f>
            <xm:f>Auxiliar!$B$19</xm:f>
            <x14:dxf>
              <font>
                <b/>
                <i val="0"/>
                <color theme="9" tint="-0.499984740745262"/>
              </font>
              <fill>
                <patternFill>
                  <bgColor theme="9" tint="0.79998168889431442"/>
                </patternFill>
              </fill>
            </x14:dxf>
          </x14:cfRule>
          <x14:cfRule type="containsText" priority="126" operator="containsText" id="{E1E788F8-A663-476E-9DBF-7E8DC99A4AEF}">
            <xm:f>NOT(ISERROR(SEARCH(Auxiliar!$B$16,I1488)))</xm:f>
            <xm:f>Auxiliar!$B$16</xm:f>
            <x14:dxf>
              <font>
                <b/>
                <i val="0"/>
                <color theme="7"/>
              </font>
              <fill>
                <patternFill>
                  <bgColor theme="7" tint="0.79998168889431442"/>
                </patternFill>
              </fill>
            </x14:dxf>
          </x14:cfRule>
          <xm:sqref>I1488</xm:sqref>
        </x14:conditionalFormatting>
        <x14:conditionalFormatting xmlns:xm="http://schemas.microsoft.com/office/excel/2006/main">
          <x14:cfRule type="containsText" priority="115" operator="containsText" id="{FD68B688-2354-4885-ADDC-040C3FB0BABF}">
            <xm:f>NOT(ISERROR(SEARCH(Auxiliar!$B$21,I1489)))</xm:f>
            <xm:f>Auxiliar!$B$21</xm:f>
            <x14:dxf>
              <font>
                <b/>
                <i val="0"/>
                <color rgb="FFFFC000"/>
              </font>
              <fill>
                <patternFill>
                  <bgColor theme="9" tint="0.59996337778862885"/>
                </patternFill>
              </fill>
            </x14:dxf>
          </x14:cfRule>
          <xm:sqref>I1489</xm:sqref>
        </x14:conditionalFormatting>
        <x14:conditionalFormatting xmlns:xm="http://schemas.microsoft.com/office/excel/2006/main">
          <x14:cfRule type="cellIs" priority="116" operator="equal" id="{10301E6F-0948-45D4-927E-665265C30B77}">
            <xm:f>Auxiliar!$B$24</xm:f>
            <x14:dxf>
              <font>
                <b/>
                <i val="0"/>
                <color theme="1"/>
              </font>
              <fill>
                <patternFill patternType="darkUp">
                  <bgColor theme="0"/>
                </patternFill>
              </fill>
            </x14:dxf>
          </x14:cfRule>
          <x14:cfRule type="cellIs" priority="117" operator="equal" id="{708DB537-594A-48B6-A9DD-C0CB16BB34BA}">
            <xm:f>Auxiliar!$B$18</xm:f>
            <x14:dxf>
              <font>
                <b/>
                <i val="0"/>
                <color theme="0" tint="-0.499984740745262"/>
              </font>
              <fill>
                <patternFill>
                  <bgColor theme="0" tint="-4.9989318521683403E-2"/>
                </patternFill>
              </fill>
            </x14:dxf>
          </x14:cfRule>
          <x14:cfRule type="containsText" priority="118" operator="containsText" id="{499F6D2E-B19E-447C-ACFD-C68214408D4A}">
            <xm:f>NOT(ISERROR(SEARCH(Auxiliar!$B$22,I1489)))</xm:f>
            <xm:f>Auxiliar!$B$22</xm:f>
            <x14:dxf>
              <font>
                <b/>
                <i val="0"/>
                <color rgb="FFC00000"/>
              </font>
              <fill>
                <patternFill>
                  <bgColor theme="4" tint="0.79998168889431442"/>
                </patternFill>
              </fill>
            </x14:dxf>
          </x14:cfRule>
          <x14:cfRule type="containsText" priority="119" operator="containsText" id="{C81F6284-D13D-4B72-B6B2-F79462667D45}">
            <xm:f>NOT(ISERROR(SEARCH(Auxiliar!$B$19,I1489)))</xm:f>
            <xm:f>Auxiliar!$B$19</xm:f>
            <x14:dxf>
              <font>
                <b/>
                <i val="0"/>
                <color theme="9" tint="-0.499984740745262"/>
              </font>
              <fill>
                <patternFill>
                  <bgColor theme="9" tint="0.79998168889431442"/>
                </patternFill>
              </fill>
            </x14:dxf>
          </x14:cfRule>
          <x14:cfRule type="containsText" priority="120" operator="containsText" id="{766CCEAA-5467-48BB-B65F-B68F18BD1A2A}">
            <xm:f>NOT(ISERROR(SEARCH(Auxiliar!$B$16,I1489)))</xm:f>
            <xm:f>Auxiliar!$B$16</xm:f>
            <x14:dxf>
              <font>
                <b/>
                <i val="0"/>
                <color theme="7"/>
              </font>
              <fill>
                <patternFill>
                  <bgColor theme="7" tint="0.79998168889431442"/>
                </patternFill>
              </fill>
            </x14:dxf>
          </x14:cfRule>
          <xm:sqref>I1489</xm:sqref>
        </x14:conditionalFormatting>
        <x14:conditionalFormatting xmlns:xm="http://schemas.microsoft.com/office/excel/2006/main">
          <x14:cfRule type="containsText" priority="109" operator="containsText" id="{554552FE-BFF2-4503-BD5B-98B3C2428A3B}">
            <xm:f>NOT(ISERROR(SEARCH(Auxiliar!$B$21,I1490)))</xm:f>
            <xm:f>Auxiliar!$B$21</xm:f>
            <x14:dxf>
              <font>
                <b/>
                <i val="0"/>
                <color rgb="FFFFC000"/>
              </font>
              <fill>
                <patternFill>
                  <bgColor theme="9" tint="0.59996337778862885"/>
                </patternFill>
              </fill>
            </x14:dxf>
          </x14:cfRule>
          <xm:sqref>I1490</xm:sqref>
        </x14:conditionalFormatting>
        <x14:conditionalFormatting xmlns:xm="http://schemas.microsoft.com/office/excel/2006/main">
          <x14:cfRule type="cellIs" priority="110" operator="equal" id="{EAF55DE4-07BE-4AA2-A911-0C20ABFE1CD3}">
            <xm:f>Auxiliar!$B$24</xm:f>
            <x14:dxf>
              <font>
                <b/>
                <i val="0"/>
                <color theme="1"/>
              </font>
              <fill>
                <patternFill patternType="darkUp">
                  <bgColor theme="0"/>
                </patternFill>
              </fill>
            </x14:dxf>
          </x14:cfRule>
          <x14:cfRule type="cellIs" priority="111" operator="equal" id="{5C847855-3480-4B6F-94F3-B3B209D6FAB8}">
            <xm:f>Auxiliar!$B$18</xm:f>
            <x14:dxf>
              <font>
                <b/>
                <i val="0"/>
                <color theme="0" tint="-0.499984740745262"/>
              </font>
              <fill>
                <patternFill>
                  <bgColor theme="0" tint="-4.9989318521683403E-2"/>
                </patternFill>
              </fill>
            </x14:dxf>
          </x14:cfRule>
          <x14:cfRule type="containsText" priority="112" operator="containsText" id="{06ED4EB0-6DB0-480E-8CED-B4493FA2BA44}">
            <xm:f>NOT(ISERROR(SEARCH(Auxiliar!$B$22,I1490)))</xm:f>
            <xm:f>Auxiliar!$B$22</xm:f>
            <x14:dxf>
              <font>
                <b/>
                <i val="0"/>
                <color rgb="FFC00000"/>
              </font>
              <fill>
                <patternFill>
                  <bgColor theme="4" tint="0.79998168889431442"/>
                </patternFill>
              </fill>
            </x14:dxf>
          </x14:cfRule>
          <x14:cfRule type="containsText" priority="113" operator="containsText" id="{57A6DFDA-06D4-4FE2-8443-0E41CFBB6671}">
            <xm:f>NOT(ISERROR(SEARCH(Auxiliar!$B$19,I1490)))</xm:f>
            <xm:f>Auxiliar!$B$19</xm:f>
            <x14:dxf>
              <font>
                <b/>
                <i val="0"/>
                <color theme="9" tint="-0.499984740745262"/>
              </font>
              <fill>
                <patternFill>
                  <bgColor theme="9" tint="0.79998168889431442"/>
                </patternFill>
              </fill>
            </x14:dxf>
          </x14:cfRule>
          <x14:cfRule type="containsText" priority="114" operator="containsText" id="{CCFE14BE-CDC8-48F4-AFD4-01DD466D76B6}">
            <xm:f>NOT(ISERROR(SEARCH(Auxiliar!$B$16,I1490)))</xm:f>
            <xm:f>Auxiliar!$B$16</xm:f>
            <x14:dxf>
              <font>
                <b/>
                <i val="0"/>
                <color theme="7"/>
              </font>
              <fill>
                <patternFill>
                  <bgColor theme="7" tint="0.79998168889431442"/>
                </patternFill>
              </fill>
            </x14:dxf>
          </x14:cfRule>
          <xm:sqref>I1490</xm:sqref>
        </x14:conditionalFormatting>
        <x14:conditionalFormatting xmlns:xm="http://schemas.microsoft.com/office/excel/2006/main">
          <x14:cfRule type="containsText" priority="103" operator="containsText" id="{966164F6-72DB-461D-868C-18937B3C5CDD}">
            <xm:f>NOT(ISERROR(SEARCH(Auxiliar!$B$21,I1491)))</xm:f>
            <xm:f>Auxiliar!$B$21</xm:f>
            <x14:dxf>
              <font>
                <b/>
                <i val="0"/>
                <color rgb="FFFFC000"/>
              </font>
              <fill>
                <patternFill>
                  <bgColor theme="9" tint="0.59996337778862885"/>
                </patternFill>
              </fill>
            </x14:dxf>
          </x14:cfRule>
          <xm:sqref>I1491</xm:sqref>
        </x14:conditionalFormatting>
        <x14:conditionalFormatting xmlns:xm="http://schemas.microsoft.com/office/excel/2006/main">
          <x14:cfRule type="cellIs" priority="104" operator="equal" id="{8AF7D580-27A3-468F-BC7C-859E1D7D87C3}">
            <xm:f>Auxiliar!$B$24</xm:f>
            <x14:dxf>
              <font>
                <b/>
                <i val="0"/>
                <color theme="1"/>
              </font>
              <fill>
                <patternFill patternType="darkUp">
                  <bgColor theme="0"/>
                </patternFill>
              </fill>
            </x14:dxf>
          </x14:cfRule>
          <x14:cfRule type="cellIs" priority="105" operator="equal" id="{711AE064-C4ED-40DC-800E-E050043AC889}">
            <xm:f>Auxiliar!$B$18</xm:f>
            <x14:dxf>
              <font>
                <b/>
                <i val="0"/>
                <color theme="0" tint="-0.499984740745262"/>
              </font>
              <fill>
                <patternFill>
                  <bgColor theme="0" tint="-4.9989318521683403E-2"/>
                </patternFill>
              </fill>
            </x14:dxf>
          </x14:cfRule>
          <x14:cfRule type="containsText" priority="106" operator="containsText" id="{88DA18B6-9A6D-4518-B770-C463DDA1557F}">
            <xm:f>NOT(ISERROR(SEARCH(Auxiliar!$B$22,I1491)))</xm:f>
            <xm:f>Auxiliar!$B$22</xm:f>
            <x14:dxf>
              <font>
                <b/>
                <i val="0"/>
                <color rgb="FFC00000"/>
              </font>
              <fill>
                <patternFill>
                  <bgColor theme="4" tint="0.79998168889431442"/>
                </patternFill>
              </fill>
            </x14:dxf>
          </x14:cfRule>
          <x14:cfRule type="containsText" priority="107" operator="containsText" id="{9BBF5821-E165-4488-8162-9127800B9626}">
            <xm:f>NOT(ISERROR(SEARCH(Auxiliar!$B$19,I1491)))</xm:f>
            <xm:f>Auxiliar!$B$19</xm:f>
            <x14:dxf>
              <font>
                <b/>
                <i val="0"/>
                <color theme="9" tint="-0.499984740745262"/>
              </font>
              <fill>
                <patternFill>
                  <bgColor theme="9" tint="0.79998168889431442"/>
                </patternFill>
              </fill>
            </x14:dxf>
          </x14:cfRule>
          <x14:cfRule type="containsText" priority="108" operator="containsText" id="{B1A52707-D2F0-4EA5-9530-E02377FCD740}">
            <xm:f>NOT(ISERROR(SEARCH(Auxiliar!$B$16,I1491)))</xm:f>
            <xm:f>Auxiliar!$B$16</xm:f>
            <x14:dxf>
              <font>
                <b/>
                <i val="0"/>
                <color theme="7"/>
              </font>
              <fill>
                <patternFill>
                  <bgColor theme="7" tint="0.79998168889431442"/>
                </patternFill>
              </fill>
            </x14:dxf>
          </x14:cfRule>
          <xm:sqref>I1491</xm:sqref>
        </x14:conditionalFormatting>
        <x14:conditionalFormatting xmlns:xm="http://schemas.microsoft.com/office/excel/2006/main">
          <x14:cfRule type="containsText" priority="97" operator="containsText" id="{30D83AA0-A03B-47FF-A2D3-0A3F1BBD0C79}">
            <xm:f>NOT(ISERROR(SEARCH(Auxiliar!$B$21,I1497)))</xm:f>
            <xm:f>Auxiliar!$B$21</xm:f>
            <x14:dxf>
              <font>
                <b/>
                <i val="0"/>
                <color rgb="FFFFC000"/>
              </font>
              <fill>
                <patternFill>
                  <bgColor theme="9" tint="0.59996337778862885"/>
                </patternFill>
              </fill>
            </x14:dxf>
          </x14:cfRule>
          <xm:sqref>I1497</xm:sqref>
        </x14:conditionalFormatting>
        <x14:conditionalFormatting xmlns:xm="http://schemas.microsoft.com/office/excel/2006/main">
          <x14:cfRule type="cellIs" priority="98" operator="equal" id="{56A4BB33-47BE-477B-B456-84CC847D51EB}">
            <xm:f>Auxiliar!$B$24</xm:f>
            <x14:dxf>
              <font>
                <b/>
                <i val="0"/>
                <color theme="1"/>
              </font>
              <fill>
                <patternFill patternType="darkUp">
                  <bgColor theme="0"/>
                </patternFill>
              </fill>
            </x14:dxf>
          </x14:cfRule>
          <x14:cfRule type="cellIs" priority="99" operator="equal" id="{D70A94C1-FC91-49B9-9517-3BBC02D7FCE3}">
            <xm:f>Auxiliar!$B$18</xm:f>
            <x14:dxf>
              <font>
                <b/>
                <i val="0"/>
                <color theme="0" tint="-0.499984740745262"/>
              </font>
              <fill>
                <patternFill>
                  <bgColor theme="0" tint="-4.9989318521683403E-2"/>
                </patternFill>
              </fill>
            </x14:dxf>
          </x14:cfRule>
          <x14:cfRule type="containsText" priority="100" operator="containsText" id="{66F51FD7-A34C-4343-BB6D-28CC3ACCADAE}">
            <xm:f>NOT(ISERROR(SEARCH(Auxiliar!$B$22,I1497)))</xm:f>
            <xm:f>Auxiliar!$B$22</xm:f>
            <x14:dxf>
              <font>
                <b/>
                <i val="0"/>
                <color rgb="FFC00000"/>
              </font>
              <fill>
                <patternFill>
                  <bgColor theme="4" tint="0.79998168889431442"/>
                </patternFill>
              </fill>
            </x14:dxf>
          </x14:cfRule>
          <x14:cfRule type="containsText" priority="101" operator="containsText" id="{C7ED4C40-63F8-45F0-BF82-0C6F62BD9CB7}">
            <xm:f>NOT(ISERROR(SEARCH(Auxiliar!$B$19,I1497)))</xm:f>
            <xm:f>Auxiliar!$B$19</xm:f>
            <x14:dxf>
              <font>
                <b/>
                <i val="0"/>
                <color theme="9" tint="-0.499984740745262"/>
              </font>
              <fill>
                <patternFill>
                  <bgColor theme="9" tint="0.79998168889431442"/>
                </patternFill>
              </fill>
            </x14:dxf>
          </x14:cfRule>
          <x14:cfRule type="containsText" priority="102" operator="containsText" id="{56BC278F-5C36-441B-B180-584D73C5DF4F}">
            <xm:f>NOT(ISERROR(SEARCH(Auxiliar!$B$16,I1497)))</xm:f>
            <xm:f>Auxiliar!$B$16</xm:f>
            <x14:dxf>
              <font>
                <b/>
                <i val="0"/>
                <color theme="7"/>
              </font>
              <fill>
                <patternFill>
                  <bgColor theme="7" tint="0.79998168889431442"/>
                </patternFill>
              </fill>
            </x14:dxf>
          </x14:cfRule>
          <xm:sqref>I1497</xm:sqref>
        </x14:conditionalFormatting>
        <x14:conditionalFormatting xmlns:xm="http://schemas.microsoft.com/office/excel/2006/main">
          <x14:cfRule type="containsText" priority="91" operator="containsText" id="{50D78235-AB08-4839-9159-E8A99E87EA33}">
            <xm:f>NOT(ISERROR(SEARCH(Auxiliar!$B$21,I1296)))</xm:f>
            <xm:f>Auxiliar!$B$21</xm:f>
            <x14:dxf>
              <font>
                <b/>
                <i val="0"/>
                <color rgb="FFFFC000"/>
              </font>
              <fill>
                <patternFill>
                  <bgColor theme="9" tint="0.59996337778862885"/>
                </patternFill>
              </fill>
            </x14:dxf>
          </x14:cfRule>
          <x14:cfRule type="cellIs" priority="92" operator="equal" id="{5744B9E9-3E69-4142-8D1D-B00BE76565D1}">
            <xm:f>Auxiliar!$B$24</xm:f>
            <x14:dxf>
              <font>
                <b/>
                <i val="0"/>
                <color theme="1"/>
              </font>
              <fill>
                <patternFill patternType="darkUp">
                  <bgColor theme="0"/>
                </patternFill>
              </fill>
            </x14:dxf>
          </x14:cfRule>
          <x14:cfRule type="cellIs" priority="93" operator="equal" id="{FC5A3D38-D702-4366-AEA3-D94ADE876FCF}">
            <xm:f>Auxiliar!$B$18</xm:f>
            <x14:dxf>
              <font>
                <b/>
                <i val="0"/>
                <color theme="0" tint="-0.499984740745262"/>
              </font>
              <fill>
                <patternFill>
                  <bgColor theme="0" tint="-4.9989318521683403E-2"/>
                </patternFill>
              </fill>
            </x14:dxf>
          </x14:cfRule>
          <x14:cfRule type="containsText" priority="94" operator="containsText" id="{09017B3E-892C-42C6-89BC-72E80BCC9010}">
            <xm:f>NOT(ISERROR(SEARCH(Auxiliar!$B$22,I1296)))</xm:f>
            <xm:f>Auxiliar!$B$22</xm:f>
            <x14:dxf>
              <font>
                <b/>
                <i val="0"/>
                <color rgb="FFC00000"/>
              </font>
              <fill>
                <patternFill>
                  <bgColor theme="4" tint="0.79998168889431442"/>
                </patternFill>
              </fill>
            </x14:dxf>
          </x14:cfRule>
          <x14:cfRule type="containsText" priority="95" operator="containsText" id="{F9E194AB-FC51-4325-96E8-D87326232F0B}">
            <xm:f>NOT(ISERROR(SEARCH(Auxiliar!$B$19,I1296)))</xm:f>
            <xm:f>Auxiliar!$B$19</xm:f>
            <x14:dxf>
              <font>
                <b/>
                <i val="0"/>
                <color theme="9" tint="-0.499984740745262"/>
              </font>
              <fill>
                <patternFill>
                  <bgColor theme="9" tint="0.79998168889431442"/>
                </patternFill>
              </fill>
            </x14:dxf>
          </x14:cfRule>
          <x14:cfRule type="containsText" priority="96" operator="containsText" id="{CF8015B1-266C-4E93-8600-7A15C7AD8BF9}">
            <xm:f>NOT(ISERROR(SEARCH(Auxiliar!$B$16,I1296)))</xm:f>
            <xm:f>Auxiliar!$B$16</xm:f>
            <x14:dxf>
              <font>
                <b/>
                <i val="0"/>
                <color theme="7"/>
              </font>
              <fill>
                <patternFill>
                  <bgColor theme="7" tint="0.79998168889431442"/>
                </patternFill>
              </fill>
            </x14:dxf>
          </x14:cfRule>
          <xm:sqref>I1432 I1296:I1298 I1324:I1332</xm:sqref>
        </x14:conditionalFormatting>
        <x14:conditionalFormatting xmlns:xm="http://schemas.microsoft.com/office/excel/2006/main">
          <x14:cfRule type="containsText" priority="61" operator="containsText" id="{AFF1CE8B-795D-4988-B010-64600C178828}">
            <xm:f>NOT(ISERROR(SEARCH(Auxiliar!$B$21,I414)))</xm:f>
            <xm:f>Auxiliar!$B$21</xm:f>
            <x14:dxf>
              <font>
                <b/>
                <i val="0"/>
                <color rgb="FFFFC000"/>
              </font>
              <fill>
                <patternFill>
                  <bgColor theme="9" tint="0.59996337778862885"/>
                </patternFill>
              </fill>
            </x14:dxf>
          </x14:cfRule>
          <x14:cfRule type="cellIs" priority="62" operator="equal" id="{C1B8F3A7-707D-4F0D-8945-68E216EFB8BD}">
            <xm:f>Auxiliar!$B$24</xm:f>
            <x14:dxf>
              <font>
                <b/>
                <i val="0"/>
                <color theme="1"/>
              </font>
              <fill>
                <patternFill patternType="darkUp">
                  <bgColor theme="0"/>
                </patternFill>
              </fill>
            </x14:dxf>
          </x14:cfRule>
          <x14:cfRule type="cellIs" priority="63" operator="equal" id="{8564ABDB-F13F-47A1-9061-CF89788CE26B}">
            <xm:f>Auxiliar!$B$18</xm:f>
            <x14:dxf>
              <font>
                <b/>
                <i val="0"/>
                <color theme="0" tint="-0.499984740745262"/>
              </font>
              <fill>
                <patternFill>
                  <bgColor theme="0" tint="-4.9989318521683403E-2"/>
                </patternFill>
              </fill>
            </x14:dxf>
          </x14:cfRule>
          <x14:cfRule type="containsText" priority="64" operator="containsText" id="{4BE32BE7-5E30-4F0E-9D85-817887499FD9}">
            <xm:f>NOT(ISERROR(SEARCH(Auxiliar!$B$22,I414)))</xm:f>
            <xm:f>Auxiliar!$B$22</xm:f>
            <x14:dxf>
              <font>
                <b/>
                <i val="0"/>
                <color rgb="FFC00000"/>
              </font>
              <fill>
                <patternFill>
                  <bgColor theme="4" tint="0.79998168889431442"/>
                </patternFill>
              </fill>
            </x14:dxf>
          </x14:cfRule>
          <x14:cfRule type="containsText" priority="65" operator="containsText" id="{59C33390-0BB8-4DE2-98DD-F314D9221CC5}">
            <xm:f>NOT(ISERROR(SEARCH(Auxiliar!$B$19,I414)))</xm:f>
            <xm:f>Auxiliar!$B$19</xm:f>
            <x14:dxf>
              <font>
                <b/>
                <i val="0"/>
                <color theme="9" tint="-0.499984740745262"/>
              </font>
              <fill>
                <patternFill>
                  <bgColor theme="9" tint="0.79998168889431442"/>
                </patternFill>
              </fill>
            </x14:dxf>
          </x14:cfRule>
          <x14:cfRule type="containsText" priority="66" operator="containsText" id="{30ABD394-1CC8-434F-855D-4360D39463D5}">
            <xm:f>NOT(ISERROR(SEARCH(Auxiliar!$B$16,I414)))</xm:f>
            <xm:f>Auxiliar!$B$16</xm:f>
            <x14:dxf>
              <font>
                <b/>
                <i val="0"/>
                <color theme="7"/>
              </font>
              <fill>
                <patternFill>
                  <bgColor theme="7" tint="0.79998168889431442"/>
                </patternFill>
              </fill>
            </x14:dxf>
          </x14:cfRule>
          <xm:sqref>I418 I414:I415</xm:sqref>
        </x14:conditionalFormatting>
        <x14:conditionalFormatting xmlns:xm="http://schemas.microsoft.com/office/excel/2006/main">
          <x14:cfRule type="containsText" priority="55" operator="containsText" id="{3C65CC34-1EAB-4AE9-87B5-2C829BE7745D}">
            <xm:f>NOT(ISERROR(SEARCH(Auxiliar!$B$21,I1429)))</xm:f>
            <xm:f>Auxiliar!$B$21</xm:f>
            <x14:dxf>
              <font>
                <b/>
                <i val="0"/>
                <color rgb="FFFFC000"/>
              </font>
              <fill>
                <patternFill>
                  <bgColor theme="9" tint="0.59996337778862885"/>
                </patternFill>
              </fill>
            </x14:dxf>
          </x14:cfRule>
          <x14:cfRule type="cellIs" priority="56" operator="equal" id="{D90C1412-4B9F-4783-BE88-83F5A9C4964E}">
            <xm:f>Auxiliar!$B$24</xm:f>
            <x14:dxf>
              <font>
                <b/>
                <i val="0"/>
                <color theme="1"/>
              </font>
              <fill>
                <patternFill patternType="darkUp">
                  <bgColor theme="0"/>
                </patternFill>
              </fill>
            </x14:dxf>
          </x14:cfRule>
          <x14:cfRule type="cellIs" priority="57" operator="equal" id="{3175A5F4-11BF-45CE-BEA1-FDEF32D54D6E}">
            <xm:f>Auxiliar!$B$18</xm:f>
            <x14:dxf>
              <font>
                <b/>
                <i val="0"/>
                <color theme="0" tint="-0.499984740745262"/>
              </font>
              <fill>
                <patternFill>
                  <bgColor theme="0" tint="-4.9989318521683403E-2"/>
                </patternFill>
              </fill>
            </x14:dxf>
          </x14:cfRule>
          <x14:cfRule type="containsText" priority="58" operator="containsText" id="{95EA9536-C5E5-4EAF-83B0-124D2B68143E}">
            <xm:f>NOT(ISERROR(SEARCH(Auxiliar!$B$22,I1429)))</xm:f>
            <xm:f>Auxiliar!$B$22</xm:f>
            <x14:dxf>
              <font>
                <b/>
                <i val="0"/>
                <color rgb="FFC00000"/>
              </font>
              <fill>
                <patternFill>
                  <bgColor theme="4" tint="0.79998168889431442"/>
                </patternFill>
              </fill>
            </x14:dxf>
          </x14:cfRule>
          <x14:cfRule type="containsText" priority="59" operator="containsText" id="{A500850E-ED64-4E6A-9B42-1ADB4BE24FE3}">
            <xm:f>NOT(ISERROR(SEARCH(Auxiliar!$B$19,I1429)))</xm:f>
            <xm:f>Auxiliar!$B$19</xm:f>
            <x14:dxf>
              <font>
                <b/>
                <i val="0"/>
                <color theme="9" tint="-0.499984740745262"/>
              </font>
              <fill>
                <patternFill>
                  <bgColor theme="9" tint="0.79998168889431442"/>
                </patternFill>
              </fill>
            </x14:dxf>
          </x14:cfRule>
          <x14:cfRule type="containsText" priority="60" operator="containsText" id="{0629F826-141E-4822-B193-03FF2E5DCD61}">
            <xm:f>NOT(ISERROR(SEARCH(Auxiliar!$B$16,I1429)))</xm:f>
            <xm:f>Auxiliar!$B$16</xm:f>
            <x14:dxf>
              <font>
                <b/>
                <i val="0"/>
                <color theme="7"/>
              </font>
              <fill>
                <patternFill>
                  <bgColor theme="7" tint="0.79998168889431442"/>
                </patternFill>
              </fill>
            </x14:dxf>
          </x14:cfRule>
          <xm:sqref>I1429</xm:sqref>
        </x14:conditionalFormatting>
        <x14:conditionalFormatting xmlns:xm="http://schemas.microsoft.com/office/excel/2006/main">
          <x14:cfRule type="containsText" priority="43" operator="containsText" id="{157955B4-2E85-4930-B9B6-9A564FD91CEB}">
            <xm:f>NOT(ISERROR(SEARCH(Auxiliar!$B$21,I802)))</xm:f>
            <xm:f>Auxiliar!$B$21</xm:f>
            <x14:dxf>
              <font>
                <b/>
                <i val="0"/>
                <color rgb="FFFFC000"/>
              </font>
              <fill>
                <patternFill>
                  <bgColor theme="9" tint="0.59996337778862885"/>
                </patternFill>
              </fill>
            </x14:dxf>
          </x14:cfRule>
          <xm:sqref>I802:I823</xm:sqref>
        </x14:conditionalFormatting>
        <x14:conditionalFormatting xmlns:xm="http://schemas.microsoft.com/office/excel/2006/main">
          <x14:cfRule type="cellIs" priority="44" operator="equal" id="{39B763DA-6F77-4E11-8343-BE520F6A17CF}">
            <xm:f>Auxiliar!$B$24</xm:f>
            <x14:dxf>
              <font>
                <b/>
                <i val="0"/>
                <color theme="1"/>
              </font>
              <fill>
                <patternFill patternType="darkUp">
                  <bgColor theme="0"/>
                </patternFill>
              </fill>
            </x14:dxf>
          </x14:cfRule>
          <x14:cfRule type="cellIs" priority="45" operator="equal" id="{170FD677-B182-4021-A53E-34C3862D2AFE}">
            <xm:f>Auxiliar!$B$18</xm:f>
            <x14:dxf>
              <font>
                <b/>
                <i val="0"/>
                <color theme="0" tint="-0.499984740745262"/>
              </font>
              <fill>
                <patternFill>
                  <bgColor theme="0" tint="-4.9989318521683403E-2"/>
                </patternFill>
              </fill>
            </x14:dxf>
          </x14:cfRule>
          <x14:cfRule type="containsText" priority="46" operator="containsText" id="{42376D21-7F09-41E4-A064-4803FCD6DDB2}">
            <xm:f>NOT(ISERROR(SEARCH(Auxiliar!$B$22,I802)))</xm:f>
            <xm:f>Auxiliar!$B$22</xm:f>
            <x14:dxf>
              <font>
                <b/>
                <i val="0"/>
                <color rgb="FFC00000"/>
              </font>
              <fill>
                <patternFill>
                  <bgColor theme="4" tint="0.79998168889431442"/>
                </patternFill>
              </fill>
            </x14:dxf>
          </x14:cfRule>
          <x14:cfRule type="containsText" priority="47" operator="containsText" id="{7C7F61BC-9D26-4998-B8D4-A3DF5A2A6D88}">
            <xm:f>NOT(ISERROR(SEARCH(Auxiliar!$B$19,I802)))</xm:f>
            <xm:f>Auxiliar!$B$19</xm:f>
            <x14:dxf>
              <font>
                <b/>
                <i val="0"/>
                <color theme="9" tint="-0.499984740745262"/>
              </font>
              <fill>
                <patternFill>
                  <bgColor theme="9" tint="0.79998168889431442"/>
                </patternFill>
              </fill>
            </x14:dxf>
          </x14:cfRule>
          <x14:cfRule type="containsText" priority="48" operator="containsText" id="{580D37F1-B430-476A-96D5-131AB371C3EF}">
            <xm:f>NOT(ISERROR(SEARCH(Auxiliar!$B$16,I802)))</xm:f>
            <xm:f>Auxiliar!$B$16</xm:f>
            <x14:dxf>
              <font>
                <b/>
                <i val="0"/>
                <color theme="7"/>
              </font>
              <fill>
                <patternFill>
                  <bgColor theme="7" tint="0.79998168889431442"/>
                </patternFill>
              </fill>
            </x14:dxf>
          </x14:cfRule>
          <xm:sqref>I802:I823</xm:sqref>
        </x14:conditionalFormatting>
        <x14:conditionalFormatting xmlns:xm="http://schemas.microsoft.com/office/excel/2006/main">
          <x14:cfRule type="containsText" priority="37" operator="containsText" id="{EC5D2995-3524-4D09-B230-C4F962BB1298}">
            <xm:f>NOT(ISERROR(SEARCH(Auxiliar!$B$21,I1430)))</xm:f>
            <xm:f>Auxiliar!$B$21</xm:f>
            <x14:dxf>
              <font>
                <b/>
                <i val="0"/>
                <color rgb="FFFFC000"/>
              </font>
              <fill>
                <patternFill>
                  <bgColor theme="9" tint="0.59996337778862885"/>
                </patternFill>
              </fill>
            </x14:dxf>
          </x14:cfRule>
          <x14:cfRule type="cellIs" priority="38" operator="equal" id="{974F5F4E-0A9C-4A2A-842A-2A0857FCF30A}">
            <xm:f>Auxiliar!$B$24</xm:f>
            <x14:dxf>
              <font>
                <b/>
                <i val="0"/>
                <color theme="1"/>
              </font>
              <fill>
                <patternFill patternType="darkUp">
                  <bgColor theme="0"/>
                </patternFill>
              </fill>
            </x14:dxf>
          </x14:cfRule>
          <x14:cfRule type="cellIs" priority="39" operator="equal" id="{4D284894-A160-4EC6-B3D2-1A10CB3D7D0C}">
            <xm:f>Auxiliar!$B$18</xm:f>
            <x14:dxf>
              <font>
                <b/>
                <i val="0"/>
                <color theme="0" tint="-0.499984740745262"/>
              </font>
              <fill>
                <patternFill>
                  <bgColor theme="0" tint="-4.9989318521683403E-2"/>
                </patternFill>
              </fill>
            </x14:dxf>
          </x14:cfRule>
          <x14:cfRule type="containsText" priority="40" operator="containsText" id="{700AFCFC-EF14-4FD7-8B36-BBABEBDDA75D}">
            <xm:f>NOT(ISERROR(SEARCH(Auxiliar!$B$22,I1430)))</xm:f>
            <xm:f>Auxiliar!$B$22</xm:f>
            <x14:dxf>
              <font>
                <b/>
                <i val="0"/>
                <color rgb="FFC00000"/>
              </font>
              <fill>
                <patternFill>
                  <bgColor theme="4" tint="0.79998168889431442"/>
                </patternFill>
              </fill>
            </x14:dxf>
          </x14:cfRule>
          <x14:cfRule type="containsText" priority="41" operator="containsText" id="{759AE8AB-62BA-4FB8-B823-3184A4F14A1E}">
            <xm:f>NOT(ISERROR(SEARCH(Auxiliar!$B$19,I1430)))</xm:f>
            <xm:f>Auxiliar!$B$19</xm:f>
            <x14:dxf>
              <font>
                <b/>
                <i val="0"/>
                <color theme="9" tint="-0.499984740745262"/>
              </font>
              <fill>
                <patternFill>
                  <bgColor theme="9" tint="0.79998168889431442"/>
                </patternFill>
              </fill>
            </x14:dxf>
          </x14:cfRule>
          <x14:cfRule type="containsText" priority="42" operator="containsText" id="{E6329834-621C-476D-A580-92DA274F6A55}">
            <xm:f>NOT(ISERROR(SEARCH(Auxiliar!$B$16,I1430)))</xm:f>
            <xm:f>Auxiliar!$B$16</xm:f>
            <x14:dxf>
              <font>
                <b/>
                <i val="0"/>
                <color theme="7"/>
              </font>
              <fill>
                <patternFill>
                  <bgColor theme="7" tint="0.79998168889431442"/>
                </patternFill>
              </fill>
            </x14:dxf>
          </x14:cfRule>
          <xm:sqref>I1430</xm:sqref>
        </x14:conditionalFormatting>
        <x14:conditionalFormatting xmlns:xm="http://schemas.microsoft.com/office/excel/2006/main">
          <x14:cfRule type="containsText" priority="31" operator="containsText" id="{C10D6BBB-F3B9-4240-995B-8974411DD461}">
            <xm:f>NOT(ISERROR(SEARCH(Auxiliar!$B$21,I1287)))</xm:f>
            <xm:f>Auxiliar!$B$21</xm:f>
            <x14:dxf>
              <font>
                <b/>
                <i val="0"/>
                <color rgb="FFFFC000"/>
              </font>
              <fill>
                <patternFill>
                  <bgColor theme="9" tint="0.59996337778862885"/>
                </patternFill>
              </fill>
            </x14:dxf>
          </x14:cfRule>
          <x14:cfRule type="cellIs" priority="32" operator="equal" id="{D8FEF32D-D1FE-4838-9272-84AA539864CC}">
            <xm:f>Auxiliar!$B$24</xm:f>
            <x14:dxf>
              <font>
                <b/>
                <i val="0"/>
                <color theme="1"/>
              </font>
              <fill>
                <patternFill patternType="darkUp">
                  <bgColor theme="0"/>
                </patternFill>
              </fill>
            </x14:dxf>
          </x14:cfRule>
          <x14:cfRule type="cellIs" priority="33" operator="equal" id="{97CB97CE-C8A4-4F0C-9BCB-C291E24DDCA8}">
            <xm:f>Auxiliar!$B$18</xm:f>
            <x14:dxf>
              <font>
                <b/>
                <i val="0"/>
                <color theme="0" tint="-0.499984740745262"/>
              </font>
              <fill>
                <patternFill>
                  <bgColor theme="0" tint="-4.9989318521683403E-2"/>
                </patternFill>
              </fill>
            </x14:dxf>
          </x14:cfRule>
          <x14:cfRule type="containsText" priority="34" operator="containsText" id="{435302D8-DBB5-4B87-9353-EAA946EF5C50}">
            <xm:f>NOT(ISERROR(SEARCH(Auxiliar!$B$22,I1287)))</xm:f>
            <xm:f>Auxiliar!$B$22</xm:f>
            <x14:dxf>
              <font>
                <b/>
                <i val="0"/>
                <color rgb="FFC00000"/>
              </font>
              <fill>
                <patternFill>
                  <bgColor theme="4" tint="0.79998168889431442"/>
                </patternFill>
              </fill>
            </x14:dxf>
          </x14:cfRule>
          <x14:cfRule type="containsText" priority="35" operator="containsText" id="{E690CA31-38CC-4AC4-9D50-6CC8A4C34964}">
            <xm:f>NOT(ISERROR(SEARCH(Auxiliar!$B$19,I1287)))</xm:f>
            <xm:f>Auxiliar!$B$19</xm:f>
            <x14:dxf>
              <font>
                <b/>
                <i val="0"/>
                <color theme="9" tint="-0.499984740745262"/>
              </font>
              <fill>
                <patternFill>
                  <bgColor theme="9" tint="0.79998168889431442"/>
                </patternFill>
              </fill>
            </x14:dxf>
          </x14:cfRule>
          <x14:cfRule type="containsText" priority="36" operator="containsText" id="{92316624-CBCD-4D49-BB35-3F7039090029}">
            <xm:f>NOT(ISERROR(SEARCH(Auxiliar!$B$16,I1287)))</xm:f>
            <xm:f>Auxiliar!$B$16</xm:f>
            <x14:dxf>
              <font>
                <b/>
                <i val="0"/>
                <color theme="7"/>
              </font>
              <fill>
                <patternFill>
                  <bgColor theme="7" tint="0.79998168889431442"/>
                </patternFill>
              </fill>
            </x14:dxf>
          </x14:cfRule>
          <xm:sqref>I1287</xm:sqref>
        </x14:conditionalFormatting>
        <x14:conditionalFormatting xmlns:xm="http://schemas.microsoft.com/office/excel/2006/main">
          <x14:cfRule type="containsText" priority="25" operator="containsText" id="{99370DD0-24B5-4755-BC85-34E30EE7D170}">
            <xm:f>NOT(ISERROR(SEARCH(Auxiliar!$B$21,I1288)))</xm:f>
            <xm:f>Auxiliar!$B$21</xm:f>
            <x14:dxf>
              <font>
                <b/>
                <i val="0"/>
                <color rgb="FFFFC000"/>
              </font>
              <fill>
                <patternFill>
                  <bgColor theme="9" tint="0.59996337778862885"/>
                </patternFill>
              </fill>
            </x14:dxf>
          </x14:cfRule>
          <x14:cfRule type="cellIs" priority="26" operator="equal" id="{42ABBEAA-ED11-4388-B858-FB57AB1288F7}">
            <xm:f>Auxiliar!$B$24</xm:f>
            <x14:dxf>
              <font>
                <b/>
                <i val="0"/>
                <color theme="1"/>
              </font>
              <fill>
                <patternFill patternType="darkUp">
                  <bgColor theme="0"/>
                </patternFill>
              </fill>
            </x14:dxf>
          </x14:cfRule>
          <x14:cfRule type="cellIs" priority="27" operator="equal" id="{18EA379A-D5E3-4210-8166-967249256091}">
            <xm:f>Auxiliar!$B$18</xm:f>
            <x14:dxf>
              <font>
                <b/>
                <i val="0"/>
                <color theme="0" tint="-0.499984740745262"/>
              </font>
              <fill>
                <patternFill>
                  <bgColor theme="0" tint="-4.9989318521683403E-2"/>
                </patternFill>
              </fill>
            </x14:dxf>
          </x14:cfRule>
          <x14:cfRule type="containsText" priority="28" operator="containsText" id="{1049DA92-573B-438A-A634-E596D555C056}">
            <xm:f>NOT(ISERROR(SEARCH(Auxiliar!$B$22,I1288)))</xm:f>
            <xm:f>Auxiliar!$B$22</xm:f>
            <x14:dxf>
              <font>
                <b/>
                <i val="0"/>
                <color rgb="FFC00000"/>
              </font>
              <fill>
                <patternFill>
                  <bgColor theme="4" tint="0.79998168889431442"/>
                </patternFill>
              </fill>
            </x14:dxf>
          </x14:cfRule>
          <x14:cfRule type="containsText" priority="29" operator="containsText" id="{E0CD1AD8-9634-401D-9B86-47057AA62704}">
            <xm:f>NOT(ISERROR(SEARCH(Auxiliar!$B$19,I1288)))</xm:f>
            <xm:f>Auxiliar!$B$19</xm:f>
            <x14:dxf>
              <font>
                <b/>
                <i val="0"/>
                <color theme="9" tint="-0.499984740745262"/>
              </font>
              <fill>
                <patternFill>
                  <bgColor theme="9" tint="0.79998168889431442"/>
                </patternFill>
              </fill>
            </x14:dxf>
          </x14:cfRule>
          <x14:cfRule type="containsText" priority="30" operator="containsText" id="{BBCECE78-411E-4176-9C61-4B187CDBFC7D}">
            <xm:f>NOT(ISERROR(SEARCH(Auxiliar!$B$16,I1288)))</xm:f>
            <xm:f>Auxiliar!$B$16</xm:f>
            <x14:dxf>
              <font>
                <b/>
                <i val="0"/>
                <color theme="7"/>
              </font>
              <fill>
                <patternFill>
                  <bgColor theme="7" tint="0.79998168889431442"/>
                </patternFill>
              </fill>
            </x14:dxf>
          </x14:cfRule>
          <xm:sqref>I1288</xm:sqref>
        </x14:conditionalFormatting>
        <x14:conditionalFormatting xmlns:xm="http://schemas.microsoft.com/office/excel/2006/main">
          <x14:cfRule type="containsText" priority="19" operator="containsText" id="{BF0F8C15-93BD-4E46-8C9B-2C124F0F214A}">
            <xm:f>NOT(ISERROR(SEARCH(Auxiliar!$B$21,I1289)))</xm:f>
            <xm:f>Auxiliar!$B$21</xm:f>
            <x14:dxf>
              <font>
                <b/>
                <i val="0"/>
                <color rgb="FFFFC000"/>
              </font>
              <fill>
                <patternFill>
                  <bgColor theme="9" tint="0.59996337778862885"/>
                </patternFill>
              </fill>
            </x14:dxf>
          </x14:cfRule>
          <x14:cfRule type="cellIs" priority="20" operator="equal" id="{D2AD6FF2-5F5F-482A-A745-C1501EDFE182}">
            <xm:f>Auxiliar!$B$24</xm:f>
            <x14:dxf>
              <font>
                <b/>
                <i val="0"/>
                <color theme="1"/>
              </font>
              <fill>
                <patternFill patternType="darkUp">
                  <bgColor theme="0"/>
                </patternFill>
              </fill>
            </x14:dxf>
          </x14:cfRule>
          <x14:cfRule type="cellIs" priority="21" operator="equal" id="{123FAC6B-CF87-462A-AA6E-35EE2A6364BA}">
            <xm:f>Auxiliar!$B$18</xm:f>
            <x14:dxf>
              <font>
                <b/>
                <i val="0"/>
                <color theme="0" tint="-0.499984740745262"/>
              </font>
              <fill>
                <patternFill>
                  <bgColor theme="0" tint="-4.9989318521683403E-2"/>
                </patternFill>
              </fill>
            </x14:dxf>
          </x14:cfRule>
          <x14:cfRule type="containsText" priority="22" operator="containsText" id="{005213F3-8FCB-489B-A1C9-F64F7DDD4A90}">
            <xm:f>NOT(ISERROR(SEARCH(Auxiliar!$B$22,I1289)))</xm:f>
            <xm:f>Auxiliar!$B$22</xm:f>
            <x14:dxf>
              <font>
                <b/>
                <i val="0"/>
                <color rgb="FFC00000"/>
              </font>
              <fill>
                <patternFill>
                  <bgColor theme="4" tint="0.79998168889431442"/>
                </patternFill>
              </fill>
            </x14:dxf>
          </x14:cfRule>
          <x14:cfRule type="containsText" priority="23" operator="containsText" id="{AA8B1D92-0D18-485D-BC05-63EFCBA62A78}">
            <xm:f>NOT(ISERROR(SEARCH(Auxiliar!$B$19,I1289)))</xm:f>
            <xm:f>Auxiliar!$B$19</xm:f>
            <x14:dxf>
              <font>
                <b/>
                <i val="0"/>
                <color theme="9" tint="-0.499984740745262"/>
              </font>
              <fill>
                <patternFill>
                  <bgColor theme="9" tint="0.79998168889431442"/>
                </patternFill>
              </fill>
            </x14:dxf>
          </x14:cfRule>
          <x14:cfRule type="containsText" priority="24" operator="containsText" id="{7D41D601-F0FE-40FA-9469-09C2F695FCEF}">
            <xm:f>NOT(ISERROR(SEARCH(Auxiliar!$B$16,I1289)))</xm:f>
            <xm:f>Auxiliar!$B$16</xm:f>
            <x14:dxf>
              <font>
                <b/>
                <i val="0"/>
                <color theme="7"/>
              </font>
              <fill>
                <patternFill>
                  <bgColor theme="7" tint="0.79998168889431442"/>
                </patternFill>
              </fill>
            </x14:dxf>
          </x14:cfRule>
          <xm:sqref>I1289</xm:sqref>
        </x14:conditionalFormatting>
        <x14:conditionalFormatting xmlns:xm="http://schemas.microsoft.com/office/excel/2006/main">
          <x14:cfRule type="containsText" priority="13" operator="containsText" id="{CAD43290-6EA3-425F-994E-C0CB884D8FCA}">
            <xm:f>NOT(ISERROR(SEARCH(Auxiliar!$B$21,I1431)))</xm:f>
            <xm:f>Auxiliar!$B$21</xm:f>
            <x14:dxf>
              <font>
                <b/>
                <i val="0"/>
                <color rgb="FFFFC000"/>
              </font>
              <fill>
                <patternFill>
                  <bgColor theme="9" tint="0.59996337778862885"/>
                </patternFill>
              </fill>
            </x14:dxf>
          </x14:cfRule>
          <x14:cfRule type="cellIs" priority="14" operator="equal" id="{9A651BD2-4429-461D-BE18-CC61151C7F93}">
            <xm:f>Auxiliar!$B$24</xm:f>
            <x14:dxf>
              <font>
                <b/>
                <i val="0"/>
                <color theme="1"/>
              </font>
              <fill>
                <patternFill patternType="darkUp">
                  <bgColor theme="0"/>
                </patternFill>
              </fill>
            </x14:dxf>
          </x14:cfRule>
          <x14:cfRule type="cellIs" priority="15" operator="equal" id="{C7D1CDA6-0C64-4B06-B3E1-70C573978E68}">
            <xm:f>Auxiliar!$B$18</xm:f>
            <x14:dxf>
              <font>
                <b/>
                <i val="0"/>
                <color theme="0" tint="-0.499984740745262"/>
              </font>
              <fill>
                <patternFill>
                  <bgColor theme="0" tint="-4.9989318521683403E-2"/>
                </patternFill>
              </fill>
            </x14:dxf>
          </x14:cfRule>
          <x14:cfRule type="containsText" priority="16" operator="containsText" id="{280B482D-C34C-4C0B-B1C0-B45806CF32B9}">
            <xm:f>NOT(ISERROR(SEARCH(Auxiliar!$B$22,I1431)))</xm:f>
            <xm:f>Auxiliar!$B$22</xm:f>
            <x14:dxf>
              <font>
                <b/>
                <i val="0"/>
                <color rgb="FFC00000"/>
              </font>
              <fill>
                <patternFill>
                  <bgColor theme="4" tint="0.79998168889431442"/>
                </patternFill>
              </fill>
            </x14:dxf>
          </x14:cfRule>
          <x14:cfRule type="containsText" priority="17" operator="containsText" id="{51BED82D-9323-4B2A-9CD1-71659029C9CC}">
            <xm:f>NOT(ISERROR(SEARCH(Auxiliar!$B$19,I1431)))</xm:f>
            <xm:f>Auxiliar!$B$19</xm:f>
            <x14:dxf>
              <font>
                <b/>
                <i val="0"/>
                <color theme="9" tint="-0.499984740745262"/>
              </font>
              <fill>
                <patternFill>
                  <bgColor theme="9" tint="0.79998168889431442"/>
                </patternFill>
              </fill>
            </x14:dxf>
          </x14:cfRule>
          <x14:cfRule type="containsText" priority="18" operator="containsText" id="{45D4DDF4-389D-49C3-A3D6-6B51559AC368}">
            <xm:f>NOT(ISERROR(SEARCH(Auxiliar!$B$16,I1431)))</xm:f>
            <xm:f>Auxiliar!$B$16</xm:f>
            <x14:dxf>
              <font>
                <b/>
                <i val="0"/>
                <color theme="7"/>
              </font>
              <fill>
                <patternFill>
                  <bgColor theme="7" tint="0.79998168889431442"/>
                </patternFill>
              </fill>
            </x14:dxf>
          </x14:cfRule>
          <xm:sqref>I1431</xm:sqref>
        </x14:conditionalFormatting>
        <x14:conditionalFormatting xmlns:xm="http://schemas.microsoft.com/office/excel/2006/main">
          <x14:cfRule type="containsText" priority="1" operator="containsText" id="{C450D949-9F93-4FC1-A6CC-AE807BDE0A39}">
            <xm:f>NOT(ISERROR(SEARCH(Auxiliar!$B$21,I1426)))</xm:f>
            <xm:f>Auxiliar!$B$21</xm:f>
            <x14:dxf>
              <font>
                <b/>
                <i val="0"/>
                <color rgb="FFFFC000"/>
              </font>
              <fill>
                <patternFill>
                  <bgColor theme="9" tint="0.59996337778862885"/>
                </patternFill>
              </fill>
            </x14:dxf>
          </x14:cfRule>
          <x14:cfRule type="cellIs" priority="2" operator="equal" id="{EE082AB8-DD48-4A2E-B0D8-D36954B94277}">
            <xm:f>Auxiliar!$B$24</xm:f>
            <x14:dxf>
              <font>
                <b/>
                <i val="0"/>
                <color theme="1"/>
              </font>
              <fill>
                <patternFill patternType="darkUp">
                  <bgColor theme="0"/>
                </patternFill>
              </fill>
            </x14:dxf>
          </x14:cfRule>
          <x14:cfRule type="cellIs" priority="3" operator="equal" id="{E6026FB7-C92B-4F4F-B95C-B0B887293D46}">
            <xm:f>Auxiliar!$B$18</xm:f>
            <x14:dxf>
              <font>
                <b/>
                <i val="0"/>
                <color theme="0" tint="-0.499984740745262"/>
              </font>
              <fill>
                <patternFill>
                  <bgColor theme="0" tint="-4.9989318521683403E-2"/>
                </patternFill>
              </fill>
            </x14:dxf>
          </x14:cfRule>
          <x14:cfRule type="containsText" priority="4" operator="containsText" id="{A9180250-3B0C-4C53-9BD2-846A436D7A53}">
            <xm:f>NOT(ISERROR(SEARCH(Auxiliar!$B$22,I1426)))</xm:f>
            <xm:f>Auxiliar!$B$22</xm:f>
            <x14:dxf>
              <font>
                <b/>
                <i val="0"/>
                <color rgb="FFC00000"/>
              </font>
              <fill>
                <patternFill>
                  <bgColor theme="4" tint="0.79998168889431442"/>
                </patternFill>
              </fill>
            </x14:dxf>
          </x14:cfRule>
          <x14:cfRule type="containsText" priority="5" operator="containsText" id="{06C260A6-0DCA-4A7A-8A40-C097E4C336F5}">
            <xm:f>NOT(ISERROR(SEARCH(Auxiliar!$B$19,I1426)))</xm:f>
            <xm:f>Auxiliar!$B$19</xm:f>
            <x14:dxf>
              <font>
                <b/>
                <i val="0"/>
                <color theme="9" tint="-0.499984740745262"/>
              </font>
              <fill>
                <patternFill>
                  <bgColor theme="9" tint="0.79998168889431442"/>
                </patternFill>
              </fill>
            </x14:dxf>
          </x14:cfRule>
          <x14:cfRule type="containsText" priority="6" operator="containsText" id="{FD857212-65AF-4C37-8D2E-93E47CB27359}">
            <xm:f>NOT(ISERROR(SEARCH(Auxiliar!$B$16,I1426)))</xm:f>
            <xm:f>Auxiliar!$B$16</xm:f>
            <x14:dxf>
              <font>
                <b/>
                <i val="0"/>
                <color theme="7"/>
              </font>
              <fill>
                <patternFill>
                  <bgColor theme="7" tint="0.79998168889431442"/>
                </patternFill>
              </fill>
            </x14:dxf>
          </x14:cfRule>
          <xm:sqref>I1426</xm:sqref>
        </x14:conditionalFormatting>
      </x14:conditionalFormattings>
    </ext>
    <ext xmlns:x14="http://schemas.microsoft.com/office/spreadsheetml/2009/9/main" uri="{CCE6A557-97BC-4b89-ADB6-D9C93CAAB3DF}">
      <x14:dataValidations xmlns:xm="http://schemas.microsoft.com/office/excel/2006/main" count="3">
        <x14:dataValidation type="list" allowBlank="1" showInputMessage="1" showErrorMessage="1">
          <x14:formula1>
            <xm:f>Auxiliar!$D$4:$F$4</xm:f>
          </x14:formula1>
          <xm:sqref>M9:M1532</xm:sqref>
        </x14:dataValidation>
        <x14:dataValidation type="list" allowBlank="1" showInputMessage="1" showErrorMessage="1">
          <x14:formula1>
            <xm:f>Auxiliar!$B$5:$B$13</xm:f>
          </x14:formula1>
          <xm:sqref>K9:K1532</xm:sqref>
        </x14:dataValidation>
        <x14:dataValidation type="list" allowBlank="1" showInputMessage="1" showErrorMessage="1">
          <x14:formula1>
            <xm:f>Auxiliar!$B$16:$B$24</xm:f>
          </x14:formula1>
          <xm:sqref>I9:I1532</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P210"/>
  <sheetViews>
    <sheetView showGridLines="0" topLeftCell="A96" zoomScale="70" zoomScaleNormal="70" workbookViewId="0">
      <selection activeCell="C108" sqref="C108"/>
    </sheetView>
  </sheetViews>
  <sheetFormatPr defaultRowHeight="14"/>
  <cols>
    <col min="1" max="1" width="3.58203125" customWidth="1"/>
    <col min="2" max="2" width="18.83203125" customWidth="1"/>
    <col min="3" max="3" width="14.75" customWidth="1"/>
    <col min="4" max="4" width="11.4140625" customWidth="1"/>
    <col min="5" max="5" width="11.9140625" customWidth="1"/>
    <col min="6" max="6" width="14" customWidth="1"/>
    <col min="7" max="7" width="19.58203125" customWidth="1"/>
    <col min="8" max="10" width="10.83203125" customWidth="1"/>
    <col min="11" max="11" width="13.08203125" bestFit="1" customWidth="1"/>
    <col min="12" max="12" width="13.08203125" customWidth="1"/>
    <col min="13" max="13" width="11.58203125" customWidth="1"/>
    <col min="14" max="14" width="16.08203125" bestFit="1" customWidth="1"/>
    <col min="15" max="15" width="11.58203125" bestFit="1" customWidth="1"/>
    <col min="16" max="16" width="11.08203125" bestFit="1" customWidth="1"/>
    <col min="17" max="18" width="14.08203125" bestFit="1" customWidth="1"/>
    <col min="19" max="19" width="11" bestFit="1" customWidth="1"/>
    <col min="20" max="20" width="11.58203125" bestFit="1" customWidth="1"/>
    <col min="21" max="21" width="11" bestFit="1" customWidth="1"/>
  </cols>
  <sheetData>
    <row r="2" spans="2:8" ht="23">
      <c r="B2" s="126" t="s">
        <v>1930</v>
      </c>
    </row>
    <row r="3" spans="2:8" ht="17.5" customHeight="1">
      <c r="B3" s="138"/>
    </row>
    <row r="6" spans="2:8" ht="18" customHeight="1">
      <c r="B6" s="49" t="s">
        <v>8</v>
      </c>
      <c r="C6" t="s">
        <v>26</v>
      </c>
    </row>
    <row r="7" spans="2:8">
      <c r="B7" s="49" t="s">
        <v>10</v>
      </c>
      <c r="C7" t="s">
        <v>40</v>
      </c>
    </row>
    <row r="9" spans="2:8">
      <c r="C9" s="49" t="s">
        <v>1147</v>
      </c>
    </row>
    <row r="10" spans="2:8">
      <c r="C10" t="s">
        <v>611</v>
      </c>
      <c r="D10" t="s">
        <v>612</v>
      </c>
      <c r="E10" t="s">
        <v>1840</v>
      </c>
      <c r="F10" t="s">
        <v>615</v>
      </c>
      <c r="G10" t="s">
        <v>2319</v>
      </c>
      <c r="H10" t="s">
        <v>1144</v>
      </c>
    </row>
    <row r="11" spans="2:8">
      <c r="B11" t="s">
        <v>1146</v>
      </c>
      <c r="C11" s="476">
        <v>35</v>
      </c>
      <c r="D11" s="476">
        <v>654</v>
      </c>
      <c r="E11" s="476">
        <v>3</v>
      </c>
      <c r="F11" s="476">
        <v>14</v>
      </c>
      <c r="G11" s="476">
        <v>9</v>
      </c>
      <c r="H11" s="476">
        <v>715</v>
      </c>
    </row>
    <row r="18" spans="2:3">
      <c r="B18" s="50"/>
    </row>
    <row r="20" spans="2:3">
      <c r="B20" s="49" t="s">
        <v>8</v>
      </c>
      <c r="C20" t="s">
        <v>26</v>
      </c>
    </row>
    <row r="21" spans="2:3">
      <c r="B21" s="49" t="s">
        <v>10</v>
      </c>
      <c r="C21" t="s">
        <v>40</v>
      </c>
    </row>
    <row r="23" spans="2:3">
      <c r="B23" s="49" t="s">
        <v>1148</v>
      </c>
      <c r="C23" t="s">
        <v>1146</v>
      </c>
    </row>
    <row r="24" spans="2:3">
      <c r="B24" s="50" t="s">
        <v>611</v>
      </c>
      <c r="C24" s="476">
        <v>35</v>
      </c>
    </row>
    <row r="25" spans="2:3">
      <c r="B25" s="50" t="s">
        <v>612</v>
      </c>
      <c r="C25" s="476">
        <v>654</v>
      </c>
    </row>
    <row r="26" spans="2:3">
      <c r="B26" s="50" t="s">
        <v>1840</v>
      </c>
      <c r="C26" s="476">
        <v>3</v>
      </c>
    </row>
    <row r="27" spans="2:3">
      <c r="B27" s="50" t="s">
        <v>615</v>
      </c>
      <c r="C27" s="476">
        <v>14</v>
      </c>
    </row>
    <row r="28" spans="2:3">
      <c r="B28" s="50" t="s">
        <v>2319</v>
      </c>
      <c r="C28" s="476">
        <v>9</v>
      </c>
    </row>
    <row r="29" spans="2:3">
      <c r="B29" s="50" t="s">
        <v>1144</v>
      </c>
      <c r="C29" s="476">
        <v>715</v>
      </c>
    </row>
    <row r="42" spans="2:12" ht="23">
      <c r="B42" s="126" t="s">
        <v>1931</v>
      </c>
      <c r="C42" s="10"/>
      <c r="D42" s="10"/>
      <c r="E42" s="10"/>
      <c r="F42" s="10"/>
      <c r="G42" s="10"/>
      <c r="H42" s="10"/>
      <c r="I42" s="10"/>
      <c r="J42" s="10"/>
      <c r="K42" s="10"/>
      <c r="L42" s="10"/>
    </row>
    <row r="45" spans="2:12">
      <c r="B45" s="49" t="s">
        <v>8</v>
      </c>
      <c r="C45" t="s" vm="1">
        <v>26</v>
      </c>
    </row>
    <row r="46" spans="2:12">
      <c r="B46" s="49" t="s">
        <v>9</v>
      </c>
      <c r="C46" t="s" vm="2">
        <v>1145</v>
      </c>
    </row>
    <row r="47" spans="2:12">
      <c r="B47" s="49" t="s">
        <v>10</v>
      </c>
      <c r="C47" t="s" vm="3">
        <v>40</v>
      </c>
    </row>
    <row r="49" spans="2:5">
      <c r="B49" s="49" t="s">
        <v>1146</v>
      </c>
      <c r="C49" s="49" t="s">
        <v>1147</v>
      </c>
    </row>
    <row r="50" spans="2:5">
      <c r="B50" s="49" t="s">
        <v>1148</v>
      </c>
      <c r="C50" t="s">
        <v>611</v>
      </c>
      <c r="D50" t="s">
        <v>612</v>
      </c>
      <c r="E50" t="s">
        <v>1144</v>
      </c>
    </row>
    <row r="51" spans="2:5">
      <c r="B51" s="50" t="s">
        <v>74</v>
      </c>
      <c r="C51" s="476">
        <v>3</v>
      </c>
      <c r="D51" s="476">
        <v>17</v>
      </c>
      <c r="E51" s="476">
        <v>20</v>
      </c>
    </row>
    <row r="52" spans="2:5">
      <c r="B52" s="50" t="s">
        <v>123</v>
      </c>
      <c r="C52" s="476"/>
      <c r="D52" s="476">
        <v>76</v>
      </c>
      <c r="E52" s="476">
        <v>76</v>
      </c>
    </row>
    <row r="53" spans="2:5">
      <c r="B53" s="50" t="s">
        <v>94</v>
      </c>
      <c r="C53" s="476">
        <v>2</v>
      </c>
      <c r="D53" s="476">
        <v>31</v>
      </c>
      <c r="E53" s="476">
        <v>33</v>
      </c>
    </row>
    <row r="54" spans="2:5">
      <c r="B54" s="50" t="s">
        <v>88</v>
      </c>
      <c r="C54" s="476">
        <v>1</v>
      </c>
      <c r="D54" s="476">
        <v>14</v>
      </c>
      <c r="E54" s="476">
        <v>15</v>
      </c>
    </row>
    <row r="55" spans="2:5">
      <c r="B55" s="50" t="s">
        <v>55</v>
      </c>
      <c r="C55" s="476">
        <v>4</v>
      </c>
      <c r="D55" s="476">
        <v>14</v>
      </c>
      <c r="E55" s="476">
        <v>18</v>
      </c>
    </row>
    <row r="56" spans="2:5">
      <c r="B56" s="50" t="s">
        <v>37</v>
      </c>
      <c r="C56" s="476">
        <v>2</v>
      </c>
      <c r="D56" s="476">
        <v>44</v>
      </c>
      <c r="E56" s="476">
        <v>46</v>
      </c>
    </row>
    <row r="57" spans="2:5">
      <c r="B57" s="50" t="s">
        <v>1144</v>
      </c>
      <c r="C57" s="476">
        <v>12</v>
      </c>
      <c r="D57" s="476">
        <v>196</v>
      </c>
      <c r="E57" s="476">
        <v>208</v>
      </c>
    </row>
    <row r="62" spans="2:5">
      <c r="B62" s="49" t="s">
        <v>8</v>
      </c>
      <c r="C62" t="s" vm="1">
        <v>26</v>
      </c>
    </row>
    <row r="63" spans="2:5">
      <c r="B63" s="49" t="s">
        <v>9</v>
      </c>
      <c r="C63" t="s" vm="2">
        <v>1145</v>
      </c>
    </row>
    <row r="64" spans="2:5">
      <c r="B64" s="49" t="s">
        <v>10</v>
      </c>
      <c r="C64" t="s" vm="3">
        <v>40</v>
      </c>
    </row>
    <row r="66" spans="2:3">
      <c r="B66" s="49" t="s">
        <v>1148</v>
      </c>
      <c r="C66" t="s">
        <v>1146</v>
      </c>
    </row>
    <row r="67" spans="2:3">
      <c r="B67" s="50" t="s">
        <v>611</v>
      </c>
      <c r="C67" s="476">
        <v>12</v>
      </c>
    </row>
    <row r="68" spans="2:3">
      <c r="B68" s="50" t="s">
        <v>612</v>
      </c>
      <c r="C68" s="476">
        <v>196</v>
      </c>
    </row>
    <row r="69" spans="2:3">
      <c r="B69" s="50" t="s">
        <v>1144</v>
      </c>
      <c r="C69" s="476">
        <v>208</v>
      </c>
    </row>
    <row r="81" spans="2:16" ht="23">
      <c r="B81" s="126" t="s">
        <v>1932</v>
      </c>
      <c r="C81" s="10"/>
      <c r="D81" s="10"/>
      <c r="E81" s="10"/>
      <c r="F81" s="10"/>
      <c r="G81" s="10"/>
      <c r="H81" s="10"/>
      <c r="I81" s="10"/>
      <c r="J81" s="10"/>
      <c r="K81" s="10"/>
      <c r="L81" s="10"/>
      <c r="M81" s="10"/>
      <c r="N81" s="10"/>
      <c r="O81" s="10"/>
      <c r="P81" s="10"/>
    </row>
    <row r="83" spans="2:16">
      <c r="B83" s="49" t="s">
        <v>8</v>
      </c>
      <c r="C83" t="s" vm="1">
        <v>26</v>
      </c>
    </row>
    <row r="84" spans="2:16">
      <c r="B84" s="49" t="s">
        <v>9</v>
      </c>
      <c r="C84" t="s" vm="4">
        <v>1145</v>
      </c>
    </row>
    <row r="85" spans="2:16">
      <c r="B85" s="49" t="s">
        <v>10</v>
      </c>
      <c r="C85" t="s" vm="3">
        <v>40</v>
      </c>
    </row>
    <row r="87" spans="2:16">
      <c r="B87" s="49" t="s">
        <v>1146</v>
      </c>
      <c r="C87" s="49" t="s">
        <v>1147</v>
      </c>
    </row>
    <row r="88" spans="2:16">
      <c r="B88" s="49" t="s">
        <v>1148</v>
      </c>
      <c r="C88" t="s">
        <v>611</v>
      </c>
      <c r="D88" t="s">
        <v>612</v>
      </c>
      <c r="E88" t="s">
        <v>615</v>
      </c>
      <c r="F88" t="s">
        <v>1144</v>
      </c>
    </row>
    <row r="89" spans="2:16">
      <c r="B89" s="50" t="s">
        <v>2096</v>
      </c>
      <c r="C89" s="476">
        <v>4</v>
      </c>
      <c r="D89" s="476">
        <v>44</v>
      </c>
      <c r="E89" s="476"/>
      <c r="F89" s="476">
        <v>48</v>
      </c>
    </row>
    <row r="90" spans="2:16">
      <c r="B90" s="50" t="s">
        <v>2079</v>
      </c>
      <c r="C90" s="476">
        <v>4</v>
      </c>
      <c r="D90" s="476">
        <v>8</v>
      </c>
      <c r="E90" s="476">
        <v>5</v>
      </c>
      <c r="F90" s="476">
        <v>17</v>
      </c>
    </row>
    <row r="91" spans="2:16">
      <c r="B91" s="50" t="s">
        <v>331</v>
      </c>
      <c r="C91" s="476"/>
      <c r="D91" s="476">
        <v>15</v>
      </c>
      <c r="E91" s="476"/>
      <c r="F91" s="476">
        <v>15</v>
      </c>
    </row>
    <row r="92" spans="2:16">
      <c r="B92" s="50" t="s">
        <v>325</v>
      </c>
      <c r="C92" s="476"/>
      <c r="D92" s="476">
        <v>54</v>
      </c>
      <c r="E92" s="476"/>
      <c r="F92" s="476">
        <v>54</v>
      </c>
    </row>
    <row r="93" spans="2:16">
      <c r="B93" s="50" t="s">
        <v>311</v>
      </c>
      <c r="C93" s="476"/>
      <c r="D93" s="476">
        <v>18</v>
      </c>
      <c r="E93" s="476"/>
      <c r="F93" s="476">
        <v>18</v>
      </c>
    </row>
    <row r="94" spans="2:16">
      <c r="B94" s="50" t="s">
        <v>2154</v>
      </c>
      <c r="C94" s="476"/>
      <c r="D94" s="476">
        <v>5</v>
      </c>
      <c r="E94" s="476"/>
      <c r="F94" s="476">
        <v>5</v>
      </c>
    </row>
    <row r="95" spans="2:16">
      <c r="B95" s="50" t="s">
        <v>216</v>
      </c>
      <c r="C95" s="476"/>
      <c r="D95" s="476">
        <v>6</v>
      </c>
      <c r="E95" s="476"/>
      <c r="F95" s="476">
        <v>6</v>
      </c>
    </row>
    <row r="96" spans="2:16">
      <c r="B96" s="50" t="s">
        <v>2060</v>
      </c>
      <c r="C96" s="476"/>
      <c r="D96" s="476">
        <v>9</v>
      </c>
      <c r="E96" s="476"/>
      <c r="F96" s="476">
        <v>9</v>
      </c>
    </row>
    <row r="97" spans="2:6">
      <c r="B97" s="50" t="s">
        <v>215</v>
      </c>
      <c r="C97" s="476"/>
      <c r="D97" s="476">
        <v>41</v>
      </c>
      <c r="E97" s="476"/>
      <c r="F97" s="476">
        <v>41</v>
      </c>
    </row>
    <row r="98" spans="2:6">
      <c r="B98" s="50" t="s">
        <v>213</v>
      </c>
      <c r="C98" s="476">
        <v>3</v>
      </c>
      <c r="D98" s="476">
        <v>6</v>
      </c>
      <c r="E98" s="476"/>
      <c r="F98" s="476">
        <v>9</v>
      </c>
    </row>
    <row r="99" spans="2:6">
      <c r="B99" s="50" t="s">
        <v>212</v>
      </c>
      <c r="C99" s="476"/>
      <c r="D99" s="476">
        <v>17</v>
      </c>
      <c r="E99" s="476"/>
      <c r="F99" s="476">
        <v>17</v>
      </c>
    </row>
    <row r="100" spans="2:6">
      <c r="B100" s="50" t="s">
        <v>217</v>
      </c>
      <c r="C100" s="476"/>
      <c r="D100" s="476">
        <v>17</v>
      </c>
      <c r="E100" s="476"/>
      <c r="F100" s="476">
        <v>17</v>
      </c>
    </row>
    <row r="101" spans="2:6">
      <c r="B101" s="50" t="s">
        <v>218</v>
      </c>
      <c r="C101" s="476">
        <v>7</v>
      </c>
      <c r="D101" s="476">
        <v>14</v>
      </c>
      <c r="E101" s="476"/>
      <c r="F101" s="476">
        <v>21</v>
      </c>
    </row>
    <row r="102" spans="2:6">
      <c r="B102" s="50" t="s">
        <v>219</v>
      </c>
      <c r="C102" s="476">
        <v>1</v>
      </c>
      <c r="D102" s="476">
        <v>17</v>
      </c>
      <c r="E102" s="476"/>
      <c r="F102" s="476">
        <v>18</v>
      </c>
    </row>
    <row r="103" spans="2:6">
      <c r="B103" s="50" t="s">
        <v>214</v>
      </c>
      <c r="C103" s="476"/>
      <c r="D103" s="476">
        <v>7</v>
      </c>
      <c r="E103" s="476"/>
      <c r="F103" s="476">
        <v>7</v>
      </c>
    </row>
    <row r="104" spans="2:6">
      <c r="B104" s="50" t="s">
        <v>1144</v>
      </c>
      <c r="C104" s="476">
        <v>19</v>
      </c>
      <c r="D104" s="476">
        <v>278</v>
      </c>
      <c r="E104" s="476">
        <v>5</v>
      </c>
      <c r="F104" s="476">
        <v>302</v>
      </c>
    </row>
    <row r="107" spans="2:6">
      <c r="B107" s="49" t="s">
        <v>8</v>
      </c>
      <c r="C107" t="s" vm="6">
        <v>2369</v>
      </c>
    </row>
    <row r="108" spans="2:6">
      <c r="B108" s="49" t="s">
        <v>9</v>
      </c>
      <c r="C108" t="s" vm="4">
        <v>1145</v>
      </c>
    </row>
    <row r="109" spans="2:6">
      <c r="B109" s="49" t="s">
        <v>10</v>
      </c>
      <c r="C109" t="s" vm="3">
        <v>40</v>
      </c>
    </row>
    <row r="111" spans="2:6">
      <c r="B111" s="49" t="s">
        <v>1148</v>
      </c>
      <c r="C111" t="s">
        <v>1146</v>
      </c>
    </row>
    <row r="112" spans="2:6">
      <c r="B112" s="50" t="s">
        <v>611</v>
      </c>
      <c r="C112" s="476">
        <v>19</v>
      </c>
    </row>
    <row r="113" spans="2:16">
      <c r="B113" s="50" t="s">
        <v>612</v>
      </c>
      <c r="C113" s="476">
        <v>278</v>
      </c>
    </row>
    <row r="114" spans="2:16">
      <c r="B114" s="50" t="s">
        <v>615</v>
      </c>
      <c r="C114" s="476">
        <v>5</v>
      </c>
    </row>
    <row r="115" spans="2:16">
      <c r="B115" s="50" t="s">
        <v>1144</v>
      </c>
      <c r="C115" s="476">
        <v>302</v>
      </c>
    </row>
    <row r="126" spans="2:16" ht="23">
      <c r="B126" s="126" t="s">
        <v>1933</v>
      </c>
      <c r="C126" s="10"/>
      <c r="D126" s="10"/>
      <c r="E126" s="10"/>
      <c r="F126" s="10"/>
      <c r="G126" s="10"/>
      <c r="H126" s="10"/>
      <c r="I126" s="10"/>
      <c r="J126" s="10"/>
      <c r="K126" s="10"/>
      <c r="L126" s="10"/>
      <c r="M126" s="10"/>
      <c r="N126" s="10"/>
      <c r="O126" s="10"/>
      <c r="P126" s="10"/>
    </row>
    <row r="127" spans="2:16" ht="23">
      <c r="B127" s="138"/>
    </row>
    <row r="129" spans="2:8">
      <c r="B129" s="49" t="s">
        <v>8</v>
      </c>
      <c r="C129" t="s" vm="1">
        <v>26</v>
      </c>
    </row>
    <row r="130" spans="2:8">
      <c r="B130" s="49" t="s">
        <v>9</v>
      </c>
      <c r="C130" t="s" vm="5">
        <v>26</v>
      </c>
    </row>
    <row r="131" spans="2:8">
      <c r="B131" s="49" t="s">
        <v>10</v>
      </c>
      <c r="C131" t="s" vm="3">
        <v>40</v>
      </c>
    </row>
    <row r="133" spans="2:8">
      <c r="B133" s="49" t="s">
        <v>1146</v>
      </c>
      <c r="C133" s="49" t="s">
        <v>1147</v>
      </c>
    </row>
    <row r="134" spans="2:8">
      <c r="B134" s="49" t="s">
        <v>1148</v>
      </c>
      <c r="C134" t="s">
        <v>611</v>
      </c>
      <c r="D134" t="s">
        <v>612</v>
      </c>
      <c r="E134" t="s">
        <v>1840</v>
      </c>
      <c r="F134" t="s">
        <v>615</v>
      </c>
      <c r="G134" t="s">
        <v>2323</v>
      </c>
      <c r="H134" t="s">
        <v>1144</v>
      </c>
    </row>
    <row r="135" spans="2:8">
      <c r="B135" s="50" t="s">
        <v>379</v>
      </c>
      <c r="C135" s="476"/>
      <c r="D135" s="476">
        <v>35</v>
      </c>
      <c r="E135" s="476"/>
      <c r="F135" s="476">
        <v>4</v>
      </c>
      <c r="G135" s="476">
        <v>6</v>
      </c>
      <c r="H135" s="476">
        <v>45</v>
      </c>
    </row>
    <row r="136" spans="2:8">
      <c r="B136" s="50" t="s">
        <v>335</v>
      </c>
      <c r="C136" s="476"/>
      <c r="D136" s="476">
        <v>67</v>
      </c>
      <c r="E136" s="476"/>
      <c r="F136" s="476"/>
      <c r="G136" s="476"/>
      <c r="H136" s="476">
        <v>67</v>
      </c>
    </row>
    <row r="137" spans="2:8">
      <c r="B137" s="50" t="s">
        <v>368</v>
      </c>
      <c r="C137" s="476">
        <v>4</v>
      </c>
      <c r="D137" s="476">
        <v>40</v>
      </c>
      <c r="E137" s="476"/>
      <c r="F137" s="476">
        <v>3</v>
      </c>
      <c r="G137" s="476"/>
      <c r="H137" s="476">
        <v>47</v>
      </c>
    </row>
    <row r="138" spans="2:8">
      <c r="B138" s="50" t="s">
        <v>439</v>
      </c>
      <c r="C138" s="476"/>
      <c r="D138" s="476">
        <v>5</v>
      </c>
      <c r="E138" s="476"/>
      <c r="F138" s="476"/>
      <c r="G138" s="476"/>
      <c r="H138" s="476">
        <v>5</v>
      </c>
    </row>
    <row r="139" spans="2:8">
      <c r="B139" s="50" t="s">
        <v>441</v>
      </c>
      <c r="C139" s="476"/>
      <c r="D139" s="476">
        <v>4</v>
      </c>
      <c r="E139" s="476"/>
      <c r="F139" s="476">
        <v>1</v>
      </c>
      <c r="G139" s="476">
        <v>1</v>
      </c>
      <c r="H139" s="476">
        <v>6</v>
      </c>
    </row>
    <row r="140" spans="2:8">
      <c r="B140" s="50" t="s">
        <v>1859</v>
      </c>
      <c r="C140" s="476"/>
      <c r="D140" s="476">
        <v>5</v>
      </c>
      <c r="E140" s="476">
        <v>3</v>
      </c>
      <c r="F140" s="476">
        <v>1</v>
      </c>
      <c r="G140" s="476">
        <v>2</v>
      </c>
      <c r="H140" s="476">
        <v>11</v>
      </c>
    </row>
    <row r="141" spans="2:8">
      <c r="B141" s="50" t="s">
        <v>392</v>
      </c>
      <c r="C141" s="476"/>
      <c r="D141" s="476">
        <v>9</v>
      </c>
      <c r="E141" s="476"/>
      <c r="F141" s="476"/>
      <c r="G141" s="476"/>
      <c r="H141" s="476">
        <v>9</v>
      </c>
    </row>
    <row r="142" spans="2:8">
      <c r="B142" s="50" t="s">
        <v>1860</v>
      </c>
      <c r="C142" s="476"/>
      <c r="D142" s="476">
        <v>15</v>
      </c>
      <c r="E142" s="476"/>
      <c r="F142" s="476"/>
      <c r="G142" s="476"/>
      <c r="H142" s="476">
        <v>15</v>
      </c>
    </row>
    <row r="143" spans="2:8">
      <c r="B143" s="50" t="s">
        <v>1144</v>
      </c>
      <c r="C143" s="476">
        <v>4</v>
      </c>
      <c r="D143" s="476">
        <v>180</v>
      </c>
      <c r="E143" s="476">
        <v>3</v>
      </c>
      <c r="F143" s="476">
        <v>9</v>
      </c>
      <c r="G143" s="476">
        <v>9</v>
      </c>
      <c r="H143" s="476">
        <v>205</v>
      </c>
    </row>
    <row r="147" spans="2:3">
      <c r="B147" s="50"/>
    </row>
    <row r="148" spans="2:3">
      <c r="B148" s="50"/>
    </row>
    <row r="150" spans="2:3">
      <c r="B150" s="49" t="s">
        <v>8</v>
      </c>
      <c r="C150" t="s" vm="1">
        <v>26</v>
      </c>
    </row>
    <row r="151" spans="2:3">
      <c r="B151" s="49" t="s">
        <v>9</v>
      </c>
      <c r="C151" t="s" vm="5">
        <v>26</v>
      </c>
    </row>
    <row r="152" spans="2:3">
      <c r="B152" s="49" t="s">
        <v>10</v>
      </c>
      <c r="C152" t="s" vm="3">
        <v>40</v>
      </c>
    </row>
    <row r="154" spans="2:3">
      <c r="B154" s="49" t="s">
        <v>1148</v>
      </c>
      <c r="C154" t="s">
        <v>1146</v>
      </c>
    </row>
    <row r="155" spans="2:3">
      <c r="B155" s="50" t="s">
        <v>612</v>
      </c>
      <c r="C155" s="476">
        <v>180</v>
      </c>
    </row>
    <row r="156" spans="2:3">
      <c r="B156" s="50" t="s">
        <v>611</v>
      </c>
      <c r="C156" s="476">
        <v>4</v>
      </c>
    </row>
    <row r="157" spans="2:3">
      <c r="B157" s="50" t="s">
        <v>2323</v>
      </c>
      <c r="C157" s="476">
        <v>9</v>
      </c>
    </row>
    <row r="158" spans="2:3">
      <c r="B158" s="50" t="s">
        <v>615</v>
      </c>
      <c r="C158" s="476">
        <v>9</v>
      </c>
    </row>
    <row r="159" spans="2:3">
      <c r="B159" s="50" t="s">
        <v>1840</v>
      </c>
      <c r="C159" s="476">
        <v>3</v>
      </c>
    </row>
    <row r="160" spans="2:3">
      <c r="B160" s="50" t="s">
        <v>1144</v>
      </c>
      <c r="C160" s="476">
        <v>205</v>
      </c>
    </row>
    <row r="169" spans="2:3">
      <c r="B169" s="49" t="s">
        <v>9</v>
      </c>
      <c r="C169" t="s">
        <v>26</v>
      </c>
    </row>
    <row r="170" spans="2:3">
      <c r="B170" s="49" t="s">
        <v>1934</v>
      </c>
      <c r="C170" t="s">
        <v>2321</v>
      </c>
    </row>
    <row r="172" spans="2:3">
      <c r="B172" s="49" t="s">
        <v>1148</v>
      </c>
      <c r="C172" t="s">
        <v>2370</v>
      </c>
    </row>
    <row r="173" spans="2:3">
      <c r="B173" s="50" t="s">
        <v>612</v>
      </c>
      <c r="C173" s="476">
        <v>60</v>
      </c>
    </row>
    <row r="174" spans="2:3">
      <c r="B174" s="50" t="s">
        <v>1840</v>
      </c>
      <c r="C174" s="476">
        <v>2</v>
      </c>
    </row>
    <row r="175" spans="2:3">
      <c r="B175" s="50" t="s">
        <v>615</v>
      </c>
      <c r="C175" s="476">
        <v>3</v>
      </c>
    </row>
    <row r="176" spans="2:3">
      <c r="B176" s="50" t="s">
        <v>2319</v>
      </c>
      <c r="C176" s="476">
        <v>6</v>
      </c>
    </row>
    <row r="177" spans="2:3">
      <c r="B177" s="50" t="s">
        <v>1144</v>
      </c>
      <c r="C177" s="476">
        <v>71</v>
      </c>
    </row>
    <row r="180" spans="2:3">
      <c r="B180" s="50"/>
    </row>
    <row r="181" spans="2:3">
      <c r="B181" s="50"/>
    </row>
    <row r="197" spans="2:3">
      <c r="B197" s="50"/>
    </row>
    <row r="198" spans="2:3">
      <c r="B198" s="50"/>
    </row>
    <row r="199" spans="2:3">
      <c r="B199" s="50"/>
    </row>
    <row r="201" spans="2:3">
      <c r="B201" s="49" t="s">
        <v>9</v>
      </c>
      <c r="C201" t="s">
        <v>26</v>
      </c>
    </row>
    <row r="202" spans="2:3">
      <c r="B202" s="49" t="s">
        <v>1934</v>
      </c>
      <c r="C202" t="s">
        <v>1145</v>
      </c>
    </row>
    <row r="204" spans="2:3">
      <c r="B204" s="49" t="s">
        <v>1148</v>
      </c>
      <c r="C204" t="s">
        <v>2370</v>
      </c>
    </row>
    <row r="205" spans="2:3">
      <c r="B205" s="50" t="s">
        <v>611</v>
      </c>
      <c r="C205" s="476">
        <v>4</v>
      </c>
    </row>
    <row r="206" spans="2:3">
      <c r="B206" s="50" t="s">
        <v>612</v>
      </c>
      <c r="C206" s="476">
        <v>120</v>
      </c>
    </row>
    <row r="207" spans="2:3">
      <c r="B207" s="50" t="s">
        <v>1840</v>
      </c>
      <c r="C207" s="476">
        <v>1</v>
      </c>
    </row>
    <row r="208" spans="2:3">
      <c r="B208" s="50" t="s">
        <v>615</v>
      </c>
      <c r="C208" s="476">
        <v>6</v>
      </c>
    </row>
    <row r="209" spans="2:3">
      <c r="B209" s="50" t="s">
        <v>2319</v>
      </c>
      <c r="C209" s="476">
        <v>3</v>
      </c>
    </row>
    <row r="210" spans="2:3">
      <c r="B210" s="50" t="s">
        <v>1144</v>
      </c>
      <c r="C210" s="476">
        <v>134</v>
      </c>
    </row>
  </sheetData>
  <pageMargins left="0.7" right="0.7" top="0.75" bottom="0.75" header="0.3" footer="0.3"/>
  <pageSetup paperSize="9" orientation="portrait" r:id="rId1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76"/>
  <sheetViews>
    <sheetView topLeftCell="C1" workbookViewId="0">
      <selection activeCell="A2" sqref="A2"/>
    </sheetView>
  </sheetViews>
  <sheetFormatPr defaultRowHeight="14"/>
  <cols>
    <col min="1" max="1" width="6.5" bestFit="1" customWidth="1"/>
    <col min="2" max="2" width="10.08203125" bestFit="1" customWidth="1"/>
    <col min="3" max="3" width="11.33203125" bestFit="1" customWidth="1"/>
    <col min="4" max="4" width="15.83203125" bestFit="1" customWidth="1"/>
    <col min="5" max="5" width="33" bestFit="1" customWidth="1"/>
    <col min="6" max="6" width="33" customWidth="1"/>
    <col min="7" max="7" width="19.5" bestFit="1" customWidth="1"/>
    <col min="8" max="8" width="34.58203125" bestFit="1" customWidth="1"/>
    <col min="9" max="9" width="5" bestFit="1" customWidth="1"/>
    <col min="10" max="10" width="58.58203125" bestFit="1" customWidth="1"/>
    <col min="11" max="11" width="19.33203125" bestFit="1" customWidth="1"/>
    <col min="12" max="12" width="33.08203125" bestFit="1" customWidth="1"/>
    <col min="13" max="13" width="28" bestFit="1" customWidth="1"/>
    <col min="14" max="14" width="22.5" bestFit="1" customWidth="1"/>
    <col min="15" max="15" width="41.33203125" bestFit="1" customWidth="1"/>
    <col min="16" max="16" width="12.08203125" bestFit="1" customWidth="1"/>
    <col min="17" max="17" width="16" bestFit="1" customWidth="1"/>
  </cols>
  <sheetData>
    <row r="1" spans="1:17">
      <c r="B1" t="s">
        <v>8</v>
      </c>
      <c r="C1" t="s">
        <v>9</v>
      </c>
      <c r="D1" t="s">
        <v>10</v>
      </c>
      <c r="E1" t="s">
        <v>11</v>
      </c>
      <c r="F1" t="s">
        <v>12</v>
      </c>
      <c r="G1" t="s">
        <v>636</v>
      </c>
      <c r="H1" t="s">
        <v>637</v>
      </c>
      <c r="I1" t="s">
        <v>2413</v>
      </c>
      <c r="J1" t="s">
        <v>2340</v>
      </c>
      <c r="K1" t="s">
        <v>2341</v>
      </c>
      <c r="L1" t="s">
        <v>2362</v>
      </c>
      <c r="M1" t="s">
        <v>2380</v>
      </c>
      <c r="N1" t="s">
        <v>2324</v>
      </c>
      <c r="O1" t="s">
        <v>2373</v>
      </c>
      <c r="P1" t="s">
        <v>1934</v>
      </c>
      <c r="Q1" t="s">
        <v>1158</v>
      </c>
    </row>
    <row r="2" spans="1:17">
      <c r="A2" t="str">
        <f>C2&amp;E2&amp;F2</f>
        <v>Pilar IIIlt003_entityesg_sbsctr</v>
      </c>
      <c r="B2" t="s">
        <v>26</v>
      </c>
      <c r="C2" t="s">
        <v>26</v>
      </c>
      <c r="D2" t="s">
        <v>40</v>
      </c>
      <c r="E2" t="s">
        <v>335</v>
      </c>
      <c r="F2" t="s">
        <v>360</v>
      </c>
      <c r="G2" t="s">
        <v>2319</v>
      </c>
      <c r="H2" t="s">
        <v>613</v>
      </c>
      <c r="J2" t="s">
        <v>2306</v>
      </c>
      <c r="K2" t="s">
        <v>2353</v>
      </c>
      <c r="N2" t="s">
        <v>2420</v>
      </c>
      <c r="P2" t="s">
        <v>2320</v>
      </c>
      <c r="Q2" t="s">
        <v>2310</v>
      </c>
    </row>
    <row r="3" spans="1:17">
      <c r="A3" t="str">
        <f t="shared" ref="A3:A66" si="0">C3&amp;E3&amp;F3</f>
        <v>Pilar IIIlt007_instr_activitysstnbl_indctr</v>
      </c>
      <c r="B3" t="s">
        <v>26</v>
      </c>
      <c r="C3" t="s">
        <v>26</v>
      </c>
      <c r="D3" t="s">
        <v>40</v>
      </c>
      <c r="E3" t="s">
        <v>1859</v>
      </c>
      <c r="F3" t="s">
        <v>418</v>
      </c>
      <c r="G3" t="s">
        <v>614</v>
      </c>
      <c r="H3" t="s">
        <v>614</v>
      </c>
      <c r="J3" t="s">
        <v>2241</v>
      </c>
      <c r="K3" t="s">
        <v>2353</v>
      </c>
      <c r="M3" t="s">
        <v>2315</v>
      </c>
      <c r="P3" t="s">
        <v>2320</v>
      </c>
      <c r="Q3" t="s">
        <v>2308</v>
      </c>
    </row>
    <row r="4" spans="1:17">
      <c r="A4" t="str">
        <f t="shared" si="0"/>
        <v>Pilar IIIlt007_instr_activityCOD_SOC</v>
      </c>
      <c r="B4" t="s">
        <v>26</v>
      </c>
      <c r="C4" t="s">
        <v>26</v>
      </c>
      <c r="D4" t="s">
        <v>40</v>
      </c>
      <c r="E4" t="s">
        <v>1859</v>
      </c>
      <c r="F4" t="s">
        <v>1293</v>
      </c>
      <c r="G4" t="s">
        <v>2319</v>
      </c>
      <c r="H4" t="s">
        <v>28</v>
      </c>
      <c r="J4" t="s">
        <v>2240</v>
      </c>
      <c r="K4" t="s">
        <v>2353</v>
      </c>
      <c r="M4" t="s">
        <v>2313</v>
      </c>
      <c r="N4" t="s">
        <v>2381</v>
      </c>
      <c r="O4" t="s">
        <v>2360</v>
      </c>
      <c r="P4" t="s">
        <v>2321</v>
      </c>
      <c r="Q4" t="s">
        <v>2308</v>
      </c>
    </row>
    <row r="5" spans="1:17">
      <c r="A5" t="str">
        <f t="shared" si="0"/>
        <v>Pilar IIIlt007_instr_activityDT_RFRNC</v>
      </c>
      <c r="B5" t="s">
        <v>26</v>
      </c>
      <c r="C5" t="s">
        <v>26</v>
      </c>
      <c r="D5" t="s">
        <v>40</v>
      </c>
      <c r="E5" t="s">
        <v>1859</v>
      </c>
      <c r="F5" t="s">
        <v>1298</v>
      </c>
      <c r="G5" t="s">
        <v>2319</v>
      </c>
      <c r="H5" t="s">
        <v>2319</v>
      </c>
      <c r="J5" t="s">
        <v>2239</v>
      </c>
      <c r="K5" t="s">
        <v>2353</v>
      </c>
      <c r="M5" t="s">
        <v>2313</v>
      </c>
      <c r="N5" t="s">
        <v>2381</v>
      </c>
      <c r="O5" t="s">
        <v>2360</v>
      </c>
      <c r="P5" t="s">
        <v>2321</v>
      </c>
      <c r="Q5" t="s">
        <v>2308</v>
      </c>
    </row>
    <row r="6" spans="1:17">
      <c r="A6" t="str">
        <f t="shared" si="0"/>
        <v>Pilar IIIlt007_instr_activityINSTRMNT_ID</v>
      </c>
      <c r="B6" t="s">
        <v>26</v>
      </c>
      <c r="C6" t="s">
        <v>26</v>
      </c>
      <c r="D6" t="s">
        <v>40</v>
      </c>
      <c r="E6" t="s">
        <v>1859</v>
      </c>
      <c r="F6" t="s">
        <v>1307</v>
      </c>
      <c r="G6" t="s">
        <v>2319</v>
      </c>
      <c r="H6" t="s">
        <v>28</v>
      </c>
      <c r="J6" t="s">
        <v>2240</v>
      </c>
      <c r="K6" t="s">
        <v>2353</v>
      </c>
      <c r="M6" t="s">
        <v>2313</v>
      </c>
      <c r="N6" t="s">
        <v>2381</v>
      </c>
      <c r="O6" t="s">
        <v>2360</v>
      </c>
      <c r="P6" t="s">
        <v>2321</v>
      </c>
      <c r="Q6" t="s">
        <v>2308</v>
      </c>
    </row>
    <row r="7" spans="1:17">
      <c r="A7" t="str">
        <f t="shared" si="0"/>
        <v>Pilar IIIlt007_instr_activityPRCNTG_ACTVTY</v>
      </c>
      <c r="B7" t="s">
        <v>26</v>
      </c>
      <c r="C7" t="s">
        <v>26</v>
      </c>
      <c r="D7" t="s">
        <v>40</v>
      </c>
      <c r="E7" t="s">
        <v>1859</v>
      </c>
      <c r="F7" t="s">
        <v>2291</v>
      </c>
      <c r="G7" t="s">
        <v>2319</v>
      </c>
      <c r="H7" t="s">
        <v>28</v>
      </c>
      <c r="J7" t="s">
        <v>2241</v>
      </c>
      <c r="K7" t="s">
        <v>2353</v>
      </c>
      <c r="M7" t="s">
        <v>2313</v>
      </c>
      <c r="N7" t="s">
        <v>2381</v>
      </c>
      <c r="O7" t="s">
        <v>2360</v>
      </c>
      <c r="P7" t="s">
        <v>2321</v>
      </c>
      <c r="Q7" t="s">
        <v>2308</v>
      </c>
    </row>
    <row r="8" spans="1:17">
      <c r="A8" t="str">
        <f t="shared" si="0"/>
        <v>Pilar IIIlt007_instr_activityFLG_SBSTNTL_CNTRBTN</v>
      </c>
      <c r="B8" t="s">
        <v>26</v>
      </c>
      <c r="C8" t="s">
        <v>26</v>
      </c>
      <c r="D8" t="s">
        <v>40</v>
      </c>
      <c r="E8" t="s">
        <v>1859</v>
      </c>
      <c r="F8" t="s">
        <v>2292</v>
      </c>
      <c r="G8" t="s">
        <v>2319</v>
      </c>
      <c r="H8" t="s">
        <v>28</v>
      </c>
      <c r="J8" t="s">
        <v>2241</v>
      </c>
      <c r="K8" t="s">
        <v>2353</v>
      </c>
      <c r="M8" t="s">
        <v>2313</v>
      </c>
      <c r="N8" t="s">
        <v>2382</v>
      </c>
      <c r="O8" t="s">
        <v>2360</v>
      </c>
      <c r="P8" t="s">
        <v>2321</v>
      </c>
      <c r="Q8" t="s">
        <v>2308</v>
      </c>
    </row>
    <row r="9" spans="1:17">
      <c r="A9" t="str">
        <f t="shared" si="0"/>
        <v>Pilar IIIlt007_instr_activityFLG_DNSH_CMPLNC</v>
      </c>
      <c r="B9" t="s">
        <v>26</v>
      </c>
      <c r="C9" t="s">
        <v>26</v>
      </c>
      <c r="D9" t="s">
        <v>40</v>
      </c>
      <c r="E9" t="s">
        <v>1859</v>
      </c>
      <c r="F9" t="s">
        <v>2293</v>
      </c>
      <c r="G9" t="s">
        <v>2319</v>
      </c>
      <c r="H9" t="s">
        <v>2319</v>
      </c>
      <c r="J9" t="s">
        <v>2306</v>
      </c>
      <c r="K9" t="s">
        <v>2353</v>
      </c>
      <c r="M9" t="s">
        <v>2313</v>
      </c>
      <c r="N9" t="s">
        <v>2382</v>
      </c>
      <c r="O9" t="s">
        <v>2360</v>
      </c>
      <c r="P9" t="s">
        <v>2321</v>
      </c>
      <c r="Q9" t="s">
        <v>2310</v>
      </c>
    </row>
    <row r="10" spans="1:17">
      <c r="A10" t="str">
        <f t="shared" si="0"/>
        <v>Pilar IIIlt007_instr_activityDNSH_DTL</v>
      </c>
      <c r="B10" t="s">
        <v>26</v>
      </c>
      <c r="C10" t="s">
        <v>26</v>
      </c>
      <c r="D10" t="s">
        <v>40</v>
      </c>
      <c r="E10" t="s">
        <v>1859</v>
      </c>
      <c r="F10" t="s">
        <v>2294</v>
      </c>
      <c r="G10" t="s">
        <v>2319</v>
      </c>
      <c r="H10" t="s">
        <v>2319</v>
      </c>
      <c r="J10" t="s">
        <v>2306</v>
      </c>
      <c r="K10" t="s">
        <v>2353</v>
      </c>
      <c r="M10" t="s">
        <v>2313</v>
      </c>
      <c r="N10" t="s">
        <v>2382</v>
      </c>
      <c r="O10" t="s">
        <v>2360</v>
      </c>
      <c r="P10" t="s">
        <v>2321</v>
      </c>
      <c r="Q10" t="s">
        <v>2310</v>
      </c>
    </row>
    <row r="11" spans="1:17">
      <c r="A11" t="str">
        <f t="shared" si="0"/>
        <v>Pilar IIIlt007_instr_activitysstnbl_ctgry</v>
      </c>
      <c r="B11" t="s">
        <v>26</v>
      </c>
      <c r="C11" t="s">
        <v>26</v>
      </c>
      <c r="D11" t="s">
        <v>40</v>
      </c>
      <c r="E11" t="s">
        <v>1859</v>
      </c>
      <c r="F11" t="s">
        <v>419</v>
      </c>
      <c r="G11" t="s">
        <v>2319</v>
      </c>
      <c r="H11" t="s">
        <v>614</v>
      </c>
      <c r="J11" t="s">
        <v>2241</v>
      </c>
      <c r="K11" t="s">
        <v>2353</v>
      </c>
      <c r="M11" t="s">
        <v>2315</v>
      </c>
      <c r="P11" t="s">
        <v>2320</v>
      </c>
      <c r="Q11" t="s">
        <v>2308</v>
      </c>
    </row>
    <row r="12" spans="1:17">
      <c r="A12" t="str">
        <f t="shared" si="0"/>
        <v>Pilar IIIlt002_instrumentFRBRNC_STTS_INSTRMNT</v>
      </c>
      <c r="B12" t="s">
        <v>26</v>
      </c>
      <c r="C12" t="s">
        <v>26</v>
      </c>
      <c r="D12" t="s">
        <v>40</v>
      </c>
      <c r="E12" t="s">
        <v>379</v>
      </c>
      <c r="F12" t="s">
        <v>2163</v>
      </c>
      <c r="G12" t="s">
        <v>2319</v>
      </c>
      <c r="H12" t="s">
        <v>2319</v>
      </c>
      <c r="J12" t="s">
        <v>2306</v>
      </c>
      <c r="K12" t="s">
        <v>2353</v>
      </c>
      <c r="M12" t="s">
        <v>2313</v>
      </c>
      <c r="N12" t="s">
        <v>2383</v>
      </c>
      <c r="O12" t="s">
        <v>2359</v>
      </c>
      <c r="P12" t="s">
        <v>2321</v>
      </c>
      <c r="Q12" t="s">
        <v>1855</v>
      </c>
    </row>
    <row r="13" spans="1:17">
      <c r="A13" t="str">
        <f t="shared" si="0"/>
        <v>Pilar IIIlt002_instrumentINTRNL_SGMNT</v>
      </c>
      <c r="B13" t="s">
        <v>26</v>
      </c>
      <c r="C13" t="s">
        <v>26</v>
      </c>
      <c r="D13" t="s">
        <v>40</v>
      </c>
      <c r="E13" t="s">
        <v>379</v>
      </c>
      <c r="F13" t="s">
        <v>2164</v>
      </c>
      <c r="G13" t="s">
        <v>2319</v>
      </c>
      <c r="H13" t="s">
        <v>2319</v>
      </c>
      <c r="J13" t="s">
        <v>2239</v>
      </c>
      <c r="K13" t="s">
        <v>2353</v>
      </c>
      <c r="M13" t="s">
        <v>2313</v>
      </c>
      <c r="N13" t="s">
        <v>2384</v>
      </c>
      <c r="O13" t="s">
        <v>2359</v>
      </c>
      <c r="P13" t="s">
        <v>2321</v>
      </c>
      <c r="Q13" t="s">
        <v>1856</v>
      </c>
    </row>
    <row r="14" spans="1:17">
      <c r="A14" t="str">
        <f t="shared" si="0"/>
        <v>Pilar IIIlt002_instrumentDT_ORGNL_MTRTY</v>
      </c>
      <c r="B14" t="s">
        <v>26</v>
      </c>
      <c r="C14" t="s">
        <v>26</v>
      </c>
      <c r="D14" t="s">
        <v>40</v>
      </c>
      <c r="E14" t="s">
        <v>379</v>
      </c>
      <c r="F14" t="s">
        <v>2165</v>
      </c>
      <c r="G14" t="s">
        <v>2319</v>
      </c>
      <c r="H14" t="s">
        <v>2319</v>
      </c>
      <c r="J14" t="s">
        <v>2239</v>
      </c>
      <c r="K14" t="s">
        <v>2353</v>
      </c>
      <c r="M14" t="s">
        <v>2313</v>
      </c>
      <c r="N14" t="s">
        <v>2385</v>
      </c>
      <c r="O14" t="s">
        <v>2359</v>
      </c>
      <c r="P14" t="s">
        <v>2321</v>
      </c>
      <c r="Q14" t="s">
        <v>1856</v>
      </c>
    </row>
    <row r="15" spans="1:17">
      <c r="A15" t="str">
        <f t="shared" si="0"/>
        <v>Pilar IIIlt002_instrumentEAD</v>
      </c>
      <c r="B15" t="s">
        <v>26</v>
      </c>
      <c r="C15" t="s">
        <v>26</v>
      </c>
      <c r="D15" t="s">
        <v>40</v>
      </c>
      <c r="E15" t="s">
        <v>379</v>
      </c>
      <c r="F15" t="s">
        <v>2166</v>
      </c>
      <c r="G15" t="s">
        <v>2319</v>
      </c>
      <c r="H15" t="s">
        <v>2319</v>
      </c>
      <c r="J15" t="s">
        <v>2239</v>
      </c>
      <c r="K15" t="s">
        <v>2353</v>
      </c>
      <c r="M15" t="s">
        <v>2313</v>
      </c>
      <c r="N15" t="s">
        <v>2386</v>
      </c>
      <c r="O15" t="s">
        <v>2359</v>
      </c>
      <c r="P15" t="s">
        <v>2321</v>
      </c>
      <c r="Q15" t="s">
        <v>1856</v>
      </c>
    </row>
    <row r="16" spans="1:17">
      <c r="A16" t="str">
        <f t="shared" si="0"/>
        <v>Pilar IIIlt002_instrumentOFF_BLNC_SHT_AMNT_INSTRMNT</v>
      </c>
      <c r="B16" t="s">
        <v>26</v>
      </c>
      <c r="C16" t="s">
        <v>26</v>
      </c>
      <c r="D16" t="s">
        <v>40</v>
      </c>
      <c r="E16" t="s">
        <v>379</v>
      </c>
      <c r="F16" t="s">
        <v>1412</v>
      </c>
      <c r="G16" t="s">
        <v>2319</v>
      </c>
      <c r="H16" t="s">
        <v>28</v>
      </c>
      <c r="J16" t="s">
        <v>2240</v>
      </c>
      <c r="K16" t="s">
        <v>2353</v>
      </c>
      <c r="M16" t="s">
        <v>2313</v>
      </c>
      <c r="N16" t="s">
        <v>2387</v>
      </c>
      <c r="O16" t="s">
        <v>2359</v>
      </c>
      <c r="P16" t="s">
        <v>2321</v>
      </c>
      <c r="Q16" t="s">
        <v>1856</v>
      </c>
    </row>
    <row r="17" spans="1:17">
      <c r="A17" t="str">
        <f t="shared" si="0"/>
        <v>Pilar IIIlt002_instrumentRWA</v>
      </c>
      <c r="B17" t="s">
        <v>26</v>
      </c>
      <c r="C17" t="s">
        <v>26</v>
      </c>
      <c r="D17" t="s">
        <v>40</v>
      </c>
      <c r="E17" t="s">
        <v>379</v>
      </c>
      <c r="F17" t="s">
        <v>1418</v>
      </c>
      <c r="G17" t="s">
        <v>2319</v>
      </c>
      <c r="H17" t="s">
        <v>2319</v>
      </c>
      <c r="J17" t="s">
        <v>2239</v>
      </c>
      <c r="K17" t="s">
        <v>2353</v>
      </c>
      <c r="M17" t="s">
        <v>2313</v>
      </c>
      <c r="N17" t="s">
        <v>2388</v>
      </c>
      <c r="O17" t="s">
        <v>2359</v>
      </c>
      <c r="P17" t="s">
        <v>2321</v>
      </c>
      <c r="Q17" t="s">
        <v>1856</v>
      </c>
    </row>
    <row r="18" spans="1:17">
      <c r="A18" t="str">
        <f t="shared" si="0"/>
        <v>Pilar IIIlt002_instrumentLTV</v>
      </c>
      <c r="B18" t="s">
        <v>26</v>
      </c>
      <c r="C18" t="s">
        <v>26</v>
      </c>
      <c r="D18" t="s">
        <v>40</v>
      </c>
      <c r="E18" t="s">
        <v>379</v>
      </c>
      <c r="F18" t="s">
        <v>2167</v>
      </c>
      <c r="G18" t="s">
        <v>2319</v>
      </c>
      <c r="H18" t="s">
        <v>2319</v>
      </c>
      <c r="J18" t="s">
        <v>2239</v>
      </c>
      <c r="K18" t="s">
        <v>2353</v>
      </c>
      <c r="M18" t="s">
        <v>2313</v>
      </c>
      <c r="N18" t="s">
        <v>2389</v>
      </c>
      <c r="O18" t="s">
        <v>2359</v>
      </c>
      <c r="P18" t="s">
        <v>2321</v>
      </c>
      <c r="Q18" t="s">
        <v>1856</v>
      </c>
    </row>
    <row r="19" spans="1:17">
      <c r="A19" t="str">
        <f t="shared" si="0"/>
        <v>Pilar IIIlt002_instrumentLTV_INCPTN</v>
      </c>
      <c r="B19" t="s">
        <v>26</v>
      </c>
      <c r="C19" t="s">
        <v>26</v>
      </c>
      <c r="D19" t="s">
        <v>40</v>
      </c>
      <c r="E19" t="s">
        <v>379</v>
      </c>
      <c r="F19" t="s">
        <v>2168</v>
      </c>
      <c r="G19" t="s">
        <v>2319</v>
      </c>
      <c r="H19" t="s">
        <v>2319</v>
      </c>
      <c r="J19" t="s">
        <v>2239</v>
      </c>
      <c r="K19" t="s">
        <v>2353</v>
      </c>
      <c r="M19" t="s">
        <v>2313</v>
      </c>
      <c r="N19" t="s">
        <v>2389</v>
      </c>
      <c r="O19" t="s">
        <v>2359</v>
      </c>
      <c r="P19" t="s">
        <v>2321</v>
      </c>
      <c r="Q19" t="s">
        <v>1855</v>
      </c>
    </row>
    <row r="20" spans="1:17">
      <c r="A20" t="str">
        <f t="shared" si="0"/>
        <v>Pilar IIIlt002_instrumentEIR</v>
      </c>
      <c r="B20" t="s">
        <v>26</v>
      </c>
      <c r="C20" t="s">
        <v>26</v>
      </c>
      <c r="D20" t="s">
        <v>40</v>
      </c>
      <c r="E20" t="s">
        <v>379</v>
      </c>
      <c r="F20" t="s">
        <v>2169</v>
      </c>
      <c r="G20" t="s">
        <v>2319</v>
      </c>
      <c r="H20" t="s">
        <v>2319</v>
      </c>
      <c r="J20" t="s">
        <v>2239</v>
      </c>
      <c r="K20" t="s">
        <v>2353</v>
      </c>
      <c r="M20" t="s">
        <v>2313</v>
      </c>
      <c r="N20" t="s">
        <v>2383</v>
      </c>
      <c r="O20" t="s">
        <v>2359</v>
      </c>
      <c r="P20" t="s">
        <v>2321</v>
      </c>
      <c r="Q20" t="s">
        <v>1855</v>
      </c>
    </row>
    <row r="21" spans="1:17">
      <c r="A21" t="str">
        <f t="shared" si="0"/>
        <v>Pilar IIIlt002_instrumentEIR_INCPTN</v>
      </c>
      <c r="B21" t="s">
        <v>26</v>
      </c>
      <c r="C21" t="s">
        <v>26</v>
      </c>
      <c r="D21" t="s">
        <v>40</v>
      </c>
      <c r="E21" t="s">
        <v>379</v>
      </c>
      <c r="F21" t="s">
        <v>2170</v>
      </c>
      <c r="G21" t="s">
        <v>2319</v>
      </c>
      <c r="H21" t="s">
        <v>2319</v>
      </c>
      <c r="J21" t="s">
        <v>2239</v>
      </c>
      <c r="K21" t="s">
        <v>2353</v>
      </c>
      <c r="M21" t="s">
        <v>2313</v>
      </c>
      <c r="N21" t="s">
        <v>2389</v>
      </c>
      <c r="O21" t="s">
        <v>2359</v>
      </c>
      <c r="P21" t="s">
        <v>2321</v>
      </c>
      <c r="Q21" t="s">
        <v>1855</v>
      </c>
    </row>
    <row r="22" spans="1:17">
      <c r="A22" t="str">
        <f t="shared" si="0"/>
        <v>Pilar IIIlt002_instrumentINTRNL_SGMNT_CAT_MSTA</v>
      </c>
      <c r="B22" t="s">
        <v>26</v>
      </c>
      <c r="C22" t="s">
        <v>26</v>
      </c>
      <c r="D22" t="s">
        <v>40</v>
      </c>
      <c r="E22" t="s">
        <v>379</v>
      </c>
      <c r="F22" t="s">
        <v>2171</v>
      </c>
      <c r="G22" t="s">
        <v>2319</v>
      </c>
      <c r="H22" t="s">
        <v>2319</v>
      </c>
      <c r="J22" t="s">
        <v>2239</v>
      </c>
      <c r="K22" t="s">
        <v>2353</v>
      </c>
      <c r="M22" t="s">
        <v>2313</v>
      </c>
      <c r="N22" t="s">
        <v>2390</v>
      </c>
      <c r="O22" t="s">
        <v>2359</v>
      </c>
      <c r="P22" t="s">
        <v>2321</v>
      </c>
      <c r="Q22" t="s">
        <v>1855</v>
      </c>
    </row>
    <row r="23" spans="1:17">
      <c r="A23" t="str">
        <f t="shared" si="0"/>
        <v>Pilar IIIlt002_instrumentINTRNL_SGMNT_CATGSUB</v>
      </c>
      <c r="B23" t="s">
        <v>26</v>
      </c>
      <c r="C23" t="s">
        <v>26</v>
      </c>
      <c r="D23" t="s">
        <v>40</v>
      </c>
      <c r="E23" t="s">
        <v>379</v>
      </c>
      <c r="F23" t="s">
        <v>2172</v>
      </c>
      <c r="G23" t="s">
        <v>2319</v>
      </c>
      <c r="H23" t="s">
        <v>2319</v>
      </c>
      <c r="J23" t="s">
        <v>2239</v>
      </c>
      <c r="K23" t="s">
        <v>2353</v>
      </c>
      <c r="M23" t="s">
        <v>2313</v>
      </c>
      <c r="N23" t="s">
        <v>2390</v>
      </c>
      <c r="O23" t="s">
        <v>2359</v>
      </c>
      <c r="P23" t="s">
        <v>2321</v>
      </c>
      <c r="Q23" t="s">
        <v>1855</v>
      </c>
    </row>
    <row r="24" spans="1:17">
      <c r="A24" t="str">
        <f t="shared" si="0"/>
        <v>Pilar IIIlt002_instrumentNW_BSNSS</v>
      </c>
      <c r="B24" t="s">
        <v>26</v>
      </c>
      <c r="C24" t="s">
        <v>26</v>
      </c>
      <c r="D24" t="s">
        <v>40</v>
      </c>
      <c r="E24" t="s">
        <v>379</v>
      </c>
      <c r="F24" t="s">
        <v>1334</v>
      </c>
      <c r="G24" t="s">
        <v>2319</v>
      </c>
      <c r="H24" t="s">
        <v>28</v>
      </c>
      <c r="J24" t="s">
        <v>2241</v>
      </c>
      <c r="K24" t="s">
        <v>2353</v>
      </c>
      <c r="M24" t="s">
        <v>2313</v>
      </c>
      <c r="N24" t="s">
        <v>2381</v>
      </c>
      <c r="O24" t="s">
        <v>2360</v>
      </c>
      <c r="P24" t="s">
        <v>2321</v>
      </c>
      <c r="Q24" t="s">
        <v>2308</v>
      </c>
    </row>
    <row r="25" spans="1:17">
      <c r="A25" t="str">
        <f t="shared" si="0"/>
        <v>Pilar IIIlt002_instrumentCNCLLD_INSTRMNT_STTS</v>
      </c>
      <c r="B25" t="s">
        <v>26</v>
      </c>
      <c r="C25" t="s">
        <v>26</v>
      </c>
      <c r="D25" t="s">
        <v>40</v>
      </c>
      <c r="E25" t="s">
        <v>379</v>
      </c>
      <c r="F25" t="s">
        <v>1344</v>
      </c>
      <c r="G25" t="s">
        <v>614</v>
      </c>
      <c r="H25" t="s">
        <v>28</v>
      </c>
      <c r="J25" t="s">
        <v>2241</v>
      </c>
      <c r="K25" t="s">
        <v>2353</v>
      </c>
      <c r="M25" t="s">
        <v>2313</v>
      </c>
      <c r="N25" t="s">
        <v>2381</v>
      </c>
      <c r="O25" t="s">
        <v>2360</v>
      </c>
      <c r="P25" t="s">
        <v>2321</v>
      </c>
      <c r="Q25" t="s">
        <v>2308</v>
      </c>
    </row>
    <row r="26" spans="1:17">
      <c r="A26" t="str">
        <f t="shared" si="0"/>
        <v>Pilar IIIlt002_instrumentTYP_OFF_BLNC_PRDCT</v>
      </c>
      <c r="B26" t="s">
        <v>26</v>
      </c>
      <c r="C26" t="s">
        <v>26</v>
      </c>
      <c r="D26" t="s">
        <v>40</v>
      </c>
      <c r="E26" t="s">
        <v>379</v>
      </c>
      <c r="F26" t="s">
        <v>2173</v>
      </c>
      <c r="G26" t="s">
        <v>2319</v>
      </c>
      <c r="H26" t="s">
        <v>28</v>
      </c>
      <c r="J26" t="s">
        <v>2399</v>
      </c>
      <c r="K26" t="s">
        <v>2353</v>
      </c>
      <c r="M26" t="s">
        <v>2313</v>
      </c>
      <c r="N26" t="s">
        <v>2391</v>
      </c>
      <c r="O26" t="s">
        <v>2359</v>
      </c>
      <c r="P26" t="s">
        <v>2321</v>
      </c>
      <c r="Q26" t="s">
        <v>1855</v>
      </c>
    </row>
    <row r="27" spans="1:17">
      <c r="A27" t="str">
        <f t="shared" si="0"/>
        <v>Pilar IIIlt002_instrumentFLG_MNMM_SFGRDS</v>
      </c>
      <c r="B27" t="s">
        <v>26</v>
      </c>
      <c r="C27" t="s">
        <v>26</v>
      </c>
      <c r="D27" t="s">
        <v>40</v>
      </c>
      <c r="E27" t="s">
        <v>379</v>
      </c>
      <c r="F27" t="s">
        <v>2174</v>
      </c>
      <c r="G27" t="s">
        <v>2319</v>
      </c>
      <c r="H27" t="s">
        <v>2319</v>
      </c>
      <c r="J27" t="s">
        <v>2306</v>
      </c>
      <c r="K27" t="s">
        <v>2353</v>
      </c>
      <c r="M27" t="s">
        <v>2313</v>
      </c>
      <c r="N27" t="s">
        <v>2392</v>
      </c>
      <c r="O27" t="s">
        <v>2360</v>
      </c>
      <c r="P27" t="s">
        <v>2321</v>
      </c>
      <c r="Q27" t="s">
        <v>1855</v>
      </c>
    </row>
    <row r="28" spans="1:17">
      <c r="A28" t="str">
        <f t="shared" si="0"/>
        <v>Pilar IIIlt003_entityentty_nm</v>
      </c>
      <c r="B28" t="s">
        <v>26</v>
      </c>
      <c r="C28" t="s">
        <v>26</v>
      </c>
      <c r="D28" t="s">
        <v>40</v>
      </c>
      <c r="E28" t="s">
        <v>335</v>
      </c>
      <c r="F28" t="s">
        <v>2191</v>
      </c>
      <c r="G28" t="s">
        <v>2319</v>
      </c>
      <c r="H28" t="s">
        <v>2319</v>
      </c>
      <c r="J28" t="s">
        <v>2239</v>
      </c>
      <c r="K28" t="s">
        <v>2353</v>
      </c>
      <c r="M28" t="s">
        <v>2313</v>
      </c>
      <c r="N28" t="s">
        <v>2385</v>
      </c>
      <c r="O28" t="s">
        <v>2359</v>
      </c>
      <c r="P28" t="s">
        <v>2321</v>
      </c>
      <c r="Q28" t="s">
        <v>1855</v>
      </c>
    </row>
    <row r="29" spans="1:17">
      <c r="A29" t="str">
        <f t="shared" si="0"/>
        <v>Pilar IIIlt003_entityec_grp_id</v>
      </c>
      <c r="B29" t="s">
        <v>26</v>
      </c>
      <c r="C29" t="s">
        <v>26</v>
      </c>
      <c r="D29" t="s">
        <v>40</v>
      </c>
      <c r="E29" t="s">
        <v>335</v>
      </c>
      <c r="F29" t="s">
        <v>2192</v>
      </c>
      <c r="G29" t="s">
        <v>2319</v>
      </c>
      <c r="H29" t="s">
        <v>28</v>
      </c>
      <c r="J29" t="s">
        <v>2240</v>
      </c>
      <c r="K29" t="s">
        <v>2353</v>
      </c>
      <c r="M29" t="s">
        <v>2313</v>
      </c>
      <c r="N29" t="s">
        <v>2385</v>
      </c>
      <c r="O29" t="s">
        <v>2359</v>
      </c>
      <c r="P29" t="s">
        <v>2321</v>
      </c>
      <c r="Q29" t="s">
        <v>1855</v>
      </c>
    </row>
    <row r="30" spans="1:17">
      <c r="A30" t="str">
        <f t="shared" si="0"/>
        <v>Pilar IIIlt003_entityec_grp_nm</v>
      </c>
      <c r="B30" t="s">
        <v>26</v>
      </c>
      <c r="C30" t="s">
        <v>26</v>
      </c>
      <c r="D30" t="s">
        <v>40</v>
      </c>
      <c r="E30" t="s">
        <v>335</v>
      </c>
      <c r="F30" t="s">
        <v>2193</v>
      </c>
      <c r="G30" t="s">
        <v>2319</v>
      </c>
      <c r="H30" t="s">
        <v>28</v>
      </c>
      <c r="J30" t="s">
        <v>2240</v>
      </c>
      <c r="K30" t="s">
        <v>2353</v>
      </c>
      <c r="M30" t="s">
        <v>2313</v>
      </c>
      <c r="N30" t="s">
        <v>2385</v>
      </c>
      <c r="O30" t="s">
        <v>2359</v>
      </c>
      <c r="P30" t="s">
        <v>2321</v>
      </c>
      <c r="Q30" t="s">
        <v>1855</v>
      </c>
    </row>
    <row r="31" spans="1:17">
      <c r="A31" t="str">
        <f t="shared" si="0"/>
        <v>Pilar IIIlt003_entitygrp_ecnmc_actvty</v>
      </c>
      <c r="B31" t="s">
        <v>26</v>
      </c>
      <c r="C31" t="s">
        <v>26</v>
      </c>
      <c r="D31" t="s">
        <v>40</v>
      </c>
      <c r="E31" t="s">
        <v>335</v>
      </c>
      <c r="F31" t="s">
        <v>2194</v>
      </c>
      <c r="G31" t="s">
        <v>2319</v>
      </c>
      <c r="H31" t="s">
        <v>28</v>
      </c>
      <c r="J31" t="s">
        <v>2241</v>
      </c>
      <c r="K31" t="s">
        <v>2353</v>
      </c>
      <c r="M31" t="s">
        <v>2313</v>
      </c>
      <c r="N31" t="s">
        <v>2393</v>
      </c>
      <c r="O31" t="s">
        <v>2360</v>
      </c>
      <c r="P31" t="s">
        <v>2321</v>
      </c>
      <c r="Q31" t="s">
        <v>1855</v>
      </c>
    </row>
    <row r="32" spans="1:17">
      <c r="A32" t="str">
        <f t="shared" si="0"/>
        <v>Pilar IIIlt003_entitytxnmy_elgbl_capex_w</v>
      </c>
      <c r="B32" t="s">
        <v>26</v>
      </c>
      <c r="C32" t="s">
        <v>26</v>
      </c>
      <c r="D32" t="s">
        <v>40</v>
      </c>
      <c r="E32" t="s">
        <v>335</v>
      </c>
      <c r="F32" t="s">
        <v>2195</v>
      </c>
      <c r="G32" t="s">
        <v>2319</v>
      </c>
      <c r="H32" t="s">
        <v>2319</v>
      </c>
      <c r="J32" t="s">
        <v>2242</v>
      </c>
      <c r="K32" t="s">
        <v>2398</v>
      </c>
      <c r="M32" t="s">
        <v>2313</v>
      </c>
      <c r="N32" t="s">
        <v>2382</v>
      </c>
      <c r="O32" t="s">
        <v>2360</v>
      </c>
      <c r="P32" t="s">
        <v>2321</v>
      </c>
      <c r="Q32" t="s">
        <v>1855</v>
      </c>
    </row>
    <row r="33" spans="1:17">
      <c r="A33" t="str">
        <f t="shared" si="0"/>
        <v>Pilar IIIlt003_entitytxnmy_elgbl_trnvr_w</v>
      </c>
      <c r="B33" t="s">
        <v>26</v>
      </c>
      <c r="C33" t="s">
        <v>26</v>
      </c>
      <c r="D33" t="s">
        <v>40</v>
      </c>
      <c r="E33" t="s">
        <v>335</v>
      </c>
      <c r="F33" t="s">
        <v>2196</v>
      </c>
      <c r="G33" t="s">
        <v>2319</v>
      </c>
      <c r="H33" t="s">
        <v>2319</v>
      </c>
      <c r="J33" t="s">
        <v>2242</v>
      </c>
      <c r="K33" t="s">
        <v>2398</v>
      </c>
      <c r="M33" t="s">
        <v>2313</v>
      </c>
      <c r="N33" t="s">
        <v>2382</v>
      </c>
      <c r="O33" t="s">
        <v>2360</v>
      </c>
      <c r="P33" t="s">
        <v>2321</v>
      </c>
      <c r="Q33" t="s">
        <v>1855</v>
      </c>
    </row>
    <row r="34" spans="1:17">
      <c r="A34" t="str">
        <f t="shared" si="0"/>
        <v>Pilar IIIlt003_entitytxnmy_elgbl_capex_p</v>
      </c>
      <c r="B34" t="s">
        <v>26</v>
      </c>
      <c r="C34" t="s">
        <v>26</v>
      </c>
      <c r="D34" t="s">
        <v>40</v>
      </c>
      <c r="E34" t="s">
        <v>335</v>
      </c>
      <c r="F34" t="s">
        <v>2197</v>
      </c>
      <c r="G34" t="s">
        <v>2319</v>
      </c>
      <c r="H34" t="s">
        <v>2319</v>
      </c>
      <c r="J34" t="s">
        <v>2242</v>
      </c>
      <c r="K34" t="s">
        <v>2398</v>
      </c>
      <c r="M34" t="s">
        <v>2313</v>
      </c>
      <c r="N34" t="s">
        <v>2382</v>
      </c>
      <c r="O34" t="s">
        <v>2360</v>
      </c>
      <c r="P34" t="s">
        <v>2321</v>
      </c>
      <c r="Q34" t="s">
        <v>1855</v>
      </c>
    </row>
    <row r="35" spans="1:17">
      <c r="A35" t="str">
        <f t="shared" si="0"/>
        <v>Pilar IIIlt003_entitytxnmy_elgbl_trnvr_p</v>
      </c>
      <c r="B35" t="s">
        <v>26</v>
      </c>
      <c r="C35" t="s">
        <v>26</v>
      </c>
      <c r="D35" t="s">
        <v>40</v>
      </c>
      <c r="E35" t="s">
        <v>335</v>
      </c>
      <c r="F35" t="s">
        <v>2198</v>
      </c>
      <c r="G35" t="s">
        <v>2319</v>
      </c>
      <c r="H35" t="s">
        <v>2319</v>
      </c>
      <c r="J35" t="s">
        <v>2242</v>
      </c>
      <c r="K35" t="s">
        <v>2398</v>
      </c>
      <c r="M35" t="s">
        <v>2313</v>
      </c>
      <c r="N35" t="s">
        <v>2382</v>
      </c>
      <c r="O35" t="s">
        <v>2360</v>
      </c>
      <c r="P35" t="s">
        <v>2321</v>
      </c>
      <c r="Q35" t="s">
        <v>1855</v>
      </c>
    </row>
    <row r="36" spans="1:17">
      <c r="A36" t="str">
        <f t="shared" si="0"/>
        <v>Pilar IIIlt003_entitytxnmy_elgbl_capex_b</v>
      </c>
      <c r="B36" t="s">
        <v>26</v>
      </c>
      <c r="C36" t="s">
        <v>26</v>
      </c>
      <c r="D36" t="s">
        <v>40</v>
      </c>
      <c r="E36" t="s">
        <v>335</v>
      </c>
      <c r="F36" t="s">
        <v>2199</v>
      </c>
      <c r="G36" t="s">
        <v>2319</v>
      </c>
      <c r="H36" t="s">
        <v>2319</v>
      </c>
      <c r="J36" t="s">
        <v>2242</v>
      </c>
      <c r="K36" t="s">
        <v>2398</v>
      </c>
      <c r="M36" t="s">
        <v>2313</v>
      </c>
      <c r="N36" t="s">
        <v>2382</v>
      </c>
      <c r="O36" t="s">
        <v>2360</v>
      </c>
      <c r="P36" t="s">
        <v>2321</v>
      </c>
      <c r="Q36" t="s">
        <v>1855</v>
      </c>
    </row>
    <row r="37" spans="1:17">
      <c r="A37" t="str">
        <f t="shared" si="0"/>
        <v>Pilar IIIlt003_entitytxnmy_elgbl_trnvr_b</v>
      </c>
      <c r="B37" t="s">
        <v>26</v>
      </c>
      <c r="C37" t="s">
        <v>26</v>
      </c>
      <c r="D37" t="s">
        <v>40</v>
      </c>
      <c r="E37" t="s">
        <v>335</v>
      </c>
      <c r="F37" t="s">
        <v>2200</v>
      </c>
      <c r="G37" t="s">
        <v>2319</v>
      </c>
      <c r="H37" t="s">
        <v>2319</v>
      </c>
      <c r="J37" t="s">
        <v>2242</v>
      </c>
      <c r="K37" t="s">
        <v>2398</v>
      </c>
      <c r="M37" t="s">
        <v>2313</v>
      </c>
      <c r="N37" t="s">
        <v>2382</v>
      </c>
      <c r="O37" t="s">
        <v>2360</v>
      </c>
      <c r="P37" t="s">
        <v>2321</v>
      </c>
      <c r="Q37" t="s">
        <v>1855</v>
      </c>
    </row>
    <row r="38" spans="1:17">
      <c r="A38" t="str">
        <f t="shared" si="0"/>
        <v>Pilar IIIlt003_entitytxnmy_elgbl_capex_ce</v>
      </c>
      <c r="B38" t="s">
        <v>26</v>
      </c>
      <c r="C38" t="s">
        <v>26</v>
      </c>
      <c r="D38" t="s">
        <v>40</v>
      </c>
      <c r="E38" t="s">
        <v>335</v>
      </c>
      <c r="F38" t="s">
        <v>2201</v>
      </c>
      <c r="G38" t="s">
        <v>2319</v>
      </c>
      <c r="H38" t="s">
        <v>2319</v>
      </c>
      <c r="J38" t="s">
        <v>2242</v>
      </c>
      <c r="K38" t="s">
        <v>2398</v>
      </c>
      <c r="M38" t="s">
        <v>2313</v>
      </c>
      <c r="N38" t="s">
        <v>2382</v>
      </c>
      <c r="O38" t="s">
        <v>2360</v>
      </c>
      <c r="P38" t="s">
        <v>2321</v>
      </c>
      <c r="Q38" t="s">
        <v>1855</v>
      </c>
    </row>
    <row r="39" spans="1:17">
      <c r="A39" t="str">
        <f t="shared" si="0"/>
        <v>Pilar IIIlt003_entitytxnmy_elgbl_trnvr_ce</v>
      </c>
      <c r="B39" t="s">
        <v>26</v>
      </c>
      <c r="C39" t="s">
        <v>26</v>
      </c>
      <c r="D39" t="s">
        <v>40</v>
      </c>
      <c r="E39" t="s">
        <v>335</v>
      </c>
      <c r="F39" t="s">
        <v>2202</v>
      </c>
      <c r="G39" t="s">
        <v>2319</v>
      </c>
      <c r="H39" t="s">
        <v>2319</v>
      </c>
      <c r="J39" t="s">
        <v>2242</v>
      </c>
      <c r="K39" t="s">
        <v>2398</v>
      </c>
      <c r="M39" t="s">
        <v>2313</v>
      </c>
      <c r="N39" t="s">
        <v>2382</v>
      </c>
      <c r="O39" t="s">
        <v>2360</v>
      </c>
      <c r="P39" t="s">
        <v>2321</v>
      </c>
      <c r="Q39" t="s">
        <v>1855</v>
      </c>
    </row>
    <row r="40" spans="1:17">
      <c r="A40" t="str">
        <f t="shared" si="0"/>
        <v>Pilar IIIlt003_entitypure_capex_p</v>
      </c>
      <c r="B40" t="s">
        <v>26</v>
      </c>
      <c r="C40" t="s">
        <v>26</v>
      </c>
      <c r="D40" t="s">
        <v>40</v>
      </c>
      <c r="E40" t="s">
        <v>335</v>
      </c>
      <c r="F40" t="s">
        <v>2203</v>
      </c>
      <c r="G40" t="s">
        <v>2319</v>
      </c>
      <c r="H40" t="s">
        <v>2319</v>
      </c>
      <c r="J40" t="s">
        <v>2242</v>
      </c>
      <c r="K40" t="s">
        <v>2398</v>
      </c>
      <c r="M40" t="s">
        <v>2313</v>
      </c>
      <c r="N40" t="s">
        <v>2382</v>
      </c>
      <c r="O40" t="s">
        <v>2360</v>
      </c>
      <c r="P40" t="s">
        <v>2321</v>
      </c>
      <c r="Q40" t="s">
        <v>1855</v>
      </c>
    </row>
    <row r="41" spans="1:17">
      <c r="A41" t="str">
        <f t="shared" si="0"/>
        <v>Pilar IIIlt003_entitypure_trnvr_p</v>
      </c>
      <c r="B41" t="s">
        <v>26</v>
      </c>
      <c r="C41" t="s">
        <v>26</v>
      </c>
      <c r="D41" t="s">
        <v>40</v>
      </c>
      <c r="E41" t="s">
        <v>335</v>
      </c>
      <c r="F41" t="s">
        <v>2204</v>
      </c>
      <c r="G41" t="s">
        <v>2319</v>
      </c>
      <c r="H41" t="s">
        <v>2319</v>
      </c>
      <c r="J41" t="s">
        <v>2242</v>
      </c>
      <c r="K41" t="s">
        <v>2398</v>
      </c>
      <c r="M41" t="s">
        <v>2313</v>
      </c>
      <c r="N41" t="s">
        <v>2382</v>
      </c>
      <c r="O41" t="s">
        <v>2360</v>
      </c>
      <c r="P41" t="s">
        <v>2321</v>
      </c>
      <c r="Q41" t="s">
        <v>1855</v>
      </c>
    </row>
    <row r="42" spans="1:17">
      <c r="A42" t="str">
        <f t="shared" si="0"/>
        <v>Pilar IIIlt003_entitypure_capex_b</v>
      </c>
      <c r="B42" t="s">
        <v>26</v>
      </c>
      <c r="C42" t="s">
        <v>26</v>
      </c>
      <c r="D42" t="s">
        <v>40</v>
      </c>
      <c r="E42" t="s">
        <v>335</v>
      </c>
      <c r="F42" t="s">
        <v>2205</v>
      </c>
      <c r="G42" t="s">
        <v>2319</v>
      </c>
      <c r="H42" t="s">
        <v>2319</v>
      </c>
      <c r="J42" t="s">
        <v>2242</v>
      </c>
      <c r="K42" t="s">
        <v>2398</v>
      </c>
      <c r="M42" t="s">
        <v>2313</v>
      </c>
      <c r="N42" t="s">
        <v>2382</v>
      </c>
      <c r="O42" t="s">
        <v>2360</v>
      </c>
      <c r="P42" t="s">
        <v>2321</v>
      </c>
      <c r="Q42" t="s">
        <v>1855</v>
      </c>
    </row>
    <row r="43" spans="1:17">
      <c r="A43" t="str">
        <f t="shared" si="0"/>
        <v>Pilar IIIlt003_entitypure_trnvr_b</v>
      </c>
      <c r="B43" t="s">
        <v>26</v>
      </c>
      <c r="C43" t="s">
        <v>26</v>
      </c>
      <c r="D43" t="s">
        <v>40</v>
      </c>
      <c r="E43" t="s">
        <v>335</v>
      </c>
      <c r="F43" t="s">
        <v>2206</v>
      </c>
      <c r="G43" t="s">
        <v>2319</v>
      </c>
      <c r="H43" t="s">
        <v>2319</v>
      </c>
      <c r="J43" t="s">
        <v>2242</v>
      </c>
      <c r="K43" t="s">
        <v>2398</v>
      </c>
      <c r="M43" t="s">
        <v>2313</v>
      </c>
      <c r="N43" t="s">
        <v>2382</v>
      </c>
      <c r="O43" t="s">
        <v>2360</v>
      </c>
      <c r="P43" t="s">
        <v>2321</v>
      </c>
      <c r="Q43" t="s">
        <v>1855</v>
      </c>
    </row>
    <row r="44" spans="1:17">
      <c r="A44" t="str">
        <f t="shared" si="0"/>
        <v>Pilar IIIlt003_entitypure_capex_w</v>
      </c>
      <c r="B44" t="s">
        <v>26</v>
      </c>
      <c r="C44" t="s">
        <v>26</v>
      </c>
      <c r="D44" t="s">
        <v>40</v>
      </c>
      <c r="E44" t="s">
        <v>335</v>
      </c>
      <c r="F44" t="s">
        <v>2207</v>
      </c>
      <c r="G44" t="s">
        <v>2319</v>
      </c>
      <c r="H44" t="s">
        <v>2319</v>
      </c>
      <c r="J44" t="s">
        <v>2242</v>
      </c>
      <c r="K44" t="s">
        <v>2398</v>
      </c>
      <c r="M44" t="s">
        <v>2313</v>
      </c>
      <c r="N44" t="s">
        <v>2382</v>
      </c>
      <c r="O44" t="s">
        <v>2360</v>
      </c>
      <c r="P44" t="s">
        <v>2321</v>
      </c>
      <c r="Q44" t="s">
        <v>1855</v>
      </c>
    </row>
    <row r="45" spans="1:17">
      <c r="A45" t="str">
        <f t="shared" si="0"/>
        <v>Pilar IIIlt003_entitypure_trnvr_w</v>
      </c>
      <c r="B45" t="s">
        <v>26</v>
      </c>
      <c r="C45" t="s">
        <v>26</v>
      </c>
      <c r="D45" t="s">
        <v>40</v>
      </c>
      <c r="E45" t="s">
        <v>335</v>
      </c>
      <c r="F45" t="s">
        <v>2208</v>
      </c>
      <c r="G45" t="s">
        <v>2319</v>
      </c>
      <c r="H45" t="s">
        <v>2319</v>
      </c>
      <c r="J45" t="s">
        <v>2242</v>
      </c>
      <c r="K45" t="s">
        <v>2398</v>
      </c>
      <c r="M45" t="s">
        <v>2313</v>
      </c>
      <c r="N45" t="s">
        <v>2382</v>
      </c>
      <c r="O45" t="s">
        <v>2360</v>
      </c>
      <c r="P45" t="s">
        <v>2321</v>
      </c>
      <c r="Q45" t="s">
        <v>1855</v>
      </c>
    </row>
    <row r="46" spans="1:17">
      <c r="A46" t="str">
        <f t="shared" si="0"/>
        <v>Pilar IIIlt003_entitypure_capex_ce</v>
      </c>
      <c r="B46" t="s">
        <v>26</v>
      </c>
      <c r="C46" t="s">
        <v>26</v>
      </c>
      <c r="D46" t="s">
        <v>40</v>
      </c>
      <c r="E46" t="s">
        <v>335</v>
      </c>
      <c r="F46" t="s">
        <v>2209</v>
      </c>
      <c r="G46" t="s">
        <v>2319</v>
      </c>
      <c r="H46" t="s">
        <v>2319</v>
      </c>
      <c r="J46" t="s">
        <v>2242</v>
      </c>
      <c r="K46" t="s">
        <v>2398</v>
      </c>
      <c r="M46" t="s">
        <v>2313</v>
      </c>
      <c r="N46" t="s">
        <v>2382</v>
      </c>
      <c r="O46" t="s">
        <v>2360</v>
      </c>
      <c r="P46" t="s">
        <v>2321</v>
      </c>
      <c r="Q46" t="s">
        <v>1855</v>
      </c>
    </row>
    <row r="47" spans="1:17">
      <c r="A47" t="str">
        <f t="shared" si="0"/>
        <v>Pilar IIIlt003_entitypure_trnvr_ce</v>
      </c>
      <c r="B47" t="s">
        <v>26</v>
      </c>
      <c r="C47" t="s">
        <v>26</v>
      </c>
      <c r="D47" t="s">
        <v>40</v>
      </c>
      <c r="E47" t="s">
        <v>335</v>
      </c>
      <c r="F47" t="s">
        <v>2210</v>
      </c>
      <c r="G47" t="s">
        <v>2319</v>
      </c>
      <c r="H47" t="s">
        <v>2319</v>
      </c>
      <c r="J47" t="s">
        <v>2242</v>
      </c>
      <c r="K47" t="s">
        <v>2398</v>
      </c>
      <c r="M47" t="s">
        <v>2313</v>
      </c>
      <c r="N47" t="s">
        <v>2382</v>
      </c>
      <c r="O47" t="s">
        <v>2360</v>
      </c>
      <c r="P47" t="s">
        <v>2321</v>
      </c>
      <c r="Q47" t="s">
        <v>1855</v>
      </c>
    </row>
    <row r="48" spans="1:17">
      <c r="A48" t="str">
        <f t="shared" si="0"/>
        <v>Pilar IIIlt003_entityenblng_capex_w</v>
      </c>
      <c r="B48" t="s">
        <v>26</v>
      </c>
      <c r="C48" t="s">
        <v>26</v>
      </c>
      <c r="D48" t="s">
        <v>40</v>
      </c>
      <c r="E48" t="s">
        <v>335</v>
      </c>
      <c r="F48" t="s">
        <v>2211</v>
      </c>
      <c r="G48" t="s">
        <v>2319</v>
      </c>
      <c r="H48" t="s">
        <v>2319</v>
      </c>
      <c r="J48" t="s">
        <v>2242</v>
      </c>
      <c r="K48" t="s">
        <v>2398</v>
      </c>
      <c r="M48" t="s">
        <v>2313</v>
      </c>
      <c r="N48" t="s">
        <v>2382</v>
      </c>
      <c r="O48" t="s">
        <v>2360</v>
      </c>
      <c r="P48" t="s">
        <v>2321</v>
      </c>
      <c r="Q48" t="s">
        <v>1855</v>
      </c>
    </row>
    <row r="49" spans="1:17">
      <c r="A49" t="str">
        <f t="shared" si="0"/>
        <v>Pilar IIIlt003_entityenblng_trnvr_w</v>
      </c>
      <c r="B49" t="s">
        <v>26</v>
      </c>
      <c r="C49" t="s">
        <v>26</v>
      </c>
      <c r="D49" t="s">
        <v>40</v>
      </c>
      <c r="E49" t="s">
        <v>335</v>
      </c>
      <c r="F49" t="s">
        <v>2212</v>
      </c>
      <c r="G49" t="s">
        <v>2319</v>
      </c>
      <c r="H49" t="s">
        <v>2319</v>
      </c>
      <c r="J49" t="s">
        <v>2242</v>
      </c>
      <c r="K49" t="s">
        <v>2398</v>
      </c>
      <c r="M49" t="s">
        <v>2313</v>
      </c>
      <c r="N49" t="s">
        <v>2382</v>
      </c>
      <c r="O49" t="s">
        <v>2360</v>
      </c>
      <c r="P49" t="s">
        <v>2321</v>
      </c>
      <c r="Q49" t="s">
        <v>1855</v>
      </c>
    </row>
    <row r="50" spans="1:17">
      <c r="A50" t="str">
        <f t="shared" si="0"/>
        <v>Pilar IIIlt003_entityenblng_capex_ce</v>
      </c>
      <c r="B50" t="s">
        <v>26</v>
      </c>
      <c r="C50" t="s">
        <v>26</v>
      </c>
      <c r="D50" t="s">
        <v>40</v>
      </c>
      <c r="E50" t="s">
        <v>335</v>
      </c>
      <c r="F50" t="s">
        <v>2213</v>
      </c>
      <c r="G50" t="s">
        <v>2319</v>
      </c>
      <c r="H50" t="s">
        <v>2319</v>
      </c>
      <c r="J50" t="s">
        <v>2242</v>
      </c>
      <c r="K50" t="s">
        <v>2398</v>
      </c>
      <c r="M50" t="s">
        <v>2313</v>
      </c>
      <c r="N50" t="s">
        <v>2382</v>
      </c>
      <c r="O50" t="s">
        <v>2360</v>
      </c>
      <c r="P50" t="s">
        <v>2321</v>
      </c>
      <c r="Q50" t="s">
        <v>1855</v>
      </c>
    </row>
    <row r="51" spans="1:17">
      <c r="A51" t="str">
        <f t="shared" si="0"/>
        <v>Pilar IIIlt003_entityenblng_trnvr_ce</v>
      </c>
      <c r="B51" t="s">
        <v>26</v>
      </c>
      <c r="C51" t="s">
        <v>26</v>
      </c>
      <c r="D51" t="s">
        <v>40</v>
      </c>
      <c r="E51" t="s">
        <v>335</v>
      </c>
      <c r="F51" t="s">
        <v>2214</v>
      </c>
      <c r="G51" t="s">
        <v>2319</v>
      </c>
      <c r="H51" t="s">
        <v>2319</v>
      </c>
      <c r="J51" t="s">
        <v>2242</v>
      </c>
      <c r="K51" t="s">
        <v>2398</v>
      </c>
      <c r="M51" t="s">
        <v>2313</v>
      </c>
      <c r="N51" t="s">
        <v>2382</v>
      </c>
      <c r="O51" t="s">
        <v>2360</v>
      </c>
      <c r="P51" t="s">
        <v>2321</v>
      </c>
      <c r="Q51" t="s">
        <v>1855</v>
      </c>
    </row>
    <row r="52" spans="1:17">
      <c r="A52" t="str">
        <f t="shared" si="0"/>
        <v>Pilar IIIlt006_instr_protprtctn_allctd_vl</v>
      </c>
      <c r="B52" t="s">
        <v>26</v>
      </c>
      <c r="C52" t="s">
        <v>26</v>
      </c>
      <c r="D52" t="s">
        <v>40</v>
      </c>
      <c r="E52" t="s">
        <v>441</v>
      </c>
      <c r="F52" t="s">
        <v>442</v>
      </c>
      <c r="G52" t="s">
        <v>2319</v>
      </c>
      <c r="H52" t="s">
        <v>2319</v>
      </c>
      <c r="J52" t="s">
        <v>2306</v>
      </c>
      <c r="K52" t="s">
        <v>2353</v>
      </c>
      <c r="M52" t="s">
        <v>2313</v>
      </c>
      <c r="P52" t="s">
        <v>2320</v>
      </c>
      <c r="Q52" t="s">
        <v>2311</v>
      </c>
    </row>
    <row r="53" spans="1:17">
      <c r="A53" t="str">
        <f t="shared" si="0"/>
        <v>Pilar IIIlt006_instr_protTYP_RLTN</v>
      </c>
      <c r="B53" t="s">
        <v>26</v>
      </c>
      <c r="C53" t="s">
        <v>26</v>
      </c>
      <c r="D53" t="s">
        <v>40</v>
      </c>
      <c r="E53" t="s">
        <v>441</v>
      </c>
      <c r="F53" t="s">
        <v>2289</v>
      </c>
      <c r="G53" t="s">
        <v>2319</v>
      </c>
      <c r="H53" t="s">
        <v>28</v>
      </c>
      <c r="J53" t="s">
        <v>2241</v>
      </c>
      <c r="K53" t="s">
        <v>2353</v>
      </c>
      <c r="M53" t="s">
        <v>2313</v>
      </c>
      <c r="N53" t="s">
        <v>2394</v>
      </c>
      <c r="O53" t="s">
        <v>2360</v>
      </c>
      <c r="P53" t="s">
        <v>2321</v>
      </c>
      <c r="Q53" t="s">
        <v>1855</v>
      </c>
    </row>
    <row r="54" spans="1:17">
      <c r="A54" t="str">
        <f t="shared" si="0"/>
        <v>Pilar IIIlt004_protectionRL_ESTT_ADDRSS</v>
      </c>
      <c r="B54" t="s">
        <v>26</v>
      </c>
      <c r="C54" t="s">
        <v>26</v>
      </c>
      <c r="D54" t="s">
        <v>40</v>
      </c>
      <c r="E54" t="s">
        <v>368</v>
      </c>
      <c r="F54" t="s">
        <v>2243</v>
      </c>
      <c r="G54" t="s">
        <v>2319</v>
      </c>
      <c r="H54" t="s">
        <v>28</v>
      </c>
      <c r="J54" t="s">
        <v>2240</v>
      </c>
      <c r="K54" t="s">
        <v>2353</v>
      </c>
      <c r="M54" t="s">
        <v>2313</v>
      </c>
      <c r="N54" t="s">
        <v>2390</v>
      </c>
      <c r="O54" t="s">
        <v>2359</v>
      </c>
      <c r="P54" t="s">
        <v>2321</v>
      </c>
      <c r="Q54" t="s">
        <v>1855</v>
      </c>
    </row>
    <row r="55" spans="1:17">
      <c r="A55" t="str">
        <f t="shared" si="0"/>
        <v>Pilar IIIlt004_protectionRL_ESTT_CLLTRL_LCTN_INT</v>
      </c>
      <c r="B55" t="s">
        <v>26</v>
      </c>
      <c r="C55" t="s">
        <v>26</v>
      </c>
      <c r="D55" t="s">
        <v>40</v>
      </c>
      <c r="E55" t="s">
        <v>368</v>
      </c>
      <c r="F55" t="s">
        <v>2244</v>
      </c>
      <c r="G55" t="s">
        <v>2319</v>
      </c>
      <c r="H55" t="s">
        <v>28</v>
      </c>
      <c r="J55" t="s">
        <v>2241</v>
      </c>
      <c r="K55" t="s">
        <v>2353</v>
      </c>
      <c r="M55" t="s">
        <v>2313</v>
      </c>
      <c r="N55" t="s">
        <v>2390</v>
      </c>
      <c r="O55" t="s">
        <v>2359</v>
      </c>
      <c r="P55" t="s">
        <v>2321</v>
      </c>
      <c r="Q55" t="s">
        <v>1855</v>
      </c>
    </row>
    <row r="56" spans="1:17">
      <c r="A56" t="str">
        <f t="shared" si="0"/>
        <v>Pilar IIIlt004_protectionRL_ESTT_CTY</v>
      </c>
      <c r="B56" t="s">
        <v>26</v>
      </c>
      <c r="C56" t="s">
        <v>26</v>
      </c>
      <c r="D56" t="s">
        <v>40</v>
      </c>
      <c r="E56" t="s">
        <v>368</v>
      </c>
      <c r="F56" t="s">
        <v>2245</v>
      </c>
      <c r="G56" t="s">
        <v>2319</v>
      </c>
      <c r="H56" t="s">
        <v>2319</v>
      </c>
      <c r="J56" t="s">
        <v>2239</v>
      </c>
      <c r="K56" t="s">
        <v>2353</v>
      </c>
      <c r="M56" t="s">
        <v>2313</v>
      </c>
      <c r="N56" t="s">
        <v>2390</v>
      </c>
      <c r="O56" t="s">
        <v>2359</v>
      </c>
      <c r="P56" t="s">
        <v>2321</v>
      </c>
      <c r="Q56" t="s">
        <v>1855</v>
      </c>
    </row>
    <row r="57" spans="1:17">
      <c r="A57" t="str">
        <f t="shared" si="0"/>
        <v>Pilar IIIlt004_protectionTYP_EMSSNS_LBL</v>
      </c>
      <c r="B57" t="s">
        <v>26</v>
      </c>
      <c r="C57" t="s">
        <v>26</v>
      </c>
      <c r="D57" t="s">
        <v>40</v>
      </c>
      <c r="E57" t="s">
        <v>368</v>
      </c>
      <c r="F57" t="s">
        <v>2246</v>
      </c>
      <c r="G57" t="s">
        <v>2319</v>
      </c>
      <c r="H57" t="s">
        <v>2319</v>
      </c>
      <c r="J57" t="s">
        <v>2306</v>
      </c>
      <c r="K57" t="s">
        <v>2353</v>
      </c>
      <c r="M57" t="s">
        <v>2313</v>
      </c>
      <c r="N57" t="s">
        <v>2395</v>
      </c>
      <c r="O57" t="s">
        <v>2360</v>
      </c>
      <c r="P57" t="s">
        <v>2321</v>
      </c>
      <c r="Q57" t="s">
        <v>1855</v>
      </c>
    </row>
    <row r="58" spans="1:17">
      <c r="A58" t="str">
        <f t="shared" si="0"/>
        <v>Pilar IIIlt004_protectionEPC_EMSSNS_LBL</v>
      </c>
      <c r="B58" t="s">
        <v>26</v>
      </c>
      <c r="C58" t="s">
        <v>26</v>
      </c>
      <c r="D58" t="s">
        <v>40</v>
      </c>
      <c r="E58" t="s">
        <v>368</v>
      </c>
      <c r="F58" t="s">
        <v>2247</v>
      </c>
      <c r="G58" t="s">
        <v>2318</v>
      </c>
      <c r="H58" t="s">
        <v>28</v>
      </c>
      <c r="J58" t="s">
        <v>2240</v>
      </c>
      <c r="K58" t="s">
        <v>2353</v>
      </c>
      <c r="M58" t="s">
        <v>2313</v>
      </c>
      <c r="N58" t="s">
        <v>2395</v>
      </c>
      <c r="O58" t="s">
        <v>2360</v>
      </c>
      <c r="P58" t="s">
        <v>2321</v>
      </c>
      <c r="Q58" t="s">
        <v>1855</v>
      </c>
    </row>
    <row r="59" spans="1:17">
      <c r="A59" t="str">
        <f t="shared" si="0"/>
        <v>Pilar IIIlt004_protectionVHCL_EMSSNS_LBL</v>
      </c>
      <c r="B59" t="s">
        <v>26</v>
      </c>
      <c r="C59" t="s">
        <v>26</v>
      </c>
      <c r="D59" t="s">
        <v>40</v>
      </c>
      <c r="E59" t="s">
        <v>368</v>
      </c>
      <c r="F59" t="s">
        <v>2248</v>
      </c>
      <c r="G59" t="s">
        <v>2319</v>
      </c>
      <c r="H59" t="s">
        <v>2319</v>
      </c>
      <c r="J59" t="s">
        <v>2306</v>
      </c>
      <c r="K59" t="s">
        <v>2353</v>
      </c>
      <c r="M59" t="s">
        <v>2313</v>
      </c>
      <c r="N59" t="s">
        <v>2395</v>
      </c>
      <c r="O59" t="s">
        <v>2360</v>
      </c>
      <c r="P59" t="s">
        <v>2321</v>
      </c>
      <c r="Q59" t="s">
        <v>1855</v>
      </c>
    </row>
    <row r="60" spans="1:17">
      <c r="A60" t="str">
        <f t="shared" si="0"/>
        <v>Pilar IIIlt004_protectionTYP_EMSSNS_SCR</v>
      </c>
      <c r="B60" t="s">
        <v>26</v>
      </c>
      <c r="C60" t="s">
        <v>26</v>
      </c>
      <c r="D60" t="s">
        <v>40</v>
      </c>
      <c r="E60" t="s">
        <v>368</v>
      </c>
      <c r="F60" t="s">
        <v>2249</v>
      </c>
      <c r="G60" t="s">
        <v>2318</v>
      </c>
      <c r="H60" t="s">
        <v>28</v>
      </c>
      <c r="J60" t="s">
        <v>2240</v>
      </c>
      <c r="K60" t="s">
        <v>2353</v>
      </c>
      <c r="M60" t="s">
        <v>2313</v>
      </c>
      <c r="N60" t="s">
        <v>2395</v>
      </c>
      <c r="O60" t="s">
        <v>2360</v>
      </c>
      <c r="P60" t="s">
        <v>2321</v>
      </c>
      <c r="Q60" t="s">
        <v>1855</v>
      </c>
    </row>
    <row r="61" spans="1:17">
      <c r="A61" t="str">
        <f t="shared" si="0"/>
        <v>Pilar IIIlt004_protectionEPC_EMSSNS_SCR</v>
      </c>
      <c r="B61" t="s">
        <v>26</v>
      </c>
      <c r="C61" t="s">
        <v>26</v>
      </c>
      <c r="D61" t="s">
        <v>40</v>
      </c>
      <c r="E61" t="s">
        <v>368</v>
      </c>
      <c r="F61" t="s">
        <v>2250</v>
      </c>
      <c r="G61" t="s">
        <v>2318</v>
      </c>
      <c r="H61" t="s">
        <v>28</v>
      </c>
      <c r="J61" t="s">
        <v>2240</v>
      </c>
      <c r="K61" t="s">
        <v>2353</v>
      </c>
      <c r="M61" t="s">
        <v>2313</v>
      </c>
      <c r="N61" t="s">
        <v>2395</v>
      </c>
      <c r="O61" t="s">
        <v>2360</v>
      </c>
      <c r="P61" t="s">
        <v>2321</v>
      </c>
      <c r="Q61" t="s">
        <v>1855</v>
      </c>
    </row>
    <row r="62" spans="1:17">
      <c r="A62" t="str">
        <f t="shared" si="0"/>
        <v>Pilar IIIlt004_protectionVHCL_EMSSNS_SCR</v>
      </c>
      <c r="B62" t="s">
        <v>26</v>
      </c>
      <c r="C62" t="s">
        <v>26</v>
      </c>
      <c r="D62" t="s">
        <v>40</v>
      </c>
      <c r="E62" t="s">
        <v>368</v>
      </c>
      <c r="F62" t="s">
        <v>2251</v>
      </c>
      <c r="G62" t="s">
        <v>2319</v>
      </c>
      <c r="H62" t="s">
        <v>2319</v>
      </c>
      <c r="J62" t="s">
        <v>2306</v>
      </c>
      <c r="K62" t="s">
        <v>2353</v>
      </c>
      <c r="M62" t="s">
        <v>2313</v>
      </c>
      <c r="N62" t="s">
        <v>2395</v>
      </c>
      <c r="O62" t="s">
        <v>2360</v>
      </c>
      <c r="P62" t="s">
        <v>2321</v>
      </c>
      <c r="Q62" t="s">
        <v>1855</v>
      </c>
    </row>
    <row r="63" spans="1:17">
      <c r="A63" t="str">
        <f t="shared" si="0"/>
        <v>Pilar IIIlt004_protectionINSRNC_ID</v>
      </c>
      <c r="B63" t="s">
        <v>26</v>
      </c>
      <c r="C63" t="s">
        <v>26</v>
      </c>
      <c r="D63" t="s">
        <v>40</v>
      </c>
      <c r="E63" t="s">
        <v>368</v>
      </c>
      <c r="F63" t="s">
        <v>2252</v>
      </c>
      <c r="G63" t="s">
        <v>2319</v>
      </c>
      <c r="H63" t="s">
        <v>2319</v>
      </c>
      <c r="J63" t="s">
        <v>2306</v>
      </c>
      <c r="K63" t="s">
        <v>2353</v>
      </c>
      <c r="M63" t="s">
        <v>2313</v>
      </c>
      <c r="N63" t="s">
        <v>2395</v>
      </c>
      <c r="O63" t="s">
        <v>2360</v>
      </c>
      <c r="P63" t="s">
        <v>2321</v>
      </c>
      <c r="Q63" t="s">
        <v>1855</v>
      </c>
    </row>
    <row r="64" spans="1:17">
      <c r="A64" t="str">
        <f t="shared" si="0"/>
        <v>Pilar IIIlt004_protectionTYP_HZRDS_INSRD</v>
      </c>
      <c r="B64" t="s">
        <v>26</v>
      </c>
      <c r="C64" t="s">
        <v>26</v>
      </c>
      <c r="D64" t="s">
        <v>40</v>
      </c>
      <c r="E64" t="s">
        <v>368</v>
      </c>
      <c r="F64" t="s">
        <v>2253</v>
      </c>
      <c r="G64" t="s">
        <v>2319</v>
      </c>
      <c r="H64" t="s">
        <v>2319</v>
      </c>
      <c r="J64" t="s">
        <v>2306</v>
      </c>
      <c r="K64" t="s">
        <v>2353</v>
      </c>
      <c r="M64" t="s">
        <v>2313</v>
      </c>
      <c r="N64" t="s">
        <v>2395</v>
      </c>
      <c r="O64" t="s">
        <v>2360</v>
      </c>
      <c r="P64" t="s">
        <v>2321</v>
      </c>
      <c r="Q64" t="s">
        <v>1855</v>
      </c>
    </row>
    <row r="65" spans="1:17">
      <c r="A65" t="str">
        <f t="shared" si="0"/>
        <v>Pilar IIIlt004_protectionAMNT_CVRD_INSRNC</v>
      </c>
      <c r="B65" t="s">
        <v>26</v>
      </c>
      <c r="C65" t="s">
        <v>26</v>
      </c>
      <c r="D65" t="s">
        <v>40</v>
      </c>
      <c r="E65" t="s">
        <v>368</v>
      </c>
      <c r="F65" t="s">
        <v>2254</v>
      </c>
      <c r="G65" t="s">
        <v>2319</v>
      </c>
      <c r="H65" t="s">
        <v>2319</v>
      </c>
      <c r="J65" t="s">
        <v>2306</v>
      </c>
      <c r="K65" t="s">
        <v>2353</v>
      </c>
      <c r="M65" t="s">
        <v>2313</v>
      </c>
      <c r="N65" t="s">
        <v>2395</v>
      </c>
      <c r="O65" t="s">
        <v>2360</v>
      </c>
      <c r="P65" t="s">
        <v>2321</v>
      </c>
      <c r="Q65" t="s">
        <v>1855</v>
      </c>
    </row>
    <row r="66" spans="1:17">
      <c r="A66" t="str">
        <f t="shared" si="0"/>
        <v>Pilar IIIlt004_protectionDT_MTRTY_INSRNC</v>
      </c>
      <c r="B66" t="s">
        <v>26</v>
      </c>
      <c r="C66" t="s">
        <v>26</v>
      </c>
      <c r="D66" t="s">
        <v>40</v>
      </c>
      <c r="E66" t="s">
        <v>368</v>
      </c>
      <c r="F66" t="s">
        <v>2255</v>
      </c>
      <c r="G66" t="s">
        <v>2319</v>
      </c>
      <c r="H66" t="s">
        <v>2319</v>
      </c>
      <c r="J66" t="s">
        <v>2306</v>
      </c>
      <c r="K66" t="s">
        <v>2353</v>
      </c>
      <c r="M66" t="s">
        <v>2313</v>
      </c>
      <c r="N66" t="s">
        <v>2395</v>
      </c>
      <c r="O66" t="s">
        <v>2360</v>
      </c>
      <c r="P66" t="s">
        <v>2321</v>
      </c>
      <c r="Q66" t="s">
        <v>1855</v>
      </c>
    </row>
    <row r="67" spans="1:17">
      <c r="A67" t="str">
        <f t="shared" ref="A67:A76" si="1">C67&amp;E67&amp;F67</f>
        <v>Pilar IIIlt004_protectionFLG_FRST_HM</v>
      </c>
      <c r="B67" t="s">
        <v>26</v>
      </c>
      <c r="C67" t="s">
        <v>26</v>
      </c>
      <c r="D67" t="s">
        <v>40</v>
      </c>
      <c r="E67" t="s">
        <v>368</v>
      </c>
      <c r="F67" t="s">
        <v>2256</v>
      </c>
      <c r="G67" t="s">
        <v>2319</v>
      </c>
      <c r="H67" t="s">
        <v>2319</v>
      </c>
      <c r="J67" t="s">
        <v>2306</v>
      </c>
      <c r="K67" t="s">
        <v>2353</v>
      </c>
      <c r="M67" t="s">
        <v>2313</v>
      </c>
      <c r="N67" t="s">
        <v>2395</v>
      </c>
      <c r="O67" t="s">
        <v>2360</v>
      </c>
      <c r="P67" t="s">
        <v>2321</v>
      </c>
      <c r="Q67" t="s">
        <v>1855</v>
      </c>
    </row>
    <row r="68" spans="1:17">
      <c r="A68" t="str">
        <f t="shared" si="1"/>
        <v>Pilar IIIlt004_protectionYR_CNSTRCTN</v>
      </c>
      <c r="B68" t="s">
        <v>26</v>
      </c>
      <c r="C68" t="s">
        <v>26</v>
      </c>
      <c r="D68" t="s">
        <v>40</v>
      </c>
      <c r="E68" t="s">
        <v>368</v>
      </c>
      <c r="F68" t="s">
        <v>2257</v>
      </c>
      <c r="G68" t="s">
        <v>2319</v>
      </c>
      <c r="H68" t="s">
        <v>2319</v>
      </c>
      <c r="J68" t="s">
        <v>2239</v>
      </c>
      <c r="K68" t="s">
        <v>2353</v>
      </c>
      <c r="M68" t="s">
        <v>2313</v>
      </c>
      <c r="N68" t="s">
        <v>2396</v>
      </c>
      <c r="O68" t="s">
        <v>2359</v>
      </c>
      <c r="P68" t="s">
        <v>2321</v>
      </c>
      <c r="Q68" t="s">
        <v>1855</v>
      </c>
    </row>
    <row r="69" spans="1:17">
      <c r="A69" t="str">
        <f t="shared" si="1"/>
        <v>Pilar IIIlt004_protectionBLDNG_AR</v>
      </c>
      <c r="B69" t="s">
        <v>26</v>
      </c>
      <c r="C69" t="s">
        <v>26</v>
      </c>
      <c r="D69" t="s">
        <v>40</v>
      </c>
      <c r="E69" t="s">
        <v>368</v>
      </c>
      <c r="F69" t="s">
        <v>2258</v>
      </c>
      <c r="G69" t="s">
        <v>2319</v>
      </c>
      <c r="H69" t="s">
        <v>2319</v>
      </c>
      <c r="J69" t="s">
        <v>2239</v>
      </c>
      <c r="K69" t="s">
        <v>2353</v>
      </c>
      <c r="M69" t="s">
        <v>2313</v>
      </c>
      <c r="N69" t="s">
        <v>2392</v>
      </c>
      <c r="O69" t="s">
        <v>2360</v>
      </c>
      <c r="P69" t="s">
        <v>2321</v>
      </c>
      <c r="Q69" t="s">
        <v>1855</v>
      </c>
    </row>
    <row r="70" spans="1:17">
      <c r="A70" t="str">
        <f t="shared" si="1"/>
        <v>Pilar IIIlt004_protectionRL_ESTT_CRTFCTN</v>
      </c>
      <c r="B70" t="s">
        <v>26</v>
      </c>
      <c r="C70" t="s">
        <v>26</v>
      </c>
      <c r="D70" t="s">
        <v>40</v>
      </c>
      <c r="E70" t="s">
        <v>368</v>
      </c>
      <c r="F70" t="s">
        <v>2259</v>
      </c>
      <c r="G70" t="s">
        <v>2319</v>
      </c>
      <c r="H70" t="s">
        <v>2319</v>
      </c>
      <c r="J70" t="s">
        <v>2306</v>
      </c>
      <c r="K70" t="s">
        <v>2353</v>
      </c>
      <c r="M70" t="s">
        <v>2313</v>
      </c>
      <c r="N70" t="s">
        <v>2392</v>
      </c>
      <c r="O70" t="s">
        <v>2360</v>
      </c>
      <c r="P70" t="s">
        <v>2321</v>
      </c>
      <c r="Q70" t="s">
        <v>1855</v>
      </c>
    </row>
    <row r="71" spans="1:17">
      <c r="A71" t="str">
        <f t="shared" si="1"/>
        <v>Pilar IIIlt004_protectionTYP_VHCL</v>
      </c>
      <c r="B71" t="s">
        <v>26</v>
      </c>
      <c r="C71" t="s">
        <v>26</v>
      </c>
      <c r="D71" t="s">
        <v>40</v>
      </c>
      <c r="E71" t="s">
        <v>368</v>
      </c>
      <c r="F71" t="s">
        <v>2260</v>
      </c>
      <c r="G71" t="s">
        <v>2319</v>
      </c>
      <c r="H71" t="s">
        <v>28</v>
      </c>
      <c r="J71" t="s">
        <v>2240</v>
      </c>
      <c r="K71" t="s">
        <v>2353</v>
      </c>
      <c r="M71" t="s">
        <v>2313</v>
      </c>
      <c r="N71" t="s">
        <v>2397</v>
      </c>
      <c r="O71" t="s">
        <v>2360</v>
      </c>
      <c r="P71" t="s">
        <v>2321</v>
      </c>
      <c r="Q71" t="s">
        <v>1855</v>
      </c>
    </row>
    <row r="72" spans="1:17">
      <c r="A72" t="str">
        <f t="shared" si="1"/>
        <v>Pilar IIIlt004_protectionDT_RGSTRTN</v>
      </c>
      <c r="B72" t="s">
        <v>26</v>
      </c>
      <c r="C72" t="s">
        <v>26</v>
      </c>
      <c r="D72" t="s">
        <v>40</v>
      </c>
      <c r="E72" t="s">
        <v>368</v>
      </c>
      <c r="F72" t="s">
        <v>2261</v>
      </c>
      <c r="G72" t="s">
        <v>2319</v>
      </c>
      <c r="H72" t="s">
        <v>2319</v>
      </c>
      <c r="J72" t="s">
        <v>2306</v>
      </c>
      <c r="K72" t="s">
        <v>2353</v>
      </c>
      <c r="M72" t="s">
        <v>2313</v>
      </c>
      <c r="N72" t="s">
        <v>2392</v>
      </c>
      <c r="O72" t="s">
        <v>2360</v>
      </c>
      <c r="P72" t="s">
        <v>2321</v>
      </c>
      <c r="Q72" t="s">
        <v>1855</v>
      </c>
    </row>
    <row r="73" spans="1:17">
      <c r="A73" t="str">
        <f t="shared" si="1"/>
        <v>Pilar IIIlt004_protectionPRMRY_ENRGY_DMND_NN_RNWBL</v>
      </c>
      <c r="B73" t="s">
        <v>26</v>
      </c>
      <c r="C73" t="s">
        <v>26</v>
      </c>
      <c r="D73" t="s">
        <v>40</v>
      </c>
      <c r="E73" t="s">
        <v>368</v>
      </c>
      <c r="F73" t="s">
        <v>2262</v>
      </c>
      <c r="G73" t="s">
        <v>2319</v>
      </c>
      <c r="H73" t="s">
        <v>2319</v>
      </c>
      <c r="J73" t="s">
        <v>2239</v>
      </c>
      <c r="K73" t="s">
        <v>2353</v>
      </c>
      <c r="M73" t="s">
        <v>2313</v>
      </c>
      <c r="N73" t="s">
        <v>2392</v>
      </c>
      <c r="O73" t="s">
        <v>2360</v>
      </c>
      <c r="P73" t="s">
        <v>2321</v>
      </c>
      <c r="Q73" t="s">
        <v>1856</v>
      </c>
    </row>
    <row r="74" spans="1:17">
      <c r="A74" t="str">
        <f t="shared" si="1"/>
        <v>Pilar IIIlt004_protectionPRMRY_ENRGY_DMND_TTL</v>
      </c>
      <c r="B74" t="s">
        <v>26</v>
      </c>
      <c r="C74" t="s">
        <v>26</v>
      </c>
      <c r="D74" t="s">
        <v>40</v>
      </c>
      <c r="E74" t="s">
        <v>368</v>
      </c>
      <c r="F74" t="s">
        <v>2263</v>
      </c>
      <c r="G74" t="s">
        <v>2319</v>
      </c>
      <c r="H74" t="s">
        <v>28</v>
      </c>
      <c r="J74" t="s">
        <v>2240</v>
      </c>
      <c r="K74" t="s">
        <v>2353</v>
      </c>
      <c r="M74" t="s">
        <v>2313</v>
      </c>
      <c r="N74" t="s">
        <v>2392</v>
      </c>
      <c r="O74" t="s">
        <v>2360</v>
      </c>
      <c r="P74" t="s">
        <v>2321</v>
      </c>
      <c r="Q74" t="s">
        <v>1856</v>
      </c>
    </row>
    <row r="75" spans="1:17">
      <c r="A75" t="str">
        <f t="shared" si="1"/>
        <v>Pilar IIIlt004_protectionPRMRY_ENRGY_DMND_RFRNC_VL</v>
      </c>
      <c r="B75" t="s">
        <v>26</v>
      </c>
      <c r="C75" t="s">
        <v>26</v>
      </c>
      <c r="D75" t="s">
        <v>40</v>
      </c>
      <c r="E75" t="s">
        <v>368</v>
      </c>
      <c r="F75" t="s">
        <v>2264</v>
      </c>
      <c r="G75" t="s">
        <v>2319</v>
      </c>
      <c r="H75" t="s">
        <v>28</v>
      </c>
      <c r="J75" t="s">
        <v>2240</v>
      </c>
      <c r="K75" t="s">
        <v>2353</v>
      </c>
      <c r="M75" t="s">
        <v>2313</v>
      </c>
      <c r="N75" t="s">
        <v>2392</v>
      </c>
      <c r="O75" t="s">
        <v>2360</v>
      </c>
      <c r="P75" t="s">
        <v>2321</v>
      </c>
      <c r="Q75" t="s">
        <v>1856</v>
      </c>
    </row>
    <row r="76" spans="1:17">
      <c r="A76" t="str">
        <f t="shared" si="1"/>
        <v>Pilar IIIlt004_protectionRL_ESTT_CLMT_ZN</v>
      </c>
      <c r="B76" t="s">
        <v>26</v>
      </c>
      <c r="C76" t="s">
        <v>26</v>
      </c>
      <c r="D76" t="s">
        <v>40</v>
      </c>
      <c r="E76" t="s">
        <v>368</v>
      </c>
      <c r="F76" t="s">
        <v>2265</v>
      </c>
      <c r="G76" t="s">
        <v>2319</v>
      </c>
      <c r="H76" t="s">
        <v>28</v>
      </c>
      <c r="J76" t="s">
        <v>2240</v>
      </c>
      <c r="K76" t="s">
        <v>2353</v>
      </c>
      <c r="M76" t="s">
        <v>2313</v>
      </c>
      <c r="N76" t="s">
        <v>2392</v>
      </c>
      <c r="O76" t="s">
        <v>2360</v>
      </c>
      <c r="P76" t="s">
        <v>2321</v>
      </c>
      <c r="Q76" t="s">
        <v>1855</v>
      </c>
    </row>
  </sheetData>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739"/>
  <sheetViews>
    <sheetView topLeftCell="A3" zoomScale="70" zoomScaleNormal="70" workbookViewId="0">
      <selection activeCell="I823" sqref="I823"/>
    </sheetView>
  </sheetViews>
  <sheetFormatPr defaultRowHeight="14"/>
  <cols>
    <col min="1" max="1" width="74.25" bestFit="1" customWidth="1"/>
    <col min="2" max="2" width="13.4140625" bestFit="1" customWidth="1"/>
    <col min="3" max="3" width="48.33203125" bestFit="1" customWidth="1"/>
    <col min="4" max="4" width="40.08203125" bestFit="1" customWidth="1"/>
    <col min="5" max="5" width="39.08203125" bestFit="1" customWidth="1"/>
  </cols>
  <sheetData>
    <row r="3" spans="1:2">
      <c r="A3" s="49" t="s">
        <v>652</v>
      </c>
      <c r="B3" t="s">
        <v>653</v>
      </c>
    </row>
    <row r="4" spans="1:2">
      <c r="A4" t="s">
        <v>2378</v>
      </c>
      <c r="B4" s="476">
        <v>0</v>
      </c>
    </row>
    <row r="5" spans="1:2">
      <c r="A5" t="s">
        <v>2007</v>
      </c>
      <c r="B5" s="476">
        <v>1</v>
      </c>
    </row>
    <row r="6" spans="1:2">
      <c r="A6" t="s">
        <v>2008</v>
      </c>
      <c r="B6" s="476">
        <v>1</v>
      </c>
    </row>
    <row r="7" spans="1:2">
      <c r="A7" t="s">
        <v>2009</v>
      </c>
      <c r="B7" s="476">
        <v>1</v>
      </c>
    </row>
    <row r="8" spans="1:2">
      <c r="A8" t="s">
        <v>2010</v>
      </c>
      <c r="B8" s="476">
        <v>1</v>
      </c>
    </row>
    <row r="9" spans="1:2">
      <c r="A9" t="s">
        <v>2011</v>
      </c>
      <c r="B9" s="476">
        <v>1</v>
      </c>
    </row>
    <row r="10" spans="1:2">
      <c r="A10" t="s">
        <v>2012</v>
      </c>
      <c r="B10" s="476">
        <v>1</v>
      </c>
    </row>
    <row r="11" spans="1:2">
      <c r="A11" t="s">
        <v>2013</v>
      </c>
      <c r="B11" s="476">
        <v>1</v>
      </c>
    </row>
    <row r="12" spans="1:2">
      <c r="A12" t="s">
        <v>2014</v>
      </c>
      <c r="B12" s="476">
        <v>1</v>
      </c>
    </row>
    <row r="13" spans="1:2">
      <c r="A13" t="s">
        <v>2015</v>
      </c>
      <c r="B13" s="476">
        <v>1</v>
      </c>
    </row>
    <row r="14" spans="1:2">
      <c r="A14" t="s">
        <v>2016</v>
      </c>
      <c r="B14" s="476">
        <v>1</v>
      </c>
    </row>
    <row r="15" spans="1:2">
      <c r="A15" t="s">
        <v>2017</v>
      </c>
      <c r="B15" s="476">
        <v>1</v>
      </c>
    </row>
    <row r="16" spans="1:2">
      <c r="A16" t="s">
        <v>2018</v>
      </c>
      <c r="B16" s="476">
        <v>1</v>
      </c>
    </row>
    <row r="17" spans="1:2">
      <c r="A17" t="s">
        <v>2019</v>
      </c>
      <c r="B17" s="476">
        <v>1</v>
      </c>
    </row>
    <row r="18" spans="1:2">
      <c r="A18" t="s">
        <v>2020</v>
      </c>
      <c r="B18" s="476">
        <v>1</v>
      </c>
    </row>
    <row r="19" spans="1:2">
      <c r="A19" t="s">
        <v>2021</v>
      </c>
      <c r="B19" s="476">
        <v>1</v>
      </c>
    </row>
    <row r="20" spans="1:2">
      <c r="A20" t="s">
        <v>2022</v>
      </c>
      <c r="B20" s="476">
        <v>1</v>
      </c>
    </row>
    <row r="21" spans="1:2">
      <c r="A21" t="s">
        <v>2023</v>
      </c>
      <c r="B21" s="476">
        <v>1</v>
      </c>
    </row>
    <row r="22" spans="1:2">
      <c r="A22" t="s">
        <v>2379</v>
      </c>
      <c r="B22" s="476">
        <v>0</v>
      </c>
    </row>
    <row r="23" spans="1:2">
      <c r="A23" t="s">
        <v>2024</v>
      </c>
      <c r="B23" s="476">
        <v>1</v>
      </c>
    </row>
    <row r="24" spans="1:2">
      <c r="A24" t="s">
        <v>2025</v>
      </c>
      <c r="B24" s="476">
        <v>1</v>
      </c>
    </row>
    <row r="25" spans="1:2">
      <c r="A25" t="s">
        <v>2026</v>
      </c>
      <c r="B25" s="476">
        <v>1</v>
      </c>
    </row>
    <row r="26" spans="1:2">
      <c r="A26" t="s">
        <v>2027</v>
      </c>
      <c r="B26" s="476">
        <v>1</v>
      </c>
    </row>
    <row r="27" spans="1:2">
      <c r="A27" t="s">
        <v>2028</v>
      </c>
      <c r="B27" s="476">
        <v>1</v>
      </c>
    </row>
    <row r="28" spans="1:2">
      <c r="A28" t="s">
        <v>2029</v>
      </c>
      <c r="B28" s="476">
        <v>1</v>
      </c>
    </row>
    <row r="29" spans="1:2">
      <c r="A29" t="s">
        <v>2030</v>
      </c>
      <c r="B29" s="476">
        <v>1</v>
      </c>
    </row>
    <row r="30" spans="1:2">
      <c r="A30" t="s">
        <v>2031</v>
      </c>
      <c r="B30" s="476">
        <v>1</v>
      </c>
    </row>
    <row r="31" spans="1:2">
      <c r="A31" t="s">
        <v>654</v>
      </c>
      <c r="B31" s="476">
        <v>1</v>
      </c>
    </row>
    <row r="32" spans="1:2">
      <c r="A32" t="s">
        <v>2032</v>
      </c>
      <c r="B32" s="476">
        <v>1</v>
      </c>
    </row>
    <row r="33" spans="1:2">
      <c r="A33" t="s">
        <v>2033</v>
      </c>
      <c r="B33" s="476">
        <v>1</v>
      </c>
    </row>
    <row r="34" spans="1:2">
      <c r="A34" t="s">
        <v>2034</v>
      </c>
      <c r="B34" s="476">
        <v>1</v>
      </c>
    </row>
    <row r="35" spans="1:2">
      <c r="A35" t="s">
        <v>2035</v>
      </c>
      <c r="B35" s="476">
        <v>1</v>
      </c>
    </row>
    <row r="36" spans="1:2">
      <c r="A36" t="s">
        <v>2036</v>
      </c>
      <c r="B36" s="476">
        <v>1</v>
      </c>
    </row>
    <row r="37" spans="1:2">
      <c r="A37" t="s">
        <v>2037</v>
      </c>
      <c r="B37" s="476">
        <v>1</v>
      </c>
    </row>
    <row r="38" spans="1:2">
      <c r="A38" t="s">
        <v>2038</v>
      </c>
      <c r="B38" s="476">
        <v>1</v>
      </c>
    </row>
    <row r="39" spans="1:2">
      <c r="A39" t="s">
        <v>2039</v>
      </c>
      <c r="B39" s="476">
        <v>1</v>
      </c>
    </row>
    <row r="40" spans="1:2">
      <c r="A40" t="s">
        <v>655</v>
      </c>
      <c r="B40" s="476">
        <v>1</v>
      </c>
    </row>
    <row r="41" spans="1:2">
      <c r="A41" t="s">
        <v>656</v>
      </c>
      <c r="B41" s="476">
        <v>1</v>
      </c>
    </row>
    <row r="42" spans="1:2">
      <c r="A42" t="s">
        <v>657</v>
      </c>
      <c r="B42" s="476">
        <v>1</v>
      </c>
    </row>
    <row r="43" spans="1:2">
      <c r="A43" t="s">
        <v>658</v>
      </c>
      <c r="B43" s="476">
        <v>1</v>
      </c>
    </row>
    <row r="44" spans="1:2">
      <c r="A44" t="s">
        <v>2040</v>
      </c>
      <c r="B44" s="476">
        <v>1</v>
      </c>
    </row>
    <row r="45" spans="1:2">
      <c r="A45" t="s">
        <v>2041</v>
      </c>
      <c r="B45" s="476">
        <v>1</v>
      </c>
    </row>
    <row r="46" spans="1:2">
      <c r="A46" t="s">
        <v>2042</v>
      </c>
      <c r="B46" s="476">
        <v>1</v>
      </c>
    </row>
    <row r="47" spans="1:2">
      <c r="A47" t="s">
        <v>2043</v>
      </c>
      <c r="B47" s="476">
        <v>1</v>
      </c>
    </row>
    <row r="48" spans="1:2">
      <c r="A48" t="s">
        <v>2044</v>
      </c>
      <c r="B48" s="476">
        <v>1</v>
      </c>
    </row>
    <row r="49" spans="1:2">
      <c r="A49" t="s">
        <v>2045</v>
      </c>
      <c r="B49" s="476">
        <v>1</v>
      </c>
    </row>
    <row r="50" spans="1:2">
      <c r="A50" t="s">
        <v>2046</v>
      </c>
      <c r="B50" s="476">
        <v>1</v>
      </c>
    </row>
    <row r="51" spans="1:2">
      <c r="A51" t="s">
        <v>659</v>
      </c>
      <c r="B51" s="476">
        <v>1</v>
      </c>
    </row>
    <row r="52" spans="1:2">
      <c r="A52" t="s">
        <v>660</v>
      </c>
      <c r="B52" s="476">
        <v>1</v>
      </c>
    </row>
    <row r="53" spans="1:2">
      <c r="A53" t="s">
        <v>661</v>
      </c>
      <c r="B53" s="476">
        <v>1</v>
      </c>
    </row>
    <row r="54" spans="1:2">
      <c r="A54" t="s">
        <v>2175</v>
      </c>
      <c r="B54" s="476">
        <v>7</v>
      </c>
    </row>
    <row r="55" spans="1:2">
      <c r="A55" t="s">
        <v>662</v>
      </c>
      <c r="B55" s="476">
        <v>1</v>
      </c>
    </row>
    <row r="56" spans="1:2">
      <c r="A56" t="s">
        <v>663</v>
      </c>
      <c r="B56" s="476">
        <v>1</v>
      </c>
    </row>
    <row r="57" spans="1:2">
      <c r="A57" t="s">
        <v>664</v>
      </c>
      <c r="B57" s="476">
        <v>1</v>
      </c>
    </row>
    <row r="58" spans="1:2">
      <c r="A58" t="s">
        <v>665</v>
      </c>
      <c r="B58" s="476">
        <v>1</v>
      </c>
    </row>
    <row r="59" spans="1:2">
      <c r="A59" t="s">
        <v>2176</v>
      </c>
      <c r="B59" s="476">
        <v>1</v>
      </c>
    </row>
    <row r="60" spans="1:2">
      <c r="A60" t="s">
        <v>666</v>
      </c>
      <c r="B60" s="476">
        <v>1</v>
      </c>
    </row>
    <row r="61" spans="1:2">
      <c r="A61" t="s">
        <v>2177</v>
      </c>
      <c r="B61" s="476">
        <v>1</v>
      </c>
    </row>
    <row r="62" spans="1:2">
      <c r="A62" t="s">
        <v>2178</v>
      </c>
      <c r="B62" s="476">
        <v>1</v>
      </c>
    </row>
    <row r="63" spans="1:2">
      <c r="A63" t="s">
        <v>2179</v>
      </c>
      <c r="B63" s="476">
        <v>1</v>
      </c>
    </row>
    <row r="64" spans="1:2">
      <c r="A64" t="s">
        <v>2180</v>
      </c>
      <c r="B64" s="476">
        <v>1</v>
      </c>
    </row>
    <row r="65" spans="1:2">
      <c r="A65" t="s">
        <v>2181</v>
      </c>
      <c r="B65" s="476">
        <v>1</v>
      </c>
    </row>
    <row r="66" spans="1:2">
      <c r="A66" t="s">
        <v>667</v>
      </c>
      <c r="B66" s="476">
        <v>7</v>
      </c>
    </row>
    <row r="67" spans="1:2">
      <c r="A67" t="s">
        <v>668</v>
      </c>
      <c r="B67" s="476">
        <v>7</v>
      </c>
    </row>
    <row r="68" spans="1:2">
      <c r="A68" t="s">
        <v>669</v>
      </c>
      <c r="B68" s="476">
        <v>1</v>
      </c>
    </row>
    <row r="69" spans="1:2">
      <c r="A69" t="s">
        <v>670</v>
      </c>
      <c r="B69" s="476">
        <v>7</v>
      </c>
    </row>
    <row r="70" spans="1:2">
      <c r="A70" t="s">
        <v>671</v>
      </c>
      <c r="B70" s="476">
        <v>1</v>
      </c>
    </row>
    <row r="71" spans="1:2">
      <c r="A71" t="s">
        <v>672</v>
      </c>
      <c r="B71" s="476">
        <v>1</v>
      </c>
    </row>
    <row r="72" spans="1:2">
      <c r="A72" t="s">
        <v>673</v>
      </c>
      <c r="B72" s="476">
        <v>1</v>
      </c>
    </row>
    <row r="73" spans="1:2">
      <c r="A73" t="s">
        <v>2182</v>
      </c>
      <c r="B73" s="476">
        <v>1</v>
      </c>
    </row>
    <row r="74" spans="1:2">
      <c r="A74" t="s">
        <v>2183</v>
      </c>
      <c r="B74" s="476">
        <v>1</v>
      </c>
    </row>
    <row r="75" spans="1:2">
      <c r="A75" t="s">
        <v>2184</v>
      </c>
      <c r="B75" s="476">
        <v>1</v>
      </c>
    </row>
    <row r="76" spans="1:2">
      <c r="A76" t="s">
        <v>674</v>
      </c>
      <c r="B76" s="476">
        <v>1</v>
      </c>
    </row>
    <row r="77" spans="1:2">
      <c r="A77" t="s">
        <v>675</v>
      </c>
      <c r="B77" s="476">
        <v>1</v>
      </c>
    </row>
    <row r="78" spans="1:2">
      <c r="A78" t="s">
        <v>676</v>
      </c>
      <c r="B78" s="476">
        <v>1</v>
      </c>
    </row>
    <row r="79" spans="1:2">
      <c r="A79" t="s">
        <v>677</v>
      </c>
      <c r="B79" s="476">
        <v>1</v>
      </c>
    </row>
    <row r="80" spans="1:2">
      <c r="A80" t="s">
        <v>2185</v>
      </c>
      <c r="B80" s="476">
        <v>1</v>
      </c>
    </row>
    <row r="81" spans="1:2">
      <c r="A81" t="s">
        <v>2186</v>
      </c>
      <c r="B81" s="476">
        <v>1</v>
      </c>
    </row>
    <row r="82" spans="1:2">
      <c r="A82" t="s">
        <v>678</v>
      </c>
      <c r="B82" s="476">
        <v>6</v>
      </c>
    </row>
    <row r="83" spans="1:2">
      <c r="A83" t="s">
        <v>679</v>
      </c>
      <c r="B83" s="476">
        <v>6</v>
      </c>
    </row>
    <row r="84" spans="1:2">
      <c r="A84" t="s">
        <v>680</v>
      </c>
      <c r="B84" s="476">
        <v>6</v>
      </c>
    </row>
    <row r="85" spans="1:2">
      <c r="A85" t="s">
        <v>2187</v>
      </c>
      <c r="B85" s="476">
        <v>7</v>
      </c>
    </row>
    <row r="86" spans="1:2">
      <c r="A86" t="s">
        <v>2188</v>
      </c>
      <c r="B86" s="476">
        <v>1</v>
      </c>
    </row>
    <row r="87" spans="1:2">
      <c r="A87" t="s">
        <v>681</v>
      </c>
      <c r="B87" s="476">
        <v>1</v>
      </c>
    </row>
    <row r="88" spans="1:2">
      <c r="A88" t="s">
        <v>682</v>
      </c>
      <c r="B88" s="476">
        <v>1</v>
      </c>
    </row>
    <row r="89" spans="1:2">
      <c r="A89" t="s">
        <v>683</v>
      </c>
      <c r="B89" s="476">
        <v>1</v>
      </c>
    </row>
    <row r="90" spans="1:2">
      <c r="A90" t="s">
        <v>684</v>
      </c>
      <c r="B90" s="476">
        <v>6</v>
      </c>
    </row>
    <row r="91" spans="1:2">
      <c r="A91" t="s">
        <v>685</v>
      </c>
      <c r="B91" s="476">
        <v>1</v>
      </c>
    </row>
    <row r="92" spans="1:2">
      <c r="A92" t="s">
        <v>2189</v>
      </c>
      <c r="B92" s="476">
        <v>1</v>
      </c>
    </row>
    <row r="93" spans="1:2">
      <c r="A93" t="s">
        <v>686</v>
      </c>
      <c r="B93" s="476">
        <v>1</v>
      </c>
    </row>
    <row r="94" spans="1:2">
      <c r="A94" t="s">
        <v>687</v>
      </c>
      <c r="B94" s="476">
        <v>1</v>
      </c>
    </row>
    <row r="95" spans="1:2">
      <c r="A95" t="s">
        <v>2190</v>
      </c>
      <c r="B95" s="476">
        <v>7</v>
      </c>
    </row>
    <row r="96" spans="1:2">
      <c r="A96" t="s">
        <v>688</v>
      </c>
      <c r="B96" s="476">
        <v>1</v>
      </c>
    </row>
    <row r="97" spans="1:2">
      <c r="A97" t="s">
        <v>689</v>
      </c>
      <c r="B97" s="476">
        <v>1</v>
      </c>
    </row>
    <row r="98" spans="1:2">
      <c r="A98" t="s">
        <v>690</v>
      </c>
      <c r="B98" s="476">
        <v>1</v>
      </c>
    </row>
    <row r="99" spans="1:2">
      <c r="A99" t="s">
        <v>691</v>
      </c>
      <c r="B99" s="476">
        <v>1</v>
      </c>
    </row>
    <row r="100" spans="1:2">
      <c r="A100" t="s">
        <v>692</v>
      </c>
      <c r="B100" s="476">
        <v>1</v>
      </c>
    </row>
    <row r="101" spans="1:2">
      <c r="A101" t="s">
        <v>693</v>
      </c>
      <c r="B101" s="476">
        <v>1</v>
      </c>
    </row>
    <row r="102" spans="1:2">
      <c r="A102" t="s">
        <v>694</v>
      </c>
      <c r="B102" s="476">
        <v>1</v>
      </c>
    </row>
    <row r="103" spans="1:2">
      <c r="A103" t="s">
        <v>2215</v>
      </c>
      <c r="B103" s="476">
        <v>1</v>
      </c>
    </row>
    <row r="104" spans="1:2">
      <c r="A104" t="s">
        <v>2216</v>
      </c>
      <c r="B104" s="476">
        <v>1</v>
      </c>
    </row>
    <row r="105" spans="1:2">
      <c r="A105" t="s">
        <v>695</v>
      </c>
      <c r="B105" s="476">
        <v>1</v>
      </c>
    </row>
    <row r="106" spans="1:2">
      <c r="A106" t="s">
        <v>696</v>
      </c>
      <c r="B106" s="476">
        <v>1</v>
      </c>
    </row>
    <row r="107" spans="1:2">
      <c r="A107" t="s">
        <v>697</v>
      </c>
      <c r="B107" s="476">
        <v>1</v>
      </c>
    </row>
    <row r="108" spans="1:2">
      <c r="A108" t="s">
        <v>2217</v>
      </c>
      <c r="B108" s="476">
        <v>1</v>
      </c>
    </row>
    <row r="109" spans="1:2">
      <c r="A109" t="s">
        <v>2218</v>
      </c>
      <c r="B109" s="476">
        <v>1</v>
      </c>
    </row>
    <row r="110" spans="1:2">
      <c r="A110" t="s">
        <v>698</v>
      </c>
      <c r="B110" s="476">
        <v>1</v>
      </c>
    </row>
    <row r="111" spans="1:2">
      <c r="A111" t="s">
        <v>699</v>
      </c>
      <c r="B111" s="476">
        <v>1</v>
      </c>
    </row>
    <row r="112" spans="1:2">
      <c r="A112" t="s">
        <v>2219</v>
      </c>
      <c r="B112" s="476">
        <v>1</v>
      </c>
    </row>
    <row r="113" spans="1:2">
      <c r="A113" t="s">
        <v>2220</v>
      </c>
      <c r="B113" s="476">
        <v>1</v>
      </c>
    </row>
    <row r="114" spans="1:2">
      <c r="A114" t="s">
        <v>700</v>
      </c>
      <c r="B114" s="476">
        <v>1</v>
      </c>
    </row>
    <row r="115" spans="1:2">
      <c r="A115" t="s">
        <v>2221</v>
      </c>
      <c r="B115" s="476">
        <v>1</v>
      </c>
    </row>
    <row r="116" spans="1:2">
      <c r="A116" t="s">
        <v>701</v>
      </c>
      <c r="B116" s="476">
        <v>1</v>
      </c>
    </row>
    <row r="117" spans="1:2">
      <c r="A117" t="s">
        <v>702</v>
      </c>
      <c r="B117" s="476">
        <v>1</v>
      </c>
    </row>
    <row r="118" spans="1:2">
      <c r="A118" t="s">
        <v>703</v>
      </c>
      <c r="B118" s="476">
        <v>1</v>
      </c>
    </row>
    <row r="119" spans="1:2">
      <c r="A119" t="s">
        <v>704</v>
      </c>
      <c r="B119" s="476">
        <v>1</v>
      </c>
    </row>
    <row r="120" spans="1:2">
      <c r="A120" t="s">
        <v>705</v>
      </c>
      <c r="B120" s="476">
        <v>1</v>
      </c>
    </row>
    <row r="121" spans="1:2">
      <c r="A121" t="s">
        <v>706</v>
      </c>
      <c r="B121" s="476">
        <v>1</v>
      </c>
    </row>
    <row r="122" spans="1:2">
      <c r="A122" t="s">
        <v>707</v>
      </c>
      <c r="B122" s="476">
        <v>1</v>
      </c>
    </row>
    <row r="123" spans="1:2">
      <c r="A123" t="s">
        <v>708</v>
      </c>
      <c r="B123" s="476">
        <v>1</v>
      </c>
    </row>
    <row r="124" spans="1:2">
      <c r="A124" t="s">
        <v>2222</v>
      </c>
      <c r="B124" s="476">
        <v>1</v>
      </c>
    </row>
    <row r="125" spans="1:2">
      <c r="A125" t="s">
        <v>709</v>
      </c>
      <c r="B125" s="476">
        <v>1</v>
      </c>
    </row>
    <row r="126" spans="1:2">
      <c r="A126" t="s">
        <v>710</v>
      </c>
      <c r="B126" s="476">
        <v>1</v>
      </c>
    </row>
    <row r="127" spans="1:2">
      <c r="A127" t="s">
        <v>711</v>
      </c>
      <c r="B127" s="476">
        <v>1</v>
      </c>
    </row>
    <row r="128" spans="1:2">
      <c r="A128" t="s">
        <v>712</v>
      </c>
      <c r="B128" s="476">
        <v>1</v>
      </c>
    </row>
    <row r="129" spans="1:2">
      <c r="A129" t="s">
        <v>713</v>
      </c>
      <c r="B129" s="476">
        <v>1</v>
      </c>
    </row>
    <row r="130" spans="1:2">
      <c r="A130" t="s">
        <v>714</v>
      </c>
      <c r="B130" s="476">
        <v>1</v>
      </c>
    </row>
    <row r="131" spans="1:2">
      <c r="A131" t="s">
        <v>715</v>
      </c>
      <c r="B131" s="476">
        <v>1</v>
      </c>
    </row>
    <row r="132" spans="1:2">
      <c r="A132" t="s">
        <v>716</v>
      </c>
      <c r="B132" s="476">
        <v>1</v>
      </c>
    </row>
    <row r="133" spans="1:2">
      <c r="A133" t="s">
        <v>717</v>
      </c>
      <c r="B133" s="476">
        <v>1</v>
      </c>
    </row>
    <row r="134" spans="1:2">
      <c r="A134" t="s">
        <v>718</v>
      </c>
      <c r="B134" s="476">
        <v>1</v>
      </c>
    </row>
    <row r="135" spans="1:2">
      <c r="A135" t="s">
        <v>2223</v>
      </c>
      <c r="B135" s="476">
        <v>1</v>
      </c>
    </row>
    <row r="136" spans="1:2">
      <c r="A136" t="s">
        <v>719</v>
      </c>
      <c r="B136" s="476">
        <v>1</v>
      </c>
    </row>
    <row r="137" spans="1:2">
      <c r="A137" t="s">
        <v>720</v>
      </c>
      <c r="B137" s="476">
        <v>1</v>
      </c>
    </row>
    <row r="138" spans="1:2">
      <c r="A138" t="s">
        <v>2224</v>
      </c>
      <c r="B138" s="476">
        <v>1</v>
      </c>
    </row>
    <row r="139" spans="1:2">
      <c r="A139" t="s">
        <v>2225</v>
      </c>
      <c r="B139" s="476">
        <v>1</v>
      </c>
    </row>
    <row r="140" spans="1:2">
      <c r="A140" t="s">
        <v>2226</v>
      </c>
      <c r="B140" s="476">
        <v>1</v>
      </c>
    </row>
    <row r="141" spans="1:2">
      <c r="A141" t="s">
        <v>2227</v>
      </c>
      <c r="B141" s="476">
        <v>1</v>
      </c>
    </row>
    <row r="142" spans="1:2">
      <c r="A142" t="s">
        <v>721</v>
      </c>
      <c r="B142" s="476">
        <v>1</v>
      </c>
    </row>
    <row r="143" spans="1:2">
      <c r="A143" t="s">
        <v>722</v>
      </c>
      <c r="B143" s="476">
        <v>1</v>
      </c>
    </row>
    <row r="144" spans="1:2">
      <c r="A144" t="s">
        <v>2228</v>
      </c>
      <c r="B144" s="476">
        <v>1</v>
      </c>
    </row>
    <row r="145" spans="1:2">
      <c r="A145" t="s">
        <v>2229</v>
      </c>
      <c r="B145" s="476">
        <v>1</v>
      </c>
    </row>
    <row r="146" spans="1:2">
      <c r="A146" t="s">
        <v>2230</v>
      </c>
      <c r="B146" s="476">
        <v>1</v>
      </c>
    </row>
    <row r="147" spans="1:2">
      <c r="A147" t="s">
        <v>723</v>
      </c>
      <c r="B147" s="476">
        <v>1</v>
      </c>
    </row>
    <row r="148" spans="1:2">
      <c r="A148" t="s">
        <v>724</v>
      </c>
      <c r="B148" s="476">
        <v>1</v>
      </c>
    </row>
    <row r="149" spans="1:2">
      <c r="A149" t="s">
        <v>725</v>
      </c>
      <c r="B149" s="476">
        <v>1</v>
      </c>
    </row>
    <row r="150" spans="1:2">
      <c r="A150" t="s">
        <v>726</v>
      </c>
      <c r="B150" s="476">
        <v>1</v>
      </c>
    </row>
    <row r="151" spans="1:2">
      <c r="A151" t="s">
        <v>2231</v>
      </c>
      <c r="B151" s="476">
        <v>1</v>
      </c>
    </row>
    <row r="152" spans="1:2">
      <c r="A152" t="s">
        <v>727</v>
      </c>
      <c r="B152" s="476">
        <v>1</v>
      </c>
    </row>
    <row r="153" spans="1:2">
      <c r="A153" t="s">
        <v>728</v>
      </c>
      <c r="B153" s="476">
        <v>1</v>
      </c>
    </row>
    <row r="154" spans="1:2">
      <c r="A154" t="s">
        <v>2232</v>
      </c>
      <c r="B154" s="476">
        <v>1</v>
      </c>
    </row>
    <row r="155" spans="1:2">
      <c r="A155" t="s">
        <v>2233</v>
      </c>
      <c r="B155" s="476">
        <v>1</v>
      </c>
    </row>
    <row r="156" spans="1:2">
      <c r="A156" t="s">
        <v>2234</v>
      </c>
      <c r="B156" s="476">
        <v>1</v>
      </c>
    </row>
    <row r="157" spans="1:2">
      <c r="A157" t="s">
        <v>2235</v>
      </c>
      <c r="B157" s="476">
        <v>1</v>
      </c>
    </row>
    <row r="158" spans="1:2">
      <c r="A158" t="s">
        <v>729</v>
      </c>
      <c r="B158" s="476">
        <v>1</v>
      </c>
    </row>
    <row r="159" spans="1:2">
      <c r="A159" t="s">
        <v>730</v>
      </c>
      <c r="B159" s="476">
        <v>1</v>
      </c>
    </row>
    <row r="160" spans="1:2">
      <c r="A160" t="s">
        <v>2236</v>
      </c>
      <c r="B160" s="476">
        <v>1</v>
      </c>
    </row>
    <row r="161" spans="1:2">
      <c r="A161" t="s">
        <v>2237</v>
      </c>
      <c r="B161" s="476">
        <v>1</v>
      </c>
    </row>
    <row r="162" spans="1:2">
      <c r="A162" t="s">
        <v>2238</v>
      </c>
      <c r="B162" s="476">
        <v>1</v>
      </c>
    </row>
    <row r="163" spans="1:2">
      <c r="A163" t="s">
        <v>2266</v>
      </c>
      <c r="B163" s="476">
        <v>1</v>
      </c>
    </row>
    <row r="164" spans="1:2">
      <c r="A164" t="s">
        <v>2267</v>
      </c>
      <c r="B164" s="476">
        <v>1</v>
      </c>
    </row>
    <row r="165" spans="1:2">
      <c r="A165" t="s">
        <v>731</v>
      </c>
      <c r="B165" s="476">
        <v>1</v>
      </c>
    </row>
    <row r="166" spans="1:2">
      <c r="A166" t="s">
        <v>2268</v>
      </c>
      <c r="B166" s="476">
        <v>1</v>
      </c>
    </row>
    <row r="167" spans="1:2">
      <c r="A167" t="s">
        <v>732</v>
      </c>
      <c r="B167" s="476">
        <v>1</v>
      </c>
    </row>
    <row r="168" spans="1:2">
      <c r="A168" t="s">
        <v>2269</v>
      </c>
      <c r="B168" s="476">
        <v>1</v>
      </c>
    </row>
    <row r="169" spans="1:2">
      <c r="A169" t="s">
        <v>733</v>
      </c>
      <c r="B169" s="476">
        <v>1</v>
      </c>
    </row>
    <row r="170" spans="1:2">
      <c r="A170" t="s">
        <v>734</v>
      </c>
      <c r="B170" s="476">
        <v>1</v>
      </c>
    </row>
    <row r="171" spans="1:2">
      <c r="A171" t="s">
        <v>735</v>
      </c>
      <c r="B171" s="476">
        <v>1</v>
      </c>
    </row>
    <row r="172" spans="1:2">
      <c r="A172" t="s">
        <v>736</v>
      </c>
      <c r="B172" s="476">
        <v>1</v>
      </c>
    </row>
    <row r="173" spans="1:2">
      <c r="A173" t="s">
        <v>2270</v>
      </c>
      <c r="B173" s="476">
        <v>1</v>
      </c>
    </row>
    <row r="174" spans="1:2">
      <c r="A174" t="s">
        <v>2271</v>
      </c>
      <c r="B174" s="476">
        <v>1</v>
      </c>
    </row>
    <row r="175" spans="1:2">
      <c r="A175" t="s">
        <v>737</v>
      </c>
      <c r="B175" s="476">
        <v>1</v>
      </c>
    </row>
    <row r="176" spans="1:2">
      <c r="A176" t="s">
        <v>738</v>
      </c>
      <c r="B176" s="476">
        <v>1</v>
      </c>
    </row>
    <row r="177" spans="1:2">
      <c r="A177" t="s">
        <v>739</v>
      </c>
      <c r="B177" s="476">
        <v>1</v>
      </c>
    </row>
    <row r="178" spans="1:2">
      <c r="A178" t="s">
        <v>740</v>
      </c>
      <c r="B178" s="476">
        <v>0</v>
      </c>
    </row>
    <row r="179" spans="1:2">
      <c r="A179" t="s">
        <v>741</v>
      </c>
      <c r="B179" s="476">
        <v>0</v>
      </c>
    </row>
    <row r="180" spans="1:2">
      <c r="A180" t="s">
        <v>742</v>
      </c>
      <c r="B180" s="476">
        <v>0</v>
      </c>
    </row>
    <row r="181" spans="1:2">
      <c r="A181" t="s">
        <v>2272</v>
      </c>
      <c r="B181" s="476">
        <v>1</v>
      </c>
    </row>
    <row r="182" spans="1:2">
      <c r="A182" t="s">
        <v>743</v>
      </c>
      <c r="B182" s="476">
        <v>0</v>
      </c>
    </row>
    <row r="183" spans="1:2">
      <c r="A183" t="s">
        <v>2273</v>
      </c>
      <c r="B183" s="476">
        <v>1</v>
      </c>
    </row>
    <row r="184" spans="1:2">
      <c r="A184" t="s">
        <v>744</v>
      </c>
      <c r="B184" s="476">
        <v>1</v>
      </c>
    </row>
    <row r="185" spans="1:2">
      <c r="A185" t="s">
        <v>745</v>
      </c>
      <c r="B185" s="476">
        <v>1</v>
      </c>
    </row>
    <row r="186" spans="1:2">
      <c r="A186" t="s">
        <v>746</v>
      </c>
      <c r="B186" s="476">
        <v>1</v>
      </c>
    </row>
    <row r="187" spans="1:2">
      <c r="A187" t="s">
        <v>747</v>
      </c>
      <c r="B187" s="476">
        <v>1</v>
      </c>
    </row>
    <row r="188" spans="1:2">
      <c r="A188" t="s">
        <v>2274</v>
      </c>
      <c r="B188" s="476">
        <v>1</v>
      </c>
    </row>
    <row r="189" spans="1:2">
      <c r="A189" t="s">
        <v>2275</v>
      </c>
      <c r="B189" s="476">
        <v>1</v>
      </c>
    </row>
    <row r="190" spans="1:2">
      <c r="A190" t="s">
        <v>2276</v>
      </c>
      <c r="B190" s="476">
        <v>1</v>
      </c>
    </row>
    <row r="191" spans="1:2">
      <c r="A191" t="s">
        <v>748</v>
      </c>
      <c r="B191" s="476">
        <v>1</v>
      </c>
    </row>
    <row r="192" spans="1:2">
      <c r="A192" t="s">
        <v>749</v>
      </c>
      <c r="B192" s="476">
        <v>1</v>
      </c>
    </row>
    <row r="193" spans="1:2">
      <c r="A193" t="s">
        <v>2277</v>
      </c>
      <c r="B193" s="476">
        <v>6</v>
      </c>
    </row>
    <row r="194" spans="1:2">
      <c r="A194" t="s">
        <v>750</v>
      </c>
      <c r="B194" s="476">
        <v>1</v>
      </c>
    </row>
    <row r="195" spans="1:2">
      <c r="A195" t="s">
        <v>2278</v>
      </c>
      <c r="B195" s="476">
        <v>1</v>
      </c>
    </row>
    <row r="196" spans="1:2">
      <c r="A196" t="s">
        <v>2279</v>
      </c>
      <c r="B196" s="476">
        <v>1</v>
      </c>
    </row>
    <row r="197" spans="1:2">
      <c r="A197" t="s">
        <v>2280</v>
      </c>
      <c r="B197" s="476">
        <v>1</v>
      </c>
    </row>
    <row r="198" spans="1:2">
      <c r="A198" t="s">
        <v>2281</v>
      </c>
      <c r="B198" s="476">
        <v>1</v>
      </c>
    </row>
    <row r="199" spans="1:2">
      <c r="A199" t="s">
        <v>751</v>
      </c>
      <c r="B199" s="476">
        <v>1</v>
      </c>
    </row>
    <row r="200" spans="1:2">
      <c r="A200" t="s">
        <v>2282</v>
      </c>
      <c r="B200" s="476">
        <v>1</v>
      </c>
    </row>
    <row r="201" spans="1:2">
      <c r="A201" t="s">
        <v>2283</v>
      </c>
      <c r="B201" s="476">
        <v>1</v>
      </c>
    </row>
    <row r="202" spans="1:2">
      <c r="A202" t="s">
        <v>752</v>
      </c>
      <c r="B202" s="476">
        <v>1</v>
      </c>
    </row>
    <row r="203" spans="1:2">
      <c r="A203" t="s">
        <v>753</v>
      </c>
      <c r="B203" s="476">
        <v>1</v>
      </c>
    </row>
    <row r="204" spans="1:2">
      <c r="A204" t="s">
        <v>2284</v>
      </c>
      <c r="B204" s="476">
        <v>1</v>
      </c>
    </row>
    <row r="205" spans="1:2">
      <c r="A205" t="s">
        <v>754</v>
      </c>
      <c r="B205" s="476">
        <v>1</v>
      </c>
    </row>
    <row r="206" spans="1:2">
      <c r="A206" t="s">
        <v>2285</v>
      </c>
      <c r="B206" s="476">
        <v>6</v>
      </c>
    </row>
    <row r="207" spans="1:2">
      <c r="A207" t="s">
        <v>2286</v>
      </c>
      <c r="B207" s="476">
        <v>1</v>
      </c>
    </row>
    <row r="208" spans="1:2">
      <c r="A208" t="s">
        <v>2287</v>
      </c>
      <c r="B208" s="476">
        <v>1</v>
      </c>
    </row>
    <row r="209" spans="1:2">
      <c r="A209" t="s">
        <v>2288</v>
      </c>
      <c r="B209" s="476">
        <v>6</v>
      </c>
    </row>
    <row r="210" spans="1:2">
      <c r="A210" t="s">
        <v>755</v>
      </c>
      <c r="B210" s="476">
        <v>1</v>
      </c>
    </row>
    <row r="211" spans="1:2">
      <c r="A211" t="s">
        <v>756</v>
      </c>
      <c r="B211" s="476">
        <v>1</v>
      </c>
    </row>
    <row r="212" spans="1:2">
      <c r="A212" t="s">
        <v>757</v>
      </c>
      <c r="B212" s="476">
        <v>1</v>
      </c>
    </row>
    <row r="213" spans="1:2">
      <c r="A213" t="s">
        <v>758</v>
      </c>
      <c r="B213" s="476">
        <v>1</v>
      </c>
    </row>
    <row r="214" spans="1:2">
      <c r="A214" t="s">
        <v>759</v>
      </c>
      <c r="B214" s="476">
        <v>1</v>
      </c>
    </row>
    <row r="215" spans="1:2">
      <c r="A215" t="s">
        <v>760</v>
      </c>
      <c r="B215" s="476">
        <v>1</v>
      </c>
    </row>
    <row r="216" spans="1:2">
      <c r="A216" t="s">
        <v>761</v>
      </c>
      <c r="B216" s="476">
        <v>1</v>
      </c>
    </row>
    <row r="217" spans="1:2">
      <c r="A217" t="s">
        <v>762</v>
      </c>
      <c r="B217" s="476">
        <v>1</v>
      </c>
    </row>
    <row r="218" spans="1:2">
      <c r="A218" t="s">
        <v>763</v>
      </c>
      <c r="B218" s="476">
        <v>6</v>
      </c>
    </row>
    <row r="219" spans="1:2">
      <c r="A219" t="s">
        <v>764</v>
      </c>
      <c r="B219" s="476">
        <v>1</v>
      </c>
    </row>
    <row r="220" spans="1:2">
      <c r="A220" t="s">
        <v>2290</v>
      </c>
      <c r="B220" s="476">
        <v>7</v>
      </c>
    </row>
    <row r="221" spans="1:2">
      <c r="A221" t="s">
        <v>2295</v>
      </c>
      <c r="B221" s="476">
        <v>1</v>
      </c>
    </row>
    <row r="222" spans="1:2">
      <c r="A222" t="s">
        <v>2296</v>
      </c>
      <c r="B222" s="476">
        <v>2</v>
      </c>
    </row>
    <row r="223" spans="1:2">
      <c r="A223" t="s">
        <v>2297</v>
      </c>
      <c r="B223" s="476">
        <v>1</v>
      </c>
    </row>
    <row r="224" spans="1:2">
      <c r="A224" t="s">
        <v>1884</v>
      </c>
      <c r="B224" s="476">
        <v>1</v>
      </c>
    </row>
    <row r="225" spans="1:2">
      <c r="A225" t="s">
        <v>2298</v>
      </c>
      <c r="B225" s="476">
        <v>1</v>
      </c>
    </row>
    <row r="226" spans="1:2">
      <c r="A226" t="s">
        <v>2299</v>
      </c>
      <c r="B226" s="476">
        <v>7</v>
      </c>
    </row>
    <row r="227" spans="1:2">
      <c r="A227" t="s">
        <v>2300</v>
      </c>
      <c r="B227" s="476">
        <v>2</v>
      </c>
    </row>
    <row r="228" spans="1:2">
      <c r="A228" t="s">
        <v>2301</v>
      </c>
      <c r="B228" s="476">
        <v>7</v>
      </c>
    </row>
    <row r="229" spans="1:2">
      <c r="A229" t="s">
        <v>1885</v>
      </c>
      <c r="B229" s="476">
        <v>2</v>
      </c>
    </row>
    <row r="230" spans="1:2">
      <c r="A230" t="s">
        <v>1886</v>
      </c>
      <c r="B230" s="476">
        <v>6</v>
      </c>
    </row>
    <row r="231" spans="1:2">
      <c r="A231" t="s">
        <v>1887</v>
      </c>
      <c r="B231" s="476">
        <v>1</v>
      </c>
    </row>
    <row r="232" spans="1:2">
      <c r="A232" t="s">
        <v>765</v>
      </c>
      <c r="B232" s="476">
        <v>1</v>
      </c>
    </row>
    <row r="233" spans="1:2">
      <c r="A233" t="s">
        <v>766</v>
      </c>
      <c r="B233" s="476">
        <v>1</v>
      </c>
    </row>
    <row r="234" spans="1:2">
      <c r="A234" t="s">
        <v>767</v>
      </c>
      <c r="B234" s="476">
        <v>1</v>
      </c>
    </row>
    <row r="235" spans="1:2">
      <c r="A235" t="s">
        <v>768</v>
      </c>
      <c r="B235" s="476">
        <v>1</v>
      </c>
    </row>
    <row r="236" spans="1:2">
      <c r="A236" t="s">
        <v>769</v>
      </c>
      <c r="B236" s="476">
        <v>1</v>
      </c>
    </row>
    <row r="237" spans="1:2">
      <c r="A237" t="s">
        <v>770</v>
      </c>
      <c r="B237" s="476">
        <v>1</v>
      </c>
    </row>
    <row r="238" spans="1:2">
      <c r="A238" t="s">
        <v>771</v>
      </c>
      <c r="B238" s="476">
        <v>1</v>
      </c>
    </row>
    <row r="239" spans="1:2">
      <c r="A239" t="s">
        <v>772</v>
      </c>
      <c r="B239" s="476">
        <v>1</v>
      </c>
    </row>
    <row r="240" spans="1:2">
      <c r="A240" t="s">
        <v>773</v>
      </c>
      <c r="B240" s="476">
        <v>1</v>
      </c>
    </row>
    <row r="241" spans="1:2">
      <c r="A241" t="s">
        <v>1888</v>
      </c>
      <c r="B241" s="476">
        <v>1</v>
      </c>
    </row>
    <row r="242" spans="1:2">
      <c r="A242" t="s">
        <v>1889</v>
      </c>
      <c r="B242" s="476">
        <v>1</v>
      </c>
    </row>
    <row r="243" spans="1:2">
      <c r="A243" t="s">
        <v>1890</v>
      </c>
      <c r="B243" s="476">
        <v>1</v>
      </c>
    </row>
    <row r="244" spans="1:2">
      <c r="A244" t="s">
        <v>1891</v>
      </c>
      <c r="B244" s="476">
        <v>1</v>
      </c>
    </row>
    <row r="245" spans="1:2">
      <c r="A245" t="s">
        <v>1892</v>
      </c>
      <c r="B245" s="476">
        <v>1</v>
      </c>
    </row>
    <row r="246" spans="1:2">
      <c r="A246" t="s">
        <v>1893</v>
      </c>
      <c r="B246" s="476">
        <v>1</v>
      </c>
    </row>
    <row r="247" spans="1:2">
      <c r="A247" t="s">
        <v>1894</v>
      </c>
      <c r="B247" s="476">
        <v>1</v>
      </c>
    </row>
    <row r="248" spans="1:2">
      <c r="A248" t="s">
        <v>1895</v>
      </c>
      <c r="B248" s="476">
        <v>1</v>
      </c>
    </row>
    <row r="249" spans="1:2">
      <c r="A249" t="s">
        <v>1896</v>
      </c>
      <c r="B249" s="476">
        <v>1</v>
      </c>
    </row>
    <row r="250" spans="1:2">
      <c r="A250" t="s">
        <v>1897</v>
      </c>
      <c r="B250" s="476">
        <v>1</v>
      </c>
    </row>
    <row r="251" spans="1:2">
      <c r="A251" t="s">
        <v>1898</v>
      </c>
      <c r="B251" s="476">
        <v>1</v>
      </c>
    </row>
    <row r="252" spans="1:2">
      <c r="A252" t="s">
        <v>1899</v>
      </c>
      <c r="B252" s="476">
        <v>1</v>
      </c>
    </row>
    <row r="253" spans="1:2">
      <c r="A253" t="s">
        <v>1900</v>
      </c>
      <c r="B253" s="476">
        <v>1</v>
      </c>
    </row>
    <row r="254" spans="1:2">
      <c r="A254" t="s">
        <v>1901</v>
      </c>
      <c r="B254" s="476">
        <v>1</v>
      </c>
    </row>
    <row r="255" spans="1:2">
      <c r="A255" t="s">
        <v>1902</v>
      </c>
      <c r="B255" s="476">
        <v>1</v>
      </c>
    </row>
    <row r="256" spans="1:2">
      <c r="A256" t="s">
        <v>774</v>
      </c>
      <c r="B256" s="476">
        <v>1</v>
      </c>
    </row>
    <row r="257" spans="1:2">
      <c r="A257" t="s">
        <v>775</v>
      </c>
      <c r="B257" s="476">
        <v>1</v>
      </c>
    </row>
    <row r="258" spans="1:2">
      <c r="A258" t="s">
        <v>776</v>
      </c>
      <c r="B258" s="476">
        <v>1</v>
      </c>
    </row>
    <row r="259" spans="1:2">
      <c r="A259" t="s">
        <v>777</v>
      </c>
      <c r="B259" s="476">
        <v>1</v>
      </c>
    </row>
    <row r="260" spans="1:2">
      <c r="A260" t="s">
        <v>778</v>
      </c>
      <c r="B260" s="476">
        <v>1</v>
      </c>
    </row>
    <row r="261" spans="1:2">
      <c r="A261" t="s">
        <v>779</v>
      </c>
      <c r="B261" s="476">
        <v>1</v>
      </c>
    </row>
    <row r="262" spans="1:2">
      <c r="A262" t="s">
        <v>780</v>
      </c>
      <c r="B262" s="476">
        <v>1</v>
      </c>
    </row>
    <row r="263" spans="1:2">
      <c r="A263" t="s">
        <v>781</v>
      </c>
      <c r="B263" s="476">
        <v>1</v>
      </c>
    </row>
    <row r="264" spans="1:2">
      <c r="A264" t="s">
        <v>782</v>
      </c>
      <c r="B264" s="476">
        <v>1</v>
      </c>
    </row>
    <row r="265" spans="1:2">
      <c r="A265" t="s">
        <v>783</v>
      </c>
      <c r="B265" s="476">
        <v>1</v>
      </c>
    </row>
    <row r="266" spans="1:2">
      <c r="A266" t="s">
        <v>784</v>
      </c>
      <c r="B266" s="476">
        <v>1</v>
      </c>
    </row>
    <row r="267" spans="1:2">
      <c r="A267" t="s">
        <v>785</v>
      </c>
      <c r="B267" s="476">
        <v>0</v>
      </c>
    </row>
    <row r="268" spans="1:2">
      <c r="A268" t="s">
        <v>786</v>
      </c>
      <c r="B268" s="476">
        <v>1</v>
      </c>
    </row>
    <row r="269" spans="1:2">
      <c r="A269" t="s">
        <v>787</v>
      </c>
      <c r="B269" s="476">
        <v>1</v>
      </c>
    </row>
    <row r="270" spans="1:2">
      <c r="A270" t="s">
        <v>788</v>
      </c>
      <c r="B270" s="476">
        <v>1</v>
      </c>
    </row>
    <row r="271" spans="1:2">
      <c r="A271" t="s">
        <v>789</v>
      </c>
      <c r="B271" s="476">
        <v>1</v>
      </c>
    </row>
    <row r="272" spans="1:2">
      <c r="A272" t="s">
        <v>790</v>
      </c>
      <c r="B272" s="476">
        <v>1</v>
      </c>
    </row>
    <row r="273" spans="1:2">
      <c r="A273" t="s">
        <v>791</v>
      </c>
      <c r="B273" s="476">
        <v>1</v>
      </c>
    </row>
    <row r="274" spans="1:2">
      <c r="A274" t="s">
        <v>792</v>
      </c>
      <c r="B274" s="476">
        <v>1</v>
      </c>
    </row>
    <row r="275" spans="1:2">
      <c r="A275" t="s">
        <v>793</v>
      </c>
      <c r="B275" s="476">
        <v>1</v>
      </c>
    </row>
    <row r="276" spans="1:2">
      <c r="A276" t="s">
        <v>794</v>
      </c>
      <c r="B276" s="476">
        <v>1</v>
      </c>
    </row>
    <row r="277" spans="1:2">
      <c r="A277" t="s">
        <v>795</v>
      </c>
      <c r="B277" s="476">
        <v>1</v>
      </c>
    </row>
    <row r="278" spans="1:2">
      <c r="A278" t="s">
        <v>796</v>
      </c>
      <c r="B278" s="476">
        <v>1</v>
      </c>
    </row>
    <row r="279" spans="1:2">
      <c r="A279" t="s">
        <v>797</v>
      </c>
      <c r="B279" s="476">
        <v>1</v>
      </c>
    </row>
    <row r="280" spans="1:2">
      <c r="A280" t="s">
        <v>798</v>
      </c>
      <c r="B280" s="476">
        <v>1</v>
      </c>
    </row>
    <row r="281" spans="1:2">
      <c r="A281" t="s">
        <v>799</v>
      </c>
      <c r="B281" s="476">
        <v>1</v>
      </c>
    </row>
    <row r="282" spans="1:2">
      <c r="A282" t="s">
        <v>800</v>
      </c>
      <c r="B282" s="476">
        <v>1</v>
      </c>
    </row>
    <row r="283" spans="1:2">
      <c r="A283" t="s">
        <v>801</v>
      </c>
      <c r="B283" s="476">
        <v>1</v>
      </c>
    </row>
    <row r="284" spans="1:2">
      <c r="A284" t="s">
        <v>802</v>
      </c>
      <c r="B284" s="476">
        <v>0</v>
      </c>
    </row>
    <row r="285" spans="1:2">
      <c r="A285" t="s">
        <v>803</v>
      </c>
      <c r="B285" s="476">
        <v>1</v>
      </c>
    </row>
    <row r="286" spans="1:2">
      <c r="A286" t="s">
        <v>804</v>
      </c>
      <c r="B286" s="476">
        <v>1</v>
      </c>
    </row>
    <row r="287" spans="1:2">
      <c r="A287" t="s">
        <v>805</v>
      </c>
      <c r="B287" s="476">
        <v>1</v>
      </c>
    </row>
    <row r="288" spans="1:2">
      <c r="A288" t="s">
        <v>806</v>
      </c>
      <c r="B288" s="476">
        <v>0</v>
      </c>
    </row>
    <row r="289" spans="1:2">
      <c r="A289" t="s">
        <v>807</v>
      </c>
      <c r="B289" s="476">
        <v>1</v>
      </c>
    </row>
    <row r="290" spans="1:2">
      <c r="A290" t="s">
        <v>808</v>
      </c>
      <c r="B290" s="476">
        <v>1</v>
      </c>
    </row>
    <row r="291" spans="1:2">
      <c r="A291" t="s">
        <v>809</v>
      </c>
      <c r="B291" s="476">
        <v>1</v>
      </c>
    </row>
    <row r="292" spans="1:2">
      <c r="A292" t="s">
        <v>810</v>
      </c>
      <c r="B292" s="476">
        <v>0</v>
      </c>
    </row>
    <row r="293" spans="1:2">
      <c r="A293" t="s">
        <v>811</v>
      </c>
      <c r="B293" s="476">
        <v>1</v>
      </c>
    </row>
    <row r="294" spans="1:2">
      <c r="A294" t="s">
        <v>812</v>
      </c>
      <c r="B294" s="476">
        <v>1</v>
      </c>
    </row>
    <row r="295" spans="1:2">
      <c r="A295" t="s">
        <v>813</v>
      </c>
      <c r="B295" s="476">
        <v>1</v>
      </c>
    </row>
    <row r="296" spans="1:2">
      <c r="A296" t="s">
        <v>814</v>
      </c>
      <c r="B296" s="476">
        <v>1</v>
      </c>
    </row>
    <row r="297" spans="1:2">
      <c r="A297" t="s">
        <v>815</v>
      </c>
      <c r="B297" s="476">
        <v>1</v>
      </c>
    </row>
    <row r="298" spans="1:2">
      <c r="A298" t="s">
        <v>816</v>
      </c>
      <c r="B298" s="476">
        <v>1</v>
      </c>
    </row>
    <row r="299" spans="1:2">
      <c r="A299" t="s">
        <v>817</v>
      </c>
      <c r="B299" s="476">
        <v>0</v>
      </c>
    </row>
    <row r="300" spans="1:2">
      <c r="A300" t="s">
        <v>818</v>
      </c>
      <c r="B300" s="476">
        <v>0</v>
      </c>
    </row>
    <row r="301" spans="1:2">
      <c r="A301" t="s">
        <v>819</v>
      </c>
      <c r="B301" s="476">
        <v>0</v>
      </c>
    </row>
    <row r="302" spans="1:2">
      <c r="A302" t="s">
        <v>820</v>
      </c>
      <c r="B302" s="476">
        <v>1</v>
      </c>
    </row>
    <row r="303" spans="1:2">
      <c r="A303" t="s">
        <v>821</v>
      </c>
      <c r="B303" s="476">
        <v>1</v>
      </c>
    </row>
    <row r="304" spans="1:2">
      <c r="A304" t="s">
        <v>822</v>
      </c>
      <c r="B304" s="476">
        <v>0</v>
      </c>
    </row>
    <row r="305" spans="1:2">
      <c r="A305" t="s">
        <v>823</v>
      </c>
      <c r="B305" s="476">
        <v>1</v>
      </c>
    </row>
    <row r="306" spans="1:2">
      <c r="A306" t="s">
        <v>824</v>
      </c>
      <c r="B306" s="476">
        <v>1</v>
      </c>
    </row>
    <row r="307" spans="1:2">
      <c r="A307" t="s">
        <v>825</v>
      </c>
      <c r="B307" s="476">
        <v>1</v>
      </c>
    </row>
    <row r="308" spans="1:2">
      <c r="A308" t="s">
        <v>826</v>
      </c>
      <c r="B308" s="476">
        <v>1</v>
      </c>
    </row>
    <row r="309" spans="1:2">
      <c r="A309" t="s">
        <v>827</v>
      </c>
      <c r="B309" s="476">
        <v>1</v>
      </c>
    </row>
    <row r="310" spans="1:2">
      <c r="A310" t="s">
        <v>828</v>
      </c>
      <c r="B310" s="476">
        <v>1</v>
      </c>
    </row>
    <row r="311" spans="1:2">
      <c r="A311" t="s">
        <v>829</v>
      </c>
      <c r="B311" s="476">
        <v>1</v>
      </c>
    </row>
    <row r="312" spans="1:2">
      <c r="A312" t="s">
        <v>830</v>
      </c>
      <c r="B312" s="476">
        <v>1</v>
      </c>
    </row>
    <row r="313" spans="1:2">
      <c r="A313" t="s">
        <v>831</v>
      </c>
      <c r="B313" s="476">
        <v>1</v>
      </c>
    </row>
    <row r="314" spans="1:2">
      <c r="A314" t="s">
        <v>832</v>
      </c>
      <c r="B314" s="476">
        <v>1</v>
      </c>
    </row>
    <row r="315" spans="1:2">
      <c r="A315" t="s">
        <v>833</v>
      </c>
      <c r="B315" s="476">
        <v>1</v>
      </c>
    </row>
    <row r="316" spans="1:2">
      <c r="A316" t="s">
        <v>834</v>
      </c>
      <c r="B316" s="476">
        <v>1</v>
      </c>
    </row>
    <row r="317" spans="1:2">
      <c r="A317" t="s">
        <v>835</v>
      </c>
      <c r="B317" s="476">
        <v>1</v>
      </c>
    </row>
    <row r="318" spans="1:2">
      <c r="A318" t="s">
        <v>836</v>
      </c>
      <c r="B318" s="476">
        <v>1</v>
      </c>
    </row>
    <row r="319" spans="1:2">
      <c r="A319" t="s">
        <v>837</v>
      </c>
      <c r="B319" s="476">
        <v>1</v>
      </c>
    </row>
    <row r="320" spans="1:2">
      <c r="A320" t="s">
        <v>838</v>
      </c>
      <c r="B320" s="476">
        <v>1</v>
      </c>
    </row>
    <row r="321" spans="1:2">
      <c r="A321" t="s">
        <v>839</v>
      </c>
      <c r="B321" s="476">
        <v>1</v>
      </c>
    </row>
    <row r="322" spans="1:2">
      <c r="A322" t="s">
        <v>840</v>
      </c>
      <c r="B322" s="476">
        <v>1</v>
      </c>
    </row>
    <row r="323" spans="1:2">
      <c r="A323" t="s">
        <v>841</v>
      </c>
      <c r="B323" s="476">
        <v>1</v>
      </c>
    </row>
    <row r="324" spans="1:2">
      <c r="A324" t="s">
        <v>842</v>
      </c>
      <c r="B324" s="476">
        <v>1</v>
      </c>
    </row>
    <row r="325" spans="1:2">
      <c r="A325" t="s">
        <v>843</v>
      </c>
      <c r="B325" s="476">
        <v>1</v>
      </c>
    </row>
    <row r="326" spans="1:2">
      <c r="A326" t="s">
        <v>844</v>
      </c>
      <c r="B326" s="476">
        <v>1</v>
      </c>
    </row>
    <row r="327" spans="1:2">
      <c r="A327" t="s">
        <v>845</v>
      </c>
      <c r="B327" s="476">
        <v>1</v>
      </c>
    </row>
    <row r="328" spans="1:2">
      <c r="A328" t="s">
        <v>846</v>
      </c>
      <c r="B328" s="476">
        <v>1</v>
      </c>
    </row>
    <row r="329" spans="1:2">
      <c r="A329" t="s">
        <v>847</v>
      </c>
      <c r="B329" s="476">
        <v>1</v>
      </c>
    </row>
    <row r="330" spans="1:2">
      <c r="A330" t="s">
        <v>848</v>
      </c>
      <c r="B330" s="476">
        <v>1</v>
      </c>
    </row>
    <row r="331" spans="1:2">
      <c r="A331" t="s">
        <v>849</v>
      </c>
      <c r="B331" s="476">
        <v>1</v>
      </c>
    </row>
    <row r="332" spans="1:2">
      <c r="A332" t="s">
        <v>850</v>
      </c>
      <c r="B332" s="476">
        <v>1</v>
      </c>
    </row>
    <row r="333" spans="1:2">
      <c r="A333" t="s">
        <v>851</v>
      </c>
      <c r="B333" s="476">
        <v>1</v>
      </c>
    </row>
    <row r="334" spans="1:2">
      <c r="A334" t="s">
        <v>852</v>
      </c>
      <c r="B334" s="476">
        <v>1</v>
      </c>
    </row>
    <row r="335" spans="1:2">
      <c r="A335" t="s">
        <v>853</v>
      </c>
      <c r="B335" s="476">
        <v>1</v>
      </c>
    </row>
    <row r="336" spans="1:2">
      <c r="A336" t="s">
        <v>854</v>
      </c>
      <c r="B336" s="476">
        <v>1</v>
      </c>
    </row>
    <row r="337" spans="1:2">
      <c r="A337" t="s">
        <v>855</v>
      </c>
      <c r="B337" s="476">
        <v>1</v>
      </c>
    </row>
    <row r="338" spans="1:2">
      <c r="A338" t="s">
        <v>856</v>
      </c>
      <c r="B338" s="476">
        <v>1</v>
      </c>
    </row>
    <row r="339" spans="1:2">
      <c r="A339" t="s">
        <v>857</v>
      </c>
      <c r="B339" s="476">
        <v>1</v>
      </c>
    </row>
    <row r="340" spans="1:2">
      <c r="A340" t="s">
        <v>858</v>
      </c>
      <c r="B340" s="476">
        <v>1</v>
      </c>
    </row>
    <row r="341" spans="1:2">
      <c r="A341" t="s">
        <v>859</v>
      </c>
      <c r="B341" s="476">
        <v>1</v>
      </c>
    </row>
    <row r="342" spans="1:2">
      <c r="A342" t="s">
        <v>860</v>
      </c>
      <c r="B342" s="476">
        <v>0</v>
      </c>
    </row>
    <row r="343" spans="1:2">
      <c r="A343" t="s">
        <v>861</v>
      </c>
      <c r="B343" s="476">
        <v>0</v>
      </c>
    </row>
    <row r="344" spans="1:2">
      <c r="A344" t="s">
        <v>862</v>
      </c>
      <c r="B344" s="476">
        <v>0</v>
      </c>
    </row>
    <row r="345" spans="1:2">
      <c r="A345" t="s">
        <v>863</v>
      </c>
      <c r="B345" s="476">
        <v>1</v>
      </c>
    </row>
    <row r="346" spans="1:2">
      <c r="A346" t="s">
        <v>864</v>
      </c>
      <c r="B346" s="476">
        <v>1</v>
      </c>
    </row>
    <row r="347" spans="1:2">
      <c r="A347" t="s">
        <v>865</v>
      </c>
      <c r="B347" s="476">
        <v>1</v>
      </c>
    </row>
    <row r="348" spans="1:2">
      <c r="A348" t="s">
        <v>866</v>
      </c>
      <c r="B348" s="476">
        <v>1</v>
      </c>
    </row>
    <row r="349" spans="1:2">
      <c r="A349" t="s">
        <v>867</v>
      </c>
      <c r="B349" s="476">
        <v>1</v>
      </c>
    </row>
    <row r="350" spans="1:2">
      <c r="A350" t="s">
        <v>868</v>
      </c>
      <c r="B350" s="476">
        <v>1</v>
      </c>
    </row>
    <row r="351" spans="1:2">
      <c r="A351" t="s">
        <v>869</v>
      </c>
      <c r="B351" s="476">
        <v>1</v>
      </c>
    </row>
    <row r="352" spans="1:2">
      <c r="A352" t="s">
        <v>870</v>
      </c>
      <c r="B352" s="476">
        <v>1</v>
      </c>
    </row>
    <row r="353" spans="1:2">
      <c r="A353" t="s">
        <v>871</v>
      </c>
      <c r="B353" s="476">
        <v>1</v>
      </c>
    </row>
    <row r="354" spans="1:2">
      <c r="A354" t="s">
        <v>872</v>
      </c>
      <c r="B354" s="476">
        <v>1</v>
      </c>
    </row>
    <row r="355" spans="1:2">
      <c r="A355" t="s">
        <v>873</v>
      </c>
      <c r="B355" s="476">
        <v>1</v>
      </c>
    </row>
    <row r="356" spans="1:2">
      <c r="A356" t="s">
        <v>874</v>
      </c>
      <c r="B356" s="476">
        <v>1</v>
      </c>
    </row>
    <row r="357" spans="1:2">
      <c r="A357" t="s">
        <v>875</v>
      </c>
      <c r="B357" s="476">
        <v>1</v>
      </c>
    </row>
    <row r="358" spans="1:2">
      <c r="A358" t="s">
        <v>876</v>
      </c>
      <c r="B358" s="476">
        <v>1</v>
      </c>
    </row>
    <row r="359" spans="1:2">
      <c r="A359" t="s">
        <v>877</v>
      </c>
      <c r="B359" s="476">
        <v>1</v>
      </c>
    </row>
    <row r="360" spans="1:2">
      <c r="A360" t="s">
        <v>878</v>
      </c>
      <c r="B360" s="476">
        <v>1</v>
      </c>
    </row>
    <row r="361" spans="1:2">
      <c r="A361" t="s">
        <v>879</v>
      </c>
      <c r="B361" s="476">
        <v>1</v>
      </c>
    </row>
    <row r="362" spans="1:2">
      <c r="A362" t="s">
        <v>880</v>
      </c>
      <c r="B362" s="476">
        <v>1</v>
      </c>
    </row>
    <row r="363" spans="1:2">
      <c r="A363" t="s">
        <v>881</v>
      </c>
      <c r="B363" s="476">
        <v>1</v>
      </c>
    </row>
    <row r="364" spans="1:2">
      <c r="A364" t="s">
        <v>882</v>
      </c>
      <c r="B364" s="476">
        <v>1</v>
      </c>
    </row>
    <row r="365" spans="1:2">
      <c r="A365" t="s">
        <v>883</v>
      </c>
      <c r="B365" s="476">
        <v>1</v>
      </c>
    </row>
    <row r="366" spans="1:2">
      <c r="A366" t="s">
        <v>884</v>
      </c>
      <c r="B366" s="476">
        <v>1</v>
      </c>
    </row>
    <row r="367" spans="1:2">
      <c r="A367" t="s">
        <v>885</v>
      </c>
      <c r="B367" s="476">
        <v>1</v>
      </c>
    </row>
    <row r="368" spans="1:2">
      <c r="A368" t="s">
        <v>886</v>
      </c>
      <c r="B368" s="476">
        <v>1</v>
      </c>
    </row>
    <row r="369" spans="1:2">
      <c r="A369" t="s">
        <v>887</v>
      </c>
      <c r="B369" s="476">
        <v>1</v>
      </c>
    </row>
    <row r="370" spans="1:2">
      <c r="A370" t="s">
        <v>888</v>
      </c>
      <c r="B370" s="476">
        <v>1</v>
      </c>
    </row>
    <row r="371" spans="1:2">
      <c r="A371" t="s">
        <v>889</v>
      </c>
      <c r="B371" s="476">
        <v>1</v>
      </c>
    </row>
    <row r="372" spans="1:2">
      <c r="A372" t="s">
        <v>890</v>
      </c>
      <c r="B372" s="476">
        <v>1</v>
      </c>
    </row>
    <row r="373" spans="1:2">
      <c r="A373" t="s">
        <v>891</v>
      </c>
      <c r="B373" s="476">
        <v>1</v>
      </c>
    </row>
    <row r="374" spans="1:2">
      <c r="A374" t="s">
        <v>892</v>
      </c>
      <c r="B374" s="476">
        <v>1</v>
      </c>
    </row>
    <row r="375" spans="1:2">
      <c r="A375" t="s">
        <v>893</v>
      </c>
      <c r="B375" s="476">
        <v>1</v>
      </c>
    </row>
    <row r="376" spans="1:2">
      <c r="A376" t="s">
        <v>894</v>
      </c>
      <c r="B376" s="476">
        <v>1</v>
      </c>
    </row>
    <row r="377" spans="1:2">
      <c r="A377" t="s">
        <v>895</v>
      </c>
      <c r="B377" s="476">
        <v>1</v>
      </c>
    </row>
    <row r="378" spans="1:2">
      <c r="A378" t="s">
        <v>896</v>
      </c>
      <c r="B378" s="476">
        <v>1</v>
      </c>
    </row>
    <row r="379" spans="1:2">
      <c r="A379" t="s">
        <v>897</v>
      </c>
      <c r="B379" s="476">
        <v>1</v>
      </c>
    </row>
    <row r="380" spans="1:2">
      <c r="A380" t="s">
        <v>898</v>
      </c>
      <c r="B380" s="476">
        <v>1</v>
      </c>
    </row>
    <row r="381" spans="1:2">
      <c r="A381" t="s">
        <v>899</v>
      </c>
      <c r="B381" s="476">
        <v>1</v>
      </c>
    </row>
    <row r="382" spans="1:2">
      <c r="A382" t="s">
        <v>900</v>
      </c>
      <c r="B382" s="476">
        <v>1</v>
      </c>
    </row>
    <row r="383" spans="1:2">
      <c r="A383" t="s">
        <v>901</v>
      </c>
      <c r="B383" s="476">
        <v>1</v>
      </c>
    </row>
    <row r="384" spans="1:2">
      <c r="A384" t="s">
        <v>902</v>
      </c>
      <c r="B384" s="476">
        <v>1</v>
      </c>
    </row>
    <row r="385" spans="1:2">
      <c r="A385" t="s">
        <v>903</v>
      </c>
      <c r="B385" s="476">
        <v>1</v>
      </c>
    </row>
    <row r="386" spans="1:2">
      <c r="A386" t="s">
        <v>904</v>
      </c>
      <c r="B386" s="476">
        <v>1</v>
      </c>
    </row>
    <row r="387" spans="1:2">
      <c r="A387" t="s">
        <v>905</v>
      </c>
      <c r="B387" s="476">
        <v>1</v>
      </c>
    </row>
    <row r="388" spans="1:2">
      <c r="A388" t="s">
        <v>906</v>
      </c>
      <c r="B388" s="476">
        <v>1</v>
      </c>
    </row>
    <row r="389" spans="1:2">
      <c r="A389" t="s">
        <v>907</v>
      </c>
      <c r="B389" s="476">
        <v>1</v>
      </c>
    </row>
    <row r="390" spans="1:2">
      <c r="A390" t="s">
        <v>908</v>
      </c>
      <c r="B390" s="476">
        <v>1</v>
      </c>
    </row>
    <row r="391" spans="1:2">
      <c r="A391" t="s">
        <v>909</v>
      </c>
      <c r="B391" s="476">
        <v>1</v>
      </c>
    </row>
    <row r="392" spans="1:2">
      <c r="A392" t="s">
        <v>910</v>
      </c>
      <c r="B392" s="476">
        <v>1</v>
      </c>
    </row>
    <row r="393" spans="1:2">
      <c r="A393" t="s">
        <v>2070</v>
      </c>
      <c r="B393" s="476">
        <v>1</v>
      </c>
    </row>
    <row r="394" spans="1:2">
      <c r="A394" t="s">
        <v>2071</v>
      </c>
      <c r="B394" s="476">
        <v>1</v>
      </c>
    </row>
    <row r="395" spans="1:2">
      <c r="A395" t="s">
        <v>2072</v>
      </c>
      <c r="B395" s="476">
        <v>1</v>
      </c>
    </row>
    <row r="396" spans="1:2">
      <c r="A396" t="s">
        <v>2073</v>
      </c>
      <c r="B396" s="476">
        <v>1</v>
      </c>
    </row>
    <row r="397" spans="1:2">
      <c r="A397" t="s">
        <v>2074</v>
      </c>
      <c r="B397" s="476">
        <v>1</v>
      </c>
    </row>
    <row r="398" spans="1:2">
      <c r="A398" t="s">
        <v>2078</v>
      </c>
      <c r="B398" s="476">
        <v>1</v>
      </c>
    </row>
    <row r="399" spans="1:2">
      <c r="A399" t="s">
        <v>2075</v>
      </c>
      <c r="B399" s="476">
        <v>1</v>
      </c>
    </row>
    <row r="400" spans="1:2">
      <c r="A400" t="s">
        <v>2076</v>
      </c>
      <c r="B400" s="476">
        <v>1</v>
      </c>
    </row>
    <row r="401" spans="1:2">
      <c r="A401" t="s">
        <v>2077</v>
      </c>
      <c r="B401" s="476">
        <v>1</v>
      </c>
    </row>
    <row r="402" spans="1:2">
      <c r="A402" t="s">
        <v>2156</v>
      </c>
      <c r="B402" s="476">
        <v>1</v>
      </c>
    </row>
    <row r="403" spans="1:2">
      <c r="A403" t="s">
        <v>2157</v>
      </c>
      <c r="B403" s="476">
        <v>1</v>
      </c>
    </row>
    <row r="404" spans="1:2">
      <c r="A404" t="s">
        <v>2158</v>
      </c>
      <c r="B404" s="476">
        <v>1</v>
      </c>
    </row>
    <row r="405" spans="1:2">
      <c r="A405" t="s">
        <v>2159</v>
      </c>
      <c r="B405" s="476">
        <v>1</v>
      </c>
    </row>
    <row r="406" spans="1:2">
      <c r="A406" t="s">
        <v>2160</v>
      </c>
      <c r="B406" s="476">
        <v>1</v>
      </c>
    </row>
    <row r="407" spans="1:2">
      <c r="A407" t="s">
        <v>911</v>
      </c>
      <c r="B407" s="476">
        <v>1</v>
      </c>
    </row>
    <row r="408" spans="1:2">
      <c r="A408" t="s">
        <v>912</v>
      </c>
      <c r="B408" s="476">
        <v>1</v>
      </c>
    </row>
    <row r="409" spans="1:2">
      <c r="A409" t="s">
        <v>913</v>
      </c>
      <c r="B409" s="476">
        <v>1</v>
      </c>
    </row>
    <row r="410" spans="1:2">
      <c r="A410" t="s">
        <v>914</v>
      </c>
      <c r="B410" s="476">
        <v>1</v>
      </c>
    </row>
    <row r="411" spans="1:2">
      <c r="A411" t="s">
        <v>915</v>
      </c>
      <c r="B411" s="476">
        <v>1</v>
      </c>
    </row>
    <row r="412" spans="1:2">
      <c r="A412" t="s">
        <v>916</v>
      </c>
      <c r="B412" s="476">
        <v>1</v>
      </c>
    </row>
    <row r="413" spans="1:2">
      <c r="A413" t="s">
        <v>917</v>
      </c>
      <c r="B413" s="476">
        <v>1</v>
      </c>
    </row>
    <row r="414" spans="1:2">
      <c r="A414" t="s">
        <v>918</v>
      </c>
      <c r="B414" s="476">
        <v>1</v>
      </c>
    </row>
    <row r="415" spans="1:2">
      <c r="A415" t="s">
        <v>919</v>
      </c>
      <c r="B415" s="476">
        <v>1</v>
      </c>
    </row>
    <row r="416" spans="1:2">
      <c r="A416" t="s">
        <v>920</v>
      </c>
      <c r="B416" s="476">
        <v>1</v>
      </c>
    </row>
    <row r="417" spans="1:2">
      <c r="A417" t="s">
        <v>921</v>
      </c>
      <c r="B417" s="476">
        <v>1</v>
      </c>
    </row>
    <row r="418" spans="1:2">
      <c r="A418" t="s">
        <v>922</v>
      </c>
      <c r="B418" s="476">
        <v>1</v>
      </c>
    </row>
    <row r="419" spans="1:2">
      <c r="A419" t="s">
        <v>923</v>
      </c>
      <c r="B419" s="476">
        <v>1</v>
      </c>
    </row>
    <row r="420" spans="1:2">
      <c r="A420" t="s">
        <v>924</v>
      </c>
      <c r="B420" s="476">
        <v>1</v>
      </c>
    </row>
    <row r="421" spans="1:2">
      <c r="A421" t="s">
        <v>925</v>
      </c>
      <c r="B421" s="476">
        <v>1</v>
      </c>
    </row>
    <row r="422" spans="1:2">
      <c r="A422" t="s">
        <v>926</v>
      </c>
      <c r="B422" s="476">
        <v>1</v>
      </c>
    </row>
    <row r="423" spans="1:2">
      <c r="A423" t="s">
        <v>927</v>
      </c>
      <c r="B423" s="476">
        <v>1</v>
      </c>
    </row>
    <row r="424" spans="1:2">
      <c r="A424" t="s">
        <v>928</v>
      </c>
      <c r="B424" s="476">
        <v>1</v>
      </c>
    </row>
    <row r="425" spans="1:2">
      <c r="A425" t="s">
        <v>929</v>
      </c>
      <c r="B425" s="476">
        <v>1</v>
      </c>
    </row>
    <row r="426" spans="1:2">
      <c r="A426" t="s">
        <v>930</v>
      </c>
      <c r="B426" s="476">
        <v>1</v>
      </c>
    </row>
    <row r="427" spans="1:2">
      <c r="A427" t="s">
        <v>931</v>
      </c>
      <c r="B427" s="476">
        <v>1</v>
      </c>
    </row>
    <row r="428" spans="1:2">
      <c r="A428" t="s">
        <v>932</v>
      </c>
      <c r="B428" s="476">
        <v>1</v>
      </c>
    </row>
    <row r="429" spans="1:2">
      <c r="A429" t="s">
        <v>933</v>
      </c>
      <c r="B429" s="476">
        <v>1</v>
      </c>
    </row>
    <row r="430" spans="1:2">
      <c r="A430" t="s">
        <v>934</v>
      </c>
      <c r="B430" s="476">
        <v>1</v>
      </c>
    </row>
    <row r="431" spans="1:2">
      <c r="A431" t="s">
        <v>935</v>
      </c>
      <c r="B431" s="476">
        <v>1</v>
      </c>
    </row>
    <row r="432" spans="1:2">
      <c r="A432" t="s">
        <v>936</v>
      </c>
      <c r="B432" s="476">
        <v>1</v>
      </c>
    </row>
    <row r="433" spans="1:2">
      <c r="A433" t="s">
        <v>2134</v>
      </c>
      <c r="B433" s="476">
        <v>1</v>
      </c>
    </row>
    <row r="434" spans="1:2">
      <c r="A434" t="s">
        <v>2135</v>
      </c>
      <c r="B434" s="476">
        <v>1</v>
      </c>
    </row>
    <row r="435" spans="1:2">
      <c r="A435" t="s">
        <v>2136</v>
      </c>
      <c r="B435" s="476">
        <v>1</v>
      </c>
    </row>
    <row r="436" spans="1:2">
      <c r="A436" t="s">
        <v>2137</v>
      </c>
      <c r="B436" s="476">
        <v>1</v>
      </c>
    </row>
    <row r="437" spans="1:2">
      <c r="A437" t="s">
        <v>2431</v>
      </c>
      <c r="B437" s="476">
        <v>1</v>
      </c>
    </row>
    <row r="438" spans="1:2">
      <c r="A438" t="s">
        <v>937</v>
      </c>
      <c r="B438" s="476">
        <v>1</v>
      </c>
    </row>
    <row r="439" spans="1:2">
      <c r="A439" t="s">
        <v>938</v>
      </c>
      <c r="B439" s="476">
        <v>1</v>
      </c>
    </row>
    <row r="440" spans="1:2">
      <c r="A440" t="s">
        <v>939</v>
      </c>
      <c r="B440" s="476">
        <v>1</v>
      </c>
    </row>
    <row r="441" spans="1:2">
      <c r="A441" t="s">
        <v>940</v>
      </c>
      <c r="B441" s="476">
        <v>1</v>
      </c>
    </row>
    <row r="442" spans="1:2">
      <c r="A442" t="s">
        <v>941</v>
      </c>
      <c r="B442" s="476">
        <v>1</v>
      </c>
    </row>
    <row r="443" spans="1:2">
      <c r="A443" t="s">
        <v>942</v>
      </c>
      <c r="B443" s="476">
        <v>1</v>
      </c>
    </row>
    <row r="444" spans="1:2">
      <c r="A444" t="s">
        <v>943</v>
      </c>
      <c r="B444" s="476">
        <v>1</v>
      </c>
    </row>
    <row r="445" spans="1:2">
      <c r="A445" t="s">
        <v>944</v>
      </c>
      <c r="B445" s="476">
        <v>1</v>
      </c>
    </row>
    <row r="446" spans="1:2">
      <c r="A446" t="s">
        <v>945</v>
      </c>
      <c r="B446" s="476">
        <v>1</v>
      </c>
    </row>
    <row r="447" spans="1:2">
      <c r="A447" t="s">
        <v>946</v>
      </c>
      <c r="B447" s="476">
        <v>1</v>
      </c>
    </row>
    <row r="448" spans="1:2">
      <c r="A448" t="s">
        <v>947</v>
      </c>
      <c r="B448" s="476">
        <v>1</v>
      </c>
    </row>
    <row r="449" spans="1:2">
      <c r="A449" t="s">
        <v>948</v>
      </c>
      <c r="B449" s="476">
        <v>1</v>
      </c>
    </row>
    <row r="450" spans="1:2">
      <c r="A450" t="s">
        <v>949</v>
      </c>
      <c r="B450" s="476">
        <v>1</v>
      </c>
    </row>
    <row r="451" spans="1:2">
      <c r="A451" t="s">
        <v>950</v>
      </c>
      <c r="B451" s="476">
        <v>1</v>
      </c>
    </row>
    <row r="452" spans="1:2">
      <c r="A452" t="s">
        <v>2138</v>
      </c>
      <c r="B452" s="476">
        <v>1</v>
      </c>
    </row>
    <row r="453" spans="1:2">
      <c r="A453" t="s">
        <v>2139</v>
      </c>
      <c r="B453" s="476">
        <v>1</v>
      </c>
    </row>
    <row r="454" spans="1:2">
      <c r="A454" t="s">
        <v>2140</v>
      </c>
      <c r="B454" s="476">
        <v>1</v>
      </c>
    </row>
    <row r="455" spans="1:2">
      <c r="A455" t="s">
        <v>2141</v>
      </c>
      <c r="B455" s="476">
        <v>1</v>
      </c>
    </row>
    <row r="456" spans="1:2">
      <c r="A456" t="s">
        <v>2142</v>
      </c>
      <c r="B456" s="476">
        <v>1</v>
      </c>
    </row>
    <row r="457" spans="1:2">
      <c r="A457" t="s">
        <v>2143</v>
      </c>
      <c r="B457" s="476">
        <v>1</v>
      </c>
    </row>
    <row r="458" spans="1:2">
      <c r="A458" t="s">
        <v>951</v>
      </c>
      <c r="B458" s="476">
        <v>1</v>
      </c>
    </row>
    <row r="459" spans="1:2">
      <c r="A459" t="s">
        <v>2432</v>
      </c>
      <c r="B459" s="476">
        <v>1</v>
      </c>
    </row>
    <row r="460" spans="1:2">
      <c r="A460" t="s">
        <v>952</v>
      </c>
      <c r="B460" s="476">
        <v>1</v>
      </c>
    </row>
    <row r="461" spans="1:2">
      <c r="A461" t="s">
        <v>953</v>
      </c>
      <c r="B461" s="476">
        <v>1</v>
      </c>
    </row>
    <row r="462" spans="1:2">
      <c r="A462" t="s">
        <v>954</v>
      </c>
      <c r="B462" s="476">
        <v>1</v>
      </c>
    </row>
    <row r="463" spans="1:2">
      <c r="A463" t="s">
        <v>955</v>
      </c>
      <c r="B463" s="476">
        <v>1</v>
      </c>
    </row>
    <row r="464" spans="1:2">
      <c r="A464" t="s">
        <v>956</v>
      </c>
      <c r="B464" s="476">
        <v>1</v>
      </c>
    </row>
    <row r="465" spans="1:2">
      <c r="A465" t="s">
        <v>957</v>
      </c>
      <c r="B465" s="476">
        <v>1</v>
      </c>
    </row>
    <row r="466" spans="1:2">
      <c r="A466" t="s">
        <v>958</v>
      </c>
      <c r="B466" s="476">
        <v>1</v>
      </c>
    </row>
    <row r="467" spans="1:2">
      <c r="A467" t="s">
        <v>959</v>
      </c>
      <c r="B467" s="476">
        <v>1</v>
      </c>
    </row>
    <row r="468" spans="1:2">
      <c r="A468" t="s">
        <v>960</v>
      </c>
      <c r="B468" s="476">
        <v>1</v>
      </c>
    </row>
    <row r="469" spans="1:2">
      <c r="A469" t="s">
        <v>961</v>
      </c>
      <c r="B469" s="476">
        <v>1</v>
      </c>
    </row>
    <row r="470" spans="1:2">
      <c r="A470" t="s">
        <v>962</v>
      </c>
      <c r="B470" s="476">
        <v>1</v>
      </c>
    </row>
    <row r="471" spans="1:2">
      <c r="A471" t="s">
        <v>963</v>
      </c>
      <c r="B471" s="476">
        <v>1</v>
      </c>
    </row>
    <row r="472" spans="1:2">
      <c r="A472" t="s">
        <v>964</v>
      </c>
      <c r="B472" s="476">
        <v>1</v>
      </c>
    </row>
    <row r="473" spans="1:2">
      <c r="A473" t="s">
        <v>2144</v>
      </c>
      <c r="B473" s="476">
        <v>1</v>
      </c>
    </row>
    <row r="474" spans="1:2">
      <c r="A474" t="s">
        <v>2145</v>
      </c>
      <c r="B474" s="476">
        <v>1</v>
      </c>
    </row>
    <row r="475" spans="1:2">
      <c r="A475" t="s">
        <v>2146</v>
      </c>
      <c r="B475" s="476">
        <v>1</v>
      </c>
    </row>
    <row r="476" spans="1:2">
      <c r="A476" t="s">
        <v>2147</v>
      </c>
      <c r="B476" s="476">
        <v>1</v>
      </c>
    </row>
    <row r="477" spans="1:2">
      <c r="A477" t="s">
        <v>965</v>
      </c>
      <c r="B477" s="476">
        <v>1</v>
      </c>
    </row>
    <row r="478" spans="1:2">
      <c r="A478" t="s">
        <v>966</v>
      </c>
      <c r="B478" s="476">
        <v>1</v>
      </c>
    </row>
    <row r="479" spans="1:2">
      <c r="A479" t="s">
        <v>967</v>
      </c>
      <c r="B479" s="476">
        <v>1</v>
      </c>
    </row>
    <row r="480" spans="1:2">
      <c r="A480" t="s">
        <v>968</v>
      </c>
      <c r="B480" s="476">
        <v>1</v>
      </c>
    </row>
    <row r="481" spans="1:2">
      <c r="A481" t="s">
        <v>2148</v>
      </c>
      <c r="B481" s="476">
        <v>1</v>
      </c>
    </row>
    <row r="482" spans="1:2">
      <c r="A482" t="s">
        <v>2149</v>
      </c>
      <c r="B482" s="476">
        <v>1</v>
      </c>
    </row>
    <row r="483" spans="1:2">
      <c r="A483" t="s">
        <v>2150</v>
      </c>
      <c r="B483" s="476">
        <v>1</v>
      </c>
    </row>
    <row r="484" spans="1:2">
      <c r="A484" t="s">
        <v>2151</v>
      </c>
      <c r="B484" s="476">
        <v>1</v>
      </c>
    </row>
    <row r="485" spans="1:2">
      <c r="A485" t="s">
        <v>2152</v>
      </c>
      <c r="B485" s="476">
        <v>1</v>
      </c>
    </row>
    <row r="486" spans="1:2">
      <c r="A486" t="s">
        <v>2153</v>
      </c>
      <c r="B486" s="476">
        <v>1</v>
      </c>
    </row>
    <row r="487" spans="1:2">
      <c r="A487" t="s">
        <v>969</v>
      </c>
      <c r="B487" s="476">
        <v>1</v>
      </c>
    </row>
    <row r="488" spans="1:2">
      <c r="A488" t="s">
        <v>970</v>
      </c>
      <c r="B488" s="476">
        <v>1</v>
      </c>
    </row>
    <row r="489" spans="1:2">
      <c r="A489" t="s">
        <v>971</v>
      </c>
      <c r="B489" s="476">
        <v>1</v>
      </c>
    </row>
    <row r="490" spans="1:2">
      <c r="A490" t="s">
        <v>972</v>
      </c>
      <c r="B490" s="476">
        <v>1</v>
      </c>
    </row>
    <row r="491" spans="1:2">
      <c r="A491" t="s">
        <v>973</v>
      </c>
      <c r="B491" s="476">
        <v>1</v>
      </c>
    </row>
    <row r="492" spans="1:2">
      <c r="A492" t="s">
        <v>974</v>
      </c>
      <c r="B492" s="476">
        <v>1</v>
      </c>
    </row>
    <row r="493" spans="1:2">
      <c r="A493" t="s">
        <v>975</v>
      </c>
      <c r="B493" s="476">
        <v>1</v>
      </c>
    </row>
    <row r="494" spans="1:2">
      <c r="A494" t="s">
        <v>976</v>
      </c>
      <c r="B494" s="476">
        <v>1</v>
      </c>
    </row>
    <row r="495" spans="1:2">
      <c r="A495" t="s">
        <v>977</v>
      </c>
      <c r="B495" s="476">
        <v>1</v>
      </c>
    </row>
    <row r="496" spans="1:2">
      <c r="A496" t="s">
        <v>978</v>
      </c>
      <c r="B496" s="476">
        <v>1</v>
      </c>
    </row>
    <row r="497" spans="1:2">
      <c r="A497" t="s">
        <v>979</v>
      </c>
      <c r="B497" s="476">
        <v>1</v>
      </c>
    </row>
    <row r="498" spans="1:2">
      <c r="A498" t="s">
        <v>980</v>
      </c>
      <c r="B498" s="476">
        <v>1</v>
      </c>
    </row>
    <row r="499" spans="1:2">
      <c r="A499" t="s">
        <v>981</v>
      </c>
      <c r="B499" s="476">
        <v>1</v>
      </c>
    </row>
    <row r="500" spans="1:2">
      <c r="A500" t="s">
        <v>982</v>
      </c>
      <c r="B500" s="476">
        <v>1</v>
      </c>
    </row>
    <row r="501" spans="1:2">
      <c r="A501" t="s">
        <v>983</v>
      </c>
      <c r="B501" s="476">
        <v>1</v>
      </c>
    </row>
    <row r="502" spans="1:2">
      <c r="A502" t="s">
        <v>984</v>
      </c>
      <c r="B502" s="476">
        <v>1</v>
      </c>
    </row>
    <row r="503" spans="1:2">
      <c r="A503" t="s">
        <v>985</v>
      </c>
      <c r="B503" s="476">
        <v>1</v>
      </c>
    </row>
    <row r="504" spans="1:2">
      <c r="A504" t="s">
        <v>2080</v>
      </c>
      <c r="B504" s="476">
        <v>1</v>
      </c>
    </row>
    <row r="505" spans="1:2">
      <c r="A505" t="s">
        <v>2081</v>
      </c>
      <c r="B505" s="476">
        <v>1</v>
      </c>
    </row>
    <row r="506" spans="1:2">
      <c r="A506" t="s">
        <v>2082</v>
      </c>
      <c r="B506" s="476">
        <v>1</v>
      </c>
    </row>
    <row r="507" spans="1:2">
      <c r="A507" t="s">
        <v>2083</v>
      </c>
      <c r="B507" s="476">
        <v>0</v>
      </c>
    </row>
    <row r="508" spans="1:2">
      <c r="A508" t="s">
        <v>2084</v>
      </c>
      <c r="B508" s="476">
        <v>1</v>
      </c>
    </row>
    <row r="509" spans="1:2">
      <c r="A509" t="s">
        <v>2085</v>
      </c>
      <c r="B509" s="476">
        <v>1</v>
      </c>
    </row>
    <row r="510" spans="1:2">
      <c r="A510" t="s">
        <v>2421</v>
      </c>
      <c r="B510" s="476">
        <v>0</v>
      </c>
    </row>
    <row r="511" spans="1:2">
      <c r="A511" t="s">
        <v>2086</v>
      </c>
      <c r="B511" s="476">
        <v>1</v>
      </c>
    </row>
    <row r="512" spans="1:2">
      <c r="A512" t="s">
        <v>2087</v>
      </c>
      <c r="B512" s="476">
        <v>6</v>
      </c>
    </row>
    <row r="513" spans="1:2">
      <c r="A513" t="s">
        <v>2088</v>
      </c>
      <c r="B513" s="476">
        <v>6</v>
      </c>
    </row>
    <row r="514" spans="1:2">
      <c r="A514" t="s">
        <v>2089</v>
      </c>
      <c r="B514" s="476">
        <v>6</v>
      </c>
    </row>
    <row r="515" spans="1:2">
      <c r="A515" t="s">
        <v>2090</v>
      </c>
      <c r="B515" s="476">
        <v>6</v>
      </c>
    </row>
    <row r="516" spans="1:2">
      <c r="A516" t="s">
        <v>2091</v>
      </c>
      <c r="B516" s="476">
        <v>6</v>
      </c>
    </row>
    <row r="517" spans="1:2">
      <c r="A517" t="s">
        <v>2092</v>
      </c>
      <c r="B517" s="476">
        <v>0</v>
      </c>
    </row>
    <row r="518" spans="1:2">
      <c r="A518" t="s">
        <v>2093</v>
      </c>
      <c r="B518" s="476">
        <v>0</v>
      </c>
    </row>
    <row r="519" spans="1:2">
      <c r="A519" t="s">
        <v>2094</v>
      </c>
      <c r="B519" s="476">
        <v>1</v>
      </c>
    </row>
    <row r="520" spans="1:2">
      <c r="A520" t="s">
        <v>2419</v>
      </c>
      <c r="B520" s="476">
        <v>1</v>
      </c>
    </row>
    <row r="521" spans="1:2">
      <c r="A521" t="s">
        <v>2095</v>
      </c>
      <c r="B521" s="476">
        <v>1</v>
      </c>
    </row>
    <row r="522" spans="1:2">
      <c r="A522" t="s">
        <v>2403</v>
      </c>
      <c r="B522" s="476">
        <v>1</v>
      </c>
    </row>
    <row r="523" spans="1:2">
      <c r="A523" t="s">
        <v>2404</v>
      </c>
      <c r="B523" s="476">
        <v>1</v>
      </c>
    </row>
    <row r="524" spans="1:2">
      <c r="A524" t="s">
        <v>2097</v>
      </c>
      <c r="B524" s="476">
        <v>1</v>
      </c>
    </row>
    <row r="525" spans="1:2">
      <c r="A525" t="s">
        <v>2098</v>
      </c>
      <c r="B525" s="476">
        <v>1</v>
      </c>
    </row>
    <row r="526" spans="1:2">
      <c r="A526" t="s">
        <v>2410</v>
      </c>
      <c r="B526" s="476">
        <v>1</v>
      </c>
    </row>
    <row r="527" spans="1:2">
      <c r="A527" t="s">
        <v>2405</v>
      </c>
      <c r="B527" s="476">
        <v>1</v>
      </c>
    </row>
    <row r="528" spans="1:2">
      <c r="A528" t="s">
        <v>2099</v>
      </c>
      <c r="B528" s="476">
        <v>1</v>
      </c>
    </row>
    <row r="529" spans="1:2">
      <c r="A529" t="s">
        <v>2406</v>
      </c>
      <c r="B529" s="476">
        <v>1</v>
      </c>
    </row>
    <row r="530" spans="1:2">
      <c r="A530" t="s">
        <v>2100</v>
      </c>
      <c r="B530" s="476">
        <v>1</v>
      </c>
    </row>
    <row r="531" spans="1:2">
      <c r="A531" t="s">
        <v>2101</v>
      </c>
      <c r="B531" s="476">
        <v>1</v>
      </c>
    </row>
    <row r="532" spans="1:2">
      <c r="A532" t="s">
        <v>2102</v>
      </c>
      <c r="B532" s="476">
        <v>1</v>
      </c>
    </row>
    <row r="533" spans="1:2">
      <c r="A533" t="s">
        <v>2103</v>
      </c>
      <c r="B533" s="476">
        <v>1</v>
      </c>
    </row>
    <row r="534" spans="1:2">
      <c r="A534" t="s">
        <v>2104</v>
      </c>
      <c r="B534" s="476">
        <v>1</v>
      </c>
    </row>
    <row r="535" spans="1:2">
      <c r="A535" t="s">
        <v>2105</v>
      </c>
      <c r="B535" s="476">
        <v>1</v>
      </c>
    </row>
    <row r="536" spans="1:2">
      <c r="A536" t="s">
        <v>2106</v>
      </c>
      <c r="B536" s="476">
        <v>1</v>
      </c>
    </row>
    <row r="537" spans="1:2">
      <c r="A537" t="s">
        <v>2107</v>
      </c>
      <c r="B537" s="476">
        <v>1</v>
      </c>
    </row>
    <row r="538" spans="1:2">
      <c r="A538" t="s">
        <v>2108</v>
      </c>
      <c r="B538" s="476">
        <v>1</v>
      </c>
    </row>
    <row r="539" spans="1:2">
      <c r="A539" t="s">
        <v>2109</v>
      </c>
      <c r="B539" s="476">
        <v>1</v>
      </c>
    </row>
    <row r="540" spans="1:2">
      <c r="A540" t="s">
        <v>2110</v>
      </c>
      <c r="B540" s="476">
        <v>1</v>
      </c>
    </row>
    <row r="541" spans="1:2">
      <c r="A541" t="s">
        <v>2111</v>
      </c>
      <c r="B541" s="476">
        <v>1</v>
      </c>
    </row>
    <row r="542" spans="1:2">
      <c r="A542" t="s">
        <v>2112</v>
      </c>
      <c r="B542" s="476">
        <v>1</v>
      </c>
    </row>
    <row r="543" spans="1:2">
      <c r="A543" t="s">
        <v>2374</v>
      </c>
      <c r="B543" s="476">
        <v>0</v>
      </c>
    </row>
    <row r="544" spans="1:2">
      <c r="A544" t="s">
        <v>2113</v>
      </c>
      <c r="B544" s="476">
        <v>1</v>
      </c>
    </row>
    <row r="545" spans="1:2">
      <c r="A545" t="s">
        <v>2114</v>
      </c>
      <c r="B545" s="476">
        <v>1</v>
      </c>
    </row>
    <row r="546" spans="1:2">
      <c r="A546" t="s">
        <v>2115</v>
      </c>
      <c r="B546" s="476">
        <v>1</v>
      </c>
    </row>
    <row r="547" spans="1:2">
      <c r="A547" t="s">
        <v>2116</v>
      </c>
      <c r="B547" s="476">
        <v>1</v>
      </c>
    </row>
    <row r="548" spans="1:2">
      <c r="A548" t="s">
        <v>2117</v>
      </c>
      <c r="B548" s="476">
        <v>1</v>
      </c>
    </row>
    <row r="549" spans="1:2">
      <c r="A549" t="s">
        <v>2118</v>
      </c>
      <c r="B549" s="476">
        <v>1</v>
      </c>
    </row>
    <row r="550" spans="1:2">
      <c r="A550" t="s">
        <v>2417</v>
      </c>
      <c r="B550" s="476">
        <v>0</v>
      </c>
    </row>
    <row r="551" spans="1:2">
      <c r="A551" t="s">
        <v>2119</v>
      </c>
      <c r="B551" s="476">
        <v>1</v>
      </c>
    </row>
    <row r="552" spans="1:2">
      <c r="A552" t="s">
        <v>2120</v>
      </c>
      <c r="B552" s="476">
        <v>1</v>
      </c>
    </row>
    <row r="553" spans="1:2">
      <c r="A553" t="s">
        <v>2401</v>
      </c>
      <c r="B553" s="476">
        <v>1</v>
      </c>
    </row>
    <row r="554" spans="1:2">
      <c r="A554" t="s">
        <v>2408</v>
      </c>
      <c r="B554" s="476">
        <v>0</v>
      </c>
    </row>
    <row r="555" spans="1:2">
      <c r="A555" t="s">
        <v>2121</v>
      </c>
      <c r="B555" s="476">
        <v>1</v>
      </c>
    </row>
    <row r="556" spans="1:2">
      <c r="A556" t="s">
        <v>2122</v>
      </c>
      <c r="B556" s="476">
        <v>1</v>
      </c>
    </row>
    <row r="557" spans="1:2">
      <c r="A557" t="s">
        <v>2375</v>
      </c>
      <c r="B557" s="476">
        <v>0</v>
      </c>
    </row>
    <row r="558" spans="1:2">
      <c r="A558" t="s">
        <v>2123</v>
      </c>
      <c r="B558" s="476">
        <v>1</v>
      </c>
    </row>
    <row r="559" spans="1:2">
      <c r="A559" t="s">
        <v>2124</v>
      </c>
      <c r="B559" s="476">
        <v>1</v>
      </c>
    </row>
    <row r="560" spans="1:2">
      <c r="A560" t="s">
        <v>2125</v>
      </c>
      <c r="B560" s="476">
        <v>1</v>
      </c>
    </row>
    <row r="561" spans="1:2">
      <c r="A561" t="s">
        <v>2126</v>
      </c>
      <c r="B561" s="476">
        <v>1</v>
      </c>
    </row>
    <row r="562" spans="1:2">
      <c r="A562" t="s">
        <v>2376</v>
      </c>
      <c r="B562" s="476">
        <v>1</v>
      </c>
    </row>
    <row r="563" spans="1:2">
      <c r="A563" t="s">
        <v>2127</v>
      </c>
      <c r="B563" s="476">
        <v>1</v>
      </c>
    </row>
    <row r="564" spans="1:2">
      <c r="A564" t="s">
        <v>2412</v>
      </c>
      <c r="B564" s="476">
        <v>1</v>
      </c>
    </row>
    <row r="565" spans="1:2">
      <c r="A565" t="s">
        <v>2128</v>
      </c>
      <c r="B565" s="476">
        <v>1</v>
      </c>
    </row>
    <row r="566" spans="1:2">
      <c r="A566" t="s">
        <v>2129</v>
      </c>
      <c r="B566" s="476">
        <v>1</v>
      </c>
    </row>
    <row r="567" spans="1:2">
      <c r="A567" t="s">
        <v>2130</v>
      </c>
      <c r="B567" s="476">
        <v>1</v>
      </c>
    </row>
    <row r="568" spans="1:2">
      <c r="A568" t="s">
        <v>2418</v>
      </c>
      <c r="B568" s="476">
        <v>1</v>
      </c>
    </row>
    <row r="569" spans="1:2">
      <c r="A569" t="s">
        <v>2131</v>
      </c>
      <c r="B569" s="476">
        <v>1</v>
      </c>
    </row>
    <row r="570" spans="1:2">
      <c r="A570" t="s">
        <v>2132</v>
      </c>
      <c r="B570" s="476">
        <v>1</v>
      </c>
    </row>
    <row r="571" spans="1:2">
      <c r="A571" t="s">
        <v>2133</v>
      </c>
      <c r="B571" s="476">
        <v>1</v>
      </c>
    </row>
    <row r="572" spans="1:2">
      <c r="A572" t="s">
        <v>986</v>
      </c>
      <c r="B572" s="476">
        <v>1</v>
      </c>
    </row>
    <row r="573" spans="1:2">
      <c r="A573" t="s">
        <v>987</v>
      </c>
      <c r="B573" s="476">
        <v>0</v>
      </c>
    </row>
    <row r="574" spans="1:2">
      <c r="A574" t="s">
        <v>988</v>
      </c>
      <c r="B574" s="476">
        <v>1</v>
      </c>
    </row>
    <row r="575" spans="1:2">
      <c r="A575" t="s">
        <v>989</v>
      </c>
      <c r="B575" s="476">
        <v>1</v>
      </c>
    </row>
    <row r="576" spans="1:2">
      <c r="A576" t="s">
        <v>990</v>
      </c>
      <c r="B576" s="476">
        <v>1</v>
      </c>
    </row>
    <row r="577" spans="1:2">
      <c r="A577" t="s">
        <v>991</v>
      </c>
      <c r="B577" s="476">
        <v>1</v>
      </c>
    </row>
    <row r="578" spans="1:2">
      <c r="A578" t="s">
        <v>992</v>
      </c>
      <c r="B578" s="476">
        <v>1</v>
      </c>
    </row>
    <row r="579" spans="1:2">
      <c r="A579" t="s">
        <v>993</v>
      </c>
      <c r="B579" s="476">
        <v>1</v>
      </c>
    </row>
    <row r="580" spans="1:2">
      <c r="A580" t="s">
        <v>994</v>
      </c>
      <c r="B580" s="476">
        <v>1</v>
      </c>
    </row>
    <row r="581" spans="1:2">
      <c r="A581" t="s">
        <v>995</v>
      </c>
      <c r="B581" s="476">
        <v>1</v>
      </c>
    </row>
    <row r="582" spans="1:2">
      <c r="A582" t="s">
        <v>996</v>
      </c>
      <c r="B582" s="476">
        <v>1</v>
      </c>
    </row>
    <row r="583" spans="1:2">
      <c r="A583" t="s">
        <v>997</v>
      </c>
      <c r="B583" s="476">
        <v>1</v>
      </c>
    </row>
    <row r="584" spans="1:2">
      <c r="A584" t="s">
        <v>998</v>
      </c>
      <c r="B584" s="476">
        <v>1</v>
      </c>
    </row>
    <row r="585" spans="1:2">
      <c r="A585" t="s">
        <v>999</v>
      </c>
      <c r="B585" s="476">
        <v>1</v>
      </c>
    </row>
    <row r="586" spans="1:2">
      <c r="A586" t="s">
        <v>1000</v>
      </c>
      <c r="B586" s="476">
        <v>1</v>
      </c>
    </row>
    <row r="587" spans="1:2">
      <c r="A587" t="s">
        <v>1001</v>
      </c>
      <c r="B587" s="476">
        <v>1</v>
      </c>
    </row>
    <row r="588" spans="1:2">
      <c r="A588" t="s">
        <v>1002</v>
      </c>
      <c r="B588" s="476">
        <v>0</v>
      </c>
    </row>
    <row r="589" spans="1:2">
      <c r="A589" t="s">
        <v>1003</v>
      </c>
      <c r="B589" s="476">
        <v>1</v>
      </c>
    </row>
    <row r="590" spans="1:2">
      <c r="A590" t="s">
        <v>1004</v>
      </c>
      <c r="B590" s="476">
        <v>1</v>
      </c>
    </row>
    <row r="591" spans="1:2">
      <c r="A591" t="s">
        <v>1005</v>
      </c>
      <c r="B591" s="476">
        <v>1</v>
      </c>
    </row>
    <row r="592" spans="1:2">
      <c r="A592" t="s">
        <v>1006</v>
      </c>
      <c r="B592" s="476">
        <v>1</v>
      </c>
    </row>
    <row r="593" spans="1:2">
      <c r="A593" t="s">
        <v>1007</v>
      </c>
      <c r="B593" s="476">
        <v>0</v>
      </c>
    </row>
    <row r="594" spans="1:2">
      <c r="A594" t="s">
        <v>1008</v>
      </c>
      <c r="B594" s="476">
        <v>0</v>
      </c>
    </row>
    <row r="595" spans="1:2">
      <c r="A595" t="s">
        <v>1009</v>
      </c>
      <c r="B595" s="476">
        <v>1</v>
      </c>
    </row>
    <row r="596" spans="1:2">
      <c r="A596" t="s">
        <v>1010</v>
      </c>
      <c r="B596" s="476">
        <v>0</v>
      </c>
    </row>
    <row r="597" spans="1:2">
      <c r="A597" t="s">
        <v>1011</v>
      </c>
      <c r="B597" s="476">
        <v>1</v>
      </c>
    </row>
    <row r="598" spans="1:2">
      <c r="A598" t="s">
        <v>1012</v>
      </c>
      <c r="B598" s="476">
        <v>1</v>
      </c>
    </row>
    <row r="599" spans="1:2">
      <c r="A599" t="s">
        <v>1013</v>
      </c>
      <c r="B599" s="476">
        <v>1</v>
      </c>
    </row>
    <row r="600" spans="1:2">
      <c r="A600" t="s">
        <v>1014</v>
      </c>
      <c r="B600" s="476">
        <v>1</v>
      </c>
    </row>
    <row r="601" spans="1:2">
      <c r="A601" t="s">
        <v>1015</v>
      </c>
      <c r="B601" s="476">
        <v>1</v>
      </c>
    </row>
    <row r="602" spans="1:2">
      <c r="A602" t="s">
        <v>1016</v>
      </c>
      <c r="B602" s="476">
        <v>1</v>
      </c>
    </row>
    <row r="603" spans="1:2">
      <c r="A603" t="s">
        <v>1017</v>
      </c>
      <c r="B603" s="476">
        <v>1</v>
      </c>
    </row>
    <row r="604" spans="1:2">
      <c r="A604" t="s">
        <v>1018</v>
      </c>
      <c r="B604" s="476">
        <v>1</v>
      </c>
    </row>
    <row r="605" spans="1:2">
      <c r="A605" t="s">
        <v>1019</v>
      </c>
      <c r="B605" s="476">
        <v>1</v>
      </c>
    </row>
    <row r="606" spans="1:2">
      <c r="A606" t="s">
        <v>2425</v>
      </c>
      <c r="B606" s="476">
        <v>1</v>
      </c>
    </row>
    <row r="607" spans="1:2">
      <c r="A607" t="s">
        <v>1020</v>
      </c>
      <c r="B607" s="476">
        <v>1</v>
      </c>
    </row>
    <row r="608" spans="1:2">
      <c r="A608" t="s">
        <v>1021</v>
      </c>
      <c r="B608" s="476">
        <v>1</v>
      </c>
    </row>
    <row r="609" spans="1:2">
      <c r="A609" t="s">
        <v>1022</v>
      </c>
      <c r="B609" s="476">
        <v>1</v>
      </c>
    </row>
    <row r="610" spans="1:2">
      <c r="A610" t="s">
        <v>1023</v>
      </c>
      <c r="B610" s="476">
        <v>1</v>
      </c>
    </row>
    <row r="611" spans="1:2">
      <c r="A611" t="s">
        <v>1024</v>
      </c>
      <c r="B611" s="476">
        <v>1</v>
      </c>
    </row>
    <row r="612" spans="1:2">
      <c r="A612" t="s">
        <v>1025</v>
      </c>
      <c r="B612" s="476">
        <v>1</v>
      </c>
    </row>
    <row r="613" spans="1:2">
      <c r="A613" t="s">
        <v>1026</v>
      </c>
      <c r="B613" s="476">
        <v>1</v>
      </c>
    </row>
    <row r="614" spans="1:2">
      <c r="A614" t="s">
        <v>1027</v>
      </c>
      <c r="B614" s="476">
        <v>1</v>
      </c>
    </row>
    <row r="615" spans="1:2">
      <c r="A615" t="s">
        <v>1028</v>
      </c>
      <c r="B615" s="476">
        <v>1</v>
      </c>
    </row>
    <row r="616" spans="1:2">
      <c r="A616" t="s">
        <v>1029</v>
      </c>
      <c r="B616" s="476">
        <v>1</v>
      </c>
    </row>
    <row r="617" spans="1:2">
      <c r="A617" t="s">
        <v>1958</v>
      </c>
      <c r="B617" s="476">
        <v>1</v>
      </c>
    </row>
    <row r="618" spans="1:2">
      <c r="A618" t="s">
        <v>1030</v>
      </c>
      <c r="B618" s="476">
        <v>1</v>
      </c>
    </row>
    <row r="619" spans="1:2">
      <c r="A619" t="s">
        <v>1031</v>
      </c>
      <c r="B619" s="476">
        <v>1</v>
      </c>
    </row>
    <row r="620" spans="1:2">
      <c r="A620" t="s">
        <v>1032</v>
      </c>
      <c r="B620" s="476">
        <v>1</v>
      </c>
    </row>
    <row r="621" spans="1:2">
      <c r="A621" t="s">
        <v>1033</v>
      </c>
      <c r="B621" s="476">
        <v>1</v>
      </c>
    </row>
    <row r="622" spans="1:2">
      <c r="A622" t="s">
        <v>1034</v>
      </c>
      <c r="B622" s="476">
        <v>1</v>
      </c>
    </row>
    <row r="623" spans="1:2">
      <c r="A623" t="s">
        <v>1035</v>
      </c>
      <c r="B623" s="476">
        <v>1</v>
      </c>
    </row>
    <row r="624" spans="1:2">
      <c r="A624" t="s">
        <v>1036</v>
      </c>
      <c r="B624" s="476">
        <v>1</v>
      </c>
    </row>
    <row r="625" spans="1:2">
      <c r="A625" t="s">
        <v>1037</v>
      </c>
      <c r="B625" s="476">
        <v>1</v>
      </c>
    </row>
    <row r="626" spans="1:2">
      <c r="A626" t="s">
        <v>1038</v>
      </c>
      <c r="B626" s="476">
        <v>1</v>
      </c>
    </row>
    <row r="627" spans="1:2">
      <c r="A627" t="s">
        <v>1039</v>
      </c>
      <c r="B627" s="476">
        <v>1</v>
      </c>
    </row>
    <row r="628" spans="1:2">
      <c r="A628" t="s">
        <v>1040</v>
      </c>
      <c r="B628" s="476">
        <v>1</v>
      </c>
    </row>
    <row r="629" spans="1:2">
      <c r="A629" t="s">
        <v>1041</v>
      </c>
      <c r="B629" s="476">
        <v>1</v>
      </c>
    </row>
    <row r="630" spans="1:2">
      <c r="A630" t="s">
        <v>1042</v>
      </c>
      <c r="B630" s="476">
        <v>1</v>
      </c>
    </row>
    <row r="631" spans="1:2">
      <c r="A631" t="s">
        <v>1043</v>
      </c>
      <c r="B631" s="476">
        <v>1</v>
      </c>
    </row>
    <row r="632" spans="1:2">
      <c r="A632" t="s">
        <v>1044</v>
      </c>
      <c r="B632" s="476">
        <v>1</v>
      </c>
    </row>
    <row r="633" spans="1:2">
      <c r="A633" t="s">
        <v>1045</v>
      </c>
      <c r="B633" s="476">
        <v>1</v>
      </c>
    </row>
    <row r="634" spans="1:2">
      <c r="A634" t="s">
        <v>2428</v>
      </c>
      <c r="B634" s="476">
        <v>1</v>
      </c>
    </row>
    <row r="635" spans="1:2">
      <c r="A635" t="s">
        <v>2429</v>
      </c>
      <c r="B635" s="476">
        <v>1</v>
      </c>
    </row>
    <row r="636" spans="1:2">
      <c r="A636" t="s">
        <v>1046</v>
      </c>
      <c r="B636" s="476">
        <v>1</v>
      </c>
    </row>
    <row r="637" spans="1:2">
      <c r="A637" t="s">
        <v>1047</v>
      </c>
      <c r="B637" s="476">
        <v>1</v>
      </c>
    </row>
    <row r="638" spans="1:2">
      <c r="A638" t="s">
        <v>1048</v>
      </c>
      <c r="B638" s="476">
        <v>1</v>
      </c>
    </row>
    <row r="639" spans="1:2">
      <c r="A639" t="s">
        <v>1049</v>
      </c>
      <c r="B639" s="476">
        <v>1</v>
      </c>
    </row>
    <row r="640" spans="1:2">
      <c r="A640" t="s">
        <v>1050</v>
      </c>
      <c r="B640" s="476">
        <v>1</v>
      </c>
    </row>
    <row r="641" spans="1:2">
      <c r="A641" t="s">
        <v>1051</v>
      </c>
      <c r="B641" s="476">
        <v>1</v>
      </c>
    </row>
    <row r="642" spans="1:2">
      <c r="A642" t="s">
        <v>1052</v>
      </c>
      <c r="B642" s="476">
        <v>1</v>
      </c>
    </row>
    <row r="643" spans="1:2">
      <c r="A643" t="s">
        <v>1053</v>
      </c>
      <c r="B643" s="476">
        <v>1</v>
      </c>
    </row>
    <row r="644" spans="1:2">
      <c r="A644" t="s">
        <v>1054</v>
      </c>
      <c r="B644" s="476">
        <v>1</v>
      </c>
    </row>
    <row r="645" spans="1:2">
      <c r="A645" t="s">
        <v>1055</v>
      </c>
      <c r="B645" s="476">
        <v>1</v>
      </c>
    </row>
    <row r="646" spans="1:2">
      <c r="A646" t="s">
        <v>1056</v>
      </c>
      <c r="B646" s="476">
        <v>1</v>
      </c>
    </row>
    <row r="647" spans="1:2">
      <c r="A647" t="s">
        <v>1057</v>
      </c>
      <c r="B647" s="476">
        <v>1</v>
      </c>
    </row>
    <row r="648" spans="1:2">
      <c r="A648" t="s">
        <v>1058</v>
      </c>
      <c r="B648" s="476">
        <v>1</v>
      </c>
    </row>
    <row r="649" spans="1:2">
      <c r="A649" t="s">
        <v>1059</v>
      </c>
      <c r="B649" s="476">
        <v>1</v>
      </c>
    </row>
    <row r="650" spans="1:2">
      <c r="A650" t="s">
        <v>1060</v>
      </c>
      <c r="B650" s="476">
        <v>1</v>
      </c>
    </row>
    <row r="651" spans="1:2">
      <c r="A651" t="s">
        <v>1061</v>
      </c>
      <c r="B651" s="476">
        <v>1</v>
      </c>
    </row>
    <row r="652" spans="1:2">
      <c r="A652" t="s">
        <v>1062</v>
      </c>
      <c r="B652" s="476">
        <v>1</v>
      </c>
    </row>
    <row r="653" spans="1:2">
      <c r="A653" t="s">
        <v>1063</v>
      </c>
      <c r="B653" s="476">
        <v>1</v>
      </c>
    </row>
    <row r="654" spans="1:2">
      <c r="A654" t="s">
        <v>2423</v>
      </c>
      <c r="B654" s="476">
        <v>1</v>
      </c>
    </row>
    <row r="655" spans="1:2">
      <c r="A655" t="s">
        <v>1064</v>
      </c>
      <c r="B655" s="476">
        <v>1</v>
      </c>
    </row>
    <row r="656" spans="1:2">
      <c r="A656" t="s">
        <v>1065</v>
      </c>
      <c r="B656" s="476">
        <v>1</v>
      </c>
    </row>
    <row r="657" spans="1:2">
      <c r="A657" t="s">
        <v>1066</v>
      </c>
      <c r="B657" s="476">
        <v>1</v>
      </c>
    </row>
    <row r="658" spans="1:2">
      <c r="A658" t="s">
        <v>1067</v>
      </c>
      <c r="B658" s="476">
        <v>1</v>
      </c>
    </row>
    <row r="659" spans="1:2">
      <c r="A659" t="s">
        <v>1068</v>
      </c>
      <c r="B659" s="476">
        <v>1</v>
      </c>
    </row>
    <row r="660" spans="1:2">
      <c r="A660" t="s">
        <v>1069</v>
      </c>
      <c r="B660" s="476">
        <v>1</v>
      </c>
    </row>
    <row r="661" spans="1:2">
      <c r="A661" t="s">
        <v>2430</v>
      </c>
      <c r="B661" s="476">
        <v>1</v>
      </c>
    </row>
    <row r="662" spans="1:2">
      <c r="A662" t="s">
        <v>1070</v>
      </c>
      <c r="B662" s="476">
        <v>1</v>
      </c>
    </row>
    <row r="663" spans="1:2">
      <c r="A663" t="s">
        <v>1071</v>
      </c>
      <c r="B663" s="476">
        <v>1</v>
      </c>
    </row>
    <row r="664" spans="1:2">
      <c r="A664" t="s">
        <v>1072</v>
      </c>
      <c r="B664" s="476">
        <v>1</v>
      </c>
    </row>
    <row r="665" spans="1:2">
      <c r="A665" t="s">
        <v>1073</v>
      </c>
      <c r="B665" s="476">
        <v>1</v>
      </c>
    </row>
    <row r="666" spans="1:2">
      <c r="A666" t="s">
        <v>1074</v>
      </c>
      <c r="B666" s="476">
        <v>1</v>
      </c>
    </row>
    <row r="667" spans="1:2">
      <c r="A667" t="s">
        <v>1075</v>
      </c>
      <c r="B667" s="476">
        <v>1</v>
      </c>
    </row>
    <row r="668" spans="1:2">
      <c r="A668" t="s">
        <v>1076</v>
      </c>
      <c r="B668" s="476">
        <v>1</v>
      </c>
    </row>
    <row r="669" spans="1:2">
      <c r="A669" t="s">
        <v>1077</v>
      </c>
      <c r="B669" s="476">
        <v>1</v>
      </c>
    </row>
    <row r="670" spans="1:2">
      <c r="A670" t="s">
        <v>1078</v>
      </c>
      <c r="B670" s="476">
        <v>1</v>
      </c>
    </row>
    <row r="671" spans="1:2">
      <c r="A671" t="s">
        <v>1079</v>
      </c>
      <c r="B671" s="476">
        <v>1</v>
      </c>
    </row>
    <row r="672" spans="1:2">
      <c r="A672" t="s">
        <v>1080</v>
      </c>
      <c r="B672" s="476">
        <v>1</v>
      </c>
    </row>
    <row r="673" spans="1:2">
      <c r="A673" t="s">
        <v>1081</v>
      </c>
      <c r="B673" s="476">
        <v>1</v>
      </c>
    </row>
    <row r="674" spans="1:2">
      <c r="A674" t="s">
        <v>1082</v>
      </c>
      <c r="B674" s="476">
        <v>1</v>
      </c>
    </row>
    <row r="675" spans="1:2">
      <c r="A675" t="s">
        <v>1083</v>
      </c>
      <c r="B675" s="476">
        <v>1</v>
      </c>
    </row>
    <row r="676" spans="1:2">
      <c r="A676" t="s">
        <v>1084</v>
      </c>
      <c r="B676" s="476">
        <v>1</v>
      </c>
    </row>
    <row r="677" spans="1:2">
      <c r="A677" t="s">
        <v>1085</v>
      </c>
      <c r="B677" s="476">
        <v>1</v>
      </c>
    </row>
    <row r="678" spans="1:2">
      <c r="A678" t="s">
        <v>1086</v>
      </c>
      <c r="B678" s="476">
        <v>1</v>
      </c>
    </row>
    <row r="679" spans="1:2">
      <c r="A679" t="s">
        <v>1087</v>
      </c>
      <c r="B679" s="476">
        <v>1</v>
      </c>
    </row>
    <row r="680" spans="1:2">
      <c r="A680" t="s">
        <v>1088</v>
      </c>
      <c r="B680" s="476">
        <v>1</v>
      </c>
    </row>
    <row r="681" spans="1:2">
      <c r="A681" t="s">
        <v>1089</v>
      </c>
      <c r="B681" s="476">
        <v>1</v>
      </c>
    </row>
    <row r="682" spans="1:2">
      <c r="A682" t="s">
        <v>1090</v>
      </c>
      <c r="B682" s="476">
        <v>1</v>
      </c>
    </row>
    <row r="683" spans="1:2">
      <c r="A683" t="s">
        <v>1091</v>
      </c>
      <c r="B683" s="476">
        <v>1</v>
      </c>
    </row>
    <row r="684" spans="1:2">
      <c r="A684" t="s">
        <v>1092</v>
      </c>
      <c r="B684" s="476">
        <v>1</v>
      </c>
    </row>
    <row r="685" spans="1:2">
      <c r="A685" t="s">
        <v>1093</v>
      </c>
      <c r="B685" s="476">
        <v>1</v>
      </c>
    </row>
    <row r="686" spans="1:2">
      <c r="A686" t="s">
        <v>1094</v>
      </c>
      <c r="B686" s="476">
        <v>1</v>
      </c>
    </row>
    <row r="687" spans="1:2">
      <c r="A687" t="s">
        <v>1095</v>
      </c>
      <c r="B687" s="476">
        <v>1</v>
      </c>
    </row>
    <row r="688" spans="1:2">
      <c r="A688" t="s">
        <v>1096</v>
      </c>
      <c r="B688" s="476">
        <v>0</v>
      </c>
    </row>
    <row r="689" spans="1:2">
      <c r="A689" t="s">
        <v>1097</v>
      </c>
      <c r="B689" s="476">
        <v>1</v>
      </c>
    </row>
    <row r="690" spans="1:2">
      <c r="A690" t="s">
        <v>1098</v>
      </c>
      <c r="B690" s="476">
        <v>1</v>
      </c>
    </row>
    <row r="691" spans="1:2">
      <c r="A691" t="s">
        <v>1099</v>
      </c>
      <c r="B691" s="476">
        <v>1</v>
      </c>
    </row>
    <row r="692" spans="1:2">
      <c r="A692" t="s">
        <v>1100</v>
      </c>
      <c r="B692" s="476">
        <v>1</v>
      </c>
    </row>
    <row r="693" spans="1:2">
      <c r="A693" t="s">
        <v>1101</v>
      </c>
      <c r="B693" s="476">
        <v>1</v>
      </c>
    </row>
    <row r="694" spans="1:2">
      <c r="A694" t="s">
        <v>1102</v>
      </c>
      <c r="B694" s="476">
        <v>1</v>
      </c>
    </row>
    <row r="695" spans="1:2">
      <c r="A695" t="s">
        <v>1103</v>
      </c>
      <c r="B695" s="476">
        <v>1</v>
      </c>
    </row>
    <row r="696" spans="1:2">
      <c r="A696" t="s">
        <v>1104</v>
      </c>
      <c r="B696" s="476">
        <v>1</v>
      </c>
    </row>
    <row r="697" spans="1:2">
      <c r="A697" t="s">
        <v>1105</v>
      </c>
      <c r="B697" s="476">
        <v>1</v>
      </c>
    </row>
    <row r="698" spans="1:2">
      <c r="A698" t="s">
        <v>1106</v>
      </c>
      <c r="B698" s="476">
        <v>1</v>
      </c>
    </row>
    <row r="699" spans="1:2">
      <c r="A699" t="s">
        <v>1107</v>
      </c>
      <c r="B699" s="476">
        <v>1</v>
      </c>
    </row>
    <row r="700" spans="1:2">
      <c r="A700" t="s">
        <v>1108</v>
      </c>
      <c r="B700" s="476">
        <v>1</v>
      </c>
    </row>
    <row r="701" spans="1:2">
      <c r="A701" t="s">
        <v>1109</v>
      </c>
      <c r="B701" s="476">
        <v>1</v>
      </c>
    </row>
    <row r="702" spans="1:2">
      <c r="A702" t="s">
        <v>1110</v>
      </c>
      <c r="B702" s="476">
        <v>1</v>
      </c>
    </row>
    <row r="703" spans="1:2">
      <c r="A703" t="s">
        <v>1111</v>
      </c>
      <c r="B703" s="476">
        <v>1</v>
      </c>
    </row>
    <row r="704" spans="1:2">
      <c r="A704" t="s">
        <v>1112</v>
      </c>
      <c r="B704" s="476">
        <v>0</v>
      </c>
    </row>
    <row r="705" spans="1:2">
      <c r="A705" t="s">
        <v>1113</v>
      </c>
      <c r="B705" s="476">
        <v>1</v>
      </c>
    </row>
    <row r="706" spans="1:2">
      <c r="A706" t="s">
        <v>1114</v>
      </c>
      <c r="B706" s="476">
        <v>1</v>
      </c>
    </row>
    <row r="707" spans="1:2">
      <c r="A707" t="s">
        <v>1115</v>
      </c>
      <c r="B707" s="476">
        <v>1</v>
      </c>
    </row>
    <row r="708" spans="1:2">
      <c r="A708" t="s">
        <v>2162</v>
      </c>
      <c r="B708" s="476">
        <v>1</v>
      </c>
    </row>
    <row r="709" spans="1:2">
      <c r="A709" t="s">
        <v>1116</v>
      </c>
      <c r="B709" s="476">
        <v>1</v>
      </c>
    </row>
    <row r="710" spans="1:2">
      <c r="A710" t="s">
        <v>1117</v>
      </c>
      <c r="B710" s="476">
        <v>1</v>
      </c>
    </row>
    <row r="711" spans="1:2">
      <c r="A711" t="s">
        <v>1118</v>
      </c>
      <c r="B711" s="476">
        <v>1</v>
      </c>
    </row>
    <row r="712" spans="1:2">
      <c r="A712" t="s">
        <v>1119</v>
      </c>
      <c r="B712" s="476">
        <v>1</v>
      </c>
    </row>
    <row r="713" spans="1:2">
      <c r="A713" t="s">
        <v>1120</v>
      </c>
      <c r="B713" s="476">
        <v>1</v>
      </c>
    </row>
    <row r="714" spans="1:2">
      <c r="A714" t="s">
        <v>1121</v>
      </c>
      <c r="B714" s="476">
        <v>1</v>
      </c>
    </row>
    <row r="715" spans="1:2">
      <c r="A715" t="s">
        <v>1122</v>
      </c>
      <c r="B715" s="476">
        <v>1</v>
      </c>
    </row>
    <row r="716" spans="1:2">
      <c r="A716" t="s">
        <v>1123</v>
      </c>
      <c r="B716" s="476">
        <v>1</v>
      </c>
    </row>
    <row r="717" spans="1:2">
      <c r="A717" t="s">
        <v>1124</v>
      </c>
      <c r="B717" s="476">
        <v>1</v>
      </c>
    </row>
    <row r="718" spans="1:2">
      <c r="A718" t="s">
        <v>1125</v>
      </c>
      <c r="B718" s="476">
        <v>1</v>
      </c>
    </row>
    <row r="719" spans="1:2">
      <c r="A719" t="s">
        <v>1126</v>
      </c>
      <c r="B719" s="476">
        <v>1</v>
      </c>
    </row>
    <row r="720" spans="1:2">
      <c r="A720" t="s">
        <v>1127</v>
      </c>
      <c r="B720" s="476">
        <v>0</v>
      </c>
    </row>
    <row r="721" spans="1:2">
      <c r="A721" t="s">
        <v>1128</v>
      </c>
      <c r="B721" s="476">
        <v>1</v>
      </c>
    </row>
    <row r="722" spans="1:2">
      <c r="A722" t="s">
        <v>1129</v>
      </c>
      <c r="B722" s="476">
        <v>1</v>
      </c>
    </row>
    <row r="723" spans="1:2">
      <c r="A723" t="s">
        <v>1130</v>
      </c>
      <c r="B723" s="476">
        <v>1</v>
      </c>
    </row>
    <row r="724" spans="1:2">
      <c r="A724" t="s">
        <v>2436</v>
      </c>
      <c r="B724" s="476">
        <v>1</v>
      </c>
    </row>
    <row r="725" spans="1:2">
      <c r="A725" t="s">
        <v>1131</v>
      </c>
      <c r="B725" s="476">
        <v>0</v>
      </c>
    </row>
    <row r="726" spans="1:2">
      <c r="A726" t="s">
        <v>1132</v>
      </c>
      <c r="B726" s="476">
        <v>1</v>
      </c>
    </row>
    <row r="727" spans="1:2">
      <c r="A727" t="s">
        <v>1133</v>
      </c>
      <c r="B727" s="476">
        <v>1</v>
      </c>
    </row>
    <row r="728" spans="1:2">
      <c r="A728" t="s">
        <v>1134</v>
      </c>
      <c r="B728" s="476">
        <v>0</v>
      </c>
    </row>
    <row r="729" spans="1:2">
      <c r="A729" t="s">
        <v>1135</v>
      </c>
      <c r="B729" s="476">
        <v>1</v>
      </c>
    </row>
    <row r="730" spans="1:2">
      <c r="A730" t="s">
        <v>1136</v>
      </c>
      <c r="B730" s="476">
        <v>1</v>
      </c>
    </row>
    <row r="731" spans="1:2">
      <c r="A731" t="s">
        <v>1137</v>
      </c>
      <c r="B731" s="476">
        <v>1</v>
      </c>
    </row>
    <row r="732" spans="1:2">
      <c r="A732" t="s">
        <v>1138</v>
      </c>
      <c r="B732" s="476">
        <v>1</v>
      </c>
    </row>
    <row r="733" spans="1:2">
      <c r="A733" t="s">
        <v>1139</v>
      </c>
      <c r="B733" s="476">
        <v>1</v>
      </c>
    </row>
    <row r="734" spans="1:2">
      <c r="A734" t="s">
        <v>1140</v>
      </c>
      <c r="B734" s="476">
        <v>1</v>
      </c>
    </row>
    <row r="735" spans="1:2">
      <c r="A735" t="s">
        <v>1141</v>
      </c>
      <c r="B735" s="476">
        <v>1</v>
      </c>
    </row>
    <row r="736" spans="1:2">
      <c r="A736" t="s">
        <v>2437</v>
      </c>
      <c r="B736" s="476">
        <v>1</v>
      </c>
    </row>
    <row r="737" spans="1:2">
      <c r="A737" t="s">
        <v>1142</v>
      </c>
      <c r="B737" s="476">
        <v>1</v>
      </c>
    </row>
    <row r="738" spans="1:2">
      <c r="A738" t="s">
        <v>1143</v>
      </c>
      <c r="B738" s="476">
        <v>1</v>
      </c>
    </row>
    <row r="739" spans="1:2">
      <c r="A739" t="s">
        <v>1144</v>
      </c>
      <c r="B739" s="476">
        <v>7</v>
      </c>
    </row>
  </sheetData>
  <pageMargins left="0.7" right="0.7" top="0.75" bottom="0.75" header="0.3" footer="0.3"/>
  <pageSetup paperSize="9" orientation="portrait"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tabColor theme="4" tint="0.79998168889431442"/>
  </sheetPr>
  <dimension ref="A1:K222"/>
  <sheetViews>
    <sheetView zoomScale="70" zoomScaleNormal="70" workbookViewId="0">
      <selection activeCell="A17" sqref="A17"/>
    </sheetView>
  </sheetViews>
  <sheetFormatPr defaultColWidth="8.58203125" defaultRowHeight="15.5"/>
  <cols>
    <col min="1" max="1" width="40.5" style="13" customWidth="1"/>
    <col min="2" max="4" width="8.58203125" style="13"/>
    <col min="5" max="5" width="43.58203125" style="13" customWidth="1"/>
    <col min="6" max="16384" width="8.58203125" style="13"/>
  </cols>
  <sheetData>
    <row r="1" spans="1:11">
      <c r="A1" s="14" t="s">
        <v>1279</v>
      </c>
      <c r="B1" s="13" t="s">
        <v>1280</v>
      </c>
      <c r="C1" s="13" t="s">
        <v>1281</v>
      </c>
      <c r="D1" s="13" t="s">
        <v>1282</v>
      </c>
      <c r="E1" s="13" t="s">
        <v>1283</v>
      </c>
      <c r="F1" s="13" t="s">
        <v>1284</v>
      </c>
      <c r="G1" s="13" t="s">
        <v>1285</v>
      </c>
      <c r="H1" s="13" t="s">
        <v>1286</v>
      </c>
      <c r="I1" s="13" t="s">
        <v>1287</v>
      </c>
      <c r="J1" s="13" t="s">
        <v>1288</v>
      </c>
      <c r="K1" s="13" t="s">
        <v>1289</v>
      </c>
    </row>
    <row r="2" spans="1:11">
      <c r="A2" s="15" t="str">
        <f>VLOOKUP(E2,Table1[[#All],[Campo]],1,0)</f>
        <v>cod_soc</v>
      </c>
      <c r="B2" s="13" t="s">
        <v>1290</v>
      </c>
      <c r="C2" s="13" t="s">
        <v>1291</v>
      </c>
      <c r="D2" s="13" t="s">
        <v>1292</v>
      </c>
      <c r="E2" s="13" t="s">
        <v>1293</v>
      </c>
      <c r="F2" s="13" t="s">
        <v>1294</v>
      </c>
      <c r="G2" s="13" t="s">
        <v>1295</v>
      </c>
      <c r="H2" s="13" t="s">
        <v>621</v>
      </c>
      <c r="I2" s="13">
        <v>1096295</v>
      </c>
      <c r="J2" s="13">
        <v>0</v>
      </c>
      <c r="K2" s="13">
        <v>0</v>
      </c>
    </row>
    <row r="3" spans="1:11">
      <c r="A3" s="15" t="str">
        <f>VLOOKUP(E3,Table1[[#All],[Campo]],1,0)</f>
        <v>dt_rfrnc</v>
      </c>
      <c r="B3" s="13" t="s">
        <v>1296</v>
      </c>
      <c r="C3" s="13" t="s">
        <v>1297</v>
      </c>
      <c r="D3" s="13" t="s">
        <v>1292</v>
      </c>
      <c r="E3" s="13" t="s">
        <v>1298</v>
      </c>
      <c r="F3" s="13" t="s">
        <v>1299</v>
      </c>
      <c r="G3" s="13" t="s">
        <v>1295</v>
      </c>
      <c r="H3" s="13" t="s">
        <v>621</v>
      </c>
      <c r="I3" s="13">
        <v>1096295</v>
      </c>
      <c r="J3" s="13">
        <v>0</v>
      </c>
      <c r="K3" s="13">
        <v>0</v>
      </c>
    </row>
    <row r="4" spans="1:11">
      <c r="A4" s="15" t="str">
        <f>VLOOKUP(E4,Table1[[#All],[Campo]],1,0)</f>
        <v>cod_soc</v>
      </c>
      <c r="B4" s="13" t="s">
        <v>1300</v>
      </c>
      <c r="C4" s="13" t="s">
        <v>1291</v>
      </c>
      <c r="D4" s="13" t="s">
        <v>1301</v>
      </c>
      <c r="E4" s="13" t="s">
        <v>1293</v>
      </c>
      <c r="F4" s="13" t="s">
        <v>1294</v>
      </c>
      <c r="G4" s="13" t="s">
        <v>1302</v>
      </c>
      <c r="H4" s="13" t="s">
        <v>621</v>
      </c>
      <c r="I4" s="13">
        <v>2490665</v>
      </c>
      <c r="J4" s="13">
        <v>0</v>
      </c>
      <c r="K4" s="13">
        <v>0</v>
      </c>
    </row>
    <row r="5" spans="1:11">
      <c r="A5" s="15" t="str">
        <f>VLOOKUP(E5,Table1[[#All],[Campo]],1,0)</f>
        <v>dt_rfrnc</v>
      </c>
      <c r="B5" s="13" t="s">
        <v>1303</v>
      </c>
      <c r="C5" s="13" t="s">
        <v>1304</v>
      </c>
      <c r="D5" s="13" t="s">
        <v>1301</v>
      </c>
      <c r="E5" s="13" t="s">
        <v>1298</v>
      </c>
      <c r="F5" s="13" t="s">
        <v>1299</v>
      </c>
      <c r="G5" s="13" t="s">
        <v>1302</v>
      </c>
      <c r="H5" s="13" t="s">
        <v>621</v>
      </c>
      <c r="I5" s="13">
        <v>2490665</v>
      </c>
      <c r="J5" s="13">
        <v>0</v>
      </c>
      <c r="K5" s="13">
        <v>0</v>
      </c>
    </row>
    <row r="6" spans="1:11">
      <c r="A6" s="15" t="str">
        <f>VLOOKUP(E6,Table1[[#All],[Campo]],1,0)</f>
        <v>instrmnt_id</v>
      </c>
      <c r="B6" s="13" t="s">
        <v>1305</v>
      </c>
      <c r="C6" s="13" t="s">
        <v>1306</v>
      </c>
      <c r="D6" s="13" t="s">
        <v>1301</v>
      </c>
      <c r="E6" s="13" t="s">
        <v>1307</v>
      </c>
      <c r="F6" s="13" t="s">
        <v>1294</v>
      </c>
      <c r="G6" s="13" t="s">
        <v>1302</v>
      </c>
      <c r="H6" s="13" t="s">
        <v>621</v>
      </c>
      <c r="I6" s="13">
        <v>2490665</v>
      </c>
      <c r="J6" s="13">
        <v>0</v>
      </c>
      <c r="K6" s="13">
        <v>0</v>
      </c>
    </row>
    <row r="7" spans="1:11">
      <c r="A7" s="15" t="str">
        <f>VLOOKUP(E7,Table1[[#All],[Campo]],1,0)</f>
        <v>cod_soc</v>
      </c>
      <c r="B7" s="13" t="s">
        <v>1308</v>
      </c>
      <c r="C7" s="13" t="s">
        <v>1291</v>
      </c>
      <c r="D7" s="13" t="s">
        <v>1309</v>
      </c>
      <c r="E7" s="13" t="s">
        <v>1293</v>
      </c>
      <c r="F7" s="13" t="s">
        <v>1294</v>
      </c>
      <c r="G7" s="13" t="s">
        <v>1310</v>
      </c>
      <c r="H7" s="13" t="s">
        <v>621</v>
      </c>
      <c r="I7" s="13">
        <v>2002411</v>
      </c>
      <c r="J7" s="13">
        <v>0</v>
      </c>
      <c r="K7" s="13">
        <v>0</v>
      </c>
    </row>
    <row r="8" spans="1:11">
      <c r="A8" s="15" t="str">
        <f>VLOOKUP(E8,Table1[[#All],[Campo]],1,0)</f>
        <v>dt_rfrnc</v>
      </c>
      <c r="B8" s="13" t="s">
        <v>1311</v>
      </c>
      <c r="C8" s="13" t="s">
        <v>1304</v>
      </c>
      <c r="D8" s="13" t="s">
        <v>1309</v>
      </c>
      <c r="E8" s="13" t="s">
        <v>1298</v>
      </c>
      <c r="F8" s="13" t="s">
        <v>1299</v>
      </c>
      <c r="G8" s="13" t="s">
        <v>1310</v>
      </c>
      <c r="H8" s="13" t="s">
        <v>621</v>
      </c>
      <c r="I8" s="13">
        <v>2002411</v>
      </c>
      <c r="J8" s="13">
        <v>0</v>
      </c>
      <c r="K8" s="13">
        <v>0</v>
      </c>
    </row>
    <row r="9" spans="1:11">
      <c r="A9" s="15" t="str">
        <f>VLOOKUP(E9,Table1[[#All],[Campo]],1,0)</f>
        <v>instrmnt_id</v>
      </c>
      <c r="B9" s="13" t="s">
        <v>1312</v>
      </c>
      <c r="C9" s="13" t="s">
        <v>1306</v>
      </c>
      <c r="D9" s="13" t="s">
        <v>1309</v>
      </c>
      <c r="E9" s="13" t="s">
        <v>1307</v>
      </c>
      <c r="F9" s="13" t="s">
        <v>1294</v>
      </c>
      <c r="G9" s="13" t="s">
        <v>1310</v>
      </c>
      <c r="H9" s="13" t="s">
        <v>621</v>
      </c>
      <c r="I9" s="13">
        <v>2002411</v>
      </c>
      <c r="J9" s="13">
        <v>0</v>
      </c>
      <c r="K9" s="13">
        <v>0</v>
      </c>
    </row>
    <row r="10" spans="1:11">
      <c r="A10" s="15" t="str">
        <f>VLOOKUP(E10,Table1[[#All],[Campo]],1,0)</f>
        <v>dflt_stts_instrmnt</v>
      </c>
      <c r="B10" s="13" t="s">
        <v>1313</v>
      </c>
      <c r="C10" s="13" t="s">
        <v>1314</v>
      </c>
      <c r="D10" s="13" t="s">
        <v>1315</v>
      </c>
      <c r="E10" s="13" t="s">
        <v>1316</v>
      </c>
      <c r="F10" s="13" t="s">
        <v>1317</v>
      </c>
      <c r="G10" s="13" t="s">
        <v>1310</v>
      </c>
      <c r="H10" s="13" t="s">
        <v>1318</v>
      </c>
      <c r="I10" s="13">
        <v>2002411</v>
      </c>
      <c r="J10" s="13">
        <v>96182</v>
      </c>
      <c r="K10" s="13">
        <v>4.8033000000000001</v>
      </c>
    </row>
    <row r="11" spans="1:11">
      <c r="A11" s="15" t="str">
        <f>VLOOKUP(E11,Table1[[#All],[Campo]],1,0)</f>
        <v>prfrmng_stts</v>
      </c>
      <c r="B11" s="13" t="s">
        <v>1319</v>
      </c>
      <c r="C11" s="13" t="s">
        <v>1320</v>
      </c>
      <c r="D11" s="13" t="s">
        <v>1315</v>
      </c>
      <c r="E11" s="13" t="s">
        <v>1321</v>
      </c>
      <c r="F11" s="13" t="s">
        <v>1317</v>
      </c>
      <c r="G11" s="13" t="s">
        <v>1310</v>
      </c>
      <c r="H11" s="13" t="s">
        <v>621</v>
      </c>
      <c r="I11" s="13">
        <v>2002411</v>
      </c>
      <c r="J11" s="13">
        <v>0</v>
      </c>
      <c r="K11" s="13">
        <v>0</v>
      </c>
    </row>
    <row r="12" spans="1:11">
      <c r="A12" s="15" t="str">
        <f>VLOOKUP(E12,Table1[[#All],[Campo]],1,0)</f>
        <v>lcl_instmrnt_id</v>
      </c>
      <c r="B12" s="13" t="s">
        <v>1322</v>
      </c>
      <c r="C12" s="13" t="s">
        <v>1323</v>
      </c>
      <c r="D12" s="13" t="s">
        <v>1309</v>
      </c>
      <c r="E12" s="13" t="s">
        <v>1324</v>
      </c>
      <c r="F12" s="13" t="s">
        <v>1294</v>
      </c>
      <c r="G12" s="13" t="s">
        <v>1310</v>
      </c>
      <c r="H12" s="13" t="s">
        <v>1318</v>
      </c>
      <c r="I12" s="13">
        <v>2002411</v>
      </c>
      <c r="J12" s="13">
        <v>2002411</v>
      </c>
      <c r="K12" s="13">
        <v>100</v>
      </c>
    </row>
    <row r="13" spans="1:11">
      <c r="A13" s="15" t="str">
        <f>VLOOKUP(E13,Table1[[#All],[Campo]],1,0)</f>
        <v>sstnbl_indctr</v>
      </c>
      <c r="B13" s="13" t="s">
        <v>1325</v>
      </c>
      <c r="C13" s="13" t="s">
        <v>1326</v>
      </c>
      <c r="D13" s="13" t="s">
        <v>1315</v>
      </c>
      <c r="E13" s="13" t="s">
        <v>1327</v>
      </c>
      <c r="F13" s="13" t="s">
        <v>1328</v>
      </c>
      <c r="G13" s="13" t="s">
        <v>1310</v>
      </c>
      <c r="H13" s="13" t="s">
        <v>1318</v>
      </c>
      <c r="I13" s="13">
        <v>2002318</v>
      </c>
      <c r="J13" s="13">
        <v>2002318</v>
      </c>
      <c r="K13" s="13">
        <v>100</v>
      </c>
    </row>
    <row r="14" spans="1:11">
      <c r="A14" s="15" t="str">
        <f>VLOOKUP(E14,Table1[[#All],[Campo]],1,0)</f>
        <v>sstnbl_ctgry</v>
      </c>
      <c r="B14" s="13" t="s">
        <v>1329</v>
      </c>
      <c r="C14" s="13" t="s">
        <v>1330</v>
      </c>
      <c r="D14" s="13" t="s">
        <v>1315</v>
      </c>
      <c r="E14" s="13" t="s">
        <v>1331</v>
      </c>
      <c r="F14" s="13" t="s">
        <v>1328</v>
      </c>
      <c r="G14" s="13" t="s">
        <v>1310</v>
      </c>
      <c r="H14" s="13" t="s">
        <v>1318</v>
      </c>
      <c r="I14" s="13">
        <v>2002318</v>
      </c>
      <c r="J14" s="13">
        <v>2002318</v>
      </c>
      <c r="K14" s="13">
        <v>100</v>
      </c>
    </row>
    <row r="15" spans="1:11">
      <c r="A15" s="15" t="str">
        <f>VLOOKUP(E15,Table1[[#All],[Campo]],1,0)</f>
        <v>NW_BSNSS</v>
      </c>
      <c r="B15" s="13" t="s">
        <v>1332</v>
      </c>
      <c r="C15" s="13" t="s">
        <v>1333</v>
      </c>
      <c r="D15" s="13" t="s">
        <v>1315</v>
      </c>
      <c r="E15" s="13" t="s">
        <v>1334</v>
      </c>
      <c r="F15" s="13" t="s">
        <v>1328</v>
      </c>
      <c r="G15" s="13" t="s">
        <v>1310</v>
      </c>
      <c r="H15" s="13" t="s">
        <v>1318</v>
      </c>
      <c r="I15" s="13">
        <v>2002411</v>
      </c>
      <c r="J15" s="13">
        <v>2002411</v>
      </c>
      <c r="K15" s="13">
        <v>100</v>
      </c>
    </row>
    <row r="16" spans="1:11">
      <c r="A16" s="15" t="e">
        <f>VLOOKUP(E16,Table1[[#All],[Campo]],1,0)</f>
        <v>#N/A</v>
      </c>
      <c r="B16" s="13" t="s">
        <v>1335</v>
      </c>
      <c r="C16" s="13" t="s">
        <v>1336</v>
      </c>
      <c r="D16" s="13" t="s">
        <v>1315</v>
      </c>
      <c r="E16" s="13" t="s">
        <v>1337</v>
      </c>
      <c r="F16" s="13" t="s">
        <v>1328</v>
      </c>
      <c r="G16" s="13" t="s">
        <v>1310</v>
      </c>
      <c r="H16" s="13" t="s">
        <v>1318</v>
      </c>
      <c r="I16" s="13">
        <v>2002411</v>
      </c>
      <c r="J16" s="13">
        <v>2002411</v>
      </c>
      <c r="K16" s="13">
        <v>100</v>
      </c>
    </row>
    <row r="17" spans="1:11">
      <c r="A17" s="15" t="e">
        <f>VLOOKUP(E17,Table1[[#All],[Campo]],1,0)</f>
        <v>#N/A</v>
      </c>
      <c r="B17" s="13" t="s">
        <v>1338</v>
      </c>
      <c r="C17" s="13" t="s">
        <v>1339</v>
      </c>
      <c r="D17" s="13" t="s">
        <v>1315</v>
      </c>
      <c r="E17" s="13" t="s">
        <v>1340</v>
      </c>
      <c r="F17" s="13" t="s">
        <v>1328</v>
      </c>
      <c r="G17" s="13" t="s">
        <v>1310</v>
      </c>
      <c r="H17" s="13" t="s">
        <v>1318</v>
      </c>
      <c r="I17" s="13">
        <v>2002411</v>
      </c>
      <c r="J17" s="13">
        <v>2002411</v>
      </c>
      <c r="K17" s="13">
        <v>100</v>
      </c>
    </row>
    <row r="18" spans="1:11">
      <c r="A18" s="15" t="e">
        <f>VLOOKUP(E18,Table1[[#All],[Campo]],1,0)</f>
        <v>#N/A</v>
      </c>
      <c r="B18" s="13" t="s">
        <v>1341</v>
      </c>
      <c r="C18" s="13" t="s">
        <v>1342</v>
      </c>
      <c r="D18" s="13" t="s">
        <v>1315</v>
      </c>
      <c r="E18" s="13" t="s">
        <v>1343</v>
      </c>
      <c r="F18" s="13" t="s">
        <v>1328</v>
      </c>
      <c r="G18" s="13" t="s">
        <v>1310</v>
      </c>
      <c r="H18" s="13" t="s">
        <v>1318</v>
      </c>
      <c r="I18" s="13">
        <v>2002411</v>
      </c>
      <c r="J18" s="13">
        <v>2002411</v>
      </c>
      <c r="K18" s="13">
        <v>100</v>
      </c>
    </row>
    <row r="19" spans="1:11">
      <c r="A19" s="15" t="s">
        <v>1344</v>
      </c>
      <c r="B19" s="13" t="s">
        <v>1345</v>
      </c>
      <c r="C19" s="13" t="s">
        <v>1346</v>
      </c>
      <c r="D19" s="13" t="s">
        <v>1315</v>
      </c>
      <c r="E19" s="13" t="s">
        <v>1347</v>
      </c>
      <c r="F19" s="13" t="s">
        <v>1328</v>
      </c>
      <c r="G19" s="13" t="s">
        <v>1310</v>
      </c>
      <c r="H19" s="13" t="s">
        <v>1318</v>
      </c>
      <c r="I19" s="13">
        <v>2002411</v>
      </c>
      <c r="J19" s="13">
        <v>2002411</v>
      </c>
      <c r="K19" s="13">
        <v>100</v>
      </c>
    </row>
    <row r="20" spans="1:11">
      <c r="A20" s="15" t="str">
        <f>VLOOKUP(E20,Table1[[#All],[Campo]],1,0)</f>
        <v>idcmb</v>
      </c>
      <c r="B20" s="13" t="s">
        <v>1348</v>
      </c>
      <c r="C20" s="13" t="s">
        <v>1349</v>
      </c>
      <c r="D20" s="13" t="s">
        <v>1309</v>
      </c>
      <c r="E20" s="13" t="s">
        <v>1350</v>
      </c>
      <c r="F20" s="13" t="s">
        <v>1294</v>
      </c>
      <c r="G20" s="13" t="s">
        <v>1310</v>
      </c>
      <c r="H20" s="13" t="s">
        <v>1318</v>
      </c>
      <c r="I20" s="13">
        <v>2002411</v>
      </c>
      <c r="J20" s="13">
        <v>1</v>
      </c>
      <c r="K20" s="13">
        <v>0</v>
      </c>
    </row>
    <row r="21" spans="1:11">
      <c r="A21" s="15" t="str">
        <f>VLOOKUP(E21,Table1[[#All],[Campo]],1,0)</f>
        <v>cod_soc</v>
      </c>
      <c r="B21" s="13" t="s">
        <v>1351</v>
      </c>
      <c r="C21" s="13" t="s">
        <v>1291</v>
      </c>
      <c r="D21" s="13" t="s">
        <v>1352</v>
      </c>
      <c r="E21" s="13" t="s">
        <v>1293</v>
      </c>
      <c r="F21" s="13" t="s">
        <v>1294</v>
      </c>
      <c r="G21" s="13" t="s">
        <v>1353</v>
      </c>
      <c r="H21" s="13" t="s">
        <v>621</v>
      </c>
      <c r="I21" s="13">
        <v>731165</v>
      </c>
      <c r="J21" s="13">
        <v>0</v>
      </c>
      <c r="K21" s="13">
        <v>0</v>
      </c>
    </row>
    <row r="22" spans="1:11">
      <c r="A22" s="15" t="str">
        <f>VLOOKUP(E22,Table1[[#All],[Campo]],1,0)</f>
        <v>dt_rfrnc</v>
      </c>
      <c r="B22" s="13" t="s">
        <v>1354</v>
      </c>
      <c r="C22" s="13" t="s">
        <v>1304</v>
      </c>
      <c r="D22" s="13" t="s">
        <v>1352</v>
      </c>
      <c r="E22" s="13" t="s">
        <v>1298</v>
      </c>
      <c r="F22" s="13" t="s">
        <v>1299</v>
      </c>
      <c r="G22" s="13" t="s">
        <v>1353</v>
      </c>
      <c r="H22" s="13" t="s">
        <v>621</v>
      </c>
      <c r="I22" s="13">
        <v>731165</v>
      </c>
      <c r="J22" s="13">
        <v>0</v>
      </c>
      <c r="K22" s="13">
        <v>0</v>
      </c>
    </row>
    <row r="23" spans="1:11">
      <c r="A23" s="15" t="str">
        <f>VLOOKUP(E23,Table1[[#All],[Campo]],1,0)</f>
        <v>instrmnt_id</v>
      </c>
      <c r="B23" s="13" t="s">
        <v>1355</v>
      </c>
      <c r="C23" s="13" t="s">
        <v>1306</v>
      </c>
      <c r="D23" s="13" t="s">
        <v>1352</v>
      </c>
      <c r="E23" s="13" t="s">
        <v>1307</v>
      </c>
      <c r="F23" s="13" t="s">
        <v>1294</v>
      </c>
      <c r="G23" s="13" t="s">
        <v>1353</v>
      </c>
      <c r="H23" s="13" t="s">
        <v>621</v>
      </c>
      <c r="I23" s="13">
        <v>731165</v>
      </c>
      <c r="J23" s="13">
        <v>0</v>
      </c>
      <c r="K23" s="13">
        <v>0</v>
      </c>
    </row>
    <row r="24" spans="1:11">
      <c r="A24" s="15" t="str">
        <f>VLOOKUP(E24,Table1[[#All],[Campo]],1,0)</f>
        <v>cod_soc</v>
      </c>
      <c r="B24" s="13" t="s">
        <v>1356</v>
      </c>
      <c r="C24" s="13" t="s">
        <v>1291</v>
      </c>
      <c r="D24" s="13" t="s">
        <v>1357</v>
      </c>
      <c r="E24" s="13" t="s">
        <v>1293</v>
      </c>
      <c r="F24" s="13" t="s">
        <v>1294</v>
      </c>
      <c r="G24" s="13" t="s">
        <v>1358</v>
      </c>
      <c r="H24" s="13" t="s">
        <v>621</v>
      </c>
      <c r="I24" s="13">
        <v>456960</v>
      </c>
      <c r="J24" s="13">
        <v>0</v>
      </c>
      <c r="K24" s="13">
        <v>0</v>
      </c>
    </row>
    <row r="25" spans="1:11">
      <c r="A25" s="15" t="str">
        <f>VLOOKUP(E25,Table1[[#All],[Campo]],1,0)</f>
        <v>dt_rfrnc</v>
      </c>
      <c r="B25" s="13" t="s">
        <v>1359</v>
      </c>
      <c r="C25" s="13" t="s">
        <v>1304</v>
      </c>
      <c r="D25" s="13" t="s">
        <v>1357</v>
      </c>
      <c r="E25" s="13" t="s">
        <v>1298</v>
      </c>
      <c r="F25" s="13" t="s">
        <v>1299</v>
      </c>
      <c r="G25" s="13" t="s">
        <v>1358</v>
      </c>
      <c r="H25" s="13" t="s">
        <v>621</v>
      </c>
      <c r="I25" s="13">
        <v>456960</v>
      </c>
      <c r="J25" s="13">
        <v>0</v>
      </c>
      <c r="K25" s="13">
        <v>0</v>
      </c>
    </row>
    <row r="26" spans="1:11">
      <c r="A26" s="15" t="str">
        <f>VLOOKUP(E26,Table1[[#All],[Campo]],1,0)</f>
        <v>instrmnt_id</v>
      </c>
      <c r="B26" s="13" t="s">
        <v>1360</v>
      </c>
      <c r="C26" s="13" t="s">
        <v>1361</v>
      </c>
      <c r="D26" s="13" t="s">
        <v>1315</v>
      </c>
      <c r="E26" s="13" t="s">
        <v>1307</v>
      </c>
      <c r="F26" s="13" t="s">
        <v>1362</v>
      </c>
      <c r="G26" s="13" t="s">
        <v>1363</v>
      </c>
      <c r="H26" s="13" t="s">
        <v>621</v>
      </c>
      <c r="I26" s="13">
        <v>2003033</v>
      </c>
      <c r="J26" s="13">
        <v>0</v>
      </c>
      <c r="K26" s="13">
        <v>0</v>
      </c>
    </row>
    <row r="27" spans="1:11">
      <c r="A27" s="15" t="str">
        <f>VLOOKUP(E27,Table1[[#All],[Campo]],1,0)</f>
        <v>instrmnt_id</v>
      </c>
      <c r="B27" s="13" t="s">
        <v>1364</v>
      </c>
      <c r="C27" s="13" t="s">
        <v>1365</v>
      </c>
      <c r="D27" s="13" t="s">
        <v>1366</v>
      </c>
      <c r="E27" s="13" t="s">
        <v>1307</v>
      </c>
      <c r="F27" s="13" t="s">
        <v>1362</v>
      </c>
      <c r="G27" s="13" t="s">
        <v>1363</v>
      </c>
      <c r="H27" s="13" t="s">
        <v>621</v>
      </c>
      <c r="I27" s="13">
        <v>731165</v>
      </c>
      <c r="J27" s="13">
        <v>0</v>
      </c>
      <c r="K27" s="13">
        <v>0</v>
      </c>
    </row>
    <row r="28" spans="1:11">
      <c r="A28" s="15" t="str">
        <f>VLOOKUP(E28,Table1[[#All],[Campo]],1,0)</f>
        <v>cod_soc</v>
      </c>
      <c r="B28" s="13" t="s">
        <v>1367</v>
      </c>
      <c r="C28" s="13" t="s">
        <v>1368</v>
      </c>
      <c r="D28" s="13" t="s">
        <v>1369</v>
      </c>
      <c r="E28" s="13" t="s">
        <v>1293</v>
      </c>
      <c r="F28" s="13" t="s">
        <v>1370</v>
      </c>
      <c r="G28" s="13" t="s">
        <v>1371</v>
      </c>
      <c r="H28" s="13" t="s">
        <v>621</v>
      </c>
      <c r="I28" s="13">
        <v>1096295</v>
      </c>
      <c r="J28" s="13">
        <v>0</v>
      </c>
      <c r="K28" s="13">
        <v>0</v>
      </c>
    </row>
    <row r="29" spans="1:11">
      <c r="A29" s="15" t="str">
        <f>VLOOKUP(E29,Table1[[#All],[Campo]],1,0)</f>
        <v>dt_rfrnc</v>
      </c>
      <c r="B29" s="13" t="s">
        <v>1372</v>
      </c>
      <c r="C29" s="13" t="s">
        <v>1373</v>
      </c>
      <c r="D29" s="13" t="s">
        <v>1369</v>
      </c>
      <c r="E29" s="13" t="s">
        <v>1298</v>
      </c>
      <c r="F29" s="13" t="s">
        <v>1374</v>
      </c>
      <c r="G29" s="13" t="s">
        <v>1371</v>
      </c>
      <c r="H29" s="13" t="s">
        <v>621</v>
      </c>
      <c r="I29" s="13">
        <v>1096295</v>
      </c>
      <c r="J29" s="13">
        <v>0</v>
      </c>
      <c r="K29" s="13">
        <v>0</v>
      </c>
    </row>
    <row r="30" spans="1:11">
      <c r="A30" s="15" t="str">
        <f>VLOOKUP(E30,Table1[[#All],[Campo]],1,0)</f>
        <v>cod_soc</v>
      </c>
      <c r="B30" s="13" t="s">
        <v>1375</v>
      </c>
      <c r="C30" s="13" t="s">
        <v>1368</v>
      </c>
      <c r="D30" s="13" t="s">
        <v>1376</v>
      </c>
      <c r="E30" s="13" t="s">
        <v>1293</v>
      </c>
      <c r="F30" s="13" t="s">
        <v>1370</v>
      </c>
      <c r="G30" s="13" t="s">
        <v>1377</v>
      </c>
      <c r="H30" s="13" t="s">
        <v>621</v>
      </c>
      <c r="I30" s="13">
        <v>2490665</v>
      </c>
      <c r="J30" s="13">
        <v>0</v>
      </c>
      <c r="K30" s="13">
        <v>0</v>
      </c>
    </row>
    <row r="31" spans="1:11">
      <c r="A31" s="15" t="str">
        <f>VLOOKUP(E31,Table1[[#All],[Campo]],1,0)</f>
        <v>dt_rfrnc</v>
      </c>
      <c r="B31" s="13" t="s">
        <v>1378</v>
      </c>
      <c r="C31" s="13" t="s">
        <v>1379</v>
      </c>
      <c r="D31" s="13" t="s">
        <v>1376</v>
      </c>
      <c r="E31" s="13" t="s">
        <v>1298</v>
      </c>
      <c r="F31" s="13" t="s">
        <v>1374</v>
      </c>
      <c r="G31" s="13" t="s">
        <v>1377</v>
      </c>
      <c r="H31" s="13" t="s">
        <v>621</v>
      </c>
      <c r="I31" s="13">
        <v>2490665</v>
      </c>
      <c r="J31" s="13">
        <v>0</v>
      </c>
      <c r="K31" s="13">
        <v>0</v>
      </c>
    </row>
    <row r="32" spans="1:11">
      <c r="A32" s="15" t="str">
        <f>VLOOKUP(E32,Table1[[#All],[Campo]],1,0)</f>
        <v>instrmnt_id</v>
      </c>
      <c r="B32" s="13" t="s">
        <v>1380</v>
      </c>
      <c r="C32" s="13" t="s">
        <v>1381</v>
      </c>
      <c r="D32" s="13" t="s">
        <v>1376</v>
      </c>
      <c r="E32" s="13" t="s">
        <v>1307</v>
      </c>
      <c r="F32" s="13" t="s">
        <v>1382</v>
      </c>
      <c r="G32" s="13" t="s">
        <v>1377</v>
      </c>
      <c r="H32" s="13" t="s">
        <v>621</v>
      </c>
      <c r="I32" s="13">
        <v>2490665</v>
      </c>
      <c r="J32" s="13">
        <v>0</v>
      </c>
      <c r="K32" s="13">
        <v>0</v>
      </c>
    </row>
    <row r="33" spans="1:11">
      <c r="A33" s="15" t="str">
        <f>VLOOKUP(E33,Table1[[#All],[Campo]],1,0)</f>
        <v>cod_soc</v>
      </c>
      <c r="B33" s="13" t="s">
        <v>1383</v>
      </c>
      <c r="C33" s="13" t="s">
        <v>1368</v>
      </c>
      <c r="D33" s="13" t="s">
        <v>1315</v>
      </c>
      <c r="E33" s="13" t="s">
        <v>1293</v>
      </c>
      <c r="F33" s="13" t="s">
        <v>1370</v>
      </c>
      <c r="G33" s="13" t="s">
        <v>1384</v>
      </c>
      <c r="H33" s="13" t="s">
        <v>621</v>
      </c>
      <c r="I33" s="13">
        <v>2003033</v>
      </c>
      <c r="J33" s="13">
        <v>0</v>
      </c>
      <c r="K33" s="13">
        <v>0</v>
      </c>
    </row>
    <row r="34" spans="1:11">
      <c r="A34" s="15" t="str">
        <f>VLOOKUP(E34,Table1[[#All],[Campo]],1,0)</f>
        <v>subportfolio_id</v>
      </c>
      <c r="B34" s="13" t="s">
        <v>1385</v>
      </c>
      <c r="C34" s="13" t="s">
        <v>1386</v>
      </c>
      <c r="D34" s="13" t="s">
        <v>1315</v>
      </c>
      <c r="E34" s="13" t="s">
        <v>1387</v>
      </c>
      <c r="F34" s="13" t="s">
        <v>1370</v>
      </c>
      <c r="G34" s="13" t="s">
        <v>1384</v>
      </c>
      <c r="H34" s="13" t="s">
        <v>621</v>
      </c>
      <c r="I34" s="13">
        <v>2003033</v>
      </c>
      <c r="J34" s="13">
        <v>0</v>
      </c>
      <c r="K34" s="13">
        <v>0</v>
      </c>
    </row>
    <row r="35" spans="1:11">
      <c r="A35" s="15" t="str">
        <f>VLOOKUP(E35,Table1[[#All],[Campo]],1,0)</f>
        <v>dt_rfrnc</v>
      </c>
      <c r="B35" s="13" t="s">
        <v>1388</v>
      </c>
      <c r="C35" s="13" t="s">
        <v>1379</v>
      </c>
      <c r="D35" s="13" t="s">
        <v>1315</v>
      </c>
      <c r="E35" s="13" t="s">
        <v>1298</v>
      </c>
      <c r="F35" s="13" t="s">
        <v>1374</v>
      </c>
      <c r="G35" s="13" t="s">
        <v>1384</v>
      </c>
      <c r="H35" s="13" t="s">
        <v>621</v>
      </c>
      <c r="I35" s="13">
        <v>2003033</v>
      </c>
      <c r="J35" s="13">
        <v>0</v>
      </c>
      <c r="K35" s="13">
        <v>0</v>
      </c>
    </row>
    <row r="36" spans="1:11">
      <c r="A36" s="15" t="str">
        <f>VLOOKUP(E36,Table1[[#All],[Campo]],1,0)</f>
        <v>instrmnt_id</v>
      </c>
      <c r="B36" s="13" t="s">
        <v>1389</v>
      </c>
      <c r="C36" s="13" t="s">
        <v>1381</v>
      </c>
      <c r="D36" s="13" t="s">
        <v>1315</v>
      </c>
      <c r="E36" s="13" t="s">
        <v>1307</v>
      </c>
      <c r="F36" s="13" t="s">
        <v>1382</v>
      </c>
      <c r="G36" s="13" t="s">
        <v>1384</v>
      </c>
      <c r="H36" s="13" t="s">
        <v>621</v>
      </c>
      <c r="I36" s="13">
        <v>2003033</v>
      </c>
      <c r="J36" s="13">
        <v>0</v>
      </c>
      <c r="K36" s="13">
        <v>0</v>
      </c>
    </row>
    <row r="37" spans="1:11">
      <c r="A37" s="15" t="str">
        <f>VLOOKUP(E37,Table1[[#All],[Campo]],1,0)</f>
        <v>dflt_stts_instrmnt</v>
      </c>
      <c r="B37" s="13" t="s">
        <v>1390</v>
      </c>
      <c r="C37" s="13" t="s">
        <v>1391</v>
      </c>
      <c r="D37" s="13" t="s">
        <v>1315</v>
      </c>
      <c r="E37" s="13" t="s">
        <v>1316</v>
      </c>
      <c r="F37" s="13" t="s">
        <v>1370</v>
      </c>
      <c r="G37" s="13" t="s">
        <v>1384</v>
      </c>
      <c r="H37" s="13" t="s">
        <v>621</v>
      </c>
      <c r="I37" s="13">
        <v>2003033</v>
      </c>
      <c r="J37" s="13">
        <v>0</v>
      </c>
      <c r="K37" s="13">
        <v>0</v>
      </c>
    </row>
    <row r="38" spans="1:11">
      <c r="A38" s="15" t="str">
        <f>VLOOKUP(E38,Table1[[#All],[Campo]],1,0)</f>
        <v>imprmnt_stts</v>
      </c>
      <c r="B38" s="13" t="s">
        <v>1392</v>
      </c>
      <c r="C38" s="13" t="s">
        <v>1393</v>
      </c>
      <c r="D38" s="13" t="s">
        <v>1315</v>
      </c>
      <c r="E38" s="13" t="s">
        <v>1394</v>
      </c>
      <c r="F38" s="13" t="s">
        <v>1370</v>
      </c>
      <c r="G38" s="13" t="s">
        <v>1384</v>
      </c>
      <c r="H38" s="13" t="s">
        <v>621</v>
      </c>
      <c r="I38" s="13">
        <v>2003033</v>
      </c>
      <c r="J38" s="13">
        <v>0</v>
      </c>
      <c r="K38" s="13">
        <v>0</v>
      </c>
    </row>
    <row r="39" spans="1:11">
      <c r="A39" s="15" t="str">
        <f>VLOOKUP(E39,Table1[[#All],[Campo]],1,0)</f>
        <v>prfrmng_stts</v>
      </c>
      <c r="B39" s="13" t="s">
        <v>1395</v>
      </c>
      <c r="C39" s="13" t="s">
        <v>1396</v>
      </c>
      <c r="D39" s="13" t="s">
        <v>1315</v>
      </c>
      <c r="E39" s="13" t="s">
        <v>1321</v>
      </c>
      <c r="F39" s="13" t="s">
        <v>1370</v>
      </c>
      <c r="G39" s="13" t="s">
        <v>1384</v>
      </c>
      <c r="H39" s="13" t="s">
        <v>621</v>
      </c>
      <c r="I39" s="13">
        <v>2003033</v>
      </c>
      <c r="J39" s="13">
        <v>0</v>
      </c>
      <c r="K39" s="13">
        <v>0</v>
      </c>
    </row>
    <row r="40" spans="1:11">
      <c r="A40" s="15" t="str">
        <f>VLOOKUP(E40,Table1[[#All],[Campo]],1,0)</f>
        <v>typ_instrmnt</v>
      </c>
      <c r="B40" s="13" t="s">
        <v>1397</v>
      </c>
      <c r="C40" s="13" t="s">
        <v>1398</v>
      </c>
      <c r="D40" s="13" t="s">
        <v>1315</v>
      </c>
      <c r="E40" s="13" t="s">
        <v>1399</v>
      </c>
      <c r="F40" s="13" t="s">
        <v>1370</v>
      </c>
      <c r="G40" s="13" t="s">
        <v>1384</v>
      </c>
      <c r="H40" s="13" t="s">
        <v>621</v>
      </c>
      <c r="I40" s="13">
        <v>2003033</v>
      </c>
      <c r="J40" s="13">
        <v>0</v>
      </c>
      <c r="K40" s="13">
        <v>0</v>
      </c>
    </row>
    <row r="41" spans="1:11">
      <c r="A41" s="15" t="str">
        <f>VLOOKUP(E41,Table1[[#All],[Campo]],1,0)</f>
        <v>grss_crryng_amnt_instrmnt</v>
      </c>
      <c r="B41" s="13" t="s">
        <v>1400</v>
      </c>
      <c r="C41" s="13" t="s">
        <v>1401</v>
      </c>
      <c r="D41" s="13" t="s">
        <v>1315</v>
      </c>
      <c r="E41" s="13" t="s">
        <v>1402</v>
      </c>
      <c r="F41" s="13" t="s">
        <v>1403</v>
      </c>
      <c r="G41" s="13" t="s">
        <v>1384</v>
      </c>
      <c r="H41" s="13" t="s">
        <v>621</v>
      </c>
      <c r="I41" s="13">
        <v>2003033</v>
      </c>
      <c r="J41" s="13">
        <v>0</v>
      </c>
      <c r="K41" s="13">
        <v>0</v>
      </c>
    </row>
    <row r="42" spans="1:11">
      <c r="A42" s="15" t="str">
        <f>VLOOKUP(E42,Table1[[#All],[Campo]],1,0)</f>
        <v>accmltd_chngs_fv_cr_instrmnt</v>
      </c>
      <c r="B42" s="13" t="s">
        <v>1404</v>
      </c>
      <c r="C42" s="13" t="s">
        <v>1405</v>
      </c>
      <c r="D42" s="13" t="s">
        <v>1315</v>
      </c>
      <c r="E42" s="13" t="s">
        <v>1406</v>
      </c>
      <c r="F42" s="13" t="s">
        <v>1403</v>
      </c>
      <c r="G42" s="13" t="s">
        <v>1384</v>
      </c>
      <c r="H42" s="13" t="s">
        <v>621</v>
      </c>
      <c r="I42" s="13">
        <v>2003033</v>
      </c>
      <c r="J42" s="13">
        <v>0</v>
      </c>
      <c r="K42" s="13">
        <v>0</v>
      </c>
    </row>
    <row r="43" spans="1:11">
      <c r="A43" s="15" t="str">
        <f>VLOOKUP(E43,Table1[[#All],[Campo]],1,0)</f>
        <v>accntng_clssfctn</v>
      </c>
      <c r="B43" s="13" t="s">
        <v>1407</v>
      </c>
      <c r="C43" s="13" t="s">
        <v>1408</v>
      </c>
      <c r="D43" s="13" t="s">
        <v>1315</v>
      </c>
      <c r="E43" s="13" t="s">
        <v>1409</v>
      </c>
      <c r="F43" s="13" t="s">
        <v>1370</v>
      </c>
      <c r="G43" s="13" t="s">
        <v>1384</v>
      </c>
      <c r="H43" s="13" t="s">
        <v>621</v>
      </c>
      <c r="I43" s="13">
        <v>2003033</v>
      </c>
      <c r="J43" s="13">
        <v>0</v>
      </c>
      <c r="K43" s="13">
        <v>0</v>
      </c>
    </row>
    <row r="44" spans="1:11">
      <c r="A44" s="15" t="str">
        <f>VLOOKUP(E44,Table1[[#All],[Campo]],1,0)</f>
        <v>OFF_BLNC_SHT_AMNT_INSTRMNT</v>
      </c>
      <c r="B44" s="13" t="s">
        <v>1410</v>
      </c>
      <c r="C44" s="13" t="s">
        <v>1411</v>
      </c>
      <c r="D44" s="13" t="s">
        <v>1315</v>
      </c>
      <c r="E44" s="13" t="s">
        <v>1412</v>
      </c>
      <c r="F44" s="13" t="s">
        <v>1403</v>
      </c>
      <c r="G44" s="13" t="s">
        <v>1384</v>
      </c>
      <c r="H44" s="13" t="s">
        <v>621</v>
      </c>
      <c r="I44" s="13">
        <v>2003033</v>
      </c>
      <c r="J44" s="13">
        <v>0</v>
      </c>
      <c r="K44" s="13">
        <v>0</v>
      </c>
    </row>
    <row r="45" spans="1:11">
      <c r="A45" s="15" t="e">
        <f>VLOOKUP(E45,Table1[[#All],[Campo]],1,0)</f>
        <v>#N/A</v>
      </c>
      <c r="B45" s="13" t="s">
        <v>1413</v>
      </c>
      <c r="C45" s="13" t="s">
        <v>1414</v>
      </c>
      <c r="D45" s="13" t="s">
        <v>1315</v>
      </c>
      <c r="E45" s="13" t="s">
        <v>1415</v>
      </c>
      <c r="F45" s="13" t="s">
        <v>1403</v>
      </c>
      <c r="G45" s="13" t="s">
        <v>1384</v>
      </c>
      <c r="H45" s="13" t="s">
        <v>621</v>
      </c>
      <c r="I45" s="13">
        <v>2003033</v>
      </c>
      <c r="J45" s="13">
        <v>0</v>
      </c>
      <c r="K45" s="13">
        <v>0</v>
      </c>
    </row>
    <row r="46" spans="1:11">
      <c r="A46" s="15" t="str">
        <f>VLOOKUP(E46,Table1[[#All],[Campo]],1,0)</f>
        <v>RWA</v>
      </c>
      <c r="B46" s="13" t="s">
        <v>1416</v>
      </c>
      <c r="C46" s="13" t="s">
        <v>1417</v>
      </c>
      <c r="D46" s="13" t="s">
        <v>1315</v>
      </c>
      <c r="E46" s="13" t="s">
        <v>1418</v>
      </c>
      <c r="F46" s="13" t="s">
        <v>1403</v>
      </c>
      <c r="G46" s="13" t="s">
        <v>1384</v>
      </c>
      <c r="H46" s="13" t="s">
        <v>621</v>
      </c>
      <c r="I46" s="13">
        <v>2003033</v>
      </c>
      <c r="J46" s="13">
        <v>0</v>
      </c>
      <c r="K46" s="13">
        <v>0</v>
      </c>
    </row>
    <row r="47" spans="1:11">
      <c r="A47" s="15" t="str">
        <f>VLOOKUP(E47,Table1[[#All],[Campo]],1,0)</f>
        <v>accmltd_imprmnt_instrmnt</v>
      </c>
      <c r="B47" s="13" t="s">
        <v>1419</v>
      </c>
      <c r="C47" s="13" t="s">
        <v>1420</v>
      </c>
      <c r="D47" s="13" t="s">
        <v>1315</v>
      </c>
      <c r="E47" s="13" t="s">
        <v>1421</v>
      </c>
      <c r="F47" s="13" t="s">
        <v>1403</v>
      </c>
      <c r="G47" s="13" t="s">
        <v>1384</v>
      </c>
      <c r="H47" s="13" t="s">
        <v>621</v>
      </c>
      <c r="I47" s="13">
        <v>2003033</v>
      </c>
      <c r="J47" s="13">
        <v>0</v>
      </c>
      <c r="K47" s="13">
        <v>0</v>
      </c>
    </row>
    <row r="48" spans="1:11">
      <c r="A48" s="15" t="e">
        <f>VLOOKUP(E48,Table1[[#All],[Campo]],1,0)</f>
        <v>#N/A</v>
      </c>
      <c r="B48" s="13" t="s">
        <v>1422</v>
      </c>
      <c r="C48" s="13" t="s">
        <v>1423</v>
      </c>
      <c r="D48" s="13" t="s">
        <v>1315</v>
      </c>
      <c r="E48" s="13" t="s">
        <v>1424</v>
      </c>
      <c r="F48" s="13" t="s">
        <v>1370</v>
      </c>
      <c r="G48" s="13" t="s">
        <v>1384</v>
      </c>
      <c r="H48" s="13" t="s">
        <v>1318</v>
      </c>
      <c r="I48" s="13">
        <v>2003033</v>
      </c>
      <c r="J48" s="13">
        <v>744</v>
      </c>
      <c r="K48" s="13">
        <v>3.7100000000000001E-2</v>
      </c>
    </row>
    <row r="49" spans="1:11">
      <c r="A49" s="15" t="str">
        <f>VLOOKUP(E49,Table1[[#All],[Campo]],1,0)</f>
        <v>lcl_instmrnt_id</v>
      </c>
      <c r="B49" s="13" t="s">
        <v>1425</v>
      </c>
      <c r="C49" s="13" t="s">
        <v>1426</v>
      </c>
      <c r="D49" s="13" t="s">
        <v>1315</v>
      </c>
      <c r="E49" s="13" t="s">
        <v>1324</v>
      </c>
      <c r="F49" s="13" t="s">
        <v>1382</v>
      </c>
      <c r="G49" s="13" t="s">
        <v>1384</v>
      </c>
      <c r="H49" s="13" t="s">
        <v>621</v>
      </c>
      <c r="I49" s="13">
        <v>2003033</v>
      </c>
      <c r="J49" s="13">
        <v>0</v>
      </c>
      <c r="K49" s="13">
        <v>0</v>
      </c>
    </row>
    <row r="50" spans="1:11">
      <c r="A50" s="15" t="str">
        <f>VLOOKUP(E50,Table1[[#All],[Campo]],1,0)</f>
        <v>sstnbl_indctr</v>
      </c>
      <c r="B50" s="13" t="s">
        <v>1427</v>
      </c>
      <c r="C50" s="13" t="s">
        <v>1428</v>
      </c>
      <c r="D50" s="13" t="s">
        <v>1315</v>
      </c>
      <c r="E50" s="13" t="s">
        <v>1327</v>
      </c>
      <c r="F50" s="13" t="s">
        <v>1370</v>
      </c>
      <c r="G50" s="13" t="s">
        <v>1384</v>
      </c>
      <c r="H50" s="13" t="s">
        <v>1318</v>
      </c>
      <c r="I50" s="13">
        <v>2003033</v>
      </c>
      <c r="J50" s="13">
        <v>2003033</v>
      </c>
      <c r="K50" s="13">
        <v>100</v>
      </c>
    </row>
    <row r="51" spans="1:11">
      <c r="A51" s="15" t="str">
        <f>VLOOKUP(E51,Table1[[#All],[Campo]],1,0)</f>
        <v>sstnbl_ctgry</v>
      </c>
      <c r="B51" s="13" t="s">
        <v>1429</v>
      </c>
      <c r="C51" s="13" t="s">
        <v>1430</v>
      </c>
      <c r="D51" s="13" t="s">
        <v>1315</v>
      </c>
      <c r="E51" s="13" t="s">
        <v>1331</v>
      </c>
      <c r="F51" s="13" t="s">
        <v>1370</v>
      </c>
      <c r="G51" s="13" t="s">
        <v>1384</v>
      </c>
      <c r="H51" s="13" t="s">
        <v>1318</v>
      </c>
      <c r="I51" s="13">
        <v>2003033</v>
      </c>
      <c r="J51" s="13">
        <v>2003033</v>
      </c>
      <c r="K51" s="13">
        <v>100</v>
      </c>
    </row>
    <row r="52" spans="1:11">
      <c r="A52" s="15" t="e">
        <f>VLOOKUP(E52,Table1[[#All],[Campo]],1,0)</f>
        <v>#N/A</v>
      </c>
      <c r="B52" s="13" t="s">
        <v>1431</v>
      </c>
      <c r="C52" s="13" t="s">
        <v>1432</v>
      </c>
      <c r="D52" s="13" t="s">
        <v>1315</v>
      </c>
      <c r="E52" s="13" t="s">
        <v>1433</v>
      </c>
      <c r="F52" s="13" t="s">
        <v>1403</v>
      </c>
      <c r="G52" s="13" t="s">
        <v>1384</v>
      </c>
      <c r="H52" s="13" t="s">
        <v>621</v>
      </c>
      <c r="I52" s="13">
        <v>2003033</v>
      </c>
      <c r="J52" s="13">
        <v>0</v>
      </c>
      <c r="K52" s="13">
        <v>0</v>
      </c>
    </row>
    <row r="53" spans="1:11">
      <c r="A53" s="15" t="str">
        <f>VLOOKUP(E53,Table1[[#All],[Campo]],1,0)</f>
        <v>NW_BSNSS</v>
      </c>
      <c r="B53" s="13" t="s">
        <v>1434</v>
      </c>
      <c r="C53" s="13" t="s">
        <v>1435</v>
      </c>
      <c r="D53" s="13" t="s">
        <v>1315</v>
      </c>
      <c r="E53" s="13" t="s">
        <v>1334</v>
      </c>
      <c r="F53" s="13" t="s">
        <v>1370</v>
      </c>
      <c r="G53" s="13" t="s">
        <v>1384</v>
      </c>
      <c r="H53" s="13" t="s">
        <v>1318</v>
      </c>
      <c r="I53" s="13">
        <v>2003033</v>
      </c>
      <c r="J53" s="13">
        <v>2003033</v>
      </c>
      <c r="K53" s="13">
        <v>100</v>
      </c>
    </row>
    <row r="54" spans="1:11">
      <c r="A54" s="15" t="str">
        <f>VLOOKUP(E54,Table1[[#All],[Campo]],1,0)</f>
        <v>grss_intrst_incm</v>
      </c>
      <c r="B54" s="13" t="s">
        <v>1436</v>
      </c>
      <c r="C54" s="13" t="s">
        <v>1437</v>
      </c>
      <c r="D54" s="13" t="s">
        <v>1315</v>
      </c>
      <c r="E54" s="13" t="s">
        <v>1438</v>
      </c>
      <c r="F54" s="13" t="s">
        <v>1403</v>
      </c>
      <c r="G54" s="13" t="s">
        <v>1384</v>
      </c>
      <c r="H54" s="13" t="s">
        <v>621</v>
      </c>
      <c r="I54" s="13">
        <v>2003033</v>
      </c>
      <c r="J54" s="13">
        <v>0</v>
      </c>
      <c r="K54" s="13">
        <v>0</v>
      </c>
    </row>
    <row r="55" spans="1:11">
      <c r="A55" s="15" t="s">
        <v>1439</v>
      </c>
      <c r="B55" s="13" t="s">
        <v>1440</v>
      </c>
      <c r="C55" s="13" t="s">
        <v>1441</v>
      </c>
      <c r="D55" s="13" t="s">
        <v>1315</v>
      </c>
      <c r="E55" s="13" t="s">
        <v>1442</v>
      </c>
      <c r="F55" s="13" t="s">
        <v>1403</v>
      </c>
      <c r="G55" s="13" t="s">
        <v>1384</v>
      </c>
      <c r="H55" s="13" t="s">
        <v>621</v>
      </c>
      <c r="I55" s="13">
        <v>2003033</v>
      </c>
      <c r="J55" s="13">
        <v>0</v>
      </c>
      <c r="K55" s="13">
        <v>0</v>
      </c>
    </row>
    <row r="56" spans="1:11">
      <c r="A56" s="15" t="e">
        <f>VLOOKUP(E56,Table1[[#All],[Campo]],1,0)</f>
        <v>#N/A</v>
      </c>
      <c r="B56" s="13" t="s">
        <v>1443</v>
      </c>
      <c r="C56" s="13" t="s">
        <v>1444</v>
      </c>
      <c r="D56" s="13" t="s">
        <v>1315</v>
      </c>
      <c r="E56" s="13" t="s">
        <v>1445</v>
      </c>
      <c r="F56" s="13" t="s">
        <v>1403</v>
      </c>
      <c r="G56" s="13" t="s">
        <v>1384</v>
      </c>
      <c r="H56" s="13" t="s">
        <v>621</v>
      </c>
      <c r="I56" s="13">
        <v>2003033</v>
      </c>
      <c r="J56" s="13">
        <v>0</v>
      </c>
      <c r="K56" s="13">
        <v>0</v>
      </c>
    </row>
    <row r="57" spans="1:11">
      <c r="A57" s="15" t="e">
        <f>VLOOKUP(E57,Table1[[#All],[Campo]],1,0)</f>
        <v>#N/A</v>
      </c>
      <c r="B57" s="13" t="s">
        <v>1446</v>
      </c>
      <c r="C57" s="13" t="s">
        <v>1447</v>
      </c>
      <c r="D57" s="13" t="s">
        <v>1315</v>
      </c>
      <c r="E57" s="13" t="s">
        <v>1448</v>
      </c>
      <c r="F57" s="13" t="s">
        <v>1403</v>
      </c>
      <c r="G57" s="13" t="s">
        <v>1384</v>
      </c>
      <c r="H57" s="13" t="s">
        <v>621</v>
      </c>
      <c r="I57" s="13">
        <v>2003033</v>
      </c>
      <c r="J57" s="13">
        <v>0</v>
      </c>
      <c r="K57" s="13">
        <v>0</v>
      </c>
    </row>
    <row r="58" spans="1:11">
      <c r="A58" s="15" t="e">
        <f>VLOOKUP(E58,Table1[[#All],[Campo]],1,0)</f>
        <v>#N/A</v>
      </c>
      <c r="B58" s="13" t="s">
        <v>1449</v>
      </c>
      <c r="C58" s="13" t="s">
        <v>1450</v>
      </c>
      <c r="D58" s="13" t="s">
        <v>1315</v>
      </c>
      <c r="E58" s="13" t="s">
        <v>1337</v>
      </c>
      <c r="F58" s="13" t="s">
        <v>1370</v>
      </c>
      <c r="G58" s="13" t="s">
        <v>1384</v>
      </c>
      <c r="H58" s="13" t="s">
        <v>1318</v>
      </c>
      <c r="I58" s="13">
        <v>2003033</v>
      </c>
      <c r="J58" s="13">
        <v>2003033</v>
      </c>
      <c r="K58" s="13">
        <v>100</v>
      </c>
    </row>
    <row r="59" spans="1:11">
      <c r="A59" s="15" t="e">
        <f>VLOOKUP(E59,Table1[[#All],[Campo]],1,0)</f>
        <v>#N/A</v>
      </c>
      <c r="B59" s="13" t="s">
        <v>1451</v>
      </c>
      <c r="C59" s="13" t="s">
        <v>1452</v>
      </c>
      <c r="D59" s="13" t="s">
        <v>1315</v>
      </c>
      <c r="E59" s="13" t="s">
        <v>1453</v>
      </c>
      <c r="F59" s="13" t="s">
        <v>1370</v>
      </c>
      <c r="G59" s="13" t="s">
        <v>1384</v>
      </c>
      <c r="H59" s="13" t="s">
        <v>1318</v>
      </c>
      <c r="I59" s="13">
        <v>2003033</v>
      </c>
      <c r="J59" s="13">
        <v>2003033</v>
      </c>
      <c r="K59" s="13">
        <v>100</v>
      </c>
    </row>
    <row r="60" spans="1:11">
      <c r="A60" s="15" t="s">
        <v>1454</v>
      </c>
      <c r="B60" s="13" t="s">
        <v>1455</v>
      </c>
      <c r="C60" s="13" t="s">
        <v>1456</v>
      </c>
      <c r="D60" s="13" t="s">
        <v>1315</v>
      </c>
      <c r="E60" s="13" t="s">
        <v>1457</v>
      </c>
      <c r="F60" s="13" t="s">
        <v>1403</v>
      </c>
      <c r="G60" s="13" t="s">
        <v>1384</v>
      </c>
      <c r="H60" s="13" t="s">
        <v>621</v>
      </c>
      <c r="I60" s="13">
        <v>2003033</v>
      </c>
      <c r="J60" s="13">
        <v>0</v>
      </c>
      <c r="K60" s="13">
        <v>0</v>
      </c>
    </row>
    <row r="61" spans="1:11">
      <c r="A61" s="15" t="e">
        <f>VLOOKUP(E61,Table1[[#All],[Campo]],1,0)</f>
        <v>#N/A</v>
      </c>
      <c r="B61" s="13" t="s">
        <v>1458</v>
      </c>
      <c r="C61" s="13" t="s">
        <v>1459</v>
      </c>
      <c r="D61" s="13" t="s">
        <v>1315</v>
      </c>
      <c r="E61" s="13" t="s">
        <v>1460</v>
      </c>
      <c r="F61" s="13" t="s">
        <v>1403</v>
      </c>
      <c r="G61" s="13" t="s">
        <v>1384</v>
      </c>
      <c r="H61" s="13" t="s">
        <v>621</v>
      </c>
      <c r="I61" s="13">
        <v>2003033</v>
      </c>
      <c r="J61" s="13">
        <v>0</v>
      </c>
      <c r="K61" s="13">
        <v>0</v>
      </c>
    </row>
    <row r="62" spans="1:11">
      <c r="A62" s="15" t="e">
        <f>VLOOKUP(E62,Table1[[#All],[Campo]],1,0)</f>
        <v>#N/A</v>
      </c>
      <c r="B62" s="13" t="s">
        <v>1461</v>
      </c>
      <c r="C62" s="13" t="s">
        <v>1462</v>
      </c>
      <c r="D62" s="13" t="s">
        <v>1315</v>
      </c>
      <c r="E62" s="13" t="s">
        <v>1340</v>
      </c>
      <c r="F62" s="13" t="s">
        <v>1370</v>
      </c>
      <c r="G62" s="13" t="s">
        <v>1384</v>
      </c>
      <c r="H62" s="13" t="s">
        <v>1318</v>
      </c>
      <c r="I62" s="13">
        <v>2003033</v>
      </c>
      <c r="J62" s="13">
        <v>2003033</v>
      </c>
      <c r="K62" s="13">
        <v>100</v>
      </c>
    </row>
    <row r="63" spans="1:11">
      <c r="A63" s="15" t="e">
        <f>VLOOKUP(E63,Table1[[#All],[Campo]],1,0)</f>
        <v>#N/A</v>
      </c>
      <c r="B63" s="13" t="s">
        <v>1463</v>
      </c>
      <c r="C63" s="13" t="s">
        <v>1464</v>
      </c>
      <c r="D63" s="13" t="s">
        <v>1315</v>
      </c>
      <c r="E63" s="13" t="s">
        <v>1465</v>
      </c>
      <c r="F63" s="13" t="s">
        <v>1370</v>
      </c>
      <c r="G63" s="13" t="s">
        <v>1384</v>
      </c>
      <c r="H63" s="13" t="s">
        <v>1318</v>
      </c>
      <c r="I63" s="13">
        <v>2003033</v>
      </c>
      <c r="J63" s="13">
        <v>2003033</v>
      </c>
      <c r="K63" s="13">
        <v>100</v>
      </c>
    </row>
    <row r="64" spans="1:11">
      <c r="A64" s="15" t="e">
        <f>VLOOKUP(E64,Table1[[#All],[Campo]],1,0)</f>
        <v>#N/A</v>
      </c>
      <c r="B64" s="13" t="s">
        <v>1466</v>
      </c>
      <c r="C64" s="13" t="s">
        <v>1467</v>
      </c>
      <c r="D64" s="13" t="s">
        <v>1315</v>
      </c>
      <c r="E64" s="13" t="s">
        <v>1468</v>
      </c>
      <c r="F64" s="13" t="s">
        <v>1370</v>
      </c>
      <c r="G64" s="13" t="s">
        <v>1384</v>
      </c>
      <c r="H64" s="13" t="s">
        <v>1318</v>
      </c>
      <c r="I64" s="13">
        <v>2003033</v>
      </c>
      <c r="J64" s="13">
        <v>2003033</v>
      </c>
      <c r="K64" s="13">
        <v>100</v>
      </c>
    </row>
    <row r="65" spans="1:11">
      <c r="A65" s="15" t="e">
        <f>VLOOKUP(E65,Table1[[#All],[Campo]],1,0)</f>
        <v>#N/A</v>
      </c>
      <c r="B65" s="13" t="s">
        <v>1469</v>
      </c>
      <c r="C65" s="13" t="s">
        <v>1470</v>
      </c>
      <c r="D65" s="13" t="s">
        <v>1315</v>
      </c>
      <c r="E65" s="13" t="s">
        <v>1471</v>
      </c>
      <c r="F65" s="13" t="s">
        <v>1370</v>
      </c>
      <c r="G65" s="13" t="s">
        <v>1384</v>
      </c>
      <c r="H65" s="13" t="s">
        <v>1318</v>
      </c>
      <c r="I65" s="13">
        <v>2003033</v>
      </c>
      <c r="J65" s="13">
        <v>2003033</v>
      </c>
      <c r="K65" s="13">
        <v>100</v>
      </c>
    </row>
    <row r="66" spans="1:11">
      <c r="A66" s="15" t="e">
        <f>VLOOKUP(E66,Table1[[#All],[Campo]],1,0)</f>
        <v>#N/A</v>
      </c>
      <c r="B66" s="13" t="s">
        <v>1472</v>
      </c>
      <c r="C66" s="13" t="s">
        <v>1473</v>
      </c>
      <c r="D66" s="13" t="s">
        <v>1315</v>
      </c>
      <c r="E66" s="13" t="s">
        <v>1474</v>
      </c>
      <c r="F66" s="13" t="s">
        <v>1403</v>
      </c>
      <c r="G66" s="13" t="s">
        <v>1384</v>
      </c>
      <c r="H66" s="13" t="s">
        <v>621</v>
      </c>
      <c r="I66" s="13">
        <v>2003033</v>
      </c>
      <c r="J66" s="13">
        <v>0</v>
      </c>
      <c r="K66" s="13">
        <v>0</v>
      </c>
    </row>
    <row r="67" spans="1:11">
      <c r="A67" s="15" t="e">
        <f>VLOOKUP(E67,Table1[[#All],[Campo]],1,0)</f>
        <v>#N/A</v>
      </c>
      <c r="B67" s="13" t="s">
        <v>1475</v>
      </c>
      <c r="C67" s="13" t="s">
        <v>1476</v>
      </c>
      <c r="D67" s="13" t="s">
        <v>1315</v>
      </c>
      <c r="E67" s="13" t="s">
        <v>1477</v>
      </c>
      <c r="F67" s="13" t="s">
        <v>1403</v>
      </c>
      <c r="G67" s="13" t="s">
        <v>1384</v>
      </c>
      <c r="H67" s="13" t="s">
        <v>621</v>
      </c>
      <c r="I67" s="13">
        <v>2003033</v>
      </c>
      <c r="J67" s="13">
        <v>0</v>
      </c>
      <c r="K67" s="13">
        <v>0</v>
      </c>
    </row>
    <row r="68" spans="1:11">
      <c r="A68" s="15" t="s">
        <v>1478</v>
      </c>
      <c r="B68" s="13" t="s">
        <v>1479</v>
      </c>
      <c r="C68" s="13" t="s">
        <v>1480</v>
      </c>
      <c r="D68" s="13" t="s">
        <v>1315</v>
      </c>
      <c r="E68" s="13" t="s">
        <v>1481</v>
      </c>
      <c r="F68" s="13" t="s">
        <v>1403</v>
      </c>
      <c r="G68" s="13" t="s">
        <v>1384</v>
      </c>
      <c r="H68" s="13" t="s">
        <v>621</v>
      </c>
      <c r="I68" s="13">
        <v>2003033</v>
      </c>
      <c r="J68" s="13">
        <v>0</v>
      </c>
      <c r="K68" s="13">
        <v>0</v>
      </c>
    </row>
    <row r="69" spans="1:11">
      <c r="A69" s="15" t="s">
        <v>1482</v>
      </c>
      <c r="B69" s="13" t="s">
        <v>1483</v>
      </c>
      <c r="C69" s="13" t="s">
        <v>1484</v>
      </c>
      <c r="D69" s="13" t="s">
        <v>1315</v>
      </c>
      <c r="E69" s="13" t="s">
        <v>1485</v>
      </c>
      <c r="F69" s="13" t="s">
        <v>1403</v>
      </c>
      <c r="G69" s="13" t="s">
        <v>1384</v>
      </c>
      <c r="H69" s="13" t="s">
        <v>621</v>
      </c>
      <c r="I69" s="13">
        <v>2003033</v>
      </c>
      <c r="J69" s="13">
        <v>0</v>
      </c>
      <c r="K69" s="13">
        <v>0</v>
      </c>
    </row>
    <row r="70" spans="1:11">
      <c r="A70" s="15" t="e">
        <f>VLOOKUP(E70,Table1[[#All],[Campo]],1,0)</f>
        <v>#N/A</v>
      </c>
      <c r="B70" s="13" t="s">
        <v>1486</v>
      </c>
      <c r="C70" s="13" t="s">
        <v>1487</v>
      </c>
      <c r="D70" s="13" t="s">
        <v>1315</v>
      </c>
      <c r="E70" s="13" t="s">
        <v>1488</v>
      </c>
      <c r="F70" s="13" t="s">
        <v>1403</v>
      </c>
      <c r="G70" s="13" t="s">
        <v>1384</v>
      </c>
      <c r="H70" s="13" t="s">
        <v>621</v>
      </c>
      <c r="I70" s="13">
        <v>2003033</v>
      </c>
      <c r="J70" s="13">
        <v>0</v>
      </c>
      <c r="K70" s="13">
        <v>0</v>
      </c>
    </row>
    <row r="71" spans="1:11">
      <c r="A71" s="15" t="e">
        <f>VLOOKUP(E71,Table1[[#All],[Campo]],1,0)</f>
        <v>#N/A</v>
      </c>
      <c r="B71" s="13" t="s">
        <v>1489</v>
      </c>
      <c r="C71" s="13" t="s">
        <v>1490</v>
      </c>
      <c r="D71" s="13" t="s">
        <v>1315</v>
      </c>
      <c r="E71" s="13" t="s">
        <v>1491</v>
      </c>
      <c r="F71" s="13" t="s">
        <v>1403</v>
      </c>
      <c r="G71" s="13" t="s">
        <v>1384</v>
      </c>
      <c r="H71" s="13" t="s">
        <v>621</v>
      </c>
      <c r="I71" s="13">
        <v>2003033</v>
      </c>
      <c r="J71" s="13">
        <v>0</v>
      </c>
      <c r="K71" s="13">
        <v>0</v>
      </c>
    </row>
    <row r="72" spans="1:11">
      <c r="A72" s="15" t="e">
        <f>VLOOKUP(E72,Table1[[#All],[Campo]],1,0)</f>
        <v>#N/A</v>
      </c>
      <c r="B72" s="13" t="s">
        <v>1492</v>
      </c>
      <c r="C72" s="13" t="s">
        <v>1493</v>
      </c>
      <c r="D72" s="13" t="s">
        <v>1315</v>
      </c>
      <c r="E72" s="13" t="s">
        <v>1494</v>
      </c>
      <c r="F72" s="13" t="s">
        <v>1403</v>
      </c>
      <c r="G72" s="13" t="s">
        <v>1384</v>
      </c>
      <c r="H72" s="13" t="s">
        <v>621</v>
      </c>
      <c r="I72" s="13">
        <v>2003033</v>
      </c>
      <c r="J72" s="13">
        <v>0</v>
      </c>
      <c r="K72" s="13">
        <v>0</v>
      </c>
    </row>
    <row r="73" spans="1:11">
      <c r="A73" s="15" t="e">
        <f>VLOOKUP(E73,Table1[[#All],[Campo]],1,0)</f>
        <v>#N/A</v>
      </c>
      <c r="B73" s="13" t="s">
        <v>1495</v>
      </c>
      <c r="C73" s="13" t="s">
        <v>1496</v>
      </c>
      <c r="D73" s="13" t="s">
        <v>1315</v>
      </c>
      <c r="E73" s="13" t="s">
        <v>1497</v>
      </c>
      <c r="F73" s="13" t="s">
        <v>1403</v>
      </c>
      <c r="G73" s="13" t="s">
        <v>1384</v>
      </c>
      <c r="H73" s="13" t="s">
        <v>621</v>
      </c>
      <c r="I73" s="13">
        <v>2003033</v>
      </c>
      <c r="J73" s="13">
        <v>0</v>
      </c>
      <c r="K73" s="13">
        <v>0</v>
      </c>
    </row>
    <row r="74" spans="1:11">
      <c r="A74" s="15" t="e">
        <f>VLOOKUP(E74,Table1[[#All],[Campo]],1,0)</f>
        <v>#N/A</v>
      </c>
      <c r="B74" s="13" t="s">
        <v>1498</v>
      </c>
      <c r="C74" s="13" t="s">
        <v>1499</v>
      </c>
      <c r="D74" s="13" t="s">
        <v>1315</v>
      </c>
      <c r="E74" s="13" t="s">
        <v>1500</v>
      </c>
      <c r="F74" s="13" t="s">
        <v>1403</v>
      </c>
      <c r="G74" s="13" t="s">
        <v>1384</v>
      </c>
      <c r="H74" s="13" t="s">
        <v>621</v>
      </c>
      <c r="I74" s="13">
        <v>2003033</v>
      </c>
      <c r="J74" s="13">
        <v>0</v>
      </c>
      <c r="K74" s="13">
        <v>0</v>
      </c>
    </row>
    <row r="75" spans="1:11">
      <c r="A75" s="15" t="s">
        <v>1501</v>
      </c>
      <c r="B75" s="13" t="s">
        <v>1502</v>
      </c>
      <c r="C75" s="13" t="s">
        <v>1503</v>
      </c>
      <c r="D75" s="13" t="s">
        <v>1315</v>
      </c>
      <c r="E75" s="13" t="s">
        <v>1504</v>
      </c>
      <c r="F75" s="13" t="s">
        <v>1403</v>
      </c>
      <c r="G75" s="13" t="s">
        <v>1384</v>
      </c>
      <c r="H75" s="13" t="s">
        <v>621</v>
      </c>
      <c r="I75" s="13">
        <v>2003033</v>
      </c>
      <c r="J75" s="13">
        <v>0</v>
      </c>
      <c r="K75" s="13">
        <v>0</v>
      </c>
    </row>
    <row r="76" spans="1:11">
      <c r="A76" s="15" t="s">
        <v>1505</v>
      </c>
      <c r="B76" s="13" t="s">
        <v>1506</v>
      </c>
      <c r="C76" s="13" t="s">
        <v>1507</v>
      </c>
      <c r="D76" s="13" t="s">
        <v>1315</v>
      </c>
      <c r="E76" s="13" t="s">
        <v>1508</v>
      </c>
      <c r="F76" s="13" t="s">
        <v>1403</v>
      </c>
      <c r="G76" s="13" t="s">
        <v>1384</v>
      </c>
      <c r="H76" s="13" t="s">
        <v>621</v>
      </c>
      <c r="I76" s="13">
        <v>2003033</v>
      </c>
      <c r="J76" s="13">
        <v>0</v>
      </c>
      <c r="K76" s="13">
        <v>0</v>
      </c>
    </row>
    <row r="77" spans="1:11">
      <c r="A77" s="15" t="e">
        <f>VLOOKUP(E77,Table1[[#All],[Campo]],1,0)</f>
        <v>#N/A</v>
      </c>
      <c r="B77" s="13" t="s">
        <v>1509</v>
      </c>
      <c r="C77" s="13" t="s">
        <v>1510</v>
      </c>
      <c r="D77" s="13" t="s">
        <v>1315</v>
      </c>
      <c r="E77" s="13" t="s">
        <v>1511</v>
      </c>
      <c r="F77" s="13" t="s">
        <v>1403</v>
      </c>
      <c r="G77" s="13" t="s">
        <v>1384</v>
      </c>
      <c r="H77" s="13" t="s">
        <v>621</v>
      </c>
      <c r="I77" s="13">
        <v>2003033</v>
      </c>
      <c r="J77" s="13">
        <v>0</v>
      </c>
      <c r="K77" s="13">
        <v>0</v>
      </c>
    </row>
    <row r="78" spans="1:11">
      <c r="A78" s="15" t="e">
        <f>VLOOKUP(E78,Table1[[#All],[Campo]],1,0)</f>
        <v>#N/A</v>
      </c>
      <c r="B78" s="13" t="s">
        <v>1512</v>
      </c>
      <c r="C78" s="13" t="s">
        <v>1513</v>
      </c>
      <c r="D78" s="13" t="s">
        <v>1315</v>
      </c>
      <c r="E78" s="13" t="s">
        <v>1343</v>
      </c>
      <c r="F78" s="13" t="s">
        <v>1370</v>
      </c>
      <c r="G78" s="13" t="s">
        <v>1384</v>
      </c>
      <c r="H78" s="13" t="s">
        <v>1318</v>
      </c>
      <c r="I78" s="13">
        <v>2003033</v>
      </c>
      <c r="J78" s="13">
        <v>2003033</v>
      </c>
      <c r="K78" s="13">
        <v>100</v>
      </c>
    </row>
    <row r="79" spans="1:11">
      <c r="A79" s="15" t="s">
        <v>1514</v>
      </c>
      <c r="B79" s="13" t="s">
        <v>1515</v>
      </c>
      <c r="C79" s="13" t="s">
        <v>1516</v>
      </c>
      <c r="D79" s="13" t="s">
        <v>1315</v>
      </c>
      <c r="E79" s="13" t="s">
        <v>1517</v>
      </c>
      <c r="F79" s="13" t="s">
        <v>1403</v>
      </c>
      <c r="G79" s="13" t="s">
        <v>1384</v>
      </c>
      <c r="H79" s="13" t="s">
        <v>621</v>
      </c>
      <c r="I79" s="13">
        <v>2003033</v>
      </c>
      <c r="J79" s="13">
        <v>0</v>
      </c>
      <c r="K79" s="13">
        <v>0</v>
      </c>
    </row>
    <row r="80" spans="1:11">
      <c r="A80" s="15" t="s">
        <v>1518</v>
      </c>
      <c r="B80" s="13" t="s">
        <v>1519</v>
      </c>
      <c r="C80" s="13" t="s">
        <v>1520</v>
      </c>
      <c r="D80" s="13" t="s">
        <v>1315</v>
      </c>
      <c r="E80" s="13" t="s">
        <v>1521</v>
      </c>
      <c r="F80" s="13" t="s">
        <v>1403</v>
      </c>
      <c r="G80" s="13" t="s">
        <v>1384</v>
      </c>
      <c r="H80" s="13" t="s">
        <v>621</v>
      </c>
      <c r="I80" s="13">
        <v>2003033</v>
      </c>
      <c r="J80" s="13">
        <v>0</v>
      </c>
      <c r="K80" s="13">
        <v>0</v>
      </c>
    </row>
    <row r="81" spans="1:11">
      <c r="A81" s="15" t="s">
        <v>1344</v>
      </c>
      <c r="B81" s="13" t="s">
        <v>1522</v>
      </c>
      <c r="C81" s="13" t="s">
        <v>1523</v>
      </c>
      <c r="D81" s="13" t="s">
        <v>1315</v>
      </c>
      <c r="E81" s="13" t="s">
        <v>1347</v>
      </c>
      <c r="F81" s="13" t="s">
        <v>1370</v>
      </c>
      <c r="G81" s="13" t="s">
        <v>1384</v>
      </c>
      <c r="H81" s="13" t="s">
        <v>1318</v>
      </c>
      <c r="I81" s="13">
        <v>2003033</v>
      </c>
      <c r="J81" s="13">
        <v>2003033</v>
      </c>
      <c r="K81" s="13">
        <v>100</v>
      </c>
    </row>
    <row r="82" spans="1:11">
      <c r="A82" s="15" t="str">
        <f>VLOOKUP(E82,Table1[[#All],[Campo]],1,0)</f>
        <v>idcmb</v>
      </c>
      <c r="B82" s="13" t="s">
        <v>1524</v>
      </c>
      <c r="C82" s="13" t="s">
        <v>1525</v>
      </c>
      <c r="D82" s="13" t="s">
        <v>1315</v>
      </c>
      <c r="E82" s="13" t="s">
        <v>1350</v>
      </c>
      <c r="F82" s="13" t="s">
        <v>1370</v>
      </c>
      <c r="G82" s="13" t="s">
        <v>1384</v>
      </c>
      <c r="H82" s="13" t="s">
        <v>1318</v>
      </c>
      <c r="I82" s="13">
        <v>2003033</v>
      </c>
      <c r="J82" s="13">
        <v>2003033</v>
      </c>
      <c r="K82" s="13">
        <v>100</v>
      </c>
    </row>
    <row r="83" spans="1:11">
      <c r="A83" s="15" t="str">
        <f>VLOOKUP(E83,Table1[[#All],[Campo]],1,0)</f>
        <v>cod_soc</v>
      </c>
      <c r="B83" s="13" t="s">
        <v>1526</v>
      </c>
      <c r="C83" s="13" t="s">
        <v>1368</v>
      </c>
      <c r="D83" s="13" t="s">
        <v>1366</v>
      </c>
      <c r="E83" s="13" t="s">
        <v>1293</v>
      </c>
      <c r="F83" s="13" t="s">
        <v>1370</v>
      </c>
      <c r="G83" s="13" t="s">
        <v>1527</v>
      </c>
      <c r="H83" s="13" t="s">
        <v>621</v>
      </c>
      <c r="I83" s="13">
        <v>731165</v>
      </c>
      <c r="J83" s="13">
        <v>0</v>
      </c>
      <c r="K83" s="13">
        <v>0</v>
      </c>
    </row>
    <row r="84" spans="1:11">
      <c r="A84" s="15" t="str">
        <f>VLOOKUP(E84,Table1[[#All],[Campo]],1,0)</f>
        <v>dt_rfrnc</v>
      </c>
      <c r="B84" s="13" t="s">
        <v>1528</v>
      </c>
      <c r="C84" s="13" t="s">
        <v>1379</v>
      </c>
      <c r="D84" s="13" t="s">
        <v>1366</v>
      </c>
      <c r="E84" s="13" t="s">
        <v>1298</v>
      </c>
      <c r="F84" s="13" t="s">
        <v>1374</v>
      </c>
      <c r="G84" s="13" t="s">
        <v>1527</v>
      </c>
      <c r="H84" s="13" t="s">
        <v>621</v>
      </c>
      <c r="I84" s="13">
        <v>731165</v>
      </c>
      <c r="J84" s="13">
        <v>0</v>
      </c>
      <c r="K84" s="13">
        <v>0</v>
      </c>
    </row>
    <row r="85" spans="1:11">
      <c r="A85" s="15" t="str">
        <f>VLOOKUP(E85,Table1[[#All],[Campo]],1,0)</f>
        <v>instrmnt_id</v>
      </c>
      <c r="B85" s="13" t="s">
        <v>1529</v>
      </c>
      <c r="C85" s="13" t="s">
        <v>1381</v>
      </c>
      <c r="D85" s="13" t="s">
        <v>1366</v>
      </c>
      <c r="E85" s="13" t="s">
        <v>1307</v>
      </c>
      <c r="F85" s="13" t="s">
        <v>1382</v>
      </c>
      <c r="G85" s="13" t="s">
        <v>1527</v>
      </c>
      <c r="H85" s="13" t="s">
        <v>621</v>
      </c>
      <c r="I85" s="13">
        <v>731165</v>
      </c>
      <c r="J85" s="13">
        <v>0</v>
      </c>
      <c r="K85" s="13">
        <v>0</v>
      </c>
    </row>
    <row r="86" spans="1:11">
      <c r="A86" s="15" t="str">
        <f>VLOOKUP(E86,Table1[[#All],[Campo]],1,0)</f>
        <v>cod_soc</v>
      </c>
      <c r="B86" s="13" t="s">
        <v>1530</v>
      </c>
      <c r="C86" s="13" t="s">
        <v>1368</v>
      </c>
      <c r="D86" s="13" t="s">
        <v>1531</v>
      </c>
      <c r="E86" s="13" t="s">
        <v>1293</v>
      </c>
      <c r="F86" s="13" t="s">
        <v>1370</v>
      </c>
      <c r="G86" s="13" t="s">
        <v>1532</v>
      </c>
      <c r="H86" s="13" t="s">
        <v>621</v>
      </c>
      <c r="I86" s="13">
        <v>456960</v>
      </c>
      <c r="J86" s="13">
        <v>0</v>
      </c>
      <c r="K86" s="13">
        <v>0</v>
      </c>
    </row>
    <row r="87" spans="1:11">
      <c r="A87" s="15" t="str">
        <f>VLOOKUP(E87,Table1[[#All],[Campo]],1,0)</f>
        <v>dt_rfrnc</v>
      </c>
      <c r="B87" s="13" t="s">
        <v>1533</v>
      </c>
      <c r="C87" s="13" t="s">
        <v>1379</v>
      </c>
      <c r="D87" s="13" t="s">
        <v>1531</v>
      </c>
      <c r="E87" s="13" t="s">
        <v>1298</v>
      </c>
      <c r="F87" s="13" t="s">
        <v>1374</v>
      </c>
      <c r="G87" s="13" t="s">
        <v>1532</v>
      </c>
      <c r="H87" s="13" t="s">
        <v>621</v>
      </c>
      <c r="I87" s="13">
        <v>456960</v>
      </c>
      <c r="J87" s="13">
        <v>0</v>
      </c>
      <c r="K87" s="13">
        <v>0</v>
      </c>
    </row>
    <row r="88" spans="1:11">
      <c r="A88" s="15" t="str">
        <f>VLOOKUP(E88,Table1[[#All],[Campo]],1,0)</f>
        <v>instrmnt_id</v>
      </c>
      <c r="B88" s="13" t="s">
        <v>1534</v>
      </c>
      <c r="C88" s="13" t="s">
        <v>1535</v>
      </c>
      <c r="D88" s="13" t="s">
        <v>1376</v>
      </c>
      <c r="E88" s="13" t="s">
        <v>1307</v>
      </c>
      <c r="F88" s="13" t="s">
        <v>1536</v>
      </c>
      <c r="G88" s="13" t="s">
        <v>1537</v>
      </c>
      <c r="H88" s="13" t="s">
        <v>621</v>
      </c>
      <c r="I88" s="13">
        <v>2490665</v>
      </c>
      <c r="J88" s="13">
        <v>0</v>
      </c>
      <c r="K88" s="13">
        <v>0</v>
      </c>
    </row>
    <row r="89" spans="1:11">
      <c r="A89" s="15" t="str">
        <f>VLOOKUP(E89,Table1[[#All],[Campo]],1,0)</f>
        <v>typ_instrmnt</v>
      </c>
      <c r="B89" s="13" t="s">
        <v>1538</v>
      </c>
      <c r="C89" s="13" t="s">
        <v>1539</v>
      </c>
      <c r="D89" s="13" t="s">
        <v>1315</v>
      </c>
      <c r="E89" s="13" t="s">
        <v>1399</v>
      </c>
      <c r="F89" s="13" t="s">
        <v>1536</v>
      </c>
      <c r="G89" s="13" t="s">
        <v>1537</v>
      </c>
      <c r="H89" s="13" t="s">
        <v>621</v>
      </c>
      <c r="I89" s="13">
        <v>2001306</v>
      </c>
      <c r="J89" s="13">
        <v>0</v>
      </c>
      <c r="K89" s="13">
        <v>0</v>
      </c>
    </row>
    <row r="90" spans="1:11">
      <c r="A90" s="15" t="str">
        <f>VLOOKUP(E90,Table1[[#All],[Campo]],1,0)</f>
        <v>instrmnt_id</v>
      </c>
      <c r="B90" s="13" t="s">
        <v>1540</v>
      </c>
      <c r="C90" s="13" t="s">
        <v>1541</v>
      </c>
      <c r="D90" s="13" t="s">
        <v>1366</v>
      </c>
      <c r="E90" s="13" t="s">
        <v>1307</v>
      </c>
      <c r="F90" s="13" t="s">
        <v>1536</v>
      </c>
      <c r="G90" s="13" t="s">
        <v>1537</v>
      </c>
      <c r="H90" s="13" t="s">
        <v>621</v>
      </c>
      <c r="I90" s="13">
        <v>731165</v>
      </c>
      <c r="J90" s="13">
        <v>0</v>
      </c>
      <c r="K90" s="13">
        <v>0</v>
      </c>
    </row>
    <row r="91" spans="1:11">
      <c r="A91" s="15" t="str">
        <f>VLOOKUP(E91,Table1[[#All],[Campo]],1,0)</f>
        <v>dt_rfrnc</v>
      </c>
      <c r="B91" s="13" t="s">
        <v>1542</v>
      </c>
      <c r="C91" s="13" t="s">
        <v>1543</v>
      </c>
      <c r="D91" s="13" t="s">
        <v>1292</v>
      </c>
      <c r="E91" s="13" t="s">
        <v>1298</v>
      </c>
      <c r="F91" s="13" t="s">
        <v>1544</v>
      </c>
      <c r="G91" s="13" t="s">
        <v>1545</v>
      </c>
      <c r="H91" s="13" t="s">
        <v>621</v>
      </c>
      <c r="I91" s="13">
        <v>1096295</v>
      </c>
      <c r="J91" s="13">
        <v>0</v>
      </c>
      <c r="K91" s="13">
        <v>0</v>
      </c>
    </row>
    <row r="92" spans="1:11">
      <c r="A92" s="15" t="str">
        <f>VLOOKUP(E92,Table1[[#All],[Campo]],1,0)</f>
        <v>dt_rfrnc</v>
      </c>
      <c r="B92" s="13" t="s">
        <v>1546</v>
      </c>
      <c r="C92" s="13" t="s">
        <v>1547</v>
      </c>
      <c r="D92" s="13" t="s">
        <v>1301</v>
      </c>
      <c r="E92" s="13" t="s">
        <v>1298</v>
      </c>
      <c r="F92" s="13" t="s">
        <v>1544</v>
      </c>
      <c r="G92" s="13" t="s">
        <v>1548</v>
      </c>
      <c r="H92" s="13" t="s">
        <v>621</v>
      </c>
      <c r="I92" s="13">
        <v>2490665</v>
      </c>
      <c r="J92" s="13">
        <v>0</v>
      </c>
      <c r="K92" s="13">
        <v>0</v>
      </c>
    </row>
    <row r="93" spans="1:11">
      <c r="A93" s="15" t="str">
        <f>VLOOKUP(E93,Table1[[#All],[Campo]],1,0)</f>
        <v>dt_rfrnc</v>
      </c>
      <c r="B93" s="13" t="s">
        <v>1549</v>
      </c>
      <c r="C93" s="13" t="s">
        <v>1547</v>
      </c>
      <c r="D93" s="13" t="s">
        <v>1309</v>
      </c>
      <c r="E93" s="13" t="s">
        <v>1298</v>
      </c>
      <c r="F93" s="13" t="s">
        <v>1544</v>
      </c>
      <c r="G93" s="13" t="s">
        <v>1550</v>
      </c>
      <c r="H93" s="13" t="s">
        <v>621</v>
      </c>
      <c r="I93" s="13">
        <v>2002411</v>
      </c>
      <c r="J93" s="13">
        <v>0</v>
      </c>
      <c r="K93" s="13">
        <v>0</v>
      </c>
    </row>
    <row r="94" spans="1:11">
      <c r="A94" s="15" t="str">
        <f>VLOOKUP(E94,Table1[[#All],[Campo]],1,0)</f>
        <v>imprmnt_stts</v>
      </c>
      <c r="B94" s="13" t="s">
        <v>1551</v>
      </c>
      <c r="C94" s="13" t="s">
        <v>1552</v>
      </c>
      <c r="D94" s="13" t="s">
        <v>1309</v>
      </c>
      <c r="E94" s="13" t="s">
        <v>1394</v>
      </c>
      <c r="F94" s="13" t="s">
        <v>1370</v>
      </c>
      <c r="G94" s="13" t="s">
        <v>1550</v>
      </c>
      <c r="H94" s="13" t="s">
        <v>621</v>
      </c>
      <c r="I94" s="13">
        <v>2002411</v>
      </c>
      <c r="J94" s="13">
        <v>0</v>
      </c>
      <c r="K94" s="13">
        <v>0</v>
      </c>
    </row>
    <row r="95" spans="1:11">
      <c r="A95" s="15" t="e">
        <f>VLOOKUP(E95,Table1[[#All],[Campo]],1,0)</f>
        <v>#N/A</v>
      </c>
      <c r="B95" s="13" t="s">
        <v>1553</v>
      </c>
      <c r="C95" s="13" t="s">
        <v>1554</v>
      </c>
      <c r="D95" s="13" t="s">
        <v>1309</v>
      </c>
      <c r="E95" s="13" t="s">
        <v>1488</v>
      </c>
      <c r="F95" s="13" t="s">
        <v>1370</v>
      </c>
      <c r="G95" s="13" t="s">
        <v>1550</v>
      </c>
      <c r="H95" s="13" t="s">
        <v>621</v>
      </c>
      <c r="I95" s="13">
        <v>2002411</v>
      </c>
      <c r="J95" s="13">
        <v>0</v>
      </c>
      <c r="K95" s="13">
        <v>0</v>
      </c>
    </row>
    <row r="96" spans="1:11">
      <c r="A96" s="15" t="str">
        <f>VLOOKUP(E96,Table1[[#All],[Campo]],1,0)</f>
        <v>dt_rfrnc</v>
      </c>
      <c r="B96" s="13" t="s">
        <v>1555</v>
      </c>
      <c r="C96" s="13" t="s">
        <v>1547</v>
      </c>
      <c r="D96" s="13" t="s">
        <v>1352</v>
      </c>
      <c r="E96" s="13" t="s">
        <v>1298</v>
      </c>
      <c r="F96" s="13" t="s">
        <v>1544</v>
      </c>
      <c r="G96" s="13" t="s">
        <v>1556</v>
      </c>
      <c r="H96" s="13" t="s">
        <v>621</v>
      </c>
      <c r="I96" s="13">
        <v>731165</v>
      </c>
      <c r="J96" s="13">
        <v>0</v>
      </c>
      <c r="K96" s="13">
        <v>0</v>
      </c>
    </row>
    <row r="97" spans="1:11">
      <c r="A97" s="15" t="str">
        <f>VLOOKUP(E97,Table1[[#All],[Campo]],1,0)</f>
        <v>dt_rfrnc</v>
      </c>
      <c r="B97" s="13" t="s">
        <v>1557</v>
      </c>
      <c r="C97" s="13" t="s">
        <v>1547</v>
      </c>
      <c r="D97" s="13" t="s">
        <v>1357</v>
      </c>
      <c r="E97" s="13" t="s">
        <v>1298</v>
      </c>
      <c r="F97" s="13" t="s">
        <v>1544</v>
      </c>
      <c r="G97" s="13" t="s">
        <v>1558</v>
      </c>
      <c r="H97" s="13" t="s">
        <v>621</v>
      </c>
      <c r="I97" s="13">
        <v>456960</v>
      </c>
      <c r="J97" s="13">
        <v>0</v>
      </c>
      <c r="K97" s="13">
        <v>0</v>
      </c>
    </row>
    <row r="98" spans="1:11">
      <c r="A98" s="15" t="str">
        <f>VLOOKUP(E98,Table1[[#All],[Campo]],1,0)</f>
        <v>dt_rfrnc</v>
      </c>
      <c r="B98" s="13" t="s">
        <v>1559</v>
      </c>
      <c r="C98" s="13" t="s">
        <v>1560</v>
      </c>
      <c r="D98" s="13" t="s">
        <v>1369</v>
      </c>
      <c r="E98" s="13" t="s">
        <v>1298</v>
      </c>
      <c r="F98" s="13" t="s">
        <v>1544</v>
      </c>
      <c r="G98" s="13" t="s">
        <v>1561</v>
      </c>
      <c r="H98" s="13" t="s">
        <v>621</v>
      </c>
      <c r="I98" s="13">
        <v>1096295</v>
      </c>
      <c r="J98" s="13">
        <v>0</v>
      </c>
      <c r="K98" s="13">
        <v>0</v>
      </c>
    </row>
    <row r="99" spans="1:11">
      <c r="A99" s="15" t="str">
        <f>VLOOKUP(E99,Table1[[#All],[Campo]],1,0)</f>
        <v>dt_rfrnc</v>
      </c>
      <c r="B99" s="13" t="s">
        <v>1562</v>
      </c>
      <c r="C99" s="13" t="s">
        <v>1560</v>
      </c>
      <c r="D99" s="13" t="s">
        <v>1376</v>
      </c>
      <c r="E99" s="13" t="s">
        <v>1298</v>
      </c>
      <c r="F99" s="13" t="s">
        <v>1544</v>
      </c>
      <c r="G99" s="13" t="s">
        <v>1563</v>
      </c>
      <c r="H99" s="13" t="s">
        <v>621</v>
      </c>
      <c r="I99" s="13">
        <v>2490665</v>
      </c>
      <c r="J99" s="13">
        <v>0</v>
      </c>
      <c r="K99" s="13">
        <v>0</v>
      </c>
    </row>
    <row r="100" spans="1:11">
      <c r="A100" s="15" t="str">
        <f>VLOOKUP(E100,Table1[[#All],[Campo]],1,0)</f>
        <v>dt_rfrnc</v>
      </c>
      <c r="B100" s="13" t="s">
        <v>1564</v>
      </c>
      <c r="C100" s="13" t="s">
        <v>1560</v>
      </c>
      <c r="D100" s="13" t="s">
        <v>1315</v>
      </c>
      <c r="E100" s="13" t="s">
        <v>1298</v>
      </c>
      <c r="F100" s="13" t="s">
        <v>1544</v>
      </c>
      <c r="G100" s="13" t="s">
        <v>1565</v>
      </c>
      <c r="H100" s="13" t="s">
        <v>621</v>
      </c>
      <c r="I100" s="13">
        <v>2002411</v>
      </c>
      <c r="J100" s="13">
        <v>0</v>
      </c>
      <c r="K100" s="13">
        <v>0</v>
      </c>
    </row>
    <row r="101" spans="1:11">
      <c r="A101" s="15" t="str">
        <f>VLOOKUP(E101,Table1[[#All],[Campo]],1,0)</f>
        <v>grss_crryng_amnt_instrmnt</v>
      </c>
      <c r="B101" s="13" t="s">
        <v>1566</v>
      </c>
      <c r="C101" s="13" t="s">
        <v>1567</v>
      </c>
      <c r="D101" s="13" t="s">
        <v>1315</v>
      </c>
      <c r="E101" s="13" t="s">
        <v>1402</v>
      </c>
      <c r="F101" s="13" t="s">
        <v>1568</v>
      </c>
      <c r="G101" s="13" t="s">
        <v>1565</v>
      </c>
      <c r="H101" s="13" t="s">
        <v>1318</v>
      </c>
      <c r="I101" s="13">
        <v>2002411</v>
      </c>
      <c r="J101" s="13">
        <v>31379</v>
      </c>
      <c r="K101" s="13">
        <v>1.5670999999999999</v>
      </c>
    </row>
    <row r="102" spans="1:11">
      <c r="A102" s="15" t="str">
        <f>VLOOKUP(E102,Table1[[#All],[Campo]],1,0)</f>
        <v>accmltd_chngs_fv_cr_instrmnt</v>
      </c>
      <c r="B102" s="13" t="s">
        <v>1569</v>
      </c>
      <c r="C102" s="13" t="s">
        <v>1570</v>
      </c>
      <c r="D102" s="13" t="s">
        <v>1315</v>
      </c>
      <c r="E102" s="13" t="s">
        <v>1406</v>
      </c>
      <c r="F102" s="13" t="s">
        <v>1568</v>
      </c>
      <c r="G102" s="13" t="s">
        <v>1565</v>
      </c>
      <c r="H102" s="13" t="s">
        <v>621</v>
      </c>
      <c r="I102" s="13">
        <v>2002411</v>
      </c>
      <c r="J102" s="13">
        <v>0</v>
      </c>
      <c r="K102" s="13">
        <v>0</v>
      </c>
    </row>
    <row r="103" spans="1:11">
      <c r="A103" s="15" t="str">
        <f>VLOOKUP(E103,Table1[[#All],[Campo]],1,0)</f>
        <v>OFF_BLNC_SHT_AMNT_INSTRMNT</v>
      </c>
      <c r="B103" s="13" t="s">
        <v>1571</v>
      </c>
      <c r="C103" s="13" t="s">
        <v>1572</v>
      </c>
      <c r="D103" s="13" t="s">
        <v>1315</v>
      </c>
      <c r="E103" s="13" t="s">
        <v>1412</v>
      </c>
      <c r="F103" s="13" t="s">
        <v>1568</v>
      </c>
      <c r="G103" s="13" t="s">
        <v>1565</v>
      </c>
      <c r="H103" s="13" t="s">
        <v>621</v>
      </c>
      <c r="I103" s="13">
        <v>2002411</v>
      </c>
      <c r="J103" s="13">
        <v>0</v>
      </c>
      <c r="K103" s="13">
        <v>0</v>
      </c>
    </row>
    <row r="104" spans="1:11">
      <c r="A104" s="15" t="e">
        <f>VLOOKUP(E104,Table1[[#All],[Campo]],1,0)</f>
        <v>#N/A</v>
      </c>
      <c r="B104" s="13" t="s">
        <v>1573</v>
      </c>
      <c r="C104" s="13" t="s">
        <v>1574</v>
      </c>
      <c r="D104" s="13" t="s">
        <v>1315</v>
      </c>
      <c r="E104" s="13" t="s">
        <v>1415</v>
      </c>
      <c r="F104" s="13" t="s">
        <v>1568</v>
      </c>
      <c r="G104" s="13" t="s">
        <v>1565</v>
      </c>
      <c r="H104" s="13" t="s">
        <v>621</v>
      </c>
      <c r="I104" s="13">
        <v>2002411</v>
      </c>
      <c r="J104" s="13">
        <v>0</v>
      </c>
      <c r="K104" s="13">
        <v>0</v>
      </c>
    </row>
    <row r="105" spans="1:11">
      <c r="A105" s="15" t="str">
        <f>VLOOKUP(E105,Table1[[#All],[Campo]],1,0)</f>
        <v>RWA</v>
      </c>
      <c r="B105" s="13" t="s">
        <v>1575</v>
      </c>
      <c r="C105" s="13" t="s">
        <v>1576</v>
      </c>
      <c r="D105" s="13" t="s">
        <v>1315</v>
      </c>
      <c r="E105" s="13" t="s">
        <v>1418</v>
      </c>
      <c r="F105" s="13" t="s">
        <v>1568</v>
      </c>
      <c r="G105" s="13" t="s">
        <v>1565</v>
      </c>
      <c r="H105" s="13" t="s">
        <v>621</v>
      </c>
      <c r="I105" s="13">
        <v>2002411</v>
      </c>
      <c r="J105" s="13">
        <v>0</v>
      </c>
      <c r="K105" s="13">
        <v>0</v>
      </c>
    </row>
    <row r="106" spans="1:11">
      <c r="A106" s="15" t="str">
        <f>VLOOKUP(E106,Table1[[#All],[Campo]],1,0)</f>
        <v>accmltd_imprmnt_instrmnt</v>
      </c>
      <c r="B106" s="13" t="s">
        <v>1577</v>
      </c>
      <c r="C106" s="13" t="s">
        <v>1578</v>
      </c>
      <c r="D106" s="13" t="s">
        <v>1315</v>
      </c>
      <c r="E106" s="13" t="s">
        <v>1421</v>
      </c>
      <c r="F106" s="13" t="s">
        <v>1568</v>
      </c>
      <c r="G106" s="13" t="s">
        <v>1565</v>
      </c>
      <c r="H106" s="13" t="s">
        <v>621</v>
      </c>
      <c r="I106" s="13">
        <v>2002411</v>
      </c>
      <c r="J106" s="13">
        <v>0</v>
      </c>
      <c r="K106" s="13">
        <v>0</v>
      </c>
    </row>
    <row r="107" spans="1:11">
      <c r="A107" s="15" t="e">
        <f>VLOOKUP(E107,Table1[[#All],[Campo]],1,0)</f>
        <v>#N/A</v>
      </c>
      <c r="B107" s="13" t="s">
        <v>1579</v>
      </c>
      <c r="C107" s="13" t="s">
        <v>1580</v>
      </c>
      <c r="D107" s="13" t="s">
        <v>1315</v>
      </c>
      <c r="E107" s="13" t="s">
        <v>1433</v>
      </c>
      <c r="F107" s="13" t="s">
        <v>1568</v>
      </c>
      <c r="G107" s="13" t="s">
        <v>1565</v>
      </c>
      <c r="H107" s="13" t="s">
        <v>621</v>
      </c>
      <c r="I107" s="13">
        <v>2002411</v>
      </c>
      <c r="J107" s="13">
        <v>0</v>
      </c>
      <c r="K107" s="13">
        <v>0</v>
      </c>
    </row>
    <row r="108" spans="1:11">
      <c r="A108" s="15" t="str">
        <f>VLOOKUP(E108,Table1[[#All],[Campo]],1,0)</f>
        <v>grss_intrst_incm</v>
      </c>
      <c r="B108" s="13" t="s">
        <v>1581</v>
      </c>
      <c r="C108" s="13" t="s">
        <v>1582</v>
      </c>
      <c r="D108" s="13" t="s">
        <v>1315</v>
      </c>
      <c r="E108" s="13" t="s">
        <v>1438</v>
      </c>
      <c r="F108" s="13" t="s">
        <v>1568</v>
      </c>
      <c r="G108" s="13" t="s">
        <v>1565</v>
      </c>
      <c r="H108" s="13" t="s">
        <v>621</v>
      </c>
      <c r="I108" s="13">
        <v>2002411</v>
      </c>
      <c r="J108" s="13">
        <v>0</v>
      </c>
      <c r="K108" s="13">
        <v>0</v>
      </c>
    </row>
    <row r="109" spans="1:11">
      <c r="A109" s="15" t="s">
        <v>1439</v>
      </c>
      <c r="B109" s="13" t="s">
        <v>1583</v>
      </c>
      <c r="C109" s="13" t="s">
        <v>1584</v>
      </c>
      <c r="D109" s="13" t="s">
        <v>1315</v>
      </c>
      <c r="E109" s="13" t="s">
        <v>1442</v>
      </c>
      <c r="F109" s="13" t="s">
        <v>1568</v>
      </c>
      <c r="G109" s="13" t="s">
        <v>1565</v>
      </c>
      <c r="H109" s="13" t="s">
        <v>621</v>
      </c>
      <c r="I109" s="13">
        <v>2002411</v>
      </c>
      <c r="J109" s="13">
        <v>0</v>
      </c>
      <c r="K109" s="13">
        <v>0</v>
      </c>
    </row>
    <row r="110" spans="1:11">
      <c r="A110" s="15" t="e">
        <f>VLOOKUP(E110,Table1[[#All],[Campo]],1,0)</f>
        <v>#N/A</v>
      </c>
      <c r="B110" s="13" t="s">
        <v>1585</v>
      </c>
      <c r="C110" s="13" t="s">
        <v>1586</v>
      </c>
      <c r="D110" s="13" t="s">
        <v>1315</v>
      </c>
      <c r="E110" s="13" t="s">
        <v>1445</v>
      </c>
      <c r="F110" s="13" t="s">
        <v>1568</v>
      </c>
      <c r="G110" s="13" t="s">
        <v>1565</v>
      </c>
      <c r="H110" s="13" t="s">
        <v>621</v>
      </c>
      <c r="I110" s="13">
        <v>2002411</v>
      </c>
      <c r="J110" s="13">
        <v>0</v>
      </c>
      <c r="K110" s="13">
        <v>0</v>
      </c>
    </row>
    <row r="111" spans="1:11">
      <c r="A111" s="15" t="e">
        <f>VLOOKUP(E111,Table1[[#All],[Campo]],1,0)</f>
        <v>#N/A</v>
      </c>
      <c r="B111" s="13" t="s">
        <v>1587</v>
      </c>
      <c r="C111" s="13" t="s">
        <v>1588</v>
      </c>
      <c r="D111" s="13" t="s">
        <v>1315</v>
      </c>
      <c r="E111" s="13" t="s">
        <v>1448</v>
      </c>
      <c r="F111" s="13" t="s">
        <v>1568</v>
      </c>
      <c r="G111" s="13" t="s">
        <v>1565</v>
      </c>
      <c r="H111" s="13" t="s">
        <v>621</v>
      </c>
      <c r="I111" s="13">
        <v>2002411</v>
      </c>
      <c r="J111" s="13">
        <v>0</v>
      </c>
      <c r="K111" s="13">
        <v>0</v>
      </c>
    </row>
    <row r="112" spans="1:11">
      <c r="A112" s="15" t="s">
        <v>1454</v>
      </c>
      <c r="B112" s="13" t="s">
        <v>1589</v>
      </c>
      <c r="C112" s="13" t="s">
        <v>1590</v>
      </c>
      <c r="D112" s="13" t="s">
        <v>1315</v>
      </c>
      <c r="E112" s="13" t="s">
        <v>1457</v>
      </c>
      <c r="F112" s="13" t="s">
        <v>1568</v>
      </c>
      <c r="G112" s="13" t="s">
        <v>1565</v>
      </c>
      <c r="H112" s="13" t="s">
        <v>621</v>
      </c>
      <c r="I112" s="13">
        <v>2002411</v>
      </c>
      <c r="J112" s="13">
        <v>0</v>
      </c>
      <c r="K112" s="13">
        <v>0</v>
      </c>
    </row>
    <row r="113" spans="1:11">
      <c r="A113" s="15" t="e">
        <f>VLOOKUP(E113,Table1[[#All],[Campo]],1,0)</f>
        <v>#N/A</v>
      </c>
      <c r="B113" s="13" t="s">
        <v>1591</v>
      </c>
      <c r="C113" s="13" t="s">
        <v>1592</v>
      </c>
      <c r="D113" s="13" t="s">
        <v>1315</v>
      </c>
      <c r="E113" s="13" t="s">
        <v>1460</v>
      </c>
      <c r="F113" s="13" t="s">
        <v>1568</v>
      </c>
      <c r="G113" s="13" t="s">
        <v>1565</v>
      </c>
      <c r="H113" s="13" t="s">
        <v>621</v>
      </c>
      <c r="I113" s="13">
        <v>2002411</v>
      </c>
      <c r="J113" s="13">
        <v>0</v>
      </c>
      <c r="K113" s="13">
        <v>0</v>
      </c>
    </row>
    <row r="114" spans="1:11">
      <c r="A114" s="15" t="e">
        <f>VLOOKUP(E114,Table1[[#All],[Campo]],1,0)</f>
        <v>#N/A</v>
      </c>
      <c r="B114" s="13" t="s">
        <v>1593</v>
      </c>
      <c r="C114" s="13" t="s">
        <v>1594</v>
      </c>
      <c r="D114" s="13" t="s">
        <v>1315</v>
      </c>
      <c r="E114" s="13" t="s">
        <v>1474</v>
      </c>
      <c r="F114" s="13" t="s">
        <v>1568</v>
      </c>
      <c r="G114" s="13" t="s">
        <v>1565</v>
      </c>
      <c r="H114" s="13" t="s">
        <v>621</v>
      </c>
      <c r="I114" s="13">
        <v>2002411</v>
      </c>
      <c r="J114" s="13">
        <v>0</v>
      </c>
      <c r="K114" s="13">
        <v>0</v>
      </c>
    </row>
    <row r="115" spans="1:11">
      <c r="A115" s="15" t="e">
        <f>VLOOKUP(E115,Table1[[#All],[Campo]],1,0)</f>
        <v>#N/A</v>
      </c>
      <c r="B115" s="13" t="s">
        <v>1595</v>
      </c>
      <c r="C115" s="13" t="s">
        <v>1596</v>
      </c>
      <c r="D115" s="13" t="s">
        <v>1315</v>
      </c>
      <c r="E115" s="13" t="s">
        <v>1477</v>
      </c>
      <c r="F115" s="13" t="s">
        <v>1568</v>
      </c>
      <c r="G115" s="13" t="s">
        <v>1565</v>
      </c>
      <c r="H115" s="13" t="s">
        <v>621</v>
      </c>
      <c r="I115" s="13">
        <v>2002411</v>
      </c>
      <c r="J115" s="13">
        <v>0</v>
      </c>
      <c r="K115" s="13">
        <v>0</v>
      </c>
    </row>
    <row r="116" spans="1:11">
      <c r="A116" s="15" t="s">
        <v>1478</v>
      </c>
      <c r="B116" s="13" t="s">
        <v>1597</v>
      </c>
      <c r="C116" s="13" t="s">
        <v>1598</v>
      </c>
      <c r="D116" s="13" t="s">
        <v>1315</v>
      </c>
      <c r="E116" s="13" t="s">
        <v>1481</v>
      </c>
      <c r="F116" s="13" t="s">
        <v>1568</v>
      </c>
      <c r="G116" s="13" t="s">
        <v>1565</v>
      </c>
      <c r="H116" s="13" t="s">
        <v>621</v>
      </c>
      <c r="I116" s="13">
        <v>2002411</v>
      </c>
      <c r="J116" s="13">
        <v>0</v>
      </c>
      <c r="K116" s="13">
        <v>0</v>
      </c>
    </row>
    <row r="117" spans="1:11">
      <c r="A117" s="15" t="s">
        <v>1482</v>
      </c>
      <c r="B117" s="13" t="s">
        <v>1599</v>
      </c>
      <c r="C117" s="13" t="s">
        <v>1600</v>
      </c>
      <c r="D117" s="13" t="s">
        <v>1315</v>
      </c>
      <c r="E117" s="13" t="s">
        <v>1485</v>
      </c>
      <c r="F117" s="13" t="s">
        <v>1568</v>
      </c>
      <c r="G117" s="13" t="s">
        <v>1565</v>
      </c>
      <c r="H117" s="13" t="s">
        <v>621</v>
      </c>
      <c r="I117" s="13">
        <v>2002411</v>
      </c>
      <c r="J117" s="13">
        <v>0</v>
      </c>
      <c r="K117" s="13">
        <v>0</v>
      </c>
    </row>
    <row r="118" spans="1:11">
      <c r="A118" s="15" t="e">
        <f>VLOOKUP(E118,Table1[[#All],[Campo]],1,0)</f>
        <v>#N/A</v>
      </c>
      <c r="B118" s="13" t="s">
        <v>1601</v>
      </c>
      <c r="C118" s="13" t="s">
        <v>1602</v>
      </c>
      <c r="D118" s="13" t="s">
        <v>1315</v>
      </c>
      <c r="E118" s="13" t="s">
        <v>1491</v>
      </c>
      <c r="F118" s="13" t="s">
        <v>1568</v>
      </c>
      <c r="G118" s="13" t="s">
        <v>1565</v>
      </c>
      <c r="H118" s="13" t="s">
        <v>621</v>
      </c>
      <c r="I118" s="13">
        <v>2002411</v>
      </c>
      <c r="J118" s="13">
        <v>0</v>
      </c>
      <c r="K118" s="13">
        <v>0</v>
      </c>
    </row>
    <row r="119" spans="1:11">
      <c r="A119" s="15" t="e">
        <f>VLOOKUP(E119,Table1[[#All],[Campo]],1,0)</f>
        <v>#N/A</v>
      </c>
      <c r="B119" s="13" t="s">
        <v>1603</v>
      </c>
      <c r="C119" s="13" t="s">
        <v>1604</v>
      </c>
      <c r="D119" s="13" t="s">
        <v>1315</v>
      </c>
      <c r="E119" s="13" t="s">
        <v>1497</v>
      </c>
      <c r="F119" s="13" t="s">
        <v>1568</v>
      </c>
      <c r="G119" s="13" t="s">
        <v>1565</v>
      </c>
      <c r="H119" s="13" t="s">
        <v>621</v>
      </c>
      <c r="I119" s="13">
        <v>2002411</v>
      </c>
      <c r="J119" s="13">
        <v>0</v>
      </c>
      <c r="K119" s="13">
        <v>0</v>
      </c>
    </row>
    <row r="120" spans="1:11">
      <c r="A120" s="15" t="e">
        <f>VLOOKUP(E120,Table1[[#All],[Campo]],1,0)</f>
        <v>#N/A</v>
      </c>
      <c r="B120" s="13" t="s">
        <v>1605</v>
      </c>
      <c r="C120" s="13" t="s">
        <v>1606</v>
      </c>
      <c r="D120" s="13" t="s">
        <v>1315</v>
      </c>
      <c r="E120" s="13" t="s">
        <v>1500</v>
      </c>
      <c r="F120" s="13" t="s">
        <v>1568</v>
      </c>
      <c r="G120" s="13" t="s">
        <v>1565</v>
      </c>
      <c r="H120" s="13" t="s">
        <v>621</v>
      </c>
      <c r="I120" s="13">
        <v>2002411</v>
      </c>
      <c r="J120" s="13">
        <v>0</v>
      </c>
      <c r="K120" s="13">
        <v>0</v>
      </c>
    </row>
    <row r="121" spans="1:11">
      <c r="A121" s="15" t="s">
        <v>1501</v>
      </c>
      <c r="B121" s="13" t="s">
        <v>1607</v>
      </c>
      <c r="C121" s="13" t="s">
        <v>1608</v>
      </c>
      <c r="D121" s="13" t="s">
        <v>1315</v>
      </c>
      <c r="E121" s="13" t="s">
        <v>1504</v>
      </c>
      <c r="F121" s="13" t="s">
        <v>1568</v>
      </c>
      <c r="G121" s="13" t="s">
        <v>1565</v>
      </c>
      <c r="H121" s="13" t="s">
        <v>621</v>
      </c>
      <c r="I121" s="13">
        <v>2002411</v>
      </c>
      <c r="J121" s="13">
        <v>0</v>
      </c>
      <c r="K121" s="13">
        <v>0</v>
      </c>
    </row>
    <row r="122" spans="1:11">
      <c r="A122" s="15" t="s">
        <v>1505</v>
      </c>
      <c r="B122" s="13" t="s">
        <v>1609</v>
      </c>
      <c r="C122" s="13" t="s">
        <v>1610</v>
      </c>
      <c r="D122" s="13" t="s">
        <v>1315</v>
      </c>
      <c r="E122" s="13" t="s">
        <v>1508</v>
      </c>
      <c r="F122" s="13" t="s">
        <v>1568</v>
      </c>
      <c r="G122" s="13" t="s">
        <v>1565</v>
      </c>
      <c r="H122" s="13" t="s">
        <v>621</v>
      </c>
      <c r="I122" s="13">
        <v>2002411</v>
      </c>
      <c r="J122" s="13">
        <v>0</v>
      </c>
      <c r="K122" s="13">
        <v>0</v>
      </c>
    </row>
    <row r="123" spans="1:11">
      <c r="A123" s="15" t="e">
        <f>VLOOKUP(E123,Table1[[#All],[Campo]],1,0)</f>
        <v>#N/A</v>
      </c>
      <c r="B123" s="13" t="s">
        <v>1611</v>
      </c>
      <c r="C123" s="13" t="s">
        <v>1612</v>
      </c>
      <c r="D123" s="13" t="s">
        <v>1315</v>
      </c>
      <c r="E123" s="13" t="s">
        <v>1511</v>
      </c>
      <c r="F123" s="13" t="s">
        <v>1568</v>
      </c>
      <c r="G123" s="13" t="s">
        <v>1565</v>
      </c>
      <c r="H123" s="13" t="s">
        <v>621</v>
      </c>
      <c r="I123" s="13">
        <v>2002411</v>
      </c>
      <c r="J123" s="13">
        <v>0</v>
      </c>
      <c r="K123" s="13">
        <v>0</v>
      </c>
    </row>
    <row r="124" spans="1:11">
      <c r="A124" s="15" t="s">
        <v>1514</v>
      </c>
      <c r="B124" s="13" t="s">
        <v>1613</v>
      </c>
      <c r="C124" s="13" t="s">
        <v>1614</v>
      </c>
      <c r="D124" s="13" t="s">
        <v>1315</v>
      </c>
      <c r="E124" s="13" t="s">
        <v>1517</v>
      </c>
      <c r="F124" s="13" t="s">
        <v>1568</v>
      </c>
      <c r="G124" s="13" t="s">
        <v>1565</v>
      </c>
      <c r="H124" s="13" t="s">
        <v>621</v>
      </c>
      <c r="I124" s="13">
        <v>2002411</v>
      </c>
      <c r="J124" s="13">
        <v>0</v>
      </c>
      <c r="K124" s="13">
        <v>0</v>
      </c>
    </row>
    <row r="125" spans="1:11">
      <c r="A125" s="15" t="s">
        <v>1518</v>
      </c>
      <c r="B125" s="13" t="s">
        <v>1615</v>
      </c>
      <c r="C125" s="13" t="s">
        <v>1616</v>
      </c>
      <c r="D125" s="13" t="s">
        <v>1315</v>
      </c>
      <c r="E125" s="13" t="s">
        <v>1521</v>
      </c>
      <c r="F125" s="13" t="s">
        <v>1568</v>
      </c>
      <c r="G125" s="13" t="s">
        <v>1565</v>
      </c>
      <c r="H125" s="13" t="s">
        <v>621</v>
      </c>
      <c r="I125" s="13">
        <v>2002411</v>
      </c>
      <c r="J125" s="13">
        <v>0</v>
      </c>
      <c r="K125" s="13">
        <v>0</v>
      </c>
    </row>
    <row r="126" spans="1:11">
      <c r="A126" s="15" t="str">
        <f>VLOOKUP(E126,Table1[[#All],[Campo]],1,0)</f>
        <v>dt_rfrnc</v>
      </c>
      <c r="B126" s="13" t="s">
        <v>1617</v>
      </c>
      <c r="C126" s="13" t="s">
        <v>1560</v>
      </c>
      <c r="D126" s="13" t="s">
        <v>1366</v>
      </c>
      <c r="E126" s="13" t="s">
        <v>1298</v>
      </c>
      <c r="F126" s="13" t="s">
        <v>1544</v>
      </c>
      <c r="G126" s="13" t="s">
        <v>1618</v>
      </c>
      <c r="H126" s="13" t="s">
        <v>621</v>
      </c>
      <c r="I126" s="13">
        <v>731165</v>
      </c>
      <c r="J126" s="13">
        <v>0</v>
      </c>
      <c r="K126" s="13">
        <v>0</v>
      </c>
    </row>
    <row r="127" spans="1:11">
      <c r="A127" s="15" t="str">
        <f>VLOOKUP(E127,Table1[[#All],[Campo]],1,0)</f>
        <v>dt_rfrnc</v>
      </c>
      <c r="B127" s="13" t="s">
        <v>1619</v>
      </c>
      <c r="C127" s="13" t="s">
        <v>1560</v>
      </c>
      <c r="D127" s="13" t="s">
        <v>1531</v>
      </c>
      <c r="E127" s="13" t="s">
        <v>1298</v>
      </c>
      <c r="F127" s="13" t="s">
        <v>1544</v>
      </c>
      <c r="G127" s="13" t="s">
        <v>1620</v>
      </c>
      <c r="H127" s="13" t="s">
        <v>621</v>
      </c>
      <c r="I127" s="13">
        <v>456960</v>
      </c>
      <c r="J127" s="13">
        <v>0</v>
      </c>
      <c r="K127" s="13">
        <v>0</v>
      </c>
    </row>
    <row r="128" spans="1:11">
      <c r="A128" s="15" t="str">
        <f>VLOOKUP(E128,Table1[[#All],[Campo]],1,0)</f>
        <v>subportfolio_id</v>
      </c>
      <c r="B128" s="13" t="s">
        <v>1621</v>
      </c>
      <c r="C128" s="13" t="s">
        <v>1622</v>
      </c>
      <c r="D128" s="13" t="s">
        <v>1623</v>
      </c>
      <c r="E128" s="13" t="s">
        <v>1387</v>
      </c>
      <c r="F128" s="13" t="s">
        <v>1624</v>
      </c>
      <c r="G128" s="13" t="s">
        <v>1625</v>
      </c>
      <c r="H128" s="13" t="s">
        <v>621</v>
      </c>
      <c r="I128" s="13">
        <v>0</v>
      </c>
      <c r="J128" s="13">
        <v>0</v>
      </c>
      <c r="K128" s="13">
        <v>0</v>
      </c>
    </row>
    <row r="129" spans="1:11">
      <c r="A129" s="15" t="str">
        <f>VLOOKUP(E129,Table1[[#All],[Campo]],1,0)</f>
        <v>dflt_stts_instrmnt</v>
      </c>
      <c r="B129" s="13" t="s">
        <v>1626</v>
      </c>
      <c r="C129" s="13" t="s">
        <v>1627</v>
      </c>
      <c r="D129" s="13" t="s">
        <v>1628</v>
      </c>
      <c r="E129" s="13" t="s">
        <v>1316</v>
      </c>
      <c r="F129" s="13" t="s">
        <v>1624</v>
      </c>
      <c r="G129" s="13" t="s">
        <v>1625</v>
      </c>
      <c r="H129" s="13" t="s">
        <v>621</v>
      </c>
      <c r="I129" s="13">
        <v>0</v>
      </c>
      <c r="J129" s="13">
        <v>0</v>
      </c>
      <c r="K129" s="13">
        <v>0</v>
      </c>
    </row>
    <row r="130" spans="1:11">
      <c r="A130" s="15" t="str">
        <f>VLOOKUP(E130,Table1[[#All],[Campo]],1,0)</f>
        <v>dflt_stts_instrmnt</v>
      </c>
      <c r="B130" s="13" t="s">
        <v>1629</v>
      </c>
      <c r="C130" s="13" t="s">
        <v>1630</v>
      </c>
      <c r="D130" s="13" t="s">
        <v>1631</v>
      </c>
      <c r="E130" s="13" t="s">
        <v>1316</v>
      </c>
      <c r="F130" s="13" t="s">
        <v>1624</v>
      </c>
      <c r="G130" s="13" t="s">
        <v>1625</v>
      </c>
      <c r="H130" s="13" t="s">
        <v>621</v>
      </c>
      <c r="I130" s="13">
        <v>0</v>
      </c>
      <c r="J130" s="13">
        <v>0</v>
      </c>
      <c r="K130" s="13">
        <v>0</v>
      </c>
    </row>
    <row r="131" spans="1:11">
      <c r="A131" s="15" t="str">
        <f>VLOOKUP(E131,Table1[[#All],[Campo]],1,0)</f>
        <v>dflt_stts_instrmnt</v>
      </c>
      <c r="B131" s="13" t="s">
        <v>1632</v>
      </c>
      <c r="C131" s="13" t="s">
        <v>1633</v>
      </c>
      <c r="D131" s="13" t="s">
        <v>1623</v>
      </c>
      <c r="E131" s="13" t="s">
        <v>1316</v>
      </c>
      <c r="F131" s="13" t="s">
        <v>1624</v>
      </c>
      <c r="G131" s="13" t="s">
        <v>1625</v>
      </c>
      <c r="H131" s="13" t="s">
        <v>621</v>
      </c>
      <c r="I131" s="13">
        <v>0</v>
      </c>
      <c r="J131" s="13">
        <v>0</v>
      </c>
      <c r="K131" s="13">
        <v>0</v>
      </c>
    </row>
    <row r="132" spans="1:11">
      <c r="A132" s="15" t="str">
        <f>VLOOKUP(E132,Table1[[#All],[Campo]],1,0)</f>
        <v>imprmnt_stts</v>
      </c>
      <c r="B132" s="13" t="s">
        <v>1634</v>
      </c>
      <c r="C132" s="13" t="s">
        <v>1635</v>
      </c>
      <c r="D132" s="13" t="s">
        <v>1623</v>
      </c>
      <c r="E132" s="13" t="s">
        <v>1394</v>
      </c>
      <c r="F132" s="13" t="s">
        <v>1624</v>
      </c>
      <c r="G132" s="13" t="s">
        <v>1625</v>
      </c>
      <c r="H132" s="13" t="s">
        <v>1318</v>
      </c>
      <c r="I132" s="13">
        <v>9703</v>
      </c>
      <c r="J132" s="13">
        <v>1</v>
      </c>
      <c r="K132" s="13">
        <v>1.03E-2</v>
      </c>
    </row>
    <row r="133" spans="1:11">
      <c r="A133" s="15" t="str">
        <f>VLOOKUP(E133,Table1[[#All],[Campo]],1,0)</f>
        <v>imprmnt_stts</v>
      </c>
      <c r="B133" s="13" t="s">
        <v>1636</v>
      </c>
      <c r="C133" s="13" t="s">
        <v>1637</v>
      </c>
      <c r="D133" s="13" t="s">
        <v>1623</v>
      </c>
      <c r="E133" s="13" t="s">
        <v>1394</v>
      </c>
      <c r="F133" s="13" t="s">
        <v>1624</v>
      </c>
      <c r="G133" s="13" t="s">
        <v>1625</v>
      </c>
      <c r="H133" s="13" t="s">
        <v>1318</v>
      </c>
      <c r="I133" s="13">
        <v>92666</v>
      </c>
      <c r="J133" s="13">
        <v>3283</v>
      </c>
      <c r="K133" s="13">
        <v>3.5428000000000002</v>
      </c>
    </row>
    <row r="134" spans="1:11">
      <c r="A134" s="15" t="str">
        <f>VLOOKUP(E134,Table1[[#All],[Campo]],1,0)</f>
        <v>imprmnt_stts</v>
      </c>
      <c r="B134" s="13" t="s">
        <v>1638</v>
      </c>
      <c r="C134" s="13" t="s">
        <v>1639</v>
      </c>
      <c r="D134" s="13" t="s">
        <v>1623</v>
      </c>
      <c r="E134" s="13" t="s">
        <v>1394</v>
      </c>
      <c r="F134" s="13" t="s">
        <v>1624</v>
      </c>
      <c r="G134" s="13" t="s">
        <v>1625</v>
      </c>
      <c r="H134" s="13" t="s">
        <v>1318</v>
      </c>
      <c r="I134" s="13">
        <v>1813562</v>
      </c>
      <c r="J134" s="13">
        <v>4684</v>
      </c>
      <c r="K134" s="13">
        <v>0.25829999999999997</v>
      </c>
    </row>
    <row r="135" spans="1:11">
      <c r="A135" s="15" t="str">
        <f>VLOOKUP(E135,Table1[[#All],[Campo]],1,0)</f>
        <v>imprmnt_stts</v>
      </c>
      <c r="B135" s="13" t="s">
        <v>1640</v>
      </c>
      <c r="C135" s="13" t="s">
        <v>1641</v>
      </c>
      <c r="D135" s="13" t="s">
        <v>1623</v>
      </c>
      <c r="E135" s="13" t="s">
        <v>1394</v>
      </c>
      <c r="F135" s="13" t="s">
        <v>1624</v>
      </c>
      <c r="G135" s="13" t="s">
        <v>1625</v>
      </c>
      <c r="H135" s="13" t="s">
        <v>621</v>
      </c>
      <c r="I135" s="13">
        <v>1905178</v>
      </c>
      <c r="J135" s="13">
        <v>0</v>
      </c>
      <c r="K135" s="13">
        <v>0</v>
      </c>
    </row>
    <row r="136" spans="1:11">
      <c r="A136" s="15" t="str">
        <f>VLOOKUP(E136,Table1[[#All],[Campo]],1,0)</f>
        <v>imprmnt_stts</v>
      </c>
      <c r="B136" s="13" t="s">
        <v>1642</v>
      </c>
      <c r="C136" s="13" t="s">
        <v>1643</v>
      </c>
      <c r="D136" s="13" t="s">
        <v>1628</v>
      </c>
      <c r="E136" s="13" t="s">
        <v>1394</v>
      </c>
      <c r="F136" s="13" t="s">
        <v>1624</v>
      </c>
      <c r="G136" s="13" t="s">
        <v>1625</v>
      </c>
      <c r="H136" s="13" t="s">
        <v>1318</v>
      </c>
      <c r="I136" s="13">
        <v>18441</v>
      </c>
      <c r="J136" s="13">
        <v>2850</v>
      </c>
      <c r="K136" s="13">
        <v>15.454700000000001</v>
      </c>
    </row>
    <row r="137" spans="1:11">
      <c r="A137" s="15" t="str">
        <f>VLOOKUP(E137,Table1[[#All],[Campo]],1,0)</f>
        <v>imprmnt_stts</v>
      </c>
      <c r="B137" s="13" t="s">
        <v>1644</v>
      </c>
      <c r="C137" s="13" t="s">
        <v>1645</v>
      </c>
      <c r="D137" s="13" t="s">
        <v>1646</v>
      </c>
      <c r="E137" s="13" t="s">
        <v>1394</v>
      </c>
      <c r="F137" s="13" t="s">
        <v>1624</v>
      </c>
      <c r="G137" s="13" t="s">
        <v>1625</v>
      </c>
      <c r="H137" s="13" t="s">
        <v>621</v>
      </c>
      <c r="I137" s="13">
        <v>1724899</v>
      </c>
      <c r="J137" s="13">
        <v>0</v>
      </c>
      <c r="K137" s="13">
        <v>0</v>
      </c>
    </row>
    <row r="138" spans="1:11">
      <c r="A138" s="15" t="str">
        <f>VLOOKUP(E138,Table1[[#All],[Campo]],1,0)</f>
        <v>imprmnt_stts</v>
      </c>
      <c r="B138" s="13" t="s">
        <v>1647</v>
      </c>
      <c r="C138" s="13" t="s">
        <v>1648</v>
      </c>
      <c r="D138" s="13" t="s">
        <v>1646</v>
      </c>
      <c r="E138" s="13" t="s">
        <v>1394</v>
      </c>
      <c r="F138" s="13" t="s">
        <v>1624</v>
      </c>
      <c r="G138" s="13" t="s">
        <v>1625</v>
      </c>
      <c r="H138" s="13" t="s">
        <v>621</v>
      </c>
      <c r="I138" s="13">
        <v>1472964</v>
      </c>
      <c r="J138" s="13">
        <v>0</v>
      </c>
      <c r="K138" s="13">
        <v>0</v>
      </c>
    </row>
    <row r="139" spans="1:11">
      <c r="A139" s="15" t="str">
        <f>VLOOKUP(E139,Table1[[#All],[Campo]],1,0)</f>
        <v>imprmnt_stts</v>
      </c>
      <c r="B139" s="13" t="s">
        <v>1649</v>
      </c>
      <c r="C139" s="13" t="s">
        <v>1650</v>
      </c>
      <c r="D139" s="13" t="s">
        <v>1646</v>
      </c>
      <c r="E139" s="13" t="s">
        <v>1394</v>
      </c>
      <c r="F139" s="13" t="s">
        <v>1624</v>
      </c>
      <c r="G139" s="13" t="s">
        <v>1625</v>
      </c>
      <c r="H139" s="13" t="s">
        <v>621</v>
      </c>
      <c r="I139" s="13">
        <v>432214</v>
      </c>
      <c r="J139" s="13">
        <v>0</v>
      </c>
      <c r="K139" s="13">
        <v>0</v>
      </c>
    </row>
    <row r="140" spans="1:11">
      <c r="A140" s="15" t="str">
        <f>VLOOKUP(E140,Table1[[#All],[Campo]],1,0)</f>
        <v>imprmnt_stts</v>
      </c>
      <c r="B140" s="13" t="s">
        <v>1651</v>
      </c>
      <c r="C140" s="13" t="s">
        <v>1652</v>
      </c>
      <c r="D140" s="13" t="s">
        <v>1646</v>
      </c>
      <c r="E140" s="13" t="s">
        <v>1394</v>
      </c>
      <c r="F140" s="13" t="s">
        <v>1624</v>
      </c>
      <c r="G140" s="13" t="s">
        <v>1625</v>
      </c>
      <c r="H140" s="13" t="s">
        <v>621</v>
      </c>
      <c r="I140" s="13">
        <v>97233</v>
      </c>
      <c r="J140" s="13">
        <v>0</v>
      </c>
      <c r="K140" s="13">
        <v>0</v>
      </c>
    </row>
    <row r="141" spans="1:11">
      <c r="A141" s="15" t="str">
        <f>VLOOKUP(E141,Table1[[#All],[Campo]],1,0)</f>
        <v>prfrmng_stts</v>
      </c>
      <c r="B141" s="13" t="s">
        <v>1653</v>
      </c>
      <c r="C141" s="13" t="s">
        <v>1654</v>
      </c>
      <c r="D141" s="13" t="s">
        <v>1623</v>
      </c>
      <c r="E141" s="13" t="s">
        <v>1321</v>
      </c>
      <c r="F141" s="13" t="s">
        <v>1624</v>
      </c>
      <c r="G141" s="13" t="s">
        <v>1625</v>
      </c>
      <c r="H141" s="13" t="s">
        <v>1318</v>
      </c>
      <c r="I141" s="13">
        <v>92666</v>
      </c>
      <c r="J141" s="13">
        <v>3283</v>
      </c>
      <c r="K141" s="13">
        <v>3.5428000000000002</v>
      </c>
    </row>
    <row r="142" spans="1:11">
      <c r="A142" s="15" t="str">
        <f>VLOOKUP(E142,Table1[[#All],[Campo]],1,0)</f>
        <v>prfrmng_stts</v>
      </c>
      <c r="B142" s="13" t="s">
        <v>1655</v>
      </c>
      <c r="C142" s="13" t="s">
        <v>1656</v>
      </c>
      <c r="D142" s="13" t="s">
        <v>1623</v>
      </c>
      <c r="E142" s="13" t="s">
        <v>1321</v>
      </c>
      <c r="F142" s="13" t="s">
        <v>1624</v>
      </c>
      <c r="G142" s="13" t="s">
        <v>1625</v>
      </c>
      <c r="H142" s="13" t="s">
        <v>621</v>
      </c>
      <c r="I142" s="13">
        <v>114216</v>
      </c>
      <c r="J142" s="13">
        <v>0</v>
      </c>
      <c r="K142" s="13">
        <v>0</v>
      </c>
    </row>
    <row r="143" spans="1:11">
      <c r="A143" s="15" t="str">
        <f>VLOOKUP(E143,Table1[[#All],[Campo]],1,0)</f>
        <v>prfrmng_stts</v>
      </c>
      <c r="B143" s="13" t="s">
        <v>1657</v>
      </c>
      <c r="C143" s="13" t="s">
        <v>1658</v>
      </c>
      <c r="D143" s="13" t="s">
        <v>1623</v>
      </c>
      <c r="E143" s="13" t="s">
        <v>1321</v>
      </c>
      <c r="F143" s="13" t="s">
        <v>1624</v>
      </c>
      <c r="G143" s="13" t="s">
        <v>1625</v>
      </c>
      <c r="H143" s="13" t="s">
        <v>621</v>
      </c>
      <c r="I143" s="13">
        <v>1408741</v>
      </c>
      <c r="J143" s="13">
        <v>0</v>
      </c>
      <c r="K143" s="13">
        <v>0</v>
      </c>
    </row>
    <row r="144" spans="1:11">
      <c r="A144" s="15" t="str">
        <f>VLOOKUP(E144,Table1[[#All],[Campo]],1,0)</f>
        <v>prfrmng_stts</v>
      </c>
      <c r="B144" s="13" t="s">
        <v>1659</v>
      </c>
      <c r="C144" s="13" t="s">
        <v>1660</v>
      </c>
      <c r="D144" s="13" t="s">
        <v>1631</v>
      </c>
      <c r="E144" s="13" t="s">
        <v>1321</v>
      </c>
      <c r="F144" s="13" t="s">
        <v>1624</v>
      </c>
      <c r="G144" s="13" t="s">
        <v>1625</v>
      </c>
      <c r="H144" s="13" t="s">
        <v>621</v>
      </c>
      <c r="I144" s="13">
        <v>0</v>
      </c>
      <c r="J144" s="13">
        <v>0</v>
      </c>
      <c r="K144" s="13">
        <v>0</v>
      </c>
    </row>
    <row r="145" spans="1:11">
      <c r="A145" s="15" t="str">
        <f>VLOOKUP(E145,Table1[[#All],[Campo]],1,0)</f>
        <v>prfrmng_stts</v>
      </c>
      <c r="B145" s="13" t="s">
        <v>1661</v>
      </c>
      <c r="C145" s="13" t="s">
        <v>1662</v>
      </c>
      <c r="D145" s="13" t="s">
        <v>1646</v>
      </c>
      <c r="E145" s="13" t="s">
        <v>1321</v>
      </c>
      <c r="F145" s="13" t="s">
        <v>1624</v>
      </c>
      <c r="G145" s="13" t="s">
        <v>1625</v>
      </c>
      <c r="H145" s="13" t="s">
        <v>621</v>
      </c>
      <c r="I145" s="13">
        <v>1905178</v>
      </c>
      <c r="J145" s="13">
        <v>0</v>
      </c>
      <c r="K145" s="13">
        <v>0</v>
      </c>
    </row>
    <row r="146" spans="1:11">
      <c r="A146" s="15" t="str">
        <f>VLOOKUP(E146,Table1[[#All],[Campo]],1,0)</f>
        <v>prfrmng_stts</v>
      </c>
      <c r="B146" s="13" t="s">
        <v>1663</v>
      </c>
      <c r="C146" s="13" t="s">
        <v>1664</v>
      </c>
      <c r="D146" s="13" t="s">
        <v>1646</v>
      </c>
      <c r="E146" s="13" t="s">
        <v>1321</v>
      </c>
      <c r="F146" s="13" t="s">
        <v>1624</v>
      </c>
      <c r="G146" s="13" t="s">
        <v>1625</v>
      </c>
      <c r="H146" s="13" t="s">
        <v>621</v>
      </c>
      <c r="I146" s="13">
        <v>97233</v>
      </c>
      <c r="J146" s="13">
        <v>0</v>
      </c>
      <c r="K146" s="13">
        <v>0</v>
      </c>
    </row>
    <row r="147" spans="1:11">
      <c r="A147" s="15" t="str">
        <f>VLOOKUP(E147,Table1[[#All],[Campo]],1,0)</f>
        <v>prfrmng_stts</v>
      </c>
      <c r="B147" s="13" t="s">
        <v>1665</v>
      </c>
      <c r="C147" s="13" t="s">
        <v>1666</v>
      </c>
      <c r="D147" s="13" t="s">
        <v>1631</v>
      </c>
      <c r="E147" s="13" t="s">
        <v>1321</v>
      </c>
      <c r="F147" s="13" t="s">
        <v>1624</v>
      </c>
      <c r="G147" s="13" t="s">
        <v>1625</v>
      </c>
      <c r="H147" s="13" t="s">
        <v>621</v>
      </c>
      <c r="I147" s="13">
        <v>0</v>
      </c>
      <c r="J147" s="13">
        <v>0</v>
      </c>
      <c r="K147" s="13">
        <v>0</v>
      </c>
    </row>
    <row r="148" spans="1:11">
      <c r="A148" s="15" t="str">
        <f>VLOOKUP(E148,Table1[[#All],[Campo]],1,0)</f>
        <v>prfrmng_stts</v>
      </c>
      <c r="B148" s="13" t="s">
        <v>1667</v>
      </c>
      <c r="C148" s="13" t="s">
        <v>1668</v>
      </c>
      <c r="D148" s="13" t="s">
        <v>1623</v>
      </c>
      <c r="E148" s="13" t="s">
        <v>1321</v>
      </c>
      <c r="F148" s="13" t="s">
        <v>1624</v>
      </c>
      <c r="G148" s="13" t="s">
        <v>1625</v>
      </c>
      <c r="H148" s="13" t="s">
        <v>621</v>
      </c>
      <c r="I148" s="13">
        <v>97233</v>
      </c>
      <c r="J148" s="13">
        <v>0</v>
      </c>
      <c r="K148" s="13">
        <v>0</v>
      </c>
    </row>
    <row r="149" spans="1:11">
      <c r="A149" s="15" t="str">
        <f>VLOOKUP(E149,Table1[[#All],[Campo]],1,0)</f>
        <v>prfrmng_stts</v>
      </c>
      <c r="B149" s="13" t="s">
        <v>1669</v>
      </c>
      <c r="C149" s="13" t="s">
        <v>1670</v>
      </c>
      <c r="D149" s="13" t="s">
        <v>1628</v>
      </c>
      <c r="E149" s="13" t="s">
        <v>1321</v>
      </c>
      <c r="F149" s="13" t="s">
        <v>1624</v>
      </c>
      <c r="G149" s="13" t="s">
        <v>1625</v>
      </c>
      <c r="H149" s="13" t="s">
        <v>1318</v>
      </c>
      <c r="I149" s="13">
        <v>113163</v>
      </c>
      <c r="J149" s="13">
        <v>15043</v>
      </c>
      <c r="K149" s="13">
        <v>13.293200000000001</v>
      </c>
    </row>
    <row r="150" spans="1:11">
      <c r="A150" s="15" t="str">
        <f>VLOOKUP(E150,Table1[[#All],[Campo]],1,0)</f>
        <v>grss_crryng_amnt_instrmnt</v>
      </c>
      <c r="B150" s="13" t="s">
        <v>1671</v>
      </c>
      <c r="C150" s="13" t="s">
        <v>1672</v>
      </c>
      <c r="D150" s="13" t="s">
        <v>1623</v>
      </c>
      <c r="E150" s="13" t="s">
        <v>1402</v>
      </c>
      <c r="F150" s="13" t="s">
        <v>1624</v>
      </c>
      <c r="G150" s="13" t="s">
        <v>1625</v>
      </c>
      <c r="H150" s="13" t="s">
        <v>621</v>
      </c>
      <c r="I150" s="13">
        <v>1724899</v>
      </c>
      <c r="J150" s="13">
        <v>0</v>
      </c>
      <c r="K150" s="13">
        <v>0</v>
      </c>
    </row>
    <row r="151" spans="1:11">
      <c r="A151" s="15" t="str">
        <f>VLOOKUP(E151,Table1[[#All],[Campo]],1,0)</f>
        <v>grss_crryng_amnt_instrmnt</v>
      </c>
      <c r="B151" s="13" t="s">
        <v>1673</v>
      </c>
      <c r="C151" s="13" t="s">
        <v>1674</v>
      </c>
      <c r="D151" s="13" t="s">
        <v>1623</v>
      </c>
      <c r="E151" s="13" t="s">
        <v>1402</v>
      </c>
      <c r="F151" s="13" t="s">
        <v>1624</v>
      </c>
      <c r="G151" s="13" t="s">
        <v>1625</v>
      </c>
      <c r="H151" s="13" t="s">
        <v>621</v>
      </c>
      <c r="I151" s="13">
        <v>0</v>
      </c>
      <c r="J151" s="13">
        <v>0</v>
      </c>
      <c r="K151" s="13">
        <v>0</v>
      </c>
    </row>
    <row r="152" spans="1:11">
      <c r="A152" s="15" t="str">
        <f>VLOOKUP(E152,Table1[[#All],[Campo]],1,0)</f>
        <v>grss_crryng_amnt_instrmnt</v>
      </c>
      <c r="B152" s="13" t="s">
        <v>1675</v>
      </c>
      <c r="C152" s="13" t="s">
        <v>1676</v>
      </c>
      <c r="D152" s="13" t="s">
        <v>1623</v>
      </c>
      <c r="E152" s="13" t="s">
        <v>1402</v>
      </c>
      <c r="F152" s="13" t="s">
        <v>1624</v>
      </c>
      <c r="G152" s="13" t="s">
        <v>1625</v>
      </c>
      <c r="H152" s="13" t="s">
        <v>621</v>
      </c>
      <c r="I152" s="13">
        <v>277512</v>
      </c>
      <c r="J152" s="13">
        <v>0</v>
      </c>
      <c r="K152" s="13">
        <v>0</v>
      </c>
    </row>
    <row r="153" spans="1:11">
      <c r="A153" s="15" t="str">
        <f>VLOOKUP(E153,Table1[[#All],[Campo]],1,0)</f>
        <v>accmltd_chngs_fv_cr_instrmnt</v>
      </c>
      <c r="B153" s="13" t="s">
        <v>1677</v>
      </c>
      <c r="C153" s="13" t="s">
        <v>1678</v>
      </c>
      <c r="D153" s="13" t="s">
        <v>1623</v>
      </c>
      <c r="E153" s="13" t="s">
        <v>1406</v>
      </c>
      <c r="F153" s="13" t="s">
        <v>1624</v>
      </c>
      <c r="G153" s="13" t="s">
        <v>1625</v>
      </c>
      <c r="H153" s="13" t="s">
        <v>621</v>
      </c>
      <c r="I153" s="13">
        <v>305642</v>
      </c>
      <c r="J153" s="13">
        <v>0</v>
      </c>
      <c r="K153" s="13">
        <v>0</v>
      </c>
    </row>
    <row r="154" spans="1:11">
      <c r="A154" s="15" t="str">
        <f>VLOOKUP(E154,Table1[[#All],[Campo]],1,0)</f>
        <v>accmltd_chngs_fv_cr_instrmnt</v>
      </c>
      <c r="B154" s="13" t="s">
        <v>1679</v>
      </c>
      <c r="C154" s="13" t="s">
        <v>1680</v>
      </c>
      <c r="D154" s="13" t="s">
        <v>1623</v>
      </c>
      <c r="E154" s="13" t="s">
        <v>1406</v>
      </c>
      <c r="F154" s="13" t="s">
        <v>1624</v>
      </c>
      <c r="G154" s="13" t="s">
        <v>1625</v>
      </c>
      <c r="H154" s="13" t="s">
        <v>621</v>
      </c>
      <c r="I154" s="13">
        <v>0</v>
      </c>
      <c r="J154" s="13">
        <v>0</v>
      </c>
      <c r="K154" s="13">
        <v>0</v>
      </c>
    </row>
    <row r="155" spans="1:11">
      <c r="A155" s="15" t="str">
        <f>VLOOKUP(E155,Table1[[#All],[Campo]],1,0)</f>
        <v>accntng_clssfctn</v>
      </c>
      <c r="B155" s="13" t="s">
        <v>1681</v>
      </c>
      <c r="C155" s="13" t="s">
        <v>1682</v>
      </c>
      <c r="D155" s="13" t="s">
        <v>1623</v>
      </c>
      <c r="E155" s="13" t="s">
        <v>1409</v>
      </c>
      <c r="F155" s="13" t="s">
        <v>1624</v>
      </c>
      <c r="G155" s="13" t="s">
        <v>1625</v>
      </c>
      <c r="H155" s="13" t="s">
        <v>621</v>
      </c>
      <c r="I155" s="13">
        <v>1724797</v>
      </c>
      <c r="J155" s="13">
        <v>0</v>
      </c>
      <c r="K155" s="13">
        <v>0</v>
      </c>
    </row>
    <row r="156" spans="1:11">
      <c r="A156" s="15" t="str">
        <f>VLOOKUP(E156,Table1[[#All],[Campo]],1,0)</f>
        <v>accntng_clssfctn</v>
      </c>
      <c r="B156" s="13" t="s">
        <v>1683</v>
      </c>
      <c r="C156" s="13" t="s">
        <v>1684</v>
      </c>
      <c r="D156" s="13" t="s">
        <v>1623</v>
      </c>
      <c r="E156" s="13" t="s">
        <v>1409</v>
      </c>
      <c r="F156" s="13" t="s">
        <v>1624</v>
      </c>
      <c r="G156" s="13" t="s">
        <v>1625</v>
      </c>
      <c r="H156" s="13" t="s">
        <v>621</v>
      </c>
      <c r="I156" s="13">
        <v>93</v>
      </c>
      <c r="J156" s="13">
        <v>0</v>
      </c>
      <c r="K156" s="13">
        <v>0</v>
      </c>
    </row>
    <row r="157" spans="1:11">
      <c r="A157" s="15" t="str">
        <f>VLOOKUP(E157,Table1[[#All],[Campo]],1,0)</f>
        <v>accntng_clssfctn</v>
      </c>
      <c r="B157" s="13" t="s">
        <v>1685</v>
      </c>
      <c r="C157" s="13" t="s">
        <v>1686</v>
      </c>
      <c r="D157" s="13" t="s">
        <v>1623</v>
      </c>
      <c r="E157" s="13" t="s">
        <v>1409</v>
      </c>
      <c r="F157" s="13" t="s">
        <v>1624</v>
      </c>
      <c r="G157" s="13" t="s">
        <v>1625</v>
      </c>
      <c r="H157" s="13" t="s">
        <v>621</v>
      </c>
      <c r="I157" s="13">
        <v>0</v>
      </c>
      <c r="J157" s="13">
        <v>0</v>
      </c>
      <c r="K157" s="13">
        <v>0</v>
      </c>
    </row>
    <row r="158" spans="1:11">
      <c r="A158" s="15" t="str">
        <f>VLOOKUP(E158,Table1[[#All],[Campo]],1,0)</f>
        <v>accntng_clssfctn</v>
      </c>
      <c r="B158" s="13" t="s">
        <v>1687</v>
      </c>
      <c r="C158" s="13" t="s">
        <v>1688</v>
      </c>
      <c r="D158" s="13" t="s">
        <v>1623</v>
      </c>
      <c r="E158" s="13" t="s">
        <v>1409</v>
      </c>
      <c r="F158" s="13" t="s">
        <v>1624</v>
      </c>
      <c r="G158" s="13" t="s">
        <v>1625</v>
      </c>
      <c r="H158" s="13" t="s">
        <v>621</v>
      </c>
      <c r="I158" s="13">
        <v>9</v>
      </c>
      <c r="J158" s="13">
        <v>0</v>
      </c>
      <c r="K158" s="13">
        <v>0</v>
      </c>
    </row>
    <row r="159" spans="1:11">
      <c r="A159" s="15" t="str">
        <f>VLOOKUP(E159,Table1[[#All],[Campo]],1,0)</f>
        <v>OFF_BLNC_SHT_AMNT_INSTRMNT</v>
      </c>
      <c r="B159" s="13" t="s">
        <v>1689</v>
      </c>
      <c r="C159" s="13" t="s">
        <v>1690</v>
      </c>
      <c r="D159" s="13" t="s">
        <v>1623</v>
      </c>
      <c r="E159" s="13" t="s">
        <v>1412</v>
      </c>
      <c r="F159" s="13" t="s">
        <v>1624</v>
      </c>
      <c r="G159" s="13" t="s">
        <v>1625</v>
      </c>
      <c r="H159" s="13" t="s">
        <v>1318</v>
      </c>
      <c r="I159" s="13">
        <v>2002318</v>
      </c>
      <c r="J159" s="13">
        <v>317</v>
      </c>
      <c r="K159" s="13">
        <v>1.5800000000000002E-2</v>
      </c>
    </row>
    <row r="160" spans="1:11">
      <c r="A160" s="15" t="str">
        <f>VLOOKUP(E160,Table1[[#All],[Campo]],1,0)</f>
        <v>OFF_BLNC_SHT_AMNT_INSTRMNT</v>
      </c>
      <c r="B160" s="13" t="s">
        <v>1691</v>
      </c>
      <c r="C160" s="13" t="s">
        <v>1692</v>
      </c>
      <c r="D160" s="13" t="s">
        <v>1623</v>
      </c>
      <c r="E160" s="13" t="s">
        <v>1412</v>
      </c>
      <c r="F160" s="13" t="s">
        <v>1624</v>
      </c>
      <c r="G160" s="13" t="s">
        <v>1625</v>
      </c>
      <c r="H160" s="13" t="s">
        <v>621</v>
      </c>
      <c r="I160" s="13">
        <v>1646037</v>
      </c>
      <c r="J160" s="13">
        <v>0</v>
      </c>
      <c r="K160" s="13">
        <v>0</v>
      </c>
    </row>
    <row r="161" spans="1:11">
      <c r="A161" s="15" t="str">
        <f>VLOOKUP(E161,Table1[[#All],[Campo]],1,0)</f>
        <v>OFF_BLNC_SHT_AMNT_INSTRMNT</v>
      </c>
      <c r="B161" s="13" t="s">
        <v>1693</v>
      </c>
      <c r="C161" s="13" t="s">
        <v>1694</v>
      </c>
      <c r="D161" s="13" t="s">
        <v>1623</v>
      </c>
      <c r="E161" s="13" t="s">
        <v>1412</v>
      </c>
      <c r="F161" s="13" t="s">
        <v>1624</v>
      </c>
      <c r="G161" s="13" t="s">
        <v>1625</v>
      </c>
      <c r="H161" s="13" t="s">
        <v>621</v>
      </c>
      <c r="I161" s="13">
        <v>253</v>
      </c>
      <c r="J161" s="13">
        <v>0</v>
      </c>
      <c r="K161" s="13">
        <v>0</v>
      </c>
    </row>
    <row r="162" spans="1:11">
      <c r="A162" s="15" t="str">
        <f>VLOOKUP(E162,Table1[[#All],[Campo]],1,0)</f>
        <v>OFF_BLNC_SHT_AMNT_INSTRMNT</v>
      </c>
      <c r="B162" s="13" t="s">
        <v>1695</v>
      </c>
      <c r="C162" s="13" t="s">
        <v>1696</v>
      </c>
      <c r="D162" s="13" t="s">
        <v>1623</v>
      </c>
      <c r="E162" s="13" t="s">
        <v>1412</v>
      </c>
      <c r="F162" s="13" t="s">
        <v>1624</v>
      </c>
      <c r="G162" s="13" t="s">
        <v>1625</v>
      </c>
      <c r="H162" s="13" t="s">
        <v>621</v>
      </c>
      <c r="I162" s="13">
        <v>3</v>
      </c>
      <c r="J162" s="13">
        <v>0</v>
      </c>
      <c r="K162" s="13">
        <v>0</v>
      </c>
    </row>
    <row r="163" spans="1:11">
      <c r="A163" s="15" t="e">
        <f>VLOOKUP(E163,Table1[[#All],[Campo]],1,0)</f>
        <v>#N/A</v>
      </c>
      <c r="B163" s="13" t="s">
        <v>1697</v>
      </c>
      <c r="C163" s="13" t="s">
        <v>1698</v>
      </c>
      <c r="D163" s="13" t="s">
        <v>1623</v>
      </c>
      <c r="E163" s="13" t="s">
        <v>1415</v>
      </c>
      <c r="F163" s="13" t="s">
        <v>1624</v>
      </c>
      <c r="G163" s="13" t="s">
        <v>1625</v>
      </c>
      <c r="H163" s="13" t="s">
        <v>621</v>
      </c>
      <c r="I163" s="13">
        <v>0</v>
      </c>
      <c r="J163" s="13">
        <v>0</v>
      </c>
      <c r="K163" s="13">
        <v>0</v>
      </c>
    </row>
    <row r="164" spans="1:11">
      <c r="A164" s="15" t="e">
        <f>VLOOKUP(E164,Table1[[#All],[Campo]],1,0)</f>
        <v>#N/A</v>
      </c>
      <c r="B164" s="13" t="s">
        <v>1699</v>
      </c>
      <c r="C164" s="13" t="s">
        <v>1700</v>
      </c>
      <c r="D164" s="13" t="s">
        <v>1623</v>
      </c>
      <c r="E164" s="13" t="s">
        <v>1415</v>
      </c>
      <c r="F164" s="13" t="s">
        <v>1624</v>
      </c>
      <c r="G164" s="13" t="s">
        <v>1625</v>
      </c>
      <c r="H164" s="13" t="s">
        <v>621</v>
      </c>
      <c r="I164" s="13">
        <v>3</v>
      </c>
      <c r="J164" s="13">
        <v>0</v>
      </c>
      <c r="K164" s="13">
        <v>0</v>
      </c>
    </row>
    <row r="165" spans="1:11">
      <c r="A165" s="15" t="str">
        <f>VLOOKUP(E165,Table1[[#All],[Campo]],1,0)</f>
        <v>accmltd_imprmnt_instrmnt</v>
      </c>
      <c r="B165" s="13" t="s">
        <v>1701</v>
      </c>
      <c r="C165" s="13" t="s">
        <v>1702</v>
      </c>
      <c r="D165" s="13" t="s">
        <v>1623</v>
      </c>
      <c r="E165" s="13" t="s">
        <v>1421</v>
      </c>
      <c r="F165" s="13" t="s">
        <v>1624</v>
      </c>
      <c r="G165" s="13" t="s">
        <v>1625</v>
      </c>
      <c r="H165" s="13" t="s">
        <v>621</v>
      </c>
      <c r="I165" s="13">
        <v>0</v>
      </c>
      <c r="J165" s="13">
        <v>0</v>
      </c>
      <c r="K165" s="13">
        <v>0</v>
      </c>
    </row>
    <row r="166" spans="1:11">
      <c r="A166" s="15" t="str">
        <f>VLOOKUP(E166,Table1[[#All],[Campo]],1,0)</f>
        <v>accmltd_imprmnt_instrmnt</v>
      </c>
      <c r="B166" s="13" t="s">
        <v>1703</v>
      </c>
      <c r="C166" s="13" t="s">
        <v>1704</v>
      </c>
      <c r="D166" s="13" t="s">
        <v>1623</v>
      </c>
      <c r="E166" s="13" t="s">
        <v>1421</v>
      </c>
      <c r="F166" s="13" t="s">
        <v>1624</v>
      </c>
      <c r="G166" s="13" t="s">
        <v>1625</v>
      </c>
      <c r="H166" s="13" t="s">
        <v>621</v>
      </c>
      <c r="I166" s="13">
        <v>277512</v>
      </c>
      <c r="J166" s="13">
        <v>0</v>
      </c>
      <c r="K166" s="13">
        <v>0</v>
      </c>
    </row>
    <row r="167" spans="1:11">
      <c r="A167" s="15" t="str">
        <f>VLOOKUP(E167,Table1[[#All],[Campo]],1,0)</f>
        <v>accmltd_imprmnt_instrmnt</v>
      </c>
      <c r="B167" s="13" t="s">
        <v>1705</v>
      </c>
      <c r="C167" s="13" t="s">
        <v>1706</v>
      </c>
      <c r="D167" s="13" t="s">
        <v>1623</v>
      </c>
      <c r="E167" s="13" t="s">
        <v>1421</v>
      </c>
      <c r="F167" s="13" t="s">
        <v>1624</v>
      </c>
      <c r="G167" s="13" t="s">
        <v>1625</v>
      </c>
      <c r="H167" s="13" t="s">
        <v>621</v>
      </c>
      <c r="I167" s="13">
        <v>3</v>
      </c>
      <c r="J167" s="13">
        <v>0</v>
      </c>
      <c r="K167" s="13">
        <v>0</v>
      </c>
    </row>
    <row r="168" spans="1:11">
      <c r="A168" s="15" t="str">
        <f>VLOOKUP(E168,Table1[[#All],[Campo]],1,0)</f>
        <v>sstnbl_indctr</v>
      </c>
      <c r="B168" s="13" t="s">
        <v>1707</v>
      </c>
      <c r="C168" s="13" t="s">
        <v>1708</v>
      </c>
      <c r="D168" s="13" t="s">
        <v>1623</v>
      </c>
      <c r="E168" s="13" t="s">
        <v>1327</v>
      </c>
      <c r="F168" s="13" t="s">
        <v>1624</v>
      </c>
      <c r="G168" s="13" t="s">
        <v>1625</v>
      </c>
      <c r="H168" s="13" t="s">
        <v>621</v>
      </c>
      <c r="I168" s="13">
        <v>0</v>
      </c>
      <c r="J168" s="13">
        <v>0</v>
      </c>
      <c r="K168" s="13">
        <v>0</v>
      </c>
    </row>
    <row r="169" spans="1:11">
      <c r="A169" s="15" t="str">
        <f>VLOOKUP(E169,Table1[[#All],[Campo]],1,0)</f>
        <v>sstnbl_indctr</v>
      </c>
      <c r="B169" s="13" t="s">
        <v>1709</v>
      </c>
      <c r="C169" s="13" t="s">
        <v>1710</v>
      </c>
      <c r="D169" s="13" t="s">
        <v>1623</v>
      </c>
      <c r="E169" s="13" t="s">
        <v>1327</v>
      </c>
      <c r="F169" s="13" t="s">
        <v>1624</v>
      </c>
      <c r="G169" s="13" t="s">
        <v>1625</v>
      </c>
      <c r="H169" s="13" t="s">
        <v>621</v>
      </c>
      <c r="I169" s="13">
        <v>0</v>
      </c>
      <c r="J169" s="13">
        <v>0</v>
      </c>
      <c r="K169" s="13">
        <v>0</v>
      </c>
    </row>
    <row r="170" spans="1:11">
      <c r="A170" s="15" t="str">
        <f>VLOOKUP(E170,Table1[[#All],[Campo]],1,0)</f>
        <v>sstnbl_ctgry</v>
      </c>
      <c r="B170" s="13" t="s">
        <v>1711</v>
      </c>
      <c r="C170" s="13" t="s">
        <v>1712</v>
      </c>
      <c r="D170" s="13" t="s">
        <v>1628</v>
      </c>
      <c r="E170" s="13" t="s">
        <v>1331</v>
      </c>
      <c r="F170" s="13" t="s">
        <v>1624</v>
      </c>
      <c r="G170" s="13" t="s">
        <v>1625</v>
      </c>
      <c r="H170" s="13" t="s">
        <v>621</v>
      </c>
      <c r="I170" s="13">
        <v>0</v>
      </c>
      <c r="J170" s="13">
        <v>0</v>
      </c>
      <c r="K170" s="13">
        <v>0</v>
      </c>
    </row>
    <row r="171" spans="1:11">
      <c r="A171" s="15" t="str">
        <f>VLOOKUP(E171,Table1[[#All],[Campo]],1,0)</f>
        <v>sstnbl_ctgry</v>
      </c>
      <c r="B171" s="13" t="s">
        <v>1713</v>
      </c>
      <c r="C171" s="13" t="s">
        <v>1714</v>
      </c>
      <c r="D171" s="13" t="s">
        <v>1628</v>
      </c>
      <c r="E171" s="13" t="s">
        <v>1331</v>
      </c>
      <c r="F171" s="13" t="s">
        <v>1624</v>
      </c>
      <c r="G171" s="13" t="s">
        <v>1625</v>
      </c>
      <c r="H171" s="13" t="s">
        <v>621</v>
      </c>
      <c r="I171" s="13">
        <v>0</v>
      </c>
      <c r="J171" s="13">
        <v>0</v>
      </c>
      <c r="K171" s="13">
        <v>0</v>
      </c>
    </row>
    <row r="172" spans="1:11">
      <c r="A172" s="15" t="str">
        <f>VLOOKUP(E172,Table1[[#All],[Campo]],1,0)</f>
        <v>sstnbl_ctgry</v>
      </c>
      <c r="B172" s="13" t="s">
        <v>1715</v>
      </c>
      <c r="C172" s="13" t="s">
        <v>1716</v>
      </c>
      <c r="D172" s="13" t="s">
        <v>1628</v>
      </c>
      <c r="E172" s="13" t="s">
        <v>1331</v>
      </c>
      <c r="F172" s="13" t="s">
        <v>1624</v>
      </c>
      <c r="G172" s="13" t="s">
        <v>1625</v>
      </c>
      <c r="H172" s="13" t="s">
        <v>621</v>
      </c>
      <c r="I172" s="13">
        <v>0</v>
      </c>
      <c r="J172" s="13">
        <v>0</v>
      </c>
      <c r="K172" s="13">
        <v>0</v>
      </c>
    </row>
    <row r="173" spans="1:11">
      <c r="A173" s="15" t="str">
        <f>VLOOKUP(E173,Table1[[#All],[Campo]],1,0)</f>
        <v>sstnbl_ctgry</v>
      </c>
      <c r="B173" s="13" t="s">
        <v>1717</v>
      </c>
      <c r="C173" s="13" t="s">
        <v>1718</v>
      </c>
      <c r="D173" s="13" t="s">
        <v>1628</v>
      </c>
      <c r="E173" s="13" t="s">
        <v>1331</v>
      </c>
      <c r="F173" s="13" t="s">
        <v>1624</v>
      </c>
      <c r="G173" s="13" t="s">
        <v>1625</v>
      </c>
      <c r="H173" s="13" t="s">
        <v>621</v>
      </c>
      <c r="I173" s="13">
        <v>0</v>
      </c>
      <c r="J173" s="13">
        <v>0</v>
      </c>
      <c r="K173" s="13">
        <v>0</v>
      </c>
    </row>
    <row r="174" spans="1:11">
      <c r="A174" s="15" t="str">
        <f>VLOOKUP(E174,Table1[[#All],[Campo]],1,0)</f>
        <v>sstnbl_ctgry</v>
      </c>
      <c r="B174" s="13" t="s">
        <v>1719</v>
      </c>
      <c r="C174" s="13" t="s">
        <v>1720</v>
      </c>
      <c r="D174" s="13" t="s">
        <v>1628</v>
      </c>
      <c r="E174" s="13" t="s">
        <v>1331</v>
      </c>
      <c r="F174" s="13" t="s">
        <v>1624</v>
      </c>
      <c r="G174" s="13" t="s">
        <v>1625</v>
      </c>
      <c r="H174" s="13" t="s">
        <v>621</v>
      </c>
      <c r="I174" s="13">
        <v>0</v>
      </c>
      <c r="J174" s="13">
        <v>0</v>
      </c>
      <c r="K174" s="13">
        <v>0</v>
      </c>
    </row>
    <row r="175" spans="1:11">
      <c r="A175" s="15" t="str">
        <f>VLOOKUP(E175,Table1[[#All],[Campo]],1,0)</f>
        <v>sstnbl_ctgry</v>
      </c>
      <c r="B175" s="13" t="s">
        <v>1721</v>
      </c>
      <c r="C175" s="13" t="s">
        <v>1722</v>
      </c>
      <c r="D175" s="13" t="s">
        <v>1628</v>
      </c>
      <c r="E175" s="13" t="s">
        <v>1331</v>
      </c>
      <c r="F175" s="13" t="s">
        <v>1624</v>
      </c>
      <c r="G175" s="13" t="s">
        <v>1625</v>
      </c>
      <c r="H175" s="13" t="s">
        <v>621</v>
      </c>
      <c r="I175" s="13">
        <v>0</v>
      </c>
      <c r="J175" s="13">
        <v>0</v>
      </c>
      <c r="K175" s="13">
        <v>0</v>
      </c>
    </row>
    <row r="176" spans="1:11">
      <c r="A176" s="15" t="str">
        <f>VLOOKUP(E176,Table1[[#All],[Campo]],1,0)</f>
        <v>sstnbl_ctgry</v>
      </c>
      <c r="B176" s="13" t="s">
        <v>1723</v>
      </c>
      <c r="C176" s="13" t="s">
        <v>1724</v>
      </c>
      <c r="D176" s="13" t="s">
        <v>1628</v>
      </c>
      <c r="E176" s="13" t="s">
        <v>1331</v>
      </c>
      <c r="F176" s="13" t="s">
        <v>1624</v>
      </c>
      <c r="G176" s="13" t="s">
        <v>1625</v>
      </c>
      <c r="H176" s="13" t="s">
        <v>621</v>
      </c>
      <c r="I176" s="13">
        <v>0</v>
      </c>
      <c r="J176" s="13">
        <v>0</v>
      </c>
      <c r="K176" s="13">
        <v>0</v>
      </c>
    </row>
    <row r="177" spans="1:11">
      <c r="A177" s="15" t="str">
        <f>VLOOKUP(E177,Table1[[#All],[Campo]],1,0)</f>
        <v>sstnbl_ctgry</v>
      </c>
      <c r="B177" s="13" t="s">
        <v>1725</v>
      </c>
      <c r="C177" s="13" t="s">
        <v>1726</v>
      </c>
      <c r="D177" s="13" t="s">
        <v>1628</v>
      </c>
      <c r="E177" s="13" t="s">
        <v>1331</v>
      </c>
      <c r="F177" s="13" t="s">
        <v>1624</v>
      </c>
      <c r="G177" s="13" t="s">
        <v>1625</v>
      </c>
      <c r="H177" s="13" t="s">
        <v>621</v>
      </c>
      <c r="I177" s="13">
        <v>0</v>
      </c>
      <c r="J177" s="13">
        <v>0</v>
      </c>
      <c r="K177" s="13">
        <v>0</v>
      </c>
    </row>
    <row r="178" spans="1:11">
      <c r="A178" s="15" t="str">
        <f>VLOOKUP(E178,Table1[[#All],[Campo]],1,0)</f>
        <v>sstnbl_ctgry</v>
      </c>
      <c r="B178" s="13" t="s">
        <v>1727</v>
      </c>
      <c r="C178" s="13" t="s">
        <v>1728</v>
      </c>
      <c r="D178" s="13" t="s">
        <v>1628</v>
      </c>
      <c r="E178" s="13" t="s">
        <v>1331</v>
      </c>
      <c r="F178" s="13" t="s">
        <v>1624</v>
      </c>
      <c r="G178" s="13" t="s">
        <v>1625</v>
      </c>
      <c r="H178" s="13" t="s">
        <v>621</v>
      </c>
      <c r="I178" s="13">
        <v>0</v>
      </c>
      <c r="J178" s="13">
        <v>0</v>
      </c>
      <c r="K178" s="13">
        <v>0</v>
      </c>
    </row>
    <row r="179" spans="1:11">
      <c r="A179" s="15" t="str">
        <f>VLOOKUP(E179,Table1[[#All],[Campo]],1,0)</f>
        <v>sstnbl_ctgry</v>
      </c>
      <c r="B179" s="13" t="s">
        <v>1729</v>
      </c>
      <c r="C179" s="13" t="s">
        <v>1730</v>
      </c>
      <c r="D179" s="13" t="s">
        <v>1628</v>
      </c>
      <c r="E179" s="13" t="s">
        <v>1331</v>
      </c>
      <c r="F179" s="13" t="s">
        <v>1624</v>
      </c>
      <c r="G179" s="13" t="s">
        <v>1625</v>
      </c>
      <c r="H179" s="13" t="s">
        <v>621</v>
      </c>
      <c r="I179" s="13">
        <v>0</v>
      </c>
      <c r="J179" s="13">
        <v>0</v>
      </c>
      <c r="K179" s="13">
        <v>0</v>
      </c>
    </row>
    <row r="180" spans="1:11">
      <c r="A180" s="15" t="str">
        <f>VLOOKUP(E180,Table1[[#All],[Campo]],1,0)</f>
        <v>sstnbl_ctgry</v>
      </c>
      <c r="B180" s="13" t="s">
        <v>1731</v>
      </c>
      <c r="C180" s="13" t="s">
        <v>1732</v>
      </c>
      <c r="D180" s="13" t="s">
        <v>1628</v>
      </c>
      <c r="E180" s="13" t="s">
        <v>1331</v>
      </c>
      <c r="F180" s="13" t="s">
        <v>1624</v>
      </c>
      <c r="G180" s="13" t="s">
        <v>1625</v>
      </c>
      <c r="H180" s="13" t="s">
        <v>621</v>
      </c>
      <c r="I180" s="13">
        <v>0</v>
      </c>
      <c r="J180" s="13">
        <v>0</v>
      </c>
      <c r="K180" s="13">
        <v>0</v>
      </c>
    </row>
    <row r="181" spans="1:11">
      <c r="A181" s="15" t="str">
        <f>VLOOKUP(E181,Table1[[#All],[Campo]],1,0)</f>
        <v>sstnbl_ctgry</v>
      </c>
      <c r="B181" s="13" t="s">
        <v>1733</v>
      </c>
      <c r="C181" s="13" t="s">
        <v>1734</v>
      </c>
      <c r="D181" s="13" t="s">
        <v>1628</v>
      </c>
      <c r="E181" s="13" t="s">
        <v>1331</v>
      </c>
      <c r="F181" s="13" t="s">
        <v>1624</v>
      </c>
      <c r="G181" s="13" t="s">
        <v>1625</v>
      </c>
      <c r="H181" s="13" t="s">
        <v>621</v>
      </c>
      <c r="I181" s="13">
        <v>0</v>
      </c>
      <c r="J181" s="13">
        <v>0</v>
      </c>
      <c r="K181" s="13">
        <v>0</v>
      </c>
    </row>
    <row r="182" spans="1:11">
      <c r="A182" s="15" t="str">
        <f>VLOOKUP(E182,Table1[[#All],[Campo]],1,0)</f>
        <v>sstnbl_ctgry</v>
      </c>
      <c r="B182" s="13" t="s">
        <v>1735</v>
      </c>
      <c r="C182" s="13" t="s">
        <v>1736</v>
      </c>
      <c r="D182" s="13" t="s">
        <v>1628</v>
      </c>
      <c r="E182" s="13" t="s">
        <v>1331</v>
      </c>
      <c r="F182" s="13" t="s">
        <v>1624</v>
      </c>
      <c r="G182" s="13" t="s">
        <v>1625</v>
      </c>
      <c r="H182" s="13" t="s">
        <v>621</v>
      </c>
      <c r="I182" s="13">
        <v>0</v>
      </c>
      <c r="J182" s="13">
        <v>0</v>
      </c>
      <c r="K182" s="13">
        <v>0</v>
      </c>
    </row>
    <row r="183" spans="1:11">
      <c r="A183" s="15" t="str">
        <f>VLOOKUP(E183,Table1[[#All],[Campo]],1,0)</f>
        <v>sstnbl_ctgry</v>
      </c>
      <c r="B183" s="13" t="s">
        <v>1737</v>
      </c>
      <c r="C183" s="13" t="s">
        <v>1738</v>
      </c>
      <c r="D183" s="13" t="s">
        <v>1628</v>
      </c>
      <c r="E183" s="13" t="s">
        <v>1331</v>
      </c>
      <c r="F183" s="13" t="s">
        <v>1624</v>
      </c>
      <c r="G183" s="13" t="s">
        <v>1625</v>
      </c>
      <c r="H183" s="13" t="s">
        <v>621</v>
      </c>
      <c r="I183" s="13">
        <v>0</v>
      </c>
      <c r="J183" s="13">
        <v>0</v>
      </c>
      <c r="K183" s="13">
        <v>0</v>
      </c>
    </row>
    <row r="184" spans="1:11">
      <c r="A184" s="15" t="str">
        <f>VLOOKUP(E184,Table1[[#All],[Campo]],1,0)</f>
        <v>grss_intrst_incm</v>
      </c>
      <c r="B184" s="13" t="s">
        <v>1739</v>
      </c>
      <c r="C184" s="13" t="s">
        <v>1740</v>
      </c>
      <c r="D184" s="13" t="s">
        <v>1623</v>
      </c>
      <c r="E184" s="13" t="s">
        <v>1438</v>
      </c>
      <c r="F184" s="13" t="s">
        <v>1624</v>
      </c>
      <c r="G184" s="13" t="s">
        <v>1625</v>
      </c>
      <c r="H184" s="13" t="s">
        <v>621</v>
      </c>
      <c r="I184" s="13">
        <v>0</v>
      </c>
      <c r="J184" s="13">
        <v>0</v>
      </c>
      <c r="K184" s="13">
        <v>0</v>
      </c>
    </row>
    <row r="185" spans="1:11">
      <c r="A185" s="15" t="str">
        <f>VLOOKUP(E185,Table1[[#All],[Campo]],1,0)</f>
        <v>grss_intrst_incm</v>
      </c>
      <c r="B185" s="13" t="s">
        <v>1741</v>
      </c>
      <c r="C185" s="13" t="s">
        <v>1742</v>
      </c>
      <c r="D185" s="13" t="s">
        <v>1623</v>
      </c>
      <c r="E185" s="13" t="s">
        <v>1438</v>
      </c>
      <c r="F185" s="13" t="s">
        <v>1624</v>
      </c>
      <c r="G185" s="13" t="s">
        <v>1625</v>
      </c>
      <c r="H185" s="13" t="s">
        <v>621</v>
      </c>
      <c r="I185" s="13">
        <v>0</v>
      </c>
      <c r="J185" s="13">
        <v>0</v>
      </c>
      <c r="K185" s="13">
        <v>0</v>
      </c>
    </row>
    <row r="186" spans="1:11">
      <c r="A186" s="15" t="s">
        <v>1439</v>
      </c>
      <c r="B186" s="13" t="s">
        <v>1743</v>
      </c>
      <c r="C186" s="13" t="s">
        <v>1744</v>
      </c>
      <c r="D186" s="13" t="s">
        <v>1623</v>
      </c>
      <c r="E186" s="13" t="s">
        <v>1442</v>
      </c>
      <c r="F186" s="13" t="s">
        <v>1624</v>
      </c>
      <c r="G186" s="13" t="s">
        <v>1625</v>
      </c>
      <c r="H186" s="13" t="s">
        <v>621</v>
      </c>
      <c r="I186" s="13">
        <v>0</v>
      </c>
      <c r="J186" s="13">
        <v>0</v>
      </c>
      <c r="K186" s="13">
        <v>0</v>
      </c>
    </row>
    <row r="187" spans="1:11">
      <c r="A187" s="15" t="s">
        <v>1439</v>
      </c>
      <c r="B187" s="13" t="s">
        <v>1745</v>
      </c>
      <c r="C187" s="13" t="s">
        <v>1746</v>
      </c>
      <c r="D187" s="13" t="s">
        <v>1623</v>
      </c>
      <c r="E187" s="13" t="s">
        <v>1442</v>
      </c>
      <c r="F187" s="13" t="s">
        <v>1624</v>
      </c>
      <c r="G187" s="13" t="s">
        <v>1625</v>
      </c>
      <c r="H187" s="13" t="s">
        <v>621</v>
      </c>
      <c r="I187" s="13">
        <v>0</v>
      </c>
      <c r="J187" s="13">
        <v>0</v>
      </c>
      <c r="K187" s="13">
        <v>0</v>
      </c>
    </row>
    <row r="188" spans="1:11">
      <c r="A188" s="15" t="e">
        <f>VLOOKUP(E188,Table1[[#All],[Campo]],1,0)</f>
        <v>#N/A</v>
      </c>
      <c r="B188" s="13" t="s">
        <v>1747</v>
      </c>
      <c r="C188" s="13" t="s">
        <v>1748</v>
      </c>
      <c r="D188" s="13" t="s">
        <v>1623</v>
      </c>
      <c r="E188" s="13" t="s">
        <v>1453</v>
      </c>
      <c r="F188" s="13" t="s">
        <v>1624</v>
      </c>
      <c r="G188" s="13" t="s">
        <v>1625</v>
      </c>
      <c r="H188" s="13" t="s">
        <v>621</v>
      </c>
      <c r="I188" s="13">
        <v>0</v>
      </c>
      <c r="J188" s="13">
        <v>0</v>
      </c>
      <c r="K188" s="13">
        <v>0</v>
      </c>
    </row>
    <row r="189" spans="1:11">
      <c r="A189" s="15" t="e">
        <f>VLOOKUP(E189,Table1[[#All],[Campo]],1,0)</f>
        <v>#N/A</v>
      </c>
      <c r="B189" s="13" t="s">
        <v>1749</v>
      </c>
      <c r="C189" s="13" t="s">
        <v>1750</v>
      </c>
      <c r="D189" s="13" t="s">
        <v>1623</v>
      </c>
      <c r="E189" s="13" t="s">
        <v>1453</v>
      </c>
      <c r="F189" s="13" t="s">
        <v>1624</v>
      </c>
      <c r="G189" s="13" t="s">
        <v>1625</v>
      </c>
      <c r="H189" s="13" t="s">
        <v>621</v>
      </c>
      <c r="I189" s="13">
        <v>277518</v>
      </c>
      <c r="J189" s="13">
        <v>0</v>
      </c>
      <c r="K189" s="13">
        <v>0</v>
      </c>
    </row>
    <row r="190" spans="1:11">
      <c r="A190" s="15" t="e">
        <f>VLOOKUP(E190,Table1[[#All],[Campo]],1,0)</f>
        <v>#N/A</v>
      </c>
      <c r="B190" s="13" t="s">
        <v>1751</v>
      </c>
      <c r="C190" s="13" t="s">
        <v>1752</v>
      </c>
      <c r="D190" s="13" t="s">
        <v>1623</v>
      </c>
      <c r="E190" s="13" t="s">
        <v>1453</v>
      </c>
      <c r="F190" s="13" t="s">
        <v>1624</v>
      </c>
      <c r="G190" s="13" t="s">
        <v>1625</v>
      </c>
      <c r="H190" s="13" t="s">
        <v>621</v>
      </c>
      <c r="I190" s="13">
        <v>1724892</v>
      </c>
      <c r="J190" s="13">
        <v>0</v>
      </c>
      <c r="K190" s="13">
        <v>0</v>
      </c>
    </row>
    <row r="191" spans="1:11">
      <c r="A191" s="15" t="s">
        <v>1454</v>
      </c>
      <c r="B191" s="13" t="s">
        <v>1753</v>
      </c>
      <c r="C191" s="13" t="s">
        <v>1754</v>
      </c>
      <c r="D191" s="13" t="s">
        <v>1623</v>
      </c>
      <c r="E191" s="13" t="s">
        <v>1457</v>
      </c>
      <c r="F191" s="13" t="s">
        <v>1624</v>
      </c>
      <c r="G191" s="13" t="s">
        <v>1625</v>
      </c>
      <c r="H191" s="13" t="s">
        <v>621</v>
      </c>
      <c r="I191" s="13">
        <v>0</v>
      </c>
      <c r="J191" s="13">
        <v>0</v>
      </c>
      <c r="K191" s="13">
        <v>0</v>
      </c>
    </row>
    <row r="192" spans="1:11">
      <c r="A192" s="15" t="s">
        <v>1454</v>
      </c>
      <c r="B192" s="13" t="s">
        <v>1755</v>
      </c>
      <c r="C192" s="13" t="s">
        <v>1756</v>
      </c>
      <c r="D192" s="13" t="s">
        <v>1623</v>
      </c>
      <c r="E192" s="13" t="s">
        <v>1457</v>
      </c>
      <c r="F192" s="13" t="s">
        <v>1624</v>
      </c>
      <c r="G192" s="13" t="s">
        <v>1625</v>
      </c>
      <c r="H192" s="13" t="s">
        <v>621</v>
      </c>
      <c r="I192" s="13">
        <v>0</v>
      </c>
      <c r="J192" s="13">
        <v>0</v>
      </c>
      <c r="K192" s="13">
        <v>0</v>
      </c>
    </row>
    <row r="193" spans="1:11">
      <c r="A193" s="15" t="e">
        <f>VLOOKUP(E193,Table1[[#All],[Campo]],1,0)</f>
        <v>#N/A</v>
      </c>
      <c r="B193" s="13" t="s">
        <v>1757</v>
      </c>
      <c r="C193" s="13" t="s">
        <v>1758</v>
      </c>
      <c r="D193" s="13" t="s">
        <v>1623</v>
      </c>
      <c r="E193" s="13" t="s">
        <v>1460</v>
      </c>
      <c r="F193" s="13" t="s">
        <v>1624</v>
      </c>
      <c r="G193" s="13" t="s">
        <v>1625</v>
      </c>
      <c r="H193" s="13" t="s">
        <v>621</v>
      </c>
      <c r="I193" s="13">
        <v>0</v>
      </c>
      <c r="J193" s="13">
        <v>0</v>
      </c>
      <c r="K193" s="13">
        <v>0</v>
      </c>
    </row>
    <row r="194" spans="1:11">
      <c r="A194" s="15" t="e">
        <f>VLOOKUP(E194,Table1[[#All],[Campo]],1,0)</f>
        <v>#N/A</v>
      </c>
      <c r="B194" s="13" t="s">
        <v>1759</v>
      </c>
      <c r="C194" s="13" t="s">
        <v>1760</v>
      </c>
      <c r="D194" s="13" t="s">
        <v>1623</v>
      </c>
      <c r="E194" s="13" t="s">
        <v>1460</v>
      </c>
      <c r="F194" s="13" t="s">
        <v>1624</v>
      </c>
      <c r="G194" s="13" t="s">
        <v>1625</v>
      </c>
      <c r="H194" s="13" t="s">
        <v>621</v>
      </c>
      <c r="I194" s="13">
        <v>0</v>
      </c>
      <c r="J194" s="13">
        <v>0</v>
      </c>
      <c r="K194" s="13">
        <v>0</v>
      </c>
    </row>
    <row r="195" spans="1:11">
      <c r="A195" s="15" t="e">
        <f>VLOOKUP(E195,Table1[[#All],[Campo]],1,0)</f>
        <v>#N/A</v>
      </c>
      <c r="B195" s="13" t="s">
        <v>1761</v>
      </c>
      <c r="C195" s="13" t="s">
        <v>1762</v>
      </c>
      <c r="D195" s="13" t="s">
        <v>1623</v>
      </c>
      <c r="E195" s="13" t="s">
        <v>1465</v>
      </c>
      <c r="F195" s="13" t="s">
        <v>1624</v>
      </c>
      <c r="G195" s="13" t="s">
        <v>1625</v>
      </c>
      <c r="H195" s="13" t="s">
        <v>621</v>
      </c>
      <c r="I195" s="13">
        <v>0</v>
      </c>
      <c r="J195" s="13">
        <v>0</v>
      </c>
      <c r="K195" s="13">
        <v>0</v>
      </c>
    </row>
    <row r="196" spans="1:11">
      <c r="A196" s="15" t="e">
        <f>VLOOKUP(E196,Table1[[#All],[Campo]],1,0)</f>
        <v>#N/A</v>
      </c>
      <c r="B196" s="13" t="s">
        <v>1763</v>
      </c>
      <c r="C196" s="13" t="s">
        <v>1764</v>
      </c>
      <c r="D196" s="13" t="s">
        <v>1623</v>
      </c>
      <c r="E196" s="13" t="s">
        <v>1465</v>
      </c>
      <c r="F196" s="13" t="s">
        <v>1624</v>
      </c>
      <c r="G196" s="13" t="s">
        <v>1625</v>
      </c>
      <c r="H196" s="13" t="s">
        <v>621</v>
      </c>
      <c r="I196" s="13">
        <v>0</v>
      </c>
      <c r="J196" s="13">
        <v>0</v>
      </c>
      <c r="K196" s="13">
        <v>0</v>
      </c>
    </row>
    <row r="197" spans="1:11">
      <c r="A197" s="15" t="e">
        <f>VLOOKUP(E197,Table1[[#All],[Campo]],1,0)</f>
        <v>#N/A</v>
      </c>
      <c r="B197" s="13" t="s">
        <v>1765</v>
      </c>
      <c r="C197" s="13" t="s">
        <v>1766</v>
      </c>
      <c r="D197" s="13" t="s">
        <v>1623</v>
      </c>
      <c r="E197" s="13" t="s">
        <v>1468</v>
      </c>
      <c r="F197" s="13" t="s">
        <v>1624</v>
      </c>
      <c r="G197" s="13" t="s">
        <v>1625</v>
      </c>
      <c r="H197" s="13" t="s">
        <v>621</v>
      </c>
      <c r="I197" s="13">
        <v>0</v>
      </c>
      <c r="J197" s="13">
        <v>0</v>
      </c>
      <c r="K197" s="13">
        <v>0</v>
      </c>
    </row>
    <row r="198" spans="1:11">
      <c r="A198" s="15" t="e">
        <f>VLOOKUP(E198,Table1[[#All],[Campo]],1,0)</f>
        <v>#N/A</v>
      </c>
      <c r="B198" s="13" t="s">
        <v>1767</v>
      </c>
      <c r="C198" s="13" t="s">
        <v>1768</v>
      </c>
      <c r="D198" s="13" t="s">
        <v>1623</v>
      </c>
      <c r="E198" s="13" t="s">
        <v>1468</v>
      </c>
      <c r="F198" s="13" t="s">
        <v>1624</v>
      </c>
      <c r="G198" s="13" t="s">
        <v>1625</v>
      </c>
      <c r="H198" s="13" t="s">
        <v>621</v>
      </c>
      <c r="I198" s="13">
        <v>0</v>
      </c>
      <c r="J198" s="13">
        <v>0</v>
      </c>
      <c r="K198" s="13">
        <v>0</v>
      </c>
    </row>
    <row r="199" spans="1:11">
      <c r="A199" s="15" t="e">
        <f>VLOOKUP(E199,Table1[[#All],[Campo]],1,0)</f>
        <v>#N/A</v>
      </c>
      <c r="B199" s="13" t="s">
        <v>1769</v>
      </c>
      <c r="C199" s="13" t="s">
        <v>1770</v>
      </c>
      <c r="D199" s="13" t="s">
        <v>1623</v>
      </c>
      <c r="E199" s="13" t="s">
        <v>1471</v>
      </c>
      <c r="F199" s="13" t="s">
        <v>1624</v>
      </c>
      <c r="G199" s="13" t="s">
        <v>1625</v>
      </c>
      <c r="H199" s="13" t="s">
        <v>621</v>
      </c>
      <c r="I199" s="13">
        <v>0</v>
      </c>
      <c r="J199" s="13">
        <v>0</v>
      </c>
      <c r="K199" s="13">
        <v>0</v>
      </c>
    </row>
    <row r="200" spans="1:11">
      <c r="A200" s="15" t="e">
        <f>VLOOKUP(E200,Table1[[#All],[Campo]],1,0)</f>
        <v>#N/A</v>
      </c>
      <c r="B200" s="13" t="s">
        <v>1771</v>
      </c>
      <c r="C200" s="13" t="s">
        <v>1772</v>
      </c>
      <c r="D200" s="13" t="s">
        <v>1623</v>
      </c>
      <c r="E200" s="13" t="s">
        <v>1471</v>
      </c>
      <c r="F200" s="13" t="s">
        <v>1624</v>
      </c>
      <c r="G200" s="13" t="s">
        <v>1625</v>
      </c>
      <c r="H200" s="13" t="s">
        <v>621</v>
      </c>
      <c r="I200" s="13">
        <v>0</v>
      </c>
      <c r="J200" s="13">
        <v>0</v>
      </c>
      <c r="K200" s="13">
        <v>0</v>
      </c>
    </row>
    <row r="201" spans="1:11">
      <c r="A201" s="15" t="e">
        <f>VLOOKUP(E201,Table1[[#All],[Campo]],1,0)</f>
        <v>#N/A</v>
      </c>
      <c r="B201" s="13" t="s">
        <v>1773</v>
      </c>
      <c r="C201" s="13" t="s">
        <v>1774</v>
      </c>
      <c r="D201" s="13" t="s">
        <v>1623</v>
      </c>
      <c r="E201" s="13" t="s">
        <v>1471</v>
      </c>
      <c r="F201" s="13" t="s">
        <v>1624</v>
      </c>
      <c r="G201" s="13" t="s">
        <v>1625</v>
      </c>
      <c r="H201" s="13" t="s">
        <v>621</v>
      </c>
      <c r="I201" s="13">
        <v>0</v>
      </c>
      <c r="J201" s="13">
        <v>0</v>
      </c>
      <c r="K201" s="13">
        <v>0</v>
      </c>
    </row>
    <row r="202" spans="1:11">
      <c r="A202" s="15" t="e">
        <f>VLOOKUP(E202,Table1[[#All],[Campo]],1,0)</f>
        <v>#N/A</v>
      </c>
      <c r="B202" s="13" t="s">
        <v>1775</v>
      </c>
      <c r="C202" s="13" t="s">
        <v>1776</v>
      </c>
      <c r="D202" s="13" t="s">
        <v>1623</v>
      </c>
      <c r="E202" s="13" t="s">
        <v>1474</v>
      </c>
      <c r="F202" s="13" t="s">
        <v>1624</v>
      </c>
      <c r="G202" s="13" t="s">
        <v>1625</v>
      </c>
      <c r="H202" s="13" t="s">
        <v>621</v>
      </c>
      <c r="I202" s="13">
        <v>0</v>
      </c>
      <c r="J202" s="13">
        <v>0</v>
      </c>
      <c r="K202" s="13">
        <v>0</v>
      </c>
    </row>
    <row r="203" spans="1:11">
      <c r="A203" s="15" t="e">
        <f>VLOOKUP(E203,Table1[[#All],[Campo]],1,0)</f>
        <v>#N/A</v>
      </c>
      <c r="B203" s="13" t="s">
        <v>1777</v>
      </c>
      <c r="C203" s="13" t="s">
        <v>1778</v>
      </c>
      <c r="D203" s="13" t="s">
        <v>1623</v>
      </c>
      <c r="E203" s="13" t="s">
        <v>1477</v>
      </c>
      <c r="F203" s="13" t="s">
        <v>1624</v>
      </c>
      <c r="G203" s="13" t="s">
        <v>1625</v>
      </c>
      <c r="H203" s="13" t="s">
        <v>621</v>
      </c>
      <c r="I203" s="13">
        <v>0</v>
      </c>
      <c r="J203" s="13">
        <v>0</v>
      </c>
      <c r="K203" s="13">
        <v>0</v>
      </c>
    </row>
    <row r="204" spans="1:11">
      <c r="A204" s="15" t="s">
        <v>1478</v>
      </c>
      <c r="B204" s="13" t="s">
        <v>1779</v>
      </c>
      <c r="C204" s="13" t="s">
        <v>1780</v>
      </c>
      <c r="D204" s="13" t="s">
        <v>1623</v>
      </c>
      <c r="E204" s="13" t="s">
        <v>1481</v>
      </c>
      <c r="F204" s="13" t="s">
        <v>1624</v>
      </c>
      <c r="G204" s="13" t="s">
        <v>1625</v>
      </c>
      <c r="H204" s="13" t="s">
        <v>621</v>
      </c>
      <c r="I204" s="13">
        <v>0</v>
      </c>
      <c r="J204" s="13">
        <v>0</v>
      </c>
      <c r="K204" s="13">
        <v>0</v>
      </c>
    </row>
    <row r="205" spans="1:11">
      <c r="A205" s="15" t="s">
        <v>1478</v>
      </c>
      <c r="B205" s="13" t="s">
        <v>1781</v>
      </c>
      <c r="C205" s="13" t="s">
        <v>1782</v>
      </c>
      <c r="D205" s="13" t="s">
        <v>1623</v>
      </c>
      <c r="E205" s="13" t="s">
        <v>1481</v>
      </c>
      <c r="F205" s="13" t="s">
        <v>1624</v>
      </c>
      <c r="G205" s="13" t="s">
        <v>1625</v>
      </c>
      <c r="H205" s="13" t="s">
        <v>621</v>
      </c>
      <c r="I205" s="13">
        <v>0</v>
      </c>
      <c r="J205" s="13">
        <v>0</v>
      </c>
      <c r="K205" s="13">
        <v>0</v>
      </c>
    </row>
    <row r="206" spans="1:11">
      <c r="A206" s="15" t="s">
        <v>1478</v>
      </c>
      <c r="B206" s="13" t="s">
        <v>1783</v>
      </c>
      <c r="C206" s="13" t="s">
        <v>1784</v>
      </c>
      <c r="D206" s="13" t="s">
        <v>1623</v>
      </c>
      <c r="E206" s="13" t="s">
        <v>1481</v>
      </c>
      <c r="F206" s="13" t="s">
        <v>1624</v>
      </c>
      <c r="G206" s="13" t="s">
        <v>1625</v>
      </c>
      <c r="H206" s="13" t="s">
        <v>621</v>
      </c>
      <c r="I206" s="13">
        <v>0</v>
      </c>
      <c r="J206" s="13">
        <v>0</v>
      </c>
      <c r="K206" s="13">
        <v>0</v>
      </c>
    </row>
    <row r="207" spans="1:11">
      <c r="A207" s="15" t="s">
        <v>1482</v>
      </c>
      <c r="B207" s="13" t="s">
        <v>1785</v>
      </c>
      <c r="C207" s="13" t="s">
        <v>1786</v>
      </c>
      <c r="D207" s="13" t="s">
        <v>1623</v>
      </c>
      <c r="E207" s="13" t="s">
        <v>1485</v>
      </c>
      <c r="F207" s="13" t="s">
        <v>1624</v>
      </c>
      <c r="G207" s="13" t="s">
        <v>1625</v>
      </c>
      <c r="H207" s="13" t="s">
        <v>621</v>
      </c>
      <c r="I207" s="13">
        <v>0</v>
      </c>
      <c r="J207" s="13">
        <v>0</v>
      </c>
      <c r="K207" s="13">
        <v>0</v>
      </c>
    </row>
    <row r="208" spans="1:11">
      <c r="A208" s="15" t="s">
        <v>1482</v>
      </c>
      <c r="B208" s="13" t="s">
        <v>1787</v>
      </c>
      <c r="C208" s="13" t="s">
        <v>1788</v>
      </c>
      <c r="D208" s="13" t="s">
        <v>1623</v>
      </c>
      <c r="E208" s="13" t="s">
        <v>1485</v>
      </c>
      <c r="F208" s="13" t="s">
        <v>1624</v>
      </c>
      <c r="G208" s="13" t="s">
        <v>1625</v>
      </c>
      <c r="H208" s="13" t="s">
        <v>621</v>
      </c>
      <c r="I208" s="13">
        <v>0</v>
      </c>
      <c r="J208" s="13">
        <v>0</v>
      </c>
      <c r="K208" s="13">
        <v>0</v>
      </c>
    </row>
    <row r="209" spans="1:11">
      <c r="A209" s="15" t="s">
        <v>1482</v>
      </c>
      <c r="B209" s="13" t="s">
        <v>1789</v>
      </c>
      <c r="C209" s="13" t="s">
        <v>1790</v>
      </c>
      <c r="D209" s="13" t="s">
        <v>1623</v>
      </c>
      <c r="E209" s="13" t="s">
        <v>1485</v>
      </c>
      <c r="F209" s="13" t="s">
        <v>1624</v>
      </c>
      <c r="G209" s="13" t="s">
        <v>1625</v>
      </c>
      <c r="H209" s="13" t="s">
        <v>621</v>
      </c>
      <c r="I209" s="13">
        <v>0</v>
      </c>
      <c r="J209" s="13">
        <v>0</v>
      </c>
      <c r="K209" s="13">
        <v>0</v>
      </c>
    </row>
    <row r="210" spans="1:11">
      <c r="A210" s="15" t="e">
        <f>VLOOKUP(E210,Table1[[#All],[Campo]],1,0)</f>
        <v>#N/A</v>
      </c>
      <c r="B210" s="13" t="s">
        <v>1791</v>
      </c>
      <c r="C210" s="13" t="s">
        <v>1792</v>
      </c>
      <c r="D210" s="13" t="s">
        <v>1623</v>
      </c>
      <c r="E210" s="13" t="s">
        <v>1491</v>
      </c>
      <c r="F210" s="13" t="s">
        <v>1624</v>
      </c>
      <c r="G210" s="13" t="s">
        <v>1625</v>
      </c>
      <c r="H210" s="13" t="s">
        <v>621</v>
      </c>
      <c r="I210" s="13">
        <v>0</v>
      </c>
      <c r="J210" s="13">
        <v>0</v>
      </c>
      <c r="K210" s="13">
        <v>0</v>
      </c>
    </row>
    <row r="211" spans="1:11">
      <c r="A211" s="15" t="e">
        <f>VLOOKUP(E211,Table1[[#All],[Campo]],1,0)</f>
        <v>#N/A</v>
      </c>
      <c r="B211" s="13" t="s">
        <v>1793</v>
      </c>
      <c r="C211" s="13" t="s">
        <v>1794</v>
      </c>
      <c r="D211" s="13" t="s">
        <v>1623</v>
      </c>
      <c r="E211" s="13" t="s">
        <v>1491</v>
      </c>
      <c r="F211" s="13" t="s">
        <v>1624</v>
      </c>
      <c r="G211" s="13" t="s">
        <v>1625</v>
      </c>
      <c r="H211" s="13" t="s">
        <v>621</v>
      </c>
      <c r="I211" s="13">
        <v>0</v>
      </c>
      <c r="J211" s="13">
        <v>0</v>
      </c>
      <c r="K211" s="13">
        <v>0</v>
      </c>
    </row>
    <row r="212" spans="1:11">
      <c r="A212" s="15" t="e">
        <f>VLOOKUP(E212,Table1[[#All],[Campo]],1,0)</f>
        <v>#N/A</v>
      </c>
      <c r="B212" s="13" t="s">
        <v>1795</v>
      </c>
      <c r="C212" s="13" t="s">
        <v>1796</v>
      </c>
      <c r="D212" s="13" t="s">
        <v>1623</v>
      </c>
      <c r="E212" s="13" t="s">
        <v>1494</v>
      </c>
      <c r="F212" s="13" t="s">
        <v>1624</v>
      </c>
      <c r="G212" s="13" t="s">
        <v>1625</v>
      </c>
      <c r="H212" s="13" t="s">
        <v>621</v>
      </c>
      <c r="I212" s="13">
        <v>0</v>
      </c>
      <c r="J212" s="13">
        <v>0</v>
      </c>
      <c r="K212" s="13">
        <v>0</v>
      </c>
    </row>
    <row r="213" spans="1:11">
      <c r="A213" s="15" t="str">
        <f>VLOOKUP(E213,Table1[[#All],[Campo]],1,0)</f>
        <v>cod_soc</v>
      </c>
      <c r="B213" s="13" t="s">
        <v>1797</v>
      </c>
      <c r="C213" s="13" t="s">
        <v>1798</v>
      </c>
      <c r="D213" s="13" t="s">
        <v>1369</v>
      </c>
      <c r="E213" s="13" t="s">
        <v>1293</v>
      </c>
      <c r="F213" s="13" t="s">
        <v>1799</v>
      </c>
      <c r="G213" s="13" t="s">
        <v>1800</v>
      </c>
      <c r="H213" s="13" t="s">
        <v>621</v>
      </c>
      <c r="I213" s="13">
        <v>1096295</v>
      </c>
      <c r="J213" s="13">
        <v>0</v>
      </c>
      <c r="K213" s="13">
        <v>0</v>
      </c>
    </row>
    <row r="214" spans="1:11">
      <c r="A214" s="15" t="str">
        <f>VLOOKUP(E214,Table1[[#All],[Campo]],1,0)</f>
        <v>dt_rfrnc</v>
      </c>
      <c r="B214" s="13" t="s">
        <v>1801</v>
      </c>
      <c r="C214" s="13" t="s">
        <v>1802</v>
      </c>
      <c r="D214" s="13" t="s">
        <v>1369</v>
      </c>
      <c r="E214" s="13" t="s">
        <v>1298</v>
      </c>
      <c r="F214" s="13" t="s">
        <v>1799</v>
      </c>
      <c r="G214" s="13" t="s">
        <v>1800</v>
      </c>
      <c r="H214" s="13" t="s">
        <v>621</v>
      </c>
      <c r="I214" s="13">
        <v>1096295</v>
      </c>
      <c r="J214" s="13">
        <v>0</v>
      </c>
      <c r="K214" s="13">
        <v>0</v>
      </c>
    </row>
    <row r="215" spans="1:11">
      <c r="A215" s="15" t="str">
        <f>VLOOKUP(E215,Table1[[#All],[Campo]],1,0)</f>
        <v>cod_soc</v>
      </c>
      <c r="B215" s="13" t="s">
        <v>1803</v>
      </c>
      <c r="C215" s="13" t="s">
        <v>1804</v>
      </c>
      <c r="D215" s="13" t="s">
        <v>1376</v>
      </c>
      <c r="E215" s="13" t="s">
        <v>1293</v>
      </c>
      <c r="F215" s="13" t="s">
        <v>1799</v>
      </c>
      <c r="G215" s="13" t="s">
        <v>1805</v>
      </c>
      <c r="H215" s="13" t="s">
        <v>621</v>
      </c>
      <c r="I215" s="13">
        <v>2490665</v>
      </c>
      <c r="J215" s="13">
        <v>0</v>
      </c>
      <c r="K215" s="13">
        <v>0</v>
      </c>
    </row>
    <row r="216" spans="1:11">
      <c r="A216" s="15" t="str">
        <f>VLOOKUP(E216,Table1[[#All],[Campo]],1,0)</f>
        <v>dt_rfrnc</v>
      </c>
      <c r="B216" s="13" t="s">
        <v>1806</v>
      </c>
      <c r="C216" s="13" t="s">
        <v>1807</v>
      </c>
      <c r="D216" s="13" t="s">
        <v>1376</v>
      </c>
      <c r="E216" s="13" t="s">
        <v>1298</v>
      </c>
      <c r="F216" s="13" t="s">
        <v>1799</v>
      </c>
      <c r="G216" s="13" t="s">
        <v>1805</v>
      </c>
      <c r="H216" s="13" t="s">
        <v>621</v>
      </c>
      <c r="I216" s="13">
        <v>2490665</v>
      </c>
      <c r="J216" s="13">
        <v>0</v>
      </c>
      <c r="K216" s="13">
        <v>0</v>
      </c>
    </row>
    <row r="217" spans="1:11">
      <c r="A217" s="15" t="str">
        <f>VLOOKUP(E217,Table1[[#All],[Campo]],1,0)</f>
        <v>cod_soc</v>
      </c>
      <c r="B217" s="13" t="s">
        <v>1808</v>
      </c>
      <c r="C217" s="13" t="s">
        <v>1809</v>
      </c>
      <c r="D217" s="13" t="s">
        <v>1315</v>
      </c>
      <c r="E217" s="13" t="s">
        <v>1293</v>
      </c>
      <c r="F217" s="13" t="s">
        <v>1799</v>
      </c>
      <c r="G217" s="13" t="s">
        <v>1810</v>
      </c>
      <c r="H217" s="13" t="s">
        <v>621</v>
      </c>
      <c r="I217" s="13">
        <v>2003033</v>
      </c>
      <c r="J217" s="13">
        <v>0</v>
      </c>
      <c r="K217" s="13">
        <v>0</v>
      </c>
    </row>
    <row r="218" spans="1:11">
      <c r="A218" s="15" t="str">
        <f>VLOOKUP(E218,Table1[[#All],[Campo]],1,0)</f>
        <v>dt_rfrnc</v>
      </c>
      <c r="B218" s="13" t="s">
        <v>1811</v>
      </c>
      <c r="C218" s="13" t="s">
        <v>1812</v>
      </c>
      <c r="D218" s="13" t="s">
        <v>1315</v>
      </c>
      <c r="E218" s="13" t="s">
        <v>1298</v>
      </c>
      <c r="F218" s="13" t="s">
        <v>1799</v>
      </c>
      <c r="G218" s="13" t="s">
        <v>1810</v>
      </c>
      <c r="H218" s="13" t="s">
        <v>621</v>
      </c>
      <c r="I218" s="13">
        <v>2003033</v>
      </c>
      <c r="J218" s="13">
        <v>0</v>
      </c>
      <c r="K218" s="13">
        <v>0</v>
      </c>
    </row>
    <row r="219" spans="1:11">
      <c r="A219" s="15" t="str">
        <f>VLOOKUP(E219,Table1[[#All],[Campo]],1,0)</f>
        <v>cod_soc</v>
      </c>
      <c r="B219" s="13" t="s">
        <v>1813</v>
      </c>
      <c r="C219" s="13" t="s">
        <v>1814</v>
      </c>
      <c r="D219" s="13" t="s">
        <v>1366</v>
      </c>
      <c r="E219" s="13" t="s">
        <v>1293</v>
      </c>
      <c r="F219" s="13" t="s">
        <v>1799</v>
      </c>
      <c r="G219" s="13" t="s">
        <v>1815</v>
      </c>
      <c r="H219" s="13" t="s">
        <v>621</v>
      </c>
      <c r="I219" s="13">
        <v>731165</v>
      </c>
      <c r="J219" s="13">
        <v>0</v>
      </c>
      <c r="K219" s="13">
        <v>0</v>
      </c>
    </row>
    <row r="220" spans="1:11">
      <c r="A220" s="15" t="str">
        <f>VLOOKUP(E220,Table1[[#All],[Campo]],1,0)</f>
        <v>dt_rfrnc</v>
      </c>
      <c r="B220" s="13" t="s">
        <v>1816</v>
      </c>
      <c r="C220" s="13" t="s">
        <v>1817</v>
      </c>
      <c r="D220" s="13" t="s">
        <v>1366</v>
      </c>
      <c r="E220" s="13" t="s">
        <v>1298</v>
      </c>
      <c r="F220" s="13" t="s">
        <v>1799</v>
      </c>
      <c r="G220" s="13" t="s">
        <v>1815</v>
      </c>
      <c r="H220" s="13" t="s">
        <v>621</v>
      </c>
      <c r="I220" s="13">
        <v>731165</v>
      </c>
      <c r="J220" s="13">
        <v>0</v>
      </c>
      <c r="K220" s="13">
        <v>0</v>
      </c>
    </row>
    <row r="221" spans="1:11">
      <c r="A221" s="15" t="str">
        <f>VLOOKUP(E221,Table1[[#All],[Campo]],1,0)</f>
        <v>cod_soc</v>
      </c>
      <c r="B221" s="13" t="s">
        <v>1818</v>
      </c>
      <c r="C221" s="13" t="s">
        <v>1819</v>
      </c>
      <c r="D221" s="13" t="s">
        <v>1531</v>
      </c>
      <c r="E221" s="13" t="s">
        <v>1293</v>
      </c>
      <c r="F221" s="13" t="s">
        <v>1799</v>
      </c>
      <c r="G221" s="13" t="s">
        <v>1820</v>
      </c>
      <c r="H221" s="13" t="s">
        <v>621</v>
      </c>
      <c r="I221" s="13">
        <v>456960</v>
      </c>
      <c r="J221" s="13">
        <v>0</v>
      </c>
      <c r="K221" s="13">
        <v>0</v>
      </c>
    </row>
    <row r="222" spans="1:11">
      <c r="A222" s="15" t="str">
        <f>VLOOKUP(E222,Table1[[#All],[Campo]],1,0)</f>
        <v>dt_rfrnc</v>
      </c>
      <c r="B222" s="13" t="s">
        <v>1821</v>
      </c>
      <c r="C222" s="13" t="s">
        <v>1822</v>
      </c>
      <c r="D222" s="13" t="s">
        <v>1531</v>
      </c>
      <c r="E222" s="13" t="s">
        <v>1298</v>
      </c>
      <c r="F222" s="13" t="s">
        <v>1799</v>
      </c>
      <c r="G222" s="13" t="s">
        <v>1820</v>
      </c>
      <c r="H222" s="13" t="s">
        <v>621</v>
      </c>
      <c r="I222" s="13">
        <v>456960</v>
      </c>
      <c r="J222" s="13">
        <v>0</v>
      </c>
      <c r="K222" s="13">
        <v>0</v>
      </c>
    </row>
  </sheetData>
  <autoFilter ref="A1:K222"/>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CO257"/>
  <sheetViews>
    <sheetView showGridLines="0" topLeftCell="P10" zoomScale="70" zoomScaleNormal="70" workbookViewId="0">
      <selection activeCell="E21" sqref="E21"/>
    </sheetView>
  </sheetViews>
  <sheetFormatPr defaultColWidth="0" defaultRowHeight="14" outlineLevelRow="1" outlineLevelCol="1"/>
  <cols>
    <col min="1" max="1" width="2.58203125" customWidth="1"/>
    <col min="2" max="2" width="9.58203125" customWidth="1"/>
    <col min="3" max="3" width="19.58203125" customWidth="1"/>
    <col min="4" max="4" width="14.83203125" hidden="1" customWidth="1"/>
    <col min="5" max="5" width="39.58203125" customWidth="1"/>
    <col min="6" max="6" width="23.08203125" bestFit="1" customWidth="1"/>
    <col min="7" max="7" width="11.33203125" customWidth="1"/>
    <col min="8" max="8" width="30.58203125" customWidth="1"/>
    <col min="9" max="9" width="27.58203125" hidden="1" customWidth="1"/>
    <col min="10" max="11" width="21" hidden="1" customWidth="1"/>
    <col min="12" max="12" width="21" style="169" hidden="1" customWidth="1"/>
    <col min="13" max="13" width="19" style="169" hidden="1" customWidth="1"/>
    <col min="14" max="14" width="19" style="169" customWidth="1"/>
    <col min="15" max="17" width="17.83203125" style="236" customWidth="1"/>
    <col min="18" max="18" width="52.58203125" style="249" customWidth="1"/>
    <col min="19" max="19" width="6.33203125" hidden="1" customWidth="1"/>
    <col min="20" max="22" width="8.58203125" hidden="1" customWidth="1"/>
    <col min="23" max="38" width="5.58203125" customWidth="1"/>
    <col min="39" max="39" width="8.203125E-2" customWidth="1"/>
    <col min="40" max="40" width="5.58203125" customWidth="1"/>
    <col min="41" max="44" width="5.58203125" hidden="1" customWidth="1" outlineLevel="1"/>
    <col min="45" max="45" width="5.58203125" customWidth="1" collapsed="1"/>
    <col min="46" max="49" width="5.58203125" hidden="1" customWidth="1" outlineLevel="1"/>
    <col min="50" max="50" width="5.58203125" customWidth="1" collapsed="1"/>
    <col min="51" max="54" width="5.58203125" hidden="1" customWidth="1" outlineLevel="1"/>
    <col min="55" max="55" width="5.58203125" customWidth="1" collapsed="1"/>
    <col min="56" max="59" width="5.58203125" hidden="1" customWidth="1" outlineLevel="1"/>
    <col min="60" max="60" width="5.58203125" customWidth="1" collapsed="1"/>
    <col min="61" max="64" width="5.58203125" hidden="1" customWidth="1" outlineLevel="1"/>
    <col min="65" max="65" width="5.58203125" customWidth="1" collapsed="1"/>
    <col min="66" max="66" width="5.58203125" customWidth="1"/>
    <col min="67" max="69" width="5.58203125" hidden="1" customWidth="1" outlineLevel="1"/>
    <col min="70" max="70" width="5.58203125" customWidth="1" collapsed="1"/>
    <col min="71" max="74" width="5.58203125" hidden="1" customWidth="1" outlineLevel="1"/>
    <col min="75" max="75" width="5.58203125" customWidth="1" collapsed="1"/>
    <col min="76" max="79" width="5.58203125" hidden="1" customWidth="1" outlineLevel="1"/>
    <col min="80" max="80" width="5.58203125" customWidth="1" collapsed="1"/>
    <col min="81" max="84" width="5.58203125" hidden="1" customWidth="1" outlineLevel="1"/>
    <col min="85" max="85" width="5.58203125" customWidth="1" collapsed="1"/>
    <col min="86" max="86" width="5.58203125" hidden="1" customWidth="1" outlineLevel="1"/>
    <col min="87" max="87" width="5.58203125" customWidth="1" collapsed="1"/>
    <col min="88" max="88" width="8.58203125" customWidth="1"/>
    <col min="89" max="93" width="0" hidden="1" customWidth="1"/>
    <col min="94" max="16384" width="8.58203125" hidden="1"/>
  </cols>
  <sheetData>
    <row r="1" spans="1:87" ht="16.399999999999999" customHeight="1">
      <c r="O1"/>
      <c r="P1"/>
      <c r="Q1"/>
      <c r="R1" s="243"/>
    </row>
    <row r="2" spans="1:87">
      <c r="A2" s="6"/>
      <c r="B2" s="6"/>
      <c r="C2" s="6"/>
      <c r="D2" s="6"/>
      <c r="E2" s="6"/>
      <c r="F2" s="6"/>
      <c r="G2" s="6"/>
      <c r="H2" s="6"/>
      <c r="I2" s="6"/>
      <c r="J2" s="6"/>
      <c r="K2" s="6"/>
      <c r="L2" s="231"/>
      <c r="M2" s="231"/>
      <c r="N2" s="231"/>
      <c r="O2" s="6"/>
      <c r="P2" s="6"/>
      <c r="Q2" s="6"/>
      <c r="R2" s="244"/>
      <c r="S2" s="6"/>
      <c r="T2" s="6"/>
      <c r="U2" s="6"/>
      <c r="V2" s="6"/>
      <c r="W2" s="6"/>
      <c r="X2" s="6"/>
      <c r="Y2" s="6"/>
      <c r="Z2" s="6"/>
      <c r="AA2" s="6"/>
      <c r="AB2" s="6"/>
      <c r="AC2" s="6"/>
      <c r="AD2" s="6"/>
      <c r="AE2" s="6"/>
      <c r="AF2" s="6"/>
      <c r="AG2" s="6"/>
      <c r="AH2" s="6"/>
      <c r="AI2" s="6"/>
      <c r="AJ2" s="6"/>
      <c r="AK2" s="6"/>
      <c r="AL2" s="6"/>
      <c r="AM2" s="6"/>
      <c r="AN2" s="6"/>
      <c r="AO2" s="6"/>
      <c r="AP2" s="6"/>
      <c r="AQ2" s="6"/>
      <c r="AR2" s="6"/>
      <c r="AS2" s="6"/>
      <c r="AT2" s="6"/>
      <c r="AU2" s="6"/>
      <c r="AV2" s="6"/>
      <c r="AW2" s="6"/>
      <c r="AX2" s="6"/>
      <c r="AY2" s="6"/>
      <c r="AZ2" s="6"/>
      <c r="BA2" s="6"/>
      <c r="BB2" s="6"/>
      <c r="BC2" s="6"/>
      <c r="BD2" s="6"/>
      <c r="BE2" s="6"/>
      <c r="BF2" s="6"/>
      <c r="BG2" s="6"/>
      <c r="BH2" s="6"/>
      <c r="BI2" s="6"/>
      <c r="BJ2" s="6"/>
    </row>
    <row r="3" spans="1:87">
      <c r="A3" s="9"/>
      <c r="B3" s="9"/>
      <c r="C3" s="9"/>
      <c r="D3" s="9"/>
      <c r="E3" s="9"/>
      <c r="F3" s="9"/>
      <c r="G3" s="9"/>
      <c r="H3" s="8"/>
      <c r="I3" s="8"/>
      <c r="J3" s="8"/>
      <c r="K3" s="8"/>
      <c r="L3" s="232"/>
      <c r="M3" s="232"/>
      <c r="N3" s="232"/>
      <c r="O3" s="8"/>
      <c r="P3" s="8"/>
      <c r="Q3" s="8"/>
      <c r="R3" s="245"/>
      <c r="S3" s="8"/>
      <c r="T3" s="8"/>
      <c r="U3" s="8"/>
      <c r="V3" s="8"/>
      <c r="W3" s="8"/>
      <c r="X3" s="8"/>
      <c r="Y3" s="7"/>
      <c r="Z3" s="7"/>
      <c r="AA3" s="7"/>
      <c r="AB3" s="7"/>
      <c r="AC3" s="7"/>
      <c r="AD3" s="7"/>
      <c r="AE3" s="7"/>
      <c r="AF3" s="7"/>
      <c r="AG3" s="7"/>
      <c r="AH3" s="7"/>
      <c r="AI3" s="7"/>
      <c r="AJ3" s="7"/>
      <c r="AK3" s="7"/>
      <c r="AL3" s="7"/>
      <c r="AM3" s="7"/>
      <c r="AN3" s="7"/>
      <c r="AO3" s="7"/>
      <c r="AP3" s="7"/>
      <c r="AQ3" s="7"/>
      <c r="AR3" s="7"/>
      <c r="AS3" s="7"/>
      <c r="AT3" s="7"/>
      <c r="AU3" s="7"/>
      <c r="AV3" s="7"/>
      <c r="AW3" s="7"/>
      <c r="AX3" s="7"/>
      <c r="AY3" s="7"/>
      <c r="AZ3" s="7"/>
      <c r="BA3" s="7"/>
      <c r="BB3" s="7"/>
      <c r="BC3" s="7"/>
      <c r="BD3" s="7"/>
      <c r="BE3" s="7"/>
      <c r="BF3" s="7"/>
      <c r="BG3" s="7"/>
      <c r="BH3" s="7"/>
      <c r="BI3" s="7"/>
      <c r="BJ3" s="7"/>
    </row>
    <row r="4" spans="1:87">
      <c r="A4" s="6"/>
      <c r="B4" s="6"/>
      <c r="C4" s="6"/>
      <c r="D4" s="6"/>
      <c r="E4" s="6"/>
      <c r="F4" s="6"/>
      <c r="G4" s="6"/>
      <c r="H4" s="6"/>
      <c r="I4" s="6"/>
      <c r="J4" s="6"/>
      <c r="K4" s="6"/>
      <c r="L4" s="231"/>
      <c r="M4" s="231"/>
      <c r="N4" s="231"/>
      <c r="O4" s="6"/>
      <c r="P4" s="6"/>
      <c r="Q4" s="6"/>
      <c r="R4" s="244"/>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6"/>
      <c r="BA4" s="6"/>
      <c r="BB4" s="6"/>
      <c r="BC4" s="6"/>
      <c r="BD4" s="6"/>
      <c r="BE4" s="6"/>
      <c r="BF4" s="6"/>
      <c r="BG4" s="6"/>
      <c r="BH4" s="6"/>
      <c r="BI4" s="6"/>
      <c r="BJ4" s="6"/>
    </row>
    <row r="5" spans="1:87" ht="3" customHeight="1">
      <c r="A5" s="5"/>
      <c r="B5" s="5"/>
      <c r="C5" s="5"/>
      <c r="D5" s="5"/>
      <c r="E5" s="5"/>
      <c r="F5" s="5"/>
      <c r="G5" s="5"/>
      <c r="H5" s="5"/>
      <c r="I5" s="5"/>
      <c r="J5" s="5"/>
      <c r="K5" s="5"/>
      <c r="L5" s="233"/>
      <c r="M5" s="233"/>
      <c r="N5" s="233"/>
      <c r="O5" s="5"/>
      <c r="P5" s="5"/>
      <c r="Q5" s="5"/>
      <c r="R5" s="246"/>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c r="BK5" s="5"/>
      <c r="BL5" s="5"/>
      <c r="BM5" s="5"/>
      <c r="BN5" s="5"/>
      <c r="BO5" s="5"/>
      <c r="BP5" s="5"/>
      <c r="BQ5" s="5"/>
      <c r="BR5" s="5"/>
      <c r="BS5" s="5"/>
      <c r="BT5" s="5"/>
      <c r="BU5" s="5"/>
      <c r="BV5" s="5"/>
      <c r="BW5" s="5"/>
      <c r="BX5" s="5"/>
      <c r="BY5" s="5"/>
      <c r="BZ5" s="5"/>
      <c r="CA5" s="5"/>
      <c r="CB5" s="5"/>
      <c r="CC5" s="5"/>
      <c r="CD5" s="5"/>
      <c r="CE5" s="5"/>
      <c r="CF5" s="5"/>
      <c r="CG5" s="5"/>
      <c r="CH5" s="5"/>
      <c r="CI5" s="5"/>
    </row>
    <row r="6" spans="1:87" hidden="1">
      <c r="O6"/>
      <c r="P6"/>
      <c r="Q6"/>
      <c r="R6" s="243"/>
      <c r="X6" t="s">
        <v>1912</v>
      </c>
      <c r="Y6">
        <f>Y7-Y8</f>
        <v>-2</v>
      </c>
      <c r="Z6">
        <f>Z7-Z8</f>
        <v>-2.5</v>
      </c>
      <c r="AA6">
        <f>AA7-AA8</f>
        <v>-3</v>
      </c>
      <c r="AB6">
        <f>AB7-AB8</f>
        <v>-3</v>
      </c>
      <c r="AC6">
        <f>AC7-AC8</f>
        <v>-2</v>
      </c>
      <c r="AY6">
        <f t="shared" ref="AY6:BN6" si="0">AY7-AY8</f>
        <v>0</v>
      </c>
      <c r="AZ6">
        <f t="shared" si="0"/>
        <v>0</v>
      </c>
      <c r="BA6">
        <f t="shared" si="0"/>
        <v>0</v>
      </c>
      <c r="BB6">
        <f t="shared" si="0"/>
        <v>-1</v>
      </c>
      <c r="BC6">
        <f t="shared" si="0"/>
        <v>-0.39999999999999991</v>
      </c>
      <c r="BD6">
        <f t="shared" si="0"/>
        <v>-2</v>
      </c>
      <c r="BE6">
        <f t="shared" si="0"/>
        <v>-1.5</v>
      </c>
      <c r="BF6">
        <f t="shared" si="0"/>
        <v>-1</v>
      </c>
      <c r="BG6">
        <f t="shared" si="0"/>
        <v>-0.5</v>
      </c>
      <c r="BH6">
        <f t="shared" si="0"/>
        <v>3.0999999999999996</v>
      </c>
      <c r="BI6">
        <f t="shared" si="0"/>
        <v>0</v>
      </c>
      <c r="BJ6">
        <f t="shared" si="0"/>
        <v>0</v>
      </c>
      <c r="BK6">
        <f t="shared" si="0"/>
        <v>0</v>
      </c>
      <c r="BL6">
        <f t="shared" si="0"/>
        <v>1</v>
      </c>
      <c r="BM6">
        <f t="shared" si="0"/>
        <v>0</v>
      </c>
      <c r="BN6">
        <f t="shared" si="0"/>
        <v>0</v>
      </c>
      <c r="BV6">
        <f t="shared" ref="BV6:CI6" si="1">BV7-BV8</f>
        <v>-2.8</v>
      </c>
      <c r="BW6">
        <f t="shared" si="1"/>
        <v>-3</v>
      </c>
      <c r="BX6">
        <f t="shared" si="1"/>
        <v>0</v>
      </c>
      <c r="BY6">
        <f t="shared" si="1"/>
        <v>0</v>
      </c>
      <c r="BZ6">
        <f t="shared" si="1"/>
        <v>-1</v>
      </c>
      <c r="CA6">
        <f t="shared" si="1"/>
        <v>-2</v>
      </c>
      <c r="CB6">
        <f t="shared" si="1"/>
        <v>-2.5</v>
      </c>
      <c r="CC6">
        <f t="shared" si="1"/>
        <v>-3</v>
      </c>
      <c r="CD6">
        <f t="shared" si="1"/>
        <v>-2</v>
      </c>
      <c r="CE6">
        <f t="shared" si="1"/>
        <v>-2</v>
      </c>
      <c r="CF6">
        <f t="shared" si="1"/>
        <v>-3</v>
      </c>
      <c r="CG6">
        <f t="shared" si="1"/>
        <v>-2</v>
      </c>
      <c r="CH6">
        <f t="shared" si="1"/>
        <v>-2</v>
      </c>
      <c r="CI6">
        <f t="shared" si="1"/>
        <v>-3</v>
      </c>
    </row>
    <row r="7" spans="1:87" hidden="1">
      <c r="O7"/>
      <c r="P7"/>
      <c r="Q7"/>
      <c r="R7" s="243"/>
      <c r="Y7" s="239">
        <f t="shared" ref="Y7:AD7" si="2">SUM(Y17:Y258)</f>
        <v>0</v>
      </c>
      <c r="Z7" s="239">
        <f t="shared" si="2"/>
        <v>0.5</v>
      </c>
      <c r="AA7" s="239">
        <f t="shared" si="2"/>
        <v>0</v>
      </c>
      <c r="AB7" s="239">
        <f t="shared" si="2"/>
        <v>0</v>
      </c>
      <c r="AC7" s="239">
        <f t="shared" si="2"/>
        <v>0</v>
      </c>
      <c r="AD7" s="239">
        <f t="shared" si="2"/>
        <v>0</v>
      </c>
      <c r="AE7" s="239"/>
      <c r="AF7" s="239"/>
      <c r="AG7" s="239"/>
      <c r="AH7" s="239"/>
      <c r="AI7" s="239"/>
      <c r="AJ7" s="239"/>
      <c r="AK7" s="239"/>
      <c r="AL7" s="239"/>
      <c r="AM7" s="239"/>
      <c r="AN7" s="239"/>
      <c r="AO7" s="239"/>
      <c r="AP7" s="239"/>
      <c r="AQ7" s="239"/>
      <c r="AR7" s="239"/>
      <c r="AS7" s="239"/>
      <c r="AT7" s="239"/>
      <c r="AU7" s="239"/>
      <c r="AV7" s="239"/>
      <c r="AW7" s="239"/>
      <c r="AX7" s="239"/>
      <c r="AY7" s="239">
        <f t="shared" ref="AY7:CI7" si="3">SUM(AY17:AY258)</f>
        <v>3</v>
      </c>
      <c r="AZ7" s="239">
        <f t="shared" si="3"/>
        <v>3.0000000000000004</v>
      </c>
      <c r="BA7" s="239">
        <f t="shared" si="3"/>
        <v>3</v>
      </c>
      <c r="BB7" s="239">
        <f t="shared" si="3"/>
        <v>2</v>
      </c>
      <c r="BC7" s="239">
        <f t="shared" si="3"/>
        <v>2.6</v>
      </c>
      <c r="BD7" s="239">
        <f t="shared" si="3"/>
        <v>1</v>
      </c>
      <c r="BE7" s="239">
        <f t="shared" si="3"/>
        <v>1.5</v>
      </c>
      <c r="BF7" s="239">
        <f t="shared" si="3"/>
        <v>2</v>
      </c>
      <c r="BG7" s="239">
        <f t="shared" si="3"/>
        <v>2.5</v>
      </c>
      <c r="BH7" s="239">
        <f t="shared" si="3"/>
        <v>6.1</v>
      </c>
      <c r="BI7" s="239">
        <f t="shared" si="3"/>
        <v>3</v>
      </c>
      <c r="BJ7" s="239">
        <f t="shared" si="3"/>
        <v>3</v>
      </c>
      <c r="BK7" s="239">
        <f t="shared" si="3"/>
        <v>3</v>
      </c>
      <c r="BL7" s="239">
        <f t="shared" si="3"/>
        <v>4</v>
      </c>
      <c r="BM7" s="239">
        <f t="shared" si="3"/>
        <v>3.0000000000000009</v>
      </c>
      <c r="BN7" s="239">
        <f t="shared" si="3"/>
        <v>3</v>
      </c>
      <c r="BO7" s="239">
        <f t="shared" si="3"/>
        <v>0</v>
      </c>
      <c r="BP7" s="239">
        <f t="shared" si="3"/>
        <v>0</v>
      </c>
      <c r="BQ7" s="239">
        <f t="shared" si="3"/>
        <v>0</v>
      </c>
      <c r="BR7" s="239">
        <f t="shared" si="3"/>
        <v>0</v>
      </c>
      <c r="BS7" s="239">
        <f t="shared" si="3"/>
        <v>0</v>
      </c>
      <c r="BT7" s="239">
        <f t="shared" si="3"/>
        <v>0</v>
      </c>
      <c r="BU7" s="239">
        <f t="shared" si="3"/>
        <v>0</v>
      </c>
      <c r="BV7" s="239">
        <f t="shared" si="3"/>
        <v>0.2</v>
      </c>
      <c r="BW7" s="239">
        <f t="shared" si="3"/>
        <v>0</v>
      </c>
      <c r="BX7" s="239">
        <f t="shared" si="3"/>
        <v>3</v>
      </c>
      <c r="BY7" s="239">
        <f t="shared" si="3"/>
        <v>3</v>
      </c>
      <c r="BZ7" s="239">
        <f t="shared" si="3"/>
        <v>2</v>
      </c>
      <c r="CA7" s="239">
        <f t="shared" si="3"/>
        <v>1</v>
      </c>
      <c r="CB7" s="239">
        <f t="shared" si="3"/>
        <v>0.5</v>
      </c>
      <c r="CC7" s="239">
        <f t="shared" si="3"/>
        <v>0</v>
      </c>
      <c r="CD7" s="239">
        <f t="shared" si="3"/>
        <v>1</v>
      </c>
      <c r="CE7" s="239">
        <f t="shared" si="3"/>
        <v>1</v>
      </c>
      <c r="CF7" s="239">
        <f t="shared" si="3"/>
        <v>0</v>
      </c>
      <c r="CG7" s="239">
        <f t="shared" si="3"/>
        <v>1</v>
      </c>
      <c r="CH7" s="239">
        <f t="shared" si="3"/>
        <v>1</v>
      </c>
      <c r="CI7" s="239">
        <f t="shared" si="3"/>
        <v>0</v>
      </c>
    </row>
    <row r="8" spans="1:87" hidden="1">
      <c r="O8"/>
      <c r="P8"/>
      <c r="Q8"/>
      <c r="R8" s="243"/>
      <c r="Y8" s="239">
        <v>2</v>
      </c>
      <c r="Z8" s="239">
        <v>3</v>
      </c>
      <c r="AA8" s="239">
        <v>3</v>
      </c>
      <c r="AB8" s="239">
        <v>3</v>
      </c>
      <c r="AC8" s="239">
        <v>2</v>
      </c>
      <c r="AD8" s="239"/>
      <c r="AE8" s="239"/>
      <c r="AF8" s="239"/>
      <c r="AG8" s="239"/>
      <c r="AH8" s="239"/>
      <c r="AI8" s="239"/>
      <c r="AJ8" s="239"/>
      <c r="AK8" s="239"/>
      <c r="AL8" s="239"/>
      <c r="AM8" s="239"/>
      <c r="AN8" s="239"/>
      <c r="AO8" s="239"/>
      <c r="AP8" s="239"/>
      <c r="AQ8" s="239"/>
      <c r="AR8" s="239"/>
      <c r="AS8" s="239"/>
      <c r="AT8" s="239"/>
      <c r="AU8" s="239"/>
      <c r="AV8" s="239"/>
      <c r="AW8" s="239"/>
      <c r="AX8" s="239"/>
      <c r="AY8" s="239">
        <v>3</v>
      </c>
      <c r="AZ8" s="239">
        <v>3</v>
      </c>
      <c r="BA8" s="239">
        <v>3</v>
      </c>
      <c r="BB8" s="239">
        <v>3</v>
      </c>
      <c r="BC8" s="239">
        <v>3</v>
      </c>
      <c r="BD8" s="239">
        <v>3</v>
      </c>
      <c r="BE8" s="239">
        <v>3</v>
      </c>
      <c r="BF8" s="239">
        <v>3</v>
      </c>
      <c r="BG8" s="239">
        <v>3</v>
      </c>
      <c r="BH8" s="239">
        <v>3</v>
      </c>
      <c r="BI8" s="239">
        <v>3</v>
      </c>
      <c r="BJ8" s="239">
        <v>3</v>
      </c>
      <c r="BK8" s="239">
        <v>3</v>
      </c>
      <c r="BL8" s="239">
        <v>3</v>
      </c>
      <c r="BM8" s="239">
        <v>3</v>
      </c>
      <c r="BN8" s="239">
        <v>3</v>
      </c>
      <c r="BO8" s="239">
        <v>3</v>
      </c>
      <c r="BP8" s="239">
        <v>3</v>
      </c>
      <c r="BQ8" s="239">
        <v>3</v>
      </c>
      <c r="BR8" s="239">
        <v>3</v>
      </c>
      <c r="BS8" s="239">
        <v>3</v>
      </c>
      <c r="BT8" s="239">
        <v>3</v>
      </c>
      <c r="BU8" s="239">
        <v>3</v>
      </c>
      <c r="BV8" s="239">
        <v>3</v>
      </c>
      <c r="BW8" s="239">
        <v>3</v>
      </c>
      <c r="BX8" s="239">
        <v>3</v>
      </c>
      <c r="BY8" s="239">
        <v>3</v>
      </c>
      <c r="BZ8" s="239">
        <v>3</v>
      </c>
      <c r="CA8" s="239">
        <v>3</v>
      </c>
      <c r="CB8" s="239">
        <v>3</v>
      </c>
      <c r="CC8" s="239">
        <v>3</v>
      </c>
      <c r="CD8" s="239">
        <v>3</v>
      </c>
      <c r="CE8" s="239">
        <v>3</v>
      </c>
      <c r="CF8" s="239">
        <v>3</v>
      </c>
      <c r="CG8" s="239">
        <v>3</v>
      </c>
      <c r="CH8" s="239">
        <v>3</v>
      </c>
      <c r="CI8" s="239">
        <v>3</v>
      </c>
    </row>
    <row r="9" spans="1:87" hidden="1">
      <c r="O9"/>
      <c r="P9"/>
      <c r="Q9"/>
      <c r="R9" s="243"/>
    </row>
    <row r="10" spans="1:87">
      <c r="O10"/>
      <c r="P10"/>
      <c r="Q10"/>
      <c r="R10" s="243"/>
    </row>
    <row r="11" spans="1:87">
      <c r="A11" s="250"/>
      <c r="B11" s="251"/>
      <c r="C11" s="250" t="s">
        <v>572</v>
      </c>
      <c r="D11" s="250"/>
      <c r="E11" s="250"/>
      <c r="F11" s="250"/>
      <c r="G11" s="250"/>
      <c r="H11" s="250"/>
      <c r="I11" s="250"/>
      <c r="J11" s="250"/>
      <c r="K11" s="250"/>
      <c r="L11" s="252"/>
      <c r="M11" s="252"/>
      <c r="N11" s="252"/>
      <c r="O11" s="250"/>
      <c r="P11" s="250"/>
      <c r="Q11" s="250"/>
      <c r="R11" s="253"/>
      <c r="S11" s="250"/>
      <c r="T11" s="250"/>
      <c r="U11" s="250"/>
      <c r="V11" s="250"/>
      <c r="W11" s="250"/>
      <c r="X11" s="250"/>
      <c r="Y11" s="250"/>
      <c r="Z11" s="250"/>
      <c r="AA11" s="250"/>
      <c r="AB11" s="250"/>
      <c r="AC11" s="250"/>
      <c r="AD11" s="250"/>
      <c r="AE11" s="250"/>
      <c r="AF11" s="250"/>
      <c r="AG11" s="250"/>
      <c r="AH11" s="250"/>
      <c r="AI11" s="250"/>
      <c r="AJ11" s="250"/>
      <c r="AK11" s="250"/>
      <c r="AL11" s="250"/>
      <c r="AM11" s="250"/>
      <c r="AN11" s="250"/>
      <c r="AO11" s="250"/>
      <c r="AP11" s="250"/>
      <c r="AQ11" s="250"/>
      <c r="AR11" s="250"/>
      <c r="AS11" s="250"/>
      <c r="AT11" s="250"/>
      <c r="AU11" s="250"/>
      <c r="AV11" s="250"/>
      <c r="AW11" s="250"/>
      <c r="AX11" s="250"/>
      <c r="AY11" s="250"/>
      <c r="AZ11" s="250"/>
      <c r="BA11" s="250"/>
      <c r="BB11" s="250"/>
      <c r="BC11" s="250"/>
      <c r="BD11" s="250"/>
      <c r="BE11" s="250"/>
      <c r="BF11" s="250"/>
      <c r="BG11" s="250"/>
      <c r="BH11" s="250"/>
      <c r="BI11" s="250"/>
      <c r="BJ11" s="250"/>
      <c r="BK11" s="250"/>
      <c r="BL11" s="250"/>
      <c r="BM11" s="250"/>
      <c r="BN11" s="250"/>
      <c r="BO11" s="250"/>
      <c r="BP11" s="250"/>
      <c r="BQ11" s="250"/>
      <c r="BR11" s="250"/>
      <c r="BS11" s="250"/>
      <c r="BT11" s="250"/>
      <c r="BU11" s="250"/>
      <c r="BV11" s="250"/>
      <c r="BW11" s="250"/>
      <c r="BX11" s="250"/>
      <c r="BY11" s="250"/>
      <c r="BZ11" s="250"/>
      <c r="CA11" s="250"/>
      <c r="CB11" s="250"/>
      <c r="CC11" s="250"/>
      <c r="CD11" s="250"/>
      <c r="CE11" s="250"/>
      <c r="CF11" s="250"/>
      <c r="CG11" s="250"/>
      <c r="CH11" s="250"/>
      <c r="CI11" s="250"/>
    </row>
    <row r="12" spans="1:87">
      <c r="A12" s="250"/>
      <c r="B12" s="254"/>
      <c r="C12" s="250" t="s">
        <v>1849</v>
      </c>
      <c r="D12" s="250"/>
      <c r="E12" s="250"/>
      <c r="F12" s="250"/>
      <c r="G12" s="250"/>
      <c r="H12" s="250"/>
      <c r="I12" s="250"/>
      <c r="J12" s="252"/>
      <c r="K12" s="250"/>
      <c r="L12" s="252"/>
      <c r="M12" s="252"/>
      <c r="N12" s="252"/>
      <c r="O12" s="250"/>
      <c r="P12" s="250"/>
      <c r="Q12" s="250"/>
      <c r="R12" s="253"/>
      <c r="S12" s="250"/>
      <c r="T12" s="250"/>
      <c r="U12" s="250"/>
      <c r="V12" s="250"/>
      <c r="W12" s="250"/>
      <c r="X12" s="250"/>
      <c r="Y12" s="250"/>
      <c r="Z12" s="250"/>
      <c r="AA12" s="250"/>
      <c r="AB12" s="250"/>
      <c r="AC12" s="250"/>
      <c r="AD12" s="250"/>
      <c r="AE12" s="250"/>
      <c r="AF12" s="250"/>
      <c r="AG12" s="250"/>
      <c r="AH12" s="250"/>
      <c r="AI12" s="250"/>
      <c r="AJ12" s="250"/>
      <c r="AK12" s="250"/>
      <c r="AL12" s="250"/>
      <c r="AM12" s="250"/>
      <c r="AN12" s="250"/>
      <c r="AO12" s="250"/>
      <c r="AP12" s="250"/>
      <c r="AQ12" s="250"/>
      <c r="AR12" s="250"/>
      <c r="AS12" s="250"/>
      <c r="AT12" s="250"/>
      <c r="AU12" s="250"/>
      <c r="AV12" s="250"/>
      <c r="AW12" s="250"/>
      <c r="AX12" s="250"/>
      <c r="AY12" s="250"/>
      <c r="AZ12" s="250"/>
      <c r="BA12" s="250"/>
      <c r="BB12" s="250"/>
      <c r="BC12" s="250"/>
      <c r="BD12" s="250"/>
      <c r="BE12" s="250"/>
      <c r="BF12" s="250"/>
      <c r="BG12" s="250"/>
      <c r="BH12" s="250"/>
      <c r="BI12" s="250"/>
      <c r="BJ12" s="250"/>
      <c r="BK12" s="250"/>
      <c r="BL12" s="250"/>
      <c r="BM12" s="250"/>
      <c r="BN12" s="250"/>
      <c r="BO12" s="250"/>
      <c r="BP12" s="250"/>
      <c r="BQ12" s="250"/>
      <c r="BR12" s="250"/>
      <c r="BS12" s="250"/>
      <c r="BT12" s="250"/>
      <c r="BU12" s="250"/>
      <c r="BV12" s="250"/>
      <c r="BW12" s="250"/>
      <c r="BX12" s="250"/>
      <c r="BY12" s="250"/>
      <c r="BZ12" s="250"/>
      <c r="CA12" s="250"/>
      <c r="CB12" s="250"/>
      <c r="CC12" s="250"/>
      <c r="CD12" s="250"/>
      <c r="CE12" s="250"/>
      <c r="CF12" s="250"/>
      <c r="CG12" s="250"/>
      <c r="CH12" s="250"/>
      <c r="CI12" s="250"/>
    </row>
    <row r="13" spans="1:87">
      <c r="A13" s="250"/>
      <c r="B13" s="255"/>
      <c r="C13" s="250" t="s">
        <v>1850</v>
      </c>
      <c r="D13" s="250"/>
      <c r="E13" s="250"/>
      <c r="F13" s="250"/>
      <c r="G13" s="250"/>
      <c r="H13" s="250"/>
      <c r="I13" s="250"/>
      <c r="J13" s="250"/>
      <c r="K13" s="250"/>
      <c r="L13" s="252"/>
      <c r="M13" s="252"/>
      <c r="N13" s="252"/>
      <c r="O13" s="250"/>
      <c r="P13" s="250"/>
      <c r="Q13" s="250"/>
      <c r="R13" s="253"/>
      <c r="S13" s="250"/>
      <c r="T13" s="250"/>
      <c r="U13" s="250"/>
      <c r="V13" s="250"/>
      <c r="W13" s="250"/>
      <c r="X13" s="250"/>
      <c r="Y13" s="256"/>
      <c r="Z13" s="256"/>
      <c r="AA13" s="256"/>
      <c r="AB13" s="256"/>
      <c r="AC13" s="256"/>
      <c r="AD13" s="256"/>
      <c r="AE13" s="256"/>
      <c r="AF13" s="256"/>
      <c r="AG13" s="256"/>
      <c r="AH13" s="256"/>
      <c r="AI13" s="256"/>
      <c r="AJ13" s="256"/>
      <c r="AK13" s="256"/>
      <c r="AL13" s="256"/>
      <c r="AM13" s="256"/>
      <c r="AN13" s="256"/>
      <c r="AO13" s="256"/>
      <c r="AP13" s="256"/>
      <c r="AQ13" s="256"/>
      <c r="AR13" s="256"/>
      <c r="AS13" s="256"/>
      <c r="AT13" s="256"/>
      <c r="AU13" s="256"/>
      <c r="AV13" s="256"/>
      <c r="AW13" s="256"/>
      <c r="AX13" s="256"/>
      <c r="AY13" s="256"/>
      <c r="AZ13" s="256"/>
      <c r="BA13" s="256"/>
      <c r="BB13" s="256"/>
      <c r="BC13" s="256"/>
      <c r="BD13" s="256"/>
      <c r="BE13" s="256"/>
      <c r="BF13" s="256"/>
      <c r="BG13" s="256"/>
      <c r="BH13" s="256"/>
      <c r="BI13" s="256"/>
      <c r="BJ13" s="256"/>
      <c r="BK13" s="256"/>
      <c r="BL13" s="256"/>
      <c r="BM13" s="256"/>
      <c r="BN13" s="256"/>
      <c r="BO13" s="256"/>
      <c r="BP13" s="256"/>
      <c r="BQ13" s="256"/>
      <c r="BR13" s="256"/>
      <c r="BS13" s="256"/>
      <c r="BT13" s="256"/>
      <c r="BU13" s="256"/>
      <c r="BV13" s="256"/>
      <c r="BW13" s="256"/>
      <c r="BX13" s="256"/>
      <c r="BY13" s="256"/>
      <c r="BZ13" s="256"/>
      <c r="CA13" s="256"/>
      <c r="CB13" s="256"/>
      <c r="CC13" s="256"/>
      <c r="CD13" s="256"/>
      <c r="CE13" s="256"/>
      <c r="CF13" s="256"/>
      <c r="CG13" s="256"/>
      <c r="CH13" s="256"/>
      <c r="CI13" s="256"/>
    </row>
    <row r="14" spans="1:87" ht="18">
      <c r="A14" s="250"/>
      <c r="B14" s="257"/>
      <c r="C14" s="250" t="s">
        <v>573</v>
      </c>
      <c r="D14" s="250"/>
      <c r="E14" s="250"/>
      <c r="F14" s="250"/>
      <c r="G14" s="250"/>
      <c r="H14" s="250"/>
      <c r="I14" s="250"/>
      <c r="J14" s="250"/>
      <c r="K14" s="250"/>
      <c r="L14" s="252"/>
      <c r="M14" s="252"/>
      <c r="N14" s="252"/>
      <c r="O14" s="250"/>
      <c r="P14" s="250"/>
      <c r="Q14" s="250"/>
      <c r="R14" s="253"/>
      <c r="S14" s="250"/>
      <c r="T14" s="250"/>
      <c r="U14" s="250"/>
      <c r="V14" s="250"/>
      <c r="W14" s="258" t="s">
        <v>5</v>
      </c>
      <c r="X14" s="258"/>
      <c r="Y14" s="258"/>
      <c r="Z14" s="258"/>
      <c r="AA14" s="258"/>
      <c r="AB14" s="258"/>
      <c r="AC14" s="258"/>
      <c r="AD14" s="258" t="s">
        <v>6</v>
      </c>
      <c r="AE14" s="258"/>
      <c r="AF14" s="258"/>
      <c r="AG14" s="258"/>
      <c r="AH14" s="258"/>
      <c r="AI14" s="258"/>
      <c r="AJ14" s="258"/>
      <c r="AK14" s="258"/>
      <c r="AL14" s="258"/>
      <c r="AM14" s="258"/>
      <c r="AN14" s="258" t="s">
        <v>6</v>
      </c>
      <c r="AO14" s="258"/>
      <c r="AP14" s="258"/>
      <c r="AQ14" s="258"/>
      <c r="AR14" s="258"/>
      <c r="AS14" s="258"/>
      <c r="AT14" s="258"/>
      <c r="AU14" s="258"/>
      <c r="AV14" s="258"/>
      <c r="AW14" s="258"/>
      <c r="AX14" s="258"/>
      <c r="AY14" s="258" t="s">
        <v>7</v>
      </c>
      <c r="AZ14" s="258"/>
      <c r="BA14" s="258"/>
      <c r="BB14" s="258"/>
      <c r="BC14" s="258" t="s">
        <v>7</v>
      </c>
      <c r="BD14" s="258"/>
      <c r="BE14" s="258"/>
      <c r="BF14" s="258"/>
      <c r="BG14" s="258"/>
      <c r="BH14" s="258"/>
      <c r="BI14" s="258"/>
      <c r="BJ14" s="258"/>
      <c r="BK14" s="258"/>
      <c r="BL14" s="258"/>
      <c r="BM14" s="258"/>
      <c r="BN14" s="258"/>
      <c r="BO14" s="258"/>
      <c r="BP14" s="258"/>
      <c r="BQ14" s="258"/>
      <c r="BR14" s="258"/>
      <c r="BS14" s="258"/>
      <c r="BT14" s="258"/>
      <c r="BU14" s="258" t="s">
        <v>445</v>
      </c>
      <c r="BV14" s="258"/>
      <c r="BW14" s="258" t="s">
        <v>445</v>
      </c>
      <c r="BX14" s="258"/>
      <c r="BY14" s="258"/>
      <c r="BZ14" s="258"/>
      <c r="CA14" s="258"/>
      <c r="CB14" s="258"/>
      <c r="CC14" s="258"/>
      <c r="CD14" s="258"/>
      <c r="CE14" s="258"/>
      <c r="CF14" s="258"/>
      <c r="CG14" s="258"/>
      <c r="CH14" s="258"/>
      <c r="CI14" s="258"/>
    </row>
    <row r="15" spans="1:87" ht="16.5">
      <c r="A15" s="250"/>
      <c r="B15" s="250"/>
      <c r="C15" s="250"/>
      <c r="D15" s="250"/>
      <c r="E15" s="250"/>
      <c r="F15" s="250"/>
      <c r="G15" s="250"/>
      <c r="H15" s="250"/>
      <c r="I15" s="252" t="s">
        <v>1925</v>
      </c>
      <c r="J15" s="252" t="s">
        <v>1925</v>
      </c>
      <c r="K15" s="252" t="s">
        <v>1925</v>
      </c>
      <c r="L15" s="252" t="s">
        <v>1925</v>
      </c>
      <c r="M15" s="252" t="s">
        <v>1925</v>
      </c>
      <c r="N15" s="252"/>
      <c r="O15" s="250"/>
      <c r="P15" s="250"/>
      <c r="Q15" s="250"/>
      <c r="R15" s="253"/>
      <c r="S15" s="250"/>
      <c r="T15" s="250"/>
      <c r="U15" s="250"/>
      <c r="V15" s="250"/>
      <c r="W15" s="76">
        <v>45595</v>
      </c>
      <c r="X15" s="76">
        <v>45589</v>
      </c>
      <c r="Y15" s="76">
        <v>45590</v>
      </c>
      <c r="Z15" s="76">
        <v>45593</v>
      </c>
      <c r="AA15" s="76">
        <v>45594</v>
      </c>
      <c r="AB15" s="76">
        <v>45595</v>
      </c>
      <c r="AC15" s="76">
        <v>45596</v>
      </c>
      <c r="AD15" s="76">
        <v>45597</v>
      </c>
      <c r="AE15" s="76">
        <v>45600</v>
      </c>
      <c r="AF15" s="76">
        <v>45601</v>
      </c>
      <c r="AG15" s="76">
        <v>45602</v>
      </c>
      <c r="AH15" s="76">
        <v>45603</v>
      </c>
      <c r="AI15" s="76">
        <v>45604</v>
      </c>
      <c r="AJ15" s="76">
        <v>45607</v>
      </c>
      <c r="AK15" s="76">
        <v>45608</v>
      </c>
      <c r="AL15" s="76">
        <v>45609</v>
      </c>
      <c r="AM15" s="76">
        <v>45610</v>
      </c>
      <c r="AN15" s="76">
        <v>45611</v>
      </c>
      <c r="AO15" s="76">
        <v>45614</v>
      </c>
      <c r="AP15" s="76">
        <v>45615</v>
      </c>
      <c r="AQ15" s="76">
        <v>45616</v>
      </c>
      <c r="AR15" s="76">
        <v>45617</v>
      </c>
      <c r="AS15" s="76">
        <v>45618</v>
      </c>
      <c r="AT15" s="76">
        <v>45621</v>
      </c>
      <c r="AU15" s="76">
        <v>45622</v>
      </c>
      <c r="AV15" s="76">
        <v>45623</v>
      </c>
      <c r="AW15" s="76">
        <v>45624</v>
      </c>
      <c r="AX15" s="76">
        <v>45625</v>
      </c>
      <c r="AY15" s="76">
        <v>45628</v>
      </c>
      <c r="AZ15" s="76">
        <v>45629</v>
      </c>
      <c r="BA15" s="76">
        <v>45630</v>
      </c>
      <c r="BB15" s="76">
        <v>45631</v>
      </c>
      <c r="BC15" s="76">
        <v>45632</v>
      </c>
      <c r="BD15" s="76">
        <v>45635</v>
      </c>
      <c r="BE15" s="76">
        <v>45636</v>
      </c>
      <c r="BF15" s="76">
        <v>45637</v>
      </c>
      <c r="BG15" s="76">
        <v>45638</v>
      </c>
      <c r="BH15" s="76">
        <v>45639</v>
      </c>
      <c r="BI15" s="76">
        <v>45642</v>
      </c>
      <c r="BJ15" s="76">
        <v>45643</v>
      </c>
      <c r="BK15" s="76">
        <v>45644</v>
      </c>
      <c r="BL15" s="76">
        <v>45645</v>
      </c>
      <c r="BM15" s="76">
        <v>45646</v>
      </c>
      <c r="BN15" s="76">
        <v>45649</v>
      </c>
      <c r="BO15" s="76">
        <v>45650</v>
      </c>
      <c r="BP15" s="76">
        <v>45651</v>
      </c>
      <c r="BQ15" s="76">
        <v>45652</v>
      </c>
      <c r="BR15" s="76">
        <v>45653</v>
      </c>
      <c r="BS15" s="76">
        <v>45656</v>
      </c>
      <c r="BT15" s="76">
        <v>45657</v>
      </c>
      <c r="BU15" s="76">
        <f>BU16</f>
        <v>45658</v>
      </c>
      <c r="BV15" s="76">
        <f t="shared" ref="BV15:CI15" si="4">BV16</f>
        <v>45659</v>
      </c>
      <c r="BW15" s="76">
        <f t="shared" si="4"/>
        <v>45660</v>
      </c>
      <c r="BX15" s="76">
        <f t="shared" si="4"/>
        <v>45663</v>
      </c>
      <c r="BY15" s="76">
        <f t="shared" si="4"/>
        <v>45664</v>
      </c>
      <c r="BZ15" s="76">
        <f t="shared" si="4"/>
        <v>45665</v>
      </c>
      <c r="CA15" s="76">
        <f t="shared" si="4"/>
        <v>45666</v>
      </c>
      <c r="CB15" s="76">
        <f t="shared" si="4"/>
        <v>45667</v>
      </c>
      <c r="CC15" s="76">
        <f t="shared" si="4"/>
        <v>45670</v>
      </c>
      <c r="CD15" s="76">
        <f t="shared" si="4"/>
        <v>45671</v>
      </c>
      <c r="CE15" s="76">
        <f t="shared" si="4"/>
        <v>45672</v>
      </c>
      <c r="CF15" s="76">
        <f t="shared" si="4"/>
        <v>45673</v>
      </c>
      <c r="CG15" s="76">
        <f t="shared" si="4"/>
        <v>45674</v>
      </c>
      <c r="CH15" s="76">
        <f t="shared" si="4"/>
        <v>45677</v>
      </c>
      <c r="CI15" s="76">
        <f t="shared" si="4"/>
        <v>45678</v>
      </c>
    </row>
    <row r="16" spans="1:87" s="230" customFormat="1" ht="18">
      <c r="A16" s="259"/>
      <c r="B16" s="201" t="s">
        <v>8</v>
      </c>
      <c r="C16" s="202" t="s">
        <v>9</v>
      </c>
      <c r="D16" s="202" t="s">
        <v>10</v>
      </c>
      <c r="E16" s="202" t="s">
        <v>11</v>
      </c>
      <c r="F16" s="202" t="s">
        <v>1882</v>
      </c>
      <c r="G16" s="202" t="s">
        <v>12</v>
      </c>
      <c r="H16" s="202" t="s">
        <v>636</v>
      </c>
      <c r="I16" s="304" t="s">
        <v>1851</v>
      </c>
      <c r="J16" s="304" t="s">
        <v>1927</v>
      </c>
      <c r="K16" s="203" t="s">
        <v>1928</v>
      </c>
      <c r="L16" s="304" t="s">
        <v>1910</v>
      </c>
      <c r="M16" s="304" t="s">
        <v>1911</v>
      </c>
      <c r="N16" s="304" t="s">
        <v>1926</v>
      </c>
      <c r="O16" s="202" t="s">
        <v>1908</v>
      </c>
      <c r="P16" s="202" t="s">
        <v>1909</v>
      </c>
      <c r="Q16" s="202" t="s">
        <v>1913</v>
      </c>
      <c r="R16" s="305" t="s">
        <v>22</v>
      </c>
      <c r="S16" s="205" t="s">
        <v>1158</v>
      </c>
      <c r="T16" s="205" t="s">
        <v>1852</v>
      </c>
      <c r="U16" s="205" t="s">
        <v>1853</v>
      </c>
      <c r="V16" s="204" t="s">
        <v>1854</v>
      </c>
      <c r="W16" s="306">
        <v>23</v>
      </c>
      <c r="X16" s="306">
        <v>45589</v>
      </c>
      <c r="Y16" s="306">
        <v>45590</v>
      </c>
      <c r="Z16" s="306">
        <v>45593</v>
      </c>
      <c r="AA16" s="306">
        <v>45594</v>
      </c>
      <c r="AB16" s="306">
        <v>45595</v>
      </c>
      <c r="AC16" s="306">
        <v>45596</v>
      </c>
      <c r="AD16" s="306">
        <v>45597</v>
      </c>
      <c r="AE16" s="306">
        <v>45600</v>
      </c>
      <c r="AF16" s="306">
        <v>45601</v>
      </c>
      <c r="AG16" s="306">
        <v>45602</v>
      </c>
      <c r="AH16" s="306">
        <v>45603</v>
      </c>
      <c r="AI16" s="306">
        <v>45604</v>
      </c>
      <c r="AJ16" s="306">
        <v>45607</v>
      </c>
      <c r="AK16" s="306">
        <v>45608</v>
      </c>
      <c r="AL16" s="306">
        <v>45609</v>
      </c>
      <c r="AM16" s="306">
        <v>45610</v>
      </c>
      <c r="AN16" s="306">
        <v>45611</v>
      </c>
      <c r="AO16" s="306">
        <v>45614</v>
      </c>
      <c r="AP16" s="306">
        <v>45615</v>
      </c>
      <c r="AQ16" s="306">
        <v>45616</v>
      </c>
      <c r="AR16" s="306">
        <v>45617</v>
      </c>
      <c r="AS16" s="306">
        <v>45618</v>
      </c>
      <c r="AT16" s="306">
        <v>45621</v>
      </c>
      <c r="AU16" s="306">
        <v>45622</v>
      </c>
      <c r="AV16" s="306">
        <v>45623</v>
      </c>
      <c r="AW16" s="306">
        <v>45624</v>
      </c>
      <c r="AX16" s="306">
        <v>45625</v>
      </c>
      <c r="AY16" s="306">
        <v>45628</v>
      </c>
      <c r="AZ16" s="306">
        <v>45629</v>
      </c>
      <c r="BA16" s="306">
        <v>45630</v>
      </c>
      <c r="BB16" s="306">
        <v>45631</v>
      </c>
      <c r="BC16" s="306">
        <v>45632</v>
      </c>
      <c r="BD16" s="306">
        <v>45635</v>
      </c>
      <c r="BE16" s="306">
        <v>45636</v>
      </c>
      <c r="BF16" s="306">
        <v>45637</v>
      </c>
      <c r="BG16" s="306">
        <v>45638</v>
      </c>
      <c r="BH16" s="306">
        <v>45639</v>
      </c>
      <c r="BI16" s="306">
        <v>45642</v>
      </c>
      <c r="BJ16" s="306">
        <v>45643</v>
      </c>
      <c r="BK16" s="306">
        <v>45644</v>
      </c>
      <c r="BL16" s="306">
        <v>45645</v>
      </c>
      <c r="BM16" s="306">
        <v>45646</v>
      </c>
      <c r="BN16" s="306">
        <v>45649</v>
      </c>
      <c r="BO16" s="306">
        <v>45650</v>
      </c>
      <c r="BP16" s="306">
        <v>45651</v>
      </c>
      <c r="BQ16" s="306">
        <v>45652</v>
      </c>
      <c r="BR16" s="306">
        <v>45653</v>
      </c>
      <c r="BS16" s="306">
        <v>45656</v>
      </c>
      <c r="BT16" s="306">
        <v>45657</v>
      </c>
      <c r="BU16" s="306">
        <f t="shared" ref="BU16:CI16" si="5">WORKDAY(BT16,1)</f>
        <v>45658</v>
      </c>
      <c r="BV16" s="306">
        <f t="shared" si="5"/>
        <v>45659</v>
      </c>
      <c r="BW16" s="306">
        <f t="shared" si="5"/>
        <v>45660</v>
      </c>
      <c r="BX16" s="306">
        <f t="shared" si="5"/>
        <v>45663</v>
      </c>
      <c r="BY16" s="306">
        <f t="shared" si="5"/>
        <v>45664</v>
      </c>
      <c r="BZ16" s="306">
        <f t="shared" si="5"/>
        <v>45665</v>
      </c>
      <c r="CA16" s="306">
        <f t="shared" si="5"/>
        <v>45666</v>
      </c>
      <c r="CB16" s="306">
        <f t="shared" si="5"/>
        <v>45667</v>
      </c>
      <c r="CC16" s="306">
        <f t="shared" si="5"/>
        <v>45670</v>
      </c>
      <c r="CD16" s="306">
        <f t="shared" si="5"/>
        <v>45671</v>
      </c>
      <c r="CE16" s="306">
        <f t="shared" si="5"/>
        <v>45672</v>
      </c>
      <c r="CF16" s="306">
        <f t="shared" si="5"/>
        <v>45673</v>
      </c>
      <c r="CG16" s="306">
        <f t="shared" si="5"/>
        <v>45674</v>
      </c>
      <c r="CH16" s="306">
        <f t="shared" si="5"/>
        <v>45677</v>
      </c>
      <c r="CI16" s="306">
        <f t="shared" si="5"/>
        <v>45678</v>
      </c>
    </row>
    <row r="17" spans="1:87" ht="15" customHeight="1">
      <c r="A17" s="260"/>
      <c r="B17" s="141" t="s">
        <v>26</v>
      </c>
      <c r="C17" s="137" t="s">
        <v>26</v>
      </c>
      <c r="D17" s="133"/>
      <c r="E17" s="228" t="s">
        <v>379</v>
      </c>
      <c r="F17" s="226" t="s">
        <v>1883</v>
      </c>
      <c r="G17" s="227">
        <f>COUNTA(G18)</f>
        <v>1</v>
      </c>
      <c r="H17" s="281" t="s">
        <v>1915</v>
      </c>
      <c r="I17" s="264">
        <f>MAX(I18)</f>
        <v>45583</v>
      </c>
      <c r="J17" s="263">
        <f>MIN(J18)</f>
        <v>45589</v>
      </c>
      <c r="K17" s="263">
        <f>MIN(K18)</f>
        <v>45589</v>
      </c>
      <c r="L17" s="263">
        <f>MIN(L18)</f>
        <v>45593</v>
      </c>
      <c r="M17" s="264">
        <f>MAX(M18)</f>
        <v>45593</v>
      </c>
      <c r="N17" s="308">
        <f t="array" ref="N17">MAX(IF(W17:CI17&gt;0,$W$16:$CI$16))</f>
        <v>45593</v>
      </c>
      <c r="O17" s="307">
        <f>O18</f>
        <v>1</v>
      </c>
      <c r="P17" s="307">
        <f ca="1">P18</f>
        <v>1</v>
      </c>
      <c r="Q17" s="234">
        <f t="shared" ref="Q17:Q43" ca="1" si="6">O17-P17</f>
        <v>0</v>
      </c>
      <c r="R17" s="248" t="s">
        <v>38</v>
      </c>
      <c r="S17" s="266"/>
      <c r="T17" s="256"/>
      <c r="U17" s="256"/>
      <c r="V17" s="256"/>
      <c r="W17" s="267"/>
      <c r="X17" s="274"/>
      <c r="Y17" s="267"/>
      <c r="Z17" s="270" t="s">
        <v>443</v>
      </c>
      <c r="AA17" s="267"/>
      <c r="AB17" s="267"/>
      <c r="AC17" s="267"/>
      <c r="AD17" s="268"/>
      <c r="AE17" s="267"/>
      <c r="AF17" s="267"/>
      <c r="AG17" s="267"/>
      <c r="AH17" s="267"/>
      <c r="AI17" s="267"/>
      <c r="AJ17" s="267"/>
      <c r="AK17" s="267"/>
      <c r="AL17" s="267"/>
      <c r="AM17" s="267"/>
      <c r="AN17" s="267"/>
      <c r="AO17" s="267"/>
      <c r="AP17" s="267"/>
      <c r="AQ17" s="267"/>
      <c r="AR17" s="267"/>
      <c r="AS17" s="267"/>
      <c r="AT17" s="267"/>
      <c r="AU17" s="267"/>
      <c r="AV17" s="267"/>
      <c r="AW17" s="267"/>
      <c r="AX17" s="267"/>
      <c r="AY17" s="267"/>
      <c r="AZ17" s="267"/>
      <c r="BA17" s="267"/>
      <c r="BB17" s="267"/>
      <c r="BC17" s="267"/>
      <c r="BD17" s="267"/>
      <c r="BE17" s="267"/>
      <c r="BF17" s="267"/>
      <c r="BG17" s="267"/>
      <c r="BH17" s="267"/>
      <c r="BI17" s="267"/>
      <c r="BJ17" s="267"/>
      <c r="BK17" s="267"/>
      <c r="BL17" s="267"/>
      <c r="BM17" s="267"/>
      <c r="BN17" s="267"/>
      <c r="BO17" s="268"/>
      <c r="BP17" s="268"/>
      <c r="BQ17" s="268"/>
      <c r="BR17" s="268"/>
      <c r="BS17" s="268"/>
      <c r="BT17" s="268"/>
      <c r="BU17" s="268"/>
      <c r="BV17" s="267"/>
      <c r="BW17" s="267"/>
      <c r="BX17" s="267"/>
      <c r="BY17" s="267"/>
      <c r="BZ17" s="267"/>
      <c r="CA17" s="267"/>
      <c r="CB17" s="267"/>
      <c r="CC17" s="267"/>
      <c r="CD17" s="267"/>
      <c r="CE17" s="267"/>
      <c r="CF17" s="267"/>
      <c r="CG17" s="267"/>
      <c r="CH17" s="267"/>
      <c r="CI17" s="267"/>
    </row>
    <row r="18" spans="1:87" ht="16.5" outlineLevel="1">
      <c r="A18" s="260" t="str">
        <f>E18&amp;G18</f>
        <v>lt002_instrumentlns_clltrlzd_clssfctn</v>
      </c>
      <c r="B18" s="141" t="s">
        <v>26</v>
      </c>
      <c r="C18" s="137" t="s">
        <v>26</v>
      </c>
      <c r="D18" s="222" t="s">
        <v>40</v>
      </c>
      <c r="E18" s="225" t="s">
        <v>379</v>
      </c>
      <c r="F18" s="225"/>
      <c r="G18" s="225" t="s">
        <v>384</v>
      </c>
      <c r="H18" s="222" t="str">
        <f>VLOOKUP(A18,'2. Status Detalhe Campos FY24'!$A$7:$G$731,7,0)</f>
        <v>1. Concluído</v>
      </c>
      <c r="I18" s="262">
        <v>45583</v>
      </c>
      <c r="J18" s="271">
        <v>45589</v>
      </c>
      <c r="K18" s="271">
        <v>45589</v>
      </c>
      <c r="L18" s="276">
        <f t="array" ref="L18">MIN(IF(W18:CI18&gt;0,$W$16:$CI$16))</f>
        <v>45593</v>
      </c>
      <c r="M18" s="277">
        <f t="array" ref="M18">MAX(IF(W18:CI18&gt;0,$W$16:$CI$16))</f>
        <v>45593</v>
      </c>
      <c r="N18" s="277"/>
      <c r="O18" s="235">
        <f>VLOOKUP(H18,Auxiliar!$B$16:$E$24,4,0)</f>
        <v>1</v>
      </c>
      <c r="P18" s="235">
        <f ca="1">IF(TODAY()&lt;=L18,0,MIN((TODAY()-L18)/(M18-L18+1),100%))</f>
        <v>1</v>
      </c>
      <c r="Q18" s="234">
        <f t="shared" ca="1" si="6"/>
        <v>0</v>
      </c>
      <c r="R18" s="248" t="s">
        <v>38</v>
      </c>
      <c r="S18" s="266"/>
      <c r="T18" s="256">
        <v>4.0999999999999996</v>
      </c>
      <c r="U18" s="256">
        <f>ROUND(T18/8,1)</f>
        <v>0.5</v>
      </c>
      <c r="V18" s="256">
        <f>SUM(W18:CI18)-U18</f>
        <v>0</v>
      </c>
      <c r="W18" s="267"/>
      <c r="X18" s="274"/>
      <c r="Y18" s="267"/>
      <c r="Z18" s="267">
        <v>0.5</v>
      </c>
      <c r="AA18" s="267"/>
      <c r="AB18" s="267"/>
      <c r="AC18" s="267"/>
      <c r="AD18" s="268"/>
      <c r="AE18" s="267"/>
      <c r="AF18" s="267"/>
      <c r="AG18" s="267"/>
      <c r="AH18" s="267"/>
      <c r="AI18" s="267"/>
      <c r="AJ18" s="267"/>
      <c r="AK18" s="267"/>
      <c r="AL18" s="267"/>
      <c r="AM18" s="267"/>
      <c r="AN18" s="267"/>
      <c r="AO18" s="267"/>
      <c r="AP18" s="267"/>
      <c r="AQ18" s="267"/>
      <c r="AR18" s="267"/>
      <c r="AS18" s="267"/>
      <c r="AT18" s="267"/>
      <c r="AU18" s="267"/>
      <c r="AV18" s="267"/>
      <c r="AW18" s="267"/>
      <c r="AX18" s="267"/>
      <c r="AY18" s="267"/>
      <c r="AZ18" s="267"/>
      <c r="BA18" s="267"/>
      <c r="BB18" s="267"/>
      <c r="BC18" s="267"/>
      <c r="BD18" s="267"/>
      <c r="BE18" s="267"/>
      <c r="BF18" s="267"/>
      <c r="BG18" s="267"/>
      <c r="BH18" s="267"/>
      <c r="BI18" s="267"/>
      <c r="BJ18" s="267"/>
      <c r="BK18" s="267"/>
      <c r="BL18" s="267"/>
      <c r="BM18" s="267"/>
      <c r="BN18" s="267"/>
      <c r="BO18" s="268"/>
      <c r="BP18" s="268"/>
      <c r="BQ18" s="268"/>
      <c r="BR18" s="268"/>
      <c r="BS18" s="268"/>
      <c r="BT18" s="268"/>
      <c r="BU18" s="268"/>
      <c r="BV18" s="267"/>
      <c r="BW18" s="267"/>
      <c r="BX18" s="267"/>
      <c r="BY18" s="267"/>
      <c r="BZ18" s="267"/>
      <c r="CA18" s="267"/>
      <c r="CB18" s="267"/>
      <c r="CC18" s="267"/>
      <c r="CD18" s="267"/>
      <c r="CE18" s="267"/>
      <c r="CF18" s="267"/>
      <c r="CG18" s="267"/>
      <c r="CH18" s="267"/>
      <c r="CI18" s="267"/>
    </row>
    <row r="19" spans="1:87" ht="15" customHeight="1">
      <c r="A19" s="260"/>
      <c r="B19" s="141" t="s">
        <v>26</v>
      </c>
      <c r="C19" s="137" t="s">
        <v>310</v>
      </c>
      <c r="D19" s="133"/>
      <c r="E19" s="226" t="s">
        <v>311</v>
      </c>
      <c r="F19" s="226" t="s">
        <v>1907</v>
      </c>
      <c r="G19" s="227">
        <f>COUNTA(G20:G27)</f>
        <v>8</v>
      </c>
      <c r="H19" s="281" t="s">
        <v>1915</v>
      </c>
      <c r="I19" s="262" t="s">
        <v>38</v>
      </c>
      <c r="J19" s="263">
        <f>MIN(J20:J27)</f>
        <v>45600</v>
      </c>
      <c r="K19" s="264">
        <f>MIN(K20:K27)</f>
        <v>45601</v>
      </c>
      <c r="L19" s="263">
        <f>MIN(L20:L27)</f>
        <v>45602</v>
      </c>
      <c r="M19" s="264">
        <f>MAX(M20:M27)</f>
        <v>45608</v>
      </c>
      <c r="N19" s="308">
        <f t="array" ref="N19">MAX(IF(W19:CI19&gt;0,$W$16:$CI$16))</f>
        <v>45611</v>
      </c>
      <c r="O19" s="307">
        <f>SUMPRODUCT(O20:O27,U20:U27)/SUM(U20:U27)</f>
        <v>1</v>
      </c>
      <c r="P19" s="307">
        <f ca="1">SUMPRODUCT(P20:P27,U20:U27)/SUM(U20:U27)</f>
        <v>1</v>
      </c>
      <c r="Q19" s="234">
        <f t="shared" ca="1" si="6"/>
        <v>0</v>
      </c>
      <c r="R19" s="248" t="s">
        <v>38</v>
      </c>
      <c r="S19" s="266"/>
      <c r="T19" s="256"/>
      <c r="U19" s="256"/>
      <c r="V19" s="256"/>
      <c r="W19" s="267"/>
      <c r="X19" s="267"/>
      <c r="Y19" s="267"/>
      <c r="Z19" s="267"/>
      <c r="AA19" s="267"/>
      <c r="AB19" s="267"/>
      <c r="AC19" s="267"/>
      <c r="AD19" s="268"/>
      <c r="AE19" s="269"/>
      <c r="AF19" s="274"/>
      <c r="AG19" s="267"/>
      <c r="AH19" s="267"/>
      <c r="AI19" s="267"/>
      <c r="AJ19" s="267"/>
      <c r="AK19" s="267"/>
      <c r="AL19" s="267"/>
      <c r="AM19" s="275"/>
      <c r="AN19" s="274" t="s">
        <v>443</v>
      </c>
      <c r="AO19" s="267"/>
      <c r="AP19" s="267"/>
      <c r="AQ19" s="267"/>
      <c r="AR19" s="267"/>
      <c r="AS19" s="267"/>
      <c r="AT19" s="267"/>
      <c r="AU19" s="267"/>
      <c r="AV19" s="267"/>
      <c r="AW19" s="267"/>
      <c r="AX19" s="267"/>
      <c r="AY19" s="267"/>
      <c r="AZ19" s="267"/>
      <c r="BA19" s="267"/>
      <c r="BB19" s="267"/>
      <c r="BC19" s="267"/>
      <c r="BD19" s="267"/>
      <c r="BE19" s="267"/>
      <c r="BF19" s="267"/>
      <c r="BG19" s="267"/>
      <c r="BH19" s="267"/>
      <c r="BI19" s="267"/>
      <c r="BJ19" s="267"/>
      <c r="BK19" s="267"/>
      <c r="BL19" s="267"/>
      <c r="BM19" s="267"/>
      <c r="BN19" s="267"/>
      <c r="BO19" s="268"/>
      <c r="BP19" s="268"/>
      <c r="BQ19" s="268"/>
      <c r="BR19" s="268"/>
      <c r="BS19" s="268"/>
      <c r="BT19" s="268"/>
      <c r="BU19" s="268"/>
      <c r="BV19" s="267"/>
      <c r="BW19" s="267"/>
      <c r="BX19" s="267"/>
      <c r="BY19" s="267"/>
      <c r="BZ19" s="267"/>
      <c r="CA19" s="267"/>
      <c r="CB19" s="267"/>
      <c r="CC19" s="267"/>
      <c r="CD19" s="267"/>
      <c r="CE19" s="267"/>
      <c r="CF19" s="267"/>
      <c r="CG19" s="267"/>
      <c r="CH19" s="267"/>
      <c r="CI19" s="267"/>
    </row>
    <row r="20" spans="1:87" ht="16.5" outlineLevel="1">
      <c r="A20" s="260" t="str">
        <f t="shared" ref="A20:A27" si="7">E20&amp;G20</f>
        <v>modesg_out_bens_imoveisorigem_scp1_emss</v>
      </c>
      <c r="B20" s="141" t="s">
        <v>26</v>
      </c>
      <c r="C20" s="137" t="s">
        <v>310</v>
      </c>
      <c r="D20" s="222" t="s">
        <v>40</v>
      </c>
      <c r="E20" s="223" t="s">
        <v>311</v>
      </c>
      <c r="F20" s="223"/>
      <c r="G20" s="222" t="s">
        <v>319</v>
      </c>
      <c r="H20" s="222" t="str">
        <f>VLOOKUP(A20,'2. Status Detalhe Campos FY24'!$A$7:$G$731,7,0)</f>
        <v>1. Concluído</v>
      </c>
      <c r="I20" s="262" t="s">
        <v>38</v>
      </c>
      <c r="J20" s="271">
        <v>45600</v>
      </c>
      <c r="K20" s="262">
        <v>45601</v>
      </c>
      <c r="L20" s="276">
        <f t="array" ref="L20">MIN(IF(W20:CI20&gt;0,$W$16:$CI$16))</f>
        <v>45602</v>
      </c>
      <c r="M20" s="277">
        <f t="array" ref="M20">MAX(IF(W20:CI20&gt;0,$W$16:$CI$16))</f>
        <v>45602</v>
      </c>
      <c r="N20" s="277"/>
      <c r="O20" s="235">
        <f>VLOOKUP(H20,Auxiliar!$B$16:$E$24,4,0)</f>
        <v>1</v>
      </c>
      <c r="P20" s="235">
        <f t="shared" ref="P20:P27" ca="1" si="8">IF(TODAY()&lt;=L20,0,MIN((TODAY()-L20)/(M20-L20+1),100%))</f>
        <v>1</v>
      </c>
      <c r="Q20" s="234">
        <f t="shared" ca="1" si="6"/>
        <v>0</v>
      </c>
      <c r="R20" s="247"/>
      <c r="S20" s="266" t="s">
        <v>1856</v>
      </c>
      <c r="T20" s="256">
        <v>4.0999999999999996</v>
      </c>
      <c r="U20" s="256">
        <f t="shared" ref="U20:U27" si="9">ROUND(T20/8,1)</f>
        <v>0.5</v>
      </c>
      <c r="V20" s="256">
        <f t="shared" ref="V20:V27" si="10">SUM(W20:CI20)-U20</f>
        <v>0</v>
      </c>
      <c r="W20" s="267"/>
      <c r="X20" s="267"/>
      <c r="Y20" s="267"/>
      <c r="Z20" s="267"/>
      <c r="AA20" s="267"/>
      <c r="AB20" s="267"/>
      <c r="AC20" s="267"/>
      <c r="AD20" s="268"/>
      <c r="AE20" s="269"/>
      <c r="AF20" s="274"/>
      <c r="AG20" s="267">
        <v>0.5</v>
      </c>
      <c r="AH20" s="267"/>
      <c r="AI20" s="267"/>
      <c r="AJ20" s="267"/>
      <c r="AK20" s="267"/>
      <c r="AL20" s="267"/>
      <c r="AM20" s="275"/>
      <c r="AN20" s="274"/>
      <c r="AO20" s="267"/>
      <c r="AP20" s="267"/>
      <c r="AQ20" s="267"/>
      <c r="AR20" s="267"/>
      <c r="AS20" s="267"/>
      <c r="AT20" s="267"/>
      <c r="AU20" s="267"/>
      <c r="AV20" s="267"/>
      <c r="AW20" s="267"/>
      <c r="AX20" s="267"/>
      <c r="AY20" s="267"/>
      <c r="AZ20" s="267"/>
      <c r="BA20" s="267"/>
      <c r="BB20" s="267"/>
      <c r="BC20" s="267"/>
      <c r="BD20" s="267"/>
      <c r="BE20" s="267"/>
      <c r="BF20" s="267"/>
      <c r="BG20" s="267"/>
      <c r="BH20" s="267"/>
      <c r="BI20" s="267"/>
      <c r="BJ20" s="267"/>
      <c r="BK20" s="267"/>
      <c r="BL20" s="267"/>
      <c r="BM20" s="267"/>
      <c r="BN20" s="267"/>
      <c r="BO20" s="268"/>
      <c r="BP20" s="268"/>
      <c r="BQ20" s="268"/>
      <c r="BR20" s="268"/>
      <c r="BS20" s="268"/>
      <c r="BT20" s="268"/>
      <c r="BU20" s="268"/>
      <c r="BV20" s="267"/>
      <c r="BW20" s="267"/>
      <c r="BX20" s="267"/>
      <c r="BY20" s="267"/>
      <c r="BZ20" s="267"/>
      <c r="CA20" s="267"/>
      <c r="CB20" s="267"/>
      <c r="CC20" s="267"/>
      <c r="CD20" s="267"/>
      <c r="CE20" s="267"/>
      <c r="CF20" s="267"/>
      <c r="CG20" s="267"/>
      <c r="CH20" s="267"/>
      <c r="CI20" s="267"/>
    </row>
    <row r="21" spans="1:87" ht="16.5" outlineLevel="1">
      <c r="A21" s="260" t="str">
        <f t="shared" si="7"/>
        <v>modesg_out_bens_imoveisorigem_scp2_emss</v>
      </c>
      <c r="B21" s="141" t="s">
        <v>26</v>
      </c>
      <c r="C21" s="137" t="s">
        <v>310</v>
      </c>
      <c r="D21" s="222" t="s">
        <v>40</v>
      </c>
      <c r="E21" s="223" t="s">
        <v>311</v>
      </c>
      <c r="F21" s="223"/>
      <c r="G21" s="222" t="s">
        <v>320</v>
      </c>
      <c r="H21" s="222" t="str">
        <f>VLOOKUP(A21,'2. Status Detalhe Campos FY24'!$A$7:$G$731,7,0)</f>
        <v>1. Concluído</v>
      </c>
      <c r="I21" s="262" t="s">
        <v>38</v>
      </c>
      <c r="J21" s="271">
        <v>45600</v>
      </c>
      <c r="K21" s="262">
        <v>45601</v>
      </c>
      <c r="L21" s="276">
        <f t="array" ref="L21">MIN(IF(W21:CI21&gt;0,$W$16:$CI$16))</f>
        <v>45602</v>
      </c>
      <c r="M21" s="277">
        <f t="array" ref="M21">MAX(IF(W21:CI21&gt;0,$W$16:$CI$16))</f>
        <v>45602</v>
      </c>
      <c r="N21" s="277"/>
      <c r="O21" s="235">
        <f>VLOOKUP(H21,Auxiliar!$B$16:$E$24,4,0)</f>
        <v>1</v>
      </c>
      <c r="P21" s="235">
        <f t="shared" ca="1" si="8"/>
        <v>1</v>
      </c>
      <c r="Q21" s="234">
        <f t="shared" ca="1" si="6"/>
        <v>0</v>
      </c>
      <c r="R21" s="247"/>
      <c r="S21" s="266" t="s">
        <v>1856</v>
      </c>
      <c r="T21" s="256">
        <v>4.0999999999999996</v>
      </c>
      <c r="U21" s="256">
        <f t="shared" si="9"/>
        <v>0.5</v>
      </c>
      <c r="V21" s="256">
        <f t="shared" si="10"/>
        <v>0</v>
      </c>
      <c r="W21" s="267"/>
      <c r="X21" s="267"/>
      <c r="Y21" s="267"/>
      <c r="Z21" s="267"/>
      <c r="AA21" s="267"/>
      <c r="AB21" s="267"/>
      <c r="AC21" s="267"/>
      <c r="AD21" s="268"/>
      <c r="AE21" s="269"/>
      <c r="AF21" s="274"/>
      <c r="AG21" s="267">
        <v>0.5</v>
      </c>
      <c r="AH21" s="267"/>
      <c r="AI21" s="267"/>
      <c r="AJ21" s="267"/>
      <c r="AK21" s="267"/>
      <c r="AL21" s="267"/>
      <c r="AM21" s="275"/>
      <c r="AN21" s="274"/>
      <c r="AO21" s="267"/>
      <c r="AP21" s="267"/>
      <c r="AQ21" s="267"/>
      <c r="AR21" s="267"/>
      <c r="AS21" s="267"/>
      <c r="AT21" s="267"/>
      <c r="AU21" s="267"/>
      <c r="AV21" s="267"/>
      <c r="AW21" s="267"/>
      <c r="AX21" s="267"/>
      <c r="AY21" s="267"/>
      <c r="AZ21" s="267"/>
      <c r="BA21" s="267"/>
      <c r="BB21" s="267"/>
      <c r="BC21" s="267"/>
      <c r="BD21" s="267"/>
      <c r="BE21" s="267"/>
      <c r="BF21" s="267"/>
      <c r="BG21" s="267"/>
      <c r="BH21" s="267"/>
      <c r="BI21" s="267"/>
      <c r="BJ21" s="267"/>
      <c r="BK21" s="267"/>
      <c r="BL21" s="267"/>
      <c r="BM21" s="267"/>
      <c r="BN21" s="267"/>
      <c r="BO21" s="268"/>
      <c r="BP21" s="268"/>
      <c r="BQ21" s="268"/>
      <c r="BR21" s="268"/>
      <c r="BS21" s="268"/>
      <c r="BT21" s="268"/>
      <c r="BU21" s="268"/>
      <c r="BV21" s="267"/>
      <c r="BW21" s="267"/>
      <c r="BX21" s="267"/>
      <c r="BY21" s="267"/>
      <c r="BZ21" s="267"/>
      <c r="CA21" s="267"/>
      <c r="CB21" s="267"/>
      <c r="CC21" s="267"/>
      <c r="CD21" s="267"/>
      <c r="CE21" s="267"/>
      <c r="CF21" s="267"/>
      <c r="CG21" s="267"/>
      <c r="CH21" s="267"/>
      <c r="CI21" s="267"/>
    </row>
    <row r="22" spans="1:87" ht="16.5" outlineLevel="1">
      <c r="A22" s="260" t="str">
        <f t="shared" si="7"/>
        <v>modesg_out_bens_imoveisorigem_scp3_emss</v>
      </c>
      <c r="B22" s="141" t="s">
        <v>26</v>
      </c>
      <c r="C22" s="137" t="s">
        <v>310</v>
      </c>
      <c r="D22" s="222" t="s">
        <v>40</v>
      </c>
      <c r="E22" s="223" t="s">
        <v>311</v>
      </c>
      <c r="F22" s="223"/>
      <c r="G22" s="222" t="s">
        <v>321</v>
      </c>
      <c r="H22" s="222" t="str">
        <f>VLOOKUP(A22,'2. Status Detalhe Campos FY24'!$A$7:$G$731,7,0)</f>
        <v>1. Concluído</v>
      </c>
      <c r="I22" s="262" t="s">
        <v>38</v>
      </c>
      <c r="J22" s="271">
        <v>45600</v>
      </c>
      <c r="K22" s="262">
        <v>45601</v>
      </c>
      <c r="L22" s="276">
        <f t="array" ref="L22">MIN(IF(W22:CI22&gt;0,$W$16:$CI$16))</f>
        <v>45603</v>
      </c>
      <c r="M22" s="277">
        <f t="array" ref="M22">MAX(IF(W22:CI22&gt;0,$W$16:$CI$16))</f>
        <v>45603</v>
      </c>
      <c r="N22" s="277"/>
      <c r="O22" s="235">
        <f>VLOOKUP(H22,Auxiliar!$B$16:$E$24,4,0)</f>
        <v>1</v>
      </c>
      <c r="P22" s="235">
        <f t="shared" ca="1" si="8"/>
        <v>1</v>
      </c>
      <c r="Q22" s="234">
        <f t="shared" ca="1" si="6"/>
        <v>0</v>
      </c>
      <c r="R22" s="247"/>
      <c r="S22" s="266" t="s">
        <v>1856</v>
      </c>
      <c r="T22" s="256">
        <v>4.0999999999999996</v>
      </c>
      <c r="U22" s="256">
        <f t="shared" si="9"/>
        <v>0.5</v>
      </c>
      <c r="V22" s="256">
        <f t="shared" si="10"/>
        <v>0</v>
      </c>
      <c r="W22" s="267"/>
      <c r="X22" s="267"/>
      <c r="Y22" s="267"/>
      <c r="Z22" s="267"/>
      <c r="AA22" s="267"/>
      <c r="AB22" s="267"/>
      <c r="AC22" s="267"/>
      <c r="AD22" s="268"/>
      <c r="AE22" s="269"/>
      <c r="AF22" s="274"/>
      <c r="AG22" s="267"/>
      <c r="AH22" s="267">
        <v>0.5</v>
      </c>
      <c r="AI22" s="267"/>
      <c r="AJ22" s="267"/>
      <c r="AK22" s="267"/>
      <c r="AL22" s="267"/>
      <c r="AM22" s="275"/>
      <c r="AN22" s="274"/>
      <c r="AO22" s="267"/>
      <c r="AP22" s="267"/>
      <c r="AQ22" s="267"/>
      <c r="AR22" s="267"/>
      <c r="AS22" s="267"/>
      <c r="AT22" s="267"/>
      <c r="AU22" s="267"/>
      <c r="AV22" s="267"/>
      <c r="AW22" s="267"/>
      <c r="AX22" s="267"/>
      <c r="AY22" s="267"/>
      <c r="AZ22" s="267"/>
      <c r="BA22" s="267"/>
      <c r="BB22" s="267"/>
      <c r="BC22" s="267"/>
      <c r="BD22" s="267"/>
      <c r="BE22" s="267"/>
      <c r="BF22" s="267"/>
      <c r="BG22" s="267"/>
      <c r="BH22" s="267"/>
      <c r="BI22" s="267"/>
      <c r="BJ22" s="267"/>
      <c r="BK22" s="267"/>
      <c r="BL22" s="267"/>
      <c r="BM22" s="267"/>
      <c r="BN22" s="267"/>
      <c r="BO22" s="268"/>
      <c r="BP22" s="268"/>
      <c r="BQ22" s="268"/>
      <c r="BR22" s="268"/>
      <c r="BS22" s="268"/>
      <c r="BT22" s="268"/>
      <c r="BU22" s="268"/>
      <c r="BV22" s="267"/>
      <c r="BW22" s="267"/>
      <c r="BX22" s="267"/>
      <c r="BY22" s="267"/>
      <c r="BZ22" s="267"/>
      <c r="CA22" s="267"/>
      <c r="CB22" s="267"/>
      <c r="CC22" s="267"/>
      <c r="CD22" s="267"/>
      <c r="CE22" s="267"/>
      <c r="CF22" s="267"/>
      <c r="CG22" s="267"/>
      <c r="CH22" s="267"/>
      <c r="CI22" s="267"/>
    </row>
    <row r="23" spans="1:87" ht="16.5" outlineLevel="1">
      <c r="A23" s="260" t="str">
        <f t="shared" si="7"/>
        <v>modesg_out_bens_imoveisscp1_emss</v>
      </c>
      <c r="B23" s="141" t="s">
        <v>26</v>
      </c>
      <c r="C23" s="137" t="s">
        <v>310</v>
      </c>
      <c r="D23" s="222" t="s">
        <v>40</v>
      </c>
      <c r="E23" s="223" t="s">
        <v>311</v>
      </c>
      <c r="F23" s="223"/>
      <c r="G23" s="222" t="s">
        <v>285</v>
      </c>
      <c r="H23" s="222" t="str">
        <f>VLOOKUP(A23,'2. Status Detalhe Campos FY24'!$A$7:$G$731,7,0)</f>
        <v>1. Concluído</v>
      </c>
      <c r="I23" s="262" t="s">
        <v>38</v>
      </c>
      <c r="J23" s="271">
        <v>45600</v>
      </c>
      <c r="K23" s="262">
        <v>45601</v>
      </c>
      <c r="L23" s="276">
        <f t="array" ref="L23">MIN(IF(W23:CI23&gt;0,$W$16:$CI$16))</f>
        <v>45603</v>
      </c>
      <c r="M23" s="277">
        <f t="array" ref="M23">MAX(IF(W23:CI23&gt;0,$W$16:$CI$16))</f>
        <v>45604</v>
      </c>
      <c r="N23" s="277"/>
      <c r="O23" s="235">
        <f>VLOOKUP(H23,Auxiliar!$B$16:$E$24,4,0)</f>
        <v>1</v>
      </c>
      <c r="P23" s="235">
        <f t="shared" ca="1" si="8"/>
        <v>1</v>
      </c>
      <c r="Q23" s="234">
        <f t="shared" ca="1" si="6"/>
        <v>0</v>
      </c>
      <c r="R23" s="247"/>
      <c r="S23" s="266" t="s">
        <v>1856</v>
      </c>
      <c r="T23" s="256">
        <v>8.1</v>
      </c>
      <c r="U23" s="256">
        <f t="shared" si="9"/>
        <v>1</v>
      </c>
      <c r="V23" s="256">
        <f t="shared" si="10"/>
        <v>0</v>
      </c>
      <c r="W23" s="267"/>
      <c r="X23" s="267"/>
      <c r="Y23" s="267"/>
      <c r="Z23" s="267"/>
      <c r="AA23" s="267"/>
      <c r="AB23" s="267"/>
      <c r="AC23" s="267"/>
      <c r="AD23" s="268"/>
      <c r="AE23" s="269"/>
      <c r="AF23" s="274"/>
      <c r="AG23" s="267"/>
      <c r="AH23" s="267">
        <v>0.5</v>
      </c>
      <c r="AI23" s="267">
        <v>0.5</v>
      </c>
      <c r="AJ23" s="267"/>
      <c r="AK23" s="267"/>
      <c r="AL23" s="267"/>
      <c r="AM23" s="275"/>
      <c r="AN23" s="274"/>
      <c r="AO23" s="267"/>
      <c r="AP23" s="267"/>
      <c r="AQ23" s="267"/>
      <c r="AR23" s="267"/>
      <c r="AS23" s="267"/>
      <c r="AT23" s="267"/>
      <c r="AU23" s="267"/>
      <c r="AV23" s="267"/>
      <c r="AW23" s="267"/>
      <c r="AX23" s="267"/>
      <c r="AY23" s="267"/>
      <c r="AZ23" s="267"/>
      <c r="BA23" s="267"/>
      <c r="BB23" s="267"/>
      <c r="BC23" s="267"/>
      <c r="BD23" s="267"/>
      <c r="BE23" s="267"/>
      <c r="BF23" s="267"/>
      <c r="BG23" s="267"/>
      <c r="BH23" s="267"/>
      <c r="BI23" s="267"/>
      <c r="BJ23" s="267"/>
      <c r="BK23" s="267"/>
      <c r="BL23" s="267"/>
      <c r="BM23" s="267"/>
      <c r="BN23" s="267"/>
      <c r="BO23" s="268"/>
      <c r="BP23" s="268"/>
      <c r="BQ23" s="268"/>
      <c r="BR23" s="268"/>
      <c r="BS23" s="268"/>
      <c r="BT23" s="268"/>
      <c r="BU23" s="268"/>
      <c r="BV23" s="267"/>
      <c r="BW23" s="267"/>
      <c r="BX23" s="267"/>
      <c r="BY23" s="267"/>
      <c r="BZ23" s="267"/>
      <c r="CA23" s="267"/>
      <c r="CB23" s="267"/>
      <c r="CC23" s="267"/>
      <c r="CD23" s="267"/>
      <c r="CE23" s="267"/>
      <c r="CF23" s="267"/>
      <c r="CG23" s="267"/>
      <c r="CH23" s="267"/>
      <c r="CI23" s="267"/>
    </row>
    <row r="24" spans="1:87" ht="16.5" outlineLevel="1">
      <c r="A24" s="260" t="str">
        <f t="shared" si="7"/>
        <v>modesg_out_bens_imoveisscp2_emss</v>
      </c>
      <c r="B24" s="141" t="s">
        <v>26</v>
      </c>
      <c r="C24" s="137" t="s">
        <v>310</v>
      </c>
      <c r="D24" s="222" t="s">
        <v>40</v>
      </c>
      <c r="E24" s="223" t="s">
        <v>311</v>
      </c>
      <c r="F24" s="223"/>
      <c r="G24" s="222" t="s">
        <v>286</v>
      </c>
      <c r="H24" s="222" t="str">
        <f>VLOOKUP(A24,'2. Status Detalhe Campos FY24'!$A$7:$G$731,7,0)</f>
        <v>1. Concluído</v>
      </c>
      <c r="I24" s="262" t="s">
        <v>38</v>
      </c>
      <c r="J24" s="271">
        <v>45600</v>
      </c>
      <c r="K24" s="262">
        <v>45601</v>
      </c>
      <c r="L24" s="276">
        <f t="array" ref="L24">MIN(IF(W24:CI24&gt;0,$W$16:$CI$16))</f>
        <v>45604</v>
      </c>
      <c r="M24" s="277">
        <f t="array" ref="M24">MAX(IF(W24:CI24&gt;0,$W$16:$CI$16))</f>
        <v>45607</v>
      </c>
      <c r="N24" s="277"/>
      <c r="O24" s="235">
        <f>VLOOKUP(H24,Auxiliar!$B$16:$E$24,4,0)</f>
        <v>1</v>
      </c>
      <c r="P24" s="235">
        <f t="shared" ca="1" si="8"/>
        <v>1</v>
      </c>
      <c r="Q24" s="234">
        <f t="shared" ca="1" si="6"/>
        <v>0</v>
      </c>
      <c r="R24" s="247"/>
      <c r="S24" s="266" t="s">
        <v>1856</v>
      </c>
      <c r="T24" s="256">
        <v>8.1</v>
      </c>
      <c r="U24" s="256">
        <f t="shared" si="9"/>
        <v>1</v>
      </c>
      <c r="V24" s="256">
        <f t="shared" si="10"/>
        <v>0</v>
      </c>
      <c r="W24" s="267"/>
      <c r="X24" s="267"/>
      <c r="Y24" s="267"/>
      <c r="Z24" s="267"/>
      <c r="AA24" s="267"/>
      <c r="AB24" s="267"/>
      <c r="AC24" s="267"/>
      <c r="AD24" s="268"/>
      <c r="AE24" s="269"/>
      <c r="AF24" s="274"/>
      <c r="AG24" s="267"/>
      <c r="AH24" s="267"/>
      <c r="AI24" s="267">
        <v>0.5</v>
      </c>
      <c r="AJ24" s="267">
        <v>0.5</v>
      </c>
      <c r="AK24" s="267"/>
      <c r="AL24" s="267"/>
      <c r="AM24" s="275"/>
      <c r="AN24" s="274"/>
      <c r="AO24" s="267"/>
      <c r="AP24" s="267"/>
      <c r="AQ24" s="267"/>
      <c r="AR24" s="267"/>
      <c r="AS24" s="267"/>
      <c r="AT24" s="267"/>
      <c r="AU24" s="267"/>
      <c r="AV24" s="267"/>
      <c r="AW24" s="267"/>
      <c r="AX24" s="267"/>
      <c r="AY24" s="267"/>
      <c r="AZ24" s="267"/>
      <c r="BA24" s="267"/>
      <c r="BB24" s="267"/>
      <c r="BC24" s="267"/>
      <c r="BD24" s="267"/>
      <c r="BE24" s="267"/>
      <c r="BF24" s="267"/>
      <c r="BG24" s="267"/>
      <c r="BH24" s="267"/>
      <c r="BI24" s="267"/>
      <c r="BJ24" s="267"/>
      <c r="BK24" s="267"/>
      <c r="BL24" s="267"/>
      <c r="BM24" s="267"/>
      <c r="BN24" s="267"/>
      <c r="BO24" s="268"/>
      <c r="BP24" s="268"/>
      <c r="BQ24" s="268"/>
      <c r="BR24" s="268"/>
      <c r="BS24" s="268"/>
      <c r="BT24" s="268"/>
      <c r="BU24" s="268"/>
      <c r="BV24" s="267"/>
      <c r="BW24" s="267"/>
      <c r="BX24" s="267"/>
      <c r="BY24" s="267"/>
      <c r="BZ24" s="267"/>
      <c r="CA24" s="267"/>
      <c r="CB24" s="267"/>
      <c r="CC24" s="267"/>
      <c r="CD24" s="267"/>
      <c r="CE24" s="267"/>
      <c r="CF24" s="267"/>
      <c r="CG24" s="267"/>
      <c r="CH24" s="267"/>
      <c r="CI24" s="267"/>
    </row>
    <row r="25" spans="1:87" ht="16.5" outlineLevel="1">
      <c r="A25" s="260" t="str">
        <f t="shared" si="7"/>
        <v>modesg_out_bens_imoveisunidade_funcional_scp1_emss</v>
      </c>
      <c r="B25" s="141" t="s">
        <v>26</v>
      </c>
      <c r="C25" s="137" t="s">
        <v>310</v>
      </c>
      <c r="D25" s="222" t="s">
        <v>40</v>
      </c>
      <c r="E25" s="223" t="s">
        <v>311</v>
      </c>
      <c r="F25" s="223"/>
      <c r="G25" s="222" t="s">
        <v>322</v>
      </c>
      <c r="H25" s="222" t="str">
        <f>VLOOKUP(A25,'2. Status Detalhe Campos FY24'!$A$7:$G$731,7,0)</f>
        <v>1. Concluído</v>
      </c>
      <c r="I25" s="262" t="s">
        <v>38</v>
      </c>
      <c r="J25" s="271">
        <v>45600</v>
      </c>
      <c r="K25" s="262">
        <v>45601</v>
      </c>
      <c r="L25" s="276">
        <f t="array" ref="L25">MIN(IF(W25:CI25&gt;0,$W$16:$CI$16))</f>
        <v>45607</v>
      </c>
      <c r="M25" s="277">
        <f t="array" ref="M25">MAX(IF(W25:CI25&gt;0,$W$16:$CI$16))</f>
        <v>45607</v>
      </c>
      <c r="N25" s="277"/>
      <c r="O25" s="235">
        <f>VLOOKUP(H25,Auxiliar!$B$16:$E$24,4,0)</f>
        <v>1</v>
      </c>
      <c r="P25" s="235">
        <f t="shared" ca="1" si="8"/>
        <v>1</v>
      </c>
      <c r="Q25" s="234">
        <f t="shared" ca="1" si="6"/>
        <v>0</v>
      </c>
      <c r="R25" s="247"/>
      <c r="S25" s="266" t="s">
        <v>1856</v>
      </c>
      <c r="T25" s="256">
        <v>4.0999999999999996</v>
      </c>
      <c r="U25" s="256">
        <f t="shared" si="9"/>
        <v>0.5</v>
      </c>
      <c r="V25" s="256">
        <f t="shared" si="10"/>
        <v>0</v>
      </c>
      <c r="W25" s="267"/>
      <c r="X25" s="267"/>
      <c r="Y25" s="267"/>
      <c r="Z25" s="267"/>
      <c r="AA25" s="267"/>
      <c r="AB25" s="267"/>
      <c r="AC25" s="267"/>
      <c r="AD25" s="268"/>
      <c r="AE25" s="269"/>
      <c r="AF25" s="274"/>
      <c r="AG25" s="267"/>
      <c r="AH25" s="267"/>
      <c r="AI25" s="267"/>
      <c r="AJ25" s="267">
        <v>0.5</v>
      </c>
      <c r="AK25" s="267"/>
      <c r="AL25" s="267"/>
      <c r="AM25" s="275"/>
      <c r="AN25" s="274"/>
      <c r="AO25" s="267"/>
      <c r="AP25" s="267"/>
      <c r="AQ25" s="267"/>
      <c r="AR25" s="267"/>
      <c r="AS25" s="267"/>
      <c r="AT25" s="267"/>
      <c r="AU25" s="267"/>
      <c r="AV25" s="267"/>
      <c r="AW25" s="267"/>
      <c r="AX25" s="267"/>
      <c r="AY25" s="267"/>
      <c r="AZ25" s="267"/>
      <c r="BA25" s="267"/>
      <c r="BB25" s="267"/>
      <c r="BC25" s="267"/>
      <c r="BD25" s="267"/>
      <c r="BE25" s="267"/>
      <c r="BF25" s="267"/>
      <c r="BG25" s="267"/>
      <c r="BH25" s="267"/>
      <c r="BI25" s="267"/>
      <c r="BJ25" s="267"/>
      <c r="BK25" s="267"/>
      <c r="BL25" s="267"/>
      <c r="BM25" s="267"/>
      <c r="BN25" s="267"/>
      <c r="BO25" s="268"/>
      <c r="BP25" s="268"/>
      <c r="BQ25" s="268"/>
      <c r="BR25" s="268"/>
      <c r="BS25" s="268"/>
      <c r="BT25" s="268"/>
      <c r="BU25" s="268"/>
      <c r="BV25" s="267"/>
      <c r="BW25" s="267"/>
      <c r="BX25" s="267"/>
      <c r="BY25" s="267"/>
      <c r="BZ25" s="267"/>
      <c r="CA25" s="267"/>
      <c r="CB25" s="267"/>
      <c r="CC25" s="267"/>
      <c r="CD25" s="267"/>
      <c r="CE25" s="267"/>
      <c r="CF25" s="267"/>
      <c r="CG25" s="267"/>
      <c r="CH25" s="267"/>
      <c r="CI25" s="267"/>
    </row>
    <row r="26" spans="1:87" ht="16.5" outlineLevel="1">
      <c r="A26" s="260" t="str">
        <f t="shared" si="7"/>
        <v>modesg_out_bens_imoveisunidade_funcional_scp2_emss</v>
      </c>
      <c r="B26" s="141" t="s">
        <v>26</v>
      </c>
      <c r="C26" s="137" t="s">
        <v>310</v>
      </c>
      <c r="D26" s="222" t="s">
        <v>40</v>
      </c>
      <c r="E26" s="223" t="s">
        <v>311</v>
      </c>
      <c r="F26" s="223"/>
      <c r="G26" s="222" t="s">
        <v>323</v>
      </c>
      <c r="H26" s="222" t="str">
        <f>VLOOKUP(A26,'2. Status Detalhe Campos FY24'!$A$7:$G$731,7,0)</f>
        <v>1. Concluído</v>
      </c>
      <c r="I26" s="262" t="s">
        <v>38</v>
      </c>
      <c r="J26" s="271">
        <v>45600</v>
      </c>
      <c r="K26" s="262">
        <v>45601</v>
      </c>
      <c r="L26" s="276">
        <f t="array" ref="L26">MIN(IF(W26:CI26&gt;0,$W$16:$CI$16))</f>
        <v>45608</v>
      </c>
      <c r="M26" s="277">
        <f t="array" ref="M26">MAX(IF(W26:CI26&gt;0,$W$16:$CI$16))</f>
        <v>45608</v>
      </c>
      <c r="N26" s="277"/>
      <c r="O26" s="235">
        <f>VLOOKUP(H26,Auxiliar!$B$16:$E$24,4,0)</f>
        <v>1</v>
      </c>
      <c r="P26" s="235">
        <f t="shared" ca="1" si="8"/>
        <v>1</v>
      </c>
      <c r="Q26" s="234">
        <f t="shared" ca="1" si="6"/>
        <v>0</v>
      </c>
      <c r="R26" s="247"/>
      <c r="S26" s="266" t="s">
        <v>1856</v>
      </c>
      <c r="T26" s="256">
        <v>4.0999999999999996</v>
      </c>
      <c r="U26" s="256">
        <f t="shared" si="9"/>
        <v>0.5</v>
      </c>
      <c r="V26" s="256">
        <f t="shared" si="10"/>
        <v>0</v>
      </c>
      <c r="W26" s="267"/>
      <c r="X26" s="267"/>
      <c r="Y26" s="267"/>
      <c r="Z26" s="267"/>
      <c r="AA26" s="267"/>
      <c r="AB26" s="267"/>
      <c r="AC26" s="267"/>
      <c r="AD26" s="268"/>
      <c r="AE26" s="269"/>
      <c r="AF26" s="274"/>
      <c r="AG26" s="267"/>
      <c r="AH26" s="267"/>
      <c r="AI26" s="267"/>
      <c r="AJ26" s="267"/>
      <c r="AK26" s="267">
        <v>0.5</v>
      </c>
      <c r="AL26" s="267"/>
      <c r="AM26" s="275"/>
      <c r="AN26" s="274"/>
      <c r="AO26" s="267"/>
      <c r="AP26" s="267"/>
      <c r="AQ26" s="267"/>
      <c r="AR26" s="267"/>
      <c r="AS26" s="267"/>
      <c r="AT26" s="267"/>
      <c r="AU26" s="267"/>
      <c r="AV26" s="267"/>
      <c r="AW26" s="267"/>
      <c r="AX26" s="267"/>
      <c r="AY26" s="267"/>
      <c r="AZ26" s="267"/>
      <c r="BA26" s="267"/>
      <c r="BB26" s="267"/>
      <c r="BC26" s="267"/>
      <c r="BD26" s="267"/>
      <c r="BE26" s="267"/>
      <c r="BF26" s="267"/>
      <c r="BG26" s="267"/>
      <c r="BH26" s="267"/>
      <c r="BI26" s="267"/>
      <c r="BJ26" s="267"/>
      <c r="BK26" s="267"/>
      <c r="BL26" s="267"/>
      <c r="BM26" s="267"/>
      <c r="BN26" s="267"/>
      <c r="BO26" s="268"/>
      <c r="BP26" s="268"/>
      <c r="BQ26" s="268"/>
      <c r="BR26" s="268"/>
      <c r="BS26" s="268"/>
      <c r="BT26" s="268"/>
      <c r="BU26" s="268"/>
      <c r="BV26" s="267"/>
      <c r="BW26" s="267"/>
      <c r="BX26" s="267"/>
      <c r="BY26" s="267"/>
      <c r="BZ26" s="267"/>
      <c r="CA26" s="267"/>
      <c r="CB26" s="267"/>
      <c r="CC26" s="267"/>
      <c r="CD26" s="267"/>
      <c r="CE26" s="267"/>
      <c r="CF26" s="267"/>
      <c r="CG26" s="267"/>
      <c r="CH26" s="267"/>
      <c r="CI26" s="267"/>
    </row>
    <row r="27" spans="1:87" ht="16.5" outlineLevel="1">
      <c r="A27" s="260" t="str">
        <f t="shared" si="7"/>
        <v>modesg_out_bens_imoveisunidade_funcional_scp3_emss</v>
      </c>
      <c r="B27" s="141" t="s">
        <v>26</v>
      </c>
      <c r="C27" s="137" t="s">
        <v>310</v>
      </c>
      <c r="D27" s="222" t="s">
        <v>40</v>
      </c>
      <c r="E27" s="223" t="s">
        <v>311</v>
      </c>
      <c r="F27" s="223"/>
      <c r="G27" s="222" t="s">
        <v>324</v>
      </c>
      <c r="H27" s="222" t="str">
        <f>VLOOKUP(A27,'2. Status Detalhe Campos FY24'!$A$7:$G$731,7,0)</f>
        <v>1. Concluído</v>
      </c>
      <c r="I27" s="262" t="s">
        <v>38</v>
      </c>
      <c r="J27" s="271">
        <v>45600</v>
      </c>
      <c r="K27" s="262">
        <v>45601</v>
      </c>
      <c r="L27" s="276">
        <f t="array" ref="L27">MIN(IF(W27:CI27&gt;0,$W$16:$CI$16))</f>
        <v>45608</v>
      </c>
      <c r="M27" s="277">
        <f t="array" ref="M27">MAX(IF(W27:CI27&gt;0,$W$16:$CI$16))</f>
        <v>45608</v>
      </c>
      <c r="N27" s="277"/>
      <c r="O27" s="235">
        <f>VLOOKUP(H27,Auxiliar!$B$16:$E$24,4,0)</f>
        <v>1</v>
      </c>
      <c r="P27" s="235">
        <f t="shared" ca="1" si="8"/>
        <v>1</v>
      </c>
      <c r="Q27" s="234">
        <f t="shared" ca="1" si="6"/>
        <v>0</v>
      </c>
      <c r="R27" s="247"/>
      <c r="S27" s="266" t="s">
        <v>1856</v>
      </c>
      <c r="T27" s="256">
        <v>4.0999999999999996</v>
      </c>
      <c r="U27" s="256">
        <f t="shared" si="9"/>
        <v>0.5</v>
      </c>
      <c r="V27" s="256">
        <f t="shared" si="10"/>
        <v>0</v>
      </c>
      <c r="W27" s="267"/>
      <c r="X27" s="267"/>
      <c r="Y27" s="267"/>
      <c r="Z27" s="267"/>
      <c r="AA27" s="267"/>
      <c r="AB27" s="267"/>
      <c r="AC27" s="267"/>
      <c r="AD27" s="268"/>
      <c r="AE27" s="269"/>
      <c r="AF27" s="274"/>
      <c r="AG27" s="267"/>
      <c r="AH27" s="267"/>
      <c r="AI27" s="267"/>
      <c r="AJ27" s="267"/>
      <c r="AK27" s="267">
        <v>0.5</v>
      </c>
      <c r="AL27" s="267"/>
      <c r="AM27" s="275"/>
      <c r="AN27" s="274"/>
      <c r="AO27" s="267"/>
      <c r="AP27" s="267"/>
      <c r="AQ27" s="267"/>
      <c r="AR27" s="267"/>
      <c r="AS27" s="267"/>
      <c r="AT27" s="267"/>
      <c r="AU27" s="267"/>
      <c r="AV27" s="267"/>
      <c r="AW27" s="267"/>
      <c r="AX27" s="267"/>
      <c r="AY27" s="267"/>
      <c r="AZ27" s="267"/>
      <c r="BA27" s="267"/>
      <c r="BB27" s="267"/>
      <c r="BC27" s="267"/>
      <c r="BD27" s="267"/>
      <c r="BE27" s="267"/>
      <c r="BF27" s="267"/>
      <c r="BG27" s="267"/>
      <c r="BH27" s="267"/>
      <c r="BI27" s="267"/>
      <c r="BJ27" s="267"/>
      <c r="BK27" s="267"/>
      <c r="BL27" s="267"/>
      <c r="BM27" s="267"/>
      <c r="BN27" s="267"/>
      <c r="BO27" s="268"/>
      <c r="BP27" s="268"/>
      <c r="BQ27" s="268"/>
      <c r="BR27" s="268"/>
      <c r="BS27" s="268"/>
      <c r="BT27" s="268"/>
      <c r="BU27" s="268"/>
      <c r="BV27" s="267"/>
      <c r="BW27" s="267"/>
      <c r="BX27" s="267"/>
      <c r="BY27" s="267"/>
      <c r="BZ27" s="267"/>
      <c r="CA27" s="267"/>
      <c r="CB27" s="267"/>
      <c r="CC27" s="267"/>
      <c r="CD27" s="267"/>
      <c r="CE27" s="267"/>
      <c r="CF27" s="267"/>
      <c r="CG27" s="267"/>
      <c r="CH27" s="267"/>
      <c r="CI27" s="267"/>
    </row>
    <row r="28" spans="1:87" ht="15" customHeight="1">
      <c r="A28" s="260"/>
      <c r="B28" s="141" t="s">
        <v>26</v>
      </c>
      <c r="C28" s="137" t="s">
        <v>181</v>
      </c>
      <c r="D28" s="133"/>
      <c r="E28" s="226" t="s">
        <v>182</v>
      </c>
      <c r="F28" s="226" t="s">
        <v>1883</v>
      </c>
      <c r="G28" s="227">
        <f>COUNTA(G29:G43)</f>
        <v>15</v>
      </c>
      <c r="H28" s="281" t="s">
        <v>1915</v>
      </c>
      <c r="I28" s="262" t="s">
        <v>38</v>
      </c>
      <c r="J28" s="263">
        <f>MIN(J29:J43)</f>
        <v>45603</v>
      </c>
      <c r="K28" s="263">
        <f>MIN(K29:K43)</f>
        <v>45604</v>
      </c>
      <c r="L28" s="263">
        <f>MIN(L29:L43)</f>
        <v>45609</v>
      </c>
      <c r="M28" s="263">
        <f>MIN(M29:M43)</f>
        <v>45609</v>
      </c>
      <c r="N28" s="308">
        <f t="array" ref="N28">MAX(IF(W28:CI28&gt;0,$W$16:$CI$16))</f>
        <v>45611</v>
      </c>
      <c r="O28" s="307" t="e">
        <f>SUMPRODUCT(O29:O43,U29:U43)/SUM(U29:U43)</f>
        <v>#N/A</v>
      </c>
      <c r="P28" s="307">
        <f ca="1">SUMPRODUCT(P29:P43,U29:U43)/SUM(U29:U43)</f>
        <v>1</v>
      </c>
      <c r="Q28" s="234" t="e">
        <f t="shared" ca="1" si="6"/>
        <v>#N/A</v>
      </c>
      <c r="R28" s="248" t="s">
        <v>38</v>
      </c>
      <c r="S28" s="266"/>
      <c r="T28" s="256"/>
      <c r="U28" s="256"/>
      <c r="V28" s="256"/>
      <c r="W28" s="267"/>
      <c r="X28" s="267"/>
      <c r="Y28" s="267"/>
      <c r="Z28" s="267"/>
      <c r="AA28" s="267"/>
      <c r="AB28" s="267"/>
      <c r="AC28" s="267"/>
      <c r="AD28" s="268"/>
      <c r="AE28" s="267"/>
      <c r="AF28" s="267"/>
      <c r="AG28" s="267"/>
      <c r="AH28" s="269"/>
      <c r="AI28" s="274"/>
      <c r="AJ28" s="267"/>
      <c r="AK28" s="267"/>
      <c r="AL28" s="267"/>
      <c r="AM28" s="267"/>
      <c r="AN28" s="267" t="s">
        <v>443</v>
      </c>
      <c r="AO28" s="267"/>
      <c r="AP28" s="267"/>
      <c r="AQ28" s="267"/>
      <c r="AR28" s="267"/>
      <c r="AS28" s="267"/>
      <c r="AT28" s="267"/>
      <c r="AU28" s="267"/>
      <c r="AV28" s="267"/>
      <c r="AW28" s="267"/>
      <c r="AX28" s="267"/>
      <c r="AY28" s="267"/>
      <c r="AZ28" s="267"/>
      <c r="BA28" s="267"/>
      <c r="BB28" s="267"/>
      <c r="BC28" s="267"/>
      <c r="BD28" s="267"/>
      <c r="BE28" s="267"/>
      <c r="BF28" s="267"/>
      <c r="BG28" s="267"/>
      <c r="BH28" s="267"/>
      <c r="BI28" s="267"/>
      <c r="BJ28" s="267"/>
      <c r="BK28" s="267"/>
      <c r="BL28" s="267"/>
      <c r="BM28" s="267"/>
      <c r="BN28" s="267"/>
      <c r="BO28" s="268"/>
      <c r="BP28" s="268"/>
      <c r="BQ28" s="268"/>
      <c r="BR28" s="268"/>
      <c r="BS28" s="268"/>
      <c r="BT28" s="268"/>
      <c r="BU28" s="268"/>
      <c r="BV28" s="267"/>
      <c r="BW28" s="267"/>
      <c r="BX28" s="267"/>
      <c r="BY28" s="267"/>
      <c r="BZ28" s="267"/>
      <c r="CA28" s="267"/>
      <c r="CB28" s="267"/>
      <c r="CC28" s="267"/>
      <c r="CD28" s="267"/>
      <c r="CE28" s="267"/>
      <c r="CF28" s="267"/>
      <c r="CG28" s="267"/>
      <c r="CH28" s="267"/>
      <c r="CI28" s="267"/>
    </row>
    <row r="29" spans="1:87" ht="16.5" outlineLevel="1">
      <c r="A29" s="260" t="str">
        <f t="shared" ref="A29:A43" si="11">E29&amp;G29</f>
        <v>modesg_param_sfcs_taxon_europeiacod_regra</v>
      </c>
      <c r="B29" s="141" t="s">
        <v>26</v>
      </c>
      <c r="C29" s="137" t="s">
        <v>181</v>
      </c>
      <c r="D29" s="222" t="s">
        <v>40</v>
      </c>
      <c r="E29" s="223" t="s">
        <v>182</v>
      </c>
      <c r="F29" s="223"/>
      <c r="G29" s="222" t="s">
        <v>191</v>
      </c>
      <c r="H29" s="222" t="e">
        <f>VLOOKUP(A29,'2. Status Detalhe Campos FY24'!$A$7:$G$731,7,0)</f>
        <v>#N/A</v>
      </c>
      <c r="I29" s="262" t="s">
        <v>38</v>
      </c>
      <c r="J29" s="271">
        <v>45603</v>
      </c>
      <c r="K29" s="262">
        <v>45604</v>
      </c>
      <c r="L29" s="276">
        <f t="array" ref="L29">MIN(IF(W29:CI29&gt;0,$W$16:$CI$16))</f>
        <v>45609</v>
      </c>
      <c r="M29" s="277">
        <f t="array" ref="M29">MAX(IF(W29:CI29&gt;0,$W$16:$CI$16))</f>
        <v>45609</v>
      </c>
      <c r="N29" s="277"/>
      <c r="O29" s="235" t="e">
        <f>VLOOKUP(H29,Auxiliar!$B$16:$E$24,4,0)</f>
        <v>#N/A</v>
      </c>
      <c r="P29" s="235">
        <f t="shared" ref="P29:P43" ca="1" si="12">IF(TODAY()&lt;=L29,0,MIN((TODAY()-L29)/(M29-L29+1),100%))</f>
        <v>1</v>
      </c>
      <c r="Q29" s="234" t="e">
        <f t="shared" ca="1" si="6"/>
        <v>#N/A</v>
      </c>
      <c r="R29" s="248" t="s">
        <v>38</v>
      </c>
      <c r="S29" s="266"/>
      <c r="T29" s="256">
        <v>0.6</v>
      </c>
      <c r="U29" s="256">
        <f t="shared" ref="U29:U43" si="13">ROUND(T29/8,1)</f>
        <v>0.1</v>
      </c>
      <c r="V29" s="256">
        <f t="shared" ref="V29:V43" si="14">SUM(W29:CI29)-U29</f>
        <v>0</v>
      </c>
      <c r="W29" s="267"/>
      <c r="X29" s="267"/>
      <c r="Y29" s="267"/>
      <c r="Z29" s="267"/>
      <c r="AA29" s="267"/>
      <c r="AB29" s="267"/>
      <c r="AC29" s="267"/>
      <c r="AD29" s="268"/>
      <c r="AE29" s="267"/>
      <c r="AF29" s="267"/>
      <c r="AG29" s="267"/>
      <c r="AH29" s="269"/>
      <c r="AI29" s="274"/>
      <c r="AJ29" s="267"/>
      <c r="AK29" s="267"/>
      <c r="AL29" s="267">
        <v>0.1</v>
      </c>
      <c r="AM29" s="267"/>
      <c r="AN29" s="267"/>
      <c r="AO29" s="267"/>
      <c r="AP29" s="267"/>
      <c r="AQ29" s="267"/>
      <c r="AR29" s="267"/>
      <c r="AS29" s="267"/>
      <c r="AT29" s="267"/>
      <c r="AU29" s="267"/>
      <c r="AV29" s="267"/>
      <c r="AW29" s="267"/>
      <c r="AX29" s="267"/>
      <c r="AY29" s="267"/>
      <c r="AZ29" s="267"/>
      <c r="BA29" s="267"/>
      <c r="BB29" s="267"/>
      <c r="BC29" s="267"/>
      <c r="BD29" s="267"/>
      <c r="BE29" s="267"/>
      <c r="BF29" s="267"/>
      <c r="BG29" s="267"/>
      <c r="BH29" s="267"/>
      <c r="BI29" s="267"/>
      <c r="BJ29" s="267"/>
      <c r="BK29" s="267"/>
      <c r="BL29" s="267"/>
      <c r="BM29" s="267"/>
      <c r="BN29" s="267"/>
      <c r="BO29" s="268"/>
      <c r="BP29" s="268"/>
      <c r="BQ29" s="268"/>
      <c r="BR29" s="268"/>
      <c r="BS29" s="268"/>
      <c r="BT29" s="268"/>
      <c r="BU29" s="268"/>
      <c r="BV29" s="267"/>
      <c r="BW29" s="267"/>
      <c r="BX29" s="267"/>
      <c r="BY29" s="267"/>
      <c r="BZ29" s="267"/>
      <c r="CA29" s="267"/>
      <c r="CB29" s="267"/>
      <c r="CC29" s="267"/>
      <c r="CD29" s="267"/>
      <c r="CE29" s="267"/>
      <c r="CF29" s="267"/>
      <c r="CG29" s="267"/>
      <c r="CH29" s="267"/>
      <c r="CI29" s="267"/>
    </row>
    <row r="30" spans="1:87" ht="16.5" outlineLevel="1">
      <c r="A30" s="260" t="str">
        <f t="shared" si="11"/>
        <v>modesg_param_sfcs_taxon_europeiacomite</v>
      </c>
      <c r="B30" s="141" t="s">
        <v>26</v>
      </c>
      <c r="C30" s="137" t="s">
        <v>181</v>
      </c>
      <c r="D30" s="222" t="s">
        <v>40</v>
      </c>
      <c r="E30" s="223" t="s">
        <v>182</v>
      </c>
      <c r="F30" s="223"/>
      <c r="G30" s="222" t="s">
        <v>192</v>
      </c>
      <c r="H30" s="222" t="e">
        <f>VLOOKUP(A30,'2. Status Detalhe Campos FY24'!$A$7:$G$731,7,0)</f>
        <v>#N/A</v>
      </c>
      <c r="I30" s="262" t="s">
        <v>38</v>
      </c>
      <c r="J30" s="271">
        <v>45603</v>
      </c>
      <c r="K30" s="262">
        <v>45604</v>
      </c>
      <c r="L30" s="276">
        <f t="array" ref="L30">MIN(IF(W30:CI30&gt;0,$W$16:$CI$16))</f>
        <v>45609</v>
      </c>
      <c r="M30" s="277">
        <f t="array" ref="M30">MAX(IF(W30:CI30&gt;0,$W$16:$CI$16))</f>
        <v>45609</v>
      </c>
      <c r="N30" s="277"/>
      <c r="O30" s="235" t="e">
        <f>VLOOKUP(H30,Auxiliar!$B$16:$E$24,4,0)</f>
        <v>#N/A</v>
      </c>
      <c r="P30" s="235">
        <f t="shared" ca="1" si="12"/>
        <v>1</v>
      </c>
      <c r="Q30" s="234" t="e">
        <f t="shared" ca="1" si="6"/>
        <v>#N/A</v>
      </c>
      <c r="R30" s="248" t="s">
        <v>38</v>
      </c>
      <c r="S30" s="266"/>
      <c r="T30" s="256">
        <v>0.6</v>
      </c>
      <c r="U30" s="256">
        <f t="shared" si="13"/>
        <v>0.1</v>
      </c>
      <c r="V30" s="256">
        <f t="shared" si="14"/>
        <v>0</v>
      </c>
      <c r="W30" s="267"/>
      <c r="X30" s="267"/>
      <c r="Y30" s="267"/>
      <c r="Z30" s="267"/>
      <c r="AA30" s="267"/>
      <c r="AB30" s="267"/>
      <c r="AC30" s="267"/>
      <c r="AD30" s="268"/>
      <c r="AE30" s="267"/>
      <c r="AF30" s="267"/>
      <c r="AG30" s="267"/>
      <c r="AH30" s="269"/>
      <c r="AI30" s="274"/>
      <c r="AJ30" s="267"/>
      <c r="AK30" s="267"/>
      <c r="AL30" s="267">
        <v>0.1</v>
      </c>
      <c r="AM30" s="267"/>
      <c r="AN30" s="267"/>
      <c r="AO30" s="267"/>
      <c r="AP30" s="267"/>
      <c r="AQ30" s="267"/>
      <c r="AR30" s="267"/>
      <c r="AS30" s="267"/>
      <c r="AT30" s="267"/>
      <c r="AU30" s="267"/>
      <c r="AV30" s="267"/>
      <c r="AW30" s="267"/>
      <c r="AX30" s="267"/>
      <c r="AY30" s="267"/>
      <c r="AZ30" s="267"/>
      <c r="BA30" s="267"/>
      <c r="BB30" s="267"/>
      <c r="BC30" s="267"/>
      <c r="BD30" s="267"/>
      <c r="BE30" s="267"/>
      <c r="BF30" s="267"/>
      <c r="BG30" s="267"/>
      <c r="BH30" s="267"/>
      <c r="BI30" s="267"/>
      <c r="BJ30" s="267"/>
      <c r="BK30" s="267"/>
      <c r="BL30" s="267"/>
      <c r="BM30" s="267"/>
      <c r="BN30" s="267"/>
      <c r="BO30" s="268"/>
      <c r="BP30" s="268"/>
      <c r="BQ30" s="268"/>
      <c r="BR30" s="268"/>
      <c r="BS30" s="268"/>
      <c r="BT30" s="268"/>
      <c r="BU30" s="268"/>
      <c r="BV30" s="267"/>
      <c r="BW30" s="267"/>
      <c r="BX30" s="267"/>
      <c r="BY30" s="267"/>
      <c r="BZ30" s="267"/>
      <c r="CA30" s="267"/>
      <c r="CB30" s="267"/>
      <c r="CC30" s="267"/>
      <c r="CD30" s="267"/>
      <c r="CE30" s="267"/>
      <c r="CF30" s="267"/>
      <c r="CG30" s="267"/>
      <c r="CH30" s="267"/>
      <c r="CI30" s="267"/>
    </row>
    <row r="31" spans="1:87" ht="16.5" outlineLevel="1">
      <c r="A31" s="260" t="str">
        <f t="shared" si="11"/>
        <v>modesg_param_sfcs_taxon_europeiadata_aprvc</v>
      </c>
      <c r="B31" s="141" t="s">
        <v>26</v>
      </c>
      <c r="C31" s="137" t="s">
        <v>181</v>
      </c>
      <c r="D31" s="222" t="s">
        <v>40</v>
      </c>
      <c r="E31" s="223" t="s">
        <v>182</v>
      </c>
      <c r="F31" s="223"/>
      <c r="G31" s="222" t="s">
        <v>193</v>
      </c>
      <c r="H31" s="222" t="e">
        <f>VLOOKUP(A31,'2. Status Detalhe Campos FY24'!$A$7:$G$731,7,0)</f>
        <v>#N/A</v>
      </c>
      <c r="I31" s="262" t="s">
        <v>38</v>
      </c>
      <c r="J31" s="271">
        <v>45603</v>
      </c>
      <c r="K31" s="262">
        <v>45604</v>
      </c>
      <c r="L31" s="276">
        <f t="array" ref="L31">MIN(IF(W31:CI31&gt;0,$W$16:$CI$16))</f>
        <v>45609</v>
      </c>
      <c r="M31" s="277">
        <f t="array" ref="M31">MAX(IF(W31:CI31&gt;0,$W$16:$CI$16))</f>
        <v>45609</v>
      </c>
      <c r="N31" s="277"/>
      <c r="O31" s="235" t="e">
        <f>VLOOKUP(H31,Auxiliar!$B$16:$E$24,4,0)</f>
        <v>#N/A</v>
      </c>
      <c r="P31" s="235">
        <f t="shared" ca="1" si="12"/>
        <v>1</v>
      </c>
      <c r="Q31" s="234" t="e">
        <f t="shared" ca="1" si="6"/>
        <v>#N/A</v>
      </c>
      <c r="R31" s="248" t="s">
        <v>38</v>
      </c>
      <c r="S31" s="266"/>
      <c r="T31" s="256">
        <v>0.6</v>
      </c>
      <c r="U31" s="256">
        <f t="shared" si="13"/>
        <v>0.1</v>
      </c>
      <c r="V31" s="256">
        <f t="shared" si="14"/>
        <v>0</v>
      </c>
      <c r="W31" s="267"/>
      <c r="X31" s="267"/>
      <c r="Y31" s="267"/>
      <c r="Z31" s="267"/>
      <c r="AA31" s="267"/>
      <c r="AB31" s="267"/>
      <c r="AC31" s="267"/>
      <c r="AD31" s="268"/>
      <c r="AE31" s="267"/>
      <c r="AF31" s="267"/>
      <c r="AG31" s="267"/>
      <c r="AH31" s="269"/>
      <c r="AI31" s="274"/>
      <c r="AJ31" s="267"/>
      <c r="AK31" s="267"/>
      <c r="AL31" s="267">
        <v>0.1</v>
      </c>
      <c r="AM31" s="267"/>
      <c r="AN31" s="267"/>
      <c r="AO31" s="267"/>
      <c r="AP31" s="267"/>
      <c r="AQ31" s="267"/>
      <c r="AR31" s="267"/>
      <c r="AS31" s="267"/>
      <c r="AT31" s="267"/>
      <c r="AU31" s="267"/>
      <c r="AV31" s="267"/>
      <c r="AW31" s="267"/>
      <c r="AX31" s="267"/>
      <c r="AY31" s="267"/>
      <c r="AZ31" s="267"/>
      <c r="BA31" s="267"/>
      <c r="BB31" s="267"/>
      <c r="BC31" s="267"/>
      <c r="BD31" s="267"/>
      <c r="BE31" s="267"/>
      <c r="BF31" s="267"/>
      <c r="BG31" s="267"/>
      <c r="BH31" s="267"/>
      <c r="BI31" s="267"/>
      <c r="BJ31" s="267"/>
      <c r="BK31" s="267"/>
      <c r="BL31" s="267"/>
      <c r="BM31" s="267"/>
      <c r="BN31" s="267"/>
      <c r="BO31" s="268"/>
      <c r="BP31" s="268"/>
      <c r="BQ31" s="268"/>
      <c r="BR31" s="268"/>
      <c r="BS31" s="268"/>
      <c r="BT31" s="268"/>
      <c r="BU31" s="268"/>
      <c r="BV31" s="267"/>
      <c r="BW31" s="267"/>
      <c r="BX31" s="267"/>
      <c r="BY31" s="267"/>
      <c r="BZ31" s="267"/>
      <c r="CA31" s="267"/>
      <c r="CB31" s="267"/>
      <c r="CC31" s="267"/>
      <c r="CD31" s="267"/>
      <c r="CE31" s="267"/>
      <c r="CF31" s="267"/>
      <c r="CG31" s="267"/>
      <c r="CH31" s="267"/>
      <c r="CI31" s="267"/>
    </row>
    <row r="32" spans="1:87" ht="16.5" outlineLevel="1">
      <c r="A32" s="260" t="str">
        <f t="shared" si="11"/>
        <v>modesg_param_sfcs_taxon_europeiadata_final</v>
      </c>
      <c r="B32" s="141" t="s">
        <v>26</v>
      </c>
      <c r="C32" s="137" t="s">
        <v>181</v>
      </c>
      <c r="D32" s="222" t="s">
        <v>40</v>
      </c>
      <c r="E32" s="223" t="s">
        <v>182</v>
      </c>
      <c r="F32" s="223"/>
      <c r="G32" s="222" t="s">
        <v>194</v>
      </c>
      <c r="H32" s="222" t="e">
        <f>VLOOKUP(A32,'2. Status Detalhe Campos FY24'!$A$7:$G$731,7,0)</f>
        <v>#N/A</v>
      </c>
      <c r="I32" s="262" t="s">
        <v>38</v>
      </c>
      <c r="J32" s="271">
        <v>45603</v>
      </c>
      <c r="K32" s="262">
        <v>45604</v>
      </c>
      <c r="L32" s="276">
        <f t="array" ref="L32">MIN(IF(W32:CI32&gt;0,$W$16:$CI$16))</f>
        <v>45609</v>
      </c>
      <c r="M32" s="277">
        <f t="array" ref="M32">MAX(IF(W32:CI32&gt;0,$W$16:$CI$16))</f>
        <v>45609</v>
      </c>
      <c r="N32" s="277"/>
      <c r="O32" s="235" t="e">
        <f>VLOOKUP(H32,Auxiliar!$B$16:$E$24,4,0)</f>
        <v>#N/A</v>
      </c>
      <c r="P32" s="235">
        <f t="shared" ca="1" si="12"/>
        <v>1</v>
      </c>
      <c r="Q32" s="234" t="e">
        <f t="shared" ca="1" si="6"/>
        <v>#N/A</v>
      </c>
      <c r="R32" s="248" t="s">
        <v>38</v>
      </c>
      <c r="S32" s="266"/>
      <c r="T32" s="256">
        <v>0.6</v>
      </c>
      <c r="U32" s="256">
        <f t="shared" si="13"/>
        <v>0.1</v>
      </c>
      <c r="V32" s="256">
        <f t="shared" si="14"/>
        <v>0</v>
      </c>
      <c r="W32" s="267"/>
      <c r="X32" s="267"/>
      <c r="Y32" s="267"/>
      <c r="Z32" s="267"/>
      <c r="AA32" s="267"/>
      <c r="AB32" s="267"/>
      <c r="AC32" s="267"/>
      <c r="AD32" s="268"/>
      <c r="AE32" s="267"/>
      <c r="AF32" s="267"/>
      <c r="AG32" s="267"/>
      <c r="AH32" s="269"/>
      <c r="AI32" s="274"/>
      <c r="AJ32" s="267"/>
      <c r="AK32" s="267"/>
      <c r="AL32" s="267">
        <v>0.1</v>
      </c>
      <c r="AM32" s="267"/>
      <c r="AN32" s="267"/>
      <c r="AO32" s="267"/>
      <c r="AP32" s="267"/>
      <c r="AQ32" s="267"/>
      <c r="AR32" s="267"/>
      <c r="AS32" s="267"/>
      <c r="AT32" s="267"/>
      <c r="AU32" s="267"/>
      <c r="AV32" s="267"/>
      <c r="AW32" s="267"/>
      <c r="AX32" s="267"/>
      <c r="AY32" s="267"/>
      <c r="AZ32" s="267"/>
      <c r="BA32" s="267"/>
      <c r="BB32" s="267"/>
      <c r="BC32" s="267"/>
      <c r="BD32" s="267"/>
      <c r="BE32" s="267"/>
      <c r="BF32" s="267"/>
      <c r="BG32" s="267"/>
      <c r="BH32" s="267"/>
      <c r="BI32" s="267"/>
      <c r="BJ32" s="267"/>
      <c r="BK32" s="267"/>
      <c r="BL32" s="267"/>
      <c r="BM32" s="267"/>
      <c r="BN32" s="267"/>
      <c r="BO32" s="268"/>
      <c r="BP32" s="268"/>
      <c r="BQ32" s="268"/>
      <c r="BR32" s="268"/>
      <c r="BS32" s="268"/>
      <c r="BT32" s="268"/>
      <c r="BU32" s="268"/>
      <c r="BV32" s="267"/>
      <c r="BW32" s="267"/>
      <c r="BX32" s="267"/>
      <c r="BY32" s="267"/>
      <c r="BZ32" s="267"/>
      <c r="CA32" s="267"/>
      <c r="CB32" s="267"/>
      <c r="CC32" s="267"/>
      <c r="CD32" s="267"/>
      <c r="CE32" s="267"/>
      <c r="CF32" s="267"/>
      <c r="CG32" s="267"/>
      <c r="CH32" s="267"/>
      <c r="CI32" s="267"/>
    </row>
    <row r="33" spans="1:87" ht="16.5" outlineLevel="1">
      <c r="A33" s="260" t="str">
        <f t="shared" si="11"/>
        <v>modesg_param_sfcs_taxon_europeiadata_inicial</v>
      </c>
      <c r="B33" s="141" t="s">
        <v>26</v>
      </c>
      <c r="C33" s="137" t="s">
        <v>181</v>
      </c>
      <c r="D33" s="222" t="s">
        <v>40</v>
      </c>
      <c r="E33" s="223" t="s">
        <v>182</v>
      </c>
      <c r="F33" s="223"/>
      <c r="G33" s="222" t="s">
        <v>195</v>
      </c>
      <c r="H33" s="222" t="e">
        <f>VLOOKUP(A33,'2. Status Detalhe Campos FY24'!$A$7:$G$731,7,0)</f>
        <v>#N/A</v>
      </c>
      <c r="I33" s="262" t="s">
        <v>38</v>
      </c>
      <c r="J33" s="271">
        <v>45603</v>
      </c>
      <c r="K33" s="262">
        <v>45604</v>
      </c>
      <c r="L33" s="276">
        <f t="array" ref="L33">MIN(IF(W33:CI33&gt;0,$W$16:$CI$16))</f>
        <v>45609</v>
      </c>
      <c r="M33" s="277">
        <f t="array" ref="M33">MAX(IF(W33:CI33&gt;0,$W$16:$CI$16))</f>
        <v>45609</v>
      </c>
      <c r="N33" s="277"/>
      <c r="O33" s="235" t="e">
        <f>VLOOKUP(H33,Auxiliar!$B$16:$E$24,4,0)</f>
        <v>#N/A</v>
      </c>
      <c r="P33" s="235">
        <f t="shared" ca="1" si="12"/>
        <v>1</v>
      </c>
      <c r="Q33" s="234" t="e">
        <f t="shared" ca="1" si="6"/>
        <v>#N/A</v>
      </c>
      <c r="R33" s="248" t="s">
        <v>38</v>
      </c>
      <c r="S33" s="266"/>
      <c r="T33" s="256">
        <v>0.6</v>
      </c>
      <c r="U33" s="256">
        <f t="shared" si="13"/>
        <v>0.1</v>
      </c>
      <c r="V33" s="256">
        <f t="shared" si="14"/>
        <v>0</v>
      </c>
      <c r="W33" s="267"/>
      <c r="X33" s="267"/>
      <c r="Y33" s="267"/>
      <c r="Z33" s="267"/>
      <c r="AA33" s="267"/>
      <c r="AB33" s="267"/>
      <c r="AC33" s="267"/>
      <c r="AD33" s="268"/>
      <c r="AE33" s="267"/>
      <c r="AF33" s="267"/>
      <c r="AG33" s="267"/>
      <c r="AH33" s="269"/>
      <c r="AI33" s="274"/>
      <c r="AJ33" s="267"/>
      <c r="AK33" s="267"/>
      <c r="AL33" s="267">
        <v>0.1</v>
      </c>
      <c r="AM33" s="267"/>
      <c r="AN33" s="267"/>
      <c r="AO33" s="267"/>
      <c r="AP33" s="267"/>
      <c r="AQ33" s="267"/>
      <c r="AR33" s="267"/>
      <c r="AS33" s="267"/>
      <c r="AT33" s="267"/>
      <c r="AU33" s="267"/>
      <c r="AV33" s="267"/>
      <c r="AW33" s="267"/>
      <c r="AX33" s="267"/>
      <c r="AY33" s="267"/>
      <c r="AZ33" s="267"/>
      <c r="BA33" s="267"/>
      <c r="BB33" s="267"/>
      <c r="BC33" s="267"/>
      <c r="BD33" s="267"/>
      <c r="BE33" s="267"/>
      <c r="BF33" s="267"/>
      <c r="BG33" s="267"/>
      <c r="BH33" s="267"/>
      <c r="BI33" s="267"/>
      <c r="BJ33" s="267"/>
      <c r="BK33" s="267"/>
      <c r="BL33" s="267"/>
      <c r="BM33" s="267"/>
      <c r="BN33" s="267"/>
      <c r="BO33" s="268"/>
      <c r="BP33" s="268"/>
      <c r="BQ33" s="268"/>
      <c r="BR33" s="268"/>
      <c r="BS33" s="268"/>
      <c r="BT33" s="268"/>
      <c r="BU33" s="268"/>
      <c r="BV33" s="267"/>
      <c r="BW33" s="267"/>
      <c r="BX33" s="267"/>
      <c r="BY33" s="267"/>
      <c r="BZ33" s="267"/>
      <c r="CA33" s="267"/>
      <c r="CB33" s="267"/>
      <c r="CC33" s="267"/>
      <c r="CD33" s="267"/>
      <c r="CE33" s="267"/>
      <c r="CF33" s="267"/>
      <c r="CG33" s="267"/>
      <c r="CH33" s="267"/>
      <c r="CI33" s="267"/>
    </row>
    <row r="34" spans="1:87" ht="16.5" outlineLevel="1">
      <c r="A34" s="260" t="str">
        <f t="shared" si="11"/>
        <v>modesg_param_sfcs_taxon_europeiaflag_project_finance</v>
      </c>
      <c r="B34" s="141" t="s">
        <v>26</v>
      </c>
      <c r="C34" s="137" t="s">
        <v>181</v>
      </c>
      <c r="D34" s="222" t="s">
        <v>40</v>
      </c>
      <c r="E34" s="223" t="s">
        <v>182</v>
      </c>
      <c r="F34" s="223"/>
      <c r="G34" s="222" t="s">
        <v>199</v>
      </c>
      <c r="H34" s="222" t="e">
        <f>VLOOKUP(A34,'2. Status Detalhe Campos FY24'!$A$7:$G$731,7,0)</f>
        <v>#N/A</v>
      </c>
      <c r="I34" s="262" t="s">
        <v>38</v>
      </c>
      <c r="J34" s="271">
        <v>45603</v>
      </c>
      <c r="K34" s="262">
        <v>45604</v>
      </c>
      <c r="L34" s="276">
        <f t="array" ref="L34">MIN(IF(W34:CI34&gt;0,$W$16:$CI$16))</f>
        <v>45609</v>
      </c>
      <c r="M34" s="277">
        <f t="array" ref="M34">MAX(IF(W34:CI34&gt;0,$W$16:$CI$16))</f>
        <v>45609</v>
      </c>
      <c r="N34" s="277"/>
      <c r="O34" s="235" t="e">
        <f>VLOOKUP(H34,Auxiliar!$B$16:$E$24,4,0)</f>
        <v>#N/A</v>
      </c>
      <c r="P34" s="235">
        <f t="shared" ca="1" si="12"/>
        <v>1</v>
      </c>
      <c r="Q34" s="234" t="e">
        <f t="shared" ca="1" si="6"/>
        <v>#N/A</v>
      </c>
      <c r="R34" s="248" t="s">
        <v>38</v>
      </c>
      <c r="S34" s="266"/>
      <c r="T34" s="256">
        <v>0.6</v>
      </c>
      <c r="U34" s="256">
        <f t="shared" si="13"/>
        <v>0.1</v>
      </c>
      <c r="V34" s="256">
        <f t="shared" si="14"/>
        <v>0</v>
      </c>
      <c r="W34" s="267"/>
      <c r="X34" s="267"/>
      <c r="Y34" s="267"/>
      <c r="Z34" s="267"/>
      <c r="AA34" s="267"/>
      <c r="AB34" s="267"/>
      <c r="AC34" s="267"/>
      <c r="AD34" s="268"/>
      <c r="AE34" s="267"/>
      <c r="AF34" s="267"/>
      <c r="AG34" s="267"/>
      <c r="AH34" s="269"/>
      <c r="AI34" s="274"/>
      <c r="AJ34" s="267"/>
      <c r="AK34" s="267"/>
      <c r="AL34" s="267">
        <v>0.1</v>
      </c>
      <c r="AM34" s="267"/>
      <c r="AN34" s="267"/>
      <c r="AO34" s="267"/>
      <c r="AP34" s="267"/>
      <c r="AQ34" s="267"/>
      <c r="AR34" s="267"/>
      <c r="AS34" s="267"/>
      <c r="AT34" s="267"/>
      <c r="AU34" s="267"/>
      <c r="AV34" s="267"/>
      <c r="AW34" s="267"/>
      <c r="AX34" s="267"/>
      <c r="AY34" s="267"/>
      <c r="AZ34" s="267"/>
      <c r="BA34" s="267"/>
      <c r="BB34" s="267"/>
      <c r="BC34" s="267"/>
      <c r="BD34" s="267"/>
      <c r="BE34" s="267"/>
      <c r="BF34" s="267"/>
      <c r="BG34" s="267"/>
      <c r="BH34" s="267"/>
      <c r="BI34" s="267"/>
      <c r="BJ34" s="267"/>
      <c r="BK34" s="267"/>
      <c r="BL34" s="267"/>
      <c r="BM34" s="267"/>
      <c r="BN34" s="267"/>
      <c r="BO34" s="268"/>
      <c r="BP34" s="268"/>
      <c r="BQ34" s="268"/>
      <c r="BR34" s="268"/>
      <c r="BS34" s="268"/>
      <c r="BT34" s="268"/>
      <c r="BU34" s="268"/>
      <c r="BV34" s="267"/>
      <c r="BW34" s="267"/>
      <c r="BX34" s="267"/>
      <c r="BY34" s="267"/>
      <c r="BZ34" s="267"/>
      <c r="CA34" s="267"/>
      <c r="CB34" s="267"/>
      <c r="CC34" s="267"/>
      <c r="CD34" s="267"/>
      <c r="CE34" s="267"/>
      <c r="CF34" s="267"/>
      <c r="CG34" s="267"/>
      <c r="CH34" s="267"/>
      <c r="CI34" s="267"/>
    </row>
    <row r="35" spans="1:87" ht="16.5" outlineLevel="1">
      <c r="A35" s="260" t="str">
        <f t="shared" si="11"/>
        <v>modesg_param_sfcs_taxon_europeiacfinalidad</v>
      </c>
      <c r="B35" s="141" t="s">
        <v>26</v>
      </c>
      <c r="C35" s="137" t="s">
        <v>181</v>
      </c>
      <c r="D35" s="222" t="s">
        <v>40</v>
      </c>
      <c r="E35" s="223" t="s">
        <v>182</v>
      </c>
      <c r="F35" s="223"/>
      <c r="G35" s="222" t="s">
        <v>200</v>
      </c>
      <c r="H35" s="222" t="e">
        <f>VLOOKUP(A35,'2. Status Detalhe Campos FY24'!$A$7:$G$731,7,0)</f>
        <v>#N/A</v>
      </c>
      <c r="I35" s="262" t="s">
        <v>38</v>
      </c>
      <c r="J35" s="271">
        <v>45603</v>
      </c>
      <c r="K35" s="262">
        <v>45604</v>
      </c>
      <c r="L35" s="276">
        <f t="array" ref="L35">MIN(IF(W35:CI35&gt;0,$W$16:$CI$16))</f>
        <v>45609</v>
      </c>
      <c r="M35" s="277">
        <f t="array" ref="M35">MAX(IF(W35:CI35&gt;0,$W$16:$CI$16))</f>
        <v>45609</v>
      </c>
      <c r="N35" s="277"/>
      <c r="O35" s="235" t="e">
        <f>VLOOKUP(H35,Auxiliar!$B$16:$E$24,4,0)</f>
        <v>#N/A</v>
      </c>
      <c r="P35" s="235">
        <f t="shared" ca="1" si="12"/>
        <v>1</v>
      </c>
      <c r="Q35" s="234" t="e">
        <f t="shared" ca="1" si="6"/>
        <v>#N/A</v>
      </c>
      <c r="R35" s="248" t="s">
        <v>38</v>
      </c>
      <c r="S35" s="266"/>
      <c r="T35" s="256">
        <v>0.6</v>
      </c>
      <c r="U35" s="256">
        <f t="shared" si="13"/>
        <v>0.1</v>
      </c>
      <c r="V35" s="256">
        <f t="shared" si="14"/>
        <v>0</v>
      </c>
      <c r="W35" s="267"/>
      <c r="X35" s="267"/>
      <c r="Y35" s="267"/>
      <c r="Z35" s="267"/>
      <c r="AA35" s="267"/>
      <c r="AB35" s="267"/>
      <c r="AC35" s="267"/>
      <c r="AD35" s="268"/>
      <c r="AE35" s="267"/>
      <c r="AF35" s="267"/>
      <c r="AG35" s="267"/>
      <c r="AH35" s="269"/>
      <c r="AI35" s="274"/>
      <c r="AJ35" s="267"/>
      <c r="AK35" s="267"/>
      <c r="AL35" s="267">
        <v>0.1</v>
      </c>
      <c r="AM35" s="267"/>
      <c r="AN35" s="267"/>
      <c r="AO35" s="267"/>
      <c r="AP35" s="267"/>
      <c r="AQ35" s="267"/>
      <c r="AR35" s="267"/>
      <c r="AS35" s="267"/>
      <c r="AT35" s="267"/>
      <c r="AU35" s="267"/>
      <c r="AV35" s="267"/>
      <c r="AW35" s="267"/>
      <c r="AX35" s="267"/>
      <c r="AY35" s="267"/>
      <c r="AZ35" s="267"/>
      <c r="BA35" s="267"/>
      <c r="BB35" s="267"/>
      <c r="BC35" s="267"/>
      <c r="BD35" s="267"/>
      <c r="BE35" s="267"/>
      <c r="BF35" s="267"/>
      <c r="BG35" s="267"/>
      <c r="BH35" s="267"/>
      <c r="BI35" s="267"/>
      <c r="BJ35" s="267"/>
      <c r="BK35" s="267"/>
      <c r="BL35" s="267"/>
      <c r="BM35" s="267"/>
      <c r="BN35" s="267"/>
      <c r="BO35" s="268"/>
      <c r="BP35" s="268"/>
      <c r="BQ35" s="268"/>
      <c r="BR35" s="268"/>
      <c r="BS35" s="268"/>
      <c r="BT35" s="268"/>
      <c r="BU35" s="268"/>
      <c r="BV35" s="267"/>
      <c r="BW35" s="267"/>
      <c r="BX35" s="267"/>
      <c r="BY35" s="267"/>
      <c r="BZ35" s="267"/>
      <c r="CA35" s="267"/>
      <c r="CB35" s="267"/>
      <c r="CC35" s="267"/>
      <c r="CD35" s="267"/>
      <c r="CE35" s="267"/>
      <c r="CF35" s="267"/>
      <c r="CG35" s="267"/>
      <c r="CH35" s="267"/>
      <c r="CI35" s="267"/>
    </row>
    <row r="36" spans="1:87" ht="16.5" outlineLevel="1">
      <c r="A36" s="260" t="str">
        <f t="shared" si="11"/>
        <v>modesg_param_sfcs_taxon_europeiatipo_combust</v>
      </c>
      <c r="B36" s="141" t="s">
        <v>26</v>
      </c>
      <c r="C36" s="137" t="s">
        <v>181</v>
      </c>
      <c r="D36" s="222" t="s">
        <v>40</v>
      </c>
      <c r="E36" s="223" t="s">
        <v>182</v>
      </c>
      <c r="F36" s="223"/>
      <c r="G36" s="222" t="s">
        <v>201</v>
      </c>
      <c r="H36" s="222" t="e">
        <f>VLOOKUP(A36,'2. Status Detalhe Campos FY24'!$A$7:$G$731,7,0)</f>
        <v>#N/A</v>
      </c>
      <c r="I36" s="262" t="s">
        <v>38</v>
      </c>
      <c r="J36" s="271">
        <v>45603</v>
      </c>
      <c r="K36" s="262">
        <v>45604</v>
      </c>
      <c r="L36" s="276">
        <f t="array" ref="L36">MIN(IF(W36:CI36&gt;0,$W$16:$CI$16))</f>
        <v>45609</v>
      </c>
      <c r="M36" s="277">
        <f t="array" ref="M36">MAX(IF(W36:CI36&gt;0,$W$16:$CI$16))</f>
        <v>45609</v>
      </c>
      <c r="N36" s="277"/>
      <c r="O36" s="235" t="e">
        <f>VLOOKUP(H36,Auxiliar!$B$16:$E$24,4,0)</f>
        <v>#N/A</v>
      </c>
      <c r="P36" s="235">
        <f t="shared" ca="1" si="12"/>
        <v>1</v>
      </c>
      <c r="Q36" s="234" t="e">
        <f t="shared" ca="1" si="6"/>
        <v>#N/A</v>
      </c>
      <c r="R36" s="248" t="s">
        <v>38</v>
      </c>
      <c r="S36" s="266"/>
      <c r="T36" s="256">
        <v>0.6</v>
      </c>
      <c r="U36" s="256">
        <f t="shared" si="13"/>
        <v>0.1</v>
      </c>
      <c r="V36" s="256">
        <f t="shared" si="14"/>
        <v>0</v>
      </c>
      <c r="W36" s="267"/>
      <c r="X36" s="267"/>
      <c r="Y36" s="267"/>
      <c r="Z36" s="267"/>
      <c r="AA36" s="267"/>
      <c r="AB36" s="267"/>
      <c r="AC36" s="267"/>
      <c r="AD36" s="268"/>
      <c r="AE36" s="267"/>
      <c r="AF36" s="267"/>
      <c r="AG36" s="267"/>
      <c r="AH36" s="269"/>
      <c r="AI36" s="274"/>
      <c r="AJ36" s="267"/>
      <c r="AK36" s="267"/>
      <c r="AL36" s="267">
        <v>0.1</v>
      </c>
      <c r="AM36" s="267"/>
      <c r="AN36" s="267"/>
      <c r="AO36" s="267"/>
      <c r="AP36" s="267"/>
      <c r="AQ36" s="267"/>
      <c r="AR36" s="267"/>
      <c r="AS36" s="267"/>
      <c r="AT36" s="267"/>
      <c r="AU36" s="267"/>
      <c r="AV36" s="267"/>
      <c r="AW36" s="267"/>
      <c r="AX36" s="267"/>
      <c r="AY36" s="267"/>
      <c r="AZ36" s="267"/>
      <c r="BA36" s="267"/>
      <c r="BB36" s="267"/>
      <c r="BC36" s="267"/>
      <c r="BD36" s="267"/>
      <c r="BE36" s="267"/>
      <c r="BF36" s="267"/>
      <c r="BG36" s="267"/>
      <c r="BH36" s="267"/>
      <c r="BI36" s="267"/>
      <c r="BJ36" s="267"/>
      <c r="BK36" s="267"/>
      <c r="BL36" s="267"/>
      <c r="BM36" s="267"/>
      <c r="BN36" s="267"/>
      <c r="BO36" s="268"/>
      <c r="BP36" s="268"/>
      <c r="BQ36" s="268"/>
      <c r="BR36" s="268"/>
      <c r="BS36" s="268"/>
      <c r="BT36" s="268"/>
      <c r="BU36" s="268"/>
      <c r="BV36" s="267"/>
      <c r="BW36" s="267"/>
      <c r="BX36" s="267"/>
      <c r="BY36" s="267"/>
      <c r="BZ36" s="267"/>
      <c r="CA36" s="267"/>
      <c r="CB36" s="267"/>
      <c r="CC36" s="267"/>
      <c r="CD36" s="267"/>
      <c r="CE36" s="267"/>
      <c r="CF36" s="267"/>
      <c r="CG36" s="267"/>
      <c r="CH36" s="267"/>
      <c r="CI36" s="267"/>
    </row>
    <row r="37" spans="1:87" ht="16.5" outlineLevel="1">
      <c r="A37" s="260" t="str">
        <f t="shared" si="11"/>
        <v>modesg_param_sfcs_taxon_europeiamontante_pndrc</v>
      </c>
      <c r="B37" s="141" t="s">
        <v>26</v>
      </c>
      <c r="C37" s="137" t="s">
        <v>181</v>
      </c>
      <c r="D37" s="222" t="s">
        <v>40</v>
      </c>
      <c r="E37" s="223" t="s">
        <v>182</v>
      </c>
      <c r="F37" s="223"/>
      <c r="G37" s="222" t="s">
        <v>202</v>
      </c>
      <c r="H37" s="222" t="e">
        <f>VLOOKUP(A37,'2. Status Detalhe Campos FY24'!$A$7:$G$731,7,0)</f>
        <v>#N/A</v>
      </c>
      <c r="I37" s="262" t="s">
        <v>38</v>
      </c>
      <c r="J37" s="271">
        <v>45603</v>
      </c>
      <c r="K37" s="262">
        <v>45604</v>
      </c>
      <c r="L37" s="276">
        <f t="array" ref="L37">MIN(IF(W37:CI37&gt;0,$W$16:$CI$16))</f>
        <v>45609</v>
      </c>
      <c r="M37" s="277">
        <f t="array" ref="M37">MAX(IF(W37:CI37&gt;0,$W$16:$CI$16))</f>
        <v>45609</v>
      </c>
      <c r="N37" s="277"/>
      <c r="O37" s="235" t="e">
        <f>VLOOKUP(H37,Auxiliar!$B$16:$E$24,4,0)</f>
        <v>#N/A</v>
      </c>
      <c r="P37" s="235">
        <f t="shared" ca="1" si="12"/>
        <v>1</v>
      </c>
      <c r="Q37" s="234" t="e">
        <f t="shared" ca="1" si="6"/>
        <v>#N/A</v>
      </c>
      <c r="R37" s="248" t="s">
        <v>38</v>
      </c>
      <c r="S37" s="266"/>
      <c r="T37" s="256">
        <v>0.6</v>
      </c>
      <c r="U37" s="256">
        <f t="shared" si="13"/>
        <v>0.1</v>
      </c>
      <c r="V37" s="256">
        <f t="shared" si="14"/>
        <v>0</v>
      </c>
      <c r="W37" s="267"/>
      <c r="X37" s="267"/>
      <c r="Y37" s="267"/>
      <c r="Z37" s="267"/>
      <c r="AA37" s="267"/>
      <c r="AB37" s="267"/>
      <c r="AC37" s="267"/>
      <c r="AD37" s="268"/>
      <c r="AE37" s="267"/>
      <c r="AF37" s="267"/>
      <c r="AG37" s="267"/>
      <c r="AH37" s="269"/>
      <c r="AI37" s="274"/>
      <c r="AJ37" s="267"/>
      <c r="AK37" s="267"/>
      <c r="AL37" s="267">
        <v>0.1</v>
      </c>
      <c r="AM37" s="267"/>
      <c r="AN37" s="267"/>
      <c r="AO37" s="267"/>
      <c r="AP37" s="267"/>
      <c r="AQ37" s="267"/>
      <c r="AR37" s="267"/>
      <c r="AS37" s="267"/>
      <c r="AT37" s="267"/>
      <c r="AU37" s="267"/>
      <c r="AV37" s="267"/>
      <c r="AW37" s="267"/>
      <c r="AX37" s="267"/>
      <c r="AY37" s="267"/>
      <c r="AZ37" s="267"/>
      <c r="BA37" s="267"/>
      <c r="BB37" s="267"/>
      <c r="BC37" s="267"/>
      <c r="BD37" s="267"/>
      <c r="BE37" s="267"/>
      <c r="BF37" s="267"/>
      <c r="BG37" s="267"/>
      <c r="BH37" s="267"/>
      <c r="BI37" s="267"/>
      <c r="BJ37" s="267"/>
      <c r="BK37" s="267"/>
      <c r="BL37" s="267"/>
      <c r="BM37" s="267"/>
      <c r="BN37" s="267"/>
      <c r="BO37" s="268"/>
      <c r="BP37" s="268"/>
      <c r="BQ37" s="268"/>
      <c r="BR37" s="268"/>
      <c r="BS37" s="268"/>
      <c r="BT37" s="268"/>
      <c r="BU37" s="268"/>
      <c r="BV37" s="267"/>
      <c r="BW37" s="267"/>
      <c r="BX37" s="267"/>
      <c r="BY37" s="267"/>
      <c r="BZ37" s="267"/>
      <c r="CA37" s="267"/>
      <c r="CB37" s="267"/>
      <c r="CC37" s="267"/>
      <c r="CD37" s="267"/>
      <c r="CE37" s="267"/>
      <c r="CF37" s="267"/>
      <c r="CG37" s="267"/>
      <c r="CH37" s="267"/>
      <c r="CI37" s="267"/>
    </row>
    <row r="38" spans="1:87" ht="16.5" outlineLevel="1">
      <c r="A38" s="260" t="str">
        <f t="shared" si="11"/>
        <v>modesg_param_sfcs_taxon_europeianome_general_specific_purpose</v>
      </c>
      <c r="B38" s="141" t="s">
        <v>26</v>
      </c>
      <c r="C38" s="137" t="s">
        <v>181</v>
      </c>
      <c r="D38" s="222" t="s">
        <v>40</v>
      </c>
      <c r="E38" s="223" t="s">
        <v>182</v>
      </c>
      <c r="F38" s="223"/>
      <c r="G38" s="222" t="s">
        <v>204</v>
      </c>
      <c r="H38" s="222" t="e">
        <f>VLOOKUP(A38,'2. Status Detalhe Campos FY24'!$A$7:$G$731,7,0)</f>
        <v>#N/A</v>
      </c>
      <c r="I38" s="262" t="s">
        <v>38</v>
      </c>
      <c r="J38" s="271">
        <v>45603</v>
      </c>
      <c r="K38" s="262">
        <v>45604</v>
      </c>
      <c r="L38" s="276">
        <f t="array" ref="L38">MIN(IF(W38:CI38&gt;0,$W$16:$CI$16))</f>
        <v>45609</v>
      </c>
      <c r="M38" s="277">
        <f t="array" ref="M38">MAX(IF(W38:CI38&gt;0,$W$16:$CI$16))</f>
        <v>45609</v>
      </c>
      <c r="N38" s="277"/>
      <c r="O38" s="235" t="e">
        <f>VLOOKUP(H38,Auxiliar!$B$16:$E$24,4,0)</f>
        <v>#N/A</v>
      </c>
      <c r="P38" s="235">
        <f t="shared" ca="1" si="12"/>
        <v>1</v>
      </c>
      <c r="Q38" s="234" t="e">
        <f t="shared" ca="1" si="6"/>
        <v>#N/A</v>
      </c>
      <c r="R38" s="248" t="s">
        <v>38</v>
      </c>
      <c r="S38" s="266"/>
      <c r="T38" s="256">
        <v>0.6</v>
      </c>
      <c r="U38" s="256">
        <f t="shared" si="13"/>
        <v>0.1</v>
      </c>
      <c r="V38" s="256">
        <f t="shared" si="14"/>
        <v>0</v>
      </c>
      <c r="W38" s="267"/>
      <c r="X38" s="267"/>
      <c r="Y38" s="267"/>
      <c r="Z38" s="267"/>
      <c r="AA38" s="267"/>
      <c r="AB38" s="267"/>
      <c r="AC38" s="267"/>
      <c r="AD38" s="268"/>
      <c r="AE38" s="267"/>
      <c r="AF38" s="267"/>
      <c r="AG38" s="267"/>
      <c r="AH38" s="269"/>
      <c r="AI38" s="274"/>
      <c r="AJ38" s="267"/>
      <c r="AK38" s="267"/>
      <c r="AL38" s="267">
        <v>0.1</v>
      </c>
      <c r="AM38" s="267"/>
      <c r="AN38" s="267"/>
      <c r="AO38" s="267"/>
      <c r="AP38" s="267"/>
      <c r="AQ38" s="267"/>
      <c r="AR38" s="267"/>
      <c r="AS38" s="267"/>
      <c r="AT38" s="267"/>
      <c r="AU38" s="267"/>
      <c r="AV38" s="267"/>
      <c r="AW38" s="267"/>
      <c r="AX38" s="267"/>
      <c r="AY38" s="267"/>
      <c r="AZ38" s="267"/>
      <c r="BA38" s="267"/>
      <c r="BB38" s="267"/>
      <c r="BC38" s="267"/>
      <c r="BD38" s="267"/>
      <c r="BE38" s="267"/>
      <c r="BF38" s="267"/>
      <c r="BG38" s="267"/>
      <c r="BH38" s="267"/>
      <c r="BI38" s="267"/>
      <c r="BJ38" s="267"/>
      <c r="BK38" s="267"/>
      <c r="BL38" s="267"/>
      <c r="BM38" s="267"/>
      <c r="BN38" s="267"/>
      <c r="BO38" s="268"/>
      <c r="BP38" s="268"/>
      <c r="BQ38" s="268"/>
      <c r="BR38" s="268"/>
      <c r="BS38" s="268"/>
      <c r="BT38" s="268"/>
      <c r="BU38" s="268"/>
      <c r="BV38" s="267"/>
      <c r="BW38" s="267"/>
      <c r="BX38" s="267"/>
      <c r="BY38" s="267"/>
      <c r="BZ38" s="267"/>
      <c r="CA38" s="267"/>
      <c r="CB38" s="267"/>
      <c r="CC38" s="267"/>
      <c r="CD38" s="267"/>
      <c r="CE38" s="267"/>
      <c r="CF38" s="267"/>
      <c r="CG38" s="267"/>
      <c r="CH38" s="267"/>
      <c r="CI38" s="267"/>
    </row>
    <row r="39" spans="1:87" ht="16.5" outlineLevel="1">
      <c r="A39" s="260" t="str">
        <f t="shared" si="11"/>
        <v>modesg_param_sfcs_taxon_europeianome_purpose_esg</v>
      </c>
      <c r="B39" s="141" t="s">
        <v>26</v>
      </c>
      <c r="C39" s="137" t="s">
        <v>181</v>
      </c>
      <c r="D39" s="222" t="s">
        <v>40</v>
      </c>
      <c r="E39" s="223" t="s">
        <v>182</v>
      </c>
      <c r="F39" s="223"/>
      <c r="G39" s="222" t="s">
        <v>205</v>
      </c>
      <c r="H39" s="222" t="e">
        <f>VLOOKUP(A39,'2. Status Detalhe Campos FY24'!$A$7:$G$731,7,0)</f>
        <v>#N/A</v>
      </c>
      <c r="I39" s="262" t="s">
        <v>38</v>
      </c>
      <c r="J39" s="271">
        <v>45603</v>
      </c>
      <c r="K39" s="262">
        <v>45604</v>
      </c>
      <c r="L39" s="276">
        <f t="array" ref="L39">MIN(IF(W39:CI39&gt;0,$W$16:$CI$16))</f>
        <v>45609</v>
      </c>
      <c r="M39" s="277">
        <f t="array" ref="M39">MAX(IF(W39:CI39&gt;0,$W$16:$CI$16))</f>
        <v>45609</v>
      </c>
      <c r="N39" s="277"/>
      <c r="O39" s="235" t="e">
        <f>VLOOKUP(H39,Auxiliar!$B$16:$E$24,4,0)</f>
        <v>#N/A</v>
      </c>
      <c r="P39" s="235">
        <f t="shared" ca="1" si="12"/>
        <v>1</v>
      </c>
      <c r="Q39" s="234" t="e">
        <f t="shared" ca="1" si="6"/>
        <v>#N/A</v>
      </c>
      <c r="R39" s="248" t="s">
        <v>38</v>
      </c>
      <c r="S39" s="266"/>
      <c r="T39" s="256">
        <v>0.6</v>
      </c>
      <c r="U39" s="256">
        <f t="shared" si="13"/>
        <v>0.1</v>
      </c>
      <c r="V39" s="256">
        <f t="shared" si="14"/>
        <v>0</v>
      </c>
      <c r="W39" s="267"/>
      <c r="X39" s="267"/>
      <c r="Y39" s="267"/>
      <c r="Z39" s="267"/>
      <c r="AA39" s="267"/>
      <c r="AB39" s="267"/>
      <c r="AC39" s="267"/>
      <c r="AD39" s="268"/>
      <c r="AE39" s="267"/>
      <c r="AF39" s="267"/>
      <c r="AG39" s="267"/>
      <c r="AH39" s="269"/>
      <c r="AI39" s="274"/>
      <c r="AJ39" s="267"/>
      <c r="AK39" s="267"/>
      <c r="AL39" s="267">
        <v>0.1</v>
      </c>
      <c r="AM39" s="267"/>
      <c r="AN39" s="267"/>
      <c r="AO39" s="267"/>
      <c r="AP39" s="267"/>
      <c r="AQ39" s="267"/>
      <c r="AR39" s="267"/>
      <c r="AS39" s="267"/>
      <c r="AT39" s="267"/>
      <c r="AU39" s="267"/>
      <c r="AV39" s="267"/>
      <c r="AW39" s="267"/>
      <c r="AX39" s="267"/>
      <c r="AY39" s="267"/>
      <c r="AZ39" s="267"/>
      <c r="BA39" s="267"/>
      <c r="BB39" s="267"/>
      <c r="BC39" s="267"/>
      <c r="BD39" s="267"/>
      <c r="BE39" s="267"/>
      <c r="BF39" s="267"/>
      <c r="BG39" s="267"/>
      <c r="BH39" s="267"/>
      <c r="BI39" s="267"/>
      <c r="BJ39" s="267"/>
      <c r="BK39" s="267"/>
      <c r="BL39" s="267"/>
      <c r="BM39" s="267"/>
      <c r="BN39" s="267"/>
      <c r="BO39" s="268"/>
      <c r="BP39" s="268"/>
      <c r="BQ39" s="268"/>
      <c r="BR39" s="268"/>
      <c r="BS39" s="268"/>
      <c r="BT39" s="268"/>
      <c r="BU39" s="268"/>
      <c r="BV39" s="267"/>
      <c r="BW39" s="267"/>
      <c r="BX39" s="267"/>
      <c r="BY39" s="267"/>
      <c r="BZ39" s="267"/>
      <c r="CA39" s="267"/>
      <c r="CB39" s="267"/>
      <c r="CC39" s="267"/>
      <c r="CD39" s="267"/>
      <c r="CE39" s="267"/>
      <c r="CF39" s="267"/>
      <c r="CG39" s="267"/>
      <c r="CH39" s="267"/>
      <c r="CI39" s="267"/>
    </row>
    <row r="40" spans="1:87" ht="16.5" outlineLevel="1">
      <c r="A40" s="260" t="str">
        <f t="shared" si="11"/>
        <v>modesg_param_sfcs_taxon_europeianome_specific_eligible</v>
      </c>
      <c r="B40" s="141" t="s">
        <v>26</v>
      </c>
      <c r="C40" s="137" t="s">
        <v>181</v>
      </c>
      <c r="D40" s="222" t="s">
        <v>40</v>
      </c>
      <c r="E40" s="223" t="s">
        <v>182</v>
      </c>
      <c r="F40" s="223"/>
      <c r="G40" s="222" t="s">
        <v>206</v>
      </c>
      <c r="H40" s="222" t="e">
        <f>VLOOKUP(A40,'2. Status Detalhe Campos FY24'!$A$7:$G$731,7,0)</f>
        <v>#N/A</v>
      </c>
      <c r="I40" s="262" t="s">
        <v>38</v>
      </c>
      <c r="J40" s="271">
        <v>45603</v>
      </c>
      <c r="K40" s="262">
        <v>45604</v>
      </c>
      <c r="L40" s="276">
        <f t="array" ref="L40">MIN(IF(W40:CI40&gt;0,$W$16:$CI$16))</f>
        <v>45609</v>
      </c>
      <c r="M40" s="277">
        <f t="array" ref="M40">MAX(IF(W40:CI40&gt;0,$W$16:$CI$16))</f>
        <v>45609</v>
      </c>
      <c r="N40" s="277"/>
      <c r="O40" s="235" t="e">
        <f>VLOOKUP(H40,Auxiliar!$B$16:$E$24,4,0)</f>
        <v>#N/A</v>
      </c>
      <c r="P40" s="235">
        <f t="shared" ca="1" si="12"/>
        <v>1</v>
      </c>
      <c r="Q40" s="234" t="e">
        <f t="shared" ca="1" si="6"/>
        <v>#N/A</v>
      </c>
      <c r="R40" s="248" t="s">
        <v>38</v>
      </c>
      <c r="S40" s="266"/>
      <c r="T40" s="256">
        <v>0.6</v>
      </c>
      <c r="U40" s="256">
        <f t="shared" si="13"/>
        <v>0.1</v>
      </c>
      <c r="V40" s="256">
        <f t="shared" si="14"/>
        <v>0</v>
      </c>
      <c r="W40" s="267"/>
      <c r="X40" s="267"/>
      <c r="Y40" s="267"/>
      <c r="Z40" s="267"/>
      <c r="AA40" s="267"/>
      <c r="AB40" s="267"/>
      <c r="AC40" s="267"/>
      <c r="AD40" s="268"/>
      <c r="AE40" s="267"/>
      <c r="AF40" s="267"/>
      <c r="AG40" s="267"/>
      <c r="AH40" s="269"/>
      <c r="AI40" s="274"/>
      <c r="AJ40" s="267"/>
      <c r="AK40" s="267"/>
      <c r="AL40" s="267">
        <v>0.1</v>
      </c>
      <c r="AM40" s="267"/>
      <c r="AN40" s="267"/>
      <c r="AO40" s="267"/>
      <c r="AP40" s="267"/>
      <c r="AQ40" s="267"/>
      <c r="AR40" s="267"/>
      <c r="AS40" s="267"/>
      <c r="AT40" s="267"/>
      <c r="AU40" s="267"/>
      <c r="AV40" s="267"/>
      <c r="AW40" s="267"/>
      <c r="AX40" s="267"/>
      <c r="AY40" s="267"/>
      <c r="AZ40" s="267"/>
      <c r="BA40" s="267"/>
      <c r="BB40" s="267"/>
      <c r="BC40" s="267"/>
      <c r="BD40" s="267"/>
      <c r="BE40" s="267"/>
      <c r="BF40" s="267"/>
      <c r="BG40" s="267"/>
      <c r="BH40" s="267"/>
      <c r="BI40" s="267"/>
      <c r="BJ40" s="267"/>
      <c r="BK40" s="267"/>
      <c r="BL40" s="267"/>
      <c r="BM40" s="267"/>
      <c r="BN40" s="267"/>
      <c r="BO40" s="268"/>
      <c r="BP40" s="268"/>
      <c r="BQ40" s="268"/>
      <c r="BR40" s="268"/>
      <c r="BS40" s="268"/>
      <c r="BT40" s="268"/>
      <c r="BU40" s="268"/>
      <c r="BV40" s="267"/>
      <c r="BW40" s="267"/>
      <c r="BX40" s="267"/>
      <c r="BY40" s="267"/>
      <c r="BZ40" s="267"/>
      <c r="CA40" s="267"/>
      <c r="CB40" s="267"/>
      <c r="CC40" s="267"/>
      <c r="CD40" s="267"/>
      <c r="CE40" s="267"/>
      <c r="CF40" s="267"/>
      <c r="CG40" s="267"/>
      <c r="CH40" s="267"/>
      <c r="CI40" s="267"/>
    </row>
    <row r="41" spans="1:87" ht="16.5" outlineLevel="1">
      <c r="A41" s="260" t="str">
        <f t="shared" si="11"/>
        <v>modesg_param_sfcs_taxon_europeianome_specific_sustainable</v>
      </c>
      <c r="B41" s="141" t="s">
        <v>26</v>
      </c>
      <c r="C41" s="137" t="s">
        <v>181</v>
      </c>
      <c r="D41" s="222" t="s">
        <v>40</v>
      </c>
      <c r="E41" s="223" t="s">
        <v>182</v>
      </c>
      <c r="F41" s="223"/>
      <c r="G41" s="222" t="s">
        <v>207</v>
      </c>
      <c r="H41" s="222" t="e">
        <f>VLOOKUP(A41,'2. Status Detalhe Campos FY24'!$A$7:$G$731,7,0)</f>
        <v>#N/A</v>
      </c>
      <c r="I41" s="262" t="s">
        <v>38</v>
      </c>
      <c r="J41" s="271">
        <v>45603</v>
      </c>
      <c r="K41" s="262">
        <v>45604</v>
      </c>
      <c r="L41" s="276">
        <f t="array" ref="L41">MIN(IF(W41:CI41&gt;0,$W$16:$CI$16))</f>
        <v>45609</v>
      </c>
      <c r="M41" s="277">
        <f t="array" ref="M41">MAX(IF(W41:CI41&gt;0,$W$16:$CI$16))</f>
        <v>45609</v>
      </c>
      <c r="N41" s="277"/>
      <c r="O41" s="235" t="e">
        <f>VLOOKUP(H41,Auxiliar!$B$16:$E$24,4,0)</f>
        <v>#N/A</v>
      </c>
      <c r="P41" s="235">
        <f t="shared" ca="1" si="12"/>
        <v>1</v>
      </c>
      <c r="Q41" s="234" t="e">
        <f t="shared" ca="1" si="6"/>
        <v>#N/A</v>
      </c>
      <c r="R41" s="248" t="s">
        <v>38</v>
      </c>
      <c r="S41" s="266"/>
      <c r="T41" s="256">
        <v>0.6</v>
      </c>
      <c r="U41" s="256">
        <f t="shared" si="13"/>
        <v>0.1</v>
      </c>
      <c r="V41" s="256">
        <f t="shared" si="14"/>
        <v>0</v>
      </c>
      <c r="W41" s="267"/>
      <c r="X41" s="267"/>
      <c r="Y41" s="267"/>
      <c r="Z41" s="267"/>
      <c r="AA41" s="267"/>
      <c r="AB41" s="267"/>
      <c r="AC41" s="267"/>
      <c r="AD41" s="268"/>
      <c r="AE41" s="267"/>
      <c r="AF41" s="267"/>
      <c r="AG41" s="267"/>
      <c r="AH41" s="269"/>
      <c r="AI41" s="274"/>
      <c r="AJ41" s="267"/>
      <c r="AK41" s="267"/>
      <c r="AL41" s="267">
        <v>0.1</v>
      </c>
      <c r="AM41" s="267"/>
      <c r="AN41" s="267"/>
      <c r="AO41" s="267"/>
      <c r="AP41" s="267"/>
      <c r="AQ41" s="267"/>
      <c r="AR41" s="267"/>
      <c r="AS41" s="267"/>
      <c r="AT41" s="267"/>
      <c r="AU41" s="267"/>
      <c r="AV41" s="267"/>
      <c r="AW41" s="267"/>
      <c r="AX41" s="267"/>
      <c r="AY41" s="267"/>
      <c r="AZ41" s="267"/>
      <c r="BA41" s="267"/>
      <c r="BB41" s="267"/>
      <c r="BC41" s="267"/>
      <c r="BD41" s="267"/>
      <c r="BE41" s="267"/>
      <c r="BF41" s="267"/>
      <c r="BG41" s="267"/>
      <c r="BH41" s="267"/>
      <c r="BI41" s="267"/>
      <c r="BJ41" s="267"/>
      <c r="BK41" s="267"/>
      <c r="BL41" s="267"/>
      <c r="BM41" s="267"/>
      <c r="BN41" s="267"/>
      <c r="BO41" s="268"/>
      <c r="BP41" s="268"/>
      <c r="BQ41" s="268"/>
      <c r="BR41" s="268"/>
      <c r="BS41" s="268"/>
      <c r="BT41" s="268"/>
      <c r="BU41" s="268"/>
      <c r="BV41" s="267"/>
      <c r="BW41" s="267"/>
      <c r="BX41" s="267"/>
      <c r="BY41" s="267"/>
      <c r="BZ41" s="267"/>
      <c r="CA41" s="267"/>
      <c r="CB41" s="267"/>
      <c r="CC41" s="267"/>
      <c r="CD41" s="267"/>
      <c r="CE41" s="267"/>
      <c r="CF41" s="267"/>
      <c r="CG41" s="267"/>
      <c r="CH41" s="267"/>
      <c r="CI41" s="267"/>
    </row>
    <row r="42" spans="1:87" ht="16.5" outlineLevel="1">
      <c r="A42" s="260" t="str">
        <f t="shared" si="11"/>
        <v>modesg_param_sfcs_taxon_europeiazcliente</v>
      </c>
      <c r="B42" s="141" t="s">
        <v>26</v>
      </c>
      <c r="C42" s="137" t="s">
        <v>181</v>
      </c>
      <c r="D42" s="222" t="s">
        <v>40</v>
      </c>
      <c r="E42" s="223" t="s">
        <v>182</v>
      </c>
      <c r="F42" s="223"/>
      <c r="G42" s="222" t="s">
        <v>209</v>
      </c>
      <c r="H42" s="222" t="e">
        <f>VLOOKUP(A42,'2. Status Detalhe Campos FY24'!$A$7:$G$731,7,0)</f>
        <v>#N/A</v>
      </c>
      <c r="I42" s="262" t="s">
        <v>38</v>
      </c>
      <c r="J42" s="271">
        <v>45603</v>
      </c>
      <c r="K42" s="262">
        <v>45604</v>
      </c>
      <c r="L42" s="276">
        <f t="array" ref="L42">MIN(IF(W42:CI42&gt;0,$W$16:$CI$16))</f>
        <v>45609</v>
      </c>
      <c r="M42" s="277">
        <f t="array" ref="M42">MAX(IF(W42:CI42&gt;0,$W$16:$CI$16))</f>
        <v>45609</v>
      </c>
      <c r="N42" s="277"/>
      <c r="O42" s="235" t="e">
        <f>VLOOKUP(H42,Auxiliar!$B$16:$E$24,4,0)</f>
        <v>#N/A</v>
      </c>
      <c r="P42" s="235">
        <f t="shared" ca="1" si="12"/>
        <v>1</v>
      </c>
      <c r="Q42" s="234" t="e">
        <f t="shared" ca="1" si="6"/>
        <v>#N/A</v>
      </c>
      <c r="R42" s="248" t="s">
        <v>38</v>
      </c>
      <c r="S42" s="266"/>
      <c r="T42" s="256">
        <v>0.6</v>
      </c>
      <c r="U42" s="256">
        <f t="shared" si="13"/>
        <v>0.1</v>
      </c>
      <c r="V42" s="256">
        <f t="shared" si="14"/>
        <v>0</v>
      </c>
      <c r="W42" s="267"/>
      <c r="X42" s="267"/>
      <c r="Y42" s="267"/>
      <c r="Z42" s="267"/>
      <c r="AA42" s="267"/>
      <c r="AB42" s="267"/>
      <c r="AC42" s="267"/>
      <c r="AD42" s="268"/>
      <c r="AE42" s="267"/>
      <c r="AF42" s="267"/>
      <c r="AG42" s="267"/>
      <c r="AH42" s="269"/>
      <c r="AI42" s="274"/>
      <c r="AJ42" s="267"/>
      <c r="AK42" s="267"/>
      <c r="AL42" s="267">
        <v>0.1</v>
      </c>
      <c r="AM42" s="267"/>
      <c r="AN42" s="267"/>
      <c r="AO42" s="267"/>
      <c r="AP42" s="267"/>
      <c r="AQ42" s="267"/>
      <c r="AR42" s="267"/>
      <c r="AS42" s="267"/>
      <c r="AT42" s="267"/>
      <c r="AU42" s="267"/>
      <c r="AV42" s="267"/>
      <c r="AW42" s="267"/>
      <c r="AX42" s="267"/>
      <c r="AY42" s="267"/>
      <c r="AZ42" s="267"/>
      <c r="BA42" s="267"/>
      <c r="BB42" s="267"/>
      <c r="BC42" s="267"/>
      <c r="BD42" s="267"/>
      <c r="BE42" s="267"/>
      <c r="BF42" s="267"/>
      <c r="BG42" s="267"/>
      <c r="BH42" s="267"/>
      <c r="BI42" s="267"/>
      <c r="BJ42" s="267"/>
      <c r="BK42" s="267"/>
      <c r="BL42" s="267"/>
      <c r="BM42" s="267"/>
      <c r="BN42" s="267"/>
      <c r="BO42" s="268"/>
      <c r="BP42" s="268"/>
      <c r="BQ42" s="268"/>
      <c r="BR42" s="268"/>
      <c r="BS42" s="268"/>
      <c r="BT42" s="268"/>
      <c r="BU42" s="268"/>
      <c r="BV42" s="267"/>
      <c r="BW42" s="267"/>
      <c r="BX42" s="267"/>
      <c r="BY42" s="267"/>
      <c r="BZ42" s="267"/>
      <c r="CA42" s="267"/>
      <c r="CB42" s="267"/>
      <c r="CC42" s="267"/>
      <c r="CD42" s="267"/>
      <c r="CE42" s="267"/>
      <c r="CF42" s="267"/>
      <c r="CG42" s="267"/>
      <c r="CH42" s="267"/>
      <c r="CI42" s="267"/>
    </row>
    <row r="43" spans="1:87" ht="16.5" outlineLevel="1">
      <c r="A43" s="260" t="str">
        <f t="shared" si="11"/>
        <v>modesg_param_sfcs_taxon_europeiazdeposit</v>
      </c>
      <c r="B43" s="141" t="s">
        <v>26</v>
      </c>
      <c r="C43" s="137" t="s">
        <v>181</v>
      </c>
      <c r="D43" s="222" t="s">
        <v>40</v>
      </c>
      <c r="E43" s="223" t="s">
        <v>182</v>
      </c>
      <c r="F43" s="223"/>
      <c r="G43" s="222" t="s">
        <v>210</v>
      </c>
      <c r="H43" s="222" t="e">
        <f>VLOOKUP(A43,'2. Status Detalhe Campos FY24'!$A$7:$G$731,7,0)</f>
        <v>#N/A</v>
      </c>
      <c r="I43" s="262" t="s">
        <v>38</v>
      </c>
      <c r="J43" s="271">
        <v>45603</v>
      </c>
      <c r="K43" s="262">
        <v>45604</v>
      </c>
      <c r="L43" s="276">
        <f t="array" ref="L43">MIN(IF(W43:CI43&gt;0,$W$16:$CI$16))</f>
        <v>45609</v>
      </c>
      <c r="M43" s="277">
        <f t="array" ref="M43">MAX(IF(W43:CI43&gt;0,$W$16:$CI$16))</f>
        <v>45609</v>
      </c>
      <c r="N43" s="277"/>
      <c r="O43" s="235" t="e">
        <f>VLOOKUP(H43,Auxiliar!$B$16:$E$24,4,0)</f>
        <v>#N/A</v>
      </c>
      <c r="P43" s="235">
        <f t="shared" ca="1" si="12"/>
        <v>1</v>
      </c>
      <c r="Q43" s="234" t="e">
        <f t="shared" ca="1" si="6"/>
        <v>#N/A</v>
      </c>
      <c r="R43" s="248" t="s">
        <v>38</v>
      </c>
      <c r="S43" s="266"/>
      <c r="T43" s="256">
        <v>0.6</v>
      </c>
      <c r="U43" s="256">
        <f t="shared" si="13"/>
        <v>0.1</v>
      </c>
      <c r="V43" s="256">
        <f t="shared" si="14"/>
        <v>0</v>
      </c>
      <c r="W43" s="267"/>
      <c r="X43" s="267"/>
      <c r="Y43" s="267"/>
      <c r="Z43" s="267"/>
      <c r="AA43" s="267"/>
      <c r="AB43" s="267"/>
      <c r="AC43" s="267"/>
      <c r="AD43" s="268"/>
      <c r="AE43" s="267"/>
      <c r="AF43" s="267"/>
      <c r="AG43" s="267"/>
      <c r="AH43" s="269"/>
      <c r="AI43" s="274"/>
      <c r="AJ43" s="267"/>
      <c r="AK43" s="267"/>
      <c r="AL43" s="267">
        <v>0.1</v>
      </c>
      <c r="AM43" s="267"/>
      <c r="AN43" s="267"/>
      <c r="AO43" s="267"/>
      <c r="AP43" s="267"/>
      <c r="AQ43" s="267"/>
      <c r="AR43" s="267"/>
      <c r="AS43" s="267"/>
      <c r="AT43" s="267"/>
      <c r="AU43" s="267"/>
      <c r="AV43" s="267"/>
      <c r="AW43" s="267"/>
      <c r="AX43" s="267"/>
      <c r="AY43" s="267"/>
      <c r="AZ43" s="267"/>
      <c r="BA43" s="267"/>
      <c r="BB43" s="267"/>
      <c r="BC43" s="267"/>
      <c r="BD43" s="267"/>
      <c r="BE43" s="267"/>
      <c r="BF43" s="267"/>
      <c r="BG43" s="267"/>
      <c r="BH43" s="267"/>
      <c r="BI43" s="267"/>
      <c r="BJ43" s="267"/>
      <c r="BK43" s="267"/>
      <c r="BL43" s="267"/>
      <c r="BM43" s="267"/>
      <c r="BN43" s="267"/>
      <c r="BO43" s="268"/>
      <c r="BP43" s="268"/>
      <c r="BQ43" s="268"/>
      <c r="BR43" s="268"/>
      <c r="BS43" s="268"/>
      <c r="BT43" s="268"/>
      <c r="BU43" s="268"/>
      <c r="BV43" s="267"/>
      <c r="BW43" s="267"/>
      <c r="BX43" s="267"/>
      <c r="BY43" s="267"/>
      <c r="BZ43" s="267"/>
      <c r="CA43" s="267"/>
      <c r="CB43" s="267"/>
      <c r="CC43" s="267"/>
      <c r="CD43" s="267"/>
      <c r="CE43" s="267"/>
      <c r="CF43" s="267"/>
      <c r="CG43" s="267"/>
      <c r="CH43" s="267"/>
      <c r="CI43" s="267"/>
    </row>
    <row r="44" spans="1:87" ht="15" customHeight="1">
      <c r="A44" s="260"/>
      <c r="B44" s="141" t="s">
        <v>26</v>
      </c>
      <c r="C44" s="137" t="s">
        <v>181</v>
      </c>
      <c r="D44" s="133"/>
      <c r="E44" s="226" t="s">
        <v>182</v>
      </c>
      <c r="F44" s="226" t="s">
        <v>1947</v>
      </c>
      <c r="G44" s="227">
        <f>COUNTA(G45:G45)</f>
        <v>1</v>
      </c>
      <c r="H44" s="280" t="s">
        <v>1944</v>
      </c>
      <c r="I44" s="262" t="s">
        <v>38</v>
      </c>
      <c r="J44" s="263">
        <f>MIN(J45)</f>
        <v>45603</v>
      </c>
      <c r="K44" s="263">
        <f>MIN(K45)</f>
        <v>45604</v>
      </c>
      <c r="L44" s="263">
        <f>MIN(L45:L224)</f>
        <v>45600</v>
      </c>
      <c r="M44" s="263">
        <f>MIN(M45:M224)</f>
        <v>45600</v>
      </c>
      <c r="N44" s="308" t="s">
        <v>1862</v>
      </c>
      <c r="O44" s="300" t="e">
        <f>SUMPRODUCT(O45,U45)/SUM(U45)</f>
        <v>#N/A</v>
      </c>
      <c r="P44" s="300">
        <f ca="1">SUMPRODUCT(P45,U45)/SUM(U45)</f>
        <v>1</v>
      </c>
      <c r="Q44" s="234" t="e">
        <f t="shared" ref="Q44:Q49" ca="1" si="15">O44-P44</f>
        <v>#N/A</v>
      </c>
      <c r="R44" s="248" t="s">
        <v>1963</v>
      </c>
      <c r="S44" s="266"/>
      <c r="T44" s="256"/>
      <c r="U44" s="256"/>
      <c r="V44" s="256"/>
      <c r="W44" s="267"/>
      <c r="X44" s="267"/>
      <c r="Y44" s="267"/>
      <c r="Z44" s="267"/>
      <c r="AA44" s="267"/>
      <c r="AB44" s="267"/>
      <c r="AC44" s="267"/>
      <c r="AD44" s="268"/>
      <c r="AE44" s="267"/>
      <c r="AF44" s="267"/>
      <c r="AG44" s="267"/>
      <c r="AH44" s="269"/>
      <c r="AI44" s="274"/>
      <c r="AJ44" s="267"/>
      <c r="AK44" s="267"/>
      <c r="AL44" s="267"/>
      <c r="AM44" s="267"/>
      <c r="AN44" s="267" t="s">
        <v>443</v>
      </c>
      <c r="AO44" s="267"/>
      <c r="AP44" s="267"/>
      <c r="AQ44" s="267"/>
      <c r="AR44" s="267"/>
      <c r="AS44" s="267"/>
      <c r="AT44" s="267"/>
      <c r="AU44" s="267"/>
      <c r="AV44" s="267"/>
      <c r="AW44" s="267"/>
      <c r="AX44" s="267"/>
      <c r="AY44" s="267"/>
      <c r="AZ44" s="267"/>
      <c r="BA44" s="267"/>
      <c r="BB44" s="267"/>
      <c r="BC44" s="267"/>
      <c r="BD44" s="267"/>
      <c r="BE44" s="267"/>
      <c r="BF44" s="267"/>
      <c r="BG44" s="267"/>
      <c r="BH44" s="267"/>
      <c r="BI44" s="267"/>
      <c r="BJ44" s="267"/>
      <c r="BK44" s="267"/>
      <c r="BL44" s="267"/>
      <c r="BM44" s="267"/>
      <c r="BN44" s="267"/>
      <c r="BO44" s="268"/>
      <c r="BP44" s="268"/>
      <c r="BQ44" s="268"/>
      <c r="BR44" s="268"/>
      <c r="BS44" s="268"/>
      <c r="BT44" s="268"/>
      <c r="BU44" s="268"/>
      <c r="BV44" s="267"/>
      <c r="BW44" s="267"/>
      <c r="BX44" s="267"/>
      <c r="BY44" s="267"/>
      <c r="BZ44" s="267"/>
      <c r="CA44" s="267"/>
      <c r="CB44" s="267"/>
      <c r="CC44" s="267"/>
      <c r="CD44" s="267"/>
      <c r="CE44" s="267"/>
      <c r="CF44" s="267"/>
      <c r="CG44" s="267"/>
      <c r="CH44" s="267"/>
      <c r="CI44" s="267"/>
    </row>
    <row r="45" spans="1:87" ht="16.5" outlineLevel="1">
      <c r="A45" s="260" t="str">
        <f>E45&amp;G45</f>
        <v>modesg_param_sfcs_taxon_europeianome_ctgr_sfcs</v>
      </c>
      <c r="B45" s="141" t="s">
        <v>26</v>
      </c>
      <c r="C45" s="137" t="s">
        <v>181</v>
      </c>
      <c r="D45" s="222" t="s">
        <v>40</v>
      </c>
      <c r="E45" s="223" t="s">
        <v>182</v>
      </c>
      <c r="F45" s="223"/>
      <c r="G45" s="222" t="s">
        <v>203</v>
      </c>
      <c r="H45" s="222" t="e">
        <f>VLOOKUP(A45,'2. Status Detalhe Campos FY24'!$A$7:$G$731,7,0)</f>
        <v>#N/A</v>
      </c>
      <c r="I45" s="262" t="s">
        <v>38</v>
      </c>
      <c r="J45" s="271">
        <v>45603</v>
      </c>
      <c r="K45" s="262">
        <v>45604</v>
      </c>
      <c r="L45" s="276">
        <f t="array" ref="L45">MIN(IF(W45:CI45&gt;0,$W$16:$CI$16))</f>
        <v>45609</v>
      </c>
      <c r="M45" s="277">
        <f t="array" ref="M45">MAX(IF(W45:CI45&gt;0,$W$16:$CI$16))</f>
        <v>45609</v>
      </c>
      <c r="N45" s="277"/>
      <c r="O45" s="235" t="e">
        <f>VLOOKUP(H45,Auxiliar!$B$16:$E$24,4,0)</f>
        <v>#N/A</v>
      </c>
      <c r="P45" s="235">
        <f ca="1">IF(TODAY()&lt;=L45,0,MIN((TODAY()-L45)/(M45-L45+1),100%))</f>
        <v>1</v>
      </c>
      <c r="Q45" s="234" t="e">
        <f t="shared" ca="1" si="15"/>
        <v>#N/A</v>
      </c>
      <c r="R45" s="248" t="s">
        <v>38</v>
      </c>
      <c r="S45" s="266"/>
      <c r="T45" s="256">
        <v>0.6</v>
      </c>
      <c r="U45" s="256">
        <f>ROUND(T45/8,1)</f>
        <v>0.1</v>
      </c>
      <c r="V45" s="256">
        <f>SUM(W45:CI45)-U45</f>
        <v>0</v>
      </c>
      <c r="W45" s="267"/>
      <c r="X45" s="267"/>
      <c r="Y45" s="267"/>
      <c r="Z45" s="267"/>
      <c r="AA45" s="267"/>
      <c r="AB45" s="267"/>
      <c r="AC45" s="267"/>
      <c r="AD45" s="268"/>
      <c r="AE45" s="267"/>
      <c r="AF45" s="267"/>
      <c r="AG45" s="267"/>
      <c r="AH45" s="269"/>
      <c r="AI45" s="274"/>
      <c r="AJ45" s="267"/>
      <c r="AK45" s="267"/>
      <c r="AL45" s="267">
        <v>0.1</v>
      </c>
      <c r="AM45" s="267"/>
      <c r="AN45" s="267"/>
      <c r="AO45" s="267"/>
      <c r="AP45" s="267"/>
      <c r="AQ45" s="267"/>
      <c r="AR45" s="267"/>
      <c r="AS45" s="267"/>
      <c r="AT45" s="267"/>
      <c r="AU45" s="267"/>
      <c r="AV45" s="267"/>
      <c r="AW45" s="267"/>
      <c r="AX45" s="267"/>
      <c r="AY45" s="267"/>
      <c r="AZ45" s="267"/>
      <c r="BA45" s="267"/>
      <c r="BB45" s="267"/>
      <c r="BC45" s="267"/>
      <c r="BD45" s="267"/>
      <c r="BE45" s="267"/>
      <c r="BF45" s="267"/>
      <c r="BG45" s="267"/>
      <c r="BH45" s="267"/>
      <c r="BI45" s="267"/>
      <c r="BJ45" s="267"/>
      <c r="BK45" s="267"/>
      <c r="BL45" s="267"/>
      <c r="BM45" s="267"/>
      <c r="BN45" s="267"/>
      <c r="BO45" s="268"/>
      <c r="BP45" s="268"/>
      <c r="BQ45" s="268"/>
      <c r="BR45" s="268"/>
      <c r="BS45" s="268"/>
      <c r="BT45" s="268"/>
      <c r="BU45" s="268"/>
      <c r="BV45" s="267"/>
      <c r="BW45" s="267"/>
      <c r="BX45" s="267"/>
      <c r="BY45" s="267"/>
      <c r="BZ45" s="267"/>
      <c r="CA45" s="267"/>
      <c r="CB45" s="267"/>
      <c r="CC45" s="267"/>
      <c r="CD45" s="267"/>
      <c r="CE45" s="267"/>
      <c r="CF45" s="267"/>
      <c r="CG45" s="267"/>
      <c r="CH45" s="267"/>
      <c r="CI45" s="267"/>
    </row>
    <row r="46" spans="1:87" ht="16.5">
      <c r="A46" s="260"/>
      <c r="B46" s="141" t="s">
        <v>26</v>
      </c>
      <c r="C46" s="137" t="s">
        <v>310</v>
      </c>
      <c r="D46" s="133"/>
      <c r="E46" s="226" t="s">
        <v>331</v>
      </c>
      <c r="F46" s="226" t="s">
        <v>1883</v>
      </c>
      <c r="G46" s="227">
        <f>COUNTA(G47:G49)</f>
        <v>3</v>
      </c>
      <c r="H46" s="281" t="s">
        <v>1915</v>
      </c>
      <c r="I46" s="262" t="s">
        <v>38</v>
      </c>
      <c r="J46" s="263">
        <f>MIN(J47:J49)</f>
        <v>45607</v>
      </c>
      <c r="K46" s="263">
        <f>MIN(K47:K49)</f>
        <v>45608</v>
      </c>
      <c r="L46" s="263">
        <f>MIN(L47:L49)</f>
        <v>45609</v>
      </c>
      <c r="M46" s="264">
        <f>MAX(M47:M49)</f>
        <v>45618</v>
      </c>
      <c r="N46" s="308">
        <f t="array" ref="N46">MAX(IF(W46:CI46&gt;0,$W$16:$CI$16))</f>
        <v>45618</v>
      </c>
      <c r="O46" s="307">
        <f>SUMPRODUCT(O47:O49,U47:U49)/SUM(U47:U49)</f>
        <v>1</v>
      </c>
      <c r="P46" s="307">
        <f ca="1">SUMPRODUCT(P47:P49,U47:U49)/SUM(U47:U49)</f>
        <v>1</v>
      </c>
      <c r="Q46" s="299">
        <f t="shared" ca="1" si="15"/>
        <v>0</v>
      </c>
      <c r="R46" s="248" t="s">
        <v>38</v>
      </c>
      <c r="S46" s="266"/>
      <c r="T46" s="256"/>
      <c r="U46" s="256"/>
      <c r="V46" s="256"/>
      <c r="W46" s="267"/>
      <c r="X46" s="267"/>
      <c r="Y46" s="267"/>
      <c r="Z46" s="267"/>
      <c r="AA46" s="267"/>
      <c r="AB46" s="267"/>
      <c r="AC46" s="267"/>
      <c r="AD46" s="268"/>
      <c r="AE46" s="267"/>
      <c r="AF46" s="267"/>
      <c r="AG46" s="267"/>
      <c r="AH46" s="267"/>
      <c r="AI46" s="267"/>
      <c r="AJ46" s="269"/>
      <c r="AK46" s="274"/>
      <c r="AL46" s="267"/>
      <c r="AM46" s="267"/>
      <c r="AN46" s="267"/>
      <c r="AO46" s="267"/>
      <c r="AP46" s="267"/>
      <c r="AQ46" s="267"/>
      <c r="AR46" s="267"/>
      <c r="AS46" s="267" t="s">
        <v>443</v>
      </c>
      <c r="AT46" s="267"/>
      <c r="AU46" s="267"/>
      <c r="AV46" s="267"/>
      <c r="AW46" s="267"/>
      <c r="AX46" s="267"/>
      <c r="AY46" s="267"/>
      <c r="AZ46" s="267"/>
      <c r="BA46" s="267"/>
      <c r="BB46" s="267"/>
      <c r="BC46" s="267"/>
      <c r="BD46" s="267"/>
      <c r="BE46" s="267"/>
      <c r="BF46" s="267"/>
      <c r="BG46" s="267"/>
      <c r="BH46" s="267"/>
      <c r="BI46" s="267"/>
      <c r="BJ46" s="267"/>
      <c r="BK46" s="267"/>
      <c r="BL46" s="267"/>
      <c r="BM46" s="267"/>
      <c r="BN46" s="267"/>
      <c r="BO46" s="268"/>
      <c r="BP46" s="268"/>
      <c r="BQ46" s="268"/>
      <c r="BR46" s="268"/>
      <c r="BS46" s="268"/>
      <c r="BT46" s="268"/>
      <c r="BU46" s="268"/>
      <c r="BV46" s="267"/>
      <c r="BW46" s="267"/>
      <c r="BX46" s="267"/>
      <c r="BY46" s="267"/>
      <c r="BZ46" s="267"/>
      <c r="CA46" s="267"/>
      <c r="CB46" s="267"/>
      <c r="CC46" s="267"/>
      <c r="CD46" s="267"/>
      <c r="CE46" s="267"/>
      <c r="CF46" s="267"/>
      <c r="CG46" s="267"/>
      <c r="CH46" s="267"/>
      <c r="CI46" s="267"/>
    </row>
    <row r="47" spans="1:87" ht="16.5" outlineLevel="1">
      <c r="A47" s="260" t="str">
        <f>E47&amp;G47</f>
        <v>modesg_out_emss_vclscnsm_co2</v>
      </c>
      <c r="B47" s="141" t="s">
        <v>26</v>
      </c>
      <c r="C47" s="137" t="s">
        <v>310</v>
      </c>
      <c r="D47" s="222" t="s">
        <v>40</v>
      </c>
      <c r="E47" s="223" t="s">
        <v>331</v>
      </c>
      <c r="F47" s="223"/>
      <c r="G47" s="222" t="s">
        <v>188</v>
      </c>
      <c r="H47" s="222" t="str">
        <f>VLOOKUP(A47,'2. Status Detalhe Campos FY24'!$A$7:$G$731,7,0)</f>
        <v>1. Concluído</v>
      </c>
      <c r="I47" s="262" t="s">
        <v>38</v>
      </c>
      <c r="J47" s="271">
        <v>45607</v>
      </c>
      <c r="K47" s="271">
        <v>45608</v>
      </c>
      <c r="L47" s="276">
        <f t="array" ref="L47">MIN(IF(W47:CI47&gt;0,$W$16:$CI$16))</f>
        <v>45618</v>
      </c>
      <c r="M47" s="277">
        <f t="array" ref="M47">MAX(IF(W47:CI47&gt;0,$W$16:$CI$16))</f>
        <v>45618</v>
      </c>
      <c r="N47" s="277"/>
      <c r="O47" s="235">
        <f>VLOOKUP(H47,Auxiliar!$B$16:$E$24,4,0)</f>
        <v>1</v>
      </c>
      <c r="P47" s="235">
        <f ca="1">IF(TODAY()&lt;=L47,0,MIN((TODAY()-L47)/(M47-L47+1),100%))</f>
        <v>1</v>
      </c>
      <c r="Q47" s="234">
        <f t="shared" ca="1" si="15"/>
        <v>0</v>
      </c>
      <c r="R47" s="248" t="s">
        <v>38</v>
      </c>
      <c r="S47" s="266" t="s">
        <v>1856</v>
      </c>
      <c r="T47" s="256">
        <v>8.1</v>
      </c>
      <c r="U47" s="256">
        <f>ROUND(T47/8,1)</f>
        <v>1</v>
      </c>
      <c r="V47" s="256">
        <f>SUM(W47:CI47)-U47</f>
        <v>0</v>
      </c>
      <c r="W47" s="267"/>
      <c r="X47" s="267"/>
      <c r="Y47" s="267"/>
      <c r="Z47" s="267"/>
      <c r="AA47" s="267"/>
      <c r="AB47" s="267"/>
      <c r="AC47" s="267"/>
      <c r="AD47" s="268"/>
      <c r="AE47" s="267"/>
      <c r="AF47" s="267"/>
      <c r="AG47" s="267"/>
      <c r="AH47" s="267"/>
      <c r="AI47" s="267"/>
      <c r="AJ47" s="269"/>
      <c r="AK47" s="274"/>
      <c r="AL47" s="267"/>
      <c r="AM47" s="267"/>
      <c r="AN47" s="267"/>
      <c r="AO47" s="267"/>
      <c r="AP47" s="267"/>
      <c r="AQ47" s="267"/>
      <c r="AR47" s="267"/>
      <c r="AS47" s="267">
        <v>1</v>
      </c>
      <c r="AT47" s="267"/>
      <c r="AU47" s="267"/>
      <c r="AV47" s="267"/>
      <c r="AW47" s="267"/>
      <c r="AX47" s="267"/>
      <c r="AY47" s="267"/>
      <c r="AZ47" s="267"/>
      <c r="BA47" s="267"/>
      <c r="BB47" s="267"/>
      <c r="BC47" s="267"/>
      <c r="BD47" s="267"/>
      <c r="BE47" s="267"/>
      <c r="BF47" s="267"/>
      <c r="BG47" s="267"/>
      <c r="BH47" s="267"/>
      <c r="BI47" s="267"/>
      <c r="BJ47" s="267"/>
      <c r="BK47" s="267"/>
      <c r="BL47" s="267"/>
      <c r="BM47" s="267"/>
      <c r="BN47" s="267"/>
      <c r="BO47" s="268"/>
      <c r="BP47" s="268"/>
      <c r="BQ47" s="268"/>
      <c r="BR47" s="268"/>
      <c r="BS47" s="268"/>
      <c r="BT47" s="268"/>
      <c r="BU47" s="268"/>
      <c r="BV47" s="267"/>
      <c r="BW47" s="267"/>
      <c r="BX47" s="267"/>
      <c r="BY47" s="267"/>
      <c r="BZ47" s="267"/>
      <c r="CA47" s="267"/>
      <c r="CB47" s="267"/>
      <c r="CC47" s="267"/>
      <c r="CD47" s="267"/>
      <c r="CE47" s="267"/>
      <c r="CF47" s="267"/>
      <c r="CG47" s="267"/>
      <c r="CH47" s="267"/>
      <c r="CI47" s="267"/>
    </row>
    <row r="48" spans="1:87" ht="16.5" outlineLevel="1">
      <c r="A48" s="260" t="str">
        <f>E48&amp;G48</f>
        <v>modesg_out_emss_vclsorigem_scp3_emss</v>
      </c>
      <c r="B48" s="141" t="s">
        <v>26</v>
      </c>
      <c r="C48" s="137" t="s">
        <v>310</v>
      </c>
      <c r="D48" s="222" t="s">
        <v>40</v>
      </c>
      <c r="E48" s="223" t="s">
        <v>331</v>
      </c>
      <c r="F48" s="223"/>
      <c r="G48" s="222" t="s">
        <v>321</v>
      </c>
      <c r="H48" s="222" t="str">
        <f>VLOOKUP(A48,'2. Status Detalhe Campos FY24'!$A$7:$G$731,7,0)</f>
        <v>1. Concluído</v>
      </c>
      <c r="I48" s="262" t="s">
        <v>38</v>
      </c>
      <c r="J48" s="271">
        <v>45607</v>
      </c>
      <c r="K48" s="271">
        <v>45608</v>
      </c>
      <c r="L48" s="276">
        <f t="array" ref="L48">MIN(IF(W48:CI48&gt;0,$W$16:$CI$16))</f>
        <v>45609</v>
      </c>
      <c r="M48" s="277">
        <f t="array" ref="M48">MAX(IF(W48:CI48&gt;0,$W$16:$CI$16))</f>
        <v>45609</v>
      </c>
      <c r="N48" s="277"/>
      <c r="O48" s="235">
        <f>VLOOKUP(H48,Auxiliar!$B$16:$E$24,4,0)</f>
        <v>1</v>
      </c>
      <c r="P48" s="235">
        <f ca="1">IF(TODAY()&lt;=L48,0,MIN((TODAY()-L48)/(M48-L48+1),100%))</f>
        <v>1</v>
      </c>
      <c r="Q48" s="234">
        <f t="shared" ca="1" si="15"/>
        <v>0</v>
      </c>
      <c r="R48" s="248" t="s">
        <v>38</v>
      </c>
      <c r="S48" s="266" t="s">
        <v>1856</v>
      </c>
      <c r="T48" s="286">
        <v>3</v>
      </c>
      <c r="U48" s="256">
        <f>ROUND(T48/8,1)</f>
        <v>0.4</v>
      </c>
      <c r="V48" s="256">
        <f>SUM(W48:CI48)-U48</f>
        <v>0</v>
      </c>
      <c r="W48" s="267"/>
      <c r="X48" s="267"/>
      <c r="Y48" s="267"/>
      <c r="Z48" s="267"/>
      <c r="AA48" s="267"/>
      <c r="AB48" s="267"/>
      <c r="AC48" s="267"/>
      <c r="AD48" s="268"/>
      <c r="AE48" s="267"/>
      <c r="AF48" s="267"/>
      <c r="AG48" s="267"/>
      <c r="AH48" s="267"/>
      <c r="AI48" s="267"/>
      <c r="AJ48" s="269"/>
      <c r="AK48" s="274"/>
      <c r="AL48" s="267">
        <v>0.4</v>
      </c>
      <c r="AM48" s="267"/>
      <c r="AN48" s="267"/>
      <c r="AO48" s="267"/>
      <c r="AP48" s="267"/>
      <c r="AQ48" s="267"/>
      <c r="AR48" s="267"/>
      <c r="AS48" s="267"/>
      <c r="AT48" s="267"/>
      <c r="AU48" s="267"/>
      <c r="AV48" s="267"/>
      <c r="AW48" s="267"/>
      <c r="AX48" s="267"/>
      <c r="AY48" s="267"/>
      <c r="AZ48" s="267"/>
      <c r="BA48" s="267"/>
      <c r="BB48" s="267"/>
      <c r="BC48" s="267"/>
      <c r="BD48" s="267"/>
      <c r="BE48" s="267"/>
      <c r="BF48" s="267"/>
      <c r="BG48" s="267"/>
      <c r="BH48" s="267"/>
      <c r="BI48" s="267"/>
      <c r="BJ48" s="267"/>
      <c r="BK48" s="267"/>
      <c r="BL48" s="267"/>
      <c r="BM48" s="267"/>
      <c r="BN48" s="267"/>
      <c r="BO48" s="268"/>
      <c r="BP48" s="268"/>
      <c r="BQ48" s="268"/>
      <c r="BR48" s="268"/>
      <c r="BS48" s="268"/>
      <c r="BT48" s="268"/>
      <c r="BU48" s="268"/>
      <c r="BV48" s="267"/>
      <c r="BW48" s="267"/>
      <c r="BX48" s="267"/>
      <c r="BY48" s="267"/>
      <c r="BZ48" s="267"/>
      <c r="CA48" s="267"/>
      <c r="CB48" s="267"/>
      <c r="CC48" s="267"/>
      <c r="CD48" s="267"/>
      <c r="CE48" s="267"/>
      <c r="CF48" s="267"/>
      <c r="CG48" s="267"/>
      <c r="CH48" s="267"/>
      <c r="CI48" s="267"/>
    </row>
    <row r="49" spans="1:87" ht="16.5" outlineLevel="1">
      <c r="A49" s="260" t="str">
        <f>E49&amp;G49</f>
        <v>modesg_out_emss_vclsscp3_emss</v>
      </c>
      <c r="B49" s="141" t="s">
        <v>26</v>
      </c>
      <c r="C49" s="137" t="s">
        <v>310</v>
      </c>
      <c r="D49" s="222" t="s">
        <v>40</v>
      </c>
      <c r="E49" s="223" t="s">
        <v>331</v>
      </c>
      <c r="F49" s="223"/>
      <c r="G49" s="222" t="s">
        <v>287</v>
      </c>
      <c r="H49" s="222" t="str">
        <f>VLOOKUP(A49,'2. Status Detalhe Campos FY24'!$A$7:$G$731,7,0)</f>
        <v>1. Concluído</v>
      </c>
      <c r="I49" s="262" t="s">
        <v>38</v>
      </c>
      <c r="J49" s="271">
        <v>45607</v>
      </c>
      <c r="K49" s="271">
        <v>45608</v>
      </c>
      <c r="L49" s="276">
        <f t="array" ref="L49">MIN(IF(W49:CI49&gt;0,$W$16:$CI$16))</f>
        <v>45615</v>
      </c>
      <c r="M49" s="277">
        <f t="array" ref="M49">MAX(IF(W49:CI49&gt;0,$W$16:$CI$16))</f>
        <v>45617</v>
      </c>
      <c r="N49" s="277"/>
      <c r="O49" s="235">
        <f>VLOOKUP(H49,Auxiliar!$B$16:$E$24,4,0)</f>
        <v>1</v>
      </c>
      <c r="P49" s="235">
        <f ca="1">IF(TODAY()&lt;=L49,0,MIN((TODAY()-L49)/(M49-L49+1),100%))</f>
        <v>1</v>
      </c>
      <c r="Q49" s="234">
        <f t="shared" ca="1" si="15"/>
        <v>0</v>
      </c>
      <c r="R49" s="248" t="s">
        <v>38</v>
      </c>
      <c r="S49" s="266" t="s">
        <v>1856</v>
      </c>
      <c r="T49" s="256">
        <v>16.100000000000001</v>
      </c>
      <c r="U49" s="256">
        <f>ROUND(T49/8,1)</f>
        <v>2</v>
      </c>
      <c r="V49" s="285">
        <f>SUM(W49:CI49)-U49</f>
        <v>0.29999999999999982</v>
      </c>
      <c r="W49" s="267"/>
      <c r="X49" s="267"/>
      <c r="Y49" s="267"/>
      <c r="Z49" s="267"/>
      <c r="AA49" s="267"/>
      <c r="AB49" s="267"/>
      <c r="AC49" s="267"/>
      <c r="AD49" s="268"/>
      <c r="AE49" s="267"/>
      <c r="AF49" s="267"/>
      <c r="AG49" s="267"/>
      <c r="AH49" s="267"/>
      <c r="AI49" s="267"/>
      <c r="AJ49" s="269"/>
      <c r="AK49" s="274"/>
      <c r="AL49" s="267"/>
      <c r="AM49" s="267"/>
      <c r="AN49" s="267"/>
      <c r="AO49" s="267"/>
      <c r="AP49" s="267">
        <v>0.3</v>
      </c>
      <c r="AQ49" s="267">
        <v>1</v>
      </c>
      <c r="AR49" s="267">
        <v>1</v>
      </c>
      <c r="AS49" s="267"/>
      <c r="AT49" s="267"/>
      <c r="AU49" s="267"/>
      <c r="AV49" s="267"/>
      <c r="AW49" s="267"/>
      <c r="AX49" s="267"/>
      <c r="AY49" s="267"/>
      <c r="AZ49" s="267"/>
      <c r="BA49" s="267"/>
      <c r="BB49" s="267"/>
      <c r="BC49" s="267"/>
      <c r="BD49" s="267"/>
      <c r="BE49" s="267"/>
      <c r="BF49" s="267"/>
      <c r="BG49" s="267"/>
      <c r="BH49" s="267"/>
      <c r="BI49" s="267"/>
      <c r="BJ49" s="267"/>
      <c r="BK49" s="267"/>
      <c r="BL49" s="267"/>
      <c r="BM49" s="267"/>
      <c r="BN49" s="267"/>
      <c r="BO49" s="268"/>
      <c r="BP49" s="268"/>
      <c r="BQ49" s="268"/>
      <c r="BR49" s="268"/>
      <c r="BS49" s="268"/>
      <c r="BT49" s="268"/>
      <c r="BU49" s="268"/>
      <c r="BV49" s="267"/>
      <c r="BW49" s="267"/>
      <c r="BX49" s="267"/>
      <c r="BY49" s="267"/>
      <c r="BZ49" s="267"/>
      <c r="CA49" s="267"/>
      <c r="CB49" s="267"/>
      <c r="CC49" s="267"/>
      <c r="CD49" s="267"/>
      <c r="CE49" s="267"/>
      <c r="CF49" s="267"/>
      <c r="CG49" s="267"/>
      <c r="CH49" s="267"/>
      <c r="CI49" s="267"/>
    </row>
    <row r="50" spans="1:87" ht="15" customHeight="1">
      <c r="A50" s="260"/>
      <c r="B50" s="141" t="s">
        <v>26</v>
      </c>
      <c r="C50" s="137" t="s">
        <v>26</v>
      </c>
      <c r="D50" s="133"/>
      <c r="E50" s="228" t="s">
        <v>1860</v>
      </c>
      <c r="F50" s="226" t="s">
        <v>1907</v>
      </c>
      <c r="G50" s="227">
        <f>COUNTA(G51:G60)</f>
        <v>10</v>
      </c>
      <c r="H50" s="281" t="s">
        <v>1915</v>
      </c>
      <c r="I50" s="290">
        <f>MAX(I51:I60)</f>
        <v>45603</v>
      </c>
      <c r="J50" s="263">
        <f>MIN(J51:J60)</f>
        <v>45611</v>
      </c>
      <c r="K50" s="263">
        <f>MIN(K51:K60)</f>
        <v>45611</v>
      </c>
      <c r="L50" s="264">
        <f>MIN(L51:L60)</f>
        <v>45624</v>
      </c>
      <c r="M50" s="264">
        <f>MAX(M51:M60)</f>
        <v>45624</v>
      </c>
      <c r="N50" s="308">
        <f t="array" ref="N50">MAX(IF(W50:CI50&gt;0,$W$16:$CI$16))</f>
        <v>45625</v>
      </c>
      <c r="O50" s="307">
        <f>SUMPRODUCT(O51:O60,U51:U60)/SUM(U51:U60)</f>
        <v>1</v>
      </c>
      <c r="P50" s="307">
        <f ca="1">SUMPRODUCT(P51:P60,U51:U60)/SUM(U51:U60)</f>
        <v>1</v>
      </c>
      <c r="Q50" s="234">
        <f t="shared" ref="Q50:Q60" ca="1" si="16">O50-P50</f>
        <v>0</v>
      </c>
      <c r="R50" s="248" t="s">
        <v>1924</v>
      </c>
      <c r="S50" s="266"/>
      <c r="T50" s="256"/>
      <c r="U50" s="256"/>
      <c r="V50" s="256"/>
      <c r="W50" s="267"/>
      <c r="X50" s="267"/>
      <c r="Y50" s="267"/>
      <c r="Z50" s="275"/>
      <c r="AA50" s="267"/>
      <c r="AB50" s="267"/>
      <c r="AC50" s="267"/>
      <c r="AD50" s="268"/>
      <c r="AE50" s="267"/>
      <c r="AF50" s="267"/>
      <c r="AG50" s="267"/>
      <c r="AH50" s="275"/>
      <c r="AI50" s="267"/>
      <c r="AJ50" s="267"/>
      <c r="AK50" s="267"/>
      <c r="AL50" s="267"/>
      <c r="AM50" s="267"/>
      <c r="AN50" s="274"/>
      <c r="AO50" s="267"/>
      <c r="AP50" s="267"/>
      <c r="AQ50" s="267"/>
      <c r="AR50" s="267"/>
      <c r="AS50" s="267"/>
      <c r="AT50" s="267"/>
      <c r="AU50" s="267"/>
      <c r="AV50" s="267"/>
      <c r="AW50" s="267"/>
      <c r="AX50" s="267" t="s">
        <v>443</v>
      </c>
      <c r="AY50" s="267"/>
      <c r="AZ50" s="267"/>
      <c r="BA50" s="267"/>
      <c r="BB50" s="267"/>
      <c r="BC50" s="267"/>
      <c r="BD50" s="267"/>
      <c r="BE50" s="267"/>
      <c r="BF50" s="267"/>
      <c r="BG50" s="267"/>
      <c r="BH50" s="267"/>
      <c r="BI50" s="267"/>
      <c r="BJ50" s="267"/>
      <c r="BK50" s="267"/>
      <c r="BL50" s="267"/>
      <c r="BM50" s="267"/>
      <c r="BN50" s="267"/>
      <c r="BO50" s="268"/>
      <c r="BP50" s="268"/>
      <c r="BQ50" s="268"/>
      <c r="BR50" s="268"/>
      <c r="BS50" s="268"/>
      <c r="BT50" s="268"/>
      <c r="BU50" s="268"/>
      <c r="BV50" s="267"/>
      <c r="BW50" s="267"/>
      <c r="BX50" s="267"/>
      <c r="BY50" s="267"/>
      <c r="BZ50" s="267"/>
      <c r="CA50" s="267"/>
      <c r="CB50" s="267"/>
      <c r="CC50" s="267"/>
      <c r="CD50" s="267"/>
      <c r="CE50" s="267"/>
      <c r="CF50" s="267"/>
      <c r="CG50" s="267"/>
      <c r="CH50" s="267"/>
      <c r="CI50" s="267"/>
    </row>
    <row r="51" spans="1:87" ht="16.5" outlineLevel="1">
      <c r="A51" s="260" t="str">
        <f t="shared" ref="A51:A60" si="17">E51&amp;G51</f>
        <v>lt827_mthd_usd_instrmntambito</v>
      </c>
      <c r="B51" s="141" t="s">
        <v>26</v>
      </c>
      <c r="C51" s="137" t="s">
        <v>26</v>
      </c>
      <c r="D51" s="222" t="s">
        <v>40</v>
      </c>
      <c r="E51" s="225" t="s">
        <v>1860</v>
      </c>
      <c r="F51" s="225"/>
      <c r="G51" s="225" t="s">
        <v>390</v>
      </c>
      <c r="H51" s="222" t="str">
        <f>VLOOKUP(A51,'2. Status Detalhe Campos FY24'!$A$7:$G$731,7,0)</f>
        <v>1. Concluído</v>
      </c>
      <c r="I51" s="294">
        <v>45603</v>
      </c>
      <c r="J51" s="309">
        <v>45611</v>
      </c>
      <c r="K51" s="309">
        <v>45611</v>
      </c>
      <c r="L51" s="276">
        <f t="array" ref="L51">MIN(IF(W51:CI51&gt;0,$W$16:$CI$16))</f>
        <v>45624</v>
      </c>
      <c r="M51" s="277">
        <f t="array" ref="M51">MAX(IF(W51:CI51&gt;0,$W$16:$CI$16))</f>
        <v>45624</v>
      </c>
      <c r="N51" s="277"/>
      <c r="O51" s="235">
        <f>VLOOKUP(H51,Auxiliar!$B$16:$E$24,4,0)</f>
        <v>1</v>
      </c>
      <c r="P51" s="235">
        <f t="shared" ref="P51:P60" ca="1" si="18">IF(TODAY()&lt;=L51,0,MIN((TODAY()-L51)/(M51-L51+1),100%))</f>
        <v>1</v>
      </c>
      <c r="Q51" s="234">
        <f t="shared" ca="1" si="16"/>
        <v>0</v>
      </c>
      <c r="R51" s="248" t="s">
        <v>38</v>
      </c>
      <c r="S51" s="266"/>
      <c r="T51" s="256">
        <v>4.0999999999999996</v>
      </c>
      <c r="U51" s="256">
        <f t="shared" ref="U51:U60" si="19">ROUND(T51/8,1)</f>
        <v>0.5</v>
      </c>
      <c r="V51" s="256">
        <f t="shared" ref="V51:V60" si="20">SUM(W51:CI51)-U51</f>
        <v>0</v>
      </c>
      <c r="W51" s="267"/>
      <c r="X51" s="267"/>
      <c r="Y51" s="267"/>
      <c r="Z51" s="275"/>
      <c r="AA51" s="267"/>
      <c r="AB51" s="267"/>
      <c r="AC51" s="267"/>
      <c r="AD51" s="268"/>
      <c r="AE51" s="267"/>
      <c r="AF51" s="267"/>
      <c r="AG51" s="267"/>
      <c r="AH51" s="275"/>
      <c r="AI51" s="267"/>
      <c r="AJ51" s="267"/>
      <c r="AK51" s="267"/>
      <c r="AL51" s="267"/>
      <c r="AM51" s="267"/>
      <c r="AN51" s="274"/>
      <c r="AO51" s="267"/>
      <c r="AP51" s="267"/>
      <c r="AQ51" s="267"/>
      <c r="AR51" s="267"/>
      <c r="AS51" s="267"/>
      <c r="AT51" s="267"/>
      <c r="AU51" s="267"/>
      <c r="AV51" s="267"/>
      <c r="AW51" s="267">
        <v>0.5</v>
      </c>
      <c r="AX51" s="267"/>
      <c r="AY51" s="267"/>
      <c r="AZ51" s="267"/>
      <c r="BA51" s="267"/>
      <c r="BB51" s="267"/>
      <c r="BC51" s="267"/>
      <c r="BD51" s="267"/>
      <c r="BE51" s="267"/>
      <c r="BF51" s="267"/>
      <c r="BG51" s="267"/>
      <c r="BH51" s="267"/>
      <c r="BI51" s="267"/>
      <c r="BJ51" s="267"/>
      <c r="BK51" s="267"/>
      <c r="BL51" s="267"/>
      <c r="BM51" s="267"/>
      <c r="BN51" s="267"/>
      <c r="BO51" s="268"/>
      <c r="BP51" s="268"/>
      <c r="BQ51" s="268"/>
      <c r="BR51" s="268"/>
      <c r="BS51" s="268"/>
      <c r="BT51" s="268"/>
      <c r="BU51" s="268"/>
      <c r="BV51" s="267"/>
      <c r="BW51" s="267"/>
      <c r="BX51" s="267"/>
      <c r="BY51" s="267"/>
      <c r="BZ51" s="267"/>
      <c r="CA51" s="267"/>
      <c r="CB51" s="267"/>
      <c r="CC51" s="267"/>
      <c r="CD51" s="267"/>
      <c r="CE51" s="267"/>
      <c r="CF51" s="267"/>
      <c r="CG51" s="267"/>
      <c r="CH51" s="267"/>
      <c r="CI51" s="267"/>
    </row>
    <row r="52" spans="1:87" ht="16.5" outlineLevel="1">
      <c r="A52" s="260" t="str">
        <f t="shared" si="17"/>
        <v>lt827_mthd_usd_instrmntref_date</v>
      </c>
      <c r="B52" s="141" t="s">
        <v>26</v>
      </c>
      <c r="C52" s="137" t="s">
        <v>26</v>
      </c>
      <c r="D52" s="222" t="s">
        <v>40</v>
      </c>
      <c r="E52" s="225" t="s">
        <v>1860</v>
      </c>
      <c r="F52" s="225"/>
      <c r="G52" s="225" t="s">
        <v>208</v>
      </c>
      <c r="H52" s="222" t="str">
        <f>VLOOKUP(A52,'2. Status Detalhe Campos FY24'!$A$7:$G$731,7,0)</f>
        <v>1. Concluído</v>
      </c>
      <c r="I52" s="294">
        <v>45603</v>
      </c>
      <c r="J52" s="309">
        <v>45611</v>
      </c>
      <c r="K52" s="309">
        <v>45611</v>
      </c>
      <c r="L52" s="276">
        <f t="array" ref="L52">MIN(IF(W52:CI52&gt;0,$W$16:$CI$16))</f>
        <v>45624</v>
      </c>
      <c r="M52" s="277">
        <f t="array" ref="M52">MAX(IF(W52:CI52&gt;0,$W$16:$CI$16))</f>
        <v>45624</v>
      </c>
      <c r="N52" s="277"/>
      <c r="O52" s="235">
        <f>VLOOKUP(H52,Auxiliar!$B$16:$E$24,4,0)</f>
        <v>1</v>
      </c>
      <c r="P52" s="235">
        <f t="shared" ca="1" si="18"/>
        <v>1</v>
      </c>
      <c r="Q52" s="234">
        <f t="shared" ca="1" si="16"/>
        <v>0</v>
      </c>
      <c r="R52" s="248" t="s">
        <v>38</v>
      </c>
      <c r="S52" s="266"/>
      <c r="T52" s="256">
        <v>4.0999999999999996</v>
      </c>
      <c r="U52" s="256">
        <f t="shared" si="19"/>
        <v>0.5</v>
      </c>
      <c r="V52" s="256">
        <f t="shared" si="20"/>
        <v>0</v>
      </c>
      <c r="W52" s="267"/>
      <c r="X52" s="267"/>
      <c r="Y52" s="267"/>
      <c r="Z52" s="275"/>
      <c r="AA52" s="267"/>
      <c r="AB52" s="267"/>
      <c r="AC52" s="267"/>
      <c r="AD52" s="268"/>
      <c r="AE52" s="267"/>
      <c r="AF52" s="267"/>
      <c r="AG52" s="267"/>
      <c r="AH52" s="275"/>
      <c r="AI52" s="267"/>
      <c r="AJ52" s="267"/>
      <c r="AK52" s="267"/>
      <c r="AL52" s="267"/>
      <c r="AM52" s="267"/>
      <c r="AN52" s="274"/>
      <c r="AO52" s="267"/>
      <c r="AP52" s="267"/>
      <c r="AQ52" s="267"/>
      <c r="AR52" s="267"/>
      <c r="AS52" s="267"/>
      <c r="AT52" s="267"/>
      <c r="AU52" s="267"/>
      <c r="AV52" s="267"/>
      <c r="AW52" s="267">
        <v>0.5</v>
      </c>
      <c r="AX52" s="267"/>
      <c r="AY52" s="267"/>
      <c r="AZ52" s="267"/>
      <c r="BA52" s="267"/>
      <c r="BB52" s="267"/>
      <c r="BC52" s="267"/>
      <c r="BD52" s="267"/>
      <c r="BE52" s="267"/>
      <c r="BF52" s="267"/>
      <c r="BG52" s="267"/>
      <c r="BH52" s="267"/>
      <c r="BI52" s="267"/>
      <c r="BJ52" s="267"/>
      <c r="BK52" s="267"/>
      <c r="BL52" s="267"/>
      <c r="BM52" s="267"/>
      <c r="BN52" s="267"/>
      <c r="BO52" s="268"/>
      <c r="BP52" s="268"/>
      <c r="BQ52" s="268"/>
      <c r="BR52" s="268"/>
      <c r="BS52" s="268"/>
      <c r="BT52" s="268"/>
      <c r="BU52" s="268"/>
      <c r="BV52" s="267"/>
      <c r="BW52" s="267"/>
      <c r="BX52" s="267"/>
      <c r="BY52" s="267"/>
      <c r="BZ52" s="267"/>
      <c r="CA52" s="267"/>
      <c r="CB52" s="267"/>
      <c r="CC52" s="267"/>
      <c r="CD52" s="267"/>
      <c r="CE52" s="267"/>
      <c r="CF52" s="267"/>
      <c r="CG52" s="267"/>
      <c r="CH52" s="267"/>
      <c r="CI52" s="267"/>
    </row>
    <row r="53" spans="1:87" ht="16.5" outlineLevel="1">
      <c r="A53" s="260" t="str">
        <f t="shared" si="17"/>
        <v>lt827_mthd_usd_instrmntordem</v>
      </c>
      <c r="B53" s="141" t="s">
        <v>26</v>
      </c>
      <c r="C53" s="137" t="s">
        <v>26</v>
      </c>
      <c r="D53" s="222" t="s">
        <v>40</v>
      </c>
      <c r="E53" s="225" t="s">
        <v>1860</v>
      </c>
      <c r="F53" s="225"/>
      <c r="G53" s="225" t="s">
        <v>211</v>
      </c>
      <c r="H53" s="222" t="str">
        <f>VLOOKUP(A53,'2. Status Detalhe Campos FY24'!$A$7:$G$731,7,0)</f>
        <v>1. Concluído</v>
      </c>
      <c r="I53" s="294">
        <v>45603</v>
      </c>
      <c r="J53" s="309">
        <v>45611</v>
      </c>
      <c r="K53" s="309">
        <v>45611</v>
      </c>
      <c r="L53" s="276">
        <f t="array" ref="L53">MIN(IF(W53:CI53&gt;0,$W$16:$CI$16))</f>
        <v>45624</v>
      </c>
      <c r="M53" s="277">
        <f t="array" ref="M53">MAX(IF(W53:CI53&gt;0,$W$16:$CI$16))</f>
        <v>45624</v>
      </c>
      <c r="N53" s="277"/>
      <c r="O53" s="235">
        <f>VLOOKUP(H53,Auxiliar!$B$16:$E$24,4,0)</f>
        <v>1</v>
      </c>
      <c r="P53" s="235">
        <f t="shared" ca="1" si="18"/>
        <v>1</v>
      </c>
      <c r="Q53" s="234">
        <f t="shared" ca="1" si="16"/>
        <v>0</v>
      </c>
      <c r="R53" s="248" t="s">
        <v>38</v>
      </c>
      <c r="S53" s="266"/>
      <c r="T53" s="256">
        <v>4.0999999999999996</v>
      </c>
      <c r="U53" s="256">
        <f t="shared" si="19"/>
        <v>0.5</v>
      </c>
      <c r="V53" s="256">
        <f t="shared" si="20"/>
        <v>0</v>
      </c>
      <c r="W53" s="267"/>
      <c r="X53" s="267"/>
      <c r="Y53" s="267"/>
      <c r="Z53" s="275"/>
      <c r="AA53" s="267"/>
      <c r="AB53" s="267"/>
      <c r="AC53" s="267"/>
      <c r="AD53" s="268"/>
      <c r="AE53" s="267"/>
      <c r="AF53" s="267"/>
      <c r="AG53" s="267"/>
      <c r="AH53" s="275"/>
      <c r="AI53" s="267"/>
      <c r="AJ53" s="267"/>
      <c r="AK53" s="267"/>
      <c r="AL53" s="267"/>
      <c r="AM53" s="267"/>
      <c r="AN53" s="274"/>
      <c r="AO53" s="267"/>
      <c r="AP53" s="267"/>
      <c r="AQ53" s="267"/>
      <c r="AR53" s="267"/>
      <c r="AS53" s="267"/>
      <c r="AT53" s="267"/>
      <c r="AU53" s="267"/>
      <c r="AV53" s="267"/>
      <c r="AW53" s="267">
        <v>0.5</v>
      </c>
      <c r="AX53" s="267"/>
      <c r="AY53" s="267"/>
      <c r="AZ53" s="267"/>
      <c r="BA53" s="267"/>
      <c r="BB53" s="267"/>
      <c r="BC53" s="267"/>
      <c r="BD53" s="267"/>
      <c r="BE53" s="267"/>
      <c r="BF53" s="267"/>
      <c r="BG53" s="267"/>
      <c r="BH53" s="267"/>
      <c r="BI53" s="267"/>
      <c r="BJ53" s="267"/>
      <c r="BK53" s="267"/>
      <c r="BL53" s="267"/>
      <c r="BM53" s="267"/>
      <c r="BN53" s="267"/>
      <c r="BO53" s="268"/>
      <c r="BP53" s="268"/>
      <c r="BQ53" s="268"/>
      <c r="BR53" s="268"/>
      <c r="BS53" s="268"/>
      <c r="BT53" s="268"/>
      <c r="BU53" s="268"/>
      <c r="BV53" s="267"/>
      <c r="BW53" s="267"/>
      <c r="BX53" s="267"/>
      <c r="BY53" s="267"/>
      <c r="BZ53" s="267"/>
      <c r="CA53" s="267"/>
      <c r="CB53" s="267"/>
      <c r="CC53" s="267"/>
      <c r="CD53" s="267"/>
      <c r="CE53" s="267"/>
      <c r="CF53" s="267"/>
      <c r="CG53" s="267"/>
      <c r="CH53" s="267"/>
      <c r="CI53" s="267"/>
    </row>
    <row r="54" spans="1:87" ht="16.5" outlineLevel="1">
      <c r="A54" s="260" t="str">
        <f t="shared" si="17"/>
        <v>lt827_mthd_usd_instrmnttabela</v>
      </c>
      <c r="B54" s="141" t="s">
        <v>26</v>
      </c>
      <c r="C54" s="137" t="s">
        <v>26</v>
      </c>
      <c r="D54" s="222" t="s">
        <v>40</v>
      </c>
      <c r="E54" s="225" t="s">
        <v>1860</v>
      </c>
      <c r="F54" s="225"/>
      <c r="G54" s="225" t="s">
        <v>391</v>
      </c>
      <c r="H54" s="222" t="str">
        <f>VLOOKUP(A54,'2. Status Detalhe Campos FY24'!$A$7:$G$731,7,0)</f>
        <v>1. Concluído</v>
      </c>
      <c r="I54" s="294">
        <v>45603</v>
      </c>
      <c r="J54" s="309">
        <v>45611</v>
      </c>
      <c r="K54" s="309">
        <v>45611</v>
      </c>
      <c r="L54" s="276">
        <f t="array" ref="L54">MIN(IF(W54:CI54&gt;0,$W$16:$CI$16))</f>
        <v>45624</v>
      </c>
      <c r="M54" s="277">
        <f t="array" ref="M54">MAX(IF(W54:CI54&gt;0,$W$16:$CI$16))</f>
        <v>45624</v>
      </c>
      <c r="N54" s="277"/>
      <c r="O54" s="235">
        <f>VLOOKUP(H54,Auxiliar!$B$16:$E$24,4,0)</f>
        <v>1</v>
      </c>
      <c r="P54" s="235">
        <f t="shared" ca="1" si="18"/>
        <v>1</v>
      </c>
      <c r="Q54" s="234">
        <f t="shared" ca="1" si="16"/>
        <v>0</v>
      </c>
      <c r="R54" s="248" t="s">
        <v>38</v>
      </c>
      <c r="S54" s="266"/>
      <c r="T54" s="256">
        <v>4.0999999999999996</v>
      </c>
      <c r="U54" s="256">
        <f t="shared" si="19"/>
        <v>0.5</v>
      </c>
      <c r="V54" s="256">
        <f t="shared" si="20"/>
        <v>0</v>
      </c>
      <c r="W54" s="267"/>
      <c r="X54" s="267"/>
      <c r="Y54" s="267"/>
      <c r="Z54" s="275"/>
      <c r="AA54" s="267"/>
      <c r="AB54" s="267"/>
      <c r="AC54" s="267"/>
      <c r="AD54" s="268"/>
      <c r="AE54" s="267"/>
      <c r="AF54" s="267"/>
      <c r="AG54" s="267"/>
      <c r="AH54" s="275"/>
      <c r="AI54" s="267"/>
      <c r="AJ54" s="267"/>
      <c r="AK54" s="267"/>
      <c r="AL54" s="267"/>
      <c r="AM54" s="267"/>
      <c r="AN54" s="274"/>
      <c r="AO54" s="267"/>
      <c r="AP54" s="267"/>
      <c r="AQ54" s="267"/>
      <c r="AR54" s="267"/>
      <c r="AS54" s="267"/>
      <c r="AT54" s="267"/>
      <c r="AU54" s="267"/>
      <c r="AV54" s="267"/>
      <c r="AW54" s="267">
        <v>0.5</v>
      </c>
      <c r="AX54" s="267"/>
      <c r="AY54" s="267"/>
      <c r="AZ54" s="267"/>
      <c r="BA54" s="267"/>
      <c r="BB54" s="267"/>
      <c r="BC54" s="267"/>
      <c r="BD54" s="267"/>
      <c r="BE54" s="267"/>
      <c r="BF54" s="267"/>
      <c r="BG54" s="267"/>
      <c r="BH54" s="267"/>
      <c r="BI54" s="267"/>
      <c r="BJ54" s="267"/>
      <c r="BK54" s="267"/>
      <c r="BL54" s="267"/>
      <c r="BM54" s="267"/>
      <c r="BN54" s="267"/>
      <c r="BO54" s="268"/>
      <c r="BP54" s="268"/>
      <c r="BQ54" s="268"/>
      <c r="BR54" s="268"/>
      <c r="BS54" s="268"/>
      <c r="BT54" s="268"/>
      <c r="BU54" s="268"/>
      <c r="BV54" s="267"/>
      <c r="BW54" s="267"/>
      <c r="BX54" s="267"/>
      <c r="BY54" s="267"/>
      <c r="BZ54" s="267"/>
      <c r="CA54" s="267"/>
      <c r="CB54" s="267"/>
      <c r="CC54" s="267"/>
      <c r="CD54" s="267"/>
      <c r="CE54" s="267"/>
      <c r="CF54" s="267"/>
      <c r="CG54" s="267"/>
      <c r="CH54" s="267"/>
      <c r="CI54" s="267"/>
    </row>
    <row r="55" spans="1:87" ht="16.5" outlineLevel="1">
      <c r="A55" s="260" t="str">
        <f t="shared" si="17"/>
        <v>lt827_mthd_usd_instrmntorigem_scp1_emss</v>
      </c>
      <c r="B55" s="141" t="s">
        <v>26</v>
      </c>
      <c r="C55" s="137" t="s">
        <v>26</v>
      </c>
      <c r="D55" s="222" t="s">
        <v>40</v>
      </c>
      <c r="E55" s="225" t="s">
        <v>1860</v>
      </c>
      <c r="F55" s="225"/>
      <c r="G55" s="225" t="s">
        <v>319</v>
      </c>
      <c r="H55" s="222" t="str">
        <f>VLOOKUP(A55,'2. Status Detalhe Campos FY24'!$A$7:$G$731,7,0)</f>
        <v>1. Concluído</v>
      </c>
      <c r="I55" s="294">
        <v>45603</v>
      </c>
      <c r="J55" s="309">
        <v>45611</v>
      </c>
      <c r="K55" s="309">
        <v>45611</v>
      </c>
      <c r="L55" s="276">
        <f t="array" ref="L55">MIN(IF(W55:CI55&gt;0,$W$16:$CI$16))</f>
        <v>45624</v>
      </c>
      <c r="M55" s="277">
        <f t="array" ref="M55">MAX(IF(W55:CI55&gt;0,$W$16:$CI$16))</f>
        <v>45624</v>
      </c>
      <c r="N55" s="277"/>
      <c r="O55" s="235">
        <f>VLOOKUP(H55,Auxiliar!$B$16:$E$24,4,0)</f>
        <v>1</v>
      </c>
      <c r="P55" s="235">
        <f t="shared" ca="1" si="18"/>
        <v>1</v>
      </c>
      <c r="Q55" s="234">
        <f t="shared" ca="1" si="16"/>
        <v>0</v>
      </c>
      <c r="R55" s="248" t="s">
        <v>38</v>
      </c>
      <c r="S55" s="266"/>
      <c r="T55" s="256">
        <v>4.0999999999999996</v>
      </c>
      <c r="U55" s="256">
        <f t="shared" si="19"/>
        <v>0.5</v>
      </c>
      <c r="V55" s="256">
        <f t="shared" si="20"/>
        <v>0</v>
      </c>
      <c r="W55" s="267"/>
      <c r="X55" s="267"/>
      <c r="Y55" s="267"/>
      <c r="Z55" s="275"/>
      <c r="AA55" s="267"/>
      <c r="AB55" s="267"/>
      <c r="AC55" s="267"/>
      <c r="AD55" s="268"/>
      <c r="AE55" s="267"/>
      <c r="AF55" s="267"/>
      <c r="AG55" s="267"/>
      <c r="AH55" s="275"/>
      <c r="AI55" s="267"/>
      <c r="AJ55" s="267"/>
      <c r="AK55" s="267"/>
      <c r="AL55" s="267"/>
      <c r="AM55" s="267"/>
      <c r="AN55" s="274"/>
      <c r="AO55" s="267"/>
      <c r="AP55" s="267"/>
      <c r="AQ55" s="267"/>
      <c r="AR55" s="267"/>
      <c r="AS55" s="267"/>
      <c r="AT55" s="267"/>
      <c r="AU55" s="267"/>
      <c r="AV55" s="267"/>
      <c r="AW55" s="267">
        <v>0.5</v>
      </c>
      <c r="AX55" s="267"/>
      <c r="AY55" s="267"/>
      <c r="AZ55" s="267"/>
      <c r="BA55" s="267"/>
      <c r="BB55" s="267"/>
      <c r="BC55" s="267"/>
      <c r="BD55" s="267"/>
      <c r="BE55" s="267"/>
      <c r="BF55" s="267"/>
      <c r="BG55" s="267"/>
      <c r="BH55" s="267"/>
      <c r="BI55" s="267"/>
      <c r="BJ55" s="267"/>
      <c r="BK55" s="267"/>
      <c r="BL55" s="267"/>
      <c r="BM55" s="267"/>
      <c r="BN55" s="267"/>
      <c r="BO55" s="268"/>
      <c r="BP55" s="268"/>
      <c r="BQ55" s="268"/>
      <c r="BR55" s="268"/>
      <c r="BS55" s="268"/>
      <c r="BT55" s="268"/>
      <c r="BU55" s="268"/>
      <c r="BV55" s="267"/>
      <c r="BW55" s="267"/>
      <c r="BX55" s="267"/>
      <c r="BY55" s="267"/>
      <c r="BZ55" s="267"/>
      <c r="CA55" s="267"/>
      <c r="CB55" s="267"/>
      <c r="CC55" s="267"/>
      <c r="CD55" s="267"/>
      <c r="CE55" s="267"/>
      <c r="CF55" s="267"/>
      <c r="CG55" s="267"/>
      <c r="CH55" s="267"/>
      <c r="CI55" s="267"/>
    </row>
    <row r="56" spans="1:87" ht="16.5" outlineLevel="1">
      <c r="A56" s="260" t="str">
        <f t="shared" si="17"/>
        <v>lt827_mthd_usd_instrmntorigem_scp2_emss</v>
      </c>
      <c r="B56" s="141" t="s">
        <v>26</v>
      </c>
      <c r="C56" s="137" t="s">
        <v>26</v>
      </c>
      <c r="D56" s="222" t="s">
        <v>40</v>
      </c>
      <c r="E56" s="225" t="s">
        <v>1860</v>
      </c>
      <c r="F56" s="225"/>
      <c r="G56" s="225" t="s">
        <v>320</v>
      </c>
      <c r="H56" s="222" t="str">
        <f>VLOOKUP(A56,'2. Status Detalhe Campos FY24'!$A$7:$G$731,7,0)</f>
        <v>1. Concluído</v>
      </c>
      <c r="I56" s="294">
        <v>45603</v>
      </c>
      <c r="J56" s="309">
        <v>45611</v>
      </c>
      <c r="K56" s="309">
        <v>45611</v>
      </c>
      <c r="L56" s="276">
        <f t="array" ref="L56">MIN(IF(W56:CI56&gt;0,$W$16:$CI$16))</f>
        <v>45624</v>
      </c>
      <c r="M56" s="277">
        <f t="array" ref="M56">MAX(IF(W56:CI56&gt;0,$W$16:$CI$16))</f>
        <v>45624</v>
      </c>
      <c r="N56" s="277"/>
      <c r="O56" s="235">
        <f>VLOOKUP(H56,Auxiliar!$B$16:$E$24,4,0)</f>
        <v>1</v>
      </c>
      <c r="P56" s="235">
        <f t="shared" ca="1" si="18"/>
        <v>1</v>
      </c>
      <c r="Q56" s="234">
        <f t="shared" ca="1" si="16"/>
        <v>0</v>
      </c>
      <c r="R56" s="248" t="s">
        <v>38</v>
      </c>
      <c r="S56" s="266"/>
      <c r="T56" s="256">
        <v>4.0999999999999996</v>
      </c>
      <c r="U56" s="256">
        <f t="shared" si="19"/>
        <v>0.5</v>
      </c>
      <c r="V56" s="256">
        <f t="shared" si="20"/>
        <v>0</v>
      </c>
      <c r="W56" s="267"/>
      <c r="X56" s="267"/>
      <c r="Y56" s="267"/>
      <c r="Z56" s="275"/>
      <c r="AA56" s="267"/>
      <c r="AB56" s="267"/>
      <c r="AC56" s="267"/>
      <c r="AD56" s="268"/>
      <c r="AE56" s="267"/>
      <c r="AF56" s="267"/>
      <c r="AG56" s="267"/>
      <c r="AH56" s="275"/>
      <c r="AI56" s="267"/>
      <c r="AJ56" s="267"/>
      <c r="AK56" s="267"/>
      <c r="AL56" s="267"/>
      <c r="AM56" s="267"/>
      <c r="AN56" s="274"/>
      <c r="AO56" s="267"/>
      <c r="AP56" s="267"/>
      <c r="AQ56" s="267"/>
      <c r="AR56" s="267"/>
      <c r="AS56" s="267"/>
      <c r="AT56" s="267"/>
      <c r="AU56" s="267"/>
      <c r="AV56" s="267"/>
      <c r="AW56" s="267">
        <v>0.5</v>
      </c>
      <c r="AX56" s="267"/>
      <c r="AY56" s="267"/>
      <c r="AZ56" s="267"/>
      <c r="BA56" s="267"/>
      <c r="BB56" s="267"/>
      <c r="BC56" s="267"/>
      <c r="BD56" s="267"/>
      <c r="BE56" s="267"/>
      <c r="BF56" s="267"/>
      <c r="BG56" s="267"/>
      <c r="BH56" s="267"/>
      <c r="BI56" s="267"/>
      <c r="BJ56" s="267"/>
      <c r="BK56" s="267"/>
      <c r="BL56" s="267"/>
      <c r="BM56" s="267"/>
      <c r="BN56" s="267"/>
      <c r="BO56" s="268"/>
      <c r="BP56" s="268"/>
      <c r="BQ56" s="268"/>
      <c r="BR56" s="268"/>
      <c r="BS56" s="268"/>
      <c r="BT56" s="268"/>
      <c r="BU56" s="268"/>
      <c r="BV56" s="267"/>
      <c r="BW56" s="267"/>
      <c r="BX56" s="267"/>
      <c r="BY56" s="267"/>
      <c r="BZ56" s="267"/>
      <c r="CA56" s="267"/>
      <c r="CB56" s="267"/>
      <c r="CC56" s="267"/>
      <c r="CD56" s="267"/>
      <c r="CE56" s="267"/>
      <c r="CF56" s="267"/>
      <c r="CG56" s="267"/>
      <c r="CH56" s="267"/>
      <c r="CI56" s="267"/>
    </row>
    <row r="57" spans="1:87" ht="16.5" outlineLevel="1">
      <c r="A57" s="260" t="str">
        <f t="shared" si="17"/>
        <v>lt827_mthd_usd_instrmntorigem_scp3_emss</v>
      </c>
      <c r="B57" s="141" t="s">
        <v>26</v>
      </c>
      <c r="C57" s="137" t="s">
        <v>26</v>
      </c>
      <c r="D57" s="222" t="s">
        <v>40</v>
      </c>
      <c r="E57" s="225" t="s">
        <v>1860</v>
      </c>
      <c r="F57" s="225"/>
      <c r="G57" s="225" t="s">
        <v>321</v>
      </c>
      <c r="H57" s="222" t="str">
        <f>VLOOKUP(A57,'2. Status Detalhe Campos FY24'!$A$7:$G$731,7,0)</f>
        <v>1. Concluído</v>
      </c>
      <c r="I57" s="294">
        <v>45603</v>
      </c>
      <c r="J57" s="309">
        <v>45611</v>
      </c>
      <c r="K57" s="309">
        <v>45611</v>
      </c>
      <c r="L57" s="276">
        <f t="array" ref="L57">MIN(IF(W57:CI57&gt;0,$W$16:$CI$16))</f>
        <v>45624</v>
      </c>
      <c r="M57" s="277">
        <f t="array" ref="M57">MAX(IF(W57:CI57&gt;0,$W$16:$CI$16))</f>
        <v>45624</v>
      </c>
      <c r="N57" s="277"/>
      <c r="O57" s="235">
        <f>VLOOKUP(H57,Auxiliar!$B$16:$E$24,4,0)</f>
        <v>1</v>
      </c>
      <c r="P57" s="235">
        <f t="shared" ca="1" si="18"/>
        <v>1</v>
      </c>
      <c r="Q57" s="234">
        <f t="shared" ca="1" si="16"/>
        <v>0</v>
      </c>
      <c r="R57" s="248" t="s">
        <v>38</v>
      </c>
      <c r="S57" s="266"/>
      <c r="T57" s="256">
        <v>4.0999999999999996</v>
      </c>
      <c r="U57" s="256">
        <f t="shared" si="19"/>
        <v>0.5</v>
      </c>
      <c r="V57" s="256">
        <f t="shared" si="20"/>
        <v>0</v>
      </c>
      <c r="W57" s="267"/>
      <c r="X57" s="267"/>
      <c r="Y57" s="267"/>
      <c r="Z57" s="275"/>
      <c r="AA57" s="267"/>
      <c r="AB57" s="267"/>
      <c r="AC57" s="267"/>
      <c r="AD57" s="268"/>
      <c r="AE57" s="267"/>
      <c r="AF57" s="267"/>
      <c r="AG57" s="267"/>
      <c r="AH57" s="275"/>
      <c r="AI57" s="267"/>
      <c r="AJ57" s="267"/>
      <c r="AK57" s="267"/>
      <c r="AL57" s="267"/>
      <c r="AM57" s="267"/>
      <c r="AN57" s="274"/>
      <c r="AO57" s="267"/>
      <c r="AP57" s="267"/>
      <c r="AQ57" s="267"/>
      <c r="AR57" s="267"/>
      <c r="AS57" s="267"/>
      <c r="AT57" s="267"/>
      <c r="AU57" s="267"/>
      <c r="AV57" s="267"/>
      <c r="AW57" s="267">
        <v>0.5</v>
      </c>
      <c r="AX57" s="267"/>
      <c r="AY57" s="267"/>
      <c r="AZ57" s="267"/>
      <c r="BA57" s="267"/>
      <c r="BB57" s="267"/>
      <c r="BC57" s="267"/>
      <c r="BD57" s="267"/>
      <c r="BE57" s="267"/>
      <c r="BF57" s="267"/>
      <c r="BG57" s="267"/>
      <c r="BH57" s="267"/>
      <c r="BI57" s="267"/>
      <c r="BJ57" s="267"/>
      <c r="BK57" s="267"/>
      <c r="BL57" s="267"/>
      <c r="BM57" s="267"/>
      <c r="BN57" s="267"/>
      <c r="BO57" s="268"/>
      <c r="BP57" s="268"/>
      <c r="BQ57" s="268"/>
      <c r="BR57" s="268"/>
      <c r="BS57" s="268"/>
      <c r="BT57" s="268"/>
      <c r="BU57" s="268"/>
      <c r="BV57" s="267"/>
      <c r="BW57" s="267"/>
      <c r="BX57" s="267"/>
      <c r="BY57" s="267"/>
      <c r="BZ57" s="267"/>
      <c r="CA57" s="267"/>
      <c r="CB57" s="267"/>
      <c r="CC57" s="267"/>
      <c r="CD57" s="267"/>
      <c r="CE57" s="267"/>
      <c r="CF57" s="267"/>
      <c r="CG57" s="267"/>
      <c r="CH57" s="267"/>
      <c r="CI57" s="267"/>
    </row>
    <row r="58" spans="1:87" ht="16.5" outlineLevel="1">
      <c r="A58" s="260" t="str">
        <f t="shared" si="17"/>
        <v>lt827_mthd_usd_instrmntmthd_usd_instrmnt_scp_1</v>
      </c>
      <c r="B58" s="141" t="s">
        <v>26</v>
      </c>
      <c r="C58" s="137" t="s">
        <v>26</v>
      </c>
      <c r="D58" s="222" t="s">
        <v>40</v>
      </c>
      <c r="E58" s="225" t="s">
        <v>1860</v>
      </c>
      <c r="F58" s="225"/>
      <c r="G58" s="225" t="s">
        <v>385</v>
      </c>
      <c r="H58" s="222" t="str">
        <f>VLOOKUP(A58,'2. Status Detalhe Campos FY24'!$A$7:$G$731,7,0)</f>
        <v>1. Concluído</v>
      </c>
      <c r="I58" s="294">
        <v>45603</v>
      </c>
      <c r="J58" s="309">
        <v>45611</v>
      </c>
      <c r="K58" s="309">
        <v>45611</v>
      </c>
      <c r="L58" s="276">
        <f t="array" ref="L58">MIN(IF(W58:CI58&gt;0,$W$16:$CI$16))</f>
        <v>45624</v>
      </c>
      <c r="M58" s="277">
        <f t="array" ref="M58">MAX(IF(W58:CI58&gt;0,$W$16:$CI$16))</f>
        <v>45624</v>
      </c>
      <c r="N58" s="277"/>
      <c r="O58" s="235">
        <f>VLOOKUP(H58,Auxiliar!$B$16:$E$24,4,0)</f>
        <v>1</v>
      </c>
      <c r="P58" s="235">
        <f t="shared" ca="1" si="18"/>
        <v>1</v>
      </c>
      <c r="Q58" s="234">
        <f t="shared" ca="1" si="16"/>
        <v>0</v>
      </c>
      <c r="R58" s="248" t="s">
        <v>38</v>
      </c>
      <c r="S58" s="266"/>
      <c r="T58" s="256">
        <v>4.0999999999999996</v>
      </c>
      <c r="U58" s="256">
        <f t="shared" si="19"/>
        <v>0.5</v>
      </c>
      <c r="V58" s="256">
        <f t="shared" si="20"/>
        <v>0</v>
      </c>
      <c r="W58" s="267"/>
      <c r="X58" s="267"/>
      <c r="Y58" s="267"/>
      <c r="Z58" s="275"/>
      <c r="AA58" s="267"/>
      <c r="AB58" s="267"/>
      <c r="AC58" s="267"/>
      <c r="AD58" s="268"/>
      <c r="AE58" s="267"/>
      <c r="AF58" s="267"/>
      <c r="AG58" s="267"/>
      <c r="AH58" s="275"/>
      <c r="AI58" s="267"/>
      <c r="AJ58" s="267"/>
      <c r="AK58" s="267"/>
      <c r="AL58" s="267"/>
      <c r="AM58" s="267"/>
      <c r="AN58" s="274"/>
      <c r="AO58" s="267"/>
      <c r="AP58" s="267"/>
      <c r="AQ58" s="267"/>
      <c r="AR58" s="267"/>
      <c r="AS58" s="267"/>
      <c r="AT58" s="267"/>
      <c r="AU58" s="267"/>
      <c r="AV58" s="267"/>
      <c r="AW58" s="267">
        <v>0.5</v>
      </c>
      <c r="AX58" s="267"/>
      <c r="AY58" s="267"/>
      <c r="AZ58" s="267"/>
      <c r="BA58" s="267"/>
      <c r="BB58" s="267"/>
      <c r="BC58" s="267"/>
      <c r="BD58" s="267"/>
      <c r="BE58" s="267"/>
      <c r="BF58" s="267"/>
      <c r="BG58" s="267"/>
      <c r="BH58" s="267"/>
      <c r="BI58" s="267"/>
      <c r="BJ58" s="267"/>
      <c r="BK58" s="267"/>
      <c r="BL58" s="267"/>
      <c r="BM58" s="267"/>
      <c r="BN58" s="267"/>
      <c r="BO58" s="268"/>
      <c r="BP58" s="268"/>
      <c r="BQ58" s="268"/>
      <c r="BR58" s="268"/>
      <c r="BS58" s="268"/>
      <c r="BT58" s="268"/>
      <c r="BU58" s="268"/>
      <c r="BV58" s="267"/>
      <c r="BW58" s="267"/>
      <c r="BX58" s="267"/>
      <c r="BY58" s="267"/>
      <c r="BZ58" s="267"/>
      <c r="CA58" s="267"/>
      <c r="CB58" s="267"/>
      <c r="CC58" s="267"/>
      <c r="CD58" s="267"/>
      <c r="CE58" s="267"/>
      <c r="CF58" s="267"/>
      <c r="CG58" s="267"/>
      <c r="CH58" s="267"/>
      <c r="CI58" s="267"/>
    </row>
    <row r="59" spans="1:87" ht="16.5" outlineLevel="1">
      <c r="A59" s="260" t="str">
        <f t="shared" si="17"/>
        <v>lt827_mthd_usd_instrmntmthd_usd_instrmnt_scp_2</v>
      </c>
      <c r="B59" s="141" t="s">
        <v>26</v>
      </c>
      <c r="C59" s="137" t="s">
        <v>26</v>
      </c>
      <c r="D59" s="222" t="s">
        <v>40</v>
      </c>
      <c r="E59" s="225" t="s">
        <v>1860</v>
      </c>
      <c r="F59" s="225"/>
      <c r="G59" s="225" t="s">
        <v>386</v>
      </c>
      <c r="H59" s="222" t="str">
        <f>VLOOKUP(A59,'2. Status Detalhe Campos FY24'!$A$7:$G$731,7,0)</f>
        <v>1. Concluído</v>
      </c>
      <c r="I59" s="294">
        <v>45603</v>
      </c>
      <c r="J59" s="309">
        <v>45611</v>
      </c>
      <c r="K59" s="309">
        <v>45611</v>
      </c>
      <c r="L59" s="276">
        <f t="array" ref="L59">MIN(IF(W59:CI59&gt;0,$W$16:$CI$16))</f>
        <v>45624</v>
      </c>
      <c r="M59" s="277">
        <f t="array" ref="M59">MAX(IF(W59:CI59&gt;0,$W$16:$CI$16))</f>
        <v>45624</v>
      </c>
      <c r="N59" s="277"/>
      <c r="O59" s="235">
        <f>VLOOKUP(H59,Auxiliar!$B$16:$E$24,4,0)</f>
        <v>1</v>
      </c>
      <c r="P59" s="235">
        <f t="shared" ca="1" si="18"/>
        <v>1</v>
      </c>
      <c r="Q59" s="234">
        <f t="shared" ca="1" si="16"/>
        <v>0</v>
      </c>
      <c r="R59" s="248" t="s">
        <v>38</v>
      </c>
      <c r="S59" s="266"/>
      <c r="T59" s="256">
        <v>4.0999999999999996</v>
      </c>
      <c r="U59" s="256">
        <f t="shared" si="19"/>
        <v>0.5</v>
      </c>
      <c r="V59" s="256">
        <f t="shared" si="20"/>
        <v>0</v>
      </c>
      <c r="W59" s="267"/>
      <c r="X59" s="267"/>
      <c r="Y59" s="267"/>
      <c r="Z59" s="275"/>
      <c r="AA59" s="267"/>
      <c r="AB59" s="267"/>
      <c r="AC59" s="267"/>
      <c r="AD59" s="268"/>
      <c r="AE59" s="267"/>
      <c r="AF59" s="267"/>
      <c r="AG59" s="267"/>
      <c r="AH59" s="275"/>
      <c r="AI59" s="267"/>
      <c r="AJ59" s="267"/>
      <c r="AK59" s="267"/>
      <c r="AL59" s="267"/>
      <c r="AM59" s="267"/>
      <c r="AN59" s="274"/>
      <c r="AO59" s="267"/>
      <c r="AP59" s="267"/>
      <c r="AQ59" s="267"/>
      <c r="AR59" s="267"/>
      <c r="AS59" s="267"/>
      <c r="AT59" s="267"/>
      <c r="AU59" s="267"/>
      <c r="AV59" s="267"/>
      <c r="AW59" s="267">
        <v>0.5</v>
      </c>
      <c r="AX59" s="267"/>
      <c r="AY59" s="267"/>
      <c r="AZ59" s="267"/>
      <c r="BA59" s="267"/>
      <c r="BB59" s="267"/>
      <c r="BC59" s="267"/>
      <c r="BD59" s="267"/>
      <c r="BE59" s="267"/>
      <c r="BF59" s="267"/>
      <c r="BG59" s="267"/>
      <c r="BH59" s="267"/>
      <c r="BI59" s="267"/>
      <c r="BJ59" s="267"/>
      <c r="BK59" s="267"/>
      <c r="BL59" s="267"/>
      <c r="BM59" s="267"/>
      <c r="BN59" s="267"/>
      <c r="BO59" s="268"/>
      <c r="BP59" s="268"/>
      <c r="BQ59" s="268"/>
      <c r="BR59" s="268"/>
      <c r="BS59" s="268"/>
      <c r="BT59" s="268"/>
      <c r="BU59" s="268"/>
      <c r="BV59" s="267"/>
      <c r="BW59" s="267"/>
      <c r="BX59" s="267"/>
      <c r="BY59" s="267"/>
      <c r="BZ59" s="267"/>
      <c r="CA59" s="267"/>
      <c r="CB59" s="267"/>
      <c r="CC59" s="267"/>
      <c r="CD59" s="267"/>
      <c r="CE59" s="267"/>
      <c r="CF59" s="267"/>
      <c r="CG59" s="267"/>
      <c r="CH59" s="267"/>
      <c r="CI59" s="267"/>
    </row>
    <row r="60" spans="1:87" ht="16.5" outlineLevel="1">
      <c r="A60" s="260" t="str">
        <f t="shared" si="17"/>
        <v>lt827_mthd_usd_instrmntmthd_usd_instrmnt_scp_3</v>
      </c>
      <c r="B60" s="141" t="s">
        <v>26</v>
      </c>
      <c r="C60" s="137" t="s">
        <v>26</v>
      </c>
      <c r="D60" s="222" t="s">
        <v>40</v>
      </c>
      <c r="E60" s="225" t="s">
        <v>1860</v>
      </c>
      <c r="F60" s="225"/>
      <c r="G60" s="225" t="s">
        <v>387</v>
      </c>
      <c r="H60" s="222" t="str">
        <f>VLOOKUP(A60,'2. Status Detalhe Campos FY24'!$A$7:$G$731,7,0)</f>
        <v>1. Concluído</v>
      </c>
      <c r="I60" s="294">
        <v>45603</v>
      </c>
      <c r="J60" s="309">
        <v>45611</v>
      </c>
      <c r="K60" s="309">
        <v>45611</v>
      </c>
      <c r="L60" s="276">
        <f t="array" ref="L60">MIN(IF(W60:CI60&gt;0,$W$16:$CI$16))</f>
        <v>45624</v>
      </c>
      <c r="M60" s="277">
        <f t="array" ref="M60">MAX(IF(W60:CI60&gt;0,$W$16:$CI$16))</f>
        <v>45624</v>
      </c>
      <c r="N60" s="277"/>
      <c r="O60" s="235">
        <f>VLOOKUP(H60,Auxiliar!$B$16:$E$24,4,0)</f>
        <v>1</v>
      </c>
      <c r="P60" s="235">
        <f t="shared" ca="1" si="18"/>
        <v>1</v>
      </c>
      <c r="Q60" s="234">
        <f t="shared" ca="1" si="16"/>
        <v>0</v>
      </c>
      <c r="R60" s="248" t="s">
        <v>38</v>
      </c>
      <c r="S60" s="266"/>
      <c r="T60" s="256">
        <v>4.0999999999999996</v>
      </c>
      <c r="U60" s="256">
        <f t="shared" si="19"/>
        <v>0.5</v>
      </c>
      <c r="V60" s="256">
        <f t="shared" si="20"/>
        <v>0</v>
      </c>
      <c r="W60" s="267"/>
      <c r="X60" s="267"/>
      <c r="Y60" s="267"/>
      <c r="Z60" s="275"/>
      <c r="AA60" s="267"/>
      <c r="AB60" s="267"/>
      <c r="AC60" s="267"/>
      <c r="AD60" s="268"/>
      <c r="AE60" s="267"/>
      <c r="AF60" s="267"/>
      <c r="AG60" s="267"/>
      <c r="AH60" s="275"/>
      <c r="AI60" s="267"/>
      <c r="AJ60" s="267"/>
      <c r="AK60" s="267"/>
      <c r="AL60" s="267"/>
      <c r="AM60" s="267"/>
      <c r="AN60" s="274"/>
      <c r="AO60" s="267"/>
      <c r="AP60" s="267"/>
      <c r="AQ60" s="267"/>
      <c r="AR60" s="267"/>
      <c r="AS60" s="267"/>
      <c r="AT60" s="267"/>
      <c r="AU60" s="267"/>
      <c r="AV60" s="267"/>
      <c r="AW60" s="267">
        <v>0.5</v>
      </c>
      <c r="AX60" s="267"/>
      <c r="AY60" s="267"/>
      <c r="AZ60" s="267"/>
      <c r="BA60" s="267"/>
      <c r="BB60" s="267"/>
      <c r="BC60" s="267"/>
      <c r="BD60" s="267"/>
      <c r="BE60" s="267"/>
      <c r="BF60" s="267"/>
      <c r="BG60" s="267"/>
      <c r="BH60" s="267"/>
      <c r="BI60" s="267"/>
      <c r="BJ60" s="267"/>
      <c r="BK60" s="267"/>
      <c r="BL60" s="267"/>
      <c r="BM60" s="267"/>
      <c r="BN60" s="267"/>
      <c r="BO60" s="268"/>
      <c r="BP60" s="268"/>
      <c r="BQ60" s="268"/>
      <c r="BR60" s="268"/>
      <c r="BS60" s="268"/>
      <c r="BT60" s="268"/>
      <c r="BU60" s="268"/>
      <c r="BV60" s="267"/>
      <c r="BW60" s="267"/>
      <c r="BX60" s="267"/>
      <c r="BY60" s="267"/>
      <c r="BZ60" s="267"/>
      <c r="CA60" s="267"/>
      <c r="CB60" s="267"/>
      <c r="CC60" s="267"/>
      <c r="CD60" s="267"/>
      <c r="CE60" s="267"/>
      <c r="CF60" s="267"/>
      <c r="CG60" s="267"/>
      <c r="CH60" s="267"/>
      <c r="CI60" s="267"/>
    </row>
    <row r="61" spans="1:87" ht="15" customHeight="1">
      <c r="A61" s="260"/>
      <c r="B61" s="141" t="s">
        <v>26</v>
      </c>
      <c r="C61" s="137" t="s">
        <v>26</v>
      </c>
      <c r="D61" s="133"/>
      <c r="E61" s="228" t="s">
        <v>335</v>
      </c>
      <c r="F61" s="226" t="s">
        <v>1883</v>
      </c>
      <c r="G61" s="227">
        <f>COUNTA(G62:G76)</f>
        <v>15</v>
      </c>
      <c r="H61" s="281" t="s">
        <v>1915</v>
      </c>
      <c r="I61" s="264">
        <f>MAX(I62:I76)</f>
        <v>0</v>
      </c>
      <c r="J61" s="263">
        <f>MIN(J62:J76)</f>
        <v>45596</v>
      </c>
      <c r="K61" s="264">
        <f>MIN(K62:K76)</f>
        <v>45596</v>
      </c>
      <c r="L61" s="263">
        <f>MIN(L62:L76)</f>
        <v>45600</v>
      </c>
      <c r="M61" s="264">
        <f>MAX(M62:M76)</f>
        <v>45624</v>
      </c>
      <c r="N61" s="308">
        <f t="array" ref="N61">MAX(IF(W61:CI61&gt;0,$W$16:$CI$16))</f>
        <v>45625</v>
      </c>
      <c r="O61" s="307">
        <f>SUMPRODUCT(O62:O76,U62:U76)/SUM(U62:U76)</f>
        <v>1</v>
      </c>
      <c r="P61" s="307">
        <f ca="1">SUMPRODUCT(P62:P76,U62:U76)/SUM(U62:U76)</f>
        <v>1</v>
      </c>
      <c r="Q61" s="242">
        <f t="shared" ref="Q61:Q75" ca="1" si="21">O61-P61</f>
        <v>0</v>
      </c>
      <c r="R61" s="248" t="s">
        <v>1924</v>
      </c>
      <c r="S61" s="266"/>
      <c r="T61" s="256"/>
      <c r="U61" s="256"/>
      <c r="V61" s="256"/>
      <c r="W61" s="267"/>
      <c r="X61" s="267"/>
      <c r="Y61" s="267"/>
      <c r="Z61" s="267"/>
      <c r="AA61" s="267"/>
      <c r="AB61" s="267"/>
      <c r="AC61" s="274"/>
      <c r="AD61" s="268"/>
      <c r="AE61" s="267"/>
      <c r="AF61" s="267"/>
      <c r="AG61" s="267"/>
      <c r="AH61" s="267"/>
      <c r="AI61" s="267"/>
      <c r="AJ61" s="267"/>
      <c r="AK61" s="267"/>
      <c r="AL61" s="267"/>
      <c r="AM61" s="267"/>
      <c r="AN61" s="267"/>
      <c r="AO61" s="267"/>
      <c r="AP61" s="267"/>
      <c r="AQ61" s="267"/>
      <c r="AR61" s="267"/>
      <c r="AS61" s="267"/>
      <c r="AT61" s="267"/>
      <c r="AU61" s="267"/>
      <c r="AV61" s="267"/>
      <c r="AW61" s="267"/>
      <c r="AX61" s="270" t="s">
        <v>443</v>
      </c>
      <c r="AY61" s="267"/>
      <c r="AZ61" s="267"/>
      <c r="BA61" s="267"/>
      <c r="BB61" s="267"/>
      <c r="BC61" s="267"/>
      <c r="BD61" s="267"/>
      <c r="BE61" s="267"/>
      <c r="BF61" s="267"/>
      <c r="BG61" s="267"/>
      <c r="BH61" s="267"/>
      <c r="BI61" s="267"/>
      <c r="BJ61" s="267"/>
      <c r="BK61" s="267"/>
      <c r="BL61" s="267"/>
      <c r="BM61" s="267"/>
      <c r="BN61" s="267"/>
      <c r="BO61" s="268"/>
      <c r="BP61" s="268"/>
      <c r="BQ61" s="268"/>
      <c r="BR61" s="268"/>
      <c r="BS61" s="268"/>
      <c r="BT61" s="268"/>
      <c r="BU61" s="268"/>
      <c r="BV61" s="267"/>
      <c r="BW61" s="267"/>
      <c r="BX61" s="267"/>
      <c r="BY61" s="267"/>
      <c r="BZ61" s="267"/>
      <c r="CA61" s="267"/>
      <c r="CB61" s="267"/>
      <c r="CC61" s="267"/>
      <c r="CD61" s="267"/>
      <c r="CE61" s="267"/>
      <c r="CF61" s="267"/>
      <c r="CG61" s="267"/>
      <c r="CH61" s="267"/>
      <c r="CI61" s="267"/>
    </row>
    <row r="62" spans="1:87" ht="16.5" outlineLevel="1">
      <c r="A62" s="260" t="str">
        <f t="shared" ref="A62:A75" si="22">E62&amp;G62</f>
        <v>lt003_entitytxnmy_elgbl_capex_ccm</v>
      </c>
      <c r="B62" s="141" t="s">
        <v>26</v>
      </c>
      <c r="C62" s="137" t="s">
        <v>26</v>
      </c>
      <c r="D62" s="222" t="s">
        <v>40</v>
      </c>
      <c r="E62" s="225" t="s">
        <v>335</v>
      </c>
      <c r="F62" s="225"/>
      <c r="G62" s="225" t="s">
        <v>338</v>
      </c>
      <c r="H62" s="222" t="str">
        <f>VLOOKUP(A62,'2. Status Detalhe Campos FY24'!$A$7:$G$731,7,0)</f>
        <v>1. Concluído</v>
      </c>
      <c r="I62" s="262" t="s">
        <v>38</v>
      </c>
      <c r="J62" s="271">
        <v>45614</v>
      </c>
      <c r="K62" s="271">
        <v>45596</v>
      </c>
      <c r="L62" s="276">
        <f t="array" ref="L62">MIN(IF(W62:CI62&gt;0,$W$16:$CI$16))</f>
        <v>45615</v>
      </c>
      <c r="M62" s="277">
        <f t="array" ref="M62">MAX(IF(W62:CI62&gt;0,$W$16:$CI$16))</f>
        <v>45615</v>
      </c>
      <c r="N62" s="277"/>
      <c r="O62" s="235">
        <f>VLOOKUP(H62,Auxiliar!$B$16:$E$24,4,0)</f>
        <v>1</v>
      </c>
      <c r="P62" s="235">
        <f t="shared" ref="P62:P75" ca="1" si="23">IF(TODAY()&lt;=L62,0,MIN((TODAY()-L62)/(M62-L62+1),100%))</f>
        <v>1</v>
      </c>
      <c r="Q62" s="234">
        <f t="shared" ca="1" si="21"/>
        <v>0</v>
      </c>
      <c r="R62" s="247"/>
      <c r="S62" s="266"/>
      <c r="T62" s="256">
        <v>4.0999999999999996</v>
      </c>
      <c r="U62" s="256">
        <f t="shared" ref="U62:U75" si="24">ROUND(T62/8,1)</f>
        <v>0.5</v>
      </c>
      <c r="V62" s="256">
        <f t="shared" ref="V62:V75" si="25">SUM(W62:CI62)-U62</f>
        <v>0</v>
      </c>
      <c r="W62" s="267"/>
      <c r="X62" s="267"/>
      <c r="Y62" s="267"/>
      <c r="Z62" s="267"/>
      <c r="AA62" s="267"/>
      <c r="AB62" s="267"/>
      <c r="AC62" s="274"/>
      <c r="AD62" s="268"/>
      <c r="AE62" s="267"/>
      <c r="AF62" s="267"/>
      <c r="AG62" s="267"/>
      <c r="AH62" s="267"/>
      <c r="AI62" s="267"/>
      <c r="AJ62" s="267"/>
      <c r="AK62" s="267"/>
      <c r="AL62" s="267"/>
      <c r="AM62" s="267"/>
      <c r="AN62" s="267"/>
      <c r="AO62" s="269"/>
      <c r="AP62" s="267">
        <v>0.5</v>
      </c>
      <c r="AQ62" s="267"/>
      <c r="AR62" s="267"/>
      <c r="AS62" s="267"/>
      <c r="AT62" s="267"/>
      <c r="AU62" s="267"/>
      <c r="AV62" s="267"/>
      <c r="AW62" s="267"/>
      <c r="AX62" s="267"/>
      <c r="AY62" s="267"/>
      <c r="AZ62" s="267"/>
      <c r="BA62" s="267"/>
      <c r="BB62" s="267"/>
      <c r="BC62" s="267"/>
      <c r="BD62" s="267"/>
      <c r="BE62" s="267"/>
      <c r="BF62" s="267"/>
      <c r="BG62" s="267"/>
      <c r="BH62" s="267"/>
      <c r="BI62" s="267"/>
      <c r="BJ62" s="267"/>
      <c r="BK62" s="267"/>
      <c r="BL62" s="267"/>
      <c r="BM62" s="267"/>
      <c r="BN62" s="267"/>
      <c r="BO62" s="268"/>
      <c r="BP62" s="268"/>
      <c r="BQ62" s="268"/>
      <c r="BR62" s="268"/>
      <c r="BS62" s="268"/>
      <c r="BT62" s="268"/>
      <c r="BU62" s="268"/>
      <c r="BV62" s="267"/>
      <c r="BW62" s="267"/>
      <c r="BX62" s="267"/>
      <c r="BY62" s="267"/>
      <c r="BZ62" s="267"/>
      <c r="CA62" s="267"/>
      <c r="CB62" s="267"/>
      <c r="CC62" s="267"/>
      <c r="CD62" s="267"/>
      <c r="CE62" s="267"/>
      <c r="CF62" s="267"/>
      <c r="CG62" s="267"/>
      <c r="CH62" s="267"/>
      <c r="CI62" s="267"/>
    </row>
    <row r="63" spans="1:87" ht="16.5" outlineLevel="1">
      <c r="A63" s="260" t="str">
        <f t="shared" si="22"/>
        <v>lt003_entitytxnmy_elgbl_trnvr_ccm</v>
      </c>
      <c r="B63" s="141" t="s">
        <v>26</v>
      </c>
      <c r="C63" s="137" t="s">
        <v>26</v>
      </c>
      <c r="D63" s="222" t="s">
        <v>40</v>
      </c>
      <c r="E63" s="225" t="s">
        <v>335</v>
      </c>
      <c r="F63" s="225"/>
      <c r="G63" s="225" t="s">
        <v>339</v>
      </c>
      <c r="H63" s="222" t="str">
        <f>VLOOKUP(A63,'2. Status Detalhe Campos FY24'!$A$7:$G$731,7,0)</f>
        <v>1. Concluído</v>
      </c>
      <c r="I63" s="262" t="s">
        <v>38</v>
      </c>
      <c r="J63" s="271">
        <v>45614</v>
      </c>
      <c r="K63" s="271">
        <v>45596</v>
      </c>
      <c r="L63" s="276">
        <f t="array" ref="L63">MIN(IF(W63:CI63&gt;0,$W$16:$CI$16))</f>
        <v>45615</v>
      </c>
      <c r="M63" s="277">
        <f t="array" ref="M63">MAX(IF(W63:CI63&gt;0,$W$16:$CI$16))</f>
        <v>45615</v>
      </c>
      <c r="N63" s="277"/>
      <c r="O63" s="235">
        <f>VLOOKUP(H63,Auxiliar!$B$16:$E$24,4,0)</f>
        <v>1</v>
      </c>
      <c r="P63" s="235">
        <f t="shared" ca="1" si="23"/>
        <v>1</v>
      </c>
      <c r="Q63" s="234">
        <f t="shared" ca="1" si="21"/>
        <v>0</v>
      </c>
      <c r="R63" s="247"/>
      <c r="S63" s="266"/>
      <c r="T63" s="256">
        <v>4.0999999999999996</v>
      </c>
      <c r="U63" s="256">
        <f t="shared" si="24"/>
        <v>0.5</v>
      </c>
      <c r="V63" s="256">
        <f t="shared" si="25"/>
        <v>0</v>
      </c>
      <c r="W63" s="267"/>
      <c r="X63" s="267"/>
      <c r="Y63" s="267"/>
      <c r="Z63" s="267"/>
      <c r="AA63" s="267"/>
      <c r="AB63" s="267"/>
      <c r="AC63" s="274"/>
      <c r="AD63" s="268"/>
      <c r="AE63" s="267"/>
      <c r="AF63" s="267"/>
      <c r="AG63" s="267"/>
      <c r="AH63" s="267"/>
      <c r="AI63" s="267"/>
      <c r="AJ63" s="267"/>
      <c r="AK63" s="267"/>
      <c r="AL63" s="267"/>
      <c r="AM63" s="267"/>
      <c r="AN63" s="267"/>
      <c r="AO63" s="269"/>
      <c r="AP63" s="267">
        <v>0.5</v>
      </c>
      <c r="AQ63" s="267"/>
      <c r="AR63" s="267"/>
      <c r="AS63" s="267"/>
      <c r="AT63" s="267"/>
      <c r="AU63" s="267"/>
      <c r="AV63" s="267"/>
      <c r="AW63" s="267"/>
      <c r="AX63" s="267"/>
      <c r="AY63" s="267"/>
      <c r="AZ63" s="267"/>
      <c r="BA63" s="267"/>
      <c r="BB63" s="267"/>
      <c r="BC63" s="267"/>
      <c r="BD63" s="267"/>
      <c r="BE63" s="267"/>
      <c r="BF63" s="267"/>
      <c r="BG63" s="267"/>
      <c r="BH63" s="267"/>
      <c r="BI63" s="267"/>
      <c r="BJ63" s="267"/>
      <c r="BK63" s="267"/>
      <c r="BL63" s="267"/>
      <c r="BM63" s="267"/>
      <c r="BN63" s="267"/>
      <c r="BO63" s="268"/>
      <c r="BP63" s="268"/>
      <c r="BQ63" s="268"/>
      <c r="BR63" s="268"/>
      <c r="BS63" s="268"/>
      <c r="BT63" s="268"/>
      <c r="BU63" s="268"/>
      <c r="BV63" s="267"/>
      <c r="BW63" s="267"/>
      <c r="BX63" s="267"/>
      <c r="BY63" s="267"/>
      <c r="BZ63" s="267"/>
      <c r="CA63" s="267"/>
      <c r="CB63" s="267"/>
      <c r="CC63" s="267"/>
      <c r="CD63" s="267"/>
      <c r="CE63" s="267"/>
      <c r="CF63" s="267"/>
      <c r="CG63" s="267"/>
      <c r="CH63" s="267"/>
      <c r="CI63" s="267"/>
    </row>
    <row r="64" spans="1:87" ht="16.5" outlineLevel="1">
      <c r="A64" s="260" t="str">
        <f t="shared" si="22"/>
        <v>lt003_entitytxnmy_elgbl_capex_cca</v>
      </c>
      <c r="B64" s="141" t="s">
        <v>26</v>
      </c>
      <c r="C64" s="137" t="s">
        <v>26</v>
      </c>
      <c r="D64" s="222" t="s">
        <v>40</v>
      </c>
      <c r="E64" s="225" t="s">
        <v>335</v>
      </c>
      <c r="F64" s="225"/>
      <c r="G64" s="225" t="s">
        <v>340</v>
      </c>
      <c r="H64" s="222" t="str">
        <f>VLOOKUP(A64,'2. Status Detalhe Campos FY24'!$A$7:$G$731,7,0)</f>
        <v>1. Concluído</v>
      </c>
      <c r="I64" s="262" t="s">
        <v>38</v>
      </c>
      <c r="J64" s="271">
        <v>45614</v>
      </c>
      <c r="K64" s="271">
        <v>45596</v>
      </c>
      <c r="L64" s="276">
        <f t="array" ref="L64">MIN(IF(W64:CI64&gt;0,$W$16:$CI$16))</f>
        <v>45616</v>
      </c>
      <c r="M64" s="277">
        <f t="array" ref="M64">MAX(IF(W64:CI64&gt;0,$W$16:$CI$16))</f>
        <v>45616</v>
      </c>
      <c r="N64" s="277"/>
      <c r="O64" s="235">
        <f>VLOOKUP(H64,Auxiliar!$B$16:$E$24,4,0)</f>
        <v>1</v>
      </c>
      <c r="P64" s="235">
        <f t="shared" ca="1" si="23"/>
        <v>1</v>
      </c>
      <c r="Q64" s="234">
        <f t="shared" ca="1" si="21"/>
        <v>0</v>
      </c>
      <c r="R64" s="247"/>
      <c r="S64" s="266"/>
      <c r="T64" s="256">
        <v>4.0999999999999996</v>
      </c>
      <c r="U64" s="256">
        <f t="shared" si="24"/>
        <v>0.5</v>
      </c>
      <c r="V64" s="256">
        <f t="shared" si="25"/>
        <v>0</v>
      </c>
      <c r="W64" s="267"/>
      <c r="X64" s="267"/>
      <c r="Y64" s="267"/>
      <c r="Z64" s="267"/>
      <c r="AA64" s="267"/>
      <c r="AB64" s="267"/>
      <c r="AC64" s="274"/>
      <c r="AD64" s="268"/>
      <c r="AE64" s="267"/>
      <c r="AF64" s="267"/>
      <c r="AG64" s="267"/>
      <c r="AH64" s="267"/>
      <c r="AI64" s="267"/>
      <c r="AJ64" s="267"/>
      <c r="AK64" s="267"/>
      <c r="AL64" s="267"/>
      <c r="AM64" s="267"/>
      <c r="AN64" s="267"/>
      <c r="AO64" s="269"/>
      <c r="AP64" s="267"/>
      <c r="AQ64" s="267">
        <v>0.5</v>
      </c>
      <c r="AR64" s="267"/>
      <c r="AS64" s="267"/>
      <c r="AT64" s="267"/>
      <c r="AU64" s="267"/>
      <c r="AV64" s="267"/>
      <c r="AW64" s="267"/>
      <c r="AX64" s="267"/>
      <c r="AY64" s="267"/>
      <c r="AZ64" s="267"/>
      <c r="BA64" s="267"/>
      <c r="BB64" s="267"/>
      <c r="BC64" s="267"/>
      <c r="BD64" s="267"/>
      <c r="BE64" s="267"/>
      <c r="BF64" s="267"/>
      <c r="BG64" s="267"/>
      <c r="BH64" s="267"/>
      <c r="BI64" s="267"/>
      <c r="BJ64" s="267"/>
      <c r="BK64" s="267"/>
      <c r="BL64" s="267"/>
      <c r="BM64" s="267"/>
      <c r="BN64" s="267"/>
      <c r="BO64" s="268"/>
      <c r="BP64" s="268"/>
      <c r="BQ64" s="268"/>
      <c r="BR64" s="268"/>
      <c r="BS64" s="268"/>
      <c r="BT64" s="268"/>
      <c r="BU64" s="268"/>
      <c r="BV64" s="267"/>
      <c r="BW64" s="267"/>
      <c r="BX64" s="267"/>
      <c r="BY64" s="267"/>
      <c r="BZ64" s="267"/>
      <c r="CA64" s="267"/>
      <c r="CB64" s="267"/>
      <c r="CC64" s="267"/>
      <c r="CD64" s="267"/>
      <c r="CE64" s="267"/>
      <c r="CF64" s="267"/>
      <c r="CG64" s="267"/>
      <c r="CH64" s="267"/>
      <c r="CI64" s="267"/>
    </row>
    <row r="65" spans="1:87" ht="16.5" outlineLevel="1">
      <c r="A65" s="260" t="str">
        <f t="shared" si="22"/>
        <v>lt003_entitytxnmy_elgbl_trnvr_cca</v>
      </c>
      <c r="B65" s="141" t="s">
        <v>26</v>
      </c>
      <c r="C65" s="137" t="s">
        <v>26</v>
      </c>
      <c r="D65" s="222" t="s">
        <v>40</v>
      </c>
      <c r="E65" s="225" t="s">
        <v>335</v>
      </c>
      <c r="F65" s="225"/>
      <c r="G65" s="225" t="s">
        <v>341</v>
      </c>
      <c r="H65" s="222" t="str">
        <f>VLOOKUP(A65,'2. Status Detalhe Campos FY24'!$A$7:$G$731,7,0)</f>
        <v>1. Concluído</v>
      </c>
      <c r="I65" s="262" t="s">
        <v>38</v>
      </c>
      <c r="J65" s="271">
        <v>45614</v>
      </c>
      <c r="K65" s="271">
        <v>45596</v>
      </c>
      <c r="L65" s="276">
        <f t="array" ref="L65">MIN(IF(W65:CI65&gt;0,$W$16:$CI$16))</f>
        <v>45616</v>
      </c>
      <c r="M65" s="277">
        <f t="array" ref="M65">MAX(IF(W65:CI65&gt;0,$W$16:$CI$16))</f>
        <v>45616</v>
      </c>
      <c r="N65" s="277"/>
      <c r="O65" s="235">
        <f>VLOOKUP(H65,Auxiliar!$B$16:$E$24,4,0)</f>
        <v>1</v>
      </c>
      <c r="P65" s="235">
        <f t="shared" ca="1" si="23"/>
        <v>1</v>
      </c>
      <c r="Q65" s="234">
        <f t="shared" ca="1" si="21"/>
        <v>0</v>
      </c>
      <c r="R65" s="247"/>
      <c r="S65" s="266"/>
      <c r="T65" s="256">
        <v>4.0999999999999996</v>
      </c>
      <c r="U65" s="256">
        <f t="shared" si="24"/>
        <v>0.5</v>
      </c>
      <c r="V65" s="256">
        <f t="shared" si="25"/>
        <v>0</v>
      </c>
      <c r="W65" s="267"/>
      <c r="X65" s="267"/>
      <c r="Y65" s="267"/>
      <c r="Z65" s="267"/>
      <c r="AA65" s="267"/>
      <c r="AB65" s="267"/>
      <c r="AC65" s="274"/>
      <c r="AD65" s="268"/>
      <c r="AE65" s="267"/>
      <c r="AF65" s="267"/>
      <c r="AG65" s="267"/>
      <c r="AH65" s="267"/>
      <c r="AI65" s="267"/>
      <c r="AJ65" s="267"/>
      <c r="AK65" s="267"/>
      <c r="AL65" s="267"/>
      <c r="AM65" s="267"/>
      <c r="AN65" s="267"/>
      <c r="AO65" s="269"/>
      <c r="AP65" s="267"/>
      <c r="AQ65" s="267">
        <v>0.5</v>
      </c>
      <c r="AR65" s="267"/>
      <c r="AS65" s="267"/>
      <c r="AT65" s="267"/>
      <c r="AU65" s="267"/>
      <c r="AV65" s="267"/>
      <c r="AW65" s="267"/>
      <c r="AX65" s="267"/>
      <c r="AY65" s="267"/>
      <c r="AZ65" s="267"/>
      <c r="BA65" s="267"/>
      <c r="BB65" s="267"/>
      <c r="BC65" s="267"/>
      <c r="BD65" s="267"/>
      <c r="BE65" s="267"/>
      <c r="BF65" s="267"/>
      <c r="BG65" s="267"/>
      <c r="BH65" s="267"/>
      <c r="BI65" s="267"/>
      <c r="BJ65" s="267"/>
      <c r="BK65" s="267"/>
      <c r="BL65" s="267"/>
      <c r="BM65" s="267"/>
      <c r="BN65" s="267"/>
      <c r="BO65" s="268"/>
      <c r="BP65" s="268"/>
      <c r="BQ65" s="268"/>
      <c r="BR65" s="268"/>
      <c r="BS65" s="268"/>
      <c r="BT65" s="268"/>
      <c r="BU65" s="268"/>
      <c r="BV65" s="267"/>
      <c r="BW65" s="267"/>
      <c r="BX65" s="267"/>
      <c r="BY65" s="267"/>
      <c r="BZ65" s="267"/>
      <c r="CA65" s="267"/>
      <c r="CB65" s="267"/>
      <c r="CC65" s="267"/>
      <c r="CD65" s="267"/>
      <c r="CE65" s="267"/>
      <c r="CF65" s="267"/>
      <c r="CG65" s="267"/>
      <c r="CH65" s="267"/>
      <c r="CI65" s="267"/>
    </row>
    <row r="66" spans="1:87" ht="16.5" outlineLevel="1">
      <c r="A66" s="260" t="str">
        <f t="shared" si="22"/>
        <v>lt003_entityenblng_capex_ccm</v>
      </c>
      <c r="B66" s="141" t="s">
        <v>26</v>
      </c>
      <c r="C66" s="137" t="s">
        <v>26</v>
      </c>
      <c r="D66" s="222" t="s">
        <v>40</v>
      </c>
      <c r="E66" s="225" t="s">
        <v>335</v>
      </c>
      <c r="F66" s="225"/>
      <c r="G66" s="225" t="s">
        <v>342</v>
      </c>
      <c r="H66" s="222" t="str">
        <f>VLOOKUP(A66,'2. Status Detalhe Campos FY24'!$A$7:$G$731,7,0)</f>
        <v>1. Concluído</v>
      </c>
      <c r="I66" s="262" t="s">
        <v>38</v>
      </c>
      <c r="J66" s="271">
        <v>45614</v>
      </c>
      <c r="K66" s="271">
        <v>45596</v>
      </c>
      <c r="L66" s="276">
        <f t="array" ref="L66">MIN(IF(W66:CI66&gt;0,$W$16:$CI$16))</f>
        <v>45617</v>
      </c>
      <c r="M66" s="277">
        <f t="array" ref="M66">MAX(IF(W66:CI66&gt;0,$W$16:$CI$16))</f>
        <v>45617</v>
      </c>
      <c r="N66" s="277"/>
      <c r="O66" s="235">
        <f>VLOOKUP(H66,Auxiliar!$B$16:$E$24,4,0)</f>
        <v>1</v>
      </c>
      <c r="P66" s="235">
        <f t="shared" ca="1" si="23"/>
        <v>1</v>
      </c>
      <c r="Q66" s="234">
        <f t="shared" ca="1" si="21"/>
        <v>0</v>
      </c>
      <c r="R66" s="247"/>
      <c r="S66" s="266"/>
      <c r="T66" s="256">
        <v>4.0999999999999996</v>
      </c>
      <c r="U66" s="256">
        <f t="shared" si="24"/>
        <v>0.5</v>
      </c>
      <c r="V66" s="256">
        <f t="shared" si="25"/>
        <v>0</v>
      </c>
      <c r="W66" s="267"/>
      <c r="X66" s="267"/>
      <c r="Y66" s="267"/>
      <c r="Z66" s="267"/>
      <c r="AA66" s="267"/>
      <c r="AB66" s="267"/>
      <c r="AC66" s="274"/>
      <c r="AD66" s="268"/>
      <c r="AE66" s="267"/>
      <c r="AF66" s="267"/>
      <c r="AG66" s="267"/>
      <c r="AH66" s="267"/>
      <c r="AI66" s="267"/>
      <c r="AJ66" s="267"/>
      <c r="AK66" s="267"/>
      <c r="AL66" s="267"/>
      <c r="AM66" s="267"/>
      <c r="AN66" s="267"/>
      <c r="AO66" s="269"/>
      <c r="AP66" s="267"/>
      <c r="AQ66" s="267"/>
      <c r="AR66" s="267">
        <v>0.5</v>
      </c>
      <c r="AS66" s="267"/>
      <c r="AT66" s="267"/>
      <c r="AU66" s="267"/>
      <c r="AV66" s="267"/>
      <c r="AW66" s="267"/>
      <c r="AX66" s="267"/>
      <c r="AY66" s="267"/>
      <c r="AZ66" s="267"/>
      <c r="BA66" s="267"/>
      <c r="BB66" s="267"/>
      <c r="BC66" s="267"/>
      <c r="BD66" s="267"/>
      <c r="BE66" s="267"/>
      <c r="BF66" s="267"/>
      <c r="BG66" s="267"/>
      <c r="BH66" s="267"/>
      <c r="BI66" s="267"/>
      <c r="BJ66" s="267"/>
      <c r="BK66" s="267"/>
      <c r="BL66" s="267"/>
      <c r="BM66" s="267"/>
      <c r="BN66" s="267"/>
      <c r="BO66" s="268"/>
      <c r="BP66" s="268"/>
      <c r="BQ66" s="268"/>
      <c r="BR66" s="268"/>
      <c r="BS66" s="268"/>
      <c r="BT66" s="268"/>
      <c r="BU66" s="268"/>
      <c r="BV66" s="267"/>
      <c r="BW66" s="267"/>
      <c r="BX66" s="267"/>
      <c r="BY66" s="267"/>
      <c r="BZ66" s="267"/>
      <c r="CA66" s="267"/>
      <c r="CB66" s="267"/>
      <c r="CC66" s="267"/>
      <c r="CD66" s="267"/>
      <c r="CE66" s="267"/>
      <c r="CF66" s="267"/>
      <c r="CG66" s="267"/>
      <c r="CH66" s="267"/>
      <c r="CI66" s="267"/>
    </row>
    <row r="67" spans="1:87" ht="16.5" outlineLevel="1">
      <c r="A67" s="260" t="str">
        <f t="shared" si="22"/>
        <v>lt003_entityenblng_capex_cca</v>
      </c>
      <c r="B67" s="141" t="s">
        <v>26</v>
      </c>
      <c r="C67" s="137" t="s">
        <v>26</v>
      </c>
      <c r="D67" s="222" t="s">
        <v>40</v>
      </c>
      <c r="E67" s="225" t="s">
        <v>335</v>
      </c>
      <c r="F67" s="225"/>
      <c r="G67" s="225" t="s">
        <v>343</v>
      </c>
      <c r="H67" s="222" t="str">
        <f>VLOOKUP(A67,'2. Status Detalhe Campos FY24'!$A$7:$G$731,7,0)</f>
        <v>1. Concluído</v>
      </c>
      <c r="I67" s="262" t="s">
        <v>38</v>
      </c>
      <c r="J67" s="271">
        <v>45614</v>
      </c>
      <c r="K67" s="271">
        <v>45596</v>
      </c>
      <c r="L67" s="276">
        <f t="array" ref="L67">MIN(IF(W67:CI67&gt;0,$W$16:$CI$16))</f>
        <v>45617</v>
      </c>
      <c r="M67" s="277">
        <f t="array" ref="M67">MAX(IF(W67:CI67&gt;0,$W$16:$CI$16))</f>
        <v>45617</v>
      </c>
      <c r="N67" s="277"/>
      <c r="O67" s="235">
        <f>VLOOKUP(H67,Auxiliar!$B$16:$E$24,4,0)</f>
        <v>1</v>
      </c>
      <c r="P67" s="235">
        <f t="shared" ca="1" si="23"/>
        <v>1</v>
      </c>
      <c r="Q67" s="234">
        <f t="shared" ca="1" si="21"/>
        <v>0</v>
      </c>
      <c r="R67" s="247"/>
      <c r="S67" s="266"/>
      <c r="T67" s="256">
        <v>4.0999999999999996</v>
      </c>
      <c r="U67" s="256">
        <f t="shared" si="24"/>
        <v>0.5</v>
      </c>
      <c r="V67" s="256">
        <f t="shared" si="25"/>
        <v>0</v>
      </c>
      <c r="W67" s="267"/>
      <c r="X67" s="267"/>
      <c r="Y67" s="267"/>
      <c r="Z67" s="267"/>
      <c r="AA67" s="267"/>
      <c r="AB67" s="267"/>
      <c r="AC67" s="274"/>
      <c r="AD67" s="268"/>
      <c r="AE67" s="267"/>
      <c r="AF67" s="267"/>
      <c r="AG67" s="267"/>
      <c r="AH67" s="267"/>
      <c r="AI67" s="267"/>
      <c r="AJ67" s="267"/>
      <c r="AK67" s="267"/>
      <c r="AL67" s="267"/>
      <c r="AM67" s="267"/>
      <c r="AN67" s="267"/>
      <c r="AO67" s="269"/>
      <c r="AP67" s="267"/>
      <c r="AQ67" s="267"/>
      <c r="AR67" s="267">
        <v>0.5</v>
      </c>
      <c r="AS67" s="267"/>
      <c r="AT67" s="267"/>
      <c r="AU67" s="267"/>
      <c r="AV67" s="267"/>
      <c r="AW67" s="267"/>
      <c r="AX67" s="267"/>
      <c r="AY67" s="267"/>
      <c r="AZ67" s="267"/>
      <c r="BA67" s="267"/>
      <c r="BB67" s="267"/>
      <c r="BC67" s="267"/>
      <c r="BD67" s="267"/>
      <c r="BE67" s="267"/>
      <c r="BF67" s="267"/>
      <c r="BG67" s="267"/>
      <c r="BH67" s="267"/>
      <c r="BI67" s="267"/>
      <c r="BJ67" s="267"/>
      <c r="BK67" s="267"/>
      <c r="BL67" s="267"/>
      <c r="BM67" s="267"/>
      <c r="BN67" s="267"/>
      <c r="BO67" s="268"/>
      <c r="BP67" s="268"/>
      <c r="BQ67" s="268"/>
      <c r="BR67" s="268"/>
      <c r="BS67" s="268"/>
      <c r="BT67" s="268"/>
      <c r="BU67" s="268"/>
      <c r="BV67" s="267"/>
      <c r="BW67" s="267"/>
      <c r="BX67" s="267"/>
      <c r="BY67" s="267"/>
      <c r="BZ67" s="267"/>
      <c r="CA67" s="267"/>
      <c r="CB67" s="267"/>
      <c r="CC67" s="267"/>
      <c r="CD67" s="267"/>
      <c r="CE67" s="267"/>
      <c r="CF67" s="267"/>
      <c r="CG67" s="267"/>
      <c r="CH67" s="267"/>
      <c r="CI67" s="267"/>
    </row>
    <row r="68" spans="1:87" ht="16.5" outlineLevel="1">
      <c r="A68" s="260" t="str">
        <f t="shared" si="22"/>
        <v>lt003_entitytrnstnl_capex</v>
      </c>
      <c r="B68" s="141" t="s">
        <v>26</v>
      </c>
      <c r="C68" s="137" t="s">
        <v>26</v>
      </c>
      <c r="D68" s="222" t="s">
        <v>40</v>
      </c>
      <c r="E68" s="225" t="s">
        <v>335</v>
      </c>
      <c r="F68" s="225"/>
      <c r="G68" s="225" t="s">
        <v>344</v>
      </c>
      <c r="H68" s="222" t="str">
        <f>VLOOKUP(A68,'2. Status Detalhe Campos FY24'!$A$7:$G$731,7,0)</f>
        <v>1. Concluído</v>
      </c>
      <c r="I68" s="262" t="s">
        <v>38</v>
      </c>
      <c r="J68" s="271">
        <v>45614</v>
      </c>
      <c r="K68" s="271">
        <v>45596</v>
      </c>
      <c r="L68" s="276">
        <f t="array" ref="L68">MIN(IF(W68:CI68&gt;0,$W$16:$CI$16))</f>
        <v>45618</v>
      </c>
      <c r="M68" s="277">
        <f t="array" ref="M68">MAX(IF(W68:CI68&gt;0,$W$16:$CI$16))</f>
        <v>45618</v>
      </c>
      <c r="N68" s="277"/>
      <c r="O68" s="235">
        <f>VLOOKUP(H68,Auxiliar!$B$16:$E$24,4,0)</f>
        <v>1</v>
      </c>
      <c r="P68" s="235">
        <f t="shared" ca="1" si="23"/>
        <v>1</v>
      </c>
      <c r="Q68" s="234">
        <f t="shared" ca="1" si="21"/>
        <v>0</v>
      </c>
      <c r="R68" s="247"/>
      <c r="S68" s="266"/>
      <c r="T68" s="256">
        <v>4.0999999999999996</v>
      </c>
      <c r="U68" s="256">
        <f t="shared" si="24"/>
        <v>0.5</v>
      </c>
      <c r="V68" s="256">
        <f t="shared" si="25"/>
        <v>0</v>
      </c>
      <c r="W68" s="267"/>
      <c r="X68" s="267"/>
      <c r="Y68" s="267"/>
      <c r="Z68" s="267"/>
      <c r="AA68" s="267"/>
      <c r="AB68" s="267"/>
      <c r="AC68" s="274"/>
      <c r="AD68" s="268"/>
      <c r="AE68" s="267"/>
      <c r="AF68" s="267"/>
      <c r="AG68" s="267"/>
      <c r="AH68" s="267"/>
      <c r="AI68" s="267"/>
      <c r="AJ68" s="267"/>
      <c r="AK68" s="267"/>
      <c r="AL68" s="267"/>
      <c r="AM68" s="267"/>
      <c r="AN68" s="267"/>
      <c r="AO68" s="269"/>
      <c r="AP68" s="267"/>
      <c r="AQ68" s="267"/>
      <c r="AR68" s="267"/>
      <c r="AS68" s="267">
        <v>0.5</v>
      </c>
      <c r="AT68" s="267"/>
      <c r="AU68" s="267"/>
      <c r="AV68" s="267"/>
      <c r="AW68" s="267"/>
      <c r="AX68" s="267"/>
      <c r="AY68" s="267"/>
      <c r="AZ68" s="267"/>
      <c r="BA68" s="267"/>
      <c r="BB68" s="267"/>
      <c r="BC68" s="267"/>
      <c r="BD68" s="267"/>
      <c r="BE68" s="267"/>
      <c r="BF68" s="267"/>
      <c r="BG68" s="267"/>
      <c r="BH68" s="267"/>
      <c r="BI68" s="267"/>
      <c r="BJ68" s="267"/>
      <c r="BK68" s="267"/>
      <c r="BL68" s="267"/>
      <c r="BM68" s="267"/>
      <c r="BN68" s="267"/>
      <c r="BO68" s="268"/>
      <c r="BP68" s="268"/>
      <c r="BQ68" s="268"/>
      <c r="BR68" s="268"/>
      <c r="BS68" s="268"/>
      <c r="BT68" s="268"/>
      <c r="BU68" s="268"/>
      <c r="BV68" s="267"/>
      <c r="BW68" s="267"/>
      <c r="BX68" s="267"/>
      <c r="BY68" s="267"/>
      <c r="BZ68" s="267"/>
      <c r="CA68" s="267"/>
      <c r="CB68" s="267"/>
      <c r="CC68" s="267"/>
      <c r="CD68" s="267"/>
      <c r="CE68" s="267"/>
      <c r="CF68" s="267"/>
      <c r="CG68" s="267"/>
      <c r="CH68" s="267"/>
      <c r="CI68" s="267"/>
    </row>
    <row r="69" spans="1:87" ht="16.5" outlineLevel="1">
      <c r="A69" s="260" t="str">
        <f t="shared" si="22"/>
        <v>lt003_entitypure_capex_ccm</v>
      </c>
      <c r="B69" s="141" t="s">
        <v>26</v>
      </c>
      <c r="C69" s="137" t="s">
        <v>26</v>
      </c>
      <c r="D69" s="222" t="s">
        <v>40</v>
      </c>
      <c r="E69" s="225" t="s">
        <v>335</v>
      </c>
      <c r="F69" s="225"/>
      <c r="G69" s="225" t="s">
        <v>345</v>
      </c>
      <c r="H69" s="222" t="str">
        <f>VLOOKUP(A69,'2. Status Detalhe Campos FY24'!$A$7:$G$731,7,0)</f>
        <v>1. Concluído</v>
      </c>
      <c r="I69" s="262" t="s">
        <v>38</v>
      </c>
      <c r="J69" s="271">
        <v>45614</v>
      </c>
      <c r="K69" s="271">
        <v>45596</v>
      </c>
      <c r="L69" s="276">
        <f t="array" ref="L69">MIN(IF(W69:CI69&gt;0,$W$16:$CI$16))</f>
        <v>45618</v>
      </c>
      <c r="M69" s="277">
        <f t="array" ref="M69">MAX(IF(W69:CI69&gt;0,$W$16:$CI$16))</f>
        <v>45618</v>
      </c>
      <c r="N69" s="277"/>
      <c r="O69" s="235">
        <f>VLOOKUP(H69,Auxiliar!$B$16:$E$24,4,0)</f>
        <v>1</v>
      </c>
      <c r="P69" s="235">
        <f t="shared" ca="1" si="23"/>
        <v>1</v>
      </c>
      <c r="Q69" s="234">
        <f t="shared" ca="1" si="21"/>
        <v>0</v>
      </c>
      <c r="R69" s="247"/>
      <c r="S69" s="266"/>
      <c r="T69" s="256">
        <v>4.0999999999999996</v>
      </c>
      <c r="U69" s="256">
        <f t="shared" si="24"/>
        <v>0.5</v>
      </c>
      <c r="V69" s="256">
        <f t="shared" si="25"/>
        <v>0</v>
      </c>
      <c r="W69" s="267"/>
      <c r="X69" s="267"/>
      <c r="Y69" s="267"/>
      <c r="Z69" s="267"/>
      <c r="AA69" s="267"/>
      <c r="AB69" s="267"/>
      <c r="AC69" s="274"/>
      <c r="AD69" s="268"/>
      <c r="AE69" s="267"/>
      <c r="AF69" s="267"/>
      <c r="AG69" s="267"/>
      <c r="AH69" s="267"/>
      <c r="AI69" s="267"/>
      <c r="AJ69" s="267"/>
      <c r="AK69" s="267"/>
      <c r="AL69" s="267"/>
      <c r="AM69" s="267"/>
      <c r="AN69" s="267"/>
      <c r="AO69" s="269"/>
      <c r="AP69" s="267"/>
      <c r="AQ69" s="267"/>
      <c r="AR69" s="267"/>
      <c r="AS69" s="267">
        <v>0.5</v>
      </c>
      <c r="AT69" s="267"/>
      <c r="AU69" s="267"/>
      <c r="AV69" s="267"/>
      <c r="AW69" s="267"/>
      <c r="AX69" s="267"/>
      <c r="AY69" s="267"/>
      <c r="AZ69" s="267"/>
      <c r="BA69" s="267"/>
      <c r="BB69" s="267"/>
      <c r="BC69" s="267"/>
      <c r="BD69" s="267"/>
      <c r="BE69" s="267"/>
      <c r="BF69" s="267"/>
      <c r="BG69" s="267"/>
      <c r="BH69" s="267"/>
      <c r="BI69" s="267"/>
      <c r="BJ69" s="267"/>
      <c r="BK69" s="267"/>
      <c r="BL69" s="267"/>
      <c r="BM69" s="267"/>
      <c r="BN69" s="267"/>
      <c r="BO69" s="268"/>
      <c r="BP69" s="268"/>
      <c r="BQ69" s="268"/>
      <c r="BR69" s="268"/>
      <c r="BS69" s="268"/>
      <c r="BT69" s="268"/>
      <c r="BU69" s="268"/>
      <c r="BV69" s="267"/>
      <c r="BW69" s="267"/>
      <c r="BX69" s="267"/>
      <c r="BY69" s="267"/>
      <c r="BZ69" s="267"/>
      <c r="CA69" s="267"/>
      <c r="CB69" s="267"/>
      <c r="CC69" s="267"/>
      <c r="CD69" s="267"/>
      <c r="CE69" s="267"/>
      <c r="CF69" s="267"/>
      <c r="CG69" s="267"/>
      <c r="CH69" s="267"/>
      <c r="CI69" s="267"/>
    </row>
    <row r="70" spans="1:87" ht="16.5" outlineLevel="1">
      <c r="A70" s="260" t="str">
        <f t="shared" si="22"/>
        <v>lt003_entityenblng_trnvr_ccm</v>
      </c>
      <c r="B70" s="141" t="s">
        <v>26</v>
      </c>
      <c r="C70" s="137" t="s">
        <v>26</v>
      </c>
      <c r="D70" s="222" t="s">
        <v>40</v>
      </c>
      <c r="E70" s="225" t="s">
        <v>335</v>
      </c>
      <c r="F70" s="225"/>
      <c r="G70" s="225" t="s">
        <v>347</v>
      </c>
      <c r="H70" s="222" t="str">
        <f>VLOOKUP(A70,'2. Status Detalhe Campos FY24'!$A$7:$G$731,7,0)</f>
        <v>1. Concluído</v>
      </c>
      <c r="I70" s="262" t="s">
        <v>38</v>
      </c>
      <c r="J70" s="271">
        <v>45614</v>
      </c>
      <c r="K70" s="271">
        <v>45596</v>
      </c>
      <c r="L70" s="276">
        <f t="array" ref="L70">MIN(IF(W70:CI70&gt;0,$W$16:$CI$16))</f>
        <v>45621</v>
      </c>
      <c r="M70" s="277">
        <f t="array" ref="M70">MAX(IF(W70:CI70&gt;0,$W$16:$CI$16))</f>
        <v>45621</v>
      </c>
      <c r="N70" s="277"/>
      <c r="O70" s="235">
        <f>VLOOKUP(H70,Auxiliar!$B$16:$E$24,4,0)</f>
        <v>1</v>
      </c>
      <c r="P70" s="235">
        <f t="shared" ca="1" si="23"/>
        <v>1</v>
      </c>
      <c r="Q70" s="234">
        <f t="shared" ca="1" si="21"/>
        <v>0</v>
      </c>
      <c r="R70" s="247"/>
      <c r="S70" s="266"/>
      <c r="T70" s="256">
        <v>4.0999999999999996</v>
      </c>
      <c r="U70" s="256">
        <f t="shared" si="24"/>
        <v>0.5</v>
      </c>
      <c r="V70" s="256">
        <f t="shared" si="25"/>
        <v>0</v>
      </c>
      <c r="W70" s="267"/>
      <c r="X70" s="267"/>
      <c r="Y70" s="267"/>
      <c r="Z70" s="267"/>
      <c r="AA70" s="267"/>
      <c r="AB70" s="267"/>
      <c r="AC70" s="274"/>
      <c r="AD70" s="268"/>
      <c r="AE70" s="267"/>
      <c r="AF70" s="267"/>
      <c r="AG70" s="267"/>
      <c r="AH70" s="267"/>
      <c r="AI70" s="267"/>
      <c r="AJ70" s="267"/>
      <c r="AK70" s="267"/>
      <c r="AL70" s="267"/>
      <c r="AM70" s="267"/>
      <c r="AN70" s="267"/>
      <c r="AO70" s="269"/>
      <c r="AP70" s="267"/>
      <c r="AQ70" s="267"/>
      <c r="AR70" s="267"/>
      <c r="AS70" s="267"/>
      <c r="AT70" s="267">
        <v>0.5</v>
      </c>
      <c r="AU70" s="267"/>
      <c r="AV70" s="267"/>
      <c r="AW70" s="267"/>
      <c r="AX70" s="267"/>
      <c r="AY70" s="267"/>
      <c r="AZ70" s="267"/>
      <c r="BA70" s="267"/>
      <c r="BB70" s="267"/>
      <c r="BC70" s="267"/>
      <c r="BD70" s="267"/>
      <c r="BE70" s="267"/>
      <c r="BF70" s="267"/>
      <c r="BG70" s="267"/>
      <c r="BH70" s="267"/>
      <c r="BI70" s="267"/>
      <c r="BJ70" s="267"/>
      <c r="BK70" s="267"/>
      <c r="BL70" s="267"/>
      <c r="BM70" s="267"/>
      <c r="BN70" s="267"/>
      <c r="BO70" s="268"/>
      <c r="BP70" s="268"/>
      <c r="BQ70" s="268"/>
      <c r="BR70" s="268"/>
      <c r="BS70" s="268"/>
      <c r="BT70" s="268"/>
      <c r="BU70" s="268"/>
      <c r="BV70" s="267"/>
      <c r="BW70" s="267"/>
      <c r="BX70" s="267"/>
      <c r="BY70" s="267"/>
      <c r="BZ70" s="267"/>
      <c r="CA70" s="267"/>
      <c r="CB70" s="267"/>
      <c r="CC70" s="267"/>
      <c r="CD70" s="267"/>
      <c r="CE70" s="267"/>
      <c r="CF70" s="267"/>
      <c r="CG70" s="267"/>
      <c r="CH70" s="267"/>
      <c r="CI70" s="267"/>
    </row>
    <row r="71" spans="1:87" ht="16.5" outlineLevel="1">
      <c r="A71" s="260" t="str">
        <f t="shared" si="22"/>
        <v>lt003_entityenblng_trnvr_cca</v>
      </c>
      <c r="B71" s="141" t="s">
        <v>26</v>
      </c>
      <c r="C71" s="137" t="s">
        <v>26</v>
      </c>
      <c r="D71" s="222" t="s">
        <v>40</v>
      </c>
      <c r="E71" s="225" t="s">
        <v>335</v>
      </c>
      <c r="F71" s="225"/>
      <c r="G71" s="225" t="s">
        <v>348</v>
      </c>
      <c r="H71" s="222" t="str">
        <f>VLOOKUP(A71,'2. Status Detalhe Campos FY24'!$A$7:$G$731,7,0)</f>
        <v>1. Concluído</v>
      </c>
      <c r="I71" s="262" t="s">
        <v>38</v>
      </c>
      <c r="J71" s="271">
        <v>45614</v>
      </c>
      <c r="K71" s="271">
        <v>45596</v>
      </c>
      <c r="L71" s="276">
        <f t="array" ref="L71">MIN(IF(W71:CI71&gt;0,$W$16:$CI$16))</f>
        <v>45621</v>
      </c>
      <c r="M71" s="277">
        <f t="array" ref="M71">MAX(IF(W71:CI71&gt;0,$W$16:$CI$16))</f>
        <v>45621</v>
      </c>
      <c r="N71" s="277"/>
      <c r="O71" s="235">
        <f>VLOOKUP(H71,Auxiliar!$B$16:$E$24,4,0)</f>
        <v>1</v>
      </c>
      <c r="P71" s="235">
        <f t="shared" ca="1" si="23"/>
        <v>1</v>
      </c>
      <c r="Q71" s="234">
        <f t="shared" ca="1" si="21"/>
        <v>0</v>
      </c>
      <c r="R71" s="247"/>
      <c r="S71" s="266"/>
      <c r="T71" s="256">
        <v>4.0999999999999996</v>
      </c>
      <c r="U71" s="256">
        <f t="shared" si="24"/>
        <v>0.5</v>
      </c>
      <c r="V71" s="256">
        <f t="shared" si="25"/>
        <v>0</v>
      </c>
      <c r="W71" s="267"/>
      <c r="X71" s="267"/>
      <c r="Y71" s="267"/>
      <c r="Z71" s="267"/>
      <c r="AA71" s="267"/>
      <c r="AB71" s="267"/>
      <c r="AC71" s="274"/>
      <c r="AD71" s="268"/>
      <c r="AE71" s="267"/>
      <c r="AF71" s="267"/>
      <c r="AG71" s="267"/>
      <c r="AH71" s="267"/>
      <c r="AI71" s="267"/>
      <c r="AJ71" s="267"/>
      <c r="AK71" s="267"/>
      <c r="AL71" s="267"/>
      <c r="AM71" s="267"/>
      <c r="AN71" s="267"/>
      <c r="AO71" s="269"/>
      <c r="AP71" s="267"/>
      <c r="AQ71" s="267"/>
      <c r="AR71" s="267"/>
      <c r="AS71" s="267"/>
      <c r="AT71" s="267">
        <v>0.5</v>
      </c>
      <c r="AU71" s="267"/>
      <c r="AV71" s="267"/>
      <c r="AW71" s="267"/>
      <c r="AX71" s="267"/>
      <c r="AY71" s="267"/>
      <c r="AZ71" s="267"/>
      <c r="BA71" s="267"/>
      <c r="BB71" s="267"/>
      <c r="BC71" s="267"/>
      <c r="BD71" s="267"/>
      <c r="BE71" s="267"/>
      <c r="BF71" s="267"/>
      <c r="BG71" s="267"/>
      <c r="BH71" s="267"/>
      <c r="BI71" s="267"/>
      <c r="BJ71" s="267"/>
      <c r="BK71" s="267"/>
      <c r="BL71" s="267"/>
      <c r="BM71" s="267"/>
      <c r="BN71" s="267"/>
      <c r="BO71" s="268"/>
      <c r="BP71" s="268"/>
      <c r="BQ71" s="268"/>
      <c r="BR71" s="268"/>
      <c r="BS71" s="268"/>
      <c r="BT71" s="268"/>
      <c r="BU71" s="268"/>
      <c r="BV71" s="267"/>
      <c r="BW71" s="267"/>
      <c r="BX71" s="267"/>
      <c r="BY71" s="267"/>
      <c r="BZ71" s="267"/>
      <c r="CA71" s="267"/>
      <c r="CB71" s="267"/>
      <c r="CC71" s="267"/>
      <c r="CD71" s="267"/>
      <c r="CE71" s="267"/>
      <c r="CF71" s="267"/>
      <c r="CG71" s="267"/>
      <c r="CH71" s="267"/>
      <c r="CI71" s="267"/>
    </row>
    <row r="72" spans="1:87" ht="16.5" outlineLevel="1">
      <c r="A72" s="260" t="str">
        <f t="shared" si="22"/>
        <v>lt003_entitytrnstnl_trnvr</v>
      </c>
      <c r="B72" s="141" t="s">
        <v>26</v>
      </c>
      <c r="C72" s="137" t="s">
        <v>26</v>
      </c>
      <c r="D72" s="222" t="s">
        <v>40</v>
      </c>
      <c r="E72" s="225" t="s">
        <v>335</v>
      </c>
      <c r="F72" s="225"/>
      <c r="G72" s="225" t="s">
        <v>349</v>
      </c>
      <c r="H72" s="222" t="str">
        <f>VLOOKUP(A72,'2. Status Detalhe Campos FY24'!$A$7:$G$731,7,0)</f>
        <v>1. Concluído</v>
      </c>
      <c r="I72" s="262" t="s">
        <v>38</v>
      </c>
      <c r="J72" s="271">
        <v>45614</v>
      </c>
      <c r="K72" s="271">
        <v>45596</v>
      </c>
      <c r="L72" s="276">
        <f t="array" ref="L72">MIN(IF(W72:CI72&gt;0,$W$16:$CI$16))</f>
        <v>45622</v>
      </c>
      <c r="M72" s="277">
        <f t="array" ref="M72">MAX(IF(W72:CI72&gt;0,$W$16:$CI$16))</f>
        <v>45622</v>
      </c>
      <c r="N72" s="277"/>
      <c r="O72" s="235">
        <f>VLOOKUP(H72,Auxiliar!$B$16:$E$24,4,0)</f>
        <v>1</v>
      </c>
      <c r="P72" s="235">
        <f t="shared" ca="1" si="23"/>
        <v>1</v>
      </c>
      <c r="Q72" s="234">
        <f t="shared" ca="1" si="21"/>
        <v>0</v>
      </c>
      <c r="R72" s="247"/>
      <c r="S72" s="266"/>
      <c r="T72" s="256">
        <v>4.0999999999999996</v>
      </c>
      <c r="U72" s="256">
        <f t="shared" si="24"/>
        <v>0.5</v>
      </c>
      <c r="V72" s="256">
        <f t="shared" si="25"/>
        <v>0</v>
      </c>
      <c r="W72" s="267"/>
      <c r="X72" s="267"/>
      <c r="Y72" s="267"/>
      <c r="Z72" s="267"/>
      <c r="AA72" s="267"/>
      <c r="AB72" s="267"/>
      <c r="AC72" s="274"/>
      <c r="AD72" s="268"/>
      <c r="AE72" s="267"/>
      <c r="AF72" s="267"/>
      <c r="AG72" s="267"/>
      <c r="AH72" s="267"/>
      <c r="AI72" s="267"/>
      <c r="AJ72" s="267"/>
      <c r="AK72" s="267"/>
      <c r="AL72" s="267"/>
      <c r="AM72" s="267"/>
      <c r="AN72" s="267"/>
      <c r="AO72" s="269"/>
      <c r="AP72" s="267"/>
      <c r="AQ72" s="267"/>
      <c r="AR72" s="267"/>
      <c r="AS72" s="267"/>
      <c r="AT72" s="267"/>
      <c r="AU72" s="267">
        <v>0.5</v>
      </c>
      <c r="AV72" s="267"/>
      <c r="AW72" s="267"/>
      <c r="AX72" s="267"/>
      <c r="AY72" s="267"/>
      <c r="AZ72" s="267"/>
      <c r="BA72" s="267"/>
      <c r="BB72" s="267"/>
      <c r="BC72" s="267"/>
      <c r="BD72" s="267"/>
      <c r="BE72" s="267"/>
      <c r="BF72" s="267"/>
      <c r="BG72" s="267"/>
      <c r="BH72" s="267"/>
      <c r="BI72" s="267"/>
      <c r="BJ72" s="267"/>
      <c r="BK72" s="267"/>
      <c r="BL72" s="267"/>
      <c r="BM72" s="267"/>
      <c r="BN72" s="267"/>
      <c r="BO72" s="268"/>
      <c r="BP72" s="268"/>
      <c r="BQ72" s="268"/>
      <c r="BR72" s="268"/>
      <c r="BS72" s="268"/>
      <c r="BT72" s="268"/>
      <c r="BU72" s="268"/>
      <c r="BV72" s="267"/>
      <c r="BW72" s="267"/>
      <c r="BX72" s="267"/>
      <c r="BY72" s="267"/>
      <c r="BZ72" s="267"/>
      <c r="CA72" s="267"/>
      <c r="CB72" s="267"/>
      <c r="CC72" s="267"/>
      <c r="CD72" s="267"/>
      <c r="CE72" s="267"/>
      <c r="CF72" s="267"/>
      <c r="CG72" s="267"/>
      <c r="CH72" s="267"/>
      <c r="CI72" s="267"/>
    </row>
    <row r="73" spans="1:87" ht="16.5" outlineLevel="1">
      <c r="A73" s="260" t="str">
        <f t="shared" si="22"/>
        <v>lt003_entitypure_trnvr_ccm</v>
      </c>
      <c r="B73" s="141" t="s">
        <v>26</v>
      </c>
      <c r="C73" s="137" t="s">
        <v>26</v>
      </c>
      <c r="D73" s="222" t="s">
        <v>40</v>
      </c>
      <c r="E73" s="225" t="s">
        <v>335</v>
      </c>
      <c r="F73" s="225"/>
      <c r="G73" s="225" t="s">
        <v>350</v>
      </c>
      <c r="H73" s="222" t="str">
        <f>VLOOKUP(A73,'2. Status Detalhe Campos FY24'!$A$7:$G$731,7,0)</f>
        <v>1. Concluído</v>
      </c>
      <c r="I73" s="262" t="s">
        <v>38</v>
      </c>
      <c r="J73" s="271">
        <v>45614</v>
      </c>
      <c r="K73" s="271">
        <v>45596</v>
      </c>
      <c r="L73" s="276">
        <f t="array" ref="L73">MIN(IF(W73:CI73&gt;0,$W$16:$CI$16))</f>
        <v>45622</v>
      </c>
      <c r="M73" s="277">
        <f t="array" ref="M73">MAX(IF(W73:CI73&gt;0,$W$16:$CI$16))</f>
        <v>45622</v>
      </c>
      <c r="N73" s="277"/>
      <c r="O73" s="235">
        <f>VLOOKUP(H73,Auxiliar!$B$16:$E$24,4,0)</f>
        <v>1</v>
      </c>
      <c r="P73" s="235">
        <f t="shared" ca="1" si="23"/>
        <v>1</v>
      </c>
      <c r="Q73" s="234">
        <f t="shared" ca="1" si="21"/>
        <v>0</v>
      </c>
      <c r="R73" s="247"/>
      <c r="S73" s="266"/>
      <c r="T73" s="256">
        <v>4.0999999999999996</v>
      </c>
      <c r="U73" s="256">
        <f t="shared" si="24"/>
        <v>0.5</v>
      </c>
      <c r="V73" s="256">
        <f t="shared" si="25"/>
        <v>0</v>
      </c>
      <c r="W73" s="267"/>
      <c r="X73" s="267"/>
      <c r="Y73" s="267"/>
      <c r="Z73" s="267"/>
      <c r="AA73" s="267"/>
      <c r="AB73" s="267"/>
      <c r="AC73" s="274"/>
      <c r="AD73" s="268"/>
      <c r="AE73" s="267"/>
      <c r="AF73" s="267"/>
      <c r="AG73" s="267"/>
      <c r="AH73" s="267"/>
      <c r="AI73" s="267"/>
      <c r="AJ73" s="267"/>
      <c r="AK73" s="267"/>
      <c r="AL73" s="267"/>
      <c r="AM73" s="267"/>
      <c r="AN73" s="267"/>
      <c r="AO73" s="269"/>
      <c r="AP73" s="267"/>
      <c r="AQ73" s="267"/>
      <c r="AR73" s="267"/>
      <c r="AS73" s="267"/>
      <c r="AT73" s="267"/>
      <c r="AU73" s="267">
        <v>0.5</v>
      </c>
      <c r="AV73" s="267"/>
      <c r="AW73" s="267"/>
      <c r="AX73" s="267"/>
      <c r="AY73" s="267"/>
      <c r="AZ73" s="267"/>
      <c r="BA73" s="267"/>
      <c r="BB73" s="267"/>
      <c r="BC73" s="267"/>
      <c r="BD73" s="267"/>
      <c r="BE73" s="267"/>
      <c r="BF73" s="267"/>
      <c r="BG73" s="267"/>
      <c r="BH73" s="267"/>
      <c r="BI73" s="267"/>
      <c r="BJ73" s="267"/>
      <c r="BK73" s="267"/>
      <c r="BL73" s="267"/>
      <c r="BM73" s="267"/>
      <c r="BN73" s="267"/>
      <c r="BO73" s="268"/>
      <c r="BP73" s="268"/>
      <c r="BQ73" s="268"/>
      <c r="BR73" s="268"/>
      <c r="BS73" s="268"/>
      <c r="BT73" s="268"/>
      <c r="BU73" s="268"/>
      <c r="BV73" s="267"/>
      <c r="BW73" s="267"/>
      <c r="BX73" s="267"/>
      <c r="BY73" s="267"/>
      <c r="BZ73" s="267"/>
      <c r="CA73" s="267"/>
      <c r="CB73" s="267"/>
      <c r="CC73" s="267"/>
      <c r="CD73" s="267"/>
      <c r="CE73" s="267"/>
      <c r="CF73" s="267"/>
      <c r="CG73" s="267"/>
      <c r="CH73" s="267"/>
      <c r="CI73" s="267"/>
    </row>
    <row r="74" spans="1:87" ht="16.5" outlineLevel="1">
      <c r="A74" s="260" t="str">
        <f t="shared" si="22"/>
        <v>lt003_entitypure_trnvr_cca</v>
      </c>
      <c r="B74" s="141" t="s">
        <v>26</v>
      </c>
      <c r="C74" s="137" t="s">
        <v>26</v>
      </c>
      <c r="D74" s="222" t="s">
        <v>40</v>
      </c>
      <c r="E74" s="225" t="s">
        <v>335</v>
      </c>
      <c r="F74" s="225"/>
      <c r="G74" s="225" t="s">
        <v>351</v>
      </c>
      <c r="H74" s="222" t="str">
        <f>VLOOKUP(A74,'2. Status Detalhe Campos FY24'!$A$7:$G$731,7,0)</f>
        <v>1. Concluído</v>
      </c>
      <c r="I74" s="262" t="s">
        <v>38</v>
      </c>
      <c r="J74" s="271">
        <v>45614</v>
      </c>
      <c r="K74" s="271">
        <v>45596</v>
      </c>
      <c r="L74" s="276">
        <f t="array" ref="L74">MIN(IF(W74:CI74&gt;0,$W$16:$CI$16))</f>
        <v>45624</v>
      </c>
      <c r="M74" s="277">
        <f t="array" ref="M74">MAX(IF(W74:CI74&gt;0,$W$16:$CI$16))</f>
        <v>45624</v>
      </c>
      <c r="N74" s="277"/>
      <c r="O74" s="235">
        <f>VLOOKUP(H74,Auxiliar!$B$16:$E$24,4,0)</f>
        <v>1</v>
      </c>
      <c r="P74" s="235">
        <f t="shared" ca="1" si="23"/>
        <v>1</v>
      </c>
      <c r="Q74" s="234">
        <f t="shared" ca="1" si="21"/>
        <v>0</v>
      </c>
      <c r="R74" s="247"/>
      <c r="S74" s="266"/>
      <c r="T74" s="256">
        <v>4.0999999999999996</v>
      </c>
      <c r="U74" s="256">
        <f t="shared" si="24"/>
        <v>0.5</v>
      </c>
      <c r="V74" s="256">
        <f t="shared" si="25"/>
        <v>0</v>
      </c>
      <c r="W74" s="267"/>
      <c r="X74" s="267"/>
      <c r="Y74" s="267"/>
      <c r="Z74" s="267"/>
      <c r="AA74" s="267"/>
      <c r="AB74" s="267"/>
      <c r="AC74" s="274"/>
      <c r="AD74" s="268"/>
      <c r="AE74" s="267"/>
      <c r="AF74" s="267"/>
      <c r="AG74" s="267"/>
      <c r="AH74" s="267"/>
      <c r="AI74" s="267"/>
      <c r="AJ74" s="267"/>
      <c r="AK74" s="267"/>
      <c r="AL74" s="267"/>
      <c r="AM74" s="267"/>
      <c r="AN74" s="267"/>
      <c r="AO74" s="269"/>
      <c r="AP74" s="267"/>
      <c r="AQ74" s="267"/>
      <c r="AR74" s="267"/>
      <c r="AS74" s="267"/>
      <c r="AT74" s="267"/>
      <c r="AU74" s="267"/>
      <c r="AV74" s="267"/>
      <c r="AW74" s="267">
        <v>0.5</v>
      </c>
      <c r="AX74" s="267"/>
      <c r="AY74" s="267"/>
      <c r="AZ74" s="267"/>
      <c r="BA74" s="267"/>
      <c r="BB74" s="267"/>
      <c r="BC74" s="267"/>
      <c r="BD74" s="267"/>
      <c r="BE74" s="267"/>
      <c r="BF74" s="267"/>
      <c r="BG74" s="267"/>
      <c r="BH74" s="267"/>
      <c r="BI74" s="267"/>
      <c r="BJ74" s="267"/>
      <c r="BK74" s="267"/>
      <c r="BL74" s="267"/>
      <c r="BM74" s="267"/>
      <c r="BN74" s="267"/>
      <c r="BO74" s="268"/>
      <c r="BP74" s="268"/>
      <c r="BQ74" s="268"/>
      <c r="BR74" s="268"/>
      <c r="BS74" s="268"/>
      <c r="BT74" s="268"/>
      <c r="BU74" s="268"/>
      <c r="BV74" s="267"/>
      <c r="BW74" s="267"/>
      <c r="BX74" s="267"/>
      <c r="BY74" s="267"/>
      <c r="BZ74" s="267"/>
      <c r="CA74" s="267"/>
      <c r="CB74" s="267"/>
      <c r="CC74" s="267"/>
      <c r="CD74" s="267"/>
      <c r="CE74" s="267"/>
      <c r="CF74" s="267"/>
      <c r="CG74" s="267"/>
      <c r="CH74" s="267"/>
      <c r="CI74" s="267"/>
    </row>
    <row r="75" spans="1:87" ht="16.5" outlineLevel="1">
      <c r="A75" s="260" t="str">
        <f t="shared" si="22"/>
        <v>lt003_entityflg_excldd_eu_prs_algnd_bnchmrk</v>
      </c>
      <c r="B75" s="141" t="s">
        <v>26</v>
      </c>
      <c r="C75" s="137" t="s">
        <v>26</v>
      </c>
      <c r="D75" s="222" t="s">
        <v>40</v>
      </c>
      <c r="E75" s="225" t="s">
        <v>335</v>
      </c>
      <c r="F75" s="225"/>
      <c r="G75" s="225" t="s">
        <v>356</v>
      </c>
      <c r="H75" s="222" t="str">
        <f>VLOOKUP(A75,'2. Status Detalhe Campos FY24'!$A$7:$G$731,7,0)</f>
        <v>1. Concluído</v>
      </c>
      <c r="I75" s="262" t="s">
        <v>38</v>
      </c>
      <c r="J75" s="271">
        <v>45614</v>
      </c>
      <c r="K75" s="271">
        <v>45596</v>
      </c>
      <c r="L75" s="276">
        <f t="array" ref="L75">MIN(IF(W75:CI75&gt;0,$W$16:$CI$16))</f>
        <v>45624</v>
      </c>
      <c r="M75" s="277">
        <f t="array" ref="M75">MAX(IF(W75:CI75&gt;0,$W$16:$CI$16))</f>
        <v>45624</v>
      </c>
      <c r="N75" s="277"/>
      <c r="O75" s="235">
        <f>VLOOKUP(H75,Auxiliar!$B$16:$E$24,4,0)</f>
        <v>1</v>
      </c>
      <c r="P75" s="235">
        <f t="shared" ca="1" si="23"/>
        <v>1</v>
      </c>
      <c r="Q75" s="234">
        <f t="shared" ca="1" si="21"/>
        <v>0</v>
      </c>
      <c r="R75" s="247"/>
      <c r="S75" s="266"/>
      <c r="T75" s="256">
        <v>4.0999999999999996</v>
      </c>
      <c r="U75" s="256">
        <f t="shared" si="24"/>
        <v>0.5</v>
      </c>
      <c r="V75" s="256">
        <f t="shared" si="25"/>
        <v>0</v>
      </c>
      <c r="W75" s="267"/>
      <c r="X75" s="267"/>
      <c r="Y75" s="267"/>
      <c r="Z75" s="267"/>
      <c r="AA75" s="267"/>
      <c r="AB75" s="267"/>
      <c r="AC75" s="274"/>
      <c r="AD75" s="268"/>
      <c r="AE75" s="267"/>
      <c r="AF75" s="267"/>
      <c r="AG75" s="267"/>
      <c r="AH75" s="267"/>
      <c r="AI75" s="267"/>
      <c r="AJ75" s="267"/>
      <c r="AK75" s="267"/>
      <c r="AL75" s="267"/>
      <c r="AM75" s="267"/>
      <c r="AN75" s="267"/>
      <c r="AO75" s="269"/>
      <c r="AP75" s="267"/>
      <c r="AQ75" s="267"/>
      <c r="AR75" s="267"/>
      <c r="AS75" s="267"/>
      <c r="AT75" s="267"/>
      <c r="AU75" s="267"/>
      <c r="AV75" s="267"/>
      <c r="AW75" s="267">
        <v>0.5</v>
      </c>
      <c r="AX75" s="267"/>
      <c r="AY75" s="267"/>
      <c r="AZ75" s="267"/>
      <c r="BA75" s="267"/>
      <c r="BB75" s="267"/>
      <c r="BC75" s="267"/>
      <c r="BD75" s="267"/>
      <c r="BE75" s="267"/>
      <c r="BF75" s="267"/>
      <c r="BG75" s="267"/>
      <c r="BH75" s="267"/>
      <c r="BI75" s="267"/>
      <c r="BJ75" s="267"/>
      <c r="BK75" s="267"/>
      <c r="BL75" s="267"/>
      <c r="BM75" s="267"/>
      <c r="BN75" s="267"/>
      <c r="BO75" s="268"/>
      <c r="BP75" s="268"/>
      <c r="BQ75" s="268"/>
      <c r="BR75" s="268"/>
      <c r="BS75" s="268"/>
      <c r="BT75" s="268"/>
      <c r="BU75" s="268"/>
      <c r="BV75" s="267"/>
      <c r="BW75" s="267"/>
      <c r="BX75" s="267"/>
      <c r="BY75" s="267"/>
      <c r="BZ75" s="267"/>
      <c r="CA75" s="267"/>
      <c r="CB75" s="267"/>
      <c r="CC75" s="267"/>
      <c r="CD75" s="267"/>
      <c r="CE75" s="267"/>
      <c r="CF75" s="267"/>
      <c r="CG75" s="267"/>
      <c r="CH75" s="267"/>
      <c r="CI75" s="267"/>
    </row>
    <row r="76" spans="1:87" ht="16.5" outlineLevel="1">
      <c r="A76" s="260" t="str">
        <f>E76&amp;G76</f>
        <v>lt003_entitypst_cd</v>
      </c>
      <c r="B76" s="141" t="s">
        <v>26</v>
      </c>
      <c r="C76" s="137" t="s">
        <v>26</v>
      </c>
      <c r="D76" s="222" t="s">
        <v>40</v>
      </c>
      <c r="E76" s="225" t="s">
        <v>335</v>
      </c>
      <c r="F76" s="225"/>
      <c r="G76" s="225" t="s">
        <v>359</v>
      </c>
      <c r="H76" s="222" t="str">
        <f>VLOOKUP(A76,'2. Status Detalhe Campos FY24'!$A$7:$G$731,7,0)</f>
        <v>1. Concluído</v>
      </c>
      <c r="I76" s="262" t="s">
        <v>38</v>
      </c>
      <c r="J76" s="271">
        <v>45596</v>
      </c>
      <c r="K76" s="271">
        <v>45596</v>
      </c>
      <c r="L76" s="276">
        <f t="array" ref="L76">MIN(IF(W76:CI76&gt;0,$W$16:$CI$16))</f>
        <v>45600</v>
      </c>
      <c r="M76" s="277">
        <f t="array" ref="M76">MAX(IF(W76:CI76&gt;0,$W$16:$CI$16))</f>
        <v>45600</v>
      </c>
      <c r="N76" s="277"/>
      <c r="O76" s="235">
        <f>VLOOKUP(H76,Auxiliar!$B$16:$E$24,4,0)</f>
        <v>1</v>
      </c>
      <c r="P76" s="235">
        <f ca="1">IF(TODAY()&lt;=L76,0,MIN((TODAY()-L76)/(M76-L76+1),100%))</f>
        <v>1</v>
      </c>
      <c r="Q76" s="234">
        <f ca="1">O76-P76</f>
        <v>0</v>
      </c>
      <c r="R76" s="247"/>
      <c r="S76" s="266" t="s">
        <v>1221</v>
      </c>
      <c r="T76" s="256">
        <v>4.0999999999999996</v>
      </c>
      <c r="U76" s="256">
        <f>ROUND(T76/8,1)</f>
        <v>0.5</v>
      </c>
      <c r="V76" s="256">
        <f>SUM(W76:CI76)-U76</f>
        <v>0</v>
      </c>
      <c r="W76" s="267"/>
      <c r="X76" s="267"/>
      <c r="Y76" s="267"/>
      <c r="Z76" s="267"/>
      <c r="AA76" s="267"/>
      <c r="AB76" s="267"/>
      <c r="AC76" s="274"/>
      <c r="AD76" s="268"/>
      <c r="AE76" s="267">
        <v>0.5</v>
      </c>
      <c r="AF76" s="267"/>
      <c r="AG76" s="267"/>
      <c r="AH76" s="267"/>
      <c r="AI76" s="267"/>
      <c r="AJ76" s="267"/>
      <c r="AK76" s="267"/>
      <c r="AL76" s="267"/>
      <c r="AM76" s="267"/>
      <c r="AN76" s="267"/>
      <c r="AO76" s="267"/>
      <c r="AP76" s="267"/>
      <c r="AQ76" s="267"/>
      <c r="AR76" s="267"/>
      <c r="AS76" s="267"/>
      <c r="AT76" s="267"/>
      <c r="AU76" s="267"/>
      <c r="AV76" s="267"/>
      <c r="AW76" s="267"/>
      <c r="AX76" s="267"/>
      <c r="AY76" s="267"/>
      <c r="AZ76" s="267"/>
      <c r="BA76" s="267"/>
      <c r="BB76" s="267"/>
      <c r="BC76" s="267"/>
      <c r="BD76" s="267"/>
      <c r="BE76" s="267"/>
      <c r="BF76" s="267"/>
      <c r="BG76" s="267"/>
      <c r="BH76" s="267"/>
      <c r="BI76" s="267"/>
      <c r="BJ76" s="267"/>
      <c r="BK76" s="267"/>
      <c r="BL76" s="267"/>
      <c r="BM76" s="267"/>
      <c r="BN76" s="267"/>
      <c r="BO76" s="268"/>
      <c r="BP76" s="268"/>
      <c r="BQ76" s="268"/>
      <c r="BR76" s="268"/>
      <c r="BS76" s="268"/>
      <c r="BT76" s="268"/>
      <c r="BU76" s="268"/>
      <c r="BV76" s="267"/>
      <c r="BW76" s="267"/>
      <c r="BX76" s="267"/>
      <c r="BY76" s="267"/>
      <c r="BZ76" s="267"/>
      <c r="CA76" s="267"/>
      <c r="CB76" s="267"/>
      <c r="CC76" s="267"/>
      <c r="CD76" s="267"/>
      <c r="CE76" s="267"/>
      <c r="CF76" s="267"/>
      <c r="CG76" s="267"/>
      <c r="CH76" s="267"/>
      <c r="CI76" s="267"/>
    </row>
    <row r="77" spans="1:87" ht="15" customHeight="1">
      <c r="A77" s="260"/>
      <c r="B77" s="141" t="s">
        <v>26</v>
      </c>
      <c r="C77" s="137" t="s">
        <v>26</v>
      </c>
      <c r="D77" s="133"/>
      <c r="E77" s="228" t="s">
        <v>379</v>
      </c>
      <c r="F77" s="226" t="s">
        <v>1904</v>
      </c>
      <c r="G77" s="227">
        <f>COUNTA(G78:G79)</f>
        <v>2</v>
      </c>
      <c r="H77" s="281" t="s">
        <v>1915</v>
      </c>
      <c r="I77" s="264">
        <f>MAX(I78:I79)</f>
        <v>45595</v>
      </c>
      <c r="J77" s="263">
        <f>MIN(J78:J79)</f>
        <v>45611</v>
      </c>
      <c r="K77" s="263">
        <f>MIN(K78:K79)</f>
        <v>45611</v>
      </c>
      <c r="L77" s="263">
        <f>MIN(L78:L79)</f>
        <v>45614</v>
      </c>
      <c r="M77" s="264">
        <f>MAX(M78:M79)</f>
        <v>45621</v>
      </c>
      <c r="N77" s="308">
        <f t="array" ref="N77">MAX(IF(W77:CI77&gt;0,$W$16:$CI$16))</f>
        <v>45625</v>
      </c>
      <c r="O77" s="307" t="e">
        <f>SUMPRODUCT(O78:O79,U78:U79)/SUM(U78:U79)</f>
        <v>#N/A</v>
      </c>
      <c r="P77" s="307">
        <f ca="1">SUMPRODUCT(P78:P79,U78:U79)/SUM(U78:U79)</f>
        <v>1</v>
      </c>
      <c r="Q77" s="242" t="e">
        <f ca="1">O77-P77</f>
        <v>#N/A</v>
      </c>
      <c r="R77" s="248" t="s">
        <v>1924</v>
      </c>
      <c r="S77" s="266"/>
      <c r="T77" s="256"/>
      <c r="U77" s="256"/>
      <c r="V77" s="256"/>
      <c r="W77" s="267"/>
      <c r="X77" s="267"/>
      <c r="Y77" s="267"/>
      <c r="Z77" s="267"/>
      <c r="AA77" s="267"/>
      <c r="AB77" s="267"/>
      <c r="AC77" s="267"/>
      <c r="AD77" s="268"/>
      <c r="AE77" s="267"/>
      <c r="AF77" s="267"/>
      <c r="AG77" s="267"/>
      <c r="AH77" s="267"/>
      <c r="AI77" s="267"/>
      <c r="AJ77" s="267"/>
      <c r="AK77" s="267"/>
      <c r="AL77" s="267"/>
      <c r="AM77" s="267"/>
      <c r="AN77" s="274"/>
      <c r="AO77" s="267"/>
      <c r="AP77" s="267"/>
      <c r="AQ77" s="267"/>
      <c r="AR77" s="267"/>
      <c r="AS77" s="267"/>
      <c r="AT77" s="267"/>
      <c r="AU77" s="267"/>
      <c r="AV77" s="267"/>
      <c r="AW77" s="267"/>
      <c r="AX77" s="270" t="s">
        <v>443</v>
      </c>
      <c r="AY77" s="267"/>
      <c r="AZ77" s="267"/>
      <c r="BA77" s="267"/>
      <c r="BB77" s="267"/>
      <c r="BC77" s="267"/>
      <c r="BD77" s="267"/>
      <c r="BE77" s="267"/>
      <c r="BF77" s="267"/>
      <c r="BG77" s="267"/>
      <c r="BH77" s="267"/>
      <c r="BI77" s="267"/>
      <c r="BJ77" s="267"/>
      <c r="BK77" s="267"/>
      <c r="BL77" s="267"/>
      <c r="BM77" s="267"/>
      <c r="BN77" s="267"/>
      <c r="BO77" s="268"/>
      <c r="BP77" s="268"/>
      <c r="BQ77" s="268"/>
      <c r="BR77" s="268"/>
      <c r="BS77" s="268"/>
      <c r="BT77" s="268"/>
      <c r="BU77" s="268"/>
      <c r="BV77" s="267"/>
      <c r="BW77" s="267"/>
      <c r="BX77" s="267"/>
      <c r="BY77" s="267"/>
      <c r="BZ77" s="267"/>
      <c r="CA77" s="267"/>
      <c r="CB77" s="267"/>
      <c r="CC77" s="267"/>
      <c r="CD77" s="267"/>
      <c r="CE77" s="267"/>
      <c r="CF77" s="267"/>
      <c r="CG77" s="267"/>
      <c r="CH77" s="267"/>
      <c r="CI77" s="267"/>
    </row>
    <row r="78" spans="1:87" ht="16.5" outlineLevel="1">
      <c r="A78" s="260" t="str">
        <f>E78&amp;G78</f>
        <v>lt002_instrumentrsk_mtgtd_cct</v>
      </c>
      <c r="B78" s="141" t="s">
        <v>26</v>
      </c>
      <c r="C78" s="137" t="s">
        <v>26</v>
      </c>
      <c r="D78" s="222" t="s">
        <v>40</v>
      </c>
      <c r="E78" s="225" t="s">
        <v>379</v>
      </c>
      <c r="F78" s="225"/>
      <c r="G78" s="225" t="s">
        <v>380</v>
      </c>
      <c r="H78" s="222" t="str">
        <f>VLOOKUP(A78,'2. Status Detalhe Campos FY24'!$A$7:$G$731,7,0)</f>
        <v>1. Concluído</v>
      </c>
      <c r="I78" s="309">
        <v>45595</v>
      </c>
      <c r="J78" s="309">
        <v>45611</v>
      </c>
      <c r="K78" s="309">
        <v>45611</v>
      </c>
      <c r="L78" s="276">
        <f t="array" ref="L78">MIN(IF(W78:CI78&gt;0,$W$16:$CI$16))</f>
        <v>45621</v>
      </c>
      <c r="M78" s="277">
        <f t="array" ref="M78">MAX(IF(W78:CI78&gt;0,$W$16:$CI$16))</f>
        <v>45621</v>
      </c>
      <c r="N78" s="277"/>
      <c r="O78" s="235">
        <f>VLOOKUP(H78,Auxiliar!$B$16:$E$24,4,0)</f>
        <v>1</v>
      </c>
      <c r="P78" s="235">
        <f ca="1">IF(TODAY()&lt;=L78,0,MIN((TODAY()-L78)/(M78-L78+1),100%))</f>
        <v>1</v>
      </c>
      <c r="Q78" s="234">
        <f ca="1">O78-P78</f>
        <v>0</v>
      </c>
      <c r="R78" s="248" t="s">
        <v>38</v>
      </c>
      <c r="S78" s="266"/>
      <c r="T78" s="256">
        <v>4.0999999999999996</v>
      </c>
      <c r="U78" s="256">
        <f>ROUND(T78/8,1)</f>
        <v>0.5</v>
      </c>
      <c r="V78" s="256">
        <f>SUM(W78:CI78)-U78</f>
        <v>0</v>
      </c>
      <c r="W78" s="267"/>
      <c r="X78" s="267"/>
      <c r="Y78" s="267"/>
      <c r="Z78" s="267"/>
      <c r="AA78" s="267"/>
      <c r="AB78" s="275"/>
      <c r="AC78" s="267"/>
      <c r="AD78" s="268"/>
      <c r="AE78" s="267"/>
      <c r="AF78" s="267"/>
      <c r="AG78" s="267"/>
      <c r="AH78" s="267"/>
      <c r="AI78" s="267"/>
      <c r="AJ78" s="267"/>
      <c r="AK78" s="267"/>
      <c r="AL78" s="267"/>
      <c r="AM78" s="267"/>
      <c r="AN78" s="274"/>
      <c r="AO78" s="267"/>
      <c r="AP78" s="267"/>
      <c r="AQ78" s="267"/>
      <c r="AR78" s="267"/>
      <c r="AS78" s="267"/>
      <c r="AT78" s="267">
        <v>0.5</v>
      </c>
      <c r="AU78" s="267"/>
      <c r="AV78" s="267"/>
      <c r="AW78" s="267"/>
      <c r="AX78" s="267"/>
      <c r="AY78" s="267"/>
      <c r="AZ78" s="267"/>
      <c r="BA78" s="267"/>
      <c r="BB78" s="267"/>
      <c r="BC78" s="267"/>
      <c r="BD78" s="267"/>
      <c r="BE78" s="267"/>
      <c r="BF78" s="267"/>
      <c r="BG78" s="267"/>
      <c r="BH78" s="267"/>
      <c r="BI78" s="267"/>
      <c r="BJ78" s="267"/>
      <c r="BK78" s="267"/>
      <c r="BL78" s="267"/>
      <c r="BM78" s="267"/>
      <c r="BN78" s="267"/>
      <c r="BO78" s="268"/>
      <c r="BP78" s="268"/>
      <c r="BQ78" s="268"/>
      <c r="BR78" s="268"/>
      <c r="BS78" s="268"/>
      <c r="BT78" s="268"/>
      <c r="BU78" s="268"/>
      <c r="BV78" s="267"/>
      <c r="BW78" s="267"/>
      <c r="BX78" s="267"/>
      <c r="BY78" s="267"/>
      <c r="BZ78" s="267"/>
      <c r="CA78" s="267"/>
      <c r="CB78" s="267"/>
      <c r="CC78" s="267"/>
      <c r="CD78" s="267"/>
      <c r="CE78" s="267"/>
      <c r="CF78" s="267"/>
      <c r="CG78" s="267"/>
      <c r="CH78" s="267"/>
      <c r="CI78" s="267"/>
    </row>
    <row r="79" spans="1:87" ht="16.5" outlineLevel="1">
      <c r="A79" s="260" t="str">
        <f>E79&amp;G79</f>
        <v>lt002_instrumentsstnbl_ctgry_txnmy</v>
      </c>
      <c r="B79" s="141" t="s">
        <v>26</v>
      </c>
      <c r="C79" s="137" t="s">
        <v>26</v>
      </c>
      <c r="D79" s="222" t="s">
        <v>40</v>
      </c>
      <c r="E79" s="225" t="s">
        <v>379</v>
      </c>
      <c r="F79" s="225"/>
      <c r="G79" s="225" t="s">
        <v>388</v>
      </c>
      <c r="H79" s="222" t="e">
        <f>VLOOKUP(A79,'2. Status Detalhe Campos FY24'!$A$7:$G$731,7,0)</f>
        <v>#N/A</v>
      </c>
      <c r="I79" s="309">
        <v>45590</v>
      </c>
      <c r="J79" s="309">
        <v>45611</v>
      </c>
      <c r="K79" s="309">
        <v>45611</v>
      </c>
      <c r="L79" s="276">
        <f t="array" ref="L79">MIN(IF(W79:CI79&gt;0,$W$16:$CI$16))</f>
        <v>45614</v>
      </c>
      <c r="M79" s="277">
        <f t="array" ref="M79">MAX(IF(W79:CI79&gt;0,$W$16:$CI$16))</f>
        <v>45614</v>
      </c>
      <c r="N79" s="277"/>
      <c r="O79" s="235" t="e">
        <f>VLOOKUP(H79,Auxiliar!$B$16:$E$24,4,0)</f>
        <v>#N/A</v>
      </c>
      <c r="P79" s="235">
        <f ca="1">IF(TODAY()&lt;=L79,0,MIN((TODAY()-L79)/(M79-L79+1),100%))</f>
        <v>1</v>
      </c>
      <c r="Q79" s="234" t="e">
        <f ca="1">O79-P79</f>
        <v>#N/A</v>
      </c>
      <c r="R79" s="248" t="s">
        <v>38</v>
      </c>
      <c r="S79" s="266"/>
      <c r="T79" s="256">
        <v>4.0999999999999996</v>
      </c>
      <c r="U79" s="256">
        <f>ROUND(T79/8,1)</f>
        <v>0.5</v>
      </c>
      <c r="V79" s="256">
        <f>SUM(W79:CI79)-U79</f>
        <v>0</v>
      </c>
      <c r="W79" s="267"/>
      <c r="X79" s="267"/>
      <c r="Y79" s="283"/>
      <c r="Z79" s="275"/>
      <c r="AA79" s="267"/>
      <c r="AB79" s="275"/>
      <c r="AC79" s="267"/>
      <c r="AD79" s="268"/>
      <c r="AE79" s="267"/>
      <c r="AF79" s="267"/>
      <c r="AG79" s="267"/>
      <c r="AH79" s="267"/>
      <c r="AI79" s="267"/>
      <c r="AJ79" s="267"/>
      <c r="AK79" s="267"/>
      <c r="AL79" s="267"/>
      <c r="AM79" s="267"/>
      <c r="AN79" s="274"/>
      <c r="AO79" s="267">
        <v>0.5</v>
      </c>
      <c r="AP79" s="267"/>
      <c r="AQ79" s="267"/>
      <c r="AR79" s="267"/>
      <c r="AS79" s="267"/>
      <c r="AT79" s="267"/>
      <c r="AU79" s="267"/>
      <c r="AV79" s="267"/>
      <c r="AW79" s="267"/>
      <c r="AX79" s="267"/>
      <c r="AY79" s="267"/>
      <c r="AZ79" s="267"/>
      <c r="BA79" s="267"/>
      <c r="BB79" s="267"/>
      <c r="BC79" s="267"/>
      <c r="BD79" s="267"/>
      <c r="BE79" s="267"/>
      <c r="BF79" s="267"/>
      <c r="BG79" s="267"/>
      <c r="BH79" s="267"/>
      <c r="BI79" s="267"/>
      <c r="BJ79" s="267"/>
      <c r="BK79" s="267"/>
      <c r="BL79" s="267"/>
      <c r="BM79" s="267"/>
      <c r="BN79" s="267"/>
      <c r="BO79" s="268"/>
      <c r="BP79" s="268"/>
      <c r="BQ79" s="268"/>
      <c r="BR79" s="268"/>
      <c r="BS79" s="268"/>
      <c r="BT79" s="268"/>
      <c r="BU79" s="268"/>
      <c r="BV79" s="267"/>
      <c r="BW79" s="267"/>
      <c r="BX79" s="267"/>
      <c r="BY79" s="267"/>
      <c r="BZ79" s="267"/>
      <c r="CA79" s="267"/>
      <c r="CB79" s="267"/>
      <c r="CC79" s="267"/>
      <c r="CD79" s="267"/>
      <c r="CE79" s="267"/>
      <c r="CF79" s="267"/>
      <c r="CG79" s="267"/>
      <c r="CH79" s="267"/>
      <c r="CI79" s="267"/>
    </row>
    <row r="80" spans="1:87" ht="50.15" customHeight="1" collapsed="1">
      <c r="A80" s="260"/>
      <c r="B80" s="141" t="s">
        <v>26</v>
      </c>
      <c r="C80" s="137" t="s">
        <v>26</v>
      </c>
      <c r="D80" s="133"/>
      <c r="E80" s="228" t="s">
        <v>368</v>
      </c>
      <c r="F80" s="226" t="s">
        <v>1883</v>
      </c>
      <c r="G80" s="227">
        <f>COUNTA(G81:G82)</f>
        <v>2</v>
      </c>
      <c r="H80" s="281" t="s">
        <v>1915</v>
      </c>
      <c r="I80" s="262" t="s">
        <v>38</v>
      </c>
      <c r="J80" s="263">
        <f>MIN(J81:J82)</f>
        <v>45596</v>
      </c>
      <c r="K80" s="263">
        <f>MIN(K81:K82)</f>
        <v>45596</v>
      </c>
      <c r="L80" s="263">
        <f>MIN(L81:L82)</f>
        <v>45629</v>
      </c>
      <c r="M80" s="264">
        <f>MAX(M81:M82)</f>
        <v>45630</v>
      </c>
      <c r="N80" s="308">
        <f t="array" ref="N80">MAX(IF(W80:CI80&gt;0,$W$16:$CI$16))</f>
        <v>45632</v>
      </c>
      <c r="O80" s="307">
        <f>SUMPRODUCT(O81:O82,U81:U82)/SUM(U81:U82)</f>
        <v>1</v>
      </c>
      <c r="P80" s="307">
        <f ca="1">SUMPRODUCT(P81:P82,U81:U82)/SUM(U81:U82)</f>
        <v>1</v>
      </c>
      <c r="Q80" s="299">
        <f t="shared" ref="Q80:Q127" ca="1" si="26">O80-P80</f>
        <v>0</v>
      </c>
      <c r="R80" s="325" t="s">
        <v>1935</v>
      </c>
      <c r="S80" s="266"/>
      <c r="T80" s="256"/>
      <c r="U80" s="256"/>
      <c r="V80" s="256"/>
      <c r="W80" s="267"/>
      <c r="X80" s="267"/>
      <c r="Y80" s="267"/>
      <c r="Z80" s="267"/>
      <c r="AA80" s="267"/>
      <c r="AB80" s="267"/>
      <c r="AC80" s="274"/>
      <c r="AD80" s="268"/>
      <c r="AE80" s="267"/>
      <c r="AF80" s="267"/>
      <c r="AG80" s="267"/>
      <c r="AH80" s="267"/>
      <c r="AI80" s="267"/>
      <c r="AJ80" s="267"/>
      <c r="AK80" s="267"/>
      <c r="AL80" s="267"/>
      <c r="AM80" s="267"/>
      <c r="AN80" s="267"/>
      <c r="AO80" s="267"/>
      <c r="AP80" s="267"/>
      <c r="AQ80" s="267"/>
      <c r="AR80" s="267"/>
      <c r="AS80" s="267"/>
      <c r="AT80" s="267"/>
      <c r="AU80" s="267"/>
      <c r="AV80" s="267"/>
      <c r="AW80" s="267"/>
      <c r="AX80" s="267"/>
      <c r="AY80" s="267"/>
      <c r="AZ80" s="267"/>
      <c r="BA80" s="267"/>
      <c r="BB80" s="267"/>
      <c r="BC80" s="270" t="s">
        <v>443</v>
      </c>
      <c r="BD80" s="267"/>
      <c r="BE80" s="267"/>
      <c r="BF80" s="267"/>
      <c r="BG80" s="267"/>
      <c r="BH80" s="267"/>
      <c r="BI80" s="267"/>
      <c r="BJ80" s="267"/>
      <c r="BK80" s="267"/>
      <c r="BL80" s="267"/>
      <c r="BM80" s="267"/>
      <c r="BN80" s="267"/>
      <c r="BO80" s="268"/>
      <c r="BP80" s="268"/>
      <c r="BQ80" s="268"/>
      <c r="BR80" s="268"/>
      <c r="BS80" s="268"/>
      <c r="BT80" s="268"/>
      <c r="BU80" s="268"/>
      <c r="BV80" s="267"/>
      <c r="BW80" s="267"/>
      <c r="BX80" s="267"/>
      <c r="BY80" s="267"/>
      <c r="BZ80" s="267"/>
      <c r="CA80" s="267"/>
      <c r="CB80" s="267"/>
      <c r="CC80" s="267"/>
      <c r="CD80" s="267"/>
      <c r="CE80" s="267"/>
      <c r="CF80" s="267"/>
      <c r="CG80" s="267"/>
      <c r="CH80" s="267"/>
      <c r="CI80" s="267"/>
    </row>
    <row r="81" spans="1:87" ht="16.5" outlineLevel="1">
      <c r="A81" s="260" t="str">
        <f>E81&amp;G81</f>
        <v>lt004_protectionflg_act_physcl_rsk</v>
      </c>
      <c r="B81" s="141" t="s">
        <v>26</v>
      </c>
      <c r="C81" s="137" t="s">
        <v>26</v>
      </c>
      <c r="D81" s="222" t="s">
        <v>40</v>
      </c>
      <c r="E81" s="225" t="s">
        <v>368</v>
      </c>
      <c r="F81" s="225"/>
      <c r="G81" s="229" t="s">
        <v>357</v>
      </c>
      <c r="H81" s="222" t="str">
        <f>VLOOKUP(A81,'2. Status Detalhe Campos FY24'!$A$7:$G$731,7,0)</f>
        <v>1. Concluído</v>
      </c>
      <c r="I81" s="310" t="s">
        <v>38</v>
      </c>
      <c r="J81" s="309">
        <v>45596</v>
      </c>
      <c r="K81" s="309">
        <v>45596</v>
      </c>
      <c r="L81" s="276">
        <f t="array" ref="L81">MIN(IF(W81:CI81&gt;0,$W$16:$CI$16))</f>
        <v>45629</v>
      </c>
      <c r="M81" s="277">
        <f t="array" ref="M81">MAX(IF(W81:CI81&gt;0,$W$16:$CI$16))</f>
        <v>45629</v>
      </c>
      <c r="N81" s="277"/>
      <c r="O81" s="235">
        <f>VLOOKUP(H81,Auxiliar!$B$16:$E$24,4,0)</f>
        <v>1</v>
      </c>
      <c r="P81" s="235">
        <f ca="1">IF(TODAY()&lt;=L81,0,MIN((TODAY()-L81)/(M81-L81+1),100%))</f>
        <v>1</v>
      </c>
      <c r="Q81" s="235">
        <f t="shared" ca="1" si="26"/>
        <v>0</v>
      </c>
      <c r="R81" s="247"/>
      <c r="S81" s="266"/>
      <c r="T81" s="256">
        <v>4.0999999999999996</v>
      </c>
      <c r="U81" s="256">
        <f>ROUND(T81/8,1)</f>
        <v>0.5</v>
      </c>
      <c r="V81" s="256">
        <f>SUM(W81:CI81)-U81</f>
        <v>0</v>
      </c>
      <c r="W81" s="267"/>
      <c r="X81" s="267"/>
      <c r="Y81" s="267"/>
      <c r="Z81" s="267"/>
      <c r="AA81" s="267"/>
      <c r="AB81" s="267"/>
      <c r="AC81" s="274"/>
      <c r="AD81" s="268"/>
      <c r="AE81" s="267"/>
      <c r="AF81" s="267"/>
      <c r="AG81" s="267"/>
      <c r="AH81" s="267"/>
      <c r="AI81" s="267"/>
      <c r="AJ81" s="267"/>
      <c r="AK81" s="267"/>
      <c r="AL81" s="267"/>
      <c r="AM81" s="267"/>
      <c r="AN81" s="267"/>
      <c r="AO81" s="267"/>
      <c r="AP81" s="267"/>
      <c r="AQ81" s="267"/>
      <c r="AR81" s="267"/>
      <c r="AS81" s="267"/>
      <c r="AT81" s="267"/>
      <c r="AU81" s="267"/>
      <c r="AV81" s="267"/>
      <c r="AW81" s="269"/>
      <c r="AX81" s="267"/>
      <c r="AY81" s="267"/>
      <c r="AZ81" s="267">
        <v>0.5</v>
      </c>
      <c r="BA81" s="267"/>
      <c r="BB81" s="267"/>
      <c r="BC81" s="267"/>
      <c r="BD81" s="267"/>
      <c r="BE81" s="267"/>
      <c r="BF81" s="267"/>
      <c r="BG81" s="267"/>
      <c r="BH81" s="267"/>
      <c r="BI81" s="267"/>
      <c r="BJ81" s="267"/>
      <c r="BK81" s="267"/>
      <c r="BL81" s="267"/>
      <c r="BM81" s="267"/>
      <c r="BN81" s="267"/>
      <c r="BO81" s="268"/>
      <c r="BP81" s="268"/>
      <c r="BQ81" s="268"/>
      <c r="BR81" s="268"/>
      <c r="BS81" s="268"/>
      <c r="BT81" s="268"/>
      <c r="BU81" s="268"/>
      <c r="BV81" s="267"/>
      <c r="BW81" s="267"/>
      <c r="BX81" s="267"/>
      <c r="BY81" s="267"/>
      <c r="BZ81" s="267"/>
      <c r="CA81" s="267"/>
      <c r="CB81" s="267"/>
      <c r="CC81" s="267"/>
      <c r="CD81" s="267"/>
      <c r="CE81" s="267"/>
      <c r="CF81" s="267"/>
      <c r="CG81" s="267"/>
      <c r="CH81" s="267"/>
      <c r="CI81" s="267"/>
    </row>
    <row r="82" spans="1:87" ht="16.5" outlineLevel="1">
      <c r="A82" s="260" t="str">
        <f>E82&amp;G82</f>
        <v>lt004_protectionflg_chrnc_physcl_rsk</v>
      </c>
      <c r="B82" s="141" t="s">
        <v>26</v>
      </c>
      <c r="C82" s="137" t="s">
        <v>26</v>
      </c>
      <c r="D82" s="222" t="s">
        <v>40</v>
      </c>
      <c r="E82" s="225" t="s">
        <v>368</v>
      </c>
      <c r="F82" s="225"/>
      <c r="G82" s="229" t="s">
        <v>358</v>
      </c>
      <c r="H82" s="222" t="str">
        <f>VLOOKUP(A82,'2. Status Detalhe Campos FY24'!$A$7:$G$731,7,0)</f>
        <v>1. Concluído</v>
      </c>
      <c r="I82" s="310" t="s">
        <v>38</v>
      </c>
      <c r="J82" s="309">
        <v>45596</v>
      </c>
      <c r="K82" s="309">
        <v>45596</v>
      </c>
      <c r="L82" s="276">
        <f t="array" ref="L82">MIN(IF(W82:CI82&gt;0,$W$16:$CI$16))</f>
        <v>45630</v>
      </c>
      <c r="M82" s="277">
        <f t="array" ref="M82">MAX(IF(W82:CI82&gt;0,$W$16:$CI$16))</f>
        <v>45630</v>
      </c>
      <c r="N82" s="277"/>
      <c r="O82" s="235">
        <f>VLOOKUP(H82,Auxiliar!$B$16:$E$24,4,0)</f>
        <v>1</v>
      </c>
      <c r="P82" s="235">
        <f ca="1">IF(TODAY()&lt;=L82,0,MIN((TODAY()-L82)/(M82-L82+1),100%))</f>
        <v>1</v>
      </c>
      <c r="Q82" s="235">
        <f t="shared" ca="1" si="26"/>
        <v>0</v>
      </c>
      <c r="R82" s="247"/>
      <c r="S82" s="266"/>
      <c r="T82" s="256">
        <v>4.0999999999999996</v>
      </c>
      <c r="U82" s="256">
        <f>ROUND(T82/8,1)</f>
        <v>0.5</v>
      </c>
      <c r="V82" s="256">
        <f>SUM(W82:CI82)-U82</f>
        <v>0</v>
      </c>
      <c r="W82" s="267"/>
      <c r="X82" s="267"/>
      <c r="Y82" s="267"/>
      <c r="Z82" s="267"/>
      <c r="AA82" s="267"/>
      <c r="AB82" s="267"/>
      <c r="AC82" s="274"/>
      <c r="AD82" s="268"/>
      <c r="AE82" s="267"/>
      <c r="AF82" s="267"/>
      <c r="AG82" s="267"/>
      <c r="AH82" s="267"/>
      <c r="AI82" s="267"/>
      <c r="AJ82" s="267"/>
      <c r="AK82" s="267"/>
      <c r="AL82" s="267"/>
      <c r="AM82" s="267"/>
      <c r="AN82" s="267"/>
      <c r="AO82" s="267"/>
      <c r="AP82" s="267"/>
      <c r="AQ82" s="267"/>
      <c r="AR82" s="267"/>
      <c r="AS82" s="267"/>
      <c r="AT82" s="267"/>
      <c r="AU82" s="267"/>
      <c r="AV82" s="267"/>
      <c r="AW82" s="269"/>
      <c r="AX82" s="267"/>
      <c r="AY82" s="267"/>
      <c r="AZ82" s="267"/>
      <c r="BA82" s="267">
        <v>0.5</v>
      </c>
      <c r="BB82" s="267"/>
      <c r="BC82" s="267"/>
      <c r="BD82" s="267"/>
      <c r="BE82" s="267"/>
      <c r="BF82" s="267"/>
      <c r="BG82" s="267"/>
      <c r="BH82" s="267"/>
      <c r="BI82" s="267"/>
      <c r="BJ82" s="267"/>
      <c r="BK82" s="267"/>
      <c r="BL82" s="267"/>
      <c r="BM82" s="267"/>
      <c r="BN82" s="267"/>
      <c r="BO82" s="268"/>
      <c r="BP82" s="268"/>
      <c r="BQ82" s="268"/>
      <c r="BR82" s="268"/>
      <c r="BS82" s="268"/>
      <c r="BT82" s="268"/>
      <c r="BU82" s="268"/>
      <c r="BV82" s="267"/>
      <c r="BW82" s="267"/>
      <c r="BX82" s="267"/>
      <c r="BY82" s="267"/>
      <c r="BZ82" s="267"/>
      <c r="CA82" s="267"/>
      <c r="CB82" s="267"/>
      <c r="CC82" s="267"/>
      <c r="CD82" s="267"/>
      <c r="CE82" s="267"/>
      <c r="CF82" s="267"/>
      <c r="CG82" s="267"/>
      <c r="CH82" s="267"/>
      <c r="CI82" s="267"/>
    </row>
    <row r="83" spans="1:87" ht="16.5" collapsed="1">
      <c r="A83" s="260"/>
      <c r="B83" s="141" t="s">
        <v>26</v>
      </c>
      <c r="C83" s="137" t="s">
        <v>26</v>
      </c>
      <c r="D83" s="222"/>
      <c r="E83" s="228" t="s">
        <v>368</v>
      </c>
      <c r="F83" s="226" t="s">
        <v>1923</v>
      </c>
      <c r="G83" s="227">
        <f>COUNTA(G84:G85)</f>
        <v>2</v>
      </c>
      <c r="H83" s="281" t="s">
        <v>1915</v>
      </c>
      <c r="I83" s="264">
        <f>MAX(I84:I85)</f>
        <v>45635</v>
      </c>
      <c r="J83" s="263">
        <f>MIN(J84:J85)</f>
        <v>0</v>
      </c>
      <c r="K83" s="263">
        <f>MIN(K84:K85)</f>
        <v>0</v>
      </c>
      <c r="L83" s="263">
        <f>MIN(L84:L85)</f>
        <v>45628</v>
      </c>
      <c r="M83" s="264">
        <f>MAX(M84:M85)</f>
        <v>45639</v>
      </c>
      <c r="N83" s="308">
        <f t="array" ref="N83">MAX(IF(W83:CI83&gt;0,$W$16:$CI$16))</f>
        <v>45667</v>
      </c>
      <c r="O83" s="307">
        <f>SUMPRODUCT(O84:O85,U84:U85)/SUM(U84:U85)</f>
        <v>1</v>
      </c>
      <c r="P83" s="307">
        <f ca="1">SUMPRODUCT(P84:P85,U84:U85)/SUM(U84:U85)</f>
        <v>1</v>
      </c>
      <c r="Q83" s="234">
        <f t="shared" ca="1" si="26"/>
        <v>0</v>
      </c>
      <c r="R83" s="325" t="s">
        <v>1949</v>
      </c>
      <c r="S83" s="266"/>
      <c r="T83" s="256"/>
      <c r="U83" s="256"/>
      <c r="V83" s="256"/>
      <c r="W83" s="267"/>
      <c r="X83" s="267"/>
      <c r="Y83" s="267"/>
      <c r="Z83" s="267"/>
      <c r="AA83" s="267"/>
      <c r="AB83" s="267"/>
      <c r="AC83" s="274"/>
      <c r="AD83" s="268"/>
      <c r="AE83" s="267"/>
      <c r="AF83" s="267"/>
      <c r="AG83" s="267"/>
      <c r="AH83" s="267"/>
      <c r="AI83" s="267"/>
      <c r="AJ83" s="267"/>
      <c r="AK83" s="267"/>
      <c r="AL83" s="267"/>
      <c r="AM83" s="267"/>
      <c r="AN83" s="267"/>
      <c r="AO83" s="267"/>
      <c r="AP83" s="267"/>
      <c r="AQ83" s="267"/>
      <c r="AR83" s="267"/>
      <c r="AS83" s="267"/>
      <c r="AT83" s="267"/>
      <c r="AU83" s="267"/>
      <c r="AV83" s="267"/>
      <c r="AW83" s="267"/>
      <c r="AX83" s="267"/>
      <c r="AY83" s="267"/>
      <c r="AZ83" s="267"/>
      <c r="BA83" s="267"/>
      <c r="BB83" s="267"/>
      <c r="BC83" s="270" t="s">
        <v>443</v>
      </c>
      <c r="BD83" s="267"/>
      <c r="BE83" s="275"/>
      <c r="BF83" s="267"/>
      <c r="BG83" s="267"/>
      <c r="BH83" s="267" t="s">
        <v>443</v>
      </c>
      <c r="BI83" s="267"/>
      <c r="BJ83" s="267"/>
      <c r="BK83" s="267"/>
      <c r="BL83" s="267"/>
      <c r="BM83" s="267" t="s">
        <v>443</v>
      </c>
      <c r="BN83" s="267"/>
      <c r="BO83" s="268"/>
      <c r="BP83" s="268"/>
      <c r="BQ83" s="268"/>
      <c r="BR83" s="268"/>
      <c r="BS83" s="268"/>
      <c r="BT83" s="268"/>
      <c r="BU83" s="268"/>
      <c r="BV83" s="267"/>
      <c r="BW83" s="267"/>
      <c r="BX83" s="267"/>
      <c r="BY83" s="267"/>
      <c r="BZ83" s="267"/>
      <c r="CA83" s="267"/>
      <c r="CB83" s="267" t="s">
        <v>443</v>
      </c>
      <c r="CC83" s="267"/>
      <c r="CD83" s="267"/>
      <c r="CE83" s="267"/>
      <c r="CF83" s="267"/>
      <c r="CG83" s="267"/>
      <c r="CH83" s="267"/>
      <c r="CI83" s="267"/>
    </row>
    <row r="84" spans="1:87" ht="16.5" outlineLevel="1">
      <c r="A84" s="260" t="str">
        <f>E84&amp;G84</f>
        <v>lt004_protectionep_scr</v>
      </c>
      <c r="B84" s="141" t="s">
        <v>26</v>
      </c>
      <c r="C84" s="137" t="s">
        <v>26</v>
      </c>
      <c r="D84" s="222" t="s">
        <v>40</v>
      </c>
      <c r="E84" s="225" t="s">
        <v>368</v>
      </c>
      <c r="F84" s="225"/>
      <c r="G84" s="229" t="s">
        <v>370</v>
      </c>
      <c r="H84" s="222" t="str">
        <f>VLOOKUP(A84,'2. Status Detalhe Campos FY24'!$A$7:$G$731,7,0)</f>
        <v>1. Concluído</v>
      </c>
      <c r="I84" s="310">
        <v>45635</v>
      </c>
      <c r="J84" s="309"/>
      <c r="K84" s="309"/>
      <c r="L84" s="276">
        <f t="array" ref="L84">MIN(IF(W84:CI84&gt;0,$W$16:$CI$16))</f>
        <v>45628</v>
      </c>
      <c r="M84" s="277">
        <f t="array" ref="M84">MAX(IF(W84:CI84&gt;0,$W$16:$CI$16))</f>
        <v>45639</v>
      </c>
      <c r="N84" s="277"/>
      <c r="O84" s="235">
        <f>VLOOKUP(H84,Auxiliar!$B$16:$E$24,4,0)</f>
        <v>1</v>
      </c>
      <c r="P84" s="235">
        <f ca="1">IF(TODAY()&lt;=L84,0,MIN((TODAY()-L84)/(M84-L84+1),100%))</f>
        <v>1</v>
      </c>
      <c r="Q84" s="235">
        <f ca="1">O84-P84</f>
        <v>0</v>
      </c>
      <c r="R84" s="247"/>
      <c r="S84" s="266" t="s">
        <v>1857</v>
      </c>
      <c r="T84" s="256">
        <v>4.0999999999999996</v>
      </c>
      <c r="U84" s="256">
        <f>ROUND(T84/8,1)</f>
        <v>0.5</v>
      </c>
      <c r="V84" s="256">
        <f>SUM(W84:CI84)-U84</f>
        <v>0</v>
      </c>
      <c r="W84" s="267"/>
      <c r="X84" s="267"/>
      <c r="Y84" s="267"/>
      <c r="Z84" s="267"/>
      <c r="AA84" s="267"/>
      <c r="AB84" s="267"/>
      <c r="AC84" s="274"/>
      <c r="AD84" s="268"/>
      <c r="AE84" s="267"/>
      <c r="AF84" s="267"/>
      <c r="AG84" s="267"/>
      <c r="AH84" s="267"/>
      <c r="AI84" s="267"/>
      <c r="AJ84" s="267"/>
      <c r="AK84" s="267"/>
      <c r="AL84" s="267"/>
      <c r="AM84" s="267"/>
      <c r="AN84" s="267"/>
      <c r="AO84" s="267"/>
      <c r="AP84" s="267"/>
      <c r="AQ84" s="267"/>
      <c r="AR84" s="267"/>
      <c r="AS84" s="267"/>
      <c r="AT84" s="267"/>
      <c r="AU84" s="267"/>
      <c r="AV84" s="267"/>
      <c r="AW84" s="267"/>
      <c r="AX84" s="267"/>
      <c r="AY84" s="267">
        <v>0.5</v>
      </c>
      <c r="AZ84" s="267"/>
      <c r="BA84" s="267"/>
      <c r="BB84" s="267"/>
      <c r="BC84" s="267"/>
      <c r="BD84" s="267"/>
      <c r="BE84" s="275"/>
      <c r="BF84" s="267"/>
      <c r="BG84" s="267"/>
      <c r="BH84" s="267" t="s">
        <v>443</v>
      </c>
      <c r="BI84" s="267"/>
      <c r="BJ84" s="267"/>
      <c r="BK84" s="267"/>
      <c r="BL84" s="267"/>
      <c r="BM84" s="267"/>
      <c r="BN84" s="267"/>
      <c r="BO84" s="268"/>
      <c r="BP84" s="268"/>
      <c r="BQ84" s="268"/>
      <c r="BR84" s="268"/>
      <c r="BS84" s="268"/>
      <c r="BT84" s="268"/>
      <c r="BU84" s="268"/>
      <c r="BV84" s="267"/>
      <c r="BW84" s="267"/>
      <c r="BX84" s="267"/>
      <c r="BY84" s="267"/>
      <c r="BZ84" s="267"/>
      <c r="CA84" s="267"/>
      <c r="CB84" s="267"/>
      <c r="CC84" s="267"/>
      <c r="CD84" s="267"/>
      <c r="CE84" s="267"/>
      <c r="CF84" s="267"/>
      <c r="CG84" s="267"/>
      <c r="CH84" s="267"/>
      <c r="CI84" s="267"/>
    </row>
    <row r="85" spans="1:87" ht="16.5" outlineLevel="1">
      <c r="A85" s="260" t="str">
        <f>E85&amp;G85</f>
        <v>lt004_protectionepc_lbl</v>
      </c>
      <c r="B85" s="141" t="s">
        <v>26</v>
      </c>
      <c r="C85" s="137" t="s">
        <v>26</v>
      </c>
      <c r="D85" s="222" t="s">
        <v>40</v>
      </c>
      <c r="E85" s="225" t="s">
        <v>368</v>
      </c>
      <c r="F85" s="225"/>
      <c r="G85" s="229" t="s">
        <v>372</v>
      </c>
      <c r="H85" s="222" t="str">
        <f>VLOOKUP(A85,'2. Status Detalhe Campos FY24'!$A$7:$G$731,7,0)</f>
        <v>1. Concluído</v>
      </c>
      <c r="I85" s="310">
        <v>45635</v>
      </c>
      <c r="J85" s="309"/>
      <c r="K85" s="309"/>
      <c r="L85" s="276">
        <f t="array" ref="L85">MIN(IF(W85:CI85&gt;0,$W$16:$CI$16))</f>
        <v>45629</v>
      </c>
      <c r="M85" s="277">
        <f t="array" ref="M85">MAX(IF(W85:CI85&gt;0,$W$16:$CI$16))</f>
        <v>45639</v>
      </c>
      <c r="N85" s="277"/>
      <c r="O85" s="235">
        <f>VLOOKUP(H85,Auxiliar!$B$16:$E$24,4,0)</f>
        <v>1</v>
      </c>
      <c r="P85" s="235">
        <f ca="1">IF(TODAY()&lt;=L85,0,MIN((TODAY()-L85)/(M85-L85+1),100%))</f>
        <v>1</v>
      </c>
      <c r="Q85" s="235">
        <f ca="1">O85-P85</f>
        <v>0</v>
      </c>
      <c r="R85" s="247"/>
      <c r="S85" s="266" t="s">
        <v>1857</v>
      </c>
      <c r="T85" s="256">
        <v>4.0999999999999996</v>
      </c>
      <c r="U85" s="256">
        <f>ROUND(T85/8,1)</f>
        <v>0.5</v>
      </c>
      <c r="V85" s="256">
        <f>SUM(W85:CI85)-U85</f>
        <v>0</v>
      </c>
      <c r="W85" s="267"/>
      <c r="X85" s="267"/>
      <c r="Y85" s="267"/>
      <c r="Z85" s="267"/>
      <c r="AA85" s="267"/>
      <c r="AB85" s="267"/>
      <c r="AC85" s="274"/>
      <c r="AD85" s="268"/>
      <c r="AE85" s="267"/>
      <c r="AF85" s="267"/>
      <c r="AG85" s="267"/>
      <c r="AH85" s="267"/>
      <c r="AI85" s="267"/>
      <c r="AJ85" s="267"/>
      <c r="AK85" s="267"/>
      <c r="AL85" s="267"/>
      <c r="AM85" s="267"/>
      <c r="AN85" s="267"/>
      <c r="AO85" s="267"/>
      <c r="AP85" s="267"/>
      <c r="AQ85" s="267"/>
      <c r="AR85" s="267"/>
      <c r="AS85" s="267"/>
      <c r="AT85" s="267"/>
      <c r="AU85" s="267"/>
      <c r="AV85" s="267"/>
      <c r="AW85" s="267"/>
      <c r="AX85" s="267"/>
      <c r="AY85" s="267"/>
      <c r="AZ85" s="267">
        <v>0.5</v>
      </c>
      <c r="BA85" s="267"/>
      <c r="BB85" s="267"/>
      <c r="BC85" s="267"/>
      <c r="BD85" s="267"/>
      <c r="BE85" s="275"/>
      <c r="BF85" s="267"/>
      <c r="BG85" s="267"/>
      <c r="BH85" s="267" t="s">
        <v>443</v>
      </c>
      <c r="BI85" s="267"/>
      <c r="BJ85" s="267"/>
      <c r="BK85" s="267"/>
      <c r="BL85" s="267"/>
      <c r="BM85" s="267"/>
      <c r="BN85" s="267"/>
      <c r="BO85" s="268"/>
      <c r="BP85" s="268"/>
      <c r="BQ85" s="268"/>
      <c r="BR85" s="268"/>
      <c r="BS85" s="268"/>
      <c r="BT85" s="268"/>
      <c r="BU85" s="268"/>
      <c r="BV85" s="267"/>
      <c r="BW85" s="267"/>
      <c r="BX85" s="267"/>
      <c r="BY85" s="267"/>
      <c r="BZ85" s="267"/>
      <c r="CA85" s="267"/>
      <c r="CB85" s="267"/>
      <c r="CC85" s="267"/>
      <c r="CD85" s="267"/>
      <c r="CE85" s="267"/>
      <c r="CF85" s="267"/>
      <c r="CG85" s="267"/>
      <c r="CH85" s="267"/>
      <c r="CI85" s="267"/>
    </row>
    <row r="86" spans="1:87" ht="16.5" collapsed="1">
      <c r="A86" s="260"/>
      <c r="B86" s="137" t="s">
        <v>26</v>
      </c>
      <c r="C86" s="137" t="s">
        <v>26</v>
      </c>
      <c r="D86" s="222"/>
      <c r="E86" s="228" t="s">
        <v>368</v>
      </c>
      <c r="F86" s="226" t="s">
        <v>1923</v>
      </c>
      <c r="G86" s="227">
        <f>COUNTA(G87)</f>
        <v>1</v>
      </c>
      <c r="H86" s="281" t="s">
        <v>1915</v>
      </c>
      <c r="I86" s="262" t="s">
        <v>38</v>
      </c>
      <c r="J86" s="263">
        <f>MIN(J87)</f>
        <v>0</v>
      </c>
      <c r="K86" s="263">
        <f>MIN(K87)</f>
        <v>0</v>
      </c>
      <c r="L86" s="263">
        <f>MIN(L87)</f>
        <v>45628</v>
      </c>
      <c r="M86" s="264">
        <f>MAX(M87)</f>
        <v>45639</v>
      </c>
      <c r="N86" s="308">
        <f t="array" ref="N86">MAX(IF(W86:CI86&gt;0,$W$16:$CI$16))</f>
        <v>45639</v>
      </c>
      <c r="O86" s="307">
        <f>O87</f>
        <v>1</v>
      </c>
      <c r="P86" s="307">
        <f ca="1">P87</f>
        <v>1</v>
      </c>
      <c r="Q86" s="234">
        <f t="shared" ca="1" si="26"/>
        <v>0</v>
      </c>
      <c r="R86" s="325" t="s">
        <v>1941</v>
      </c>
      <c r="S86" s="266"/>
      <c r="T86" s="256"/>
      <c r="U86" s="256"/>
      <c r="V86" s="256"/>
      <c r="W86" s="267"/>
      <c r="X86" s="267"/>
      <c r="Y86" s="267"/>
      <c r="Z86" s="267"/>
      <c r="AA86" s="267"/>
      <c r="AB86" s="267"/>
      <c r="AC86" s="274"/>
      <c r="AD86" s="268"/>
      <c r="AE86" s="267"/>
      <c r="AF86" s="267"/>
      <c r="AG86" s="267"/>
      <c r="AH86" s="267"/>
      <c r="AI86" s="267"/>
      <c r="AJ86" s="267"/>
      <c r="AK86" s="267"/>
      <c r="AL86" s="267"/>
      <c r="AM86" s="267"/>
      <c r="AN86" s="267"/>
      <c r="AO86" s="267"/>
      <c r="AP86" s="267"/>
      <c r="AQ86" s="267"/>
      <c r="AR86" s="267"/>
      <c r="AS86" s="267"/>
      <c r="AT86" s="267"/>
      <c r="AU86" s="267"/>
      <c r="AV86" s="267"/>
      <c r="AW86" s="267"/>
      <c r="AX86" s="267"/>
      <c r="AY86" s="267"/>
      <c r="AZ86" s="267"/>
      <c r="BA86" s="267"/>
      <c r="BB86" s="267"/>
      <c r="BC86" s="270" t="s">
        <v>443</v>
      </c>
      <c r="BD86" s="267"/>
      <c r="BE86" s="267"/>
      <c r="BF86" s="267"/>
      <c r="BG86" s="267"/>
      <c r="BH86" s="267" t="s">
        <v>443</v>
      </c>
      <c r="BI86" s="267"/>
      <c r="BJ86" s="267"/>
      <c r="BK86" s="267"/>
      <c r="BL86" s="267"/>
      <c r="BM86" s="267"/>
      <c r="BN86" s="267"/>
      <c r="BO86" s="268"/>
      <c r="BP86" s="268"/>
      <c r="BQ86" s="268"/>
      <c r="BR86" s="268"/>
      <c r="BS86" s="268"/>
      <c r="BT86" s="268"/>
      <c r="BU86" s="268"/>
      <c r="BV86" s="267"/>
      <c r="BW86" s="267"/>
      <c r="BX86" s="267"/>
      <c r="BY86" s="267"/>
      <c r="BZ86" s="267"/>
      <c r="CA86" s="267"/>
      <c r="CB86" s="267"/>
      <c r="CC86" s="267"/>
      <c r="CD86" s="267"/>
      <c r="CE86" s="267"/>
      <c r="CF86" s="267"/>
      <c r="CG86" s="267"/>
      <c r="CH86" s="267"/>
      <c r="CI86" s="267"/>
    </row>
    <row r="87" spans="1:87" ht="16.5" outlineLevel="1">
      <c r="A87" s="260" t="str">
        <f>E87&amp;G87</f>
        <v>lt004_protectiontyp_epc_lbl</v>
      </c>
      <c r="B87" s="141" t="s">
        <v>26</v>
      </c>
      <c r="C87" s="137" t="s">
        <v>26</v>
      </c>
      <c r="D87" s="222" t="s">
        <v>40</v>
      </c>
      <c r="E87" s="225" t="s">
        <v>368</v>
      </c>
      <c r="F87" s="225"/>
      <c r="G87" s="229" t="s">
        <v>371</v>
      </c>
      <c r="H87" s="222" t="str">
        <f>VLOOKUP(A87,'2. Status Detalhe Campos FY24'!$A$7:$G$731,7,0)</f>
        <v>1. Concluído</v>
      </c>
      <c r="I87" s="310" t="s">
        <v>38</v>
      </c>
      <c r="J87" s="309"/>
      <c r="K87" s="309"/>
      <c r="L87" s="276">
        <f t="array" ref="L87">MIN(IF(W87:CI87&gt;0,$W$16:$CI$16))</f>
        <v>45628</v>
      </c>
      <c r="M87" s="277">
        <f t="array" ref="M87">MAX(IF(W87:CI87&gt;0,$W$16:$CI$16))</f>
        <v>45639</v>
      </c>
      <c r="N87" s="277"/>
      <c r="O87" s="235">
        <f>VLOOKUP(H87,Auxiliar!$B$16:$E$24,4,0)</f>
        <v>1</v>
      </c>
      <c r="P87" s="235">
        <f ca="1">IF(TODAY()&lt;=L87,0,MIN((TODAY()-L87)/(M87-L87+1),100%))</f>
        <v>1</v>
      </c>
      <c r="Q87" s="235">
        <f ca="1">O87-P87</f>
        <v>0</v>
      </c>
      <c r="R87" s="247"/>
      <c r="S87" s="266" t="s">
        <v>1857</v>
      </c>
      <c r="T87" s="256">
        <v>4.0999999999999996</v>
      </c>
      <c r="U87" s="256">
        <f>ROUND(T87/8,1)</f>
        <v>0.5</v>
      </c>
      <c r="V87" s="256">
        <f>SUM(W87:CI87)-U87</f>
        <v>0</v>
      </c>
      <c r="W87" s="267"/>
      <c r="X87" s="267"/>
      <c r="Y87" s="267"/>
      <c r="Z87" s="267"/>
      <c r="AA87" s="267"/>
      <c r="AB87" s="267"/>
      <c r="AC87" s="274"/>
      <c r="AD87" s="268"/>
      <c r="AE87" s="267"/>
      <c r="AF87" s="267"/>
      <c r="AG87" s="267"/>
      <c r="AH87" s="267"/>
      <c r="AI87" s="267"/>
      <c r="AJ87" s="267"/>
      <c r="AK87" s="267"/>
      <c r="AL87" s="267"/>
      <c r="AM87" s="267"/>
      <c r="AN87" s="267"/>
      <c r="AO87" s="267"/>
      <c r="AP87" s="267"/>
      <c r="AQ87" s="267"/>
      <c r="AR87" s="267"/>
      <c r="AS87" s="267"/>
      <c r="AT87" s="267"/>
      <c r="AU87" s="267"/>
      <c r="AV87" s="267"/>
      <c r="AW87" s="267"/>
      <c r="AX87" s="267"/>
      <c r="AY87" s="267">
        <v>0.5</v>
      </c>
      <c r="AZ87" s="267"/>
      <c r="BA87" s="267"/>
      <c r="BB87" s="267"/>
      <c r="BC87" s="267"/>
      <c r="BD87" s="267"/>
      <c r="BE87" s="267"/>
      <c r="BF87" s="267"/>
      <c r="BG87" s="267"/>
      <c r="BH87" s="267" t="s">
        <v>443</v>
      </c>
      <c r="BI87" s="267"/>
      <c r="BJ87" s="267"/>
      <c r="BK87" s="267"/>
      <c r="BL87" s="267"/>
      <c r="BM87" s="267"/>
      <c r="BN87" s="267"/>
      <c r="BO87" s="268"/>
      <c r="BP87" s="268"/>
      <c r="BQ87" s="268"/>
      <c r="BR87" s="268"/>
      <c r="BS87" s="268"/>
      <c r="BT87" s="268"/>
      <c r="BU87" s="268"/>
      <c r="BV87" s="267"/>
      <c r="BW87" s="267"/>
      <c r="BX87" s="267"/>
      <c r="BY87" s="267"/>
      <c r="BZ87" s="267"/>
      <c r="CA87" s="267"/>
      <c r="CB87" s="267"/>
      <c r="CC87" s="267"/>
      <c r="CD87" s="267"/>
      <c r="CE87" s="267"/>
      <c r="CF87" s="267"/>
      <c r="CG87" s="267"/>
      <c r="CH87" s="267"/>
      <c r="CI87" s="267"/>
    </row>
    <row r="88" spans="1:87" ht="15" customHeight="1" collapsed="1">
      <c r="A88" s="260"/>
      <c r="B88" s="141" t="s">
        <v>26</v>
      </c>
      <c r="C88" s="137" t="s">
        <v>26</v>
      </c>
      <c r="D88" s="133"/>
      <c r="E88" s="228" t="s">
        <v>335</v>
      </c>
      <c r="F88" s="226" t="s">
        <v>1904</v>
      </c>
      <c r="G88" s="227">
        <f>COUNTA(G89:G91)</f>
        <v>3</v>
      </c>
      <c r="H88" s="281" t="s">
        <v>1915</v>
      </c>
      <c r="I88" s="264">
        <f>MAX(I89:I91)</f>
        <v>45590</v>
      </c>
      <c r="J88" s="263">
        <f>MIN(J89:J91)</f>
        <v>45611</v>
      </c>
      <c r="K88" s="263">
        <f>MIN(K89:K91)</f>
        <v>45611</v>
      </c>
      <c r="L88" s="263">
        <f>MIN(L89:L91)</f>
        <v>45628</v>
      </c>
      <c r="M88" s="264">
        <f>MAX(M89:M91)</f>
        <v>45630</v>
      </c>
      <c r="N88" s="308">
        <f t="array" ref="N88">MAX(IF(W88:CI88&gt;0,$W$16:$CI$16))</f>
        <v>45632</v>
      </c>
      <c r="O88" s="307">
        <f>SUMPRODUCT(O89:O91,U89:U91)/SUM(U89:U91)</f>
        <v>1</v>
      </c>
      <c r="P88" s="307">
        <f ca="1">SUMPRODUCT(P89:P91,U89:U91)/SUM(U89:U91)</f>
        <v>1</v>
      </c>
      <c r="Q88" s="242">
        <f t="shared" ca="1" si="26"/>
        <v>0</v>
      </c>
      <c r="R88" s="325" t="s">
        <v>1935</v>
      </c>
      <c r="S88" s="266"/>
      <c r="T88" s="256"/>
      <c r="U88" s="256"/>
      <c r="V88" s="256"/>
      <c r="W88" s="267"/>
      <c r="X88" s="267"/>
      <c r="Y88" s="275"/>
      <c r="Z88" s="267"/>
      <c r="AA88" s="267"/>
      <c r="AB88" s="267"/>
      <c r="AC88" s="267"/>
      <c r="AD88" s="268"/>
      <c r="AE88" s="267"/>
      <c r="AF88" s="267"/>
      <c r="AG88" s="267"/>
      <c r="AH88" s="267"/>
      <c r="AI88" s="267"/>
      <c r="AJ88" s="267"/>
      <c r="AK88" s="267"/>
      <c r="AL88" s="267"/>
      <c r="AM88" s="267"/>
      <c r="AN88" s="274"/>
      <c r="AO88" s="267"/>
      <c r="AP88" s="267"/>
      <c r="AQ88" s="267"/>
      <c r="AR88" s="267"/>
      <c r="AS88" s="267"/>
      <c r="AT88" s="267"/>
      <c r="AU88" s="267"/>
      <c r="AV88" s="267"/>
      <c r="AW88" s="267"/>
      <c r="AX88" s="267"/>
      <c r="AY88" s="267"/>
      <c r="AZ88" s="267"/>
      <c r="BA88" s="267"/>
      <c r="BB88" s="267"/>
      <c r="BC88" s="270" t="s">
        <v>443</v>
      </c>
      <c r="BD88" s="267"/>
      <c r="BE88" s="267"/>
      <c r="BF88" s="267"/>
      <c r="BG88" s="267"/>
      <c r="BH88" s="267"/>
      <c r="BI88" s="267"/>
      <c r="BJ88" s="267"/>
      <c r="BK88" s="267"/>
      <c r="BL88" s="267"/>
      <c r="BM88" s="267"/>
      <c r="BN88" s="267"/>
      <c r="BO88" s="268"/>
      <c r="BP88" s="268"/>
      <c r="BQ88" s="268"/>
      <c r="BR88" s="268"/>
      <c r="BS88" s="268"/>
      <c r="BT88" s="268"/>
      <c r="BU88" s="268"/>
      <c r="BV88" s="267"/>
      <c r="BW88" s="267"/>
      <c r="BX88" s="267"/>
      <c r="BY88" s="267"/>
      <c r="BZ88" s="267"/>
      <c r="CA88" s="267"/>
      <c r="CB88" s="267"/>
      <c r="CC88" s="267"/>
      <c r="CD88" s="267"/>
      <c r="CE88" s="267"/>
      <c r="CF88" s="267"/>
      <c r="CG88" s="267"/>
      <c r="CH88" s="267"/>
      <c r="CI88" s="267"/>
    </row>
    <row r="89" spans="1:87" ht="16.5" outlineLevel="1">
      <c r="A89" s="260" t="str">
        <f>E89&amp;G89</f>
        <v>lt003_entityflg_nfrd_applcblty</v>
      </c>
      <c r="B89" s="141" t="s">
        <v>26</v>
      </c>
      <c r="C89" s="137" t="s">
        <v>26</v>
      </c>
      <c r="D89" s="222" t="s">
        <v>40</v>
      </c>
      <c r="E89" s="225" t="s">
        <v>335</v>
      </c>
      <c r="F89" s="225"/>
      <c r="G89" s="225" t="s">
        <v>352</v>
      </c>
      <c r="H89" s="222" t="str">
        <f>VLOOKUP(A89,'2. Status Detalhe Campos FY24'!$A$7:$G$731,7,0)</f>
        <v>1. Concluído</v>
      </c>
      <c r="I89" s="262">
        <v>45589</v>
      </c>
      <c r="J89" s="288">
        <v>45611</v>
      </c>
      <c r="K89" s="289">
        <v>45611</v>
      </c>
      <c r="L89" s="276">
        <f t="array" ref="L89">MIN(IF(W89:CI89&gt;0,$W$16:$CI$16))</f>
        <v>45628</v>
      </c>
      <c r="M89" s="277">
        <f t="array" ref="M89">MAX(IF(W89:CI89&gt;0,$W$16:$CI$16))</f>
        <v>45628</v>
      </c>
      <c r="N89" s="277"/>
      <c r="O89" s="235">
        <f>VLOOKUP(H89,Auxiliar!$B$16:$E$24,4,0)</f>
        <v>1</v>
      </c>
      <c r="P89" s="299">
        <f ca="1">IF(TODAY()&lt;=L89,0,MIN((TODAY()-L89)/(M89-L89+1),100%))</f>
        <v>1</v>
      </c>
      <c r="Q89" s="234">
        <f t="shared" ca="1" si="26"/>
        <v>0</v>
      </c>
      <c r="R89" s="248" t="s">
        <v>38</v>
      </c>
      <c r="S89" s="266"/>
      <c r="T89" s="256">
        <v>4.0999999999999996</v>
      </c>
      <c r="U89" s="256">
        <f>ROUND(T89/8,1)</f>
        <v>0.5</v>
      </c>
      <c r="V89" s="256">
        <f>SUM(W89:CI89)-U89</f>
        <v>0</v>
      </c>
      <c r="W89" s="267"/>
      <c r="X89" s="267"/>
      <c r="Y89" s="267"/>
      <c r="Z89" s="267"/>
      <c r="AA89" s="267"/>
      <c r="AB89" s="267"/>
      <c r="AC89" s="267"/>
      <c r="AD89" s="268"/>
      <c r="AE89" s="267"/>
      <c r="AF89" s="267"/>
      <c r="AG89" s="267"/>
      <c r="AH89" s="267"/>
      <c r="AI89" s="267"/>
      <c r="AJ89" s="267"/>
      <c r="AK89" s="267"/>
      <c r="AL89" s="267"/>
      <c r="AM89" s="267"/>
      <c r="AN89" s="274"/>
      <c r="AO89" s="267"/>
      <c r="AP89" s="267"/>
      <c r="AQ89" s="267"/>
      <c r="AR89" s="267"/>
      <c r="AS89" s="267"/>
      <c r="AT89" s="267"/>
      <c r="AU89" s="267"/>
      <c r="AV89" s="267"/>
      <c r="AW89" s="267"/>
      <c r="AX89" s="267"/>
      <c r="AY89" s="267">
        <v>0.5</v>
      </c>
      <c r="AZ89" s="267"/>
      <c r="BA89" s="267"/>
      <c r="BB89" s="267"/>
      <c r="BC89" s="267"/>
      <c r="BD89" s="267"/>
      <c r="BE89" s="267"/>
      <c r="BF89" s="267"/>
      <c r="BG89" s="267"/>
      <c r="BH89" s="267"/>
      <c r="BI89" s="267"/>
      <c r="BJ89" s="267"/>
      <c r="BK89" s="267"/>
      <c r="BL89" s="267"/>
      <c r="BM89" s="267"/>
      <c r="BN89" s="267"/>
      <c r="BO89" s="268"/>
      <c r="BP89" s="268"/>
      <c r="BQ89" s="268"/>
      <c r="BR89" s="268"/>
      <c r="BS89" s="268"/>
      <c r="BT89" s="268"/>
      <c r="BU89" s="268"/>
      <c r="BV89" s="267"/>
      <c r="BW89" s="267"/>
      <c r="BX89" s="267"/>
      <c r="BY89" s="267"/>
      <c r="BZ89" s="267"/>
      <c r="CA89" s="267"/>
      <c r="CB89" s="267"/>
      <c r="CC89" s="267"/>
      <c r="CD89" s="267"/>
      <c r="CE89" s="267"/>
      <c r="CF89" s="267"/>
      <c r="CG89" s="267"/>
      <c r="CH89" s="267"/>
      <c r="CI89" s="267"/>
    </row>
    <row r="90" spans="1:87" ht="16.5" outlineLevel="1">
      <c r="A90" s="260" t="str">
        <f>E90&amp;G90</f>
        <v>lt003_entitypure_capex_cca</v>
      </c>
      <c r="B90" s="141" t="s">
        <v>26</v>
      </c>
      <c r="C90" s="137" t="s">
        <v>26</v>
      </c>
      <c r="D90" s="222" t="s">
        <v>40</v>
      </c>
      <c r="E90" s="225" t="s">
        <v>335</v>
      </c>
      <c r="F90" s="225"/>
      <c r="G90" s="225" t="s">
        <v>346</v>
      </c>
      <c r="H90" s="222" t="str">
        <f>VLOOKUP(A90,'2. Status Detalhe Campos FY24'!$A$7:$G$731,7,0)</f>
        <v>1. Concluído</v>
      </c>
      <c r="I90" s="262" t="s">
        <v>38</v>
      </c>
      <c r="J90" s="287">
        <v>45611</v>
      </c>
      <c r="K90" s="289">
        <v>45611</v>
      </c>
      <c r="L90" s="276">
        <f t="array" ref="L90">MIN(IF(W90:CI90&gt;0,$W$16:$CI$16))</f>
        <v>45629</v>
      </c>
      <c r="M90" s="277">
        <f t="array" ref="M90">MAX(IF(W90:CI90&gt;0,$W$16:$CI$16))</f>
        <v>45629</v>
      </c>
      <c r="N90" s="277"/>
      <c r="O90" s="235">
        <f>VLOOKUP(H90,Auxiliar!$B$16:$E$24,4,0)</f>
        <v>1</v>
      </c>
      <c r="P90" s="299">
        <f ca="1">IF(TODAY()&lt;=L90,0,MIN((TODAY()-L90)/(M90-L90+1),100%))</f>
        <v>1</v>
      </c>
      <c r="Q90" s="234">
        <f t="shared" ca="1" si="26"/>
        <v>0</v>
      </c>
      <c r="R90" s="248" t="s">
        <v>38</v>
      </c>
      <c r="S90" s="266"/>
      <c r="T90" s="256">
        <v>4.0999999999999996</v>
      </c>
      <c r="U90" s="256">
        <f>ROUND(T90/8,1)</f>
        <v>0.5</v>
      </c>
      <c r="V90" s="256">
        <f>SUM(W90:CI90)-U90</f>
        <v>0</v>
      </c>
      <c r="W90" s="267"/>
      <c r="X90" s="267"/>
      <c r="Y90" s="267"/>
      <c r="Z90" s="267"/>
      <c r="AA90" s="267"/>
      <c r="AB90" s="267"/>
      <c r="AC90" s="267"/>
      <c r="AD90" s="268"/>
      <c r="AE90" s="267"/>
      <c r="AF90" s="267"/>
      <c r="AG90" s="267"/>
      <c r="AH90" s="267"/>
      <c r="AI90" s="267"/>
      <c r="AJ90" s="267"/>
      <c r="AK90" s="267"/>
      <c r="AL90" s="267"/>
      <c r="AM90" s="267"/>
      <c r="AN90" s="274"/>
      <c r="AO90" s="267"/>
      <c r="AP90" s="267"/>
      <c r="AQ90" s="267"/>
      <c r="AR90" s="267"/>
      <c r="AS90" s="267"/>
      <c r="AT90" s="267"/>
      <c r="AU90" s="267"/>
      <c r="AV90" s="267"/>
      <c r="AW90" s="267"/>
      <c r="AX90" s="267"/>
      <c r="AY90" s="267"/>
      <c r="AZ90" s="267">
        <v>0.5</v>
      </c>
      <c r="BA90" s="267"/>
      <c r="BB90" s="267"/>
      <c r="BC90" s="267"/>
      <c r="BD90" s="267"/>
      <c r="BE90" s="267"/>
      <c r="BF90" s="267"/>
      <c r="BG90" s="267"/>
      <c r="BH90" s="267"/>
      <c r="BI90" s="267"/>
      <c r="BJ90" s="267"/>
      <c r="BK90" s="267"/>
      <c r="BL90" s="267"/>
      <c r="BM90" s="267"/>
      <c r="BN90" s="267"/>
      <c r="BO90" s="268"/>
      <c r="BP90" s="268"/>
      <c r="BQ90" s="268"/>
      <c r="BR90" s="268"/>
      <c r="BS90" s="268"/>
      <c r="BT90" s="268"/>
      <c r="BU90" s="268"/>
      <c r="BV90" s="267"/>
      <c r="BW90" s="267"/>
      <c r="BX90" s="267"/>
      <c r="BY90" s="267"/>
      <c r="BZ90" s="267"/>
      <c r="CA90" s="267"/>
      <c r="CB90" s="267"/>
      <c r="CC90" s="267"/>
      <c r="CD90" s="267"/>
      <c r="CE90" s="267"/>
      <c r="CF90" s="267"/>
      <c r="CG90" s="267"/>
      <c r="CH90" s="267"/>
      <c r="CI90" s="267"/>
    </row>
    <row r="91" spans="1:87" ht="16.5" outlineLevel="1">
      <c r="A91" s="260" t="str">
        <f>E91&amp;G91</f>
        <v>lt003_entitygrp_annl_trnvr_le</v>
      </c>
      <c r="B91" s="141" t="s">
        <v>26</v>
      </c>
      <c r="C91" s="137" t="s">
        <v>26</v>
      </c>
      <c r="D91" s="222" t="s">
        <v>40</v>
      </c>
      <c r="E91" s="225" t="s">
        <v>335</v>
      </c>
      <c r="F91" s="225"/>
      <c r="G91" s="225" t="s">
        <v>362</v>
      </c>
      <c r="H91" s="222" t="str">
        <f>VLOOKUP(A91,'2. Status Detalhe Campos FY24'!$A$7:$G$731,7,0)</f>
        <v>1. Concluído</v>
      </c>
      <c r="I91" s="271">
        <v>45590</v>
      </c>
      <c r="J91" s="288">
        <v>45611</v>
      </c>
      <c r="K91" s="289">
        <v>45611</v>
      </c>
      <c r="L91" s="276">
        <f t="array" ref="L91">MIN(IF(W91:CI91&gt;0,$W$16:$CI$16))</f>
        <v>45630</v>
      </c>
      <c r="M91" s="277">
        <f t="array" ref="M91">MAX(IF(W91:CI91&gt;0,$W$16:$CI$16))</f>
        <v>45630</v>
      </c>
      <c r="N91" s="277"/>
      <c r="O91" s="235">
        <f>VLOOKUP(H91,Auxiliar!$B$16:$E$24,4,0)</f>
        <v>1</v>
      </c>
      <c r="P91" s="299">
        <f ca="1">IF(TODAY()&lt;=L91,0,MIN((TODAY()-L91)/(M91-L91+1),100%))</f>
        <v>1</v>
      </c>
      <c r="Q91" s="234">
        <f t="shared" ca="1" si="26"/>
        <v>0</v>
      </c>
      <c r="R91" s="248" t="s">
        <v>38</v>
      </c>
      <c r="S91" s="266"/>
      <c r="T91" s="256">
        <v>4.0999999999999996</v>
      </c>
      <c r="U91" s="256">
        <f>ROUND(T91/8,1)</f>
        <v>0.5</v>
      </c>
      <c r="V91" s="256">
        <f>SUM(W91:CI91)-U91</f>
        <v>0</v>
      </c>
      <c r="W91" s="267"/>
      <c r="X91" s="267"/>
      <c r="Y91" s="275"/>
      <c r="Z91" s="267"/>
      <c r="AA91" s="267"/>
      <c r="AB91" s="267"/>
      <c r="AC91" s="267"/>
      <c r="AD91" s="268"/>
      <c r="AE91" s="267"/>
      <c r="AF91" s="267"/>
      <c r="AG91" s="267"/>
      <c r="AH91" s="267"/>
      <c r="AI91" s="267"/>
      <c r="AJ91" s="267"/>
      <c r="AK91" s="267"/>
      <c r="AL91" s="267"/>
      <c r="AM91" s="267"/>
      <c r="AN91" s="274"/>
      <c r="AO91" s="267"/>
      <c r="AP91" s="267"/>
      <c r="AQ91" s="267"/>
      <c r="AR91" s="267"/>
      <c r="AS91" s="267"/>
      <c r="AT91" s="267"/>
      <c r="AU91" s="267"/>
      <c r="AV91" s="267"/>
      <c r="AW91" s="267"/>
      <c r="AX91" s="267"/>
      <c r="AY91" s="267"/>
      <c r="AZ91" s="267"/>
      <c r="BA91" s="267">
        <v>0.5</v>
      </c>
      <c r="BB91" s="267"/>
      <c r="BC91" s="267"/>
      <c r="BD91" s="267"/>
      <c r="BE91" s="267"/>
      <c r="BF91" s="267"/>
      <c r="BG91" s="267"/>
      <c r="BH91" s="267"/>
      <c r="BI91" s="267"/>
      <c r="BJ91" s="267"/>
      <c r="BK91" s="267"/>
      <c r="BL91" s="267"/>
      <c r="BM91" s="267"/>
      <c r="BN91" s="267"/>
      <c r="BO91" s="268"/>
      <c r="BP91" s="268"/>
      <c r="BQ91" s="268"/>
      <c r="BR91" s="268"/>
      <c r="BS91" s="268"/>
      <c r="BT91" s="268"/>
      <c r="BU91" s="268"/>
      <c r="BV91" s="267"/>
      <c r="BW91" s="267"/>
      <c r="BX91" s="267"/>
      <c r="BY91" s="267"/>
      <c r="BZ91" s="267"/>
      <c r="CA91" s="267"/>
      <c r="CB91" s="267"/>
      <c r="CC91" s="267"/>
      <c r="CD91" s="267"/>
      <c r="CE91" s="267"/>
      <c r="CF91" s="267"/>
      <c r="CG91" s="267"/>
      <c r="CH91" s="267"/>
      <c r="CI91" s="267"/>
    </row>
    <row r="92" spans="1:87" ht="16.5" collapsed="1">
      <c r="A92" s="260"/>
      <c r="B92" s="141" t="s">
        <v>26</v>
      </c>
      <c r="C92" s="137" t="s">
        <v>26</v>
      </c>
      <c r="D92" s="222"/>
      <c r="E92" s="228" t="s">
        <v>335</v>
      </c>
      <c r="F92" s="226" t="s">
        <v>1936</v>
      </c>
      <c r="G92" s="227">
        <f>COUNTA(G93)</f>
        <v>1</v>
      </c>
      <c r="H92" s="281" t="s">
        <v>1915</v>
      </c>
      <c r="I92" s="289" t="s">
        <v>38</v>
      </c>
      <c r="J92" s="263">
        <f>MIN(J93:J94)</f>
        <v>0</v>
      </c>
      <c r="K92" s="263">
        <f>MIN(K93)</f>
        <v>0</v>
      </c>
      <c r="L92" s="263">
        <f>MIN(L93)</f>
        <v>45629</v>
      </c>
      <c r="M92" s="264">
        <f>MAX(M93)</f>
        <v>45639</v>
      </c>
      <c r="N92" s="308">
        <f t="array" ref="N92">MAX(IF(W92:CI92&gt;0,$W$16:$CI$16))</f>
        <v>45646</v>
      </c>
      <c r="O92" s="307">
        <f>O93</f>
        <v>1</v>
      </c>
      <c r="P92" s="307">
        <f ca="1">P93</f>
        <v>1</v>
      </c>
      <c r="Q92" s="242">
        <f t="shared" ca="1" si="26"/>
        <v>0</v>
      </c>
      <c r="R92" s="325" t="s">
        <v>1942</v>
      </c>
      <c r="S92" s="266"/>
      <c r="T92" s="256"/>
      <c r="U92" s="256"/>
      <c r="V92" s="256"/>
      <c r="W92" s="267"/>
      <c r="X92" s="267"/>
      <c r="Y92" s="275"/>
      <c r="Z92" s="267"/>
      <c r="AA92" s="267"/>
      <c r="AB92" s="267"/>
      <c r="AC92" s="267"/>
      <c r="AD92" s="268"/>
      <c r="AE92" s="267"/>
      <c r="AF92" s="267"/>
      <c r="AG92" s="267"/>
      <c r="AH92" s="267"/>
      <c r="AI92" s="267"/>
      <c r="AJ92" s="267"/>
      <c r="AK92" s="267"/>
      <c r="AL92" s="267"/>
      <c r="AM92" s="267"/>
      <c r="AN92" s="274"/>
      <c r="AO92" s="267"/>
      <c r="AP92" s="267"/>
      <c r="AQ92" s="267"/>
      <c r="AR92" s="267"/>
      <c r="AS92" s="267"/>
      <c r="AT92" s="267"/>
      <c r="AU92" s="267"/>
      <c r="AV92" s="267"/>
      <c r="AW92" s="267"/>
      <c r="AX92" s="267"/>
      <c r="AY92" s="267"/>
      <c r="AZ92" s="267"/>
      <c r="BA92" s="267"/>
      <c r="BB92" s="267"/>
      <c r="BC92" s="267" t="s">
        <v>443</v>
      </c>
      <c r="BD92" s="267"/>
      <c r="BE92" s="267"/>
      <c r="BF92" s="267"/>
      <c r="BG92" s="267"/>
      <c r="BH92" s="267" t="s">
        <v>443</v>
      </c>
      <c r="BI92" s="267"/>
      <c r="BJ92" s="267"/>
      <c r="BK92" s="267"/>
      <c r="BL92" s="267"/>
      <c r="BM92" s="267" t="s">
        <v>443</v>
      </c>
      <c r="BN92" s="267"/>
      <c r="BO92" s="268"/>
      <c r="BP92" s="268"/>
      <c r="BQ92" s="268"/>
      <c r="BR92" s="268"/>
      <c r="BS92" s="268"/>
      <c r="BT92" s="268"/>
      <c r="BU92" s="268"/>
      <c r="BV92" s="267"/>
      <c r="BW92" s="267"/>
      <c r="BX92" s="267"/>
      <c r="BY92" s="267"/>
      <c r="BZ92" s="267"/>
      <c r="CA92" s="267"/>
      <c r="CB92" s="267"/>
      <c r="CC92" s="267"/>
      <c r="CD92" s="267"/>
      <c r="CE92" s="267"/>
      <c r="CF92" s="267"/>
      <c r="CG92" s="267"/>
      <c r="CH92" s="267"/>
      <c r="CI92" s="267"/>
    </row>
    <row r="93" spans="1:87" ht="16.5" outlineLevel="1">
      <c r="A93" s="260" t="str">
        <f>E93&amp;G93</f>
        <v>lt003_entityesg_sbsctr</v>
      </c>
      <c r="B93" s="141" t="s">
        <v>26</v>
      </c>
      <c r="C93" s="137" t="s">
        <v>26</v>
      </c>
      <c r="D93" s="222" t="s">
        <v>40</v>
      </c>
      <c r="E93" s="225" t="s">
        <v>335</v>
      </c>
      <c r="F93" s="225"/>
      <c r="G93" s="225" t="s">
        <v>360</v>
      </c>
      <c r="H93" s="222" t="str">
        <f>VLOOKUP(A93,'2. Status Detalhe Campos FY24'!$A$7:$G$731,7,0)</f>
        <v>1. Concluído</v>
      </c>
      <c r="I93" s="310" t="s">
        <v>38</v>
      </c>
      <c r="J93" s="310"/>
      <c r="K93" s="310"/>
      <c r="L93" s="276">
        <f t="array" ref="L93">MIN(IF(W93:CI93&gt;0,$W$16:$CI$16))</f>
        <v>45629</v>
      </c>
      <c r="M93" s="277">
        <f t="array" ref="M93">MAX(IF(W93:CI93&gt;0,$W$16:$CI$16))</f>
        <v>45639</v>
      </c>
      <c r="N93" s="277"/>
      <c r="O93" s="235">
        <f>VLOOKUP(H93,Auxiliar!$B$16:$E$24,4,0)</f>
        <v>1</v>
      </c>
      <c r="P93" s="235">
        <f ca="1">IF(TODAY()&lt;=L93,0,MIN((TODAY()-L93)/(M93-L93+1),100%))</f>
        <v>1</v>
      </c>
      <c r="Q93" s="235">
        <f ca="1">O93-P93</f>
        <v>0</v>
      </c>
      <c r="R93" s="324" t="s">
        <v>38</v>
      </c>
      <c r="S93" s="266"/>
      <c r="T93" s="256">
        <v>4.0999999999999996</v>
      </c>
      <c r="U93" s="256">
        <f>ROUND(T93/8,1)</f>
        <v>0.5</v>
      </c>
      <c r="V93" s="256">
        <f>SUM(W93:CI93)-U93</f>
        <v>0</v>
      </c>
      <c r="W93" s="267"/>
      <c r="X93" s="267"/>
      <c r="Y93" s="267"/>
      <c r="Z93" s="267"/>
      <c r="AA93" s="267"/>
      <c r="AB93" s="267"/>
      <c r="AC93" s="267"/>
      <c r="AD93" s="268"/>
      <c r="AE93" s="267"/>
      <c r="AF93" s="267"/>
      <c r="AG93" s="267"/>
      <c r="AH93" s="267"/>
      <c r="AI93" s="267"/>
      <c r="AJ93" s="267"/>
      <c r="AK93" s="267"/>
      <c r="AL93" s="267"/>
      <c r="AM93" s="267"/>
      <c r="AN93" s="274"/>
      <c r="AO93" s="267"/>
      <c r="AP93" s="267"/>
      <c r="AQ93" s="267"/>
      <c r="AR93" s="267"/>
      <c r="AS93" s="267"/>
      <c r="AT93" s="267"/>
      <c r="AU93" s="267"/>
      <c r="AV93" s="267"/>
      <c r="AW93" s="267"/>
      <c r="AX93" s="267"/>
      <c r="AY93" s="267"/>
      <c r="AZ93" s="267">
        <v>0.5</v>
      </c>
      <c r="BA93" s="267"/>
      <c r="BB93" s="267"/>
      <c r="BC93" s="267"/>
      <c r="BD93" s="267"/>
      <c r="BE93" s="267"/>
      <c r="BF93" s="267"/>
      <c r="BG93" s="267"/>
      <c r="BH93" s="267" t="s">
        <v>443</v>
      </c>
      <c r="BI93" s="267"/>
      <c r="BJ93" s="267"/>
      <c r="BK93" s="267"/>
      <c r="BL93" s="267"/>
      <c r="BM93" s="267"/>
      <c r="BN93" s="267"/>
      <c r="BO93" s="268"/>
      <c r="BP93" s="268"/>
      <c r="BQ93" s="268"/>
      <c r="BR93" s="268"/>
      <c r="BS93" s="268"/>
      <c r="BT93" s="268"/>
      <c r="BU93" s="268"/>
      <c r="BV93" s="267"/>
      <c r="BW93" s="267"/>
      <c r="BX93" s="267"/>
      <c r="BY93" s="267"/>
      <c r="BZ93" s="267"/>
      <c r="CA93" s="267"/>
      <c r="CB93" s="267"/>
      <c r="CC93" s="267"/>
      <c r="CD93" s="267"/>
      <c r="CE93" s="267"/>
      <c r="CF93" s="267"/>
      <c r="CG93" s="267"/>
      <c r="CH93" s="267"/>
      <c r="CI93" s="267"/>
    </row>
    <row r="94" spans="1:87" ht="16.5" collapsed="1">
      <c r="A94" s="260"/>
      <c r="B94" s="141" t="s">
        <v>26</v>
      </c>
      <c r="C94" s="137" t="s">
        <v>26</v>
      </c>
      <c r="D94" s="222"/>
      <c r="E94" s="228" t="s">
        <v>335</v>
      </c>
      <c r="F94" s="226" t="s">
        <v>1937</v>
      </c>
      <c r="G94" s="227">
        <f>COUNTA(G95)</f>
        <v>1</v>
      </c>
      <c r="H94" s="281" t="s">
        <v>1915</v>
      </c>
      <c r="I94" s="290">
        <v>45636</v>
      </c>
      <c r="J94" s="263">
        <f>MIN(J95)</f>
        <v>0</v>
      </c>
      <c r="K94" s="263">
        <f>MIN(K95)</f>
        <v>0</v>
      </c>
      <c r="L94" s="263">
        <f>MIN(L95)</f>
        <v>45630</v>
      </c>
      <c r="M94" s="264">
        <f>MAX(M95)</f>
        <v>45639</v>
      </c>
      <c r="N94" s="308">
        <f t="array" ref="N94">MAX(IF(W94:CI94&gt;0,$W$16:$CI$16))</f>
        <v>45646</v>
      </c>
      <c r="O94" s="307">
        <f>O95</f>
        <v>1</v>
      </c>
      <c r="P94" s="307">
        <f ca="1">P95</f>
        <v>1</v>
      </c>
      <c r="Q94" s="242">
        <f ca="1">O94-P94</f>
        <v>0</v>
      </c>
      <c r="R94" s="325" t="s">
        <v>1942</v>
      </c>
      <c r="S94" s="266"/>
      <c r="T94" s="256"/>
      <c r="U94" s="256"/>
      <c r="V94" s="256"/>
      <c r="W94" s="267"/>
      <c r="X94" s="267"/>
      <c r="Y94" s="275"/>
      <c r="Z94" s="267"/>
      <c r="AA94" s="267"/>
      <c r="AB94" s="267"/>
      <c r="AC94" s="267"/>
      <c r="AD94" s="268"/>
      <c r="AE94" s="267"/>
      <c r="AF94" s="267"/>
      <c r="AG94" s="267"/>
      <c r="AH94" s="267"/>
      <c r="AI94" s="267"/>
      <c r="AJ94" s="267"/>
      <c r="AK94" s="267"/>
      <c r="AL94" s="267"/>
      <c r="AM94" s="267"/>
      <c r="AN94" s="274"/>
      <c r="AO94" s="267"/>
      <c r="AP94" s="267"/>
      <c r="AQ94" s="267"/>
      <c r="AR94" s="267"/>
      <c r="AS94" s="267"/>
      <c r="AT94" s="267"/>
      <c r="AU94" s="267"/>
      <c r="AV94" s="267"/>
      <c r="AW94" s="267"/>
      <c r="AX94" s="267"/>
      <c r="AY94" s="267"/>
      <c r="AZ94" s="267"/>
      <c r="BA94" s="267"/>
      <c r="BB94" s="267"/>
      <c r="BC94" s="267" t="s">
        <v>443</v>
      </c>
      <c r="BD94" s="267"/>
      <c r="BE94" s="275"/>
      <c r="BF94" s="267"/>
      <c r="BG94" s="267"/>
      <c r="BH94" s="267" t="s">
        <v>443</v>
      </c>
      <c r="BI94" s="267"/>
      <c r="BJ94" s="267"/>
      <c r="BK94" s="267"/>
      <c r="BL94" s="267"/>
      <c r="BM94" s="267" t="s">
        <v>443</v>
      </c>
      <c r="BN94" s="267"/>
      <c r="BO94" s="268"/>
      <c r="BP94" s="268"/>
      <c r="BQ94" s="268"/>
      <c r="BR94" s="268"/>
      <c r="BS94" s="268"/>
      <c r="BT94" s="268"/>
      <c r="BU94" s="268"/>
      <c r="BV94" s="267"/>
      <c r="BW94" s="267"/>
      <c r="BX94" s="267"/>
      <c r="BY94" s="267"/>
      <c r="BZ94" s="267"/>
      <c r="CA94" s="267"/>
      <c r="CB94" s="267"/>
      <c r="CC94" s="267"/>
      <c r="CD94" s="267"/>
      <c r="CE94" s="267"/>
      <c r="CF94" s="267"/>
      <c r="CG94" s="267"/>
      <c r="CH94" s="267"/>
      <c r="CI94" s="267"/>
    </row>
    <row r="95" spans="1:87" ht="16.5" outlineLevel="1">
      <c r="A95" s="260" t="str">
        <f>E95&amp;G95</f>
        <v>lt003_entitygrp_ttl_lblty</v>
      </c>
      <c r="B95" s="141" t="s">
        <v>26</v>
      </c>
      <c r="C95" s="137" t="s">
        <v>26</v>
      </c>
      <c r="D95" s="222" t="s">
        <v>40</v>
      </c>
      <c r="E95" s="225" t="s">
        <v>335</v>
      </c>
      <c r="F95" s="225"/>
      <c r="G95" s="225" t="s">
        <v>363</v>
      </c>
      <c r="H95" s="222" t="str">
        <f>VLOOKUP(A95,'2. Status Detalhe Campos FY24'!$A$7:$G$731,7,0)</f>
        <v>1. Concluído</v>
      </c>
      <c r="I95" s="310">
        <v>45636</v>
      </c>
      <c r="J95" s="310"/>
      <c r="K95" s="310"/>
      <c r="L95" s="276">
        <f t="array" ref="L95">MIN(IF(W95:CI95&gt;0,$W$16:$CI$16))</f>
        <v>45630</v>
      </c>
      <c r="M95" s="277">
        <f t="array" ref="M95">MAX(IF(W95:CI95&gt;0,$W$16:$CI$16))</f>
        <v>45639</v>
      </c>
      <c r="N95" s="277"/>
      <c r="O95" s="235">
        <f>VLOOKUP(H95,Auxiliar!$B$16:$E$24,4,0)</f>
        <v>1</v>
      </c>
      <c r="P95" s="235">
        <f ca="1">IF(TODAY()&lt;=L95,0,MIN((TODAY()-L95)/(M95-L95+1),100%))</f>
        <v>1</v>
      </c>
      <c r="Q95" s="235">
        <f ca="1">O95-P95</f>
        <v>0</v>
      </c>
      <c r="R95" s="324" t="s">
        <v>38</v>
      </c>
      <c r="S95" s="266"/>
      <c r="T95" s="256">
        <v>4.0999999999999996</v>
      </c>
      <c r="U95" s="256">
        <f>ROUND(T95/8,1)</f>
        <v>0.5</v>
      </c>
      <c r="V95" s="256">
        <f>SUM(W95:CI95)-U95</f>
        <v>0</v>
      </c>
      <c r="W95" s="267"/>
      <c r="X95" s="267"/>
      <c r="Y95" s="275"/>
      <c r="Z95" s="267"/>
      <c r="AA95" s="267"/>
      <c r="AB95" s="267"/>
      <c r="AC95" s="267"/>
      <c r="AD95" s="268"/>
      <c r="AE95" s="267"/>
      <c r="AF95" s="267"/>
      <c r="AG95" s="267"/>
      <c r="AH95" s="267"/>
      <c r="AI95" s="267"/>
      <c r="AJ95" s="267"/>
      <c r="AK95" s="267"/>
      <c r="AL95" s="267"/>
      <c r="AM95" s="267"/>
      <c r="AN95" s="274"/>
      <c r="AO95" s="267"/>
      <c r="AP95" s="267"/>
      <c r="AQ95" s="267"/>
      <c r="AR95" s="267"/>
      <c r="AS95" s="267"/>
      <c r="AT95" s="267"/>
      <c r="AU95" s="267"/>
      <c r="AV95" s="267"/>
      <c r="AW95" s="267"/>
      <c r="AX95" s="267"/>
      <c r="AY95" s="267"/>
      <c r="AZ95" s="267"/>
      <c r="BA95" s="267">
        <v>0.5</v>
      </c>
      <c r="BB95" s="267"/>
      <c r="BC95" s="267"/>
      <c r="BD95" s="267"/>
      <c r="BE95" s="275"/>
      <c r="BF95" s="267"/>
      <c r="BG95" s="267"/>
      <c r="BH95" s="267" t="s">
        <v>443</v>
      </c>
      <c r="BI95" s="267"/>
      <c r="BJ95" s="267"/>
      <c r="BK95" s="267"/>
      <c r="BL95" s="267"/>
      <c r="BM95" s="267"/>
      <c r="BN95" s="267"/>
      <c r="BO95" s="268"/>
      <c r="BP95" s="268"/>
      <c r="BQ95" s="268"/>
      <c r="BR95" s="268"/>
      <c r="BS95" s="268"/>
      <c r="BT95" s="268"/>
      <c r="BU95" s="268"/>
      <c r="BV95" s="267"/>
      <c r="BW95" s="267"/>
      <c r="BX95" s="267"/>
      <c r="BY95" s="267"/>
      <c r="BZ95" s="267"/>
      <c r="CA95" s="267"/>
      <c r="CB95" s="267"/>
      <c r="CC95" s="267"/>
      <c r="CD95" s="267"/>
      <c r="CE95" s="267"/>
      <c r="CF95" s="267"/>
      <c r="CG95" s="267"/>
      <c r="CH95" s="267"/>
      <c r="CI95" s="267"/>
    </row>
    <row r="96" spans="1:87" ht="15" customHeight="1" collapsed="1">
      <c r="A96" s="260"/>
      <c r="B96" s="141" t="s">
        <v>26</v>
      </c>
      <c r="C96" s="137" t="s">
        <v>26</v>
      </c>
      <c r="D96" s="133"/>
      <c r="E96" s="228" t="s">
        <v>335</v>
      </c>
      <c r="F96" s="226" t="s">
        <v>1938</v>
      </c>
      <c r="G96" s="227">
        <f>COUNTA(G97)</f>
        <v>1</v>
      </c>
      <c r="H96" s="281" t="s">
        <v>1915</v>
      </c>
      <c r="I96" s="264">
        <f>MAX(I97)</f>
        <v>45603</v>
      </c>
      <c r="J96" s="264">
        <f>MAX(J97)</f>
        <v>0</v>
      </c>
      <c r="K96" s="264">
        <f>MAX(K97)</f>
        <v>0</v>
      </c>
      <c r="L96" s="263">
        <f>MIN(L97)</f>
        <v>45628</v>
      </c>
      <c r="M96" s="264">
        <f>MAX(M97)</f>
        <v>45639</v>
      </c>
      <c r="N96" s="308">
        <f t="array" ref="N96">MAX(IF(W96:CI96&gt;0,$W$16:$CI$16))</f>
        <v>45639</v>
      </c>
      <c r="O96" s="307">
        <f>O97</f>
        <v>1</v>
      </c>
      <c r="P96" s="307">
        <f ca="1">P97</f>
        <v>1</v>
      </c>
      <c r="Q96" s="234">
        <f t="shared" ca="1" si="26"/>
        <v>0</v>
      </c>
      <c r="R96" s="325" t="s">
        <v>1941</v>
      </c>
      <c r="S96" s="266"/>
      <c r="T96" s="256"/>
      <c r="U96" s="256"/>
      <c r="V96" s="256"/>
      <c r="W96" s="267"/>
      <c r="X96" s="267"/>
      <c r="Y96" s="267"/>
      <c r="Z96" s="267"/>
      <c r="AA96" s="267"/>
      <c r="AB96" s="267"/>
      <c r="AC96" s="267"/>
      <c r="AD96" s="268"/>
      <c r="AE96" s="267"/>
      <c r="AF96" s="267"/>
      <c r="AG96" s="267"/>
      <c r="AH96" s="275"/>
      <c r="AI96" s="267"/>
      <c r="AJ96" s="267"/>
      <c r="AK96" s="267"/>
      <c r="AL96" s="267"/>
      <c r="AM96" s="267"/>
      <c r="AN96" s="274"/>
      <c r="AO96" s="267"/>
      <c r="AP96" s="267"/>
      <c r="AQ96" s="267"/>
      <c r="AR96" s="267"/>
      <c r="AS96" s="267"/>
      <c r="AT96" s="267"/>
      <c r="AU96" s="267"/>
      <c r="AV96" s="267"/>
      <c r="AW96" s="267"/>
      <c r="AX96" s="267"/>
      <c r="AY96" s="267"/>
      <c r="AZ96" s="267"/>
      <c r="BA96" s="267"/>
      <c r="BB96" s="267"/>
      <c r="BC96" s="270" t="s">
        <v>443</v>
      </c>
      <c r="BD96" s="267"/>
      <c r="BE96" s="267"/>
      <c r="BF96" s="267"/>
      <c r="BG96" s="267"/>
      <c r="BH96" s="267" t="s">
        <v>443</v>
      </c>
      <c r="BI96" s="267"/>
      <c r="BJ96" s="267"/>
      <c r="BK96" s="267"/>
      <c r="BL96" s="267"/>
      <c r="BM96" s="267"/>
      <c r="BN96" s="267"/>
      <c r="BO96" s="268"/>
      <c r="BP96" s="268"/>
      <c r="BQ96" s="268"/>
      <c r="BR96" s="268"/>
      <c r="BS96" s="268"/>
      <c r="BT96" s="268"/>
      <c r="BU96" s="268"/>
      <c r="BV96" s="267"/>
      <c r="BW96" s="267"/>
      <c r="BX96" s="267"/>
      <c r="BY96" s="267"/>
      <c r="BZ96" s="267"/>
      <c r="CA96" s="267"/>
      <c r="CB96" s="267"/>
      <c r="CC96" s="267"/>
      <c r="CD96" s="267"/>
      <c r="CE96" s="267"/>
      <c r="CF96" s="267"/>
      <c r="CG96" s="267"/>
      <c r="CH96" s="267"/>
      <c r="CI96" s="267"/>
    </row>
    <row r="97" spans="1:87" ht="16.5" outlineLevel="1">
      <c r="A97" s="260" t="str">
        <f>E97&amp;G97</f>
        <v>lt003_entityisin</v>
      </c>
      <c r="B97" s="141" t="s">
        <v>26</v>
      </c>
      <c r="C97" s="137" t="s">
        <v>26</v>
      </c>
      <c r="D97" s="222" t="s">
        <v>40</v>
      </c>
      <c r="E97" s="225" t="s">
        <v>335</v>
      </c>
      <c r="F97" s="225"/>
      <c r="G97" s="225" t="s">
        <v>238</v>
      </c>
      <c r="H97" s="222" t="str">
        <f>VLOOKUP(A97,'2. Status Detalhe Campos FY24'!$A$7:$G$731,7,0)</f>
        <v>1. Concluído</v>
      </c>
      <c r="I97" s="271">
        <v>45603</v>
      </c>
      <c r="J97" s="271"/>
      <c r="K97" s="271"/>
      <c r="L97" s="276">
        <f t="array" ref="L97">MIN(IF(W97:CI97&gt;0,$W$16:$CI$16))</f>
        <v>45628</v>
      </c>
      <c r="M97" s="277">
        <f t="array" ref="M97">MAX(IF(W97:CI97&gt;0,$W$16:$CI$16))</f>
        <v>45639</v>
      </c>
      <c r="N97" s="277"/>
      <c r="O97" s="235">
        <f>VLOOKUP(H97,Auxiliar!$B$16:$E$24,4,0)</f>
        <v>1</v>
      </c>
      <c r="P97" s="299">
        <f ca="1">IF(TODAY()&lt;=L97,0,MIN((TODAY()-L97)/(M97-L97+1),100%))</f>
        <v>1</v>
      </c>
      <c r="Q97" s="234">
        <f t="shared" ca="1" si="26"/>
        <v>0</v>
      </c>
      <c r="R97" s="247"/>
      <c r="S97" s="266"/>
      <c r="T97" s="256">
        <v>4.0999999999999996</v>
      </c>
      <c r="U97" s="256">
        <f>ROUND(T97/8,1)</f>
        <v>0.5</v>
      </c>
      <c r="V97" s="256">
        <f>SUM(W97:CI97)-U97</f>
        <v>0</v>
      </c>
      <c r="W97" s="267"/>
      <c r="X97" s="275"/>
      <c r="Y97" s="267"/>
      <c r="Z97" s="267"/>
      <c r="AA97" s="267"/>
      <c r="AB97" s="267"/>
      <c r="AC97" s="267"/>
      <c r="AD97" s="268"/>
      <c r="AE97" s="267"/>
      <c r="AF97" s="267"/>
      <c r="AG97" s="267"/>
      <c r="AH97" s="275"/>
      <c r="AI97" s="267"/>
      <c r="AJ97" s="267"/>
      <c r="AK97" s="267"/>
      <c r="AL97" s="267"/>
      <c r="AM97" s="267"/>
      <c r="AN97" s="274"/>
      <c r="AO97" s="267"/>
      <c r="AP97" s="267"/>
      <c r="AQ97" s="267"/>
      <c r="AR97" s="267"/>
      <c r="AS97" s="267"/>
      <c r="AT97" s="267"/>
      <c r="AU97" s="267"/>
      <c r="AV97" s="267"/>
      <c r="AW97" s="267"/>
      <c r="AX97" s="267"/>
      <c r="AY97" s="267">
        <v>0.5</v>
      </c>
      <c r="AZ97" s="267"/>
      <c r="BA97" s="267"/>
      <c r="BB97" s="267"/>
      <c r="BC97" s="267"/>
      <c r="BD97" s="267"/>
      <c r="BE97" s="267"/>
      <c r="BF97" s="267"/>
      <c r="BG97" s="267"/>
      <c r="BH97" s="267" t="s">
        <v>443</v>
      </c>
      <c r="BI97" s="267"/>
      <c r="BJ97" s="267"/>
      <c r="BK97" s="267"/>
      <c r="BL97" s="267"/>
      <c r="BM97" s="267"/>
      <c r="BN97" s="267"/>
      <c r="BO97" s="268"/>
      <c r="BP97" s="268"/>
      <c r="BQ97" s="268"/>
      <c r="BR97" s="268"/>
      <c r="BS97" s="268"/>
      <c r="BT97" s="268"/>
      <c r="BU97" s="268"/>
      <c r="BV97" s="267"/>
      <c r="BW97" s="267"/>
      <c r="BX97" s="267"/>
      <c r="BY97" s="267"/>
      <c r="BZ97" s="267"/>
      <c r="CA97" s="267"/>
      <c r="CB97" s="267"/>
      <c r="CC97" s="267"/>
      <c r="CD97" s="267"/>
      <c r="CE97" s="267"/>
      <c r="CF97" s="267"/>
      <c r="CG97" s="267"/>
      <c r="CH97" s="267"/>
      <c r="CI97" s="267"/>
    </row>
    <row r="98" spans="1:87" ht="30" customHeight="1" collapsed="1">
      <c r="A98" s="260"/>
      <c r="B98" s="141" t="s">
        <v>26</v>
      </c>
      <c r="C98" s="137" t="s">
        <v>26</v>
      </c>
      <c r="D98" s="133"/>
      <c r="E98" s="228" t="s">
        <v>368</v>
      </c>
      <c r="F98" s="226" t="s">
        <v>1904</v>
      </c>
      <c r="G98" s="227">
        <f>COUNTA(G99:G101)</f>
        <v>3</v>
      </c>
      <c r="H98" s="281" t="s">
        <v>1915</v>
      </c>
      <c r="I98" s="264">
        <f>MAX(I99:I101)</f>
        <v>45595</v>
      </c>
      <c r="J98" s="263">
        <f>MIN(J99:J101)</f>
        <v>45611</v>
      </c>
      <c r="K98" s="263">
        <f>MIN(K99:K101)</f>
        <v>45611</v>
      </c>
      <c r="L98" s="263">
        <f>MIN(L99:L101)</f>
        <v>45629</v>
      </c>
      <c r="M98" s="264">
        <f>MAX(M99:M101)</f>
        <v>45629</v>
      </c>
      <c r="N98" s="308">
        <f t="array" ref="N98">MAX(IF(W98:CI98&gt;0,$W$16:$CI$16))</f>
        <v>45632</v>
      </c>
      <c r="O98" s="307">
        <f>SUMPRODUCT(O99:O101,U99:U101)/SUM(U99:U101)</f>
        <v>1</v>
      </c>
      <c r="P98" s="307">
        <f ca="1">SUMPRODUCT(P99:P101,U99:U101)/SUM(U99:U101)</f>
        <v>1</v>
      </c>
      <c r="Q98" s="299">
        <f t="shared" ca="1" si="26"/>
        <v>0</v>
      </c>
      <c r="R98" s="325" t="s">
        <v>1935</v>
      </c>
      <c r="S98" s="266"/>
      <c r="T98" s="256"/>
      <c r="U98" s="256"/>
      <c r="V98" s="256"/>
      <c r="W98" s="267"/>
      <c r="X98" s="267"/>
      <c r="Y98" s="267"/>
      <c r="Z98" s="267"/>
      <c r="AA98" s="267"/>
      <c r="AB98" s="267"/>
      <c r="AC98" s="267"/>
      <c r="AD98" s="268"/>
      <c r="AE98" s="267"/>
      <c r="AF98" s="267"/>
      <c r="AG98" s="267"/>
      <c r="AH98" s="267"/>
      <c r="AI98" s="267"/>
      <c r="AJ98" s="267"/>
      <c r="AK98" s="267"/>
      <c r="AL98" s="267"/>
      <c r="AM98" s="267"/>
      <c r="AN98" s="274"/>
      <c r="AO98" s="267"/>
      <c r="AP98" s="267"/>
      <c r="AQ98" s="267"/>
      <c r="AR98" s="267"/>
      <c r="AS98" s="267"/>
      <c r="AT98" s="267"/>
      <c r="AU98" s="267"/>
      <c r="AV98" s="267"/>
      <c r="AW98" s="267"/>
      <c r="AX98" s="267"/>
      <c r="AY98" s="267"/>
      <c r="AZ98" s="267"/>
      <c r="BA98" s="267"/>
      <c r="BB98" s="267"/>
      <c r="BC98" s="270" t="s">
        <v>443</v>
      </c>
      <c r="BD98" s="267"/>
      <c r="BE98" s="267"/>
      <c r="BF98" s="267"/>
      <c r="BG98" s="267"/>
      <c r="BH98" s="311"/>
      <c r="BI98" s="267"/>
      <c r="BJ98" s="267"/>
      <c r="BK98" s="267"/>
      <c r="BL98" s="267"/>
      <c r="BM98" s="267"/>
      <c r="BN98" s="267"/>
      <c r="BO98" s="268"/>
      <c r="BP98" s="268"/>
      <c r="BQ98" s="268"/>
      <c r="BR98" s="268"/>
      <c r="BS98" s="268"/>
      <c r="BT98" s="268"/>
      <c r="BU98" s="268"/>
      <c r="BV98" s="267"/>
      <c r="BW98" s="267"/>
      <c r="BX98" s="267"/>
      <c r="BY98" s="267"/>
      <c r="BZ98" s="267"/>
      <c r="CA98" s="267"/>
      <c r="CB98" s="267"/>
      <c r="CC98" s="267"/>
      <c r="CD98" s="267"/>
      <c r="CE98" s="267"/>
      <c r="CF98" s="267"/>
      <c r="CG98" s="267"/>
      <c r="CH98" s="267"/>
      <c r="CI98" s="267"/>
    </row>
    <row r="99" spans="1:87" ht="30" customHeight="1" outlineLevel="1">
      <c r="A99" s="260" t="str">
        <f>E99&amp;G99</f>
        <v>lt004_protectionrl_estt_clltrl_lctn</v>
      </c>
      <c r="B99" s="141" t="s">
        <v>26</v>
      </c>
      <c r="C99" s="137" t="s">
        <v>26</v>
      </c>
      <c r="D99" s="222" t="s">
        <v>40</v>
      </c>
      <c r="E99" s="225" t="s">
        <v>368</v>
      </c>
      <c r="F99" s="225"/>
      <c r="G99" s="229" t="s">
        <v>434</v>
      </c>
      <c r="H99" s="222" t="str">
        <f>VLOOKUP(A99,'2. Status Detalhe Campos FY24'!$A$7:$G$731,7,0)</f>
        <v>1. Concluído</v>
      </c>
      <c r="I99" s="271">
        <v>45588</v>
      </c>
      <c r="J99" s="309"/>
      <c r="K99" s="309">
        <v>45631</v>
      </c>
      <c r="L99" s="276">
        <f t="array" ref="L99">MIN(IF(W99:CI99&gt;0,$W$16:$CI$16))</f>
        <v>45629</v>
      </c>
      <c r="M99" s="277">
        <f t="array" ref="M99">MAX(IF(W99:CI99&gt;0,$W$16:$CI$16))</f>
        <v>45629</v>
      </c>
      <c r="N99" s="277"/>
      <c r="O99" s="235">
        <f>VLOOKUP(H99,Auxiliar!$B$16:$E$24,4,0)</f>
        <v>1</v>
      </c>
      <c r="P99" s="235">
        <f ca="1">IF(TODAY()&lt;=L99,0,MIN((TODAY()-L99)/(M99-L99+1),100%))</f>
        <v>1</v>
      </c>
      <c r="Q99" s="234">
        <f t="shared" ca="1" si="26"/>
        <v>0</v>
      </c>
      <c r="R99" s="248"/>
      <c r="S99" s="266"/>
      <c r="T99" s="256">
        <v>0.1</v>
      </c>
      <c r="U99" s="256">
        <v>0.1</v>
      </c>
      <c r="V99" s="285">
        <f>SUM(W99:CI99)-U99</f>
        <v>0</v>
      </c>
      <c r="W99" s="283"/>
      <c r="X99" s="275"/>
      <c r="Y99" s="267"/>
      <c r="Z99" s="275"/>
      <c r="AA99" s="267"/>
      <c r="AB99" s="267"/>
      <c r="AC99" s="267"/>
      <c r="AD99" s="268"/>
      <c r="AE99" s="267"/>
      <c r="AF99" s="267"/>
      <c r="AG99" s="267"/>
      <c r="AH99" s="267"/>
      <c r="AI99" s="267"/>
      <c r="AJ99" s="267"/>
      <c r="AK99" s="267"/>
      <c r="AL99" s="267"/>
      <c r="AM99" s="267"/>
      <c r="AN99" s="274"/>
      <c r="AO99" s="267"/>
      <c r="AP99" s="267"/>
      <c r="AQ99" s="267"/>
      <c r="AR99" s="267"/>
      <c r="AS99" s="267"/>
      <c r="AT99" s="267"/>
      <c r="AU99" s="267"/>
      <c r="AV99" s="267"/>
      <c r="AW99" s="267"/>
      <c r="AX99" s="267"/>
      <c r="AY99" s="267"/>
      <c r="AZ99" s="267">
        <v>0.1</v>
      </c>
      <c r="BA99" s="267"/>
      <c r="BB99" s="274"/>
      <c r="BC99" s="267"/>
      <c r="BD99" s="267"/>
      <c r="BE99" s="267"/>
      <c r="BF99" s="267"/>
      <c r="BG99" s="267"/>
      <c r="BH99" s="267"/>
      <c r="BI99" s="267"/>
      <c r="BJ99" s="267"/>
      <c r="BK99" s="267"/>
      <c r="BL99" s="267"/>
      <c r="BM99" s="267"/>
      <c r="BN99" s="267"/>
      <c r="BO99" s="268"/>
      <c r="BP99" s="268"/>
      <c r="BQ99" s="268"/>
      <c r="BR99" s="268"/>
      <c r="BS99" s="268"/>
      <c r="BT99" s="268"/>
      <c r="BU99" s="268"/>
      <c r="BV99" s="267"/>
      <c r="BW99" s="267"/>
      <c r="BX99" s="267"/>
      <c r="BY99" s="267"/>
      <c r="BZ99" s="267"/>
      <c r="CA99" s="267"/>
      <c r="CB99" s="267"/>
      <c r="CC99" s="267"/>
      <c r="CD99" s="267"/>
      <c r="CE99" s="267"/>
      <c r="CF99" s="267"/>
      <c r="CG99" s="267"/>
      <c r="CH99" s="267"/>
      <c r="CI99" s="267"/>
    </row>
    <row r="100" spans="1:87" ht="30" customHeight="1" outlineLevel="1">
      <c r="A100" s="260" t="str">
        <f>E100&amp;G100</f>
        <v>lt004_protectionrl_estt_pst_cd</v>
      </c>
      <c r="B100" s="141" t="s">
        <v>26</v>
      </c>
      <c r="C100" s="137" t="s">
        <v>26</v>
      </c>
      <c r="D100" s="222" t="s">
        <v>40</v>
      </c>
      <c r="E100" s="225" t="s">
        <v>368</v>
      </c>
      <c r="F100" s="225"/>
      <c r="G100" s="229" t="s">
        <v>435</v>
      </c>
      <c r="H100" s="222" t="str">
        <f>VLOOKUP(A100,'2. Status Detalhe Campos FY24'!$A$7:$G$731,7,0)</f>
        <v>1. Concluído</v>
      </c>
      <c r="I100" s="271">
        <v>45588</v>
      </c>
      <c r="J100" s="309">
        <v>45611</v>
      </c>
      <c r="K100" s="309">
        <v>45611</v>
      </c>
      <c r="L100" s="276">
        <f t="array" ref="L100">MIN(IF(W100:CI100&gt;0,$W$16:$CI$16))</f>
        <v>45629</v>
      </c>
      <c r="M100" s="277">
        <f t="array" ref="M100">MAX(IF(W100:CI100&gt;0,$W$16:$CI$16))</f>
        <v>45629</v>
      </c>
      <c r="N100" s="277"/>
      <c r="O100" s="235">
        <f>VLOOKUP(H100,Auxiliar!$B$16:$E$24,4,0)</f>
        <v>1</v>
      </c>
      <c r="P100" s="235">
        <f ca="1">IF(TODAY()&lt;=L100,0,MIN((TODAY()-L100)/(M100-L100+1),100%))</f>
        <v>1</v>
      </c>
      <c r="Q100" s="234">
        <f t="shared" ca="1" si="26"/>
        <v>0</v>
      </c>
      <c r="R100" s="248"/>
      <c r="S100" s="266"/>
      <c r="T100" s="256">
        <v>0.1</v>
      </c>
      <c r="U100" s="256">
        <v>0.1</v>
      </c>
      <c r="V100" s="285">
        <f>SUM(W100:CI100)-U100</f>
        <v>0</v>
      </c>
      <c r="W100" s="283"/>
      <c r="X100" s="275"/>
      <c r="Y100" s="267"/>
      <c r="Z100" s="267"/>
      <c r="AA100" s="267"/>
      <c r="AB100" s="267"/>
      <c r="AC100" s="267"/>
      <c r="AD100" s="268"/>
      <c r="AE100" s="267"/>
      <c r="AF100" s="267"/>
      <c r="AG100" s="267"/>
      <c r="AH100" s="267"/>
      <c r="AI100" s="267"/>
      <c r="AJ100" s="267"/>
      <c r="AK100" s="267"/>
      <c r="AL100" s="267"/>
      <c r="AM100" s="267"/>
      <c r="AN100" s="274"/>
      <c r="AO100" s="267"/>
      <c r="AP100" s="267"/>
      <c r="AQ100" s="267"/>
      <c r="AR100" s="267"/>
      <c r="AS100" s="267"/>
      <c r="AT100" s="267"/>
      <c r="AU100" s="267"/>
      <c r="AV100" s="267"/>
      <c r="AW100" s="267"/>
      <c r="AX100" s="267"/>
      <c r="AY100" s="267"/>
      <c r="AZ100" s="267">
        <v>0.1</v>
      </c>
      <c r="BA100" s="267"/>
      <c r="BB100" s="267"/>
      <c r="BC100" s="267"/>
      <c r="BD100" s="267"/>
      <c r="BE100" s="267"/>
      <c r="BF100" s="267"/>
      <c r="BG100" s="267"/>
      <c r="BH100" s="267"/>
      <c r="BI100" s="267"/>
      <c r="BJ100" s="267"/>
      <c r="BK100" s="267"/>
      <c r="BL100" s="267"/>
      <c r="BM100" s="267"/>
      <c r="BN100" s="267"/>
      <c r="BO100" s="268"/>
      <c r="BP100" s="268"/>
      <c r="BQ100" s="268"/>
      <c r="BR100" s="268"/>
      <c r="BS100" s="268"/>
      <c r="BT100" s="268"/>
      <c r="BU100" s="268"/>
      <c r="BV100" s="267"/>
      <c r="BW100" s="267"/>
      <c r="BX100" s="267"/>
      <c r="BY100" s="267"/>
      <c r="BZ100" s="267"/>
      <c r="CA100" s="267"/>
      <c r="CB100" s="267"/>
      <c r="CC100" s="267"/>
      <c r="CD100" s="267"/>
      <c r="CE100" s="267"/>
      <c r="CF100" s="267"/>
      <c r="CG100" s="267"/>
      <c r="CH100" s="267"/>
      <c r="CI100" s="267"/>
    </row>
    <row r="101" spans="1:87" ht="16.5" outlineLevel="1">
      <c r="A101" s="260" t="str">
        <f>E101&amp;G101</f>
        <v>lt004_protectiontyp_ep_scr</v>
      </c>
      <c r="B101" s="141" t="s">
        <v>26</v>
      </c>
      <c r="C101" s="137" t="s">
        <v>26</v>
      </c>
      <c r="D101" s="222"/>
      <c r="E101" s="225" t="s">
        <v>368</v>
      </c>
      <c r="F101" s="225"/>
      <c r="G101" s="229" t="s">
        <v>369</v>
      </c>
      <c r="H101" s="222" t="str">
        <f>VLOOKUP(A101,'2. Status Detalhe Campos FY24'!$A$7:$G$731,7,0)</f>
        <v>1. Concluído</v>
      </c>
      <c r="I101" s="271">
        <v>45595</v>
      </c>
      <c r="J101" s="309">
        <v>45611</v>
      </c>
      <c r="K101" s="309">
        <v>45611</v>
      </c>
      <c r="L101" s="276">
        <f t="array" ref="L101">MIN(IF(W101:CI101&gt;0,$W$16:$CI$16))</f>
        <v>45629</v>
      </c>
      <c r="M101" s="277">
        <f t="array" ref="M101">MAX(IF(W101:CI101&gt;0,$W$16:$CI$16))</f>
        <v>45629</v>
      </c>
      <c r="N101" s="277"/>
      <c r="O101" s="235">
        <f>VLOOKUP(H101,Auxiliar!$B$16:$E$24,4,0)</f>
        <v>1</v>
      </c>
      <c r="P101" s="235">
        <f ca="1">IF(TODAY()&lt;=L101,0,MIN((TODAY()-L101)/(M101-L101+1),100%))</f>
        <v>1</v>
      </c>
      <c r="Q101" s="234">
        <f t="shared" ca="1" si="26"/>
        <v>0</v>
      </c>
      <c r="R101" s="248"/>
      <c r="S101" s="266"/>
      <c r="T101" s="256">
        <v>0.1</v>
      </c>
      <c r="U101" s="256">
        <v>0.1</v>
      </c>
      <c r="V101" s="285">
        <f>SUM(W101:CI101)-U101</f>
        <v>0</v>
      </c>
      <c r="W101" s="267"/>
      <c r="X101" s="267"/>
      <c r="Y101" s="267"/>
      <c r="Z101" s="267"/>
      <c r="AA101" s="267"/>
      <c r="AB101" s="275"/>
      <c r="AC101" s="267"/>
      <c r="AD101" s="268"/>
      <c r="AE101" s="267"/>
      <c r="AF101" s="267"/>
      <c r="AG101" s="267"/>
      <c r="AH101" s="267"/>
      <c r="AI101" s="267"/>
      <c r="AJ101" s="267"/>
      <c r="AK101" s="267"/>
      <c r="AL101" s="267"/>
      <c r="AM101" s="267"/>
      <c r="AN101" s="274"/>
      <c r="AO101" s="267"/>
      <c r="AP101" s="267"/>
      <c r="AQ101" s="267"/>
      <c r="AR101" s="267"/>
      <c r="AS101" s="267"/>
      <c r="AT101" s="267"/>
      <c r="AU101" s="267"/>
      <c r="AV101" s="267"/>
      <c r="AW101" s="267"/>
      <c r="AX101" s="267"/>
      <c r="AY101" s="267"/>
      <c r="AZ101" s="267">
        <v>0.1</v>
      </c>
      <c r="BA101" s="267"/>
      <c r="BB101" s="267"/>
      <c r="BC101" s="267"/>
      <c r="BD101" s="267"/>
      <c r="BE101" s="267"/>
      <c r="BF101" s="267"/>
      <c r="BG101" s="267"/>
      <c r="BH101" s="267"/>
      <c r="BI101" s="267"/>
      <c r="BJ101" s="267"/>
      <c r="BK101" s="267"/>
      <c r="BL101" s="267"/>
      <c r="BM101" s="267"/>
      <c r="BN101" s="267"/>
      <c r="BO101" s="268"/>
      <c r="BP101" s="268"/>
      <c r="BQ101" s="268"/>
      <c r="BR101" s="268"/>
      <c r="BS101" s="268"/>
      <c r="BT101" s="268"/>
      <c r="BU101" s="268"/>
      <c r="BV101" s="267"/>
      <c r="BW101" s="267"/>
      <c r="BX101" s="267"/>
      <c r="BY101" s="267"/>
      <c r="BZ101" s="267"/>
      <c r="CA101" s="267"/>
      <c r="CB101" s="267"/>
      <c r="CC101" s="267"/>
      <c r="CD101" s="267"/>
      <c r="CE101" s="267"/>
      <c r="CF101" s="267"/>
      <c r="CG101" s="267"/>
      <c r="CH101" s="267"/>
      <c r="CI101" s="267"/>
    </row>
    <row r="102" spans="1:87" ht="30" customHeight="1" collapsed="1">
      <c r="A102" s="260"/>
      <c r="B102" s="141" t="s">
        <v>26</v>
      </c>
      <c r="C102" s="137" t="s">
        <v>26</v>
      </c>
      <c r="D102" s="133"/>
      <c r="E102" s="228" t="s">
        <v>368</v>
      </c>
      <c r="F102" s="226" t="s">
        <v>1904</v>
      </c>
      <c r="G102" s="227">
        <f>COUNTA(G103)</f>
        <v>1</v>
      </c>
      <c r="H102" s="281" t="s">
        <v>1915</v>
      </c>
      <c r="I102" s="264" t="s">
        <v>38</v>
      </c>
      <c r="J102" s="263">
        <f>MIN(J103)</f>
        <v>0</v>
      </c>
      <c r="K102" s="263">
        <f>MIN(K103)</f>
        <v>0</v>
      </c>
      <c r="L102" s="263">
        <f>MIN(L103)</f>
        <v>45629</v>
      </c>
      <c r="M102" s="264">
        <f>MAX(M103)</f>
        <v>45639</v>
      </c>
      <c r="N102" s="308">
        <f t="array" ref="N102">MAX(IF(W102:CI102&gt;0,$W$16:$CI$16))</f>
        <v>45639</v>
      </c>
      <c r="O102" s="307">
        <f>O103</f>
        <v>1</v>
      </c>
      <c r="P102" s="307">
        <f ca="1">P103</f>
        <v>1</v>
      </c>
      <c r="Q102" s="299">
        <f ca="1">O102-P102</f>
        <v>0</v>
      </c>
      <c r="R102" s="325" t="s">
        <v>1941</v>
      </c>
      <c r="S102" s="266"/>
      <c r="T102" s="256"/>
      <c r="U102" s="256"/>
      <c r="V102" s="256"/>
      <c r="W102" s="267"/>
      <c r="X102" s="267"/>
      <c r="Y102" s="267"/>
      <c r="Z102" s="267"/>
      <c r="AA102" s="267"/>
      <c r="AB102" s="267"/>
      <c r="AC102" s="267"/>
      <c r="AD102" s="268"/>
      <c r="AE102" s="267"/>
      <c r="AF102" s="267"/>
      <c r="AG102" s="267"/>
      <c r="AH102" s="267"/>
      <c r="AI102" s="267"/>
      <c r="AJ102" s="267"/>
      <c r="AK102" s="267"/>
      <c r="AL102" s="267"/>
      <c r="AM102" s="267"/>
      <c r="AN102" s="274"/>
      <c r="AO102" s="267"/>
      <c r="AP102" s="267"/>
      <c r="AQ102" s="267"/>
      <c r="AR102" s="267"/>
      <c r="AS102" s="267"/>
      <c r="AT102" s="267"/>
      <c r="AU102" s="267"/>
      <c r="AV102" s="267"/>
      <c r="AW102" s="267"/>
      <c r="AX102" s="267"/>
      <c r="AY102" s="267"/>
      <c r="AZ102" s="267"/>
      <c r="BA102" s="267"/>
      <c r="BB102" s="267"/>
      <c r="BC102" s="270" t="s">
        <v>443</v>
      </c>
      <c r="BD102" s="267"/>
      <c r="BE102" s="267"/>
      <c r="BF102" s="267"/>
      <c r="BG102" s="267"/>
      <c r="BH102" s="267" t="s">
        <v>443</v>
      </c>
      <c r="BI102" s="267"/>
      <c r="BJ102" s="267"/>
      <c r="BK102" s="267"/>
      <c r="BL102" s="267"/>
      <c r="BM102" s="267"/>
      <c r="BN102" s="267"/>
      <c r="BO102" s="268"/>
      <c r="BP102" s="268"/>
      <c r="BQ102" s="268"/>
      <c r="BR102" s="268"/>
      <c r="BS102" s="268"/>
      <c r="BT102" s="268"/>
      <c r="BU102" s="268"/>
      <c r="BV102" s="267"/>
      <c r="BW102" s="267"/>
      <c r="BX102" s="267"/>
      <c r="BY102" s="267"/>
      <c r="BZ102" s="267"/>
      <c r="CA102" s="267"/>
      <c r="CB102" s="267"/>
      <c r="CC102" s="267"/>
      <c r="CD102" s="267"/>
      <c r="CE102" s="267"/>
      <c r="CF102" s="267"/>
      <c r="CG102" s="267"/>
      <c r="CH102" s="267"/>
      <c r="CI102" s="267"/>
    </row>
    <row r="103" spans="1:87" ht="30" customHeight="1" outlineLevel="1">
      <c r="A103" s="260" t="str">
        <f>E103&amp;G103</f>
        <v>lt004_protectionprtctn_id</v>
      </c>
      <c r="B103" s="141" t="s">
        <v>26</v>
      </c>
      <c r="C103" s="137" t="s">
        <v>26</v>
      </c>
      <c r="D103" s="222" t="s">
        <v>40</v>
      </c>
      <c r="E103" s="225" t="s">
        <v>368</v>
      </c>
      <c r="F103" s="225"/>
      <c r="G103" s="229" t="s">
        <v>433</v>
      </c>
      <c r="H103" s="222" t="str">
        <f>VLOOKUP(A103,'2. Status Detalhe Campos FY24'!$A$7:$G$731,7,0)</f>
        <v>1. Concluído</v>
      </c>
      <c r="I103" s="309" t="s">
        <v>38</v>
      </c>
      <c r="J103" s="309"/>
      <c r="K103" s="309"/>
      <c r="L103" s="276">
        <f t="array" ref="L103">MIN(IF(W103:CI103&gt;0,$W$16:$CI$16))</f>
        <v>45629</v>
      </c>
      <c r="M103" s="277">
        <f t="array" ref="M103">MAX(IF(W103:CI103&gt;0,$W$16:$CI$16))</f>
        <v>45639</v>
      </c>
      <c r="N103" s="277"/>
      <c r="O103" s="235">
        <f>VLOOKUP(H103,Auxiliar!$B$16:$E$24,4,0)</f>
        <v>1</v>
      </c>
      <c r="P103" s="235">
        <f ca="1">IF(TODAY()&lt;=L103,0,MIN((TODAY()-L103)/(M103-L103+1),100%))</f>
        <v>1</v>
      </c>
      <c r="Q103" s="234">
        <f ca="1">O103-P103</f>
        <v>0</v>
      </c>
      <c r="R103" s="248"/>
      <c r="S103" s="266"/>
      <c r="T103" s="256">
        <v>0.1</v>
      </c>
      <c r="U103" s="256">
        <v>0.1</v>
      </c>
      <c r="V103" s="285">
        <f>SUM(W103:CI103)-U103</f>
        <v>0</v>
      </c>
      <c r="W103" s="283"/>
      <c r="X103" s="275"/>
      <c r="Y103" s="267"/>
      <c r="Z103" s="267"/>
      <c r="AA103" s="267"/>
      <c r="AB103" s="267"/>
      <c r="AC103" s="267"/>
      <c r="AD103" s="268"/>
      <c r="AE103" s="267"/>
      <c r="AF103" s="267"/>
      <c r="AG103" s="267"/>
      <c r="AH103" s="267"/>
      <c r="AI103" s="267"/>
      <c r="AJ103" s="267"/>
      <c r="AK103" s="267"/>
      <c r="AL103" s="267"/>
      <c r="AM103" s="267"/>
      <c r="AN103" s="274"/>
      <c r="AO103" s="267"/>
      <c r="AP103" s="267"/>
      <c r="AQ103" s="267"/>
      <c r="AR103" s="267"/>
      <c r="AS103" s="267"/>
      <c r="AT103" s="267"/>
      <c r="AU103" s="267"/>
      <c r="AV103" s="267"/>
      <c r="AW103" s="267"/>
      <c r="AX103" s="267"/>
      <c r="AY103" s="267"/>
      <c r="AZ103" s="267">
        <v>0.1</v>
      </c>
      <c r="BA103" s="267"/>
      <c r="BB103" s="267"/>
      <c r="BC103" s="267"/>
      <c r="BD103" s="267"/>
      <c r="BE103" s="267"/>
      <c r="BF103" s="267"/>
      <c r="BG103" s="267"/>
      <c r="BH103" s="267" t="s">
        <v>443</v>
      </c>
      <c r="BI103" s="267"/>
      <c r="BJ103" s="267"/>
      <c r="BK103" s="267"/>
      <c r="BL103" s="267"/>
      <c r="BM103" s="267"/>
      <c r="BN103" s="267"/>
      <c r="BO103" s="268"/>
      <c r="BP103" s="268"/>
      <c r="BQ103" s="268"/>
      <c r="BR103" s="268"/>
      <c r="BS103" s="268"/>
      <c r="BT103" s="268"/>
      <c r="BU103" s="268"/>
      <c r="BV103" s="267"/>
      <c r="BW103" s="267"/>
      <c r="BX103" s="267"/>
      <c r="BY103" s="267"/>
      <c r="BZ103" s="267"/>
      <c r="CA103" s="267"/>
      <c r="CB103" s="267"/>
      <c r="CC103" s="267"/>
      <c r="CD103" s="267"/>
      <c r="CE103" s="267"/>
      <c r="CF103" s="267"/>
      <c r="CG103" s="267"/>
      <c r="CH103" s="267"/>
      <c r="CI103" s="267"/>
    </row>
    <row r="104" spans="1:87" ht="30" customHeight="1" collapsed="1">
      <c r="A104" s="260"/>
      <c r="B104" s="141" t="s">
        <v>26</v>
      </c>
      <c r="C104" s="137" t="s">
        <v>26</v>
      </c>
      <c r="D104" s="133"/>
      <c r="E104" s="228" t="s">
        <v>368</v>
      </c>
      <c r="F104" s="226" t="s">
        <v>1936</v>
      </c>
      <c r="G104" s="227">
        <f>COUNTA(G105)</f>
        <v>1</v>
      </c>
      <c r="H104" s="281" t="s">
        <v>1915</v>
      </c>
      <c r="I104" s="264" t="s">
        <v>38</v>
      </c>
      <c r="J104" s="263">
        <f>MIN(J105)</f>
        <v>0</v>
      </c>
      <c r="K104" s="263">
        <f>MIN(K105)</f>
        <v>0</v>
      </c>
      <c r="L104" s="263">
        <f>MIN(L105)</f>
        <v>45629</v>
      </c>
      <c r="M104" s="264">
        <f>MAX(M105)</f>
        <v>45639</v>
      </c>
      <c r="N104" s="308">
        <f t="array" ref="N104">MAX(IF(W104:CI104&gt;0,$W$16:$CI$16))</f>
        <v>45667</v>
      </c>
      <c r="O104" s="307">
        <f>O105</f>
        <v>1</v>
      </c>
      <c r="P104" s="307">
        <f ca="1">P105</f>
        <v>1</v>
      </c>
      <c r="Q104" s="299">
        <f ca="1">O104-P104</f>
        <v>0</v>
      </c>
      <c r="R104" s="325" t="s">
        <v>1960</v>
      </c>
      <c r="S104" s="266"/>
      <c r="T104" s="256"/>
      <c r="U104" s="256"/>
      <c r="V104" s="256"/>
      <c r="W104" s="267"/>
      <c r="X104" s="267"/>
      <c r="Y104" s="267"/>
      <c r="Z104" s="267"/>
      <c r="AA104" s="267"/>
      <c r="AB104" s="267"/>
      <c r="AC104" s="267"/>
      <c r="AD104" s="268"/>
      <c r="AE104" s="267"/>
      <c r="AF104" s="267"/>
      <c r="AG104" s="267"/>
      <c r="AH104" s="267"/>
      <c r="AI104" s="267"/>
      <c r="AJ104" s="267"/>
      <c r="AK104" s="267"/>
      <c r="AL104" s="267"/>
      <c r="AM104" s="267"/>
      <c r="AN104" s="274"/>
      <c r="AO104" s="267"/>
      <c r="AP104" s="267"/>
      <c r="AQ104" s="267"/>
      <c r="AR104" s="267"/>
      <c r="AS104" s="267"/>
      <c r="AT104" s="267"/>
      <c r="AU104" s="267"/>
      <c r="AV104" s="267"/>
      <c r="AW104" s="267"/>
      <c r="AX104" s="267"/>
      <c r="AY104" s="267"/>
      <c r="AZ104" s="267"/>
      <c r="BA104" s="267"/>
      <c r="BB104" s="267"/>
      <c r="BC104" s="270" t="s">
        <v>443</v>
      </c>
      <c r="BD104" s="267"/>
      <c r="BE104" s="267"/>
      <c r="BF104" s="267"/>
      <c r="BG104" s="267"/>
      <c r="BH104" s="311" t="s">
        <v>443</v>
      </c>
      <c r="BI104" s="267"/>
      <c r="BJ104" s="267"/>
      <c r="BK104" s="267"/>
      <c r="BL104" s="267"/>
      <c r="BM104" s="311" t="s">
        <v>443</v>
      </c>
      <c r="BN104" s="267"/>
      <c r="BO104" s="268"/>
      <c r="BP104" s="268"/>
      <c r="BQ104" s="268"/>
      <c r="BR104" s="268"/>
      <c r="BS104" s="268"/>
      <c r="BT104" s="268"/>
      <c r="BU104" s="268"/>
      <c r="BV104" s="267"/>
      <c r="BW104" s="267"/>
      <c r="BX104" s="267"/>
      <c r="BY104" s="267"/>
      <c r="BZ104" s="267"/>
      <c r="CA104" s="267"/>
      <c r="CB104" s="311" t="s">
        <v>443</v>
      </c>
      <c r="CC104" s="267"/>
      <c r="CD104" s="267"/>
      <c r="CE104" s="267"/>
      <c r="CF104" s="267"/>
      <c r="CG104" s="267"/>
      <c r="CH104" s="267"/>
      <c r="CI104" s="267"/>
    </row>
    <row r="105" spans="1:87" ht="16.5" outlineLevel="1">
      <c r="A105" s="260" t="str">
        <f>E105&amp;G105</f>
        <v>lt004_protectionorgnl_prtctn_vl</v>
      </c>
      <c r="B105" s="141" t="s">
        <v>26</v>
      </c>
      <c r="C105" s="137" t="s">
        <v>26</v>
      </c>
      <c r="D105" s="222" t="s">
        <v>40</v>
      </c>
      <c r="E105" s="225" t="s">
        <v>368</v>
      </c>
      <c r="F105" s="225"/>
      <c r="G105" s="229" t="s">
        <v>437</v>
      </c>
      <c r="H105" s="222" t="str">
        <f>VLOOKUP(A105,'2. Status Detalhe Campos FY24'!$A$7:$G$731,7,0)</f>
        <v>1. Concluído</v>
      </c>
      <c r="I105" s="271" t="s">
        <v>38</v>
      </c>
      <c r="J105" s="309"/>
      <c r="K105" s="309"/>
      <c r="L105" s="276">
        <f t="array" ref="L105">MIN(IF(W105:CI105&gt;0,$W$16:$CI$16))</f>
        <v>45629</v>
      </c>
      <c r="M105" s="277">
        <f t="array" ref="M105">MAX(IF(W105:CI105&gt;0,$W$16:$CI$16))</f>
        <v>45639</v>
      </c>
      <c r="N105" s="277"/>
      <c r="O105" s="235">
        <f>VLOOKUP(H105,Auxiliar!$B$16:$E$24,4,0)</f>
        <v>1</v>
      </c>
      <c r="P105" s="235">
        <f ca="1">IF(TODAY()&lt;=L105,0,MIN((TODAY()-L105)/(M105-L105+1),100%))</f>
        <v>1</v>
      </c>
      <c r="Q105" s="234">
        <f ca="1">O105-P105</f>
        <v>0</v>
      </c>
      <c r="R105" s="248"/>
      <c r="S105" s="266"/>
      <c r="T105" s="292">
        <v>1</v>
      </c>
      <c r="U105" s="256">
        <v>1</v>
      </c>
      <c r="V105" s="256">
        <f>SUM(W105:CI105)-U105</f>
        <v>0</v>
      </c>
      <c r="W105" s="267"/>
      <c r="X105" s="267"/>
      <c r="Y105" s="267"/>
      <c r="Z105" s="267"/>
      <c r="AA105" s="267"/>
      <c r="AB105" s="275"/>
      <c r="AC105" s="267"/>
      <c r="AD105" s="268"/>
      <c r="AE105" s="267"/>
      <c r="AF105" s="267"/>
      <c r="AG105" s="267"/>
      <c r="AH105" s="267"/>
      <c r="AI105" s="267"/>
      <c r="AJ105" s="267"/>
      <c r="AK105" s="267"/>
      <c r="AL105" s="267"/>
      <c r="AM105" s="267"/>
      <c r="AN105" s="274"/>
      <c r="AO105" s="267"/>
      <c r="AP105" s="267"/>
      <c r="AQ105" s="267"/>
      <c r="AR105" s="267"/>
      <c r="AS105" s="267"/>
      <c r="AT105" s="267"/>
      <c r="AU105" s="267"/>
      <c r="AV105" s="267"/>
      <c r="AW105" s="267"/>
      <c r="AX105" s="267"/>
      <c r="AY105" s="267"/>
      <c r="AZ105" s="267">
        <v>0.6</v>
      </c>
      <c r="BA105" s="267">
        <v>0.3</v>
      </c>
      <c r="BB105" s="267"/>
      <c r="BC105" s="267"/>
      <c r="BD105" s="267"/>
      <c r="BE105" s="267"/>
      <c r="BF105" s="267"/>
      <c r="BG105" s="267"/>
      <c r="BH105" s="291">
        <v>0.1</v>
      </c>
      <c r="BI105" s="267"/>
      <c r="BJ105" s="267"/>
      <c r="BK105" s="267"/>
      <c r="BL105" s="267"/>
      <c r="BM105" s="267"/>
      <c r="BN105" s="267"/>
      <c r="BO105" s="268"/>
      <c r="BP105" s="268"/>
      <c r="BQ105" s="268"/>
      <c r="BR105" s="268"/>
      <c r="BS105" s="268"/>
      <c r="BT105" s="268"/>
      <c r="BU105" s="268"/>
      <c r="BV105" s="267"/>
      <c r="BW105" s="267"/>
      <c r="BX105" s="267"/>
      <c r="BY105" s="267"/>
      <c r="BZ105" s="267"/>
      <c r="CA105" s="267"/>
      <c r="CB105" s="267"/>
      <c r="CC105" s="267"/>
      <c r="CD105" s="267"/>
      <c r="CE105" s="267"/>
      <c r="CF105" s="267"/>
      <c r="CG105" s="267"/>
      <c r="CH105" s="267"/>
      <c r="CI105" s="267"/>
    </row>
    <row r="106" spans="1:87" ht="15" customHeight="1" collapsed="1">
      <c r="A106" s="260"/>
      <c r="B106" s="141" t="s">
        <v>26</v>
      </c>
      <c r="C106" s="137" t="s">
        <v>310</v>
      </c>
      <c r="D106" s="133"/>
      <c r="E106" s="226" t="s">
        <v>325</v>
      </c>
      <c r="F106" s="226" t="s">
        <v>1883</v>
      </c>
      <c r="G106" s="227">
        <f>COUNTA(G107:G120)</f>
        <v>14</v>
      </c>
      <c r="H106" s="281" t="s">
        <v>1915</v>
      </c>
      <c r="I106" s="262" t="s">
        <v>38</v>
      </c>
      <c r="J106" s="263">
        <f>MIN(J107:J120)</f>
        <v>0</v>
      </c>
      <c r="K106" s="263">
        <f>MIN(K107:K120)</f>
        <v>0</v>
      </c>
      <c r="L106" s="263">
        <f>MIN(L107:L120)</f>
        <v>45615</v>
      </c>
      <c r="M106" s="264">
        <f>MAX(M107:M120)</f>
        <v>45639</v>
      </c>
      <c r="N106" s="308">
        <f t="array" ref="N106">MAX(IF(W106:CI106&gt;0,$W$16:$CI$16))</f>
        <v>45639</v>
      </c>
      <c r="O106" s="307">
        <f>SUMPRODUCT(O107:O120,U107:U120)/SUM(U107:U120)</f>
        <v>1</v>
      </c>
      <c r="P106" s="307">
        <f ca="1">SUMPRODUCT(P107:P120,U107:U120)/SUM(U107:U120)</f>
        <v>1</v>
      </c>
      <c r="Q106" s="242">
        <f t="shared" ca="1" si="26"/>
        <v>0</v>
      </c>
      <c r="R106" s="325" t="s">
        <v>1940</v>
      </c>
      <c r="S106" s="266"/>
      <c r="T106" s="256"/>
      <c r="U106" s="256"/>
      <c r="V106" s="256"/>
      <c r="W106" s="267"/>
      <c r="X106" s="267"/>
      <c r="Y106" s="267"/>
      <c r="Z106" s="267"/>
      <c r="AA106" s="267"/>
      <c r="AB106" s="267"/>
      <c r="AC106" s="267"/>
      <c r="AD106" s="268"/>
      <c r="AE106" s="267"/>
      <c r="AF106" s="267"/>
      <c r="AG106" s="267"/>
      <c r="AH106" s="267"/>
      <c r="AI106" s="267"/>
      <c r="AJ106" s="267"/>
      <c r="AK106" s="267"/>
      <c r="AL106" s="267"/>
      <c r="AM106" s="267"/>
      <c r="AN106" s="267"/>
      <c r="AO106" s="269"/>
      <c r="AP106" s="274"/>
      <c r="AQ106" s="267"/>
      <c r="AR106" s="267"/>
      <c r="AS106" s="267"/>
      <c r="AT106" s="267"/>
      <c r="AU106" s="267"/>
      <c r="AV106" s="267"/>
      <c r="AW106" s="267"/>
      <c r="AX106" s="267"/>
      <c r="AY106" s="267"/>
      <c r="AZ106" s="267"/>
      <c r="BA106" s="267"/>
      <c r="BB106" s="267"/>
      <c r="BC106" s="267" t="s">
        <v>443</v>
      </c>
      <c r="BD106" s="267"/>
      <c r="BE106" s="267"/>
      <c r="BF106" s="267"/>
      <c r="BG106" s="267"/>
      <c r="BH106" s="267" t="s">
        <v>443</v>
      </c>
      <c r="BI106" s="267"/>
      <c r="BJ106" s="267"/>
      <c r="BK106" s="267"/>
      <c r="BL106" s="267"/>
      <c r="BM106" s="267"/>
      <c r="BN106" s="267"/>
      <c r="BO106" s="268"/>
      <c r="BP106" s="268"/>
      <c r="BQ106" s="268"/>
      <c r="BR106" s="268"/>
      <c r="BS106" s="268"/>
      <c r="BT106" s="268"/>
      <c r="BU106" s="268"/>
      <c r="BV106" s="267"/>
      <c r="BW106" s="267"/>
      <c r="BX106" s="267"/>
      <c r="BY106" s="267"/>
      <c r="BZ106" s="267"/>
      <c r="CA106" s="267"/>
      <c r="CB106" s="267"/>
      <c r="CC106" s="267"/>
      <c r="CD106" s="267"/>
      <c r="CE106" s="267"/>
      <c r="CF106" s="267"/>
      <c r="CG106" s="267"/>
      <c r="CH106" s="267"/>
      <c r="CI106" s="267"/>
    </row>
    <row r="107" spans="1:87" ht="16.5" outlineLevel="1">
      <c r="A107" s="260" t="str">
        <f t="shared" ref="A107:A120" si="27">E107&amp;G107</f>
        <v>modesg_out_empr_info_nfincca_capex_enblng_algnd</v>
      </c>
      <c r="B107" s="141" t="s">
        <v>26</v>
      </c>
      <c r="C107" s="137" t="s">
        <v>310</v>
      </c>
      <c r="D107" s="222" t="s">
        <v>40</v>
      </c>
      <c r="E107" s="223" t="s">
        <v>325</v>
      </c>
      <c r="F107" s="223"/>
      <c r="G107" s="222" t="s">
        <v>249</v>
      </c>
      <c r="H107" s="222" t="str">
        <f>VLOOKUP(A107,'2. Status Detalhe Campos FY24'!$A$7:$G$731,7,0)</f>
        <v>1. Concluído</v>
      </c>
      <c r="I107" s="310" t="s">
        <v>38</v>
      </c>
      <c r="J107" s="309"/>
      <c r="K107" s="309"/>
      <c r="L107" s="276">
        <f t="array" ref="L107">MIN(IF(W107:CI107&gt;0,$W$16:$CI$16))</f>
        <v>45615</v>
      </c>
      <c r="M107" s="277">
        <f t="array" ref="M107">MAX(IF(W107:CI107&gt;0,$W$16:$CI$16))</f>
        <v>45639</v>
      </c>
      <c r="N107" s="277"/>
      <c r="O107" s="235">
        <f>VLOOKUP(H107,Auxiliar!$B$16:$E$24,4,0)</f>
        <v>1</v>
      </c>
      <c r="P107" s="235">
        <f t="shared" ref="P107:P120" ca="1" si="28">IF(TODAY()&lt;=L107,0,MIN((TODAY()-L107)/(M107-L107+1),100%))</f>
        <v>1</v>
      </c>
      <c r="Q107" s="235">
        <f t="shared" ca="1" si="26"/>
        <v>0</v>
      </c>
      <c r="R107" s="324" t="s">
        <v>38</v>
      </c>
      <c r="S107" s="266"/>
      <c r="T107" s="256">
        <v>16.100000000000001</v>
      </c>
      <c r="U107" s="285">
        <v>1</v>
      </c>
      <c r="V107" s="256">
        <f t="shared" ref="V107:V120" si="29">SUM(W107:CI107)-U107</f>
        <v>0</v>
      </c>
      <c r="W107" s="267"/>
      <c r="X107" s="267"/>
      <c r="Y107" s="267"/>
      <c r="Z107" s="267"/>
      <c r="AA107" s="267"/>
      <c r="AB107" s="267"/>
      <c r="AC107" s="267"/>
      <c r="AD107" s="268"/>
      <c r="AE107" s="267"/>
      <c r="AF107" s="267"/>
      <c r="AG107" s="267"/>
      <c r="AH107" s="267"/>
      <c r="AI107" s="267"/>
      <c r="AJ107" s="267"/>
      <c r="AK107" s="267"/>
      <c r="AL107" s="267"/>
      <c r="AM107" s="267"/>
      <c r="AN107" s="267"/>
      <c r="AO107" s="269"/>
      <c r="AP107" s="274">
        <v>0.5</v>
      </c>
      <c r="AQ107" s="267"/>
      <c r="AR107" s="267"/>
      <c r="AS107" s="267"/>
      <c r="AT107" s="267"/>
      <c r="AU107" s="267"/>
      <c r="AV107" s="267"/>
      <c r="AW107" s="267"/>
      <c r="AX107" s="267"/>
      <c r="AY107" s="267"/>
      <c r="AZ107" s="267"/>
      <c r="BA107" s="267">
        <v>0.2</v>
      </c>
      <c r="BB107" s="267">
        <v>0.3</v>
      </c>
      <c r="BC107" s="267"/>
      <c r="BD107" s="267"/>
      <c r="BE107" s="267"/>
      <c r="BF107" s="267"/>
      <c r="BG107" s="267"/>
      <c r="BH107" s="270" t="s">
        <v>443</v>
      </c>
      <c r="BI107" s="267"/>
      <c r="BJ107" s="267"/>
      <c r="BK107" s="267"/>
      <c r="BL107" s="267"/>
      <c r="BM107" s="267"/>
      <c r="BN107" s="267"/>
      <c r="BO107" s="268"/>
      <c r="BP107" s="268"/>
      <c r="BQ107" s="268"/>
      <c r="BR107" s="268"/>
      <c r="BS107" s="268"/>
      <c r="BT107" s="268"/>
      <c r="BU107" s="268"/>
      <c r="BV107" s="267"/>
      <c r="BW107" s="267"/>
      <c r="BX107" s="267"/>
      <c r="BY107" s="267"/>
      <c r="BZ107" s="267"/>
      <c r="CA107" s="267"/>
      <c r="CB107" s="267"/>
      <c r="CC107" s="267"/>
      <c r="CD107" s="267"/>
      <c r="CE107" s="267"/>
      <c r="CF107" s="267"/>
      <c r="CG107" s="267"/>
      <c r="CH107" s="267"/>
      <c r="CI107" s="267"/>
    </row>
    <row r="108" spans="1:87" ht="16.5" outlineLevel="1">
      <c r="A108" s="260" t="str">
        <f t="shared" si="27"/>
        <v>modesg_out_empr_info_nfincca_capex_own_prfrmnce_algnd</v>
      </c>
      <c r="B108" s="141" t="s">
        <v>26</v>
      </c>
      <c r="C108" s="137" t="s">
        <v>310</v>
      </c>
      <c r="D108" s="222" t="s">
        <v>40</v>
      </c>
      <c r="E108" s="223" t="s">
        <v>325</v>
      </c>
      <c r="F108" s="223"/>
      <c r="G108" s="222" t="s">
        <v>250</v>
      </c>
      <c r="H108" s="222" t="str">
        <f>VLOOKUP(A108,'2. Status Detalhe Campos FY24'!$A$7:$G$731,7,0)</f>
        <v>1. Concluído</v>
      </c>
      <c r="I108" s="310" t="s">
        <v>38</v>
      </c>
      <c r="J108" s="309"/>
      <c r="K108" s="309"/>
      <c r="L108" s="276">
        <f t="array" ref="L108">MIN(IF(W108:CI108&gt;0,$W$16:$CI$16))</f>
        <v>45616</v>
      </c>
      <c r="M108" s="277">
        <f t="array" ref="M108">MAX(IF(W108:CI108&gt;0,$W$16:$CI$16))</f>
        <v>45639</v>
      </c>
      <c r="N108" s="277"/>
      <c r="O108" s="235">
        <f>VLOOKUP(H108,Auxiliar!$B$16:$E$24,4,0)</f>
        <v>1</v>
      </c>
      <c r="P108" s="235">
        <f t="shared" ca="1" si="28"/>
        <v>1</v>
      </c>
      <c r="Q108" s="235">
        <f t="shared" ca="1" si="26"/>
        <v>0</v>
      </c>
      <c r="R108" s="324" t="s">
        <v>38</v>
      </c>
      <c r="S108" s="266"/>
      <c r="T108" s="256">
        <v>16.100000000000001</v>
      </c>
      <c r="U108" s="285">
        <v>1</v>
      </c>
      <c r="V108" s="256">
        <f t="shared" si="29"/>
        <v>0</v>
      </c>
      <c r="W108" s="267"/>
      <c r="X108" s="267"/>
      <c r="Y108" s="267"/>
      <c r="Z108" s="267"/>
      <c r="AA108" s="267"/>
      <c r="AB108" s="267"/>
      <c r="AC108" s="267"/>
      <c r="AD108" s="268"/>
      <c r="AE108" s="267"/>
      <c r="AF108" s="267"/>
      <c r="AG108" s="267"/>
      <c r="AH108" s="267"/>
      <c r="AI108" s="267"/>
      <c r="AJ108" s="267"/>
      <c r="AK108" s="267"/>
      <c r="AL108" s="267"/>
      <c r="AM108" s="267"/>
      <c r="AN108" s="267"/>
      <c r="AO108" s="269"/>
      <c r="AP108" s="274"/>
      <c r="AQ108" s="267">
        <v>1</v>
      </c>
      <c r="AR108" s="267"/>
      <c r="AS108" s="267"/>
      <c r="AT108" s="267"/>
      <c r="AU108" s="267"/>
      <c r="AV108" s="267"/>
      <c r="AW108" s="267"/>
      <c r="AX108" s="267"/>
      <c r="AY108" s="267"/>
      <c r="AZ108" s="267"/>
      <c r="BA108" s="267"/>
      <c r="BB108" s="267"/>
      <c r="BC108" s="267"/>
      <c r="BD108" s="267"/>
      <c r="BE108" s="267"/>
      <c r="BF108" s="267"/>
      <c r="BG108" s="267"/>
      <c r="BH108" s="270" t="s">
        <v>443</v>
      </c>
      <c r="BI108" s="267"/>
      <c r="BJ108" s="267"/>
      <c r="BK108" s="267"/>
      <c r="BL108" s="267"/>
      <c r="BM108" s="267"/>
      <c r="BN108" s="267"/>
      <c r="BO108" s="268"/>
      <c r="BP108" s="268"/>
      <c r="BQ108" s="268"/>
      <c r="BR108" s="268"/>
      <c r="BS108" s="268"/>
      <c r="BT108" s="268"/>
      <c r="BU108" s="268"/>
      <c r="BV108" s="267"/>
      <c r="BW108" s="267"/>
      <c r="BX108" s="267"/>
      <c r="BY108" s="267"/>
      <c r="BZ108" s="267"/>
      <c r="CA108" s="267"/>
      <c r="CB108" s="267"/>
      <c r="CC108" s="267"/>
      <c r="CD108" s="267"/>
      <c r="CE108" s="267"/>
      <c r="CF108" s="267"/>
      <c r="CG108" s="267"/>
      <c r="CH108" s="267"/>
      <c r="CI108" s="267"/>
    </row>
    <row r="109" spans="1:87" ht="16.5" outlineLevel="1">
      <c r="A109" s="260" t="str">
        <f t="shared" si="27"/>
        <v>modesg_out_empr_info_nfincca_capex_ttl_elgbl</v>
      </c>
      <c r="B109" s="141" t="s">
        <v>26</v>
      </c>
      <c r="C109" s="137" t="s">
        <v>310</v>
      </c>
      <c r="D109" s="222" t="s">
        <v>40</v>
      </c>
      <c r="E109" s="223" t="s">
        <v>325</v>
      </c>
      <c r="F109" s="223"/>
      <c r="G109" s="222" t="s">
        <v>248</v>
      </c>
      <c r="H109" s="222" t="str">
        <f>VLOOKUP(A109,'2. Status Detalhe Campos FY24'!$A$7:$G$731,7,0)</f>
        <v>1. Concluído</v>
      </c>
      <c r="I109" s="310" t="s">
        <v>38</v>
      </c>
      <c r="J109" s="309"/>
      <c r="K109" s="309"/>
      <c r="L109" s="276">
        <f t="array" ref="L109">MIN(IF(W109:CI109&gt;0,$W$16:$CI$16))</f>
        <v>45617</v>
      </c>
      <c r="M109" s="277">
        <f t="array" ref="M109">MAX(IF(W109:CI109&gt;0,$W$16:$CI$16))</f>
        <v>45639</v>
      </c>
      <c r="N109" s="277"/>
      <c r="O109" s="235">
        <f>VLOOKUP(H109,Auxiliar!$B$16:$E$24,4,0)</f>
        <v>1</v>
      </c>
      <c r="P109" s="235">
        <f t="shared" ca="1" si="28"/>
        <v>1</v>
      </c>
      <c r="Q109" s="235">
        <f t="shared" ca="1" si="26"/>
        <v>0</v>
      </c>
      <c r="R109" s="324" t="s">
        <v>38</v>
      </c>
      <c r="S109" s="266"/>
      <c r="T109" s="256">
        <v>16.100000000000001</v>
      </c>
      <c r="U109" s="285">
        <v>1</v>
      </c>
      <c r="V109" s="256">
        <f t="shared" si="29"/>
        <v>0</v>
      </c>
      <c r="W109" s="267"/>
      <c r="X109" s="267"/>
      <c r="Y109" s="267"/>
      <c r="Z109" s="267"/>
      <c r="AA109" s="267"/>
      <c r="AB109" s="267"/>
      <c r="AC109" s="267"/>
      <c r="AD109" s="268"/>
      <c r="AE109" s="267"/>
      <c r="AF109" s="267"/>
      <c r="AG109" s="267"/>
      <c r="AH109" s="267"/>
      <c r="AI109" s="267"/>
      <c r="AJ109" s="267"/>
      <c r="AK109" s="267"/>
      <c r="AL109" s="267"/>
      <c r="AM109" s="267"/>
      <c r="AN109" s="267"/>
      <c r="AO109" s="269"/>
      <c r="AP109" s="274"/>
      <c r="AQ109" s="267"/>
      <c r="AR109" s="267">
        <v>1</v>
      </c>
      <c r="AS109" s="267"/>
      <c r="AT109" s="267"/>
      <c r="AU109" s="267"/>
      <c r="AV109" s="267"/>
      <c r="AW109" s="267"/>
      <c r="AX109" s="267"/>
      <c r="AY109" s="267"/>
      <c r="AZ109" s="267"/>
      <c r="BA109" s="267"/>
      <c r="BB109" s="267"/>
      <c r="BC109" s="267"/>
      <c r="BD109" s="267"/>
      <c r="BE109" s="267"/>
      <c r="BF109" s="267"/>
      <c r="BG109" s="267"/>
      <c r="BH109" s="270" t="s">
        <v>443</v>
      </c>
      <c r="BI109" s="267"/>
      <c r="BJ109" s="267"/>
      <c r="BK109" s="267"/>
      <c r="BL109" s="267"/>
      <c r="BM109" s="267"/>
      <c r="BN109" s="267"/>
      <c r="BO109" s="268"/>
      <c r="BP109" s="268"/>
      <c r="BQ109" s="268"/>
      <c r="BR109" s="268"/>
      <c r="BS109" s="268"/>
      <c r="BT109" s="268"/>
      <c r="BU109" s="268"/>
      <c r="BV109" s="267"/>
      <c r="BW109" s="267"/>
      <c r="BX109" s="267"/>
      <c r="BY109" s="267"/>
      <c r="BZ109" s="267"/>
      <c r="CA109" s="267"/>
      <c r="CB109" s="267"/>
      <c r="CC109" s="267"/>
      <c r="CD109" s="267"/>
      <c r="CE109" s="267"/>
      <c r="CF109" s="267"/>
      <c r="CG109" s="267"/>
      <c r="CH109" s="267"/>
      <c r="CI109" s="267"/>
    </row>
    <row r="110" spans="1:87" ht="16.5" outlineLevel="1">
      <c r="A110" s="260" t="str">
        <f t="shared" si="27"/>
        <v>modesg_out_empr_info_nfincca_trnvr_enblng_alignd</v>
      </c>
      <c r="B110" s="141" t="s">
        <v>26</v>
      </c>
      <c r="C110" s="137" t="s">
        <v>310</v>
      </c>
      <c r="D110" s="222" t="s">
        <v>40</v>
      </c>
      <c r="E110" s="223" t="s">
        <v>325</v>
      </c>
      <c r="F110" s="223"/>
      <c r="G110" s="222" t="s">
        <v>246</v>
      </c>
      <c r="H110" s="222" t="str">
        <f>VLOOKUP(A110,'2. Status Detalhe Campos FY24'!$A$7:$G$731,7,0)</f>
        <v>1. Concluído</v>
      </c>
      <c r="I110" s="310" t="s">
        <v>38</v>
      </c>
      <c r="J110" s="309"/>
      <c r="K110" s="309"/>
      <c r="L110" s="276">
        <f t="array" ref="L110">MIN(IF(W110:CI110&gt;0,$W$16:$CI$16))</f>
        <v>45618</v>
      </c>
      <c r="M110" s="277">
        <f t="array" ref="M110">MAX(IF(W110:CI110&gt;0,$W$16:$CI$16))</f>
        <v>45639</v>
      </c>
      <c r="N110" s="277"/>
      <c r="O110" s="235">
        <f>VLOOKUP(H110,Auxiliar!$B$16:$E$24,4,0)</f>
        <v>1</v>
      </c>
      <c r="P110" s="235">
        <f t="shared" ca="1" si="28"/>
        <v>1</v>
      </c>
      <c r="Q110" s="235">
        <f t="shared" ca="1" si="26"/>
        <v>0</v>
      </c>
      <c r="R110" s="324" t="s">
        <v>38</v>
      </c>
      <c r="S110" s="266"/>
      <c r="T110" s="286">
        <v>4</v>
      </c>
      <c r="U110" s="256">
        <f t="shared" ref="U110:U120" si="30">ROUND(T110/8,1)</f>
        <v>0.5</v>
      </c>
      <c r="V110" s="256">
        <f t="shared" si="29"/>
        <v>0</v>
      </c>
      <c r="W110" s="267"/>
      <c r="X110" s="267"/>
      <c r="Y110" s="267"/>
      <c r="Z110" s="267"/>
      <c r="AA110" s="267"/>
      <c r="AB110" s="267"/>
      <c r="AC110" s="267"/>
      <c r="AD110" s="268"/>
      <c r="AE110" s="267"/>
      <c r="AF110" s="267"/>
      <c r="AG110" s="267"/>
      <c r="AH110" s="267"/>
      <c r="AI110" s="267"/>
      <c r="AJ110" s="267"/>
      <c r="AK110" s="267"/>
      <c r="AL110" s="267"/>
      <c r="AM110" s="267"/>
      <c r="AN110" s="267"/>
      <c r="AO110" s="269"/>
      <c r="AP110" s="274"/>
      <c r="AQ110" s="267"/>
      <c r="AR110" s="267"/>
      <c r="AS110" s="267">
        <v>0.5</v>
      </c>
      <c r="AT110" s="267"/>
      <c r="AU110" s="267"/>
      <c r="AV110" s="267"/>
      <c r="AW110" s="267"/>
      <c r="AX110" s="267"/>
      <c r="AY110" s="267"/>
      <c r="AZ110" s="267"/>
      <c r="BA110" s="267"/>
      <c r="BB110" s="267"/>
      <c r="BC110" s="267"/>
      <c r="BD110" s="267"/>
      <c r="BE110" s="267"/>
      <c r="BF110" s="267"/>
      <c r="BG110" s="267"/>
      <c r="BH110" s="270" t="s">
        <v>443</v>
      </c>
      <c r="BI110" s="267"/>
      <c r="BJ110" s="267"/>
      <c r="BK110" s="267"/>
      <c r="BL110" s="267"/>
      <c r="BM110" s="267"/>
      <c r="BN110" s="267"/>
      <c r="BO110" s="268"/>
      <c r="BP110" s="268"/>
      <c r="BQ110" s="268"/>
      <c r="BR110" s="268"/>
      <c r="BS110" s="268"/>
      <c r="BT110" s="268"/>
      <c r="BU110" s="268"/>
      <c r="BV110" s="267"/>
      <c r="BW110" s="267"/>
      <c r="BX110" s="267"/>
      <c r="BY110" s="267"/>
      <c r="BZ110" s="267"/>
      <c r="CA110" s="267"/>
      <c r="CB110" s="267"/>
      <c r="CC110" s="267"/>
      <c r="CD110" s="267"/>
      <c r="CE110" s="267"/>
      <c r="CF110" s="267"/>
      <c r="CG110" s="267"/>
      <c r="CH110" s="267"/>
      <c r="CI110" s="267"/>
    </row>
    <row r="111" spans="1:87" ht="16.5" outlineLevel="1">
      <c r="A111" s="260" t="str">
        <f t="shared" si="27"/>
        <v>modesg_out_empr_info_nfincca_trnvr_ttl_elgbl</v>
      </c>
      <c r="B111" s="141" t="s">
        <v>26</v>
      </c>
      <c r="C111" s="137" t="s">
        <v>310</v>
      </c>
      <c r="D111" s="222" t="s">
        <v>40</v>
      </c>
      <c r="E111" s="223" t="s">
        <v>325</v>
      </c>
      <c r="F111" s="223"/>
      <c r="G111" s="222" t="s">
        <v>245</v>
      </c>
      <c r="H111" s="222" t="str">
        <f>VLOOKUP(A111,'2. Status Detalhe Campos FY24'!$A$7:$G$731,7,0)</f>
        <v>1. Concluído</v>
      </c>
      <c r="I111" s="310" t="s">
        <v>38</v>
      </c>
      <c r="J111" s="309"/>
      <c r="K111" s="309"/>
      <c r="L111" s="276">
        <f t="array" ref="L111">MIN(IF(W111:CI111&gt;0,$W$16:$CI$16))</f>
        <v>45618</v>
      </c>
      <c r="M111" s="277">
        <f t="array" ref="M111">MAX(IF(W111:CI111&gt;0,$W$16:$CI$16))</f>
        <v>45639</v>
      </c>
      <c r="N111" s="277"/>
      <c r="O111" s="235">
        <f>VLOOKUP(H111,Auxiliar!$B$16:$E$24,4,0)</f>
        <v>1</v>
      </c>
      <c r="P111" s="235">
        <f t="shared" ca="1" si="28"/>
        <v>1</v>
      </c>
      <c r="Q111" s="235">
        <f t="shared" ca="1" si="26"/>
        <v>0</v>
      </c>
      <c r="R111" s="324" t="s">
        <v>38</v>
      </c>
      <c r="S111" s="266"/>
      <c r="T111" s="286">
        <v>4</v>
      </c>
      <c r="U111" s="256">
        <f t="shared" si="30"/>
        <v>0.5</v>
      </c>
      <c r="V111" s="256">
        <f t="shared" si="29"/>
        <v>0</v>
      </c>
      <c r="W111" s="267"/>
      <c r="X111" s="267"/>
      <c r="Y111" s="267"/>
      <c r="Z111" s="267"/>
      <c r="AA111" s="267"/>
      <c r="AB111" s="267"/>
      <c r="AC111" s="267"/>
      <c r="AD111" s="268"/>
      <c r="AE111" s="267"/>
      <c r="AF111" s="267"/>
      <c r="AG111" s="267"/>
      <c r="AH111" s="267"/>
      <c r="AI111" s="267"/>
      <c r="AJ111" s="267"/>
      <c r="AK111" s="267"/>
      <c r="AL111" s="267"/>
      <c r="AM111" s="267"/>
      <c r="AN111" s="267"/>
      <c r="AO111" s="269"/>
      <c r="AP111" s="274"/>
      <c r="AQ111" s="267"/>
      <c r="AR111" s="267"/>
      <c r="AS111" s="267">
        <v>0.5</v>
      </c>
      <c r="AT111" s="267"/>
      <c r="AU111" s="267"/>
      <c r="AV111" s="267"/>
      <c r="AW111" s="267"/>
      <c r="AX111" s="267"/>
      <c r="AY111" s="267"/>
      <c r="AZ111" s="267"/>
      <c r="BA111" s="267"/>
      <c r="BB111" s="267"/>
      <c r="BC111" s="267"/>
      <c r="BD111" s="267"/>
      <c r="BE111" s="267"/>
      <c r="BF111" s="267"/>
      <c r="BG111" s="267"/>
      <c r="BH111" s="270" t="s">
        <v>443</v>
      </c>
      <c r="BI111" s="267"/>
      <c r="BJ111" s="267"/>
      <c r="BK111" s="267"/>
      <c r="BL111" s="267"/>
      <c r="BM111" s="267"/>
      <c r="BN111" s="267"/>
      <c r="BO111" s="268"/>
      <c r="BP111" s="268"/>
      <c r="BQ111" s="268"/>
      <c r="BR111" s="268"/>
      <c r="BS111" s="268"/>
      <c r="BT111" s="268"/>
      <c r="BU111" s="268"/>
      <c r="BV111" s="267"/>
      <c r="BW111" s="267"/>
      <c r="BX111" s="267"/>
      <c r="BY111" s="267"/>
      <c r="BZ111" s="267"/>
      <c r="CA111" s="267"/>
      <c r="CB111" s="267"/>
      <c r="CC111" s="267"/>
      <c r="CD111" s="267"/>
      <c r="CE111" s="267"/>
      <c r="CF111" s="267"/>
      <c r="CG111" s="267"/>
      <c r="CH111" s="267"/>
      <c r="CI111" s="267"/>
    </row>
    <row r="112" spans="1:87" ht="16.5" outlineLevel="1">
      <c r="A112" s="260" t="str">
        <f t="shared" si="27"/>
        <v>modesg_out_empr_info_nfincca_turnover_own_prfrmnce_algnd</v>
      </c>
      <c r="B112" s="141" t="s">
        <v>26</v>
      </c>
      <c r="C112" s="137" t="s">
        <v>310</v>
      </c>
      <c r="D112" s="222" t="s">
        <v>40</v>
      </c>
      <c r="E112" s="223" t="s">
        <v>325</v>
      </c>
      <c r="F112" s="223"/>
      <c r="G112" s="222" t="s">
        <v>247</v>
      </c>
      <c r="H112" s="222" t="str">
        <f>VLOOKUP(A112,'2. Status Detalhe Campos FY24'!$A$7:$G$731,7,0)</f>
        <v>1. Concluído</v>
      </c>
      <c r="I112" s="310" t="s">
        <v>38</v>
      </c>
      <c r="J112" s="309"/>
      <c r="K112" s="309"/>
      <c r="L112" s="276">
        <f t="array" ref="L112">MIN(IF(W112:CI112&gt;0,$W$16:$CI$16))</f>
        <v>45621</v>
      </c>
      <c r="M112" s="277">
        <f t="array" ref="M112">MAX(IF(W112:CI112&gt;0,$W$16:$CI$16))</f>
        <v>45639</v>
      </c>
      <c r="N112" s="277"/>
      <c r="O112" s="235">
        <f>VLOOKUP(H112,Auxiliar!$B$16:$E$24,4,0)</f>
        <v>1</v>
      </c>
      <c r="P112" s="235">
        <f t="shared" ca="1" si="28"/>
        <v>1</v>
      </c>
      <c r="Q112" s="235">
        <f t="shared" ca="1" si="26"/>
        <v>0</v>
      </c>
      <c r="R112" s="324" t="s">
        <v>38</v>
      </c>
      <c r="S112" s="266"/>
      <c r="T112" s="286">
        <v>4</v>
      </c>
      <c r="U112" s="256">
        <f t="shared" si="30"/>
        <v>0.5</v>
      </c>
      <c r="V112" s="256">
        <f t="shared" si="29"/>
        <v>0</v>
      </c>
      <c r="W112" s="267"/>
      <c r="X112" s="267"/>
      <c r="Y112" s="267"/>
      <c r="Z112" s="267"/>
      <c r="AA112" s="267"/>
      <c r="AB112" s="267"/>
      <c r="AC112" s="267"/>
      <c r="AD112" s="268"/>
      <c r="AE112" s="267"/>
      <c r="AF112" s="267"/>
      <c r="AG112" s="267"/>
      <c r="AH112" s="267"/>
      <c r="AI112" s="267"/>
      <c r="AJ112" s="267"/>
      <c r="AK112" s="267"/>
      <c r="AL112" s="267"/>
      <c r="AM112" s="267"/>
      <c r="AN112" s="267"/>
      <c r="AO112" s="269"/>
      <c r="AP112" s="274"/>
      <c r="AQ112" s="267"/>
      <c r="AR112" s="267"/>
      <c r="AS112" s="267"/>
      <c r="AT112" s="267">
        <v>0.5</v>
      </c>
      <c r="AU112" s="267"/>
      <c r="AV112" s="267"/>
      <c r="AW112" s="267"/>
      <c r="AX112" s="267"/>
      <c r="AY112" s="267"/>
      <c r="AZ112" s="267"/>
      <c r="BA112" s="267"/>
      <c r="BB112" s="267"/>
      <c r="BC112" s="267"/>
      <c r="BD112" s="267"/>
      <c r="BE112" s="267"/>
      <c r="BF112" s="267"/>
      <c r="BG112" s="267"/>
      <c r="BH112" s="270" t="s">
        <v>443</v>
      </c>
      <c r="BI112" s="267"/>
      <c r="BJ112" s="267"/>
      <c r="BK112" s="267"/>
      <c r="BL112" s="267"/>
      <c r="BM112" s="267"/>
      <c r="BN112" s="267"/>
      <c r="BO112" s="268"/>
      <c r="BP112" s="268"/>
      <c r="BQ112" s="268"/>
      <c r="BR112" s="268"/>
      <c r="BS112" s="268"/>
      <c r="BT112" s="268"/>
      <c r="BU112" s="268"/>
      <c r="BV112" s="267"/>
      <c r="BW112" s="267"/>
      <c r="BX112" s="267"/>
      <c r="BY112" s="267"/>
      <c r="BZ112" s="267"/>
      <c r="CA112" s="267"/>
      <c r="CB112" s="267"/>
      <c r="CC112" s="267"/>
      <c r="CD112" s="267"/>
      <c r="CE112" s="267"/>
      <c r="CF112" s="267"/>
      <c r="CG112" s="267"/>
      <c r="CH112" s="267"/>
      <c r="CI112" s="267"/>
    </row>
    <row r="113" spans="1:87" ht="16.5" outlineLevel="1">
      <c r="A113" s="260" t="str">
        <f t="shared" si="27"/>
        <v>modesg_out_empr_info_nfinccm_capex_enblng_algnd</v>
      </c>
      <c r="B113" s="141" t="s">
        <v>26</v>
      </c>
      <c r="C113" s="137" t="s">
        <v>310</v>
      </c>
      <c r="D113" s="222" t="s">
        <v>40</v>
      </c>
      <c r="E113" s="223" t="s">
        <v>325</v>
      </c>
      <c r="F113" s="223"/>
      <c r="G113" s="222" t="s">
        <v>256</v>
      </c>
      <c r="H113" s="222" t="str">
        <f>VLOOKUP(A113,'2. Status Detalhe Campos FY24'!$A$7:$G$731,7,0)</f>
        <v>1. Concluído</v>
      </c>
      <c r="I113" s="310" t="s">
        <v>38</v>
      </c>
      <c r="J113" s="309"/>
      <c r="K113" s="309"/>
      <c r="L113" s="276">
        <f t="array" ref="L113">MIN(IF(W113:CI113&gt;0,$W$16:$CI$16))</f>
        <v>45621</v>
      </c>
      <c r="M113" s="277">
        <f t="array" ref="M113">MAX(IF(W113:CI113&gt;0,$W$16:$CI$16))</f>
        <v>45639</v>
      </c>
      <c r="N113" s="277"/>
      <c r="O113" s="235">
        <f>VLOOKUP(H113,Auxiliar!$B$16:$E$24,4,0)</f>
        <v>1</v>
      </c>
      <c r="P113" s="235">
        <f t="shared" ca="1" si="28"/>
        <v>1</v>
      </c>
      <c r="Q113" s="235">
        <f t="shared" ca="1" si="26"/>
        <v>0</v>
      </c>
      <c r="R113" s="324" t="s">
        <v>38</v>
      </c>
      <c r="S113" s="266"/>
      <c r="T113" s="286">
        <v>4</v>
      </c>
      <c r="U113" s="256">
        <f t="shared" si="30"/>
        <v>0.5</v>
      </c>
      <c r="V113" s="256">
        <f t="shared" si="29"/>
        <v>0</v>
      </c>
      <c r="W113" s="267"/>
      <c r="X113" s="267"/>
      <c r="Y113" s="267"/>
      <c r="Z113" s="267"/>
      <c r="AA113" s="267"/>
      <c r="AB113" s="267"/>
      <c r="AC113" s="267"/>
      <c r="AD113" s="268"/>
      <c r="AE113" s="267"/>
      <c r="AF113" s="267"/>
      <c r="AG113" s="267"/>
      <c r="AH113" s="267"/>
      <c r="AI113" s="267"/>
      <c r="AJ113" s="267"/>
      <c r="AK113" s="267"/>
      <c r="AL113" s="267"/>
      <c r="AM113" s="267"/>
      <c r="AN113" s="267"/>
      <c r="AO113" s="269"/>
      <c r="AP113" s="274"/>
      <c r="AQ113" s="267"/>
      <c r="AR113" s="267"/>
      <c r="AS113" s="267"/>
      <c r="AT113" s="267">
        <v>0.5</v>
      </c>
      <c r="AU113" s="267"/>
      <c r="AV113" s="267"/>
      <c r="AW113" s="267"/>
      <c r="AX113" s="267"/>
      <c r="AY113" s="267"/>
      <c r="AZ113" s="267"/>
      <c r="BA113" s="267"/>
      <c r="BB113" s="267"/>
      <c r="BC113" s="267"/>
      <c r="BD113" s="267"/>
      <c r="BE113" s="267"/>
      <c r="BF113" s="267"/>
      <c r="BG113" s="267"/>
      <c r="BH113" s="270" t="s">
        <v>443</v>
      </c>
      <c r="BI113" s="267"/>
      <c r="BJ113" s="267"/>
      <c r="BK113" s="267"/>
      <c r="BL113" s="267"/>
      <c r="BM113" s="267"/>
      <c r="BN113" s="267"/>
      <c r="BO113" s="268"/>
      <c r="BP113" s="268"/>
      <c r="BQ113" s="268"/>
      <c r="BR113" s="268"/>
      <c r="BS113" s="268"/>
      <c r="BT113" s="268"/>
      <c r="BU113" s="268"/>
      <c r="BV113" s="267"/>
      <c r="BW113" s="267"/>
      <c r="BX113" s="267"/>
      <c r="BY113" s="267"/>
      <c r="BZ113" s="267"/>
      <c r="CA113" s="267"/>
      <c r="CB113" s="267"/>
      <c r="CC113" s="267"/>
      <c r="CD113" s="267"/>
      <c r="CE113" s="267"/>
      <c r="CF113" s="267"/>
      <c r="CG113" s="267"/>
      <c r="CH113" s="267"/>
      <c r="CI113" s="267"/>
    </row>
    <row r="114" spans="1:87" ht="16.5" outlineLevel="1">
      <c r="A114" s="260" t="str">
        <f t="shared" si="27"/>
        <v>modesg_out_empr_info_nfinccm_capex_own_prfrmnce_algnd</v>
      </c>
      <c r="B114" s="141" t="s">
        <v>26</v>
      </c>
      <c r="C114" s="137" t="s">
        <v>310</v>
      </c>
      <c r="D114" s="222" t="s">
        <v>40</v>
      </c>
      <c r="E114" s="223" t="s">
        <v>325</v>
      </c>
      <c r="F114" s="223"/>
      <c r="G114" s="222" t="s">
        <v>258</v>
      </c>
      <c r="H114" s="222" t="str">
        <f>VLOOKUP(A114,'2. Status Detalhe Campos FY24'!$A$7:$G$731,7,0)</f>
        <v>1. Concluído</v>
      </c>
      <c r="I114" s="310" t="s">
        <v>38</v>
      </c>
      <c r="J114" s="309"/>
      <c r="K114" s="309"/>
      <c r="L114" s="276">
        <f t="array" ref="L114">MIN(IF(W114:CI114&gt;0,$W$16:$CI$16))</f>
        <v>45622</v>
      </c>
      <c r="M114" s="277">
        <f t="array" ref="M114">MAX(IF(W114:CI114&gt;0,$W$16:$CI$16))</f>
        <v>45639</v>
      </c>
      <c r="N114" s="277"/>
      <c r="O114" s="235">
        <f>VLOOKUP(H114,Auxiliar!$B$16:$E$24,4,0)</f>
        <v>1</v>
      </c>
      <c r="P114" s="235">
        <f t="shared" ca="1" si="28"/>
        <v>1</v>
      </c>
      <c r="Q114" s="235">
        <f t="shared" ca="1" si="26"/>
        <v>0</v>
      </c>
      <c r="R114" s="324" t="s">
        <v>38</v>
      </c>
      <c r="S114" s="266"/>
      <c r="T114" s="286">
        <v>4</v>
      </c>
      <c r="U114" s="256">
        <f t="shared" si="30"/>
        <v>0.5</v>
      </c>
      <c r="V114" s="256">
        <f t="shared" si="29"/>
        <v>0</v>
      </c>
      <c r="W114" s="267"/>
      <c r="X114" s="267"/>
      <c r="Y114" s="267"/>
      <c r="Z114" s="267"/>
      <c r="AA114" s="267"/>
      <c r="AB114" s="267"/>
      <c r="AC114" s="267"/>
      <c r="AD114" s="268"/>
      <c r="AE114" s="267"/>
      <c r="AF114" s="267"/>
      <c r="AG114" s="267"/>
      <c r="AH114" s="267"/>
      <c r="AI114" s="267"/>
      <c r="AJ114" s="267"/>
      <c r="AK114" s="267"/>
      <c r="AL114" s="267"/>
      <c r="AM114" s="267"/>
      <c r="AN114" s="267"/>
      <c r="AO114" s="269"/>
      <c r="AP114" s="274"/>
      <c r="AQ114" s="267"/>
      <c r="AR114" s="267"/>
      <c r="AS114" s="267"/>
      <c r="AT114" s="267"/>
      <c r="AU114" s="267">
        <v>0.5</v>
      </c>
      <c r="AV114" s="267"/>
      <c r="AW114" s="267"/>
      <c r="AX114" s="267"/>
      <c r="AY114" s="267"/>
      <c r="AZ114" s="267"/>
      <c r="BA114" s="267"/>
      <c r="BB114" s="267"/>
      <c r="BC114" s="267"/>
      <c r="BD114" s="267"/>
      <c r="BE114" s="267"/>
      <c r="BF114" s="267"/>
      <c r="BG114" s="267"/>
      <c r="BH114" s="270" t="s">
        <v>443</v>
      </c>
      <c r="BI114" s="267"/>
      <c r="BJ114" s="267"/>
      <c r="BK114" s="267"/>
      <c r="BL114" s="267"/>
      <c r="BM114" s="267"/>
      <c r="BN114" s="267"/>
      <c r="BO114" s="268"/>
      <c r="BP114" s="268"/>
      <c r="BQ114" s="268"/>
      <c r="BR114" s="268"/>
      <c r="BS114" s="268"/>
      <c r="BT114" s="268"/>
      <c r="BU114" s="268"/>
      <c r="BV114" s="267"/>
      <c r="BW114" s="267"/>
      <c r="BX114" s="267"/>
      <c r="BY114" s="267"/>
      <c r="BZ114" s="267"/>
      <c r="CA114" s="267"/>
      <c r="CB114" s="267"/>
      <c r="CC114" s="267"/>
      <c r="CD114" s="267"/>
      <c r="CE114" s="267"/>
      <c r="CF114" s="267"/>
      <c r="CG114" s="267"/>
      <c r="CH114" s="267"/>
      <c r="CI114" s="267"/>
    </row>
    <row r="115" spans="1:87" ht="16.5" outlineLevel="1">
      <c r="A115" s="260" t="str">
        <f t="shared" si="27"/>
        <v>modesg_out_empr_info_nfinccm_capex_trnstn_algnd</v>
      </c>
      <c r="B115" s="141" t="s">
        <v>26</v>
      </c>
      <c r="C115" s="137" t="s">
        <v>310</v>
      </c>
      <c r="D115" s="222" t="s">
        <v>40</v>
      </c>
      <c r="E115" s="223" t="s">
        <v>325</v>
      </c>
      <c r="F115" s="223"/>
      <c r="G115" s="222" t="s">
        <v>257</v>
      </c>
      <c r="H115" s="222" t="str">
        <f>VLOOKUP(A115,'2. Status Detalhe Campos FY24'!$A$7:$G$731,7,0)</f>
        <v>1. Concluído</v>
      </c>
      <c r="I115" s="310" t="s">
        <v>38</v>
      </c>
      <c r="J115" s="309"/>
      <c r="K115" s="309"/>
      <c r="L115" s="276">
        <f t="array" ref="L115">MIN(IF(W115:CI115&gt;0,$W$16:$CI$16))</f>
        <v>45622</v>
      </c>
      <c r="M115" s="277">
        <f t="array" ref="M115">MAX(IF(W115:CI115&gt;0,$W$16:$CI$16))</f>
        <v>45639</v>
      </c>
      <c r="N115" s="277"/>
      <c r="O115" s="235">
        <f>VLOOKUP(H115,Auxiliar!$B$16:$E$24,4,0)</f>
        <v>1</v>
      </c>
      <c r="P115" s="235">
        <f t="shared" ca="1" si="28"/>
        <v>1</v>
      </c>
      <c r="Q115" s="235">
        <f t="shared" ca="1" si="26"/>
        <v>0</v>
      </c>
      <c r="R115" s="324" t="s">
        <v>38</v>
      </c>
      <c r="S115" s="266"/>
      <c r="T115" s="286">
        <v>4</v>
      </c>
      <c r="U115" s="256">
        <f t="shared" si="30"/>
        <v>0.5</v>
      </c>
      <c r="V115" s="256">
        <f t="shared" si="29"/>
        <v>0</v>
      </c>
      <c r="W115" s="267"/>
      <c r="X115" s="267"/>
      <c r="Y115" s="267"/>
      <c r="Z115" s="267"/>
      <c r="AA115" s="267"/>
      <c r="AB115" s="267"/>
      <c r="AC115" s="267"/>
      <c r="AD115" s="268"/>
      <c r="AE115" s="267"/>
      <c r="AF115" s="267"/>
      <c r="AG115" s="267"/>
      <c r="AH115" s="267"/>
      <c r="AI115" s="267"/>
      <c r="AJ115" s="267"/>
      <c r="AK115" s="267"/>
      <c r="AL115" s="267"/>
      <c r="AM115" s="267"/>
      <c r="AN115" s="267"/>
      <c r="AO115" s="269"/>
      <c r="AP115" s="274"/>
      <c r="AQ115" s="267"/>
      <c r="AR115" s="267"/>
      <c r="AS115" s="267"/>
      <c r="AT115" s="267"/>
      <c r="AU115" s="267">
        <v>0.5</v>
      </c>
      <c r="AV115" s="267"/>
      <c r="AW115" s="267"/>
      <c r="AX115" s="267"/>
      <c r="AY115" s="267"/>
      <c r="AZ115" s="267"/>
      <c r="BA115" s="267"/>
      <c r="BB115" s="267"/>
      <c r="BC115" s="267"/>
      <c r="BD115" s="267"/>
      <c r="BE115" s="267"/>
      <c r="BF115" s="267"/>
      <c r="BG115" s="267"/>
      <c r="BH115" s="270" t="s">
        <v>443</v>
      </c>
      <c r="BI115" s="267"/>
      <c r="BJ115" s="267"/>
      <c r="BK115" s="267"/>
      <c r="BL115" s="267"/>
      <c r="BM115" s="267"/>
      <c r="BN115" s="267"/>
      <c r="BO115" s="268"/>
      <c r="BP115" s="268"/>
      <c r="BQ115" s="268"/>
      <c r="BR115" s="268"/>
      <c r="BS115" s="268"/>
      <c r="BT115" s="268"/>
      <c r="BU115" s="268"/>
      <c r="BV115" s="267"/>
      <c r="BW115" s="267"/>
      <c r="BX115" s="267"/>
      <c r="BY115" s="267"/>
      <c r="BZ115" s="267"/>
      <c r="CA115" s="267"/>
      <c r="CB115" s="267"/>
      <c r="CC115" s="267"/>
      <c r="CD115" s="267"/>
      <c r="CE115" s="267"/>
      <c r="CF115" s="267"/>
      <c r="CG115" s="267"/>
      <c r="CH115" s="267"/>
      <c r="CI115" s="267"/>
    </row>
    <row r="116" spans="1:87" ht="16.5" outlineLevel="1">
      <c r="A116" s="260" t="str">
        <f t="shared" si="27"/>
        <v>modesg_out_empr_info_nfinccm_capex_ttl_elgbl</v>
      </c>
      <c r="B116" s="141" t="s">
        <v>26</v>
      </c>
      <c r="C116" s="137" t="s">
        <v>310</v>
      </c>
      <c r="D116" s="222" t="s">
        <v>40</v>
      </c>
      <c r="E116" s="223" t="s">
        <v>325</v>
      </c>
      <c r="F116" s="223"/>
      <c r="G116" s="222" t="s">
        <v>255</v>
      </c>
      <c r="H116" s="222" t="str">
        <f>VLOOKUP(A116,'2. Status Detalhe Campos FY24'!$A$7:$G$731,7,0)</f>
        <v>1. Concluído</v>
      </c>
      <c r="I116" s="310" t="s">
        <v>38</v>
      </c>
      <c r="J116" s="309"/>
      <c r="K116" s="309"/>
      <c r="L116" s="276">
        <f t="array" ref="L116">MIN(IF(W116:CI116&gt;0,$W$16:$CI$16))</f>
        <v>45623</v>
      </c>
      <c r="M116" s="277">
        <f t="array" ref="M116">MAX(IF(W116:CI116&gt;0,$W$16:$CI$16))</f>
        <v>45639</v>
      </c>
      <c r="N116" s="277"/>
      <c r="O116" s="235">
        <f>VLOOKUP(H116,Auxiliar!$B$16:$E$24,4,0)</f>
        <v>1</v>
      </c>
      <c r="P116" s="235">
        <f t="shared" ca="1" si="28"/>
        <v>1</v>
      </c>
      <c r="Q116" s="235">
        <f t="shared" ca="1" si="26"/>
        <v>0</v>
      </c>
      <c r="R116" s="324" t="s">
        <v>38</v>
      </c>
      <c r="S116" s="266"/>
      <c r="T116" s="286">
        <v>4</v>
      </c>
      <c r="U116" s="256">
        <f t="shared" si="30"/>
        <v>0.5</v>
      </c>
      <c r="V116" s="256">
        <f t="shared" si="29"/>
        <v>0</v>
      </c>
      <c r="W116" s="267"/>
      <c r="X116" s="267"/>
      <c r="Y116" s="267"/>
      <c r="Z116" s="267"/>
      <c r="AA116" s="267"/>
      <c r="AB116" s="267"/>
      <c r="AC116" s="267"/>
      <c r="AD116" s="268"/>
      <c r="AE116" s="267"/>
      <c r="AF116" s="267"/>
      <c r="AG116" s="267"/>
      <c r="AH116" s="267"/>
      <c r="AI116" s="267"/>
      <c r="AJ116" s="267"/>
      <c r="AK116" s="267"/>
      <c r="AL116" s="267"/>
      <c r="AM116" s="267"/>
      <c r="AN116" s="267"/>
      <c r="AO116" s="269"/>
      <c r="AP116" s="274"/>
      <c r="AQ116" s="267"/>
      <c r="AR116" s="267"/>
      <c r="AS116" s="267"/>
      <c r="AT116" s="267"/>
      <c r="AU116" s="267"/>
      <c r="AV116" s="267">
        <v>0.5</v>
      </c>
      <c r="AW116" s="267"/>
      <c r="AX116" s="267"/>
      <c r="AY116" s="267"/>
      <c r="AZ116" s="267"/>
      <c r="BA116" s="267"/>
      <c r="BB116" s="267"/>
      <c r="BC116" s="267"/>
      <c r="BD116" s="267"/>
      <c r="BE116" s="267"/>
      <c r="BF116" s="267"/>
      <c r="BG116" s="267"/>
      <c r="BH116" s="270" t="s">
        <v>443</v>
      </c>
      <c r="BI116" s="267"/>
      <c r="BJ116" s="267"/>
      <c r="BK116" s="267"/>
      <c r="BL116" s="267"/>
      <c r="BM116" s="267"/>
      <c r="BN116" s="267"/>
      <c r="BO116" s="268"/>
      <c r="BP116" s="268"/>
      <c r="BQ116" s="268"/>
      <c r="BR116" s="268"/>
      <c r="BS116" s="268"/>
      <c r="BT116" s="268"/>
      <c r="BU116" s="268"/>
      <c r="BV116" s="267"/>
      <c r="BW116" s="267"/>
      <c r="BX116" s="267"/>
      <c r="BY116" s="267"/>
      <c r="BZ116" s="267"/>
      <c r="CA116" s="267"/>
      <c r="CB116" s="267"/>
      <c r="CC116" s="267"/>
      <c r="CD116" s="267"/>
      <c r="CE116" s="267"/>
      <c r="CF116" s="267"/>
      <c r="CG116" s="267"/>
      <c r="CH116" s="267"/>
      <c r="CI116" s="267"/>
    </row>
    <row r="117" spans="1:87" ht="16.5" outlineLevel="1">
      <c r="A117" s="260" t="str">
        <f t="shared" si="27"/>
        <v>modesg_out_empr_info_nfinccm_trnvr_enblng_algnd</v>
      </c>
      <c r="B117" s="141" t="s">
        <v>26</v>
      </c>
      <c r="C117" s="137" t="s">
        <v>310</v>
      </c>
      <c r="D117" s="222" t="s">
        <v>40</v>
      </c>
      <c r="E117" s="223" t="s">
        <v>325</v>
      </c>
      <c r="F117" s="223"/>
      <c r="G117" s="222" t="s">
        <v>252</v>
      </c>
      <c r="H117" s="222" t="str">
        <f>VLOOKUP(A117,'2. Status Detalhe Campos FY24'!$A$7:$G$731,7,0)</f>
        <v>1. Concluído</v>
      </c>
      <c r="I117" s="310" t="s">
        <v>38</v>
      </c>
      <c r="J117" s="309"/>
      <c r="K117" s="309"/>
      <c r="L117" s="276">
        <f t="array" ref="L117">MIN(IF(W117:CI117&gt;0,$W$16:$CI$16))</f>
        <v>45623</v>
      </c>
      <c r="M117" s="277">
        <f t="array" ref="M117">MAX(IF(W117:CI117&gt;0,$W$16:$CI$16))</f>
        <v>45639</v>
      </c>
      <c r="N117" s="277"/>
      <c r="O117" s="235">
        <f>VLOOKUP(H117,Auxiliar!$B$16:$E$24,4,0)</f>
        <v>1</v>
      </c>
      <c r="P117" s="235">
        <f t="shared" ca="1" si="28"/>
        <v>1</v>
      </c>
      <c r="Q117" s="235">
        <f t="shared" ca="1" si="26"/>
        <v>0</v>
      </c>
      <c r="R117" s="324" t="s">
        <v>38</v>
      </c>
      <c r="S117" s="266"/>
      <c r="T117" s="286">
        <v>4</v>
      </c>
      <c r="U117" s="256">
        <f t="shared" si="30"/>
        <v>0.5</v>
      </c>
      <c r="V117" s="256">
        <f t="shared" si="29"/>
        <v>0</v>
      </c>
      <c r="W117" s="267"/>
      <c r="X117" s="267"/>
      <c r="Y117" s="267"/>
      <c r="Z117" s="267"/>
      <c r="AA117" s="267"/>
      <c r="AB117" s="267"/>
      <c r="AC117" s="267"/>
      <c r="AD117" s="268"/>
      <c r="AE117" s="267"/>
      <c r="AF117" s="267"/>
      <c r="AG117" s="267"/>
      <c r="AH117" s="267"/>
      <c r="AI117" s="267"/>
      <c r="AJ117" s="267"/>
      <c r="AK117" s="267"/>
      <c r="AL117" s="267"/>
      <c r="AM117" s="267"/>
      <c r="AN117" s="267"/>
      <c r="AO117" s="269"/>
      <c r="AP117" s="274"/>
      <c r="AQ117" s="267"/>
      <c r="AR117" s="267"/>
      <c r="AS117" s="267"/>
      <c r="AT117" s="267"/>
      <c r="AU117" s="267"/>
      <c r="AV117" s="267">
        <v>0.5</v>
      </c>
      <c r="AW117" s="267"/>
      <c r="AX117" s="267"/>
      <c r="AY117" s="267"/>
      <c r="AZ117" s="267"/>
      <c r="BA117" s="267"/>
      <c r="BB117" s="267"/>
      <c r="BC117" s="267"/>
      <c r="BD117" s="267"/>
      <c r="BE117" s="267"/>
      <c r="BF117" s="267"/>
      <c r="BG117" s="267"/>
      <c r="BH117" s="270" t="s">
        <v>443</v>
      </c>
      <c r="BI117" s="267"/>
      <c r="BJ117" s="267"/>
      <c r="BK117" s="267"/>
      <c r="BL117" s="267"/>
      <c r="BM117" s="267"/>
      <c r="BN117" s="267"/>
      <c r="BO117" s="268"/>
      <c r="BP117" s="268"/>
      <c r="BQ117" s="268"/>
      <c r="BR117" s="268"/>
      <c r="BS117" s="268"/>
      <c r="BT117" s="268"/>
      <c r="BU117" s="268"/>
      <c r="BV117" s="267"/>
      <c r="BW117" s="267"/>
      <c r="BX117" s="267"/>
      <c r="BY117" s="267"/>
      <c r="BZ117" s="267"/>
      <c r="CA117" s="267"/>
      <c r="CB117" s="267"/>
      <c r="CC117" s="267"/>
      <c r="CD117" s="267"/>
      <c r="CE117" s="267"/>
      <c r="CF117" s="267"/>
      <c r="CG117" s="267"/>
      <c r="CH117" s="267"/>
      <c r="CI117" s="267"/>
    </row>
    <row r="118" spans="1:87" ht="16.5" outlineLevel="1">
      <c r="A118" s="260" t="str">
        <f t="shared" si="27"/>
        <v>modesg_out_empr_info_nfinccm_trnvr_own_prfrmnce_algnd</v>
      </c>
      <c r="B118" s="141" t="s">
        <v>26</v>
      </c>
      <c r="C118" s="137" t="s">
        <v>310</v>
      </c>
      <c r="D118" s="222" t="s">
        <v>40</v>
      </c>
      <c r="E118" s="223" t="s">
        <v>325</v>
      </c>
      <c r="F118" s="223"/>
      <c r="G118" s="222" t="s">
        <v>254</v>
      </c>
      <c r="H118" s="222" t="str">
        <f>VLOOKUP(A118,'2. Status Detalhe Campos FY24'!$A$7:$G$731,7,0)</f>
        <v>1. Concluído</v>
      </c>
      <c r="I118" s="310" t="s">
        <v>38</v>
      </c>
      <c r="J118" s="309"/>
      <c r="K118" s="309"/>
      <c r="L118" s="276">
        <f t="array" ref="L118">MIN(IF(W118:CI118&gt;0,$W$16:$CI$16))</f>
        <v>45624</v>
      </c>
      <c r="M118" s="277">
        <f t="array" ref="M118">MAX(IF(W118:CI118&gt;0,$W$16:$CI$16))</f>
        <v>45639</v>
      </c>
      <c r="N118" s="277"/>
      <c r="O118" s="235">
        <f>VLOOKUP(H118,Auxiliar!$B$16:$E$24,4,0)</f>
        <v>1</v>
      </c>
      <c r="P118" s="235">
        <f t="shared" ca="1" si="28"/>
        <v>1</v>
      </c>
      <c r="Q118" s="235">
        <f t="shared" ca="1" si="26"/>
        <v>0</v>
      </c>
      <c r="R118" s="324" t="s">
        <v>38</v>
      </c>
      <c r="S118" s="266"/>
      <c r="T118" s="286">
        <v>4</v>
      </c>
      <c r="U118" s="256">
        <f t="shared" si="30"/>
        <v>0.5</v>
      </c>
      <c r="V118" s="256">
        <f t="shared" si="29"/>
        <v>0</v>
      </c>
      <c r="W118" s="267"/>
      <c r="X118" s="267"/>
      <c r="Y118" s="267"/>
      <c r="Z118" s="267"/>
      <c r="AA118" s="267"/>
      <c r="AB118" s="267"/>
      <c r="AC118" s="267"/>
      <c r="AD118" s="268"/>
      <c r="AE118" s="267"/>
      <c r="AF118" s="267"/>
      <c r="AG118" s="267"/>
      <c r="AH118" s="267"/>
      <c r="AI118" s="267"/>
      <c r="AJ118" s="267"/>
      <c r="AK118" s="267"/>
      <c r="AL118" s="267"/>
      <c r="AM118" s="267"/>
      <c r="AN118" s="267"/>
      <c r="AO118" s="269"/>
      <c r="AP118" s="274"/>
      <c r="AQ118" s="267"/>
      <c r="AR118" s="267"/>
      <c r="AS118" s="267"/>
      <c r="AT118" s="267"/>
      <c r="AU118" s="267"/>
      <c r="AV118" s="267"/>
      <c r="AW118" s="267">
        <v>0.5</v>
      </c>
      <c r="AX118" s="267"/>
      <c r="AY118" s="267"/>
      <c r="AZ118" s="267"/>
      <c r="BA118" s="267"/>
      <c r="BB118" s="267"/>
      <c r="BC118" s="267"/>
      <c r="BD118" s="267"/>
      <c r="BE118" s="267"/>
      <c r="BF118" s="267"/>
      <c r="BG118" s="267"/>
      <c r="BH118" s="270" t="s">
        <v>443</v>
      </c>
      <c r="BI118" s="267"/>
      <c r="BJ118" s="267"/>
      <c r="BK118" s="267"/>
      <c r="BL118" s="267"/>
      <c r="BM118" s="267"/>
      <c r="BN118" s="267"/>
      <c r="BO118" s="268"/>
      <c r="BP118" s="268"/>
      <c r="BQ118" s="268"/>
      <c r="BR118" s="268"/>
      <c r="BS118" s="268"/>
      <c r="BT118" s="268"/>
      <c r="BU118" s="268"/>
      <c r="BV118" s="267"/>
      <c r="BW118" s="267"/>
      <c r="BX118" s="267"/>
      <c r="BY118" s="267"/>
      <c r="BZ118" s="267"/>
      <c r="CA118" s="267"/>
      <c r="CB118" s="267"/>
      <c r="CC118" s="267"/>
      <c r="CD118" s="267"/>
      <c r="CE118" s="267"/>
      <c r="CF118" s="267"/>
      <c r="CG118" s="267"/>
      <c r="CH118" s="267"/>
      <c r="CI118" s="267"/>
    </row>
    <row r="119" spans="1:87" ht="16.5" outlineLevel="1">
      <c r="A119" s="260" t="str">
        <f t="shared" si="27"/>
        <v>modesg_out_empr_info_nfinccm_trnvr_trnstn_alignd</v>
      </c>
      <c r="B119" s="141" t="s">
        <v>26</v>
      </c>
      <c r="C119" s="137" t="s">
        <v>310</v>
      </c>
      <c r="D119" s="222" t="s">
        <v>40</v>
      </c>
      <c r="E119" s="223" t="s">
        <v>325</v>
      </c>
      <c r="F119" s="223"/>
      <c r="G119" s="222" t="s">
        <v>253</v>
      </c>
      <c r="H119" s="222" t="str">
        <f>VLOOKUP(A119,'2. Status Detalhe Campos FY24'!$A$7:$G$731,7,0)</f>
        <v>1. Concluído</v>
      </c>
      <c r="I119" s="310" t="s">
        <v>38</v>
      </c>
      <c r="J119" s="309"/>
      <c r="K119" s="309"/>
      <c r="L119" s="276">
        <f t="array" ref="L119">MIN(IF(W119:CI119&gt;0,$W$16:$CI$16))</f>
        <v>45624</v>
      </c>
      <c r="M119" s="277">
        <f t="array" ref="M119">MAX(IF(W119:CI119&gt;0,$W$16:$CI$16))</f>
        <v>45639</v>
      </c>
      <c r="N119" s="277"/>
      <c r="O119" s="235">
        <f>VLOOKUP(H119,Auxiliar!$B$16:$E$24,4,0)</f>
        <v>1</v>
      </c>
      <c r="P119" s="235">
        <f t="shared" ca="1" si="28"/>
        <v>1</v>
      </c>
      <c r="Q119" s="235">
        <f t="shared" ca="1" si="26"/>
        <v>0</v>
      </c>
      <c r="R119" s="324" t="s">
        <v>38</v>
      </c>
      <c r="S119" s="266"/>
      <c r="T119" s="286">
        <v>4</v>
      </c>
      <c r="U119" s="256">
        <f t="shared" si="30"/>
        <v>0.5</v>
      </c>
      <c r="V119" s="256">
        <f t="shared" si="29"/>
        <v>0</v>
      </c>
      <c r="W119" s="267"/>
      <c r="X119" s="267"/>
      <c r="Y119" s="267"/>
      <c r="Z119" s="267"/>
      <c r="AA119" s="267"/>
      <c r="AB119" s="267"/>
      <c r="AC119" s="267"/>
      <c r="AD119" s="268"/>
      <c r="AE119" s="267"/>
      <c r="AF119" s="267"/>
      <c r="AG119" s="267"/>
      <c r="AH119" s="267"/>
      <c r="AI119" s="267"/>
      <c r="AJ119" s="267"/>
      <c r="AK119" s="267"/>
      <c r="AL119" s="267"/>
      <c r="AM119" s="267"/>
      <c r="AN119" s="267"/>
      <c r="AO119" s="269"/>
      <c r="AP119" s="274"/>
      <c r="AQ119" s="267"/>
      <c r="AR119" s="267"/>
      <c r="AS119" s="267"/>
      <c r="AT119" s="267"/>
      <c r="AU119" s="267"/>
      <c r="AV119" s="267"/>
      <c r="AW119" s="267">
        <v>0.5</v>
      </c>
      <c r="AX119" s="267"/>
      <c r="AY119" s="267"/>
      <c r="AZ119" s="267"/>
      <c r="BA119" s="267"/>
      <c r="BB119" s="267"/>
      <c r="BC119" s="267"/>
      <c r="BD119" s="267"/>
      <c r="BE119" s="267"/>
      <c r="BF119" s="267"/>
      <c r="BG119" s="267"/>
      <c r="BH119" s="270" t="s">
        <v>443</v>
      </c>
      <c r="BI119" s="267"/>
      <c r="BJ119" s="267"/>
      <c r="BK119" s="267"/>
      <c r="BL119" s="267"/>
      <c r="BM119" s="267"/>
      <c r="BN119" s="267"/>
      <c r="BO119" s="268"/>
      <c r="BP119" s="268"/>
      <c r="BQ119" s="268"/>
      <c r="BR119" s="268"/>
      <c r="BS119" s="268"/>
      <c r="BT119" s="268"/>
      <c r="BU119" s="268"/>
      <c r="BV119" s="267"/>
      <c r="BW119" s="267"/>
      <c r="BX119" s="267"/>
      <c r="BY119" s="267"/>
      <c r="BZ119" s="267"/>
      <c r="CA119" s="267"/>
      <c r="CB119" s="267"/>
      <c r="CC119" s="267"/>
      <c r="CD119" s="267"/>
      <c r="CE119" s="267"/>
      <c r="CF119" s="267"/>
      <c r="CG119" s="267"/>
      <c r="CH119" s="267"/>
      <c r="CI119" s="267"/>
    </row>
    <row r="120" spans="1:87" ht="16.5" outlineLevel="1">
      <c r="A120" s="260" t="str">
        <f t="shared" si="27"/>
        <v>modesg_out_empr_info_nfinccm_trnvr_ttl_elgbl</v>
      </c>
      <c r="B120" s="141" t="s">
        <v>26</v>
      </c>
      <c r="C120" s="137" t="s">
        <v>310</v>
      </c>
      <c r="D120" s="222" t="s">
        <v>40</v>
      </c>
      <c r="E120" s="223" t="s">
        <v>325</v>
      </c>
      <c r="F120" s="223"/>
      <c r="G120" s="222" t="s">
        <v>251</v>
      </c>
      <c r="H120" s="222" t="str">
        <f>VLOOKUP(A120,'2. Status Detalhe Campos FY24'!$A$7:$G$731,7,0)</f>
        <v>1. Concluído</v>
      </c>
      <c r="I120" s="310" t="s">
        <v>38</v>
      </c>
      <c r="J120" s="309"/>
      <c r="K120" s="309"/>
      <c r="L120" s="276">
        <f t="array" ref="L120">MIN(IF(W120:CI120&gt;0,$W$16:$CI$16))</f>
        <v>45625</v>
      </c>
      <c r="M120" s="277">
        <f t="array" ref="M120">MAX(IF(W120:CI120&gt;0,$W$16:$CI$16))</f>
        <v>45639</v>
      </c>
      <c r="N120" s="277"/>
      <c r="O120" s="235">
        <f>VLOOKUP(H120,Auxiliar!$B$16:$E$24,4,0)</f>
        <v>1</v>
      </c>
      <c r="P120" s="235">
        <f t="shared" ca="1" si="28"/>
        <v>1</v>
      </c>
      <c r="Q120" s="235">
        <f t="shared" ca="1" si="26"/>
        <v>0</v>
      </c>
      <c r="R120" s="324" t="s">
        <v>38</v>
      </c>
      <c r="S120" s="266"/>
      <c r="T120" s="286">
        <v>4</v>
      </c>
      <c r="U120" s="256">
        <f t="shared" si="30"/>
        <v>0.5</v>
      </c>
      <c r="V120" s="256">
        <f t="shared" si="29"/>
        <v>0</v>
      </c>
      <c r="W120" s="267"/>
      <c r="X120" s="267"/>
      <c r="Y120" s="267"/>
      <c r="Z120" s="267"/>
      <c r="AA120" s="267"/>
      <c r="AB120" s="267"/>
      <c r="AC120" s="267"/>
      <c r="AD120" s="268"/>
      <c r="AE120" s="267"/>
      <c r="AF120" s="267"/>
      <c r="AG120" s="267"/>
      <c r="AH120" s="267"/>
      <c r="AI120" s="267"/>
      <c r="AJ120" s="267"/>
      <c r="AK120" s="267"/>
      <c r="AL120" s="267"/>
      <c r="AM120" s="267"/>
      <c r="AN120" s="267"/>
      <c r="AO120" s="269"/>
      <c r="AP120" s="274"/>
      <c r="AQ120" s="267"/>
      <c r="AR120" s="267"/>
      <c r="AS120" s="267"/>
      <c r="AT120" s="267"/>
      <c r="AU120" s="267"/>
      <c r="AV120" s="267"/>
      <c r="AW120" s="267"/>
      <c r="AX120" s="267">
        <v>0.5</v>
      </c>
      <c r="AY120" s="267"/>
      <c r="AZ120" s="267"/>
      <c r="BA120" s="267"/>
      <c r="BB120" s="267"/>
      <c r="BC120" s="267"/>
      <c r="BD120" s="267"/>
      <c r="BE120" s="267"/>
      <c r="BF120" s="267"/>
      <c r="BG120" s="267"/>
      <c r="BH120" s="270" t="s">
        <v>443</v>
      </c>
      <c r="BI120" s="267"/>
      <c r="BJ120" s="267"/>
      <c r="BK120" s="267"/>
      <c r="BL120" s="267"/>
      <c r="BM120" s="267"/>
      <c r="BN120" s="267"/>
      <c r="BO120" s="268"/>
      <c r="BP120" s="268"/>
      <c r="BQ120" s="268"/>
      <c r="BR120" s="268"/>
      <c r="BS120" s="268"/>
      <c r="BT120" s="268"/>
      <c r="BU120" s="268"/>
      <c r="BV120" s="267"/>
      <c r="BW120" s="267"/>
      <c r="BX120" s="267"/>
      <c r="BY120" s="267"/>
      <c r="BZ120" s="267"/>
      <c r="CA120" s="267"/>
      <c r="CB120" s="267"/>
      <c r="CC120" s="267"/>
      <c r="CD120" s="267"/>
      <c r="CE120" s="267"/>
      <c r="CF120" s="267"/>
      <c r="CG120" s="267"/>
      <c r="CH120" s="267"/>
      <c r="CI120" s="267"/>
    </row>
    <row r="121" spans="1:87" ht="15" customHeight="1" collapsed="1">
      <c r="A121" s="260"/>
      <c r="B121" s="141" t="s">
        <v>26</v>
      </c>
      <c r="C121" s="137" t="s">
        <v>26</v>
      </c>
      <c r="D121" s="133"/>
      <c r="E121" s="228" t="s">
        <v>335</v>
      </c>
      <c r="F121" s="226" t="s">
        <v>1906</v>
      </c>
      <c r="G121" s="227">
        <f>COUNTA(G122)</f>
        <v>1</v>
      </c>
      <c r="H121" s="281" t="s">
        <v>1915</v>
      </c>
      <c r="I121" s="264">
        <f>MAX(I122)</f>
        <v>45590</v>
      </c>
      <c r="J121" s="263">
        <f>MIN(J122)</f>
        <v>0</v>
      </c>
      <c r="K121" s="312">
        <f>MIN(K122)</f>
        <v>0</v>
      </c>
      <c r="L121" s="263">
        <f>MIN(L122)</f>
        <v>45631</v>
      </c>
      <c r="M121" s="264">
        <f>MAX(M122)</f>
        <v>45639</v>
      </c>
      <c r="N121" s="308">
        <f t="array" ref="N121">MAX(IF(W121:CI121&gt;0,$W$16:$CI$16))</f>
        <v>45646</v>
      </c>
      <c r="O121" s="307">
        <f>O122</f>
        <v>1</v>
      </c>
      <c r="P121" s="307">
        <f ca="1">P122</f>
        <v>1</v>
      </c>
      <c r="Q121" s="234">
        <f t="shared" ca="1" si="26"/>
        <v>0</v>
      </c>
      <c r="R121" s="325" t="s">
        <v>1942</v>
      </c>
      <c r="S121" s="266"/>
      <c r="T121" s="256"/>
      <c r="U121" s="256"/>
      <c r="V121" s="256"/>
      <c r="W121" s="267"/>
      <c r="X121" s="267"/>
      <c r="Y121" s="267"/>
      <c r="Z121" s="267"/>
      <c r="AA121" s="267"/>
      <c r="AB121" s="267"/>
      <c r="AC121" s="267"/>
      <c r="AD121" s="268"/>
      <c r="AE121" s="267"/>
      <c r="AF121" s="267"/>
      <c r="AG121" s="267"/>
      <c r="AH121" s="267"/>
      <c r="AI121" s="267"/>
      <c r="AJ121" s="267"/>
      <c r="AK121" s="267"/>
      <c r="AL121" s="267"/>
      <c r="AM121" s="267"/>
      <c r="AN121" s="267"/>
      <c r="AO121" s="267"/>
      <c r="AP121" s="267"/>
      <c r="AQ121" s="267"/>
      <c r="AR121" s="267"/>
      <c r="AS121" s="267"/>
      <c r="AT121" s="267"/>
      <c r="AU121" s="267"/>
      <c r="AV121" s="267"/>
      <c r="AW121" s="274"/>
      <c r="AX121" s="267"/>
      <c r="AY121" s="267"/>
      <c r="AZ121" s="267"/>
      <c r="BA121" s="267"/>
      <c r="BB121" s="267"/>
      <c r="BC121" s="270" t="s">
        <v>443</v>
      </c>
      <c r="BD121" s="267"/>
      <c r="BE121" s="267"/>
      <c r="BF121" s="267"/>
      <c r="BG121" s="267"/>
      <c r="BH121" s="267" t="s">
        <v>443</v>
      </c>
      <c r="BI121" s="267"/>
      <c r="BJ121" s="267"/>
      <c r="BK121" s="267"/>
      <c r="BL121" s="267"/>
      <c r="BM121" s="267" t="s">
        <v>443</v>
      </c>
      <c r="BN121" s="267"/>
      <c r="BO121" s="268"/>
      <c r="BP121" s="268"/>
      <c r="BQ121" s="268"/>
      <c r="BR121" s="268"/>
      <c r="BS121" s="268"/>
      <c r="BT121" s="268"/>
      <c r="BU121" s="268"/>
      <c r="BV121" s="267"/>
      <c r="BW121" s="267"/>
      <c r="BX121" s="267"/>
      <c r="BY121" s="267"/>
      <c r="BZ121" s="267"/>
      <c r="CA121" s="267"/>
      <c r="CB121" s="267"/>
      <c r="CC121" s="267"/>
      <c r="CD121" s="267"/>
      <c r="CE121" s="267"/>
      <c r="CF121" s="267"/>
      <c r="CG121" s="267"/>
      <c r="CH121" s="267"/>
      <c r="CI121" s="267"/>
    </row>
    <row r="122" spans="1:87" ht="16.5" outlineLevel="1">
      <c r="A122" s="260" t="str">
        <f>E122&amp;G122</f>
        <v>lt003_entityttl_lblty</v>
      </c>
      <c r="B122" s="141" t="s">
        <v>26</v>
      </c>
      <c r="C122" s="137" t="s">
        <v>26</v>
      </c>
      <c r="D122" s="222" t="s">
        <v>40</v>
      </c>
      <c r="E122" s="225" t="s">
        <v>335</v>
      </c>
      <c r="F122" s="225"/>
      <c r="G122" s="225" t="s">
        <v>361</v>
      </c>
      <c r="H122" s="222" t="str">
        <f>VLOOKUP(A122,'2. Status Detalhe Campos FY24'!$A$7:$G$731,7,0)</f>
        <v>1. Concluído</v>
      </c>
      <c r="I122" s="271">
        <v>45590</v>
      </c>
      <c r="J122" s="309"/>
      <c r="K122" s="309"/>
      <c r="L122" s="276">
        <f t="array" ref="L122">MIN(IF(W122:CI122&gt;0,$W$16:$CI$16))</f>
        <v>45631</v>
      </c>
      <c r="M122" s="277">
        <f t="array" ref="M122">MAX(IF(W122:CI122&gt;0,$W$16:$CI$16))</f>
        <v>45639</v>
      </c>
      <c r="N122" s="277"/>
      <c r="O122" s="235">
        <f>VLOOKUP(H122,Auxiliar!$B$16:$E$24,4,0)</f>
        <v>1</v>
      </c>
      <c r="P122" s="235">
        <f ca="1">IF(TODAY()&lt;=L122,0,MIN((TODAY()-L122)/(M122-L122+1),100%))</f>
        <v>1</v>
      </c>
      <c r="Q122" s="235">
        <f t="shared" ca="1" si="26"/>
        <v>0</v>
      </c>
      <c r="R122" s="324" t="s">
        <v>38</v>
      </c>
      <c r="S122" s="266"/>
      <c r="T122" s="256">
        <v>4.0999999999999996</v>
      </c>
      <c r="U122" s="256">
        <f>ROUND(T122/8,1)</f>
        <v>0.5</v>
      </c>
      <c r="V122" s="256">
        <f>SUM(W122:CI122)-U122</f>
        <v>0</v>
      </c>
      <c r="W122" s="267"/>
      <c r="X122" s="275"/>
      <c r="Y122" s="267"/>
      <c r="Z122" s="275"/>
      <c r="AA122" s="267"/>
      <c r="AB122" s="267"/>
      <c r="AC122" s="267"/>
      <c r="AD122" s="268"/>
      <c r="AE122" s="267"/>
      <c r="AF122" s="267"/>
      <c r="AG122" s="267"/>
      <c r="AH122" s="267"/>
      <c r="AI122" s="267"/>
      <c r="AJ122" s="267"/>
      <c r="AK122" s="267"/>
      <c r="AL122" s="267"/>
      <c r="AM122" s="267"/>
      <c r="AN122" s="267"/>
      <c r="AO122" s="267"/>
      <c r="AP122" s="267"/>
      <c r="AQ122" s="267"/>
      <c r="AR122" s="267"/>
      <c r="AS122" s="267"/>
      <c r="AT122" s="267"/>
      <c r="AU122" s="267"/>
      <c r="AV122" s="267"/>
      <c r="AW122" s="274"/>
      <c r="AX122" s="267"/>
      <c r="AY122" s="267"/>
      <c r="AZ122" s="267"/>
      <c r="BA122" s="267"/>
      <c r="BB122" s="267">
        <v>0.5</v>
      </c>
      <c r="BC122" s="267"/>
      <c r="BD122" s="267"/>
      <c r="BE122" s="267"/>
      <c r="BF122" s="267"/>
      <c r="BG122" s="267"/>
      <c r="BH122" s="267" t="s">
        <v>443</v>
      </c>
      <c r="BI122" s="267"/>
      <c r="BJ122" s="267"/>
      <c r="BK122" s="267"/>
      <c r="BL122" s="267"/>
      <c r="BM122" s="267"/>
      <c r="BN122" s="267"/>
      <c r="BO122" s="268"/>
      <c r="BP122" s="268"/>
      <c r="BQ122" s="268"/>
      <c r="BR122" s="268"/>
      <c r="BS122" s="268"/>
      <c r="BT122" s="268"/>
      <c r="BU122" s="268"/>
      <c r="BV122" s="267"/>
      <c r="BW122" s="267"/>
      <c r="BX122" s="267"/>
      <c r="BY122" s="267"/>
      <c r="BZ122" s="267"/>
      <c r="CA122" s="267"/>
      <c r="CB122" s="267"/>
      <c r="CC122" s="267"/>
      <c r="CD122" s="267"/>
      <c r="CE122" s="267"/>
      <c r="CF122" s="267"/>
      <c r="CG122" s="267"/>
      <c r="CH122" s="267"/>
      <c r="CI122" s="267"/>
    </row>
    <row r="123" spans="1:87" ht="16.5" collapsed="1">
      <c r="A123" s="260"/>
      <c r="B123" s="141" t="s">
        <v>26</v>
      </c>
      <c r="C123" s="137" t="s">
        <v>310</v>
      </c>
      <c r="D123" s="133"/>
      <c r="E123" s="226" t="s">
        <v>331</v>
      </c>
      <c r="F123" s="226" t="s">
        <v>1923</v>
      </c>
      <c r="G123" s="227">
        <f>COUNTA(G124:G127)</f>
        <v>4</v>
      </c>
      <c r="H123" s="281" t="s">
        <v>1915</v>
      </c>
      <c r="I123" s="262" t="s">
        <v>38</v>
      </c>
      <c r="J123" s="263">
        <f>MIN(J124:J127)</f>
        <v>45625</v>
      </c>
      <c r="K123" s="263"/>
      <c r="L123" s="263">
        <f>MIN(L124:L127)</f>
        <v>45628</v>
      </c>
      <c r="M123" s="264">
        <f>MAX(M124:M127)</f>
        <v>45632</v>
      </c>
      <c r="N123" s="308">
        <f t="array" ref="N123">MAX(IF(W123:CI123&gt;0,$W$16:$CI$16))</f>
        <v>45632</v>
      </c>
      <c r="O123" s="307">
        <f>SUMPRODUCT(O124:O127,U124:U127)/SUM(U124:U127)</f>
        <v>1</v>
      </c>
      <c r="P123" s="307">
        <f ca="1">SUMPRODUCT(P124:P127,U124:U127)/SUM(U124:U127)</f>
        <v>1</v>
      </c>
      <c r="Q123" s="299">
        <f t="shared" ca="1" si="26"/>
        <v>0</v>
      </c>
      <c r="R123" s="325" t="s">
        <v>1935</v>
      </c>
      <c r="S123" s="266"/>
      <c r="T123" s="256"/>
      <c r="U123" s="256"/>
      <c r="V123" s="256"/>
      <c r="W123" s="267"/>
      <c r="X123" s="267"/>
      <c r="Y123" s="267"/>
      <c r="Z123" s="267"/>
      <c r="AA123" s="267"/>
      <c r="AB123" s="267"/>
      <c r="AC123" s="267"/>
      <c r="AD123" s="268"/>
      <c r="AE123" s="267"/>
      <c r="AF123" s="267"/>
      <c r="AG123" s="267"/>
      <c r="AH123" s="267"/>
      <c r="AI123" s="267"/>
      <c r="AJ123" s="269"/>
      <c r="AK123" s="267"/>
      <c r="AL123" s="267"/>
      <c r="AM123" s="267"/>
      <c r="AN123" s="267"/>
      <c r="AO123" s="267"/>
      <c r="AP123" s="267"/>
      <c r="AQ123" s="267"/>
      <c r="AR123" s="267"/>
      <c r="AS123" s="267"/>
      <c r="AT123" s="267"/>
      <c r="AU123" s="267"/>
      <c r="AV123" s="267"/>
      <c r="AW123" s="267"/>
      <c r="AX123" s="269"/>
      <c r="AY123" s="267"/>
      <c r="AZ123" s="267"/>
      <c r="BA123" s="267"/>
      <c r="BB123" s="267"/>
      <c r="BC123" s="267" t="s">
        <v>443</v>
      </c>
      <c r="BD123" s="267"/>
      <c r="BE123" s="267"/>
      <c r="BF123" s="267"/>
      <c r="BG123" s="267"/>
      <c r="BH123" s="267"/>
      <c r="BI123" s="267"/>
      <c r="BJ123" s="267"/>
      <c r="BK123" s="267"/>
      <c r="BL123" s="267"/>
      <c r="BM123" s="267"/>
      <c r="BN123" s="267"/>
      <c r="BO123" s="268"/>
      <c r="BP123" s="268"/>
      <c r="BQ123" s="268"/>
      <c r="BR123" s="268"/>
      <c r="BS123" s="268"/>
      <c r="BT123" s="268"/>
      <c r="BU123" s="268"/>
      <c r="BV123" s="267"/>
      <c r="BW123" s="267"/>
      <c r="BX123" s="267"/>
      <c r="BY123" s="267"/>
      <c r="BZ123" s="267"/>
      <c r="CA123" s="267"/>
      <c r="CB123" s="267"/>
      <c r="CC123" s="267"/>
      <c r="CD123" s="267"/>
      <c r="CE123" s="267"/>
      <c r="CF123" s="267"/>
      <c r="CG123" s="267"/>
      <c r="CH123" s="267"/>
      <c r="CI123" s="267"/>
    </row>
    <row r="124" spans="1:87" ht="16.5" outlineLevel="1">
      <c r="A124" s="260" t="str">
        <f>E124&amp;G124</f>
        <v>modesg_out_emss_vclsorigem_scp1_emss</v>
      </c>
      <c r="B124" s="141" t="s">
        <v>26</v>
      </c>
      <c r="C124" s="137" t="s">
        <v>310</v>
      </c>
      <c r="D124" s="222" t="s">
        <v>40</v>
      </c>
      <c r="E124" s="223" t="s">
        <v>331</v>
      </c>
      <c r="F124" s="223"/>
      <c r="G124" s="222" t="s">
        <v>319</v>
      </c>
      <c r="H124" s="222" t="str">
        <f>VLOOKUP(A124,'2. Status Detalhe Campos FY24'!$A$7:$G$731,7,0)</f>
        <v>1. Concluído</v>
      </c>
      <c r="I124" s="262" t="s">
        <v>38</v>
      </c>
      <c r="J124" s="271">
        <v>45625</v>
      </c>
      <c r="K124" s="271"/>
      <c r="L124" s="276">
        <f t="array" ref="L124">MIN(IF(W124:CI124&gt;0,$W$16:$CI$16))</f>
        <v>45628</v>
      </c>
      <c r="M124" s="277">
        <f t="array" ref="M124">MAX(IF(W124:CI124&gt;0,$W$16:$CI$16))</f>
        <v>45628</v>
      </c>
      <c r="N124" s="277"/>
      <c r="O124" s="235">
        <f>VLOOKUP(H124,Auxiliar!$B$16:$E$24,4,0)</f>
        <v>1</v>
      </c>
      <c r="P124" s="235">
        <f ca="1">IF(TODAY()&lt;=L124,0,MIN((TODAY()-L124)/(M124-L124+1),100%))</f>
        <v>1</v>
      </c>
      <c r="Q124" s="234">
        <f t="shared" ca="1" si="26"/>
        <v>0</v>
      </c>
      <c r="R124" s="248" t="s">
        <v>38</v>
      </c>
      <c r="S124" s="266" t="s">
        <v>1856</v>
      </c>
      <c r="T124" s="286">
        <v>3</v>
      </c>
      <c r="U124" s="256">
        <f>ROUND(T124/8,1)</f>
        <v>0.4</v>
      </c>
      <c r="V124" s="256">
        <f>SUM(W124:CI124)-U124</f>
        <v>0</v>
      </c>
      <c r="W124" s="267"/>
      <c r="X124" s="267"/>
      <c r="Y124" s="267"/>
      <c r="Z124" s="267"/>
      <c r="AA124" s="267"/>
      <c r="AB124" s="267"/>
      <c r="AC124" s="267"/>
      <c r="AD124" s="268"/>
      <c r="AE124" s="267"/>
      <c r="AF124" s="267"/>
      <c r="AG124" s="267"/>
      <c r="AH124" s="267"/>
      <c r="AI124" s="267"/>
      <c r="AJ124" s="269"/>
      <c r="AK124" s="267"/>
      <c r="AL124" s="267"/>
      <c r="AM124" s="267"/>
      <c r="AN124" s="267"/>
      <c r="AO124" s="267"/>
      <c r="AP124" s="267"/>
      <c r="AQ124" s="267"/>
      <c r="AR124" s="267"/>
      <c r="AS124" s="267"/>
      <c r="AT124" s="267"/>
      <c r="AU124" s="267"/>
      <c r="AV124" s="267"/>
      <c r="AW124" s="267"/>
      <c r="AX124" s="269"/>
      <c r="AY124" s="267">
        <v>0.4</v>
      </c>
      <c r="AZ124" s="267"/>
      <c r="BA124" s="267"/>
      <c r="BB124" s="267"/>
      <c r="BC124" s="267"/>
      <c r="BD124" s="267"/>
      <c r="BE124" s="267"/>
      <c r="BF124" s="267"/>
      <c r="BG124" s="267"/>
      <c r="BH124" s="267"/>
      <c r="BI124" s="267"/>
      <c r="BJ124" s="267"/>
      <c r="BK124" s="267"/>
      <c r="BL124" s="267"/>
      <c r="BM124" s="267"/>
      <c r="BN124" s="267"/>
      <c r="BO124" s="268"/>
      <c r="BP124" s="268"/>
      <c r="BQ124" s="268"/>
      <c r="BR124" s="268"/>
      <c r="BS124" s="268"/>
      <c r="BT124" s="268"/>
      <c r="BU124" s="268"/>
      <c r="BV124" s="267"/>
      <c r="BW124" s="267"/>
      <c r="BX124" s="267"/>
      <c r="BY124" s="267"/>
      <c r="BZ124" s="267"/>
      <c r="CA124" s="267"/>
      <c r="CB124" s="267"/>
      <c r="CC124" s="267"/>
      <c r="CD124" s="267"/>
      <c r="CE124" s="267"/>
      <c r="CF124" s="267"/>
      <c r="CG124" s="267"/>
      <c r="CH124" s="267"/>
      <c r="CI124" s="267"/>
    </row>
    <row r="125" spans="1:87" ht="16.5" outlineLevel="1">
      <c r="A125" s="260" t="str">
        <f>E125&amp;G125</f>
        <v>modesg_out_emss_vclsorigem_scp2_emss</v>
      </c>
      <c r="B125" s="141" t="s">
        <v>26</v>
      </c>
      <c r="C125" s="137" t="s">
        <v>310</v>
      </c>
      <c r="D125" s="222" t="s">
        <v>40</v>
      </c>
      <c r="E125" s="223" t="s">
        <v>331</v>
      </c>
      <c r="F125" s="223"/>
      <c r="G125" s="222" t="s">
        <v>320</v>
      </c>
      <c r="H125" s="222" t="str">
        <f>VLOOKUP(A125,'2. Status Detalhe Campos FY24'!$A$7:$G$731,7,0)</f>
        <v>1. Concluído</v>
      </c>
      <c r="I125" s="262" t="s">
        <v>38</v>
      </c>
      <c r="J125" s="271">
        <v>45625</v>
      </c>
      <c r="K125" s="271"/>
      <c r="L125" s="276">
        <f t="array" ref="L125">MIN(IF(W125:CI125&gt;0,$W$16:$CI$16))</f>
        <v>45628</v>
      </c>
      <c r="M125" s="277">
        <f t="array" ref="M125">MAX(IF(W125:CI125&gt;0,$W$16:$CI$16))</f>
        <v>45628</v>
      </c>
      <c r="N125" s="277"/>
      <c r="O125" s="235">
        <f>VLOOKUP(H125,Auxiliar!$B$16:$E$24,4,0)</f>
        <v>1</v>
      </c>
      <c r="P125" s="235">
        <f ca="1">IF(TODAY()&lt;=L125,0,MIN((TODAY()-L125)/(M125-L125+1),100%))</f>
        <v>1</v>
      </c>
      <c r="Q125" s="234">
        <f t="shared" ca="1" si="26"/>
        <v>0</v>
      </c>
      <c r="R125" s="248" t="s">
        <v>38</v>
      </c>
      <c r="S125" s="266" t="s">
        <v>1856</v>
      </c>
      <c r="T125" s="286">
        <v>3</v>
      </c>
      <c r="U125" s="256">
        <f>ROUND(T125/8,1)</f>
        <v>0.4</v>
      </c>
      <c r="V125" s="256">
        <f>SUM(W125:CI125)-U125</f>
        <v>0</v>
      </c>
      <c r="W125" s="267"/>
      <c r="X125" s="267"/>
      <c r="Y125" s="267"/>
      <c r="Z125" s="267"/>
      <c r="AA125" s="267"/>
      <c r="AB125" s="267"/>
      <c r="AC125" s="267"/>
      <c r="AD125" s="268"/>
      <c r="AE125" s="267"/>
      <c r="AF125" s="267"/>
      <c r="AG125" s="267"/>
      <c r="AH125" s="267"/>
      <c r="AI125" s="267"/>
      <c r="AJ125" s="269"/>
      <c r="AK125" s="267"/>
      <c r="AL125" s="267"/>
      <c r="AM125" s="267"/>
      <c r="AN125" s="267"/>
      <c r="AO125" s="267"/>
      <c r="AP125" s="267"/>
      <c r="AQ125" s="267"/>
      <c r="AR125" s="267"/>
      <c r="AS125" s="267"/>
      <c r="AT125" s="267"/>
      <c r="AU125" s="267"/>
      <c r="AV125" s="267"/>
      <c r="AW125" s="267"/>
      <c r="AX125" s="269"/>
      <c r="AY125" s="267">
        <v>0.4</v>
      </c>
      <c r="AZ125" s="267"/>
      <c r="BA125" s="267"/>
      <c r="BB125" s="267"/>
      <c r="BC125" s="267"/>
      <c r="BD125" s="267"/>
      <c r="BE125" s="267"/>
      <c r="BF125" s="267"/>
      <c r="BG125" s="267"/>
      <c r="BH125" s="267"/>
      <c r="BI125" s="267"/>
      <c r="BJ125" s="267"/>
      <c r="BK125" s="267"/>
      <c r="BL125" s="267"/>
      <c r="BM125" s="267"/>
      <c r="BN125" s="267"/>
      <c r="BO125" s="268"/>
      <c r="BP125" s="268"/>
      <c r="BQ125" s="268"/>
      <c r="BR125" s="268"/>
      <c r="BS125" s="268"/>
      <c r="BT125" s="268"/>
      <c r="BU125" s="268"/>
      <c r="BV125" s="267"/>
      <c r="BW125" s="267"/>
      <c r="BX125" s="267"/>
      <c r="BY125" s="267"/>
      <c r="BZ125" s="267"/>
      <c r="CA125" s="267"/>
      <c r="CB125" s="267"/>
      <c r="CC125" s="267"/>
      <c r="CD125" s="267"/>
      <c r="CE125" s="267"/>
      <c r="CF125" s="267"/>
      <c r="CG125" s="267"/>
      <c r="CH125" s="267"/>
      <c r="CI125" s="267"/>
    </row>
    <row r="126" spans="1:87" ht="16.5" outlineLevel="1">
      <c r="A126" s="260" t="str">
        <f>E126&amp;G126</f>
        <v>modesg_out_emss_vclsscp1_emss</v>
      </c>
      <c r="B126" s="141" t="s">
        <v>26</v>
      </c>
      <c r="C126" s="137" t="s">
        <v>310</v>
      </c>
      <c r="D126" s="222" t="s">
        <v>40</v>
      </c>
      <c r="E126" s="223" t="s">
        <v>331</v>
      </c>
      <c r="F126" s="223"/>
      <c r="G126" s="222" t="s">
        <v>285</v>
      </c>
      <c r="H126" s="222" t="str">
        <f>VLOOKUP(A126,'2. Status Detalhe Campos FY24'!$A$7:$G$731,7,0)</f>
        <v>1. Concluído</v>
      </c>
      <c r="I126" s="262" t="s">
        <v>38</v>
      </c>
      <c r="J126" s="271">
        <v>45625</v>
      </c>
      <c r="K126" s="271"/>
      <c r="L126" s="276">
        <f t="array" ref="L126">MIN(IF(W126:CI126&gt;0,$W$16:$CI$16))</f>
        <v>45628</v>
      </c>
      <c r="M126" s="277">
        <f t="array" ref="M126">MAX(IF(W126:CI126&gt;0,$W$16:$CI$16))</f>
        <v>45632</v>
      </c>
      <c r="N126" s="277"/>
      <c r="O126" s="235">
        <f>VLOOKUP(H126,Auxiliar!$B$16:$E$24,4,0)</f>
        <v>1</v>
      </c>
      <c r="P126" s="235">
        <f ca="1">IF(TODAY()&lt;=L126,0,MIN((TODAY()-L126)/(M126-L126+1),100%))</f>
        <v>1</v>
      </c>
      <c r="Q126" s="234">
        <f t="shared" ca="1" si="26"/>
        <v>0</v>
      </c>
      <c r="R126" s="248" t="s">
        <v>38</v>
      </c>
      <c r="S126" s="266" t="s">
        <v>1856</v>
      </c>
      <c r="T126" s="256">
        <v>16.100000000000001</v>
      </c>
      <c r="U126" s="256">
        <v>1.9</v>
      </c>
      <c r="V126" s="256">
        <f>SUM(W126:CI126)-U126</f>
        <v>0</v>
      </c>
      <c r="W126" s="267"/>
      <c r="X126" s="267"/>
      <c r="Y126" s="267"/>
      <c r="Z126" s="267"/>
      <c r="AA126" s="267"/>
      <c r="AB126" s="267"/>
      <c r="AC126" s="267"/>
      <c r="AD126" s="268"/>
      <c r="AE126" s="267"/>
      <c r="AF126" s="267"/>
      <c r="AG126" s="267"/>
      <c r="AH126" s="267"/>
      <c r="AI126" s="267"/>
      <c r="AJ126" s="269"/>
      <c r="AK126" s="267"/>
      <c r="AL126" s="267"/>
      <c r="AM126" s="267"/>
      <c r="AN126" s="267"/>
      <c r="AO126" s="267"/>
      <c r="AP126" s="267"/>
      <c r="AQ126" s="267"/>
      <c r="AR126" s="267"/>
      <c r="AS126" s="267"/>
      <c r="AT126" s="267"/>
      <c r="AU126" s="267"/>
      <c r="AV126" s="267"/>
      <c r="AW126" s="267"/>
      <c r="AX126" s="269"/>
      <c r="AY126" s="267">
        <v>0.2</v>
      </c>
      <c r="AZ126" s="267"/>
      <c r="BA126" s="267"/>
      <c r="BB126" s="267">
        <v>0.2</v>
      </c>
      <c r="BC126" s="267">
        <v>1.5</v>
      </c>
      <c r="BD126" s="267"/>
      <c r="BE126" s="267"/>
      <c r="BF126" s="267"/>
      <c r="BG126" s="267"/>
      <c r="BH126" s="267"/>
      <c r="BI126" s="267"/>
      <c r="BJ126" s="267"/>
      <c r="BK126" s="267"/>
      <c r="BL126" s="267"/>
      <c r="BM126" s="267"/>
      <c r="BN126" s="267"/>
      <c r="BO126" s="268"/>
      <c r="BP126" s="268"/>
      <c r="BQ126" s="268"/>
      <c r="BR126" s="268"/>
      <c r="BS126" s="268"/>
      <c r="BT126" s="268"/>
      <c r="BU126" s="268"/>
      <c r="BV126" s="267"/>
      <c r="BW126" s="267"/>
      <c r="BX126" s="267"/>
      <c r="BY126" s="267"/>
      <c r="BZ126" s="267"/>
      <c r="CA126" s="267"/>
      <c r="CB126" s="267"/>
      <c r="CC126" s="267"/>
      <c r="CD126" s="267"/>
      <c r="CE126" s="267"/>
      <c r="CF126" s="267"/>
      <c r="CG126" s="267"/>
      <c r="CH126" s="267"/>
      <c r="CI126" s="267"/>
    </row>
    <row r="127" spans="1:87" ht="16.5" outlineLevel="1">
      <c r="A127" s="260" t="str">
        <f>E127&amp;G127</f>
        <v>modesg_out_emss_vclsscp2_emss</v>
      </c>
      <c r="B127" s="141" t="s">
        <v>26</v>
      </c>
      <c r="C127" s="137" t="s">
        <v>310</v>
      </c>
      <c r="D127" s="222" t="s">
        <v>40</v>
      </c>
      <c r="E127" s="223" t="s">
        <v>331</v>
      </c>
      <c r="F127" s="223"/>
      <c r="G127" s="222" t="s">
        <v>286</v>
      </c>
      <c r="H127" s="222" t="str">
        <f>VLOOKUP(A127,'2. Status Detalhe Campos FY24'!$A$7:$G$731,7,0)</f>
        <v>1. Concluído</v>
      </c>
      <c r="I127" s="262" t="s">
        <v>38</v>
      </c>
      <c r="J127" s="271">
        <v>45625</v>
      </c>
      <c r="K127" s="271"/>
      <c r="L127" s="276">
        <f t="array" ref="L127">MIN(IF(W127:CI127&gt;0,$W$16:$CI$16))</f>
        <v>45632</v>
      </c>
      <c r="M127" s="277">
        <f t="array" ref="M127">MAX(IF(W127:CI127&gt;0,$W$16:$CI$16))</f>
        <v>45632</v>
      </c>
      <c r="N127" s="277"/>
      <c r="O127" s="235">
        <f>VLOOKUP(H127,Auxiliar!$B$16:$E$24,4,0)</f>
        <v>1</v>
      </c>
      <c r="P127" s="235">
        <f ca="1">IF(TODAY()&lt;=L127,0,MIN((TODAY()-L127)/(M127-L127+1),100%))</f>
        <v>1</v>
      </c>
      <c r="Q127" s="234">
        <f t="shared" ca="1" si="26"/>
        <v>0</v>
      </c>
      <c r="R127" s="248" t="s">
        <v>38</v>
      </c>
      <c r="S127" s="266" t="s">
        <v>1856</v>
      </c>
      <c r="T127" s="256">
        <v>16.100000000000001</v>
      </c>
      <c r="U127" s="256">
        <v>0.1</v>
      </c>
      <c r="V127" s="256">
        <f>SUM(W127:CI127)-U127</f>
        <v>0</v>
      </c>
      <c r="W127" s="267"/>
      <c r="X127" s="267"/>
      <c r="Y127" s="267"/>
      <c r="Z127" s="267"/>
      <c r="AA127" s="267"/>
      <c r="AB127" s="267"/>
      <c r="AC127" s="267"/>
      <c r="AD127" s="268"/>
      <c r="AE127" s="267"/>
      <c r="AF127" s="267"/>
      <c r="AG127" s="267"/>
      <c r="AH127" s="267"/>
      <c r="AI127" s="267"/>
      <c r="AJ127" s="269"/>
      <c r="AK127" s="267"/>
      <c r="AL127" s="267"/>
      <c r="AM127" s="267"/>
      <c r="AN127" s="267"/>
      <c r="AO127" s="267"/>
      <c r="AP127" s="267"/>
      <c r="AQ127" s="267"/>
      <c r="AR127" s="267"/>
      <c r="AS127" s="267"/>
      <c r="AT127" s="267"/>
      <c r="AU127" s="267"/>
      <c r="AV127" s="267"/>
      <c r="AW127" s="267"/>
      <c r="AX127" s="269"/>
      <c r="AY127" s="267"/>
      <c r="AZ127" s="267"/>
      <c r="BA127" s="267"/>
      <c r="BB127" s="267"/>
      <c r="BC127" s="267">
        <v>0.1</v>
      </c>
      <c r="BD127" s="267"/>
      <c r="BE127" s="267"/>
      <c r="BF127" s="267"/>
      <c r="BG127" s="267"/>
      <c r="BH127" s="267"/>
      <c r="BI127" s="267"/>
      <c r="BJ127" s="267"/>
      <c r="BK127" s="267"/>
      <c r="BL127" s="267"/>
      <c r="BM127" s="267"/>
      <c r="BN127" s="267"/>
      <c r="BO127" s="268"/>
      <c r="BP127" s="268"/>
      <c r="BQ127" s="268"/>
      <c r="BR127" s="268"/>
      <c r="BS127" s="268"/>
      <c r="BT127" s="268"/>
      <c r="BU127" s="268"/>
      <c r="BV127" s="267"/>
      <c r="BW127" s="267"/>
      <c r="BX127" s="267"/>
      <c r="BY127" s="267"/>
      <c r="BZ127" s="267"/>
      <c r="CA127" s="267"/>
      <c r="CB127" s="267"/>
      <c r="CC127" s="267"/>
      <c r="CD127" s="267"/>
      <c r="CE127" s="267"/>
      <c r="CF127" s="267"/>
      <c r="CG127" s="267"/>
      <c r="CH127" s="267"/>
      <c r="CI127" s="267"/>
    </row>
    <row r="128" spans="1:87" ht="15" customHeight="1" collapsed="1">
      <c r="A128" s="260"/>
      <c r="B128" s="141" t="s">
        <v>26</v>
      </c>
      <c r="C128" s="137" t="s">
        <v>26</v>
      </c>
      <c r="D128" s="133"/>
      <c r="E128" s="228" t="s">
        <v>335</v>
      </c>
      <c r="F128" s="226" t="s">
        <v>1939</v>
      </c>
      <c r="G128" s="227">
        <f>COUNTA(G129:G129)</f>
        <v>1</v>
      </c>
      <c r="H128" s="281" t="s">
        <v>1915</v>
      </c>
      <c r="I128" s="264">
        <f>MAX(I129:I135)</f>
        <v>45589</v>
      </c>
      <c r="J128" s="263">
        <f>MIN(J129:J135)</f>
        <v>45596</v>
      </c>
      <c r="K128" s="264">
        <f>MIN(K129:K135)</f>
        <v>45596</v>
      </c>
      <c r="L128" s="263">
        <f>MIN(L129:L135)</f>
        <v>45623</v>
      </c>
      <c r="M128" s="264">
        <f>MAX(M129:M135)</f>
        <v>45667</v>
      </c>
      <c r="N128" s="308">
        <f t="array" ref="N128">MAX(IF(W128:CI128&gt;0,$W$16:$CI$16))</f>
        <v>45639</v>
      </c>
      <c r="O128" s="307">
        <f>SUMPRODUCT(O129:O129,U129:U129)/SUM(U129:U129)</f>
        <v>1</v>
      </c>
      <c r="P128" s="307">
        <f ca="1">SUMPRODUCT(P129:P129,U129:U129)/SUM(U129:U129)</f>
        <v>1</v>
      </c>
      <c r="Q128" s="242">
        <f t="shared" ref="Q128:Q138" ca="1" si="31">O128-P128</f>
        <v>0</v>
      </c>
      <c r="R128" s="325" t="s">
        <v>1940</v>
      </c>
      <c r="S128" s="266"/>
      <c r="T128" s="256"/>
      <c r="U128" s="256"/>
      <c r="V128" s="256"/>
      <c r="W128" s="267"/>
      <c r="X128" s="267"/>
      <c r="Y128" s="267"/>
      <c r="Z128" s="267"/>
      <c r="AA128" s="267"/>
      <c r="AB128" s="267"/>
      <c r="AC128" s="274"/>
      <c r="AD128" s="268"/>
      <c r="AE128" s="267"/>
      <c r="AF128" s="267"/>
      <c r="AG128" s="267"/>
      <c r="AH128" s="267"/>
      <c r="AI128" s="267"/>
      <c r="AJ128" s="267"/>
      <c r="AK128" s="267"/>
      <c r="AL128" s="267"/>
      <c r="AM128" s="267"/>
      <c r="AN128" s="267"/>
      <c r="AO128" s="267"/>
      <c r="AP128" s="267"/>
      <c r="AQ128" s="267"/>
      <c r="AR128" s="267"/>
      <c r="AS128" s="267"/>
      <c r="AT128" s="267"/>
      <c r="AU128" s="267"/>
      <c r="AV128" s="267"/>
      <c r="AW128" s="267"/>
      <c r="AX128" s="267"/>
      <c r="AY128" s="267"/>
      <c r="AZ128" s="267"/>
      <c r="BA128" s="267"/>
      <c r="BB128" s="267"/>
      <c r="BC128" s="267"/>
      <c r="BD128" s="267"/>
      <c r="BE128" s="267"/>
      <c r="BF128" s="267"/>
      <c r="BG128" s="267"/>
      <c r="BH128" s="270" t="s">
        <v>443</v>
      </c>
      <c r="BI128" s="267"/>
      <c r="BJ128" s="267"/>
      <c r="BK128" s="267"/>
      <c r="BL128" s="267"/>
      <c r="BM128" s="267"/>
      <c r="BN128" s="267"/>
      <c r="BO128" s="268"/>
      <c r="BP128" s="268"/>
      <c r="BQ128" s="268"/>
      <c r="BR128" s="268"/>
      <c r="BS128" s="268"/>
      <c r="BT128" s="268"/>
      <c r="BU128" s="268"/>
      <c r="BV128" s="267"/>
      <c r="BW128" s="267"/>
      <c r="BX128" s="267"/>
      <c r="BY128" s="267"/>
      <c r="BZ128" s="267"/>
      <c r="CA128" s="267"/>
      <c r="CB128" s="267"/>
      <c r="CC128" s="267"/>
      <c r="CD128" s="267"/>
      <c r="CE128" s="267"/>
      <c r="CF128" s="267"/>
      <c r="CG128" s="267"/>
      <c r="CH128" s="267"/>
      <c r="CI128" s="267"/>
    </row>
    <row r="129" spans="1:87" ht="16.5" outlineLevel="1">
      <c r="A129" s="260" t="str">
        <f>E129&amp;G129</f>
        <v>lt003_entityflg_grp_nfrd_applcblty</v>
      </c>
      <c r="B129" s="141" t="s">
        <v>26</v>
      </c>
      <c r="C129" s="137" t="s">
        <v>26</v>
      </c>
      <c r="D129" s="222" t="s">
        <v>40</v>
      </c>
      <c r="E129" s="225" t="s">
        <v>335</v>
      </c>
      <c r="F129" s="225"/>
      <c r="G129" s="225" t="s">
        <v>364</v>
      </c>
      <c r="H129" s="222" t="str">
        <f>VLOOKUP(A129,'2. Status Detalhe Campos FY24'!$A$7:$G$731,7,0)</f>
        <v>1. Concluído</v>
      </c>
      <c r="I129" s="271">
        <v>45588</v>
      </c>
      <c r="J129" s="287">
        <v>45596</v>
      </c>
      <c r="K129" s="271">
        <v>45596</v>
      </c>
      <c r="L129" s="276">
        <f t="array" ref="L129">MIN(IF(W129:CI129&gt;0,$W$16:$CI$16))</f>
        <v>45639</v>
      </c>
      <c r="M129" s="277">
        <f t="array" ref="M129">MAX(IF(W129:CI129&gt;0,$W$16:$CI$16))</f>
        <v>45639</v>
      </c>
      <c r="N129" s="277"/>
      <c r="O129" s="235">
        <f>VLOOKUP(H129,Auxiliar!$B$16:$E$24,4,0)</f>
        <v>1</v>
      </c>
      <c r="P129" s="235">
        <f ca="1">IF(TODAY()&lt;=L129,0,MIN((TODAY()-L129)/(M129-L129+1),100%))</f>
        <v>1</v>
      </c>
      <c r="Q129" s="234">
        <f t="shared" ca="1" si="31"/>
        <v>0</v>
      </c>
      <c r="R129" s="247"/>
      <c r="S129" s="266"/>
      <c r="T129" s="256">
        <v>4.0999999999999996</v>
      </c>
      <c r="U129" s="256">
        <f>ROUND(T129/8,1)</f>
        <v>0.5</v>
      </c>
      <c r="V129" s="256">
        <f>SUM(W129:CI129)-U129</f>
        <v>0</v>
      </c>
      <c r="W129" s="275"/>
      <c r="X129" s="267"/>
      <c r="Y129" s="267"/>
      <c r="Z129" s="267"/>
      <c r="AA129" s="267"/>
      <c r="AB129" s="267"/>
      <c r="AC129" s="274"/>
      <c r="AD129" s="268"/>
      <c r="AE129" s="267"/>
      <c r="AF129" s="267"/>
      <c r="AG129" s="267"/>
      <c r="AH129" s="267"/>
      <c r="AI129" s="267"/>
      <c r="AJ129" s="267"/>
      <c r="AK129" s="267"/>
      <c r="AL129" s="267"/>
      <c r="AM129" s="267"/>
      <c r="AN129" s="267"/>
      <c r="AO129" s="269"/>
      <c r="AP129" s="267"/>
      <c r="AQ129" s="267"/>
      <c r="AR129" s="267"/>
      <c r="AS129" s="267"/>
      <c r="AT129" s="267"/>
      <c r="AU129" s="267"/>
      <c r="AV129" s="267"/>
      <c r="AW129" s="267"/>
      <c r="AX129" s="267"/>
      <c r="AY129" s="267"/>
      <c r="AZ129" s="267"/>
      <c r="BA129" s="267"/>
      <c r="BB129" s="267"/>
      <c r="BC129" s="267"/>
      <c r="BD129" s="267"/>
      <c r="BE129" s="267"/>
      <c r="BF129" s="267"/>
      <c r="BG129" s="267"/>
      <c r="BH129" s="267">
        <v>0.5</v>
      </c>
      <c r="BI129" s="267"/>
      <c r="BJ129" s="267"/>
      <c r="BK129" s="267"/>
      <c r="BL129" s="267"/>
      <c r="BM129" s="267"/>
      <c r="BN129" s="267"/>
      <c r="BO129" s="268"/>
      <c r="BP129" s="268"/>
      <c r="BQ129" s="268"/>
      <c r="BR129" s="268"/>
      <c r="BS129" s="268"/>
      <c r="BT129" s="268"/>
      <c r="BU129" s="268"/>
      <c r="BV129" s="267"/>
      <c r="BW129" s="267"/>
      <c r="BX129" s="267"/>
      <c r="BY129" s="267"/>
      <c r="BZ129" s="267"/>
      <c r="CA129" s="267"/>
      <c r="CB129" s="267"/>
      <c r="CC129" s="267"/>
      <c r="CD129" s="267"/>
      <c r="CE129" s="267"/>
      <c r="CF129" s="267"/>
      <c r="CG129" s="267"/>
      <c r="CH129" s="267"/>
      <c r="CI129" s="267"/>
    </row>
    <row r="130" spans="1:87" ht="15" customHeight="1" collapsed="1">
      <c r="A130" s="260"/>
      <c r="B130" s="141" t="s">
        <v>26</v>
      </c>
      <c r="C130" s="137" t="s">
        <v>26</v>
      </c>
      <c r="D130" s="133"/>
      <c r="E130" s="228" t="s">
        <v>335</v>
      </c>
      <c r="F130" s="226" t="s">
        <v>1939</v>
      </c>
      <c r="G130" s="227">
        <f>COUNTA(G131)</f>
        <v>1</v>
      </c>
      <c r="H130" s="281" t="s">
        <v>1915</v>
      </c>
      <c r="I130" s="264">
        <f>MAX(I131:I138)</f>
        <v>45589</v>
      </c>
      <c r="J130" s="263">
        <f>MIN(J131:J138)</f>
        <v>45596</v>
      </c>
      <c r="K130" s="264">
        <f>MIN(K131:K138)</f>
        <v>45596</v>
      </c>
      <c r="L130" s="263">
        <f>MIN(L131:L138)</f>
        <v>45623</v>
      </c>
      <c r="M130" s="264">
        <f>MAX(M131:M138)</f>
        <v>45667</v>
      </c>
      <c r="N130" s="308">
        <f t="array" ref="N130">MAX(IF(W130:CI130&gt;0,$W$16:$CI$16))</f>
        <v>45674</v>
      </c>
      <c r="O130" s="307">
        <f>SUMPRODUCT(O131:O132,U131:U132)/SUM(U131:U132)</f>
        <v>1</v>
      </c>
      <c r="P130" s="307">
        <f ca="1">SUMPRODUCT(P131:P132,U131:U132)/SUM(U131:U132)</f>
        <v>1</v>
      </c>
      <c r="Q130" s="242">
        <f ca="1">O130-P130</f>
        <v>0</v>
      </c>
      <c r="R130" s="325" t="s">
        <v>1953</v>
      </c>
      <c r="S130" s="266"/>
      <c r="T130" s="256"/>
      <c r="U130" s="256"/>
      <c r="V130" s="256"/>
      <c r="W130" s="267"/>
      <c r="X130" s="267"/>
      <c r="Y130" s="267"/>
      <c r="Z130" s="267"/>
      <c r="AA130" s="267"/>
      <c r="AB130" s="267"/>
      <c r="AC130" s="274"/>
      <c r="AD130" s="268"/>
      <c r="AE130" s="267"/>
      <c r="AF130" s="267"/>
      <c r="AG130" s="267"/>
      <c r="AH130" s="267"/>
      <c r="AI130" s="267"/>
      <c r="AJ130" s="267"/>
      <c r="AK130" s="267"/>
      <c r="AL130" s="267"/>
      <c r="AM130" s="267"/>
      <c r="AN130" s="267"/>
      <c r="AO130" s="267"/>
      <c r="AP130" s="267"/>
      <c r="AQ130" s="267"/>
      <c r="AR130" s="267"/>
      <c r="AS130" s="267"/>
      <c r="AT130" s="267"/>
      <c r="AU130" s="267"/>
      <c r="AV130" s="267"/>
      <c r="AW130" s="267"/>
      <c r="AX130" s="267"/>
      <c r="AY130" s="267"/>
      <c r="AZ130" s="267"/>
      <c r="BA130" s="267"/>
      <c r="BB130" s="267"/>
      <c r="BC130" s="267"/>
      <c r="BD130" s="267"/>
      <c r="BE130" s="267"/>
      <c r="BF130" s="267"/>
      <c r="BG130" s="267"/>
      <c r="BH130" s="270" t="s">
        <v>443</v>
      </c>
      <c r="BI130" s="267"/>
      <c r="BJ130" s="267"/>
      <c r="BK130" s="267"/>
      <c r="BL130" s="267"/>
      <c r="BM130" s="267"/>
      <c r="BN130" s="267"/>
      <c r="BO130" s="268"/>
      <c r="BP130" s="268"/>
      <c r="BQ130" s="268"/>
      <c r="BR130" s="268"/>
      <c r="BS130" s="268"/>
      <c r="BT130" s="268"/>
      <c r="BU130" s="268"/>
      <c r="BV130" s="267"/>
      <c r="BW130" s="267"/>
      <c r="BX130" s="267"/>
      <c r="BY130" s="267"/>
      <c r="BZ130" s="267"/>
      <c r="CA130" s="267"/>
      <c r="CB130" s="267"/>
      <c r="CC130" s="267"/>
      <c r="CD130" s="267"/>
      <c r="CE130" s="267"/>
      <c r="CF130" s="267"/>
      <c r="CG130" s="267" t="s">
        <v>443</v>
      </c>
      <c r="CH130" s="267"/>
      <c r="CI130" s="267"/>
    </row>
    <row r="131" spans="1:87" ht="16.5" outlineLevel="1">
      <c r="A131" s="260" t="str">
        <f>E131&amp;G131</f>
        <v>lt003_entitynace_esg</v>
      </c>
      <c r="B131" s="141" t="s">
        <v>26</v>
      </c>
      <c r="C131" s="137" t="s">
        <v>26</v>
      </c>
      <c r="D131" s="222" t="s">
        <v>40</v>
      </c>
      <c r="E131" s="225" t="s">
        <v>335</v>
      </c>
      <c r="F131" s="225"/>
      <c r="G131" s="225" t="s">
        <v>336</v>
      </c>
      <c r="H131" s="222" t="str">
        <f>VLOOKUP(A131,'2. Status Detalhe Campos FY24'!$A$7:$G$731,7,0)</f>
        <v>1. Concluído</v>
      </c>
      <c r="I131" s="262">
        <v>45583</v>
      </c>
      <c r="J131" s="287">
        <v>45596</v>
      </c>
      <c r="K131" s="271">
        <v>45596</v>
      </c>
      <c r="L131" s="276">
        <f t="array" ref="L131">MIN(IF(W131:CI131&gt;0,$W$16:$CI$16))</f>
        <v>45623</v>
      </c>
      <c r="M131" s="277">
        <f t="array" ref="M131">MAX(IF(W131:CI131&gt;0,$W$16:$CI$16))</f>
        <v>45623</v>
      </c>
      <c r="N131" s="277"/>
      <c r="O131" s="307">
        <f>VLOOKUP(H131,Auxiliar!$B$16:$E$24,4,0)</f>
        <v>1</v>
      </c>
      <c r="P131" s="307">
        <f ca="1">IF(TODAY()&lt;=L131,0,MIN((TODAY()-L131)/(M131-L131+1),100%))</f>
        <v>1</v>
      </c>
      <c r="Q131" s="234">
        <f ca="1">O131-P131</f>
        <v>0</v>
      </c>
      <c r="R131" s="247"/>
      <c r="S131" s="266"/>
      <c r="T131" s="256">
        <v>4.0999999999999996</v>
      </c>
      <c r="U131" s="256">
        <f>ROUND(T131/8,1)</f>
        <v>0.5</v>
      </c>
      <c r="V131" s="256">
        <f>SUM(W131:CI131)-U131</f>
        <v>0</v>
      </c>
      <c r="W131" s="267"/>
      <c r="X131" s="267"/>
      <c r="Y131" s="267"/>
      <c r="Z131" s="267"/>
      <c r="AA131" s="267"/>
      <c r="AB131" s="267"/>
      <c r="AC131" s="274"/>
      <c r="AD131" s="268"/>
      <c r="AE131" s="267"/>
      <c r="AF131" s="267"/>
      <c r="AG131" s="267"/>
      <c r="AH131" s="267"/>
      <c r="AI131" s="267"/>
      <c r="AJ131" s="267"/>
      <c r="AK131" s="267"/>
      <c r="AL131" s="267"/>
      <c r="AM131" s="267"/>
      <c r="AN131" s="267"/>
      <c r="AO131" s="269"/>
      <c r="AP131" s="267"/>
      <c r="AQ131" s="267"/>
      <c r="AR131" s="267"/>
      <c r="AS131" s="267"/>
      <c r="AT131" s="267"/>
      <c r="AU131" s="267"/>
      <c r="AV131" s="267">
        <v>0.5</v>
      </c>
      <c r="AW131" s="267"/>
      <c r="AX131" s="267"/>
      <c r="AY131" s="267"/>
      <c r="AZ131" s="267"/>
      <c r="BA131" s="267"/>
      <c r="BB131" s="267"/>
      <c r="BC131" s="267"/>
      <c r="BD131" s="267"/>
      <c r="BE131" s="267"/>
      <c r="BF131" s="267"/>
      <c r="BG131" s="267"/>
      <c r="BH131" s="267"/>
      <c r="BI131" s="267"/>
      <c r="BJ131" s="267"/>
      <c r="BK131" s="267"/>
      <c r="BL131" s="267"/>
      <c r="BM131" s="267"/>
      <c r="BN131" s="267"/>
      <c r="BO131" s="268"/>
      <c r="BP131" s="268"/>
      <c r="BQ131" s="268"/>
      <c r="BR131" s="268"/>
      <c r="BS131" s="268"/>
      <c r="BT131" s="268"/>
      <c r="BU131" s="268"/>
      <c r="BV131" s="267"/>
      <c r="BW131" s="267"/>
      <c r="BX131" s="267"/>
      <c r="BY131" s="267"/>
      <c r="BZ131" s="267"/>
      <c r="CA131" s="267"/>
      <c r="CB131" s="267"/>
      <c r="CC131" s="267"/>
      <c r="CD131" s="267"/>
      <c r="CE131" s="267"/>
      <c r="CF131" s="267"/>
      <c r="CG131" s="267"/>
      <c r="CH131" s="267"/>
      <c r="CI131" s="267"/>
    </row>
    <row r="132" spans="1:87" ht="15" customHeight="1" collapsed="1">
      <c r="A132" s="260"/>
      <c r="B132" s="141" t="s">
        <v>26</v>
      </c>
      <c r="C132" s="137" t="s">
        <v>26</v>
      </c>
      <c r="D132" s="133"/>
      <c r="E132" s="228" t="s">
        <v>335</v>
      </c>
      <c r="F132" s="226" t="s">
        <v>1939</v>
      </c>
      <c r="G132" s="227">
        <f>COUNTA(G133:G135)</f>
        <v>3</v>
      </c>
      <c r="H132" s="281" t="s">
        <v>1915</v>
      </c>
      <c r="I132" s="264">
        <f>MAX(I133:I139)</f>
        <v>45589</v>
      </c>
      <c r="J132" s="263">
        <f>MIN(J133:J139)</f>
        <v>45596</v>
      </c>
      <c r="K132" s="264">
        <f>MIN(K133:K139)</f>
        <v>45596</v>
      </c>
      <c r="L132" s="263">
        <f>MIN(L133:L139)</f>
        <v>45625</v>
      </c>
      <c r="M132" s="264">
        <f>MAX(M133:M139)</f>
        <v>45667</v>
      </c>
      <c r="N132" s="308">
        <f t="array" ref="N132">MAX(IF(W132:CI132&gt;0,$W$16:$CI$16))</f>
        <v>45674</v>
      </c>
      <c r="O132" s="307">
        <f>SUMPRODUCT(O133:O135,U133:U135)/SUM(U133:U135)</f>
        <v>1</v>
      </c>
      <c r="P132" s="307">
        <f ca="1">SUMPRODUCT(P133:P135,U133:U135)/SUM(U133:U135)</f>
        <v>1</v>
      </c>
      <c r="Q132" s="242">
        <f t="shared" ca="1" si="31"/>
        <v>0</v>
      </c>
      <c r="R132" s="325" t="s">
        <v>1952</v>
      </c>
      <c r="S132" s="266"/>
      <c r="T132" s="256"/>
      <c r="U132" s="256"/>
      <c r="V132" s="256"/>
      <c r="W132" s="267"/>
      <c r="X132" s="267"/>
      <c r="Y132" s="267"/>
      <c r="Z132" s="267"/>
      <c r="AA132" s="267"/>
      <c r="AB132" s="267"/>
      <c r="AC132" s="274"/>
      <c r="AD132" s="268"/>
      <c r="AE132" s="267"/>
      <c r="AF132" s="267"/>
      <c r="AG132" s="267"/>
      <c r="AH132" s="267"/>
      <c r="AI132" s="267"/>
      <c r="AJ132" s="267"/>
      <c r="AK132" s="267"/>
      <c r="AL132" s="267"/>
      <c r="AM132" s="267"/>
      <c r="AN132" s="267"/>
      <c r="AO132" s="267"/>
      <c r="AP132" s="267"/>
      <c r="AQ132" s="267"/>
      <c r="AR132" s="267"/>
      <c r="AS132" s="267"/>
      <c r="AT132" s="267"/>
      <c r="AU132" s="267"/>
      <c r="AV132" s="267"/>
      <c r="AW132" s="267"/>
      <c r="AX132" s="267"/>
      <c r="AY132" s="267"/>
      <c r="AZ132" s="267"/>
      <c r="BA132" s="267"/>
      <c r="BB132" s="267"/>
      <c r="BC132" s="267"/>
      <c r="BD132" s="267"/>
      <c r="BE132" s="267"/>
      <c r="BF132" s="267"/>
      <c r="BG132" s="267"/>
      <c r="BH132" s="270" t="s">
        <v>443</v>
      </c>
      <c r="BI132" s="267"/>
      <c r="BJ132" s="267"/>
      <c r="BK132" s="267"/>
      <c r="BL132" s="267"/>
      <c r="BM132" s="270" t="s">
        <v>443</v>
      </c>
      <c r="BN132" s="267"/>
      <c r="BO132" s="268"/>
      <c r="BP132" s="268"/>
      <c r="BQ132" s="268"/>
      <c r="BR132" s="268"/>
      <c r="BS132" s="268"/>
      <c r="BT132" s="268"/>
      <c r="BU132" s="268"/>
      <c r="BV132" s="267"/>
      <c r="BW132" s="267"/>
      <c r="BX132" s="267"/>
      <c r="BY132" s="267"/>
      <c r="BZ132" s="267"/>
      <c r="CA132" s="267"/>
      <c r="CB132" s="267"/>
      <c r="CC132" s="267"/>
      <c r="CD132" s="267"/>
      <c r="CE132" s="267"/>
      <c r="CF132" s="267"/>
      <c r="CG132" s="267" t="s">
        <v>1946</v>
      </c>
      <c r="CH132" s="267"/>
      <c r="CI132" s="267"/>
    </row>
    <row r="133" spans="1:87" ht="16.5" outlineLevel="1">
      <c r="A133" s="260" t="str">
        <f>E133&amp;G133</f>
        <v>lt003_entitygrp_emssns_scp1</v>
      </c>
      <c r="B133" s="141" t="s">
        <v>26</v>
      </c>
      <c r="C133" s="137" t="s">
        <v>26</v>
      </c>
      <c r="D133" s="222" t="s">
        <v>40</v>
      </c>
      <c r="E133" s="225" t="s">
        <v>335</v>
      </c>
      <c r="F133" s="225"/>
      <c r="G133" s="225" t="s">
        <v>365</v>
      </c>
      <c r="H133" s="222" t="str">
        <f>VLOOKUP(A133,'2. Status Detalhe Campos FY24'!$A$7:$G$731,7,0)</f>
        <v>1. Concluído</v>
      </c>
      <c r="I133" s="271">
        <v>45588</v>
      </c>
      <c r="J133" s="287">
        <v>45596</v>
      </c>
      <c r="K133" s="271">
        <v>45596</v>
      </c>
      <c r="L133" s="276">
        <f t="array" ref="L133">MIN(IF(W133:CI133&gt;0,$W$16:$CI$16))</f>
        <v>45639</v>
      </c>
      <c r="M133" s="277">
        <f t="array" ref="M133">MAX(IF(W133:CI133&gt;0,$W$16:$CI$16))</f>
        <v>45639</v>
      </c>
      <c r="N133" s="277"/>
      <c r="O133" s="235">
        <f>VLOOKUP(H133,Auxiliar!$B$16:$E$24,4,0)</f>
        <v>1</v>
      </c>
      <c r="P133" s="235">
        <f t="shared" ref="P133:P138" ca="1" si="32">IF(TODAY()&lt;=L133,0,MIN((TODAY()-L133)/(M133-L133+1),100%))</f>
        <v>1</v>
      </c>
      <c r="Q133" s="234">
        <f t="shared" ca="1" si="31"/>
        <v>0</v>
      </c>
      <c r="R133" s="325"/>
      <c r="S133" s="266"/>
      <c r="T133" s="256">
        <v>4.0999999999999996</v>
      </c>
      <c r="U133" s="256">
        <f>ROUND(T133/8,1)</f>
        <v>0.5</v>
      </c>
      <c r="V133" s="256">
        <f>SUM(W133:CI133)-U133</f>
        <v>0</v>
      </c>
      <c r="W133" s="275"/>
      <c r="X133" s="267"/>
      <c r="Y133" s="267"/>
      <c r="Z133" s="267"/>
      <c r="AA133" s="267"/>
      <c r="AB133" s="267"/>
      <c r="AC133" s="274"/>
      <c r="AD133" s="268"/>
      <c r="AE133" s="267"/>
      <c r="AF133" s="267"/>
      <c r="AG133" s="267"/>
      <c r="AH133" s="267"/>
      <c r="AI133" s="267"/>
      <c r="AJ133" s="267"/>
      <c r="AK133" s="267"/>
      <c r="AL133" s="267"/>
      <c r="AM133" s="267"/>
      <c r="AN133" s="267"/>
      <c r="AO133" s="267"/>
      <c r="AP133" s="267"/>
      <c r="AQ133" s="267"/>
      <c r="AR133" s="267"/>
      <c r="AS133" s="267"/>
      <c r="AT133" s="267"/>
      <c r="AU133" s="269"/>
      <c r="AV133" s="267"/>
      <c r="AW133" s="267"/>
      <c r="AX133" s="267"/>
      <c r="AY133" s="267"/>
      <c r="AZ133" s="267"/>
      <c r="BA133" s="267"/>
      <c r="BB133" s="267"/>
      <c r="BC133" s="267"/>
      <c r="BD133" s="267"/>
      <c r="BE133" s="267"/>
      <c r="BF133" s="267"/>
      <c r="BG133" s="267"/>
      <c r="BH133" s="267">
        <v>0.5</v>
      </c>
      <c r="BI133" s="267"/>
      <c r="BJ133" s="267"/>
      <c r="BK133" s="267"/>
      <c r="BL133" s="267"/>
      <c r="BM133" s="267"/>
      <c r="BN133" s="267"/>
      <c r="BO133" s="268"/>
      <c r="BP133" s="268"/>
      <c r="BQ133" s="268"/>
      <c r="BR133" s="268"/>
      <c r="BS133" s="268"/>
      <c r="BT133" s="268"/>
      <c r="BU133" s="268"/>
      <c r="BV133" s="267"/>
      <c r="BW133" s="267"/>
      <c r="BX133" s="267"/>
      <c r="BY133" s="267"/>
      <c r="BZ133" s="267"/>
      <c r="CA133" s="267"/>
      <c r="CB133" s="267"/>
      <c r="CC133" s="267"/>
      <c r="CD133" s="267"/>
      <c r="CE133" s="267"/>
      <c r="CF133" s="267"/>
      <c r="CG133" s="267"/>
      <c r="CH133" s="267"/>
      <c r="CI133" s="267"/>
    </row>
    <row r="134" spans="1:87" ht="16.5" outlineLevel="1">
      <c r="A134" s="260" t="str">
        <f>E134&amp;G134</f>
        <v>lt003_entitygrp_emssns_scp2</v>
      </c>
      <c r="B134" s="141" t="s">
        <v>26</v>
      </c>
      <c r="C134" s="137" t="s">
        <v>26</v>
      </c>
      <c r="D134" s="222" t="s">
        <v>40</v>
      </c>
      <c r="E134" s="225" t="s">
        <v>335</v>
      </c>
      <c r="F134" s="225"/>
      <c r="G134" s="225" t="s">
        <v>366</v>
      </c>
      <c r="H134" s="222" t="str">
        <f>VLOOKUP(A134,'2. Status Detalhe Campos FY24'!$A$7:$G$731,7,0)</f>
        <v>1. Concluído</v>
      </c>
      <c r="I134" s="271">
        <v>45588</v>
      </c>
      <c r="J134" s="287">
        <v>45596</v>
      </c>
      <c r="K134" s="271">
        <v>45596</v>
      </c>
      <c r="L134" s="276">
        <f t="array" ref="L134">MIN(IF(W134:CI134&gt;0,$W$16:$CI$16))</f>
        <v>45639</v>
      </c>
      <c r="M134" s="277">
        <f t="array" ref="M134">MAX(IF(W134:CI134&gt;0,$W$16:$CI$16))</f>
        <v>45639</v>
      </c>
      <c r="N134" s="277"/>
      <c r="O134" s="235">
        <f>VLOOKUP(H134,Auxiliar!$B$16:$E$24,4,0)</f>
        <v>1</v>
      </c>
      <c r="P134" s="235">
        <f t="shared" ca="1" si="32"/>
        <v>1</v>
      </c>
      <c r="Q134" s="234">
        <f t="shared" ca="1" si="31"/>
        <v>0</v>
      </c>
      <c r="R134" s="247"/>
      <c r="S134" s="266"/>
      <c r="T134" s="256">
        <v>4.0999999999999996</v>
      </c>
      <c r="U134" s="256">
        <f>ROUND(T134/8,1)</f>
        <v>0.5</v>
      </c>
      <c r="V134" s="256">
        <f>SUM(W134:CI134)-U134</f>
        <v>0</v>
      </c>
      <c r="W134" s="275"/>
      <c r="X134" s="267"/>
      <c r="Y134" s="267"/>
      <c r="Z134" s="267"/>
      <c r="AA134" s="267"/>
      <c r="AB134" s="267"/>
      <c r="AC134" s="274"/>
      <c r="AD134" s="268"/>
      <c r="AE134" s="267"/>
      <c r="AF134" s="267"/>
      <c r="AG134" s="267"/>
      <c r="AH134" s="267"/>
      <c r="AI134" s="267"/>
      <c r="AJ134" s="267"/>
      <c r="AK134" s="267"/>
      <c r="AL134" s="267"/>
      <c r="AM134" s="267"/>
      <c r="AN134" s="267"/>
      <c r="AO134" s="267"/>
      <c r="AP134" s="267"/>
      <c r="AQ134" s="267"/>
      <c r="AR134" s="267"/>
      <c r="AS134" s="267"/>
      <c r="AT134" s="267"/>
      <c r="AU134" s="269"/>
      <c r="AV134" s="267"/>
      <c r="AW134" s="267"/>
      <c r="AX134" s="267"/>
      <c r="AY134" s="267"/>
      <c r="AZ134" s="267"/>
      <c r="BA134" s="267"/>
      <c r="BB134" s="267"/>
      <c r="BC134" s="267"/>
      <c r="BD134" s="267"/>
      <c r="BE134" s="267"/>
      <c r="BF134" s="267"/>
      <c r="BG134" s="267"/>
      <c r="BH134" s="267">
        <v>0.5</v>
      </c>
      <c r="BI134" s="267"/>
      <c r="BJ134" s="267"/>
      <c r="BK134" s="267"/>
      <c r="BL134" s="267"/>
      <c r="BM134" s="267"/>
      <c r="BN134" s="267"/>
      <c r="BO134" s="268"/>
      <c r="BP134" s="268"/>
      <c r="BQ134" s="268"/>
      <c r="BR134" s="268"/>
      <c r="BS134" s="268"/>
      <c r="BT134" s="268"/>
      <c r="BU134" s="268"/>
      <c r="BV134" s="267"/>
      <c r="BW134" s="267"/>
      <c r="BX134" s="267"/>
      <c r="BY134" s="267"/>
      <c r="BZ134" s="267"/>
      <c r="CA134" s="267"/>
      <c r="CB134" s="267"/>
      <c r="CC134" s="267"/>
      <c r="CD134" s="267"/>
      <c r="CE134" s="267"/>
      <c r="CF134" s="267"/>
      <c r="CG134" s="267"/>
      <c r="CH134" s="267"/>
      <c r="CI134" s="267"/>
    </row>
    <row r="135" spans="1:87" ht="16.5" outlineLevel="1">
      <c r="A135" s="260" t="str">
        <f>E135&amp;G135</f>
        <v>lt003_entitygrp_emssns_scp3</v>
      </c>
      <c r="B135" s="141" t="s">
        <v>26</v>
      </c>
      <c r="C135" s="137" t="s">
        <v>26</v>
      </c>
      <c r="D135" s="222" t="s">
        <v>40</v>
      </c>
      <c r="E135" s="225" t="s">
        <v>335</v>
      </c>
      <c r="F135" s="225"/>
      <c r="G135" s="225" t="s">
        <v>367</v>
      </c>
      <c r="H135" s="222" t="str">
        <f>VLOOKUP(A135,'2. Status Detalhe Campos FY24'!$A$7:$G$731,7,0)</f>
        <v>1. Concluído</v>
      </c>
      <c r="I135" s="271">
        <v>45588</v>
      </c>
      <c r="J135" s="287">
        <v>45596</v>
      </c>
      <c r="K135" s="271">
        <v>45596</v>
      </c>
      <c r="L135" s="276">
        <f t="array" ref="L135">MIN(IF(W135:CI135&gt;0,$W$16:$CI$16))</f>
        <v>45639</v>
      </c>
      <c r="M135" s="277">
        <f t="array" ref="M135">MAX(IF(W135:CI135&gt;0,$W$16:$CI$16))</f>
        <v>45639</v>
      </c>
      <c r="N135" s="277"/>
      <c r="O135" s="235">
        <f>VLOOKUP(H135,Auxiliar!$B$16:$E$24,4,0)</f>
        <v>1</v>
      </c>
      <c r="P135" s="235">
        <f t="shared" ca="1" si="32"/>
        <v>1</v>
      </c>
      <c r="Q135" s="234">
        <f t="shared" ca="1" si="31"/>
        <v>0</v>
      </c>
      <c r="R135" s="247"/>
      <c r="S135" s="266"/>
      <c r="T135" s="256">
        <v>4.0999999999999996</v>
      </c>
      <c r="U135" s="256">
        <f>ROUND(T135/8,1)</f>
        <v>0.5</v>
      </c>
      <c r="V135" s="256">
        <f>SUM(W135:CI135)-U135</f>
        <v>0</v>
      </c>
      <c r="W135" s="275"/>
      <c r="X135" s="267"/>
      <c r="Y135" s="267"/>
      <c r="Z135" s="267"/>
      <c r="AA135" s="267"/>
      <c r="AB135" s="267"/>
      <c r="AC135" s="274"/>
      <c r="AD135" s="268"/>
      <c r="AE135" s="267"/>
      <c r="AF135" s="267"/>
      <c r="AG135" s="267"/>
      <c r="AH135" s="267"/>
      <c r="AI135" s="267"/>
      <c r="AJ135" s="267"/>
      <c r="AK135" s="267"/>
      <c r="AL135" s="267"/>
      <c r="AM135" s="267"/>
      <c r="AN135" s="267"/>
      <c r="AO135" s="267"/>
      <c r="AP135" s="267"/>
      <c r="AQ135" s="267"/>
      <c r="AR135" s="267"/>
      <c r="AS135" s="267"/>
      <c r="AT135" s="267"/>
      <c r="AU135" s="269"/>
      <c r="AV135" s="267"/>
      <c r="AW135" s="267"/>
      <c r="AX135" s="267"/>
      <c r="AY135" s="267"/>
      <c r="AZ135" s="267"/>
      <c r="BA135" s="267"/>
      <c r="BB135" s="267"/>
      <c r="BC135" s="267"/>
      <c r="BD135" s="267"/>
      <c r="BE135" s="267"/>
      <c r="BF135" s="267"/>
      <c r="BG135" s="267"/>
      <c r="BH135" s="267">
        <v>0.5</v>
      </c>
      <c r="BI135" s="267"/>
      <c r="BJ135" s="267"/>
      <c r="BK135" s="267"/>
      <c r="BL135" s="267"/>
      <c r="BM135" s="267"/>
      <c r="BN135" s="267"/>
      <c r="BO135" s="268"/>
      <c r="BP135" s="268"/>
      <c r="BQ135" s="268"/>
      <c r="BR135" s="268"/>
      <c r="BS135" s="268"/>
      <c r="BT135" s="268"/>
      <c r="BU135" s="268"/>
      <c r="BV135" s="267"/>
      <c r="BW135" s="267"/>
      <c r="BX135" s="267"/>
      <c r="BY135" s="267"/>
      <c r="BZ135" s="267"/>
      <c r="CA135" s="267"/>
      <c r="CB135" s="267"/>
      <c r="CC135" s="267"/>
      <c r="CD135" s="267"/>
      <c r="CE135" s="267"/>
      <c r="CF135" s="267"/>
      <c r="CG135" s="267"/>
      <c r="CH135" s="267"/>
      <c r="CI135" s="267"/>
    </row>
    <row r="136" spans="1:87" ht="15" customHeight="1" collapsed="1">
      <c r="A136" s="260"/>
      <c r="B136" s="141" t="s">
        <v>26</v>
      </c>
      <c r="C136" s="137" t="s">
        <v>26</v>
      </c>
      <c r="D136" s="133"/>
      <c r="E136" s="228" t="s">
        <v>335</v>
      </c>
      <c r="F136" s="226" t="s">
        <v>1929</v>
      </c>
      <c r="G136" s="227">
        <f>COUNTA(G137:G138)</f>
        <v>2</v>
      </c>
      <c r="H136" s="281" t="s">
        <v>1915</v>
      </c>
      <c r="I136" s="264">
        <f>MAX(I137:I138)</f>
        <v>45589</v>
      </c>
      <c r="J136" s="263">
        <f>MIN(J137:J138)</f>
        <v>45596</v>
      </c>
      <c r="K136" s="264">
        <f>MIN(K137:K138)</f>
        <v>45596</v>
      </c>
      <c r="L136" s="263">
        <f>MIN(L137:L138)</f>
        <v>45639</v>
      </c>
      <c r="M136" s="264">
        <f>MAX(M137:M138)</f>
        <v>45639</v>
      </c>
      <c r="N136" s="308">
        <f t="array" ref="N136">MAX(IF(W136:CI136&gt;0,$W$16:$CI$16))</f>
        <v>45639</v>
      </c>
      <c r="O136" s="307">
        <f>SUMPRODUCT(O137:O138,U137:U138)/SUM(U137:U138)</f>
        <v>1</v>
      </c>
      <c r="P136" s="307">
        <f t="shared" ca="1" si="32"/>
        <v>1</v>
      </c>
      <c r="Q136" s="242">
        <f t="shared" ca="1" si="31"/>
        <v>0</v>
      </c>
      <c r="R136" s="325" t="s">
        <v>1940</v>
      </c>
      <c r="S136" s="266"/>
      <c r="T136" s="256"/>
      <c r="U136" s="256"/>
      <c r="V136" s="256"/>
      <c r="W136" s="267"/>
      <c r="X136" s="267"/>
      <c r="Y136" s="267"/>
      <c r="Z136" s="267"/>
      <c r="AA136" s="267"/>
      <c r="AB136" s="267"/>
      <c r="AC136" s="274"/>
      <c r="AD136" s="268"/>
      <c r="AE136" s="267"/>
      <c r="AF136" s="267"/>
      <c r="AG136" s="267"/>
      <c r="AH136" s="267"/>
      <c r="AI136" s="267"/>
      <c r="AJ136" s="267"/>
      <c r="AK136" s="267"/>
      <c r="AL136" s="267"/>
      <c r="AM136" s="267"/>
      <c r="AN136" s="267"/>
      <c r="AO136" s="267"/>
      <c r="AP136" s="267"/>
      <c r="AQ136" s="267"/>
      <c r="AR136" s="267"/>
      <c r="AS136" s="267"/>
      <c r="AT136" s="267"/>
      <c r="AU136" s="267"/>
      <c r="AV136" s="267"/>
      <c r="AW136" s="267"/>
      <c r="AX136" s="267"/>
      <c r="AY136" s="267"/>
      <c r="AZ136" s="267"/>
      <c r="BA136" s="267"/>
      <c r="BB136" s="267"/>
      <c r="BC136" s="267"/>
      <c r="BD136" s="267"/>
      <c r="BE136" s="267"/>
      <c r="BF136" s="267"/>
      <c r="BG136" s="267"/>
      <c r="BH136" s="270" t="s">
        <v>443</v>
      </c>
      <c r="BI136" s="267"/>
      <c r="BJ136" s="267"/>
      <c r="BK136" s="267"/>
      <c r="BL136" s="267"/>
      <c r="BM136" s="267"/>
      <c r="BN136" s="267"/>
      <c r="BO136" s="268"/>
      <c r="BP136" s="268"/>
      <c r="BQ136" s="268"/>
      <c r="BR136" s="268"/>
      <c r="BS136" s="268"/>
      <c r="BT136" s="268"/>
      <c r="BU136" s="268"/>
      <c r="BV136" s="267"/>
      <c r="BW136" s="267"/>
      <c r="BX136" s="267"/>
      <c r="BY136" s="267"/>
      <c r="BZ136" s="267"/>
      <c r="CA136" s="267"/>
      <c r="CB136" s="267"/>
      <c r="CC136" s="267"/>
      <c r="CD136" s="267"/>
      <c r="CE136" s="267"/>
      <c r="CF136" s="267"/>
      <c r="CG136" s="267"/>
      <c r="CH136" s="267"/>
      <c r="CI136" s="267"/>
    </row>
    <row r="137" spans="1:87" ht="16.5" outlineLevel="1">
      <c r="A137" s="260" t="str">
        <f>E137&amp;G137</f>
        <v>lt003_entityflg_act_physcl_rsk</v>
      </c>
      <c r="B137" s="141" t="s">
        <v>26</v>
      </c>
      <c r="C137" s="137" t="s">
        <v>26</v>
      </c>
      <c r="D137" s="222" t="s">
        <v>40</v>
      </c>
      <c r="E137" s="225" t="s">
        <v>335</v>
      </c>
      <c r="F137" s="225"/>
      <c r="G137" s="225" t="s">
        <v>357</v>
      </c>
      <c r="H137" s="222" t="str">
        <f>VLOOKUP(A137,'2. Status Detalhe Campos FY24'!$A$7:$G$731,7,0)</f>
        <v>1. Concluído</v>
      </c>
      <c r="I137" s="262">
        <v>45589</v>
      </c>
      <c r="J137" s="287">
        <v>45596</v>
      </c>
      <c r="K137" s="271">
        <v>45596</v>
      </c>
      <c r="L137" s="276">
        <f t="array" ref="L137">MIN(IF(W137:CI137&gt;0,$W$16:$CI$16))</f>
        <v>45639</v>
      </c>
      <c r="M137" s="277">
        <f t="array" ref="M137">MAX(IF(W137:CI137&gt;0,$W$16:$CI$16))</f>
        <v>45639</v>
      </c>
      <c r="N137" s="277"/>
      <c r="O137" s="235">
        <f>VLOOKUP(H137,Auxiliar!$B$16:$E$24,4,0)</f>
        <v>1</v>
      </c>
      <c r="P137" s="235">
        <f t="shared" ca="1" si="32"/>
        <v>1</v>
      </c>
      <c r="Q137" s="234">
        <f t="shared" ca="1" si="31"/>
        <v>0</v>
      </c>
      <c r="R137" s="247"/>
      <c r="S137" s="266"/>
      <c r="T137" s="256">
        <v>4.0999999999999996</v>
      </c>
      <c r="U137" s="256">
        <f>ROUND(T137/8,1)</f>
        <v>0.5</v>
      </c>
      <c r="V137" s="256">
        <f>SUM(W137:CI137)-U137</f>
        <v>0</v>
      </c>
      <c r="W137" s="267"/>
      <c r="X137" s="267"/>
      <c r="Y137" s="267"/>
      <c r="Z137" s="267"/>
      <c r="AA137" s="267"/>
      <c r="AB137" s="267"/>
      <c r="AC137" s="274"/>
      <c r="AD137" s="268"/>
      <c r="AE137" s="267"/>
      <c r="AF137" s="267"/>
      <c r="AG137" s="267"/>
      <c r="AH137" s="267"/>
      <c r="AI137" s="267"/>
      <c r="AJ137" s="267"/>
      <c r="AK137" s="267"/>
      <c r="AL137" s="267"/>
      <c r="AM137" s="267"/>
      <c r="AN137" s="267"/>
      <c r="AO137" s="267"/>
      <c r="AP137" s="267"/>
      <c r="AQ137" s="267"/>
      <c r="AR137" s="267"/>
      <c r="AS137" s="267"/>
      <c r="AT137" s="267"/>
      <c r="AU137" s="267"/>
      <c r="AV137" s="267"/>
      <c r="AW137" s="269"/>
      <c r="AX137" s="267"/>
      <c r="AY137" s="267"/>
      <c r="AZ137" s="267"/>
      <c r="BA137" s="267"/>
      <c r="BB137" s="267"/>
      <c r="BC137" s="267"/>
      <c r="BD137" s="267"/>
      <c r="BE137" s="267"/>
      <c r="BF137" s="267"/>
      <c r="BG137" s="267"/>
      <c r="BH137" s="267">
        <v>0.5</v>
      </c>
      <c r="BI137" s="267"/>
      <c r="BJ137" s="267"/>
      <c r="BK137" s="267"/>
      <c r="BL137" s="267"/>
      <c r="BM137" s="267"/>
      <c r="BN137" s="267"/>
      <c r="BO137" s="268"/>
      <c r="BP137" s="268"/>
      <c r="BQ137" s="268"/>
      <c r="BR137" s="268"/>
      <c r="BS137" s="268"/>
      <c r="BT137" s="268"/>
      <c r="BU137" s="268"/>
      <c r="BV137" s="267"/>
      <c r="BW137" s="267"/>
      <c r="BX137" s="267"/>
      <c r="BY137" s="267"/>
      <c r="BZ137" s="267"/>
      <c r="CA137" s="267"/>
      <c r="CB137" s="267"/>
      <c r="CC137" s="267"/>
      <c r="CD137" s="267"/>
      <c r="CE137" s="267"/>
      <c r="CF137" s="267"/>
      <c r="CG137" s="267"/>
      <c r="CH137" s="267"/>
      <c r="CI137" s="267"/>
    </row>
    <row r="138" spans="1:87" ht="16.5" outlineLevel="1">
      <c r="A138" s="260" t="str">
        <f>E138&amp;G138</f>
        <v>lt003_entityflg_chrnc_physcl_rsk</v>
      </c>
      <c r="B138" s="141" t="s">
        <v>26</v>
      </c>
      <c r="C138" s="137" t="s">
        <v>26</v>
      </c>
      <c r="D138" s="222" t="s">
        <v>40</v>
      </c>
      <c r="E138" s="225" t="s">
        <v>335</v>
      </c>
      <c r="F138" s="225"/>
      <c r="G138" s="225" t="s">
        <v>358</v>
      </c>
      <c r="H138" s="222" t="str">
        <f>VLOOKUP(A138,'2. Status Detalhe Campos FY24'!$A$7:$G$731,7,0)</f>
        <v>1. Concluído</v>
      </c>
      <c r="I138" s="262">
        <v>45589</v>
      </c>
      <c r="J138" s="287">
        <v>45596</v>
      </c>
      <c r="K138" s="271">
        <v>45596</v>
      </c>
      <c r="L138" s="276">
        <f t="array" ref="L138">MIN(IF(W138:CI138&gt;0,$W$16:$CI$16))</f>
        <v>45639</v>
      </c>
      <c r="M138" s="277">
        <f t="array" ref="M138">MAX(IF(W138:CI138&gt;0,$W$16:$CI$16))</f>
        <v>45639</v>
      </c>
      <c r="N138" s="277"/>
      <c r="O138" s="235">
        <f>VLOOKUP(H138,Auxiliar!$B$16:$E$24,4,0)</f>
        <v>1</v>
      </c>
      <c r="P138" s="235">
        <f t="shared" ca="1" si="32"/>
        <v>1</v>
      </c>
      <c r="Q138" s="234">
        <f t="shared" ca="1" si="31"/>
        <v>0</v>
      </c>
      <c r="R138" s="247"/>
      <c r="S138" s="266"/>
      <c r="T138" s="256">
        <v>4.0999999999999996</v>
      </c>
      <c r="U138" s="256">
        <f>ROUND(T138/8,1)</f>
        <v>0.5</v>
      </c>
      <c r="V138" s="256">
        <f>SUM(W138:CI138)-U138</f>
        <v>0</v>
      </c>
      <c r="W138" s="267"/>
      <c r="X138" s="267"/>
      <c r="Y138" s="267"/>
      <c r="Z138" s="267"/>
      <c r="AA138" s="267"/>
      <c r="AB138" s="267"/>
      <c r="AC138" s="274"/>
      <c r="AD138" s="268"/>
      <c r="AE138" s="267"/>
      <c r="AF138" s="267"/>
      <c r="AG138" s="267"/>
      <c r="AH138" s="267"/>
      <c r="AI138" s="267"/>
      <c r="AJ138" s="267"/>
      <c r="AK138" s="267"/>
      <c r="AL138" s="267"/>
      <c r="AM138" s="267"/>
      <c r="AN138" s="267"/>
      <c r="AO138" s="267"/>
      <c r="AP138" s="267"/>
      <c r="AQ138" s="267"/>
      <c r="AR138" s="267"/>
      <c r="AS138" s="267"/>
      <c r="AT138" s="267"/>
      <c r="AU138" s="267"/>
      <c r="AV138" s="267"/>
      <c r="AW138" s="269"/>
      <c r="AX138" s="267"/>
      <c r="AY138" s="267"/>
      <c r="AZ138" s="267"/>
      <c r="BA138" s="267"/>
      <c r="BB138" s="267"/>
      <c r="BC138" s="267"/>
      <c r="BD138" s="267"/>
      <c r="BE138" s="267"/>
      <c r="BF138" s="267"/>
      <c r="BG138" s="267"/>
      <c r="BH138" s="267">
        <v>0.5</v>
      </c>
      <c r="BI138" s="267"/>
      <c r="BJ138" s="267"/>
      <c r="BK138" s="267"/>
      <c r="BL138" s="267"/>
      <c r="BM138" s="267"/>
      <c r="BN138" s="267"/>
      <c r="BO138" s="268"/>
      <c r="BP138" s="268"/>
      <c r="BQ138" s="268"/>
      <c r="BR138" s="268"/>
      <c r="BS138" s="268"/>
      <c r="BT138" s="268"/>
      <c r="BU138" s="268"/>
      <c r="BV138" s="267"/>
      <c r="BW138" s="267"/>
      <c r="BX138" s="267"/>
      <c r="BY138" s="267"/>
      <c r="BZ138" s="267"/>
      <c r="CA138" s="267"/>
      <c r="CB138" s="267"/>
      <c r="CC138" s="267"/>
      <c r="CD138" s="267"/>
      <c r="CE138" s="267"/>
      <c r="CF138" s="267"/>
      <c r="CG138" s="267"/>
      <c r="CH138" s="267"/>
      <c r="CI138" s="267"/>
    </row>
    <row r="139" spans="1:87" ht="15" customHeight="1" collapsed="1">
      <c r="A139" s="260"/>
      <c r="B139" s="141" t="s">
        <v>26</v>
      </c>
      <c r="C139" s="137" t="s">
        <v>310</v>
      </c>
      <c r="D139" s="133"/>
      <c r="E139" s="226" t="s">
        <v>325</v>
      </c>
      <c r="F139" s="226" t="s">
        <v>1883</v>
      </c>
      <c r="G139" s="227">
        <f>COUNTA(G140)</f>
        <v>1</v>
      </c>
      <c r="H139" s="340" t="s">
        <v>572</v>
      </c>
      <c r="I139" s="262" t="s">
        <v>38</v>
      </c>
      <c r="J139" s="263">
        <f>MIN(J140:J143)</f>
        <v>45614</v>
      </c>
      <c r="K139" s="263">
        <f>MIN(K140:K158)</f>
        <v>45596</v>
      </c>
      <c r="L139" s="263">
        <f>MIN(L140:L158)</f>
        <v>45625</v>
      </c>
      <c r="M139" s="264">
        <f>MAX(M140:M158)</f>
        <v>45667</v>
      </c>
      <c r="N139" s="308" t="s">
        <v>1862</v>
      </c>
      <c r="O139" s="300">
        <f>O140</f>
        <v>1</v>
      </c>
      <c r="P139" s="300">
        <f ca="1">P140</f>
        <v>1</v>
      </c>
      <c r="Q139" s="242">
        <f t="shared" ref="Q139:Q166" ca="1" si="33">O139-P139</f>
        <v>0</v>
      </c>
      <c r="R139" s="325" t="s">
        <v>1954</v>
      </c>
      <c r="S139" s="266"/>
      <c r="T139" s="256"/>
      <c r="U139" s="256"/>
      <c r="V139" s="256"/>
      <c r="W139" s="267"/>
      <c r="X139" s="267"/>
      <c r="Y139" s="267"/>
      <c r="Z139" s="267"/>
      <c r="AA139" s="267"/>
      <c r="AB139" s="267"/>
      <c r="AC139" s="267"/>
      <c r="AD139" s="268"/>
      <c r="AE139" s="267"/>
      <c r="AF139" s="267"/>
      <c r="AG139" s="267"/>
      <c r="AH139" s="267"/>
      <c r="AI139" s="267"/>
      <c r="AJ139" s="267"/>
      <c r="AK139" s="267"/>
      <c r="AL139" s="267"/>
      <c r="AM139" s="267"/>
      <c r="AN139" s="267"/>
      <c r="AO139" s="269"/>
      <c r="AP139" s="274"/>
      <c r="AQ139" s="267"/>
      <c r="AR139" s="267"/>
      <c r="AS139" s="267"/>
      <c r="AT139" s="267"/>
      <c r="AU139" s="267"/>
      <c r="AV139" s="267"/>
      <c r="AW139" s="267"/>
      <c r="AX139" s="267"/>
      <c r="AY139" s="267"/>
      <c r="AZ139" s="267"/>
      <c r="BA139" s="267"/>
      <c r="BB139" s="267"/>
      <c r="BC139" s="267"/>
      <c r="BD139" s="267"/>
      <c r="BE139" s="267"/>
      <c r="BF139" s="267"/>
      <c r="BG139" s="267"/>
      <c r="BH139" s="267"/>
      <c r="BI139" s="267"/>
      <c r="BJ139" s="267"/>
      <c r="BK139" s="267"/>
      <c r="BL139" s="267"/>
      <c r="BM139" s="267" t="s">
        <v>443</v>
      </c>
      <c r="BN139" s="267"/>
      <c r="BO139" s="268"/>
      <c r="BP139" s="268"/>
      <c r="BQ139" s="268"/>
      <c r="BR139" s="268"/>
      <c r="BS139" s="268"/>
      <c r="BT139" s="268"/>
      <c r="BU139" s="268"/>
      <c r="BV139" s="267"/>
      <c r="BW139" s="267"/>
      <c r="BX139" s="267"/>
      <c r="BY139" s="267"/>
      <c r="BZ139" s="267"/>
      <c r="CA139" s="267"/>
      <c r="CB139" s="267"/>
      <c r="CC139" s="267"/>
      <c r="CD139" s="267"/>
      <c r="CE139" s="267"/>
      <c r="CF139" s="267"/>
      <c r="CG139" s="267"/>
      <c r="CH139" s="267"/>
      <c r="CI139" s="267"/>
    </row>
    <row r="140" spans="1:87" ht="16.5" outlineLevel="1">
      <c r="A140" s="260" t="str">
        <f>E140&amp;G140</f>
        <v>modesg_out_empr_info_nfincod_nace_esg</v>
      </c>
      <c r="B140" s="141" t="s">
        <v>26</v>
      </c>
      <c r="C140" s="137" t="s">
        <v>310</v>
      </c>
      <c r="D140" s="222" t="s">
        <v>40</v>
      </c>
      <c r="E140" s="223" t="s">
        <v>325</v>
      </c>
      <c r="F140" s="223"/>
      <c r="G140" s="224" t="s">
        <v>281</v>
      </c>
      <c r="H140" s="222" t="str">
        <f>VLOOKUP(A140,'2. Status Detalhe Campos FY24'!$A$7:$G$731,7,0)</f>
        <v>1. Concluído</v>
      </c>
      <c r="I140" s="262" t="s">
        <v>38</v>
      </c>
      <c r="J140" s="271">
        <v>45614</v>
      </c>
      <c r="K140" s="271">
        <v>45615</v>
      </c>
      <c r="L140" s="276">
        <f t="array" ref="L140">MIN(IF(W140:CI140&gt;0,$W$16:$CI$16))</f>
        <v>45646</v>
      </c>
      <c r="M140" s="277">
        <f t="array" ref="M140">MAX(IF(W140:CI140&gt;0,$W$16:$CI$16))</f>
        <v>45646</v>
      </c>
      <c r="N140" s="277"/>
      <c r="O140" s="235">
        <f>VLOOKUP(H140,Auxiliar!$B$16:$E$24,4,0)</f>
        <v>1</v>
      </c>
      <c r="P140" s="235">
        <f ca="1">IF(TODAY()&lt;=L140,0,MIN((TODAY()-L140)/(M140-L140+1),100%))</f>
        <v>1</v>
      </c>
      <c r="Q140" s="234">
        <f t="shared" ca="1" si="33"/>
        <v>0</v>
      </c>
      <c r="R140" s="248" t="s">
        <v>38</v>
      </c>
      <c r="S140" s="266"/>
      <c r="T140" s="256">
        <v>16.100000000000001</v>
      </c>
      <c r="U140" s="256">
        <f>ROUND(T140/8,1)</f>
        <v>2</v>
      </c>
      <c r="V140" s="256">
        <f>SUM(W140:CI140)-U140</f>
        <v>-2</v>
      </c>
      <c r="W140" s="267"/>
      <c r="X140" s="267"/>
      <c r="Y140" s="267"/>
      <c r="Z140" s="267"/>
      <c r="AA140" s="267"/>
      <c r="AB140" s="267"/>
      <c r="AC140" s="267"/>
      <c r="AD140" s="268"/>
      <c r="AE140" s="267"/>
      <c r="AF140" s="267"/>
      <c r="AG140" s="267"/>
      <c r="AH140" s="267"/>
      <c r="AI140" s="267"/>
      <c r="AJ140" s="267"/>
      <c r="AK140" s="267"/>
      <c r="AL140" s="267"/>
      <c r="AM140" s="267"/>
      <c r="AN140" s="267"/>
      <c r="AO140" s="269"/>
      <c r="AP140" s="274"/>
      <c r="AQ140" s="267"/>
      <c r="AR140" s="267"/>
      <c r="AS140" s="267"/>
      <c r="AT140" s="267"/>
      <c r="AU140" s="267"/>
      <c r="AV140" s="267"/>
      <c r="AW140" s="267"/>
      <c r="AX140" s="267"/>
      <c r="AY140" s="267"/>
      <c r="AZ140" s="267"/>
      <c r="BA140" s="267"/>
      <c r="BB140" s="267"/>
      <c r="BC140" s="267"/>
      <c r="BD140" s="267"/>
      <c r="BE140" s="267"/>
      <c r="BF140" s="267"/>
      <c r="BG140" s="267"/>
      <c r="BH140" s="267"/>
      <c r="BI140" s="267"/>
      <c r="BJ140" s="267"/>
      <c r="BK140" s="267"/>
      <c r="BL140" s="267"/>
      <c r="BM140" s="267" t="s">
        <v>443</v>
      </c>
      <c r="BN140" s="267"/>
      <c r="BO140" s="268"/>
      <c r="BP140" s="268"/>
      <c r="BQ140" s="268"/>
      <c r="BR140" s="268"/>
      <c r="BS140" s="268"/>
      <c r="BT140" s="268"/>
      <c r="BU140" s="268"/>
      <c r="BV140" s="267"/>
      <c r="BW140" s="267"/>
      <c r="BX140" s="267"/>
      <c r="BY140" s="267"/>
      <c r="BZ140" s="267"/>
      <c r="CA140" s="267"/>
      <c r="CB140" s="267"/>
      <c r="CC140" s="267"/>
      <c r="CD140" s="267"/>
      <c r="CE140" s="267"/>
      <c r="CF140" s="267"/>
      <c r="CG140" s="267"/>
      <c r="CH140" s="267"/>
      <c r="CI140" s="267"/>
    </row>
    <row r="141" spans="1:87" ht="15" customHeight="1">
      <c r="A141" s="260"/>
      <c r="B141" s="141" t="s">
        <v>26</v>
      </c>
      <c r="C141" s="137" t="s">
        <v>310</v>
      </c>
      <c r="D141" s="133"/>
      <c r="E141" s="226" t="s">
        <v>325</v>
      </c>
      <c r="F141" s="226" t="s">
        <v>1907</v>
      </c>
      <c r="G141" s="227">
        <f>COUNTA(G142:G143)</f>
        <v>2</v>
      </c>
      <c r="H141" s="281" t="s">
        <v>1915</v>
      </c>
      <c r="I141" s="262" t="s">
        <v>38</v>
      </c>
      <c r="J141" s="263">
        <f>MIN(J142:J149)</f>
        <v>45614</v>
      </c>
      <c r="K141" s="263">
        <f>MIN(K142:K160)</f>
        <v>45596</v>
      </c>
      <c r="L141" s="263">
        <f>MIN(L142:L160)</f>
        <v>45625</v>
      </c>
      <c r="M141" s="264">
        <f>MAX(M142:M160)</f>
        <v>45667</v>
      </c>
      <c r="N141" s="308">
        <f t="array" ref="N141">MAX(IF(W141:CI141&gt;0,$W$16:$CI$16))</f>
        <v>45667</v>
      </c>
      <c r="O141" s="307">
        <f>SUMPRODUCT(O142:O143,U142:U143)/SUM(U142:U143)</f>
        <v>1</v>
      </c>
      <c r="P141" s="307">
        <f ca="1">SUMPRODUCT(P142:P143,U142:U143)/SUM(U142:U143)</f>
        <v>1</v>
      </c>
      <c r="Q141" s="242">
        <f ca="1">O141-P141</f>
        <v>0</v>
      </c>
      <c r="R141" s="325" t="s">
        <v>1949</v>
      </c>
      <c r="S141" s="266"/>
      <c r="T141" s="256"/>
      <c r="U141" s="256"/>
      <c r="V141" s="256"/>
      <c r="W141" s="267"/>
      <c r="X141" s="267"/>
      <c r="Y141" s="267"/>
      <c r="Z141" s="267"/>
      <c r="AA141" s="267"/>
      <c r="AB141" s="267"/>
      <c r="AC141" s="267"/>
      <c r="AD141" s="268"/>
      <c r="AE141" s="267"/>
      <c r="AF141" s="267"/>
      <c r="AG141" s="267"/>
      <c r="AH141" s="267"/>
      <c r="AI141" s="267"/>
      <c r="AJ141" s="267"/>
      <c r="AK141" s="267"/>
      <c r="AL141" s="267"/>
      <c r="AM141" s="267"/>
      <c r="AN141" s="267"/>
      <c r="AO141" s="269"/>
      <c r="AP141" s="274"/>
      <c r="AQ141" s="267"/>
      <c r="AR141" s="267"/>
      <c r="AS141" s="267"/>
      <c r="AT141" s="267"/>
      <c r="AU141" s="267"/>
      <c r="AV141" s="267"/>
      <c r="AW141" s="267"/>
      <c r="AX141" s="267"/>
      <c r="AY141" s="267"/>
      <c r="AZ141" s="267"/>
      <c r="BA141" s="267"/>
      <c r="BB141" s="267"/>
      <c r="BC141" s="267"/>
      <c r="BD141" s="267"/>
      <c r="BE141" s="267"/>
      <c r="BF141" s="267"/>
      <c r="BG141" s="267"/>
      <c r="BH141" s="267"/>
      <c r="BI141" s="267"/>
      <c r="BJ141" s="267"/>
      <c r="BK141" s="267"/>
      <c r="BL141" s="267"/>
      <c r="BM141" s="267"/>
      <c r="BN141" s="267"/>
      <c r="BO141" s="268"/>
      <c r="BP141" s="268"/>
      <c r="BQ141" s="268"/>
      <c r="BR141" s="268"/>
      <c r="BS141" s="268"/>
      <c r="BT141" s="268"/>
      <c r="BU141" s="268"/>
      <c r="BV141" s="267"/>
      <c r="BW141" s="267"/>
      <c r="BX141" s="267"/>
      <c r="BY141" s="267"/>
      <c r="BZ141" s="267"/>
      <c r="CA141" s="267"/>
      <c r="CB141" s="267" t="s">
        <v>443</v>
      </c>
      <c r="CC141" s="267"/>
      <c r="CD141" s="267"/>
      <c r="CE141" s="267"/>
      <c r="CF141" s="267"/>
      <c r="CG141" s="267"/>
      <c r="CH141" s="267"/>
      <c r="CI141" s="267"/>
    </row>
    <row r="142" spans="1:87" ht="16.5" outlineLevel="1">
      <c r="A142" s="260" t="str">
        <f>E142&amp;G142</f>
        <v>modesg_out_empr_info_nfinorigem_alinhamentos</v>
      </c>
      <c r="B142" s="141" t="s">
        <v>26</v>
      </c>
      <c r="C142" s="137" t="s">
        <v>310</v>
      </c>
      <c r="D142" s="222" t="s">
        <v>40</v>
      </c>
      <c r="E142" s="223" t="s">
        <v>325</v>
      </c>
      <c r="F142" s="223"/>
      <c r="G142" s="222" t="s">
        <v>328</v>
      </c>
      <c r="H142" s="222" t="str">
        <f>VLOOKUP(A142,'2. Status Detalhe Campos FY24'!$A$7:$G$731,7,0)</f>
        <v>1. Concluído</v>
      </c>
      <c r="I142" s="262" t="s">
        <v>38</v>
      </c>
      <c r="J142" s="271">
        <v>45614</v>
      </c>
      <c r="K142" s="271">
        <v>45615</v>
      </c>
      <c r="L142" s="276">
        <f t="array" ref="L142">MIN(IF(W142:CI142&gt;0,$W$16:$CI$16))</f>
        <v>45667</v>
      </c>
      <c r="M142" s="277">
        <f t="array" ref="M142">MAX(IF(W142:CI142&gt;0,$W$16:$CI$16))</f>
        <v>45667</v>
      </c>
      <c r="N142" s="277"/>
      <c r="O142" s="235">
        <f>VLOOKUP(H142,Auxiliar!$B$16:$E$24,4,0)</f>
        <v>1</v>
      </c>
      <c r="P142" s="235">
        <f ca="1">IF(TODAY()&lt;=L142,0,MIN((TODAY()-L142)/(M142-L142+1),100%))</f>
        <v>1</v>
      </c>
      <c r="Q142" s="234">
        <f t="shared" ca="1" si="33"/>
        <v>0</v>
      </c>
      <c r="R142" s="248" t="s">
        <v>38</v>
      </c>
      <c r="S142" s="266"/>
      <c r="T142" s="256">
        <v>4.0999999999999996</v>
      </c>
      <c r="U142" s="256">
        <f>ROUND(T142/8,1)</f>
        <v>0.5</v>
      </c>
      <c r="V142" s="256">
        <f>SUM(W142:CI142)-U142</f>
        <v>-0.5</v>
      </c>
      <c r="W142" s="267"/>
      <c r="X142" s="267"/>
      <c r="Y142" s="267"/>
      <c r="Z142" s="267"/>
      <c r="AA142" s="267"/>
      <c r="AB142" s="267"/>
      <c r="AC142" s="267"/>
      <c r="AD142" s="268"/>
      <c r="AE142" s="267"/>
      <c r="AF142" s="267"/>
      <c r="AG142" s="267"/>
      <c r="AH142" s="267"/>
      <c r="AI142" s="267"/>
      <c r="AJ142" s="267"/>
      <c r="AK142" s="267"/>
      <c r="AL142" s="267"/>
      <c r="AM142" s="267"/>
      <c r="AN142" s="267"/>
      <c r="AO142" s="269"/>
      <c r="AP142" s="274"/>
      <c r="AQ142" s="267"/>
      <c r="AR142" s="267"/>
      <c r="AS142" s="267"/>
      <c r="AT142" s="267"/>
      <c r="AU142" s="267"/>
      <c r="AV142" s="267"/>
      <c r="AW142" s="267"/>
      <c r="AX142" s="267"/>
      <c r="AY142" s="267"/>
      <c r="AZ142" s="267"/>
      <c r="BA142" s="267"/>
      <c r="BB142" s="267"/>
      <c r="BC142" s="267"/>
      <c r="BD142" s="267"/>
      <c r="BE142" s="267"/>
      <c r="BF142" s="267"/>
      <c r="BG142" s="267"/>
      <c r="BH142" s="267"/>
      <c r="BI142" s="267"/>
      <c r="BJ142" s="267"/>
      <c r="BK142" s="267"/>
      <c r="BL142" s="267"/>
      <c r="BM142" s="267"/>
      <c r="BN142" s="267"/>
      <c r="BO142" s="268"/>
      <c r="BP142" s="268"/>
      <c r="BQ142" s="268"/>
      <c r="BR142" s="268"/>
      <c r="BS142" s="268"/>
      <c r="BT142" s="268"/>
      <c r="BU142" s="268"/>
      <c r="BV142" s="267"/>
      <c r="BW142" s="267"/>
      <c r="BX142" s="267"/>
      <c r="BY142" s="267"/>
      <c r="BZ142" s="267"/>
      <c r="CA142" s="267"/>
      <c r="CB142" s="267" t="s">
        <v>443</v>
      </c>
      <c r="CC142" s="267"/>
      <c r="CD142" s="267"/>
      <c r="CE142" s="267"/>
      <c r="CF142" s="267"/>
      <c r="CG142" s="267"/>
      <c r="CH142" s="267"/>
      <c r="CI142" s="267"/>
    </row>
    <row r="143" spans="1:87" ht="16.5" outlineLevel="1">
      <c r="A143" s="260" t="str">
        <f>E143&amp;G143</f>
        <v>modesg_out_empr_info_nfinorigem_flg_nfrd</v>
      </c>
      <c r="B143" s="141" t="s">
        <v>26</v>
      </c>
      <c r="C143" s="137" t="s">
        <v>310</v>
      </c>
      <c r="D143" s="222" t="s">
        <v>40</v>
      </c>
      <c r="E143" s="223" t="s">
        <v>325</v>
      </c>
      <c r="F143" s="223"/>
      <c r="G143" s="222" t="s">
        <v>330</v>
      </c>
      <c r="H143" s="222" t="str">
        <f>VLOOKUP(A143,'2. Status Detalhe Campos FY24'!$A$7:$G$731,7,0)</f>
        <v>1. Concluído</v>
      </c>
      <c r="I143" s="262" t="s">
        <v>38</v>
      </c>
      <c r="J143" s="271">
        <v>45614</v>
      </c>
      <c r="K143" s="271">
        <v>45615</v>
      </c>
      <c r="L143" s="276">
        <f t="array" ref="L143">MIN(IF(W143:CI143&gt;0,$W$16:$CI$16))</f>
        <v>45667</v>
      </c>
      <c r="M143" s="277">
        <f t="array" ref="M143">MAX(IF(W143:CI143&gt;0,$W$16:$CI$16))</f>
        <v>45667</v>
      </c>
      <c r="N143" s="277"/>
      <c r="O143" s="235">
        <f>VLOOKUP(H143,Auxiliar!$B$16:$E$24,4,0)</f>
        <v>1</v>
      </c>
      <c r="P143" s="235">
        <f ca="1">IF(TODAY()&lt;=L143,0,MIN((TODAY()-L143)/(M143-L143+1),100%))</f>
        <v>1</v>
      </c>
      <c r="Q143" s="234">
        <f t="shared" ca="1" si="33"/>
        <v>0</v>
      </c>
      <c r="R143" s="248" t="s">
        <v>38</v>
      </c>
      <c r="S143" s="266"/>
      <c r="T143" s="256">
        <v>4.0999999999999996</v>
      </c>
      <c r="U143" s="256">
        <f>ROUND(T143/8,1)</f>
        <v>0.5</v>
      </c>
      <c r="V143" s="256">
        <f>SUM(W143:CI143)-U143</f>
        <v>-0.5</v>
      </c>
      <c r="W143" s="267"/>
      <c r="X143" s="267"/>
      <c r="Y143" s="267"/>
      <c r="Z143" s="267"/>
      <c r="AA143" s="267"/>
      <c r="AB143" s="267"/>
      <c r="AC143" s="267"/>
      <c r="AD143" s="268"/>
      <c r="AE143" s="267"/>
      <c r="AF143" s="267"/>
      <c r="AG143" s="267"/>
      <c r="AH143" s="267"/>
      <c r="AI143" s="267"/>
      <c r="AJ143" s="267"/>
      <c r="AK143" s="267"/>
      <c r="AL143" s="267"/>
      <c r="AM143" s="267"/>
      <c r="AN143" s="267"/>
      <c r="AO143" s="269"/>
      <c r="AP143" s="274"/>
      <c r="AQ143" s="267"/>
      <c r="AR143" s="267"/>
      <c r="AS143" s="267"/>
      <c r="AT143" s="267"/>
      <c r="AU143" s="267"/>
      <c r="AV143" s="267"/>
      <c r="AW143" s="267"/>
      <c r="AX143" s="267"/>
      <c r="AY143" s="267"/>
      <c r="AZ143" s="267"/>
      <c r="BA143" s="267"/>
      <c r="BB143" s="267"/>
      <c r="BC143" s="267"/>
      <c r="BD143" s="267"/>
      <c r="BE143" s="267"/>
      <c r="BF143" s="267"/>
      <c r="BG143" s="267"/>
      <c r="BH143" s="267"/>
      <c r="BI143" s="267"/>
      <c r="BJ143" s="267"/>
      <c r="BK143" s="267"/>
      <c r="BL143" s="267"/>
      <c r="BM143" s="267"/>
      <c r="BN143" s="267"/>
      <c r="BO143" s="268"/>
      <c r="BP143" s="268"/>
      <c r="BQ143" s="268"/>
      <c r="BR143" s="268"/>
      <c r="BS143" s="268"/>
      <c r="BT143" s="268"/>
      <c r="BU143" s="268"/>
      <c r="BV143" s="267"/>
      <c r="BW143" s="267"/>
      <c r="BX143" s="267"/>
      <c r="BY143" s="267"/>
      <c r="BZ143" s="267"/>
      <c r="CA143" s="267"/>
      <c r="CB143" s="267" t="s">
        <v>443</v>
      </c>
      <c r="CC143" s="267"/>
      <c r="CD143" s="267"/>
      <c r="CE143" s="267"/>
      <c r="CF143" s="267"/>
      <c r="CG143" s="267"/>
      <c r="CH143" s="267"/>
      <c r="CI143" s="267"/>
    </row>
    <row r="144" spans="1:87" ht="15" customHeight="1" collapsed="1">
      <c r="A144" s="260"/>
      <c r="B144" s="141" t="s">
        <v>26</v>
      </c>
      <c r="C144" s="137" t="s">
        <v>310</v>
      </c>
      <c r="D144" s="133"/>
      <c r="E144" s="226" t="s">
        <v>325</v>
      </c>
      <c r="F144" s="226" t="s">
        <v>1937</v>
      </c>
      <c r="G144" s="227">
        <f>COUNTA(G145:G147)</f>
        <v>3</v>
      </c>
      <c r="H144" s="281" t="s">
        <v>1915</v>
      </c>
      <c r="I144" s="262" t="s">
        <v>38</v>
      </c>
      <c r="J144" s="263">
        <f>MIN(J145:J155)</f>
        <v>45614</v>
      </c>
      <c r="K144" s="263">
        <f>MIN(K145:K166)</f>
        <v>45596</v>
      </c>
      <c r="L144" s="263">
        <f>MIN(L145:L166)</f>
        <v>45625</v>
      </c>
      <c r="M144" s="264">
        <f>MAX(M145:M166)</f>
        <v>45667</v>
      </c>
      <c r="N144" s="308">
        <f t="array" ref="N144">MAX(IF(W144:CI144&gt;0,$W$16:$CI$16))</f>
        <v>45674</v>
      </c>
      <c r="O144" s="307">
        <f>SUMPRODUCT(O145:O149,U145:U149)/SUM(U145:U149)</f>
        <v>1</v>
      </c>
      <c r="P144" s="307">
        <f ca="1">SUMPRODUCT(P145:P149,U145:U149)/SUM(U145:U149)</f>
        <v>1</v>
      </c>
      <c r="Q144" s="242">
        <f ca="1">O144-P144</f>
        <v>0</v>
      </c>
      <c r="R144" s="325" t="s">
        <v>1962</v>
      </c>
      <c r="S144" s="266"/>
      <c r="T144" s="256"/>
      <c r="U144" s="256"/>
      <c r="V144" s="256"/>
      <c r="W144" s="267"/>
      <c r="X144" s="267"/>
      <c r="Y144" s="267"/>
      <c r="Z144" s="267"/>
      <c r="AA144" s="267"/>
      <c r="AB144" s="267"/>
      <c r="AC144" s="267"/>
      <c r="AD144" s="268"/>
      <c r="AE144" s="267"/>
      <c r="AF144" s="267"/>
      <c r="AG144" s="267"/>
      <c r="AH144" s="267"/>
      <c r="AI144" s="267"/>
      <c r="AJ144" s="267"/>
      <c r="AK144" s="267"/>
      <c r="AL144" s="267"/>
      <c r="AM144" s="267"/>
      <c r="AN144" s="267"/>
      <c r="AO144" s="269"/>
      <c r="AP144" s="274"/>
      <c r="AQ144" s="267"/>
      <c r="AR144" s="267"/>
      <c r="AS144" s="267"/>
      <c r="AT144" s="267"/>
      <c r="AU144" s="267"/>
      <c r="AV144" s="267"/>
      <c r="AW144" s="267"/>
      <c r="AX144" s="267"/>
      <c r="AY144" s="267"/>
      <c r="AZ144" s="267"/>
      <c r="BA144" s="267"/>
      <c r="BB144" s="267"/>
      <c r="BC144" s="267"/>
      <c r="BD144" s="267"/>
      <c r="BE144" s="267"/>
      <c r="BF144" s="267"/>
      <c r="BG144" s="267"/>
      <c r="BH144" s="267"/>
      <c r="BI144" s="267"/>
      <c r="BJ144" s="267"/>
      <c r="BK144" s="267"/>
      <c r="BL144" s="267"/>
      <c r="BM144" s="267"/>
      <c r="BN144" s="267"/>
      <c r="BO144" s="268"/>
      <c r="BP144" s="268"/>
      <c r="BQ144" s="268"/>
      <c r="BR144" s="268"/>
      <c r="BS144" s="268"/>
      <c r="BT144" s="268"/>
      <c r="BU144" s="268"/>
      <c r="BV144" s="267"/>
      <c r="BW144" s="267"/>
      <c r="BX144" s="267"/>
      <c r="BY144" s="267"/>
      <c r="BZ144" s="267"/>
      <c r="CA144" s="267"/>
      <c r="CC144" s="267"/>
      <c r="CD144" s="267"/>
      <c r="CE144" s="267"/>
      <c r="CF144" s="267"/>
      <c r="CG144" s="267" t="s">
        <v>443</v>
      </c>
      <c r="CH144" s="267"/>
      <c r="CI144" s="267"/>
    </row>
    <row r="145" spans="1:87" ht="16.5" outlineLevel="1">
      <c r="A145" s="260" t="str">
        <f>E145&amp;G145</f>
        <v>modesg_out_empr_info_nfinflg_emprs_excl_paris</v>
      </c>
      <c r="B145" s="141" t="s">
        <v>26</v>
      </c>
      <c r="C145" s="137" t="s">
        <v>310</v>
      </c>
      <c r="D145" s="222" t="s">
        <v>40</v>
      </c>
      <c r="E145" s="223" t="s">
        <v>325</v>
      </c>
      <c r="F145" s="223"/>
      <c r="G145" s="222" t="s">
        <v>327</v>
      </c>
      <c r="H145" s="222" t="str">
        <f>VLOOKUP(A145,'2. Status Detalhe Campos FY24'!$A$7:$G$731,7,0)</f>
        <v>1. Concluído</v>
      </c>
      <c r="I145" s="262" t="s">
        <v>38</v>
      </c>
      <c r="J145" s="271">
        <v>45614</v>
      </c>
      <c r="K145" s="271">
        <v>45615</v>
      </c>
      <c r="L145" s="276">
        <f t="array" ref="L145">MIN(IF(W145:CI145&gt;0,$W$16:$CI$16))</f>
        <v>45646</v>
      </c>
      <c r="M145" s="277">
        <f t="array" ref="M145">MAX(IF(W145:CI145&gt;0,$W$16:$CI$16))</f>
        <v>45646</v>
      </c>
      <c r="N145" s="277"/>
      <c r="O145" s="307">
        <f>VLOOKUP(H145,Auxiliar!$B$16:$E$24,4,0)</f>
        <v>1</v>
      </c>
      <c r="P145" s="307">
        <f ca="1">IF(TODAY()&lt;=L145,0,MIN((TODAY()-L145)/(M145-L145+1),100%))</f>
        <v>1</v>
      </c>
      <c r="Q145" s="234">
        <f ca="1">O145-P145</f>
        <v>0</v>
      </c>
      <c r="R145" s="248" t="s">
        <v>38</v>
      </c>
      <c r="S145" s="266"/>
      <c r="T145" s="256">
        <v>8.1</v>
      </c>
      <c r="U145" s="256">
        <f>ROUND(T145/8,1)</f>
        <v>1</v>
      </c>
      <c r="V145" s="256">
        <f>SUM(W145:CI145)-U145</f>
        <v>-1</v>
      </c>
      <c r="W145" s="267"/>
      <c r="X145" s="267"/>
      <c r="Y145" s="267"/>
      <c r="Z145" s="267"/>
      <c r="AA145" s="267"/>
      <c r="AB145" s="267"/>
      <c r="AC145" s="267"/>
      <c r="AD145" s="268"/>
      <c r="AE145" s="267"/>
      <c r="AF145" s="267"/>
      <c r="AG145" s="267"/>
      <c r="AH145" s="267"/>
      <c r="AI145" s="267"/>
      <c r="AJ145" s="267"/>
      <c r="AK145" s="267"/>
      <c r="AL145" s="267"/>
      <c r="AM145" s="267"/>
      <c r="AN145" s="267"/>
      <c r="AO145" s="269"/>
      <c r="AP145" s="274"/>
      <c r="AQ145" s="267"/>
      <c r="AR145" s="267"/>
      <c r="AS145" s="267"/>
      <c r="AT145" s="267"/>
      <c r="AU145" s="267"/>
      <c r="AV145" s="267"/>
      <c r="AW145" s="267"/>
      <c r="AX145" s="267"/>
      <c r="AY145" s="267"/>
      <c r="AZ145" s="267"/>
      <c r="BA145" s="267"/>
      <c r="BB145" s="267"/>
      <c r="BC145" s="267"/>
      <c r="BD145" s="267"/>
      <c r="BE145" s="267"/>
      <c r="BF145" s="267"/>
      <c r="BG145" s="267"/>
      <c r="BH145" s="267"/>
      <c r="BI145" s="267"/>
      <c r="BJ145" s="267"/>
      <c r="BK145" s="267"/>
      <c r="BL145" s="267"/>
      <c r="BM145" s="267" t="s">
        <v>443</v>
      </c>
      <c r="BN145" s="267"/>
      <c r="BO145" s="268"/>
      <c r="BP145" s="268"/>
      <c r="BQ145" s="268"/>
      <c r="BR145" s="268"/>
      <c r="BS145" s="268"/>
      <c r="BT145" s="268"/>
      <c r="BU145" s="268"/>
      <c r="BV145" s="267"/>
      <c r="BW145" s="267"/>
      <c r="BX145" s="267"/>
      <c r="BY145" s="267"/>
      <c r="BZ145" s="267"/>
      <c r="CA145" s="267"/>
      <c r="CB145" s="267"/>
      <c r="CC145" s="267"/>
      <c r="CD145" s="267"/>
      <c r="CE145" s="267"/>
      <c r="CF145" s="267"/>
      <c r="CG145" s="267"/>
      <c r="CH145" s="267"/>
      <c r="CI145" s="267"/>
    </row>
    <row r="146" spans="1:87" ht="16.5" outlineLevel="1">
      <c r="A146" s="260" t="str">
        <f>E146&amp;G146</f>
        <v>modesg_out_empr_info_nfinflg_nfrd</v>
      </c>
      <c r="B146" s="141" t="s">
        <v>26</v>
      </c>
      <c r="C146" s="137" t="s">
        <v>310</v>
      </c>
      <c r="D146" s="222" t="s">
        <v>40</v>
      </c>
      <c r="E146" s="223" t="s">
        <v>325</v>
      </c>
      <c r="F146" s="223"/>
      <c r="G146" s="222" t="s">
        <v>244</v>
      </c>
      <c r="H146" s="222" t="str">
        <f>VLOOKUP(A146,'2. Status Detalhe Campos FY24'!$A$7:$G$731,7,0)</f>
        <v>1. Concluído</v>
      </c>
      <c r="I146" s="262" t="s">
        <v>38</v>
      </c>
      <c r="J146" s="271">
        <v>45614</v>
      </c>
      <c r="K146" s="271">
        <v>45615</v>
      </c>
      <c r="L146" s="276">
        <f t="array" ref="L146">MIN(IF(W146:CI146&gt;0,$W$16:$CI$16))</f>
        <v>45667</v>
      </c>
      <c r="M146" s="277">
        <f t="array" ref="M146">MAX(IF(W146:CI146&gt;0,$W$16:$CI$16))</f>
        <v>45667</v>
      </c>
      <c r="N146" s="277"/>
      <c r="O146" s="307">
        <f>VLOOKUP(H146,Auxiliar!$B$16:$E$24,4,0)</f>
        <v>1</v>
      </c>
      <c r="P146" s="307">
        <f ca="1">IF(TODAY()&lt;=L146,0,MIN((TODAY()-L146)/(M146-L146+1),100%))</f>
        <v>1</v>
      </c>
      <c r="Q146" s="234">
        <f ca="1">O146-P146</f>
        <v>0</v>
      </c>
      <c r="R146" s="248" t="s">
        <v>38</v>
      </c>
      <c r="S146" s="266"/>
      <c r="T146" s="256">
        <v>8.1</v>
      </c>
      <c r="U146" s="256">
        <f>ROUND(T146/8,1)</f>
        <v>1</v>
      </c>
      <c r="V146" s="256">
        <f>SUM(W146:CI146)-U146</f>
        <v>-1</v>
      </c>
      <c r="W146" s="267"/>
      <c r="X146" s="267"/>
      <c r="Y146" s="267"/>
      <c r="Z146" s="267"/>
      <c r="AA146" s="267"/>
      <c r="AB146" s="267"/>
      <c r="AC146" s="267"/>
      <c r="AD146" s="268"/>
      <c r="AE146" s="267"/>
      <c r="AF146" s="267"/>
      <c r="AG146" s="267"/>
      <c r="AH146" s="267"/>
      <c r="AI146" s="267"/>
      <c r="AJ146" s="267"/>
      <c r="AK146" s="267"/>
      <c r="AL146" s="267"/>
      <c r="AM146" s="267"/>
      <c r="AN146" s="267"/>
      <c r="AO146" s="269"/>
      <c r="AP146" s="274"/>
      <c r="AQ146" s="267"/>
      <c r="AR146" s="267"/>
      <c r="AS146" s="267"/>
      <c r="AT146" s="267"/>
      <c r="AU146" s="267"/>
      <c r="AV146" s="267"/>
      <c r="AW146" s="267"/>
      <c r="AX146" s="267"/>
      <c r="AY146" s="267"/>
      <c r="AZ146" s="267"/>
      <c r="BA146" s="267"/>
      <c r="BB146" s="267"/>
      <c r="BC146" s="267"/>
      <c r="BD146" s="267"/>
      <c r="BE146" s="267"/>
      <c r="BF146" s="267"/>
      <c r="BG146" s="267"/>
      <c r="BH146" s="267"/>
      <c r="BI146" s="267"/>
      <c r="BJ146" s="267"/>
      <c r="BK146" s="267"/>
      <c r="BL146" s="267"/>
      <c r="BM146" s="267"/>
      <c r="BN146" s="267"/>
      <c r="BO146" s="268"/>
      <c r="BP146" s="268"/>
      <c r="BQ146" s="268"/>
      <c r="BR146" s="268"/>
      <c r="BS146" s="268"/>
      <c r="BT146" s="268"/>
      <c r="BU146" s="268"/>
      <c r="BV146" s="267"/>
      <c r="BW146" s="267"/>
      <c r="BX146" s="267"/>
      <c r="BY146" s="267"/>
      <c r="BZ146" s="267"/>
      <c r="CA146" s="267"/>
      <c r="CB146" s="267" t="s">
        <v>443</v>
      </c>
      <c r="CC146" s="267"/>
      <c r="CD146" s="267"/>
      <c r="CE146" s="267"/>
      <c r="CF146" s="267"/>
      <c r="CG146" s="267"/>
      <c r="CH146" s="267"/>
      <c r="CI146" s="267"/>
    </row>
    <row r="147" spans="1:87" ht="16.5" outlineLevel="1">
      <c r="A147" s="260" t="str">
        <f>E147&amp;G147</f>
        <v>modesg_out_empr_info_nfinorigem_flg_emprs_excl_paris</v>
      </c>
      <c r="B147" s="141" t="s">
        <v>26</v>
      </c>
      <c r="C147" s="137" t="s">
        <v>310</v>
      </c>
      <c r="D147" s="222" t="s">
        <v>40</v>
      </c>
      <c r="E147" s="223" t="s">
        <v>325</v>
      </c>
      <c r="F147" s="223"/>
      <c r="G147" s="222" t="s">
        <v>329</v>
      </c>
      <c r="H147" s="222" t="str">
        <f>VLOOKUP(A147,'2. Status Detalhe Campos FY24'!$A$7:$G$731,7,0)</f>
        <v>1. Concluído</v>
      </c>
      <c r="I147" s="262" t="s">
        <v>38</v>
      </c>
      <c r="J147" s="271">
        <v>45614</v>
      </c>
      <c r="K147" s="271">
        <v>45615</v>
      </c>
      <c r="L147" s="276">
        <f t="array" ref="L147">MIN(IF(W147:CI147&gt;0,$W$16:$CI$16))</f>
        <v>45667</v>
      </c>
      <c r="M147" s="277">
        <f t="array" ref="M147">MAX(IF(W147:CI147&gt;0,$W$16:$CI$16))</f>
        <v>45667</v>
      </c>
      <c r="N147" s="277"/>
      <c r="O147" s="307">
        <f>VLOOKUP(H147,Auxiliar!$B$16:$E$24,4,0)</f>
        <v>1</v>
      </c>
      <c r="P147" s="307">
        <f ca="1">IF(TODAY()&lt;=L147,0,MIN((TODAY()-L147)/(M147-L147+1),100%))</f>
        <v>1</v>
      </c>
      <c r="Q147" s="234">
        <f ca="1">O147-P147</f>
        <v>0</v>
      </c>
      <c r="R147" s="248" t="s">
        <v>38</v>
      </c>
      <c r="S147" s="266"/>
      <c r="T147" s="256">
        <v>4.0999999999999996</v>
      </c>
      <c r="U147" s="256">
        <f>ROUND(T147/8,1)</f>
        <v>0.5</v>
      </c>
      <c r="V147" s="256">
        <f>SUM(W147:CI147)-U147</f>
        <v>-0.5</v>
      </c>
      <c r="W147" s="267"/>
      <c r="X147" s="267"/>
      <c r="Y147" s="267"/>
      <c r="Z147" s="267"/>
      <c r="AA147" s="267"/>
      <c r="AB147" s="267"/>
      <c r="AC147" s="267"/>
      <c r="AD147" s="268"/>
      <c r="AE147" s="267"/>
      <c r="AF147" s="267"/>
      <c r="AG147" s="267"/>
      <c r="AH147" s="267"/>
      <c r="AI147" s="267"/>
      <c r="AJ147" s="267"/>
      <c r="AK147" s="267"/>
      <c r="AL147" s="267"/>
      <c r="AM147" s="267"/>
      <c r="AN147" s="267"/>
      <c r="AO147" s="269"/>
      <c r="AP147" s="274"/>
      <c r="AQ147" s="267"/>
      <c r="AR147" s="267"/>
      <c r="AS147" s="267"/>
      <c r="AT147" s="267"/>
      <c r="AU147" s="267"/>
      <c r="AV147" s="267"/>
      <c r="AW147" s="267"/>
      <c r="AX147" s="267"/>
      <c r="AY147" s="267"/>
      <c r="AZ147" s="267"/>
      <c r="BA147" s="267"/>
      <c r="BB147" s="267"/>
      <c r="BC147" s="267"/>
      <c r="BD147" s="267"/>
      <c r="BE147" s="267"/>
      <c r="BF147" s="267"/>
      <c r="BG147" s="267"/>
      <c r="BH147" s="267"/>
      <c r="BI147" s="267"/>
      <c r="BJ147" s="267"/>
      <c r="BK147" s="267"/>
      <c r="BL147" s="267"/>
      <c r="BM147" s="267"/>
      <c r="BN147" s="267"/>
      <c r="BO147" s="268"/>
      <c r="BP147" s="268"/>
      <c r="BQ147" s="268"/>
      <c r="BR147" s="268"/>
      <c r="BS147" s="268"/>
      <c r="BT147" s="268"/>
      <c r="BU147" s="268"/>
      <c r="BV147" s="267"/>
      <c r="BW147" s="267"/>
      <c r="BX147" s="267"/>
      <c r="BY147" s="267"/>
      <c r="BZ147" s="267"/>
      <c r="CA147" s="267"/>
      <c r="CB147" s="267" t="s">
        <v>443</v>
      </c>
      <c r="CC147" s="267"/>
      <c r="CD147" s="267"/>
      <c r="CE147" s="267"/>
      <c r="CF147" s="267"/>
      <c r="CG147" s="267"/>
      <c r="CH147" s="267"/>
      <c r="CI147" s="267"/>
    </row>
    <row r="148" spans="1:87" ht="15" customHeight="1" collapsed="1">
      <c r="A148" s="260"/>
      <c r="B148" s="141" t="s">
        <v>26</v>
      </c>
      <c r="C148" s="137" t="s">
        <v>26</v>
      </c>
      <c r="D148" s="133"/>
      <c r="E148" s="228" t="s">
        <v>335</v>
      </c>
      <c r="F148" s="226" t="s">
        <v>1905</v>
      </c>
      <c r="G148" s="227">
        <f>COUNTA(G149:G151)</f>
        <v>3</v>
      </c>
      <c r="H148" s="281" t="s">
        <v>1915</v>
      </c>
      <c r="I148" s="264" t="s">
        <v>38</v>
      </c>
      <c r="J148" s="263">
        <f>MIN(J149:J151)</f>
        <v>45621</v>
      </c>
      <c r="K148" s="264">
        <f>MIN(K149:K151)</f>
        <v>45596</v>
      </c>
      <c r="L148" s="263">
        <f>MIN(L149:L151)</f>
        <v>45625</v>
      </c>
      <c r="M148" s="264">
        <f>MAX(M149:M151)</f>
        <v>45638</v>
      </c>
      <c r="N148" s="308">
        <f t="array" ref="N148">MAX(IF(W148:CI148&gt;0,$W$16:$CI$16))</f>
        <v>45674</v>
      </c>
      <c r="O148" s="307">
        <f>SUMPRODUCT(O149:O152,U149:U152)/SUM(U149:U152)</f>
        <v>1</v>
      </c>
      <c r="P148" s="307">
        <f ca="1">SUMPRODUCT(P149:P151,U149:U151)/SUM(U149:U151)</f>
        <v>1</v>
      </c>
      <c r="Q148" s="234">
        <f t="shared" ca="1" si="33"/>
        <v>0</v>
      </c>
      <c r="R148" s="325" t="s">
        <v>1955</v>
      </c>
      <c r="S148" s="266"/>
      <c r="T148" s="256"/>
      <c r="U148" s="256"/>
      <c r="V148" s="256"/>
      <c r="W148" s="267"/>
      <c r="X148" s="275"/>
      <c r="Y148" s="267"/>
      <c r="Z148" s="267"/>
      <c r="AA148" s="267"/>
      <c r="AB148" s="267"/>
      <c r="AC148" s="274"/>
      <c r="AD148" s="268"/>
      <c r="AE148" s="267"/>
      <c r="AF148" s="267"/>
      <c r="AG148" s="267"/>
      <c r="AH148" s="267"/>
      <c r="AI148" s="267"/>
      <c r="AJ148" s="267"/>
      <c r="AK148" s="267"/>
      <c r="AL148" s="267"/>
      <c r="AM148" s="267"/>
      <c r="AN148" s="267"/>
      <c r="AO148" s="267"/>
      <c r="AP148" s="267"/>
      <c r="AQ148" s="267"/>
      <c r="AR148" s="267"/>
      <c r="AS148" s="267"/>
      <c r="AT148" s="267"/>
      <c r="AU148" s="267"/>
      <c r="AV148" s="267"/>
      <c r="AW148" s="267"/>
      <c r="AX148" s="267"/>
      <c r="AY148" s="267"/>
      <c r="AZ148" s="267"/>
      <c r="BA148" s="267"/>
      <c r="BB148" s="267"/>
      <c r="BC148" s="267"/>
      <c r="BD148" s="267"/>
      <c r="BE148" s="267"/>
      <c r="BF148" s="267"/>
      <c r="BG148" s="267"/>
      <c r="BH148" s="267" t="s">
        <v>443</v>
      </c>
      <c r="BI148" s="267"/>
      <c r="BJ148" s="267"/>
      <c r="BK148" s="267"/>
      <c r="BL148" s="267"/>
      <c r="BM148" s="267"/>
      <c r="BN148" s="267"/>
      <c r="BO148" s="268"/>
      <c r="BP148" s="268"/>
      <c r="BQ148" s="268"/>
      <c r="BR148" s="268"/>
      <c r="BS148" s="268"/>
      <c r="BT148" s="268"/>
      <c r="BU148" s="268"/>
      <c r="BV148" s="267"/>
      <c r="BW148" s="267"/>
      <c r="BX148" s="267"/>
      <c r="BY148" s="267"/>
      <c r="BZ148" s="267"/>
      <c r="CA148" s="267"/>
      <c r="CB148" s="267"/>
      <c r="CC148" s="267"/>
      <c r="CD148" s="267"/>
      <c r="CE148" s="267"/>
      <c r="CF148" s="267"/>
      <c r="CG148" s="267" t="s">
        <v>1946</v>
      </c>
      <c r="CH148" s="267"/>
      <c r="CI148" s="267"/>
    </row>
    <row r="149" spans="1:87" ht="16.5" outlineLevel="1">
      <c r="A149" s="260" t="str">
        <f>E149&amp;G149</f>
        <v>lt003_entitycntrprty_emssns_scp1</v>
      </c>
      <c r="B149" s="141" t="s">
        <v>26</v>
      </c>
      <c r="C149" s="137" t="s">
        <v>26</v>
      </c>
      <c r="D149" s="222" t="s">
        <v>40</v>
      </c>
      <c r="E149" s="225" t="s">
        <v>335</v>
      </c>
      <c r="F149" s="225"/>
      <c r="G149" s="225" t="s">
        <v>353</v>
      </c>
      <c r="H149" s="222" t="str">
        <f>VLOOKUP(A149,'2. Status Detalhe Campos FY24'!$A$7:$G$731,7,0)</f>
        <v>1. Concluído</v>
      </c>
      <c r="I149" s="262" t="s">
        <v>38</v>
      </c>
      <c r="J149" s="271">
        <v>45621</v>
      </c>
      <c r="K149" s="271">
        <v>45596</v>
      </c>
      <c r="L149" s="276">
        <f t="array" ref="L149">MIN(IF(W149:CI149&gt;0,$W$16:$CI$16))</f>
        <v>45625</v>
      </c>
      <c r="M149" s="277">
        <f t="array" ref="M149">MAX(IF(W149:CI149&gt;0,$W$16:$CI$16))</f>
        <v>45625</v>
      </c>
      <c r="N149" s="277"/>
      <c r="O149" s="235">
        <f>VLOOKUP(H149,Auxiliar!$B$16:$E$24,4,0)</f>
        <v>1</v>
      </c>
      <c r="P149" s="235">
        <f ca="1">IF(TODAY()&lt;=L149,0,MIN((TODAY()-L149)/(M149-L149+1),100%))</f>
        <v>1</v>
      </c>
      <c r="Q149" s="234">
        <f t="shared" ca="1" si="33"/>
        <v>0</v>
      </c>
      <c r="R149" s="248" t="s">
        <v>38</v>
      </c>
      <c r="S149" s="266"/>
      <c r="T149" s="256">
        <v>4.0999999999999996</v>
      </c>
      <c r="U149" s="256">
        <f>ROUND(T149/8,1)</f>
        <v>0.5</v>
      </c>
      <c r="V149" s="256">
        <f>SUM(W149:CI149)-U149</f>
        <v>0</v>
      </c>
      <c r="W149" s="267"/>
      <c r="X149" s="275"/>
      <c r="Y149" s="267"/>
      <c r="Z149" s="267"/>
      <c r="AA149" s="267"/>
      <c r="AB149" s="267"/>
      <c r="AC149" s="274"/>
      <c r="AD149" s="268"/>
      <c r="AE149" s="267"/>
      <c r="AF149" s="267"/>
      <c r="AG149" s="267"/>
      <c r="AH149" s="267"/>
      <c r="AI149" s="267"/>
      <c r="AJ149" s="267"/>
      <c r="AK149" s="267"/>
      <c r="AL149" s="267"/>
      <c r="AM149" s="267"/>
      <c r="AN149" s="267"/>
      <c r="AO149" s="267"/>
      <c r="AP149" s="267"/>
      <c r="AQ149" s="267"/>
      <c r="AR149" s="267"/>
      <c r="AS149" s="267"/>
      <c r="AT149" s="267"/>
      <c r="AU149" s="267"/>
      <c r="AV149" s="267"/>
      <c r="AW149" s="267"/>
      <c r="AX149" s="267">
        <v>0.5</v>
      </c>
      <c r="AY149" s="267"/>
      <c r="AZ149" s="267"/>
      <c r="BA149" s="267"/>
      <c r="BB149" s="267"/>
      <c r="BC149" s="267"/>
      <c r="BD149" s="267"/>
      <c r="BE149" s="267"/>
      <c r="BF149" s="267"/>
      <c r="BG149" s="267"/>
      <c r="BH149" s="267"/>
      <c r="BI149" s="267"/>
      <c r="BJ149" s="267"/>
      <c r="BK149" s="267"/>
      <c r="BL149" s="267"/>
      <c r="BM149" s="267"/>
      <c r="BN149" s="267"/>
      <c r="BO149" s="268"/>
      <c r="BP149" s="268"/>
      <c r="BQ149" s="268"/>
      <c r="BR149" s="268"/>
      <c r="BS149" s="268"/>
      <c r="BT149" s="268"/>
      <c r="BU149" s="268"/>
      <c r="BV149" s="267"/>
      <c r="BW149" s="267"/>
      <c r="BX149" s="267"/>
      <c r="BY149" s="267"/>
      <c r="BZ149" s="267"/>
      <c r="CA149" s="267"/>
      <c r="CB149" s="267"/>
      <c r="CC149" s="267"/>
      <c r="CD149" s="267"/>
      <c r="CE149" s="267"/>
      <c r="CF149" s="267"/>
      <c r="CG149" s="267"/>
      <c r="CH149" s="267"/>
      <c r="CI149" s="267"/>
    </row>
    <row r="150" spans="1:87" ht="16.5" outlineLevel="1">
      <c r="A150" s="260" t="str">
        <f>E150&amp;G150</f>
        <v>lt003_entitycntrprty_emssns_scp2</v>
      </c>
      <c r="B150" s="141" t="s">
        <v>26</v>
      </c>
      <c r="C150" s="137" t="s">
        <v>26</v>
      </c>
      <c r="D150" s="222" t="s">
        <v>40</v>
      </c>
      <c r="E150" s="225" t="s">
        <v>335</v>
      </c>
      <c r="F150" s="225"/>
      <c r="G150" s="225" t="s">
        <v>354</v>
      </c>
      <c r="H150" s="222" t="str">
        <f>VLOOKUP(A150,'2. Status Detalhe Campos FY24'!$A$7:$G$731,7,0)</f>
        <v>1. Concluído</v>
      </c>
      <c r="I150" s="262" t="s">
        <v>38</v>
      </c>
      <c r="J150" s="271">
        <v>45621</v>
      </c>
      <c r="K150" s="271">
        <v>45596</v>
      </c>
      <c r="L150" s="276">
        <f t="array" ref="L150">MIN(IF(W150:CI150&gt;0,$W$16:$CI$16))</f>
        <v>45625</v>
      </c>
      <c r="M150" s="277">
        <f t="array" ref="M150">MAX(IF(W150:CI150&gt;0,$W$16:$CI$16))</f>
        <v>45625</v>
      </c>
      <c r="N150" s="277"/>
      <c r="O150" s="235">
        <f>VLOOKUP(H150,Auxiliar!$B$16:$E$24,4,0)</f>
        <v>1</v>
      </c>
      <c r="P150" s="235">
        <f ca="1">IF(TODAY()&lt;=L150,0,MIN((TODAY()-L150)/(M150-L150+1),100%))</f>
        <v>1</v>
      </c>
      <c r="Q150" s="234">
        <f t="shared" ca="1" si="33"/>
        <v>0</v>
      </c>
      <c r="R150" s="248" t="s">
        <v>38</v>
      </c>
      <c r="S150" s="266"/>
      <c r="T150" s="256">
        <v>4.0999999999999996</v>
      </c>
      <c r="U150" s="256">
        <f>ROUND(T150/8,1)</f>
        <v>0.5</v>
      </c>
      <c r="V150" s="256">
        <f>SUM(W150:CI150)-U150</f>
        <v>0</v>
      </c>
      <c r="W150" s="267"/>
      <c r="X150" s="275"/>
      <c r="Y150" s="267"/>
      <c r="Z150" s="267"/>
      <c r="AA150" s="267"/>
      <c r="AB150" s="267"/>
      <c r="AC150" s="274"/>
      <c r="AD150" s="268"/>
      <c r="AE150" s="267"/>
      <c r="AF150" s="267"/>
      <c r="AG150" s="267"/>
      <c r="AH150" s="267"/>
      <c r="AI150" s="267"/>
      <c r="AJ150" s="267"/>
      <c r="AK150" s="267"/>
      <c r="AL150" s="267"/>
      <c r="AM150" s="267"/>
      <c r="AN150" s="267"/>
      <c r="AO150" s="267"/>
      <c r="AP150" s="267"/>
      <c r="AQ150" s="267"/>
      <c r="AR150" s="267"/>
      <c r="AS150" s="267"/>
      <c r="AT150" s="267"/>
      <c r="AU150" s="267"/>
      <c r="AV150" s="267"/>
      <c r="AW150" s="267"/>
      <c r="AX150" s="267">
        <v>0.5</v>
      </c>
      <c r="AY150" s="267"/>
      <c r="AZ150" s="267"/>
      <c r="BA150" s="267"/>
      <c r="BB150" s="267"/>
      <c r="BC150" s="267"/>
      <c r="BD150" s="267"/>
      <c r="BE150" s="267"/>
      <c r="BF150" s="267"/>
      <c r="BG150" s="267"/>
      <c r="BH150" s="267"/>
      <c r="BI150" s="267"/>
      <c r="BJ150" s="267"/>
      <c r="BK150" s="267"/>
      <c r="BL150" s="267"/>
      <c r="BM150" s="267"/>
      <c r="BN150" s="267"/>
      <c r="BO150" s="268"/>
      <c r="BP150" s="268"/>
      <c r="BQ150" s="268"/>
      <c r="BR150" s="268"/>
      <c r="BS150" s="268"/>
      <c r="BT150" s="268"/>
      <c r="BU150" s="268"/>
      <c r="BV150" s="267"/>
      <c r="BW150" s="267"/>
      <c r="BX150" s="267"/>
      <c r="BY150" s="267"/>
      <c r="BZ150" s="267"/>
      <c r="CA150" s="267"/>
      <c r="CB150" s="267"/>
      <c r="CC150" s="267"/>
      <c r="CD150" s="267"/>
      <c r="CE150" s="267"/>
      <c r="CF150" s="267"/>
      <c r="CG150" s="267"/>
      <c r="CH150" s="267"/>
      <c r="CI150" s="267"/>
    </row>
    <row r="151" spans="1:87" ht="16.5" outlineLevel="1">
      <c r="A151" s="260" t="str">
        <f>E151&amp;G151</f>
        <v>lt003_entitycntrprty_emssns_scp3</v>
      </c>
      <c r="B151" s="141" t="s">
        <v>26</v>
      </c>
      <c r="C151" s="137" t="s">
        <v>26</v>
      </c>
      <c r="D151" s="222" t="s">
        <v>40</v>
      </c>
      <c r="E151" s="225" t="s">
        <v>335</v>
      </c>
      <c r="F151" s="225"/>
      <c r="G151" s="225" t="s">
        <v>355</v>
      </c>
      <c r="H151" s="222" t="str">
        <f>VLOOKUP(A151,'2. Status Detalhe Campos FY24'!$A$7:$G$731,7,0)</f>
        <v>1. Concluído</v>
      </c>
      <c r="I151" s="262" t="s">
        <v>38</v>
      </c>
      <c r="J151" s="271">
        <v>45621</v>
      </c>
      <c r="K151" s="271">
        <v>45596</v>
      </c>
      <c r="L151" s="276">
        <f t="array" ref="L151">MIN(IF(W151:CI151&gt;0,$W$16:$CI$16))</f>
        <v>45638</v>
      </c>
      <c r="M151" s="277">
        <f t="array" ref="M151">MAX(IF(W151:CI151&gt;0,$W$16:$CI$16))</f>
        <v>45638</v>
      </c>
      <c r="N151" s="277"/>
      <c r="O151" s="235">
        <f>VLOOKUP(H151,Auxiliar!$B$16:$E$24,4,0)</f>
        <v>1</v>
      </c>
      <c r="P151" s="235">
        <f ca="1">IF(TODAY()&lt;=L151,0,MIN((TODAY()-L151)/(M151-L151+1),100%))</f>
        <v>1</v>
      </c>
      <c r="Q151" s="234">
        <f t="shared" ca="1" si="33"/>
        <v>0</v>
      </c>
      <c r="R151" s="248" t="s">
        <v>38</v>
      </c>
      <c r="S151" s="266"/>
      <c r="T151" s="256">
        <v>4.0999999999999996</v>
      </c>
      <c r="U151" s="256">
        <f>ROUND(T151/8,1)</f>
        <v>0.5</v>
      </c>
      <c r="V151" s="256">
        <f>SUM(W151:CI151)-U151</f>
        <v>0</v>
      </c>
      <c r="W151" s="267"/>
      <c r="X151" s="275"/>
      <c r="Y151" s="267"/>
      <c r="Z151" s="267"/>
      <c r="AA151" s="267"/>
      <c r="AB151" s="267"/>
      <c r="AC151" s="274"/>
      <c r="AD151" s="268"/>
      <c r="AE151" s="267"/>
      <c r="AF151" s="267"/>
      <c r="AG151" s="267"/>
      <c r="AH151" s="267"/>
      <c r="AI151" s="267"/>
      <c r="AJ151" s="267"/>
      <c r="AK151" s="267"/>
      <c r="AL151" s="267"/>
      <c r="AM151" s="267"/>
      <c r="AN151" s="267"/>
      <c r="AO151" s="267"/>
      <c r="AP151" s="267"/>
      <c r="AQ151" s="267"/>
      <c r="AR151" s="267"/>
      <c r="AS151" s="267"/>
      <c r="AT151" s="267"/>
      <c r="AU151" s="267"/>
      <c r="AV151" s="267"/>
      <c r="AW151" s="267"/>
      <c r="AX151" s="267"/>
      <c r="AY151" s="267"/>
      <c r="AZ151" s="267"/>
      <c r="BA151" s="267"/>
      <c r="BB151" s="267"/>
      <c r="BC151" s="267"/>
      <c r="BD151" s="267"/>
      <c r="BE151" s="267"/>
      <c r="BF151" s="267"/>
      <c r="BG151" s="267">
        <v>0.5</v>
      </c>
      <c r="BH151" s="267"/>
      <c r="BI151" s="267"/>
      <c r="BJ151" s="267"/>
      <c r="BK151" s="267"/>
      <c r="BL151" s="267"/>
      <c r="BM151" s="267"/>
      <c r="BN151" s="267"/>
      <c r="BO151" s="268"/>
      <c r="BP151" s="268"/>
      <c r="BQ151" s="268"/>
      <c r="BR151" s="268"/>
      <c r="BS151" s="268"/>
      <c r="BT151" s="268"/>
      <c r="BU151" s="268"/>
      <c r="BV151" s="267"/>
      <c r="BW151" s="267"/>
      <c r="BX151" s="267"/>
      <c r="BY151" s="267"/>
      <c r="BZ151" s="267"/>
      <c r="CA151" s="267"/>
      <c r="CB151" s="267"/>
      <c r="CC151" s="267"/>
      <c r="CD151" s="267"/>
      <c r="CE151" s="267"/>
      <c r="CF151" s="267"/>
      <c r="CG151" s="267"/>
      <c r="CH151" s="267"/>
      <c r="CI151" s="267"/>
    </row>
    <row r="152" spans="1:87" ht="15" customHeight="1" collapsed="1">
      <c r="A152" s="260"/>
      <c r="B152" s="141" t="s">
        <v>26</v>
      </c>
      <c r="C152" s="137" t="s">
        <v>310</v>
      </c>
      <c r="D152" s="133"/>
      <c r="E152" s="226" t="s">
        <v>325</v>
      </c>
      <c r="F152" s="226" t="s">
        <v>1904</v>
      </c>
      <c r="G152" s="227">
        <f>COUNTA(G153:G158)</f>
        <v>6</v>
      </c>
      <c r="H152" s="261" t="s">
        <v>1918</v>
      </c>
      <c r="I152" s="262" t="s">
        <v>38</v>
      </c>
      <c r="J152" s="263">
        <f>MIN(J153:J158)</f>
        <v>45621</v>
      </c>
      <c r="K152" s="312">
        <f>MIN(K153:K158)</f>
        <v>45622</v>
      </c>
      <c r="L152" s="263">
        <f>MIN(L153:L158)</f>
        <v>45636</v>
      </c>
      <c r="M152" s="264">
        <f>MAX(M153:M158)</f>
        <v>45645</v>
      </c>
      <c r="N152" s="308" t="s">
        <v>1862</v>
      </c>
      <c r="O152" s="300">
        <f>SUMPRODUCT(O153:O158,U153:U158)/SUM(U153:U158)</f>
        <v>1</v>
      </c>
      <c r="P152" s="300">
        <f ca="1">SUMPRODUCT(P153:P158,U153:U158)/SUM(U153:U158)</f>
        <v>1</v>
      </c>
      <c r="Q152" s="234">
        <f t="shared" ca="1" si="33"/>
        <v>0</v>
      </c>
      <c r="R152" s="325" t="s">
        <v>1952</v>
      </c>
      <c r="S152" s="266"/>
      <c r="T152" s="256"/>
      <c r="U152" s="256"/>
      <c r="V152" s="256"/>
      <c r="W152" s="267"/>
      <c r="X152" s="267"/>
      <c r="Y152" s="267"/>
      <c r="Z152" s="267"/>
      <c r="AA152" s="267"/>
      <c r="AB152" s="267"/>
      <c r="AC152" s="267"/>
      <c r="AD152" s="268"/>
      <c r="AE152" s="267"/>
      <c r="AF152" s="267"/>
      <c r="AG152" s="267"/>
      <c r="AH152" s="267"/>
      <c r="AI152" s="267"/>
      <c r="AJ152" s="267"/>
      <c r="AK152" s="267"/>
      <c r="AL152" s="267"/>
      <c r="AM152" s="267"/>
      <c r="AN152" s="267"/>
      <c r="AO152" s="267"/>
      <c r="AP152" s="267"/>
      <c r="AQ152" s="267"/>
      <c r="AR152" s="267"/>
      <c r="AS152" s="267"/>
      <c r="AT152" s="269"/>
      <c r="AU152" s="255"/>
      <c r="AV152" s="267"/>
      <c r="AW152" s="267"/>
      <c r="AX152" s="267"/>
      <c r="AY152" s="267"/>
      <c r="AZ152" s="267"/>
      <c r="BA152" s="267"/>
      <c r="BB152" s="267"/>
      <c r="BC152" s="267"/>
      <c r="BD152" s="267"/>
      <c r="BE152" s="267"/>
      <c r="BF152" s="267"/>
      <c r="BG152" s="267"/>
      <c r="BJ152" s="267"/>
      <c r="BK152" s="267"/>
      <c r="BL152" s="267"/>
      <c r="BM152" s="267" t="s">
        <v>443</v>
      </c>
      <c r="BO152" s="268"/>
      <c r="BP152" s="268"/>
      <c r="BQ152" s="268"/>
      <c r="BR152" s="268"/>
      <c r="BS152" s="268"/>
      <c r="BT152" s="268"/>
      <c r="BU152" s="268"/>
      <c r="BV152" s="267"/>
      <c r="BW152" s="267"/>
      <c r="BX152" s="267"/>
      <c r="BY152" s="267"/>
      <c r="BZ152" s="267"/>
      <c r="CA152" s="267"/>
      <c r="CB152" s="267"/>
      <c r="CC152" s="267"/>
      <c r="CD152" s="267"/>
      <c r="CE152" s="267"/>
      <c r="CF152" s="267"/>
      <c r="CG152" s="267"/>
      <c r="CH152" s="267"/>
      <c r="CI152" s="267"/>
    </row>
    <row r="153" spans="1:87" ht="16.5" outlineLevel="1">
      <c r="A153" s="260" t="str">
        <f t="shared" ref="A153:A158" si="34">E153&amp;G153</f>
        <v>modesg_out_empr_info_nfinorigem_scp1_emss</v>
      </c>
      <c r="B153" s="141" t="s">
        <v>26</v>
      </c>
      <c r="C153" s="137" t="s">
        <v>310</v>
      </c>
      <c r="D153" s="222" t="s">
        <v>40</v>
      </c>
      <c r="E153" s="223" t="s">
        <v>325</v>
      </c>
      <c r="F153" s="223"/>
      <c r="G153" s="222" t="s">
        <v>319</v>
      </c>
      <c r="H153" s="222" t="str">
        <f>VLOOKUP(A153,'2. Status Detalhe Campos FY24'!$A$7:$G$731,7,0)</f>
        <v>1. Concluído</v>
      </c>
      <c r="I153" s="262" t="s">
        <v>38</v>
      </c>
      <c r="J153" s="271">
        <v>45621</v>
      </c>
      <c r="K153" s="271">
        <v>45622</v>
      </c>
      <c r="L153" s="276">
        <f t="array" ref="L153">MIN(IF(W153:CI153&gt;0,$W$16:$CI$16))</f>
        <v>45645</v>
      </c>
      <c r="M153" s="277">
        <f t="array" ref="M153">MAX(IF(W153:CI153&gt;0,$W$16:$CI$16))</f>
        <v>45645</v>
      </c>
      <c r="N153" s="277"/>
      <c r="O153" s="235">
        <f>VLOOKUP(H153,Auxiliar!$B$16:$E$24,4,0)</f>
        <v>1</v>
      </c>
      <c r="P153" s="235">
        <f t="shared" ref="P153:P158" ca="1" si="35">IF(TODAY()&lt;=L153,0,MIN((TODAY()-L153)/(M153-L153+1),100%))</f>
        <v>1</v>
      </c>
      <c r="Q153" s="234">
        <f t="shared" ca="1" si="33"/>
        <v>0</v>
      </c>
      <c r="R153" s="248" t="s">
        <v>38</v>
      </c>
      <c r="S153" s="266"/>
      <c r="T153" s="256">
        <v>4.0999999999999996</v>
      </c>
      <c r="U153" s="256">
        <f t="shared" ref="U153:U158" si="36">ROUND(T153/8,1)</f>
        <v>0.5</v>
      </c>
      <c r="V153" s="256">
        <f t="shared" ref="V153:V158" si="37">SUM(W153:CI153)-U153</f>
        <v>0</v>
      </c>
      <c r="W153" s="267"/>
      <c r="X153" s="267"/>
      <c r="Y153" s="267"/>
      <c r="Z153" s="267"/>
      <c r="AA153" s="267"/>
      <c r="AB153" s="267"/>
      <c r="AC153" s="267"/>
      <c r="AD153" s="268"/>
      <c r="AE153" s="267"/>
      <c r="AF153" s="267"/>
      <c r="AG153" s="267"/>
      <c r="AH153" s="267"/>
      <c r="AI153" s="267"/>
      <c r="AJ153" s="267"/>
      <c r="AK153" s="267"/>
      <c r="AL153" s="267"/>
      <c r="AM153" s="267"/>
      <c r="AN153" s="267"/>
      <c r="AO153" s="267"/>
      <c r="AP153" s="267"/>
      <c r="AQ153" s="267"/>
      <c r="AR153" s="267"/>
      <c r="AS153" s="267"/>
      <c r="AT153" s="269"/>
      <c r="AU153" s="255"/>
      <c r="AV153" s="267"/>
      <c r="AW153" s="267"/>
      <c r="AX153" s="267"/>
      <c r="AY153" s="267"/>
      <c r="AZ153" s="267"/>
      <c r="BA153" s="267"/>
      <c r="BB153" s="267"/>
      <c r="BC153" s="267"/>
      <c r="BE153" s="267"/>
      <c r="BF153" s="267"/>
      <c r="BG153" s="267"/>
      <c r="BH153" s="267"/>
      <c r="BI153" s="267"/>
      <c r="BJ153" s="267"/>
      <c r="BK153" s="267"/>
      <c r="BL153" s="267">
        <v>0.5</v>
      </c>
      <c r="BM153" s="267"/>
      <c r="BN153" s="267"/>
      <c r="BO153" s="268"/>
      <c r="BP153" s="268"/>
      <c r="BQ153" s="268"/>
      <c r="BR153" s="268"/>
      <c r="BS153" s="268"/>
      <c r="BT153" s="268"/>
      <c r="BU153" s="268"/>
      <c r="BV153" s="267"/>
      <c r="BW153" s="267"/>
      <c r="BX153" s="267"/>
      <c r="BY153" s="267"/>
      <c r="BZ153" s="267"/>
      <c r="CA153" s="267"/>
      <c r="CB153" s="267"/>
      <c r="CC153" s="267"/>
      <c r="CD153" s="267"/>
      <c r="CE153" s="267"/>
      <c r="CF153" s="267"/>
      <c r="CG153" s="267"/>
      <c r="CH153" s="267"/>
      <c r="CI153" s="267"/>
    </row>
    <row r="154" spans="1:87" ht="16.5" outlineLevel="1">
      <c r="A154" s="260" t="str">
        <f t="shared" si="34"/>
        <v>modesg_out_empr_info_nfinorigem_scp2_emss</v>
      </c>
      <c r="B154" s="141" t="s">
        <v>26</v>
      </c>
      <c r="C154" s="137" t="s">
        <v>310</v>
      </c>
      <c r="D154" s="222" t="s">
        <v>40</v>
      </c>
      <c r="E154" s="223" t="s">
        <v>325</v>
      </c>
      <c r="F154" s="223"/>
      <c r="G154" s="222" t="s">
        <v>320</v>
      </c>
      <c r="H154" s="222" t="str">
        <f>VLOOKUP(A154,'2. Status Detalhe Campos FY24'!$A$7:$G$731,7,0)</f>
        <v>1. Concluído</v>
      </c>
      <c r="I154" s="262" t="s">
        <v>38</v>
      </c>
      <c r="J154" s="271">
        <v>45621</v>
      </c>
      <c r="K154" s="271">
        <v>45622</v>
      </c>
      <c r="L154" s="276">
        <f t="array" ref="L154">MIN(IF(W154:CI154&gt;0,$W$16:$CI$16))</f>
        <v>45645</v>
      </c>
      <c r="M154" s="277">
        <f t="array" ref="M154">MAX(IF(W154:CI154&gt;0,$W$16:$CI$16))</f>
        <v>45645</v>
      </c>
      <c r="N154" s="277"/>
      <c r="O154" s="235">
        <f>VLOOKUP(H154,Auxiliar!$B$16:$E$24,4,0)</f>
        <v>1</v>
      </c>
      <c r="P154" s="235">
        <f t="shared" ca="1" si="35"/>
        <v>1</v>
      </c>
      <c r="Q154" s="234">
        <f t="shared" ca="1" si="33"/>
        <v>0</v>
      </c>
      <c r="R154" s="248" t="s">
        <v>38</v>
      </c>
      <c r="S154" s="266"/>
      <c r="T154" s="256">
        <v>4.0999999999999996</v>
      </c>
      <c r="U154" s="256">
        <f t="shared" si="36"/>
        <v>0.5</v>
      </c>
      <c r="V154" s="256">
        <f t="shared" si="37"/>
        <v>0</v>
      </c>
      <c r="W154" s="267"/>
      <c r="X154" s="267"/>
      <c r="Y154" s="267"/>
      <c r="Z154" s="267"/>
      <c r="AA154" s="267"/>
      <c r="AB154" s="267"/>
      <c r="AC154" s="267"/>
      <c r="AD154" s="268"/>
      <c r="AE154" s="267"/>
      <c r="AF154" s="267"/>
      <c r="AG154" s="267"/>
      <c r="AH154" s="267"/>
      <c r="AI154" s="267"/>
      <c r="AJ154" s="267"/>
      <c r="AK154" s="267"/>
      <c r="AL154" s="267"/>
      <c r="AM154" s="267"/>
      <c r="AN154" s="267"/>
      <c r="AO154" s="267"/>
      <c r="AP154" s="267"/>
      <c r="AQ154" s="267"/>
      <c r="AR154" s="267"/>
      <c r="AS154" s="267"/>
      <c r="AT154" s="269"/>
      <c r="AU154" s="255"/>
      <c r="AV154" s="267"/>
      <c r="AW154" s="267"/>
      <c r="AX154" s="267"/>
      <c r="AY154" s="267"/>
      <c r="AZ154" s="267"/>
      <c r="BA154" s="267"/>
      <c r="BB154" s="267"/>
      <c r="BC154" s="267"/>
      <c r="BE154" s="267"/>
      <c r="BF154" s="267"/>
      <c r="BG154" s="267"/>
      <c r="BH154" s="267"/>
      <c r="BI154" s="267"/>
      <c r="BJ154" s="267"/>
      <c r="BK154" s="267"/>
      <c r="BL154" s="267">
        <v>0.5</v>
      </c>
      <c r="BM154" s="267"/>
      <c r="BN154" s="267"/>
      <c r="BO154" s="268"/>
      <c r="BP154" s="268"/>
      <c r="BQ154" s="268"/>
      <c r="BR154" s="268"/>
      <c r="BS154" s="268"/>
      <c r="BT154" s="268"/>
      <c r="BU154" s="268"/>
      <c r="BV154" s="267"/>
      <c r="BW154" s="267"/>
      <c r="BX154" s="267"/>
      <c r="BY154" s="267"/>
      <c r="BZ154" s="267"/>
      <c r="CA154" s="267"/>
      <c r="CB154" s="267"/>
      <c r="CC154" s="267"/>
      <c r="CD154" s="267"/>
      <c r="CE154" s="267"/>
      <c r="CF154" s="267"/>
      <c r="CG154" s="267"/>
      <c r="CH154" s="267"/>
      <c r="CI154" s="267"/>
    </row>
    <row r="155" spans="1:87" ht="16.5" outlineLevel="1">
      <c r="A155" s="260" t="str">
        <f t="shared" si="34"/>
        <v>modesg_out_empr_info_nfinorigem_scp3_emss</v>
      </c>
      <c r="B155" s="141" t="s">
        <v>26</v>
      </c>
      <c r="C155" s="137" t="s">
        <v>310</v>
      </c>
      <c r="D155" s="222" t="s">
        <v>40</v>
      </c>
      <c r="E155" s="223" t="s">
        <v>325</v>
      </c>
      <c r="F155" s="223"/>
      <c r="G155" s="222" t="s">
        <v>321</v>
      </c>
      <c r="H155" s="222" t="str">
        <f>VLOOKUP(A155,'2. Status Detalhe Campos FY24'!$A$7:$G$731,7,0)</f>
        <v>1. Concluído</v>
      </c>
      <c r="I155" s="262" t="s">
        <v>38</v>
      </c>
      <c r="J155" s="271">
        <v>45621</v>
      </c>
      <c r="K155" s="271">
        <v>45622</v>
      </c>
      <c r="L155" s="276">
        <f t="array" ref="L155">MIN(IF(W155:CI155&gt;0,$W$16:$CI$16))</f>
        <v>45645</v>
      </c>
      <c r="M155" s="277">
        <f t="array" ref="M155">MAX(IF(W155:CI155&gt;0,$W$16:$CI$16))</f>
        <v>45645</v>
      </c>
      <c r="N155" s="277"/>
      <c r="O155" s="235">
        <f>VLOOKUP(H155,Auxiliar!$B$16:$E$24,4,0)</f>
        <v>1</v>
      </c>
      <c r="P155" s="235">
        <f t="shared" ca="1" si="35"/>
        <v>1</v>
      </c>
      <c r="Q155" s="234">
        <f t="shared" ca="1" si="33"/>
        <v>0</v>
      </c>
      <c r="R155" s="248" t="s">
        <v>38</v>
      </c>
      <c r="S155" s="266"/>
      <c r="T155" s="256">
        <v>4.0999999999999996</v>
      </c>
      <c r="U155" s="256">
        <f t="shared" si="36"/>
        <v>0.5</v>
      </c>
      <c r="V155" s="256">
        <f t="shared" si="37"/>
        <v>0</v>
      </c>
      <c r="W155" s="267"/>
      <c r="X155" s="267"/>
      <c r="Y155" s="267"/>
      <c r="Z155" s="267"/>
      <c r="AA155" s="267"/>
      <c r="AB155" s="267"/>
      <c r="AC155" s="267"/>
      <c r="AD155" s="268"/>
      <c r="AE155" s="267"/>
      <c r="AF155" s="267"/>
      <c r="AG155" s="267"/>
      <c r="AH155" s="267"/>
      <c r="AI155" s="267"/>
      <c r="AJ155" s="267"/>
      <c r="AK155" s="267"/>
      <c r="AL155" s="267"/>
      <c r="AM155" s="267"/>
      <c r="AN155" s="267"/>
      <c r="AO155" s="267"/>
      <c r="AP155" s="267"/>
      <c r="AQ155" s="267"/>
      <c r="AR155" s="267"/>
      <c r="AS155" s="267"/>
      <c r="AT155" s="269"/>
      <c r="AU155" s="255"/>
      <c r="AV155" s="267"/>
      <c r="AW155" s="267"/>
      <c r="AX155" s="267"/>
      <c r="AY155" s="267"/>
      <c r="AZ155" s="267"/>
      <c r="BA155" s="267"/>
      <c r="BB155" s="267"/>
      <c r="BC155" s="267"/>
      <c r="BD155" s="267"/>
      <c r="BF155" s="267"/>
      <c r="BG155" s="267"/>
      <c r="BH155" s="267"/>
      <c r="BI155" s="267"/>
      <c r="BJ155" s="267"/>
      <c r="BK155" s="267"/>
      <c r="BL155" s="267">
        <v>0.5</v>
      </c>
      <c r="BM155" s="267"/>
      <c r="BN155" s="267"/>
      <c r="BO155" s="268"/>
      <c r="BP155" s="268"/>
      <c r="BQ155" s="268"/>
      <c r="BR155" s="268"/>
      <c r="BS155" s="268"/>
      <c r="BT155" s="268"/>
      <c r="BU155" s="268"/>
      <c r="BV155" s="267"/>
      <c r="BW155" s="267"/>
      <c r="BX155" s="267"/>
      <c r="BY155" s="267"/>
      <c r="BZ155" s="267"/>
      <c r="CA155" s="267"/>
      <c r="CB155" s="267"/>
      <c r="CC155" s="267"/>
      <c r="CD155" s="267"/>
      <c r="CE155" s="267"/>
      <c r="CF155" s="267"/>
      <c r="CG155" s="267"/>
      <c r="CH155" s="267"/>
      <c r="CI155" s="267"/>
    </row>
    <row r="156" spans="1:87" ht="16.5" outlineLevel="1">
      <c r="A156" s="260" t="str">
        <f t="shared" si="34"/>
        <v>modesg_out_empr_info_nfinscp1_emss</v>
      </c>
      <c r="B156" s="141" t="s">
        <v>26</v>
      </c>
      <c r="C156" s="137" t="s">
        <v>310</v>
      </c>
      <c r="D156" s="222" t="s">
        <v>40</v>
      </c>
      <c r="E156" s="223" t="s">
        <v>325</v>
      </c>
      <c r="F156" s="223"/>
      <c r="G156" s="222" t="s">
        <v>285</v>
      </c>
      <c r="H156" s="222" t="str">
        <f>VLOOKUP(A156,'2. Status Detalhe Campos FY24'!$A$7:$G$731,7,0)</f>
        <v>1. Concluído</v>
      </c>
      <c r="I156" s="262" t="s">
        <v>38</v>
      </c>
      <c r="J156" s="271">
        <v>45621</v>
      </c>
      <c r="K156" s="271">
        <v>45622</v>
      </c>
      <c r="L156" s="276">
        <f t="array" ref="L156">MIN(IF(W156:CI156&gt;0,$W$16:$CI$16))</f>
        <v>45636</v>
      </c>
      <c r="M156" s="277">
        <f t="array" ref="M156">MAX(IF(W156:CI156&gt;0,$W$16:$CI$16))</f>
        <v>45637</v>
      </c>
      <c r="N156" s="277"/>
      <c r="O156" s="235">
        <f>VLOOKUP(H156,Auxiliar!$B$16:$E$24,4,0)</f>
        <v>1</v>
      </c>
      <c r="P156" s="235">
        <f t="shared" ca="1" si="35"/>
        <v>1</v>
      </c>
      <c r="Q156" s="234">
        <f t="shared" ca="1" si="33"/>
        <v>0</v>
      </c>
      <c r="R156" s="248" t="s">
        <v>38</v>
      </c>
      <c r="S156" s="266"/>
      <c r="T156" s="256">
        <v>8.1</v>
      </c>
      <c r="U156" s="256">
        <f t="shared" si="36"/>
        <v>1</v>
      </c>
      <c r="V156" s="256">
        <f t="shared" si="37"/>
        <v>0</v>
      </c>
      <c r="W156" s="267"/>
      <c r="X156" s="267"/>
      <c r="Y156" s="267"/>
      <c r="Z156" s="267"/>
      <c r="AA156" s="267"/>
      <c r="AB156" s="267"/>
      <c r="AC156" s="267"/>
      <c r="AD156" s="268"/>
      <c r="AE156" s="267"/>
      <c r="AF156" s="267"/>
      <c r="AG156" s="267"/>
      <c r="AH156" s="267"/>
      <c r="AI156" s="267"/>
      <c r="AJ156" s="267"/>
      <c r="AK156" s="267"/>
      <c r="AL156" s="267"/>
      <c r="AM156" s="267"/>
      <c r="AN156" s="267"/>
      <c r="AO156" s="267"/>
      <c r="AP156" s="267"/>
      <c r="AQ156" s="267"/>
      <c r="AR156" s="267"/>
      <c r="AS156" s="267"/>
      <c r="AT156" s="269"/>
      <c r="AU156" s="255"/>
      <c r="AV156" s="267"/>
      <c r="AW156" s="267"/>
      <c r="AX156" s="267"/>
      <c r="AY156" s="267"/>
      <c r="AZ156" s="267"/>
      <c r="BA156" s="267"/>
      <c r="BB156" s="267"/>
      <c r="BC156" s="267"/>
      <c r="BD156" s="267"/>
      <c r="BE156" s="267">
        <v>0.5</v>
      </c>
      <c r="BF156" s="267">
        <v>0.5</v>
      </c>
      <c r="BG156" s="267"/>
      <c r="BH156" s="267"/>
      <c r="BI156" s="267"/>
      <c r="BJ156" s="267"/>
      <c r="BK156" s="267"/>
      <c r="BL156" s="267"/>
      <c r="BM156" s="267"/>
      <c r="BN156" s="267"/>
      <c r="BO156" s="268"/>
      <c r="BP156" s="268"/>
      <c r="BQ156" s="268"/>
      <c r="BR156" s="268"/>
      <c r="BS156" s="268"/>
      <c r="BT156" s="268"/>
      <c r="BU156" s="268"/>
      <c r="BV156" s="267"/>
      <c r="BW156" s="267"/>
      <c r="BX156" s="267"/>
      <c r="BY156" s="267"/>
      <c r="BZ156" s="267"/>
      <c r="CA156" s="267"/>
      <c r="CB156" s="267"/>
      <c r="CC156" s="267"/>
      <c r="CD156" s="267"/>
      <c r="CE156" s="267"/>
      <c r="CF156" s="267"/>
      <c r="CG156" s="267"/>
      <c r="CH156" s="267"/>
      <c r="CI156" s="267"/>
    </row>
    <row r="157" spans="1:87" ht="16.5" outlineLevel="1">
      <c r="A157" s="260" t="str">
        <f t="shared" si="34"/>
        <v>modesg_out_empr_info_nfinscp2_emss</v>
      </c>
      <c r="B157" s="141" t="s">
        <v>26</v>
      </c>
      <c r="C157" s="137" t="s">
        <v>310</v>
      </c>
      <c r="D157" s="222" t="s">
        <v>40</v>
      </c>
      <c r="E157" s="223" t="s">
        <v>325</v>
      </c>
      <c r="F157" s="223"/>
      <c r="G157" s="222" t="s">
        <v>286</v>
      </c>
      <c r="H157" s="222" t="str">
        <f>VLOOKUP(A157,'2. Status Detalhe Campos FY24'!$A$7:$G$731,7,0)</f>
        <v>1. Concluído</v>
      </c>
      <c r="I157" s="262" t="s">
        <v>38</v>
      </c>
      <c r="J157" s="271">
        <v>45621</v>
      </c>
      <c r="K157" s="271">
        <v>45622</v>
      </c>
      <c r="L157" s="276">
        <f t="array" ref="L157">MIN(IF(W157:CI157&gt;0,$W$16:$CI$16))</f>
        <v>45637</v>
      </c>
      <c r="M157" s="277">
        <f t="array" ref="M157">MAX(IF(W157:CI157&gt;0,$W$16:$CI$16))</f>
        <v>45639</v>
      </c>
      <c r="N157" s="277"/>
      <c r="O157" s="235">
        <f>VLOOKUP(H157,Auxiliar!$B$16:$E$24,4,0)</f>
        <v>1</v>
      </c>
      <c r="P157" s="235">
        <f t="shared" ca="1" si="35"/>
        <v>1</v>
      </c>
      <c r="Q157" s="234">
        <f t="shared" ca="1" si="33"/>
        <v>0</v>
      </c>
      <c r="R157" s="248" t="s">
        <v>38</v>
      </c>
      <c r="S157" s="266"/>
      <c r="T157" s="256">
        <v>8.1</v>
      </c>
      <c r="U157" s="256">
        <f t="shared" si="36"/>
        <v>1</v>
      </c>
      <c r="V157" s="256">
        <f t="shared" si="37"/>
        <v>0</v>
      </c>
      <c r="W157" s="267"/>
      <c r="X157" s="267"/>
      <c r="Y157" s="267"/>
      <c r="Z157" s="267"/>
      <c r="AA157" s="267"/>
      <c r="AB157" s="267"/>
      <c r="AC157" s="267"/>
      <c r="AD157" s="268"/>
      <c r="AE157" s="267"/>
      <c r="AF157" s="267"/>
      <c r="AG157" s="267"/>
      <c r="AH157" s="267"/>
      <c r="AI157" s="267"/>
      <c r="AJ157" s="267"/>
      <c r="AK157" s="267"/>
      <c r="AL157" s="267"/>
      <c r="AM157" s="267"/>
      <c r="AN157" s="267"/>
      <c r="AO157" s="267"/>
      <c r="AP157" s="267"/>
      <c r="AQ157" s="267"/>
      <c r="AR157" s="267"/>
      <c r="AS157" s="267"/>
      <c r="AT157" s="269"/>
      <c r="AU157" s="255"/>
      <c r="AV157" s="267"/>
      <c r="AW157" s="267"/>
      <c r="AX157" s="267"/>
      <c r="AY157" s="267"/>
      <c r="AZ157" s="267"/>
      <c r="BA157" s="267"/>
      <c r="BB157" s="267"/>
      <c r="BC157" s="267"/>
      <c r="BD157" s="267"/>
      <c r="BE157" s="267"/>
      <c r="BF157" s="267">
        <v>0.5</v>
      </c>
      <c r="BG157" s="267"/>
      <c r="BH157" s="267">
        <v>0.5</v>
      </c>
      <c r="BI157" s="267"/>
      <c r="BJ157" s="267"/>
      <c r="BK157" s="267"/>
      <c r="BL157" s="267"/>
      <c r="BM157" s="267"/>
      <c r="BN157" s="267"/>
      <c r="BO157" s="268"/>
      <c r="BP157" s="268"/>
      <c r="BQ157" s="268"/>
      <c r="BR157" s="268"/>
      <c r="BS157" s="268"/>
      <c r="BT157" s="268"/>
      <c r="BU157" s="268"/>
      <c r="BV157" s="267"/>
      <c r="BW157" s="267"/>
      <c r="BX157" s="267"/>
      <c r="BY157" s="267"/>
      <c r="BZ157" s="267"/>
      <c r="CA157" s="267"/>
      <c r="CB157" s="267"/>
      <c r="CC157" s="267"/>
      <c r="CD157" s="267"/>
      <c r="CE157" s="267"/>
      <c r="CF157" s="267"/>
      <c r="CG157" s="267"/>
      <c r="CH157" s="267"/>
      <c r="CI157" s="267"/>
    </row>
    <row r="158" spans="1:87" ht="16.5" outlineLevel="1">
      <c r="A158" s="260" t="str">
        <f t="shared" si="34"/>
        <v>modesg_out_empr_info_nfinscp3_emss</v>
      </c>
      <c r="B158" s="141" t="s">
        <v>26</v>
      </c>
      <c r="C158" s="137" t="s">
        <v>310</v>
      </c>
      <c r="D158" s="222" t="s">
        <v>40</v>
      </c>
      <c r="E158" s="223" t="s">
        <v>325</v>
      </c>
      <c r="F158" s="223"/>
      <c r="G158" s="222" t="s">
        <v>287</v>
      </c>
      <c r="H158" s="222" t="str">
        <f>VLOOKUP(A158,'2. Status Detalhe Campos FY24'!$A$7:$G$731,7,0)</f>
        <v>1. Concluído</v>
      </c>
      <c r="I158" s="262" t="s">
        <v>38</v>
      </c>
      <c r="J158" s="271">
        <v>45621</v>
      </c>
      <c r="K158" s="271">
        <v>45622</v>
      </c>
      <c r="L158" s="276">
        <f t="array" ref="L158">MIN(IF(W158:CI158&gt;0,$W$16:$CI$16))</f>
        <v>45639</v>
      </c>
      <c r="M158" s="277">
        <f t="array" ref="M158">MAX(IF(W158:CI158&gt;0,$W$16:$CI$16))</f>
        <v>45639</v>
      </c>
      <c r="N158" s="277"/>
      <c r="O158" s="235">
        <f>VLOOKUP(H158,Auxiliar!$B$16:$E$24,4,0)</f>
        <v>1</v>
      </c>
      <c r="P158" s="235">
        <f t="shared" ca="1" si="35"/>
        <v>1</v>
      </c>
      <c r="Q158" s="234">
        <f t="shared" ca="1" si="33"/>
        <v>0</v>
      </c>
      <c r="R158" s="248" t="s">
        <v>38</v>
      </c>
      <c r="S158" s="266"/>
      <c r="T158" s="256">
        <v>8.1</v>
      </c>
      <c r="U158" s="256">
        <f t="shared" si="36"/>
        <v>1</v>
      </c>
      <c r="V158" s="256">
        <f t="shared" si="37"/>
        <v>0</v>
      </c>
      <c r="W158" s="267"/>
      <c r="X158" s="267"/>
      <c r="Y158" s="267"/>
      <c r="Z158" s="267"/>
      <c r="AA158" s="267"/>
      <c r="AB158" s="267"/>
      <c r="AC158" s="267"/>
      <c r="AD158" s="268"/>
      <c r="AE158" s="267"/>
      <c r="AF158" s="267"/>
      <c r="AG158" s="267"/>
      <c r="AH158" s="267"/>
      <c r="AI158" s="267"/>
      <c r="AJ158" s="267"/>
      <c r="AK158" s="267"/>
      <c r="AL158" s="267"/>
      <c r="AM158" s="267"/>
      <c r="AN158" s="267"/>
      <c r="AO158" s="267"/>
      <c r="AP158" s="267"/>
      <c r="AQ158" s="267"/>
      <c r="AR158" s="267"/>
      <c r="AS158" s="267"/>
      <c r="AT158" s="269"/>
      <c r="AU158" s="255"/>
      <c r="AV158" s="267"/>
      <c r="AW158" s="267"/>
      <c r="AX158" s="267"/>
      <c r="AY158" s="267"/>
      <c r="AZ158" s="267"/>
      <c r="BA158" s="267"/>
      <c r="BB158" s="267"/>
      <c r="BC158" s="267"/>
      <c r="BD158" s="267"/>
      <c r="BE158" s="267"/>
      <c r="BF158" s="267"/>
      <c r="BG158" s="267"/>
      <c r="BH158" s="267">
        <v>1</v>
      </c>
      <c r="BI158" s="267"/>
      <c r="BJ158" s="267"/>
      <c r="BK158" s="267"/>
      <c r="BL158" s="267"/>
      <c r="BM158" s="267"/>
      <c r="BN158" s="267"/>
      <c r="BO158" s="268"/>
      <c r="BP158" s="268"/>
      <c r="BQ158" s="268"/>
      <c r="BR158" s="268"/>
      <c r="BS158" s="268"/>
      <c r="BT158" s="268"/>
      <c r="BU158" s="268"/>
      <c r="BV158" s="267"/>
      <c r="BW158" s="267"/>
      <c r="BX158" s="267"/>
      <c r="BY158" s="267"/>
      <c r="BZ158" s="267"/>
      <c r="CA158" s="267"/>
      <c r="CB158" s="267"/>
      <c r="CC158" s="267"/>
      <c r="CD158" s="267"/>
      <c r="CE158" s="267"/>
      <c r="CF158" s="267"/>
      <c r="CG158" s="267"/>
      <c r="CH158" s="267"/>
      <c r="CI158" s="267"/>
    </row>
    <row r="159" spans="1:87" ht="15" customHeight="1">
      <c r="A159" s="260"/>
      <c r="B159" s="141" t="s">
        <v>26</v>
      </c>
      <c r="C159" s="137" t="s">
        <v>26</v>
      </c>
      <c r="D159" s="133"/>
      <c r="E159" s="228" t="s">
        <v>379</v>
      </c>
      <c r="F159" s="226" t="s">
        <v>1948</v>
      </c>
      <c r="G159" s="227">
        <f>COUNTA(G160:G160)</f>
        <v>1</v>
      </c>
      <c r="H159" s="280" t="s">
        <v>1944</v>
      </c>
      <c r="I159" s="264">
        <f>MAX(I160)</f>
        <v>45595</v>
      </c>
      <c r="J159" s="263">
        <f>MIN(J160)</f>
        <v>45624</v>
      </c>
      <c r="K159" s="312">
        <f>MIN(K160)</f>
        <v>45624</v>
      </c>
      <c r="L159" s="263">
        <f>MIN(L160:L160)</f>
        <v>45639</v>
      </c>
      <c r="M159" s="264">
        <f>MAX(M160:M160)</f>
        <v>45639</v>
      </c>
      <c r="N159" s="308" t="s">
        <v>1862</v>
      </c>
      <c r="O159" s="300">
        <f>O160</f>
        <v>0</v>
      </c>
      <c r="P159" s="300">
        <f ca="1">SUMPRODUCT(P160:P160,U160:U160)/SUM(U160:U160)</f>
        <v>1</v>
      </c>
      <c r="Q159" s="242">
        <f t="shared" ca="1" si="33"/>
        <v>-1</v>
      </c>
      <c r="R159" s="248" t="s">
        <v>1963</v>
      </c>
      <c r="S159" s="266"/>
      <c r="T159" s="256"/>
      <c r="U159" s="256"/>
      <c r="V159" s="256"/>
      <c r="W159" s="267"/>
      <c r="X159" s="267"/>
      <c r="Y159" s="267"/>
      <c r="Z159" s="267"/>
      <c r="AA159" s="267"/>
      <c r="AB159" s="275"/>
      <c r="AC159" s="267"/>
      <c r="AD159" s="268"/>
      <c r="AE159" s="267"/>
      <c r="AF159" s="267"/>
      <c r="AG159" s="267"/>
      <c r="AH159" s="267"/>
      <c r="AI159" s="267"/>
      <c r="AJ159" s="267"/>
      <c r="AK159" s="267"/>
      <c r="AL159" s="267"/>
      <c r="AM159" s="267"/>
      <c r="AN159" s="267"/>
      <c r="AO159" s="267"/>
      <c r="AP159" s="267"/>
      <c r="AQ159" s="267"/>
      <c r="AR159" s="267"/>
      <c r="AS159" s="267"/>
      <c r="AT159" s="267"/>
      <c r="AU159" s="267"/>
      <c r="AV159" s="267"/>
      <c r="AW159" s="255"/>
      <c r="AX159" s="267"/>
      <c r="AY159" s="267"/>
      <c r="AZ159" s="267"/>
      <c r="BA159" s="267"/>
      <c r="BB159" s="267"/>
      <c r="BC159" s="267"/>
      <c r="BD159" s="267"/>
      <c r="BE159" s="267"/>
      <c r="BF159" s="267"/>
      <c r="BG159" s="267"/>
      <c r="BH159" s="267" t="s">
        <v>443</v>
      </c>
      <c r="BI159" s="267"/>
      <c r="BJ159" s="267"/>
      <c r="BK159" s="267"/>
      <c r="BL159" s="267"/>
      <c r="BN159" s="267"/>
      <c r="BO159" s="268"/>
      <c r="BP159" s="268"/>
      <c r="BQ159" s="268"/>
      <c r="BR159" s="268"/>
      <c r="BS159" s="268"/>
      <c r="BT159" s="268"/>
      <c r="BU159" s="268"/>
      <c r="BV159" s="267"/>
      <c r="BW159" s="267"/>
      <c r="BX159" s="267"/>
      <c r="BY159" s="267"/>
      <c r="BZ159" s="267"/>
      <c r="CA159" s="267"/>
      <c r="CB159" s="267" t="s">
        <v>443</v>
      </c>
      <c r="CC159" s="267"/>
      <c r="CD159" s="267"/>
      <c r="CE159" s="267"/>
      <c r="CF159" s="267"/>
      <c r="CG159" s="267"/>
      <c r="CH159" s="267"/>
      <c r="CI159" s="267"/>
    </row>
    <row r="160" spans="1:87" ht="16.5" outlineLevel="1">
      <c r="A160" s="260" t="str">
        <f>E160&amp;G160</f>
        <v>lt002_instrumentrsk_mtgtd_ccp</v>
      </c>
      <c r="B160" s="141" t="s">
        <v>26</v>
      </c>
      <c r="C160" s="137" t="s">
        <v>26</v>
      </c>
      <c r="D160" s="222" t="s">
        <v>40</v>
      </c>
      <c r="E160" s="225" t="s">
        <v>379</v>
      </c>
      <c r="F160" s="225"/>
      <c r="G160" s="225" t="s">
        <v>381</v>
      </c>
      <c r="H160" s="222" t="str">
        <f>VLOOKUP(A160,'2. Status Detalhe Campos FY24'!$A$7:$G$731,7,0)</f>
        <v>5. Em Correção</v>
      </c>
      <c r="I160" s="271">
        <v>45595</v>
      </c>
      <c r="J160" s="309">
        <v>45624</v>
      </c>
      <c r="K160" s="313">
        <v>45624</v>
      </c>
      <c r="L160" s="276">
        <f t="array" ref="L160">MIN(IF(W160:CI160&gt;0,$W$16:$CI$16))</f>
        <v>45639</v>
      </c>
      <c r="M160" s="277">
        <f t="array" ref="M160">MAX(IF(W160:CI160&gt;0,$W$16:$CI$16))</f>
        <v>45639</v>
      </c>
      <c r="N160" s="277"/>
      <c r="O160" s="235">
        <f>VLOOKUP(H160,Auxiliar!$B$16:$E$24,4,0)</f>
        <v>0</v>
      </c>
      <c r="P160" s="235">
        <f ca="1">IF(TODAY()&lt;=L160,0,MIN((TODAY()-L160)/(M160-L160+1),100%))</f>
        <v>1</v>
      </c>
      <c r="Q160" s="235">
        <f t="shared" ca="1" si="33"/>
        <v>-1</v>
      </c>
      <c r="R160" s="247"/>
      <c r="S160" s="266"/>
      <c r="T160" s="256">
        <v>4.0999999999999996</v>
      </c>
      <c r="U160" s="256">
        <f>ROUND(T160/8,1)</f>
        <v>0.5</v>
      </c>
      <c r="V160" s="256">
        <f>SUM(W160:CI160)-U160</f>
        <v>0</v>
      </c>
      <c r="W160" s="267"/>
      <c r="X160" s="267"/>
      <c r="Y160" s="267"/>
      <c r="Z160" s="267"/>
      <c r="AA160" s="267"/>
      <c r="AB160" s="275"/>
      <c r="AC160" s="267"/>
      <c r="AD160" s="268"/>
      <c r="AE160" s="267"/>
      <c r="AF160" s="267"/>
      <c r="AG160" s="267"/>
      <c r="AH160" s="267"/>
      <c r="AI160" s="267"/>
      <c r="AJ160" s="267"/>
      <c r="AK160" s="267"/>
      <c r="AL160" s="267"/>
      <c r="AM160" s="267"/>
      <c r="AN160" s="267"/>
      <c r="AO160" s="267"/>
      <c r="AP160" s="267"/>
      <c r="AQ160" s="267"/>
      <c r="AR160" s="267"/>
      <c r="AS160" s="267"/>
      <c r="AT160" s="267"/>
      <c r="AU160" s="267"/>
      <c r="AV160" s="267"/>
      <c r="AW160" s="255"/>
      <c r="AX160" s="267"/>
      <c r="AY160" s="267"/>
      <c r="AZ160" s="267"/>
      <c r="BA160" s="267"/>
      <c r="BB160" s="267"/>
      <c r="BC160" s="267"/>
      <c r="BD160" s="267"/>
      <c r="BE160" s="267"/>
      <c r="BF160" s="267"/>
      <c r="BG160" s="267"/>
      <c r="BH160" s="267">
        <v>0.5</v>
      </c>
      <c r="BI160" s="267"/>
      <c r="BJ160" s="267"/>
      <c r="BK160" s="267"/>
      <c r="BL160" s="267"/>
      <c r="BM160" s="267"/>
      <c r="BN160" s="267"/>
      <c r="BO160" s="268"/>
      <c r="BP160" s="268"/>
      <c r="BQ160" s="268"/>
      <c r="BR160" s="268"/>
      <c r="BS160" s="268"/>
      <c r="BT160" s="268"/>
      <c r="BU160" s="268"/>
      <c r="BV160" s="267"/>
      <c r="BW160" s="267"/>
      <c r="BX160" s="267"/>
      <c r="BY160" s="267"/>
      <c r="BZ160" s="267"/>
      <c r="CA160" s="267"/>
      <c r="CB160" s="267"/>
      <c r="CC160" s="267"/>
      <c r="CD160" s="267"/>
      <c r="CE160" s="267"/>
      <c r="CF160" s="267"/>
      <c r="CG160" s="267"/>
      <c r="CH160" s="267"/>
      <c r="CI160" s="267"/>
    </row>
    <row r="161" spans="1:87" ht="15" customHeight="1">
      <c r="A161" s="260"/>
      <c r="B161" s="141" t="s">
        <v>26</v>
      </c>
      <c r="C161" s="137" t="s">
        <v>26</v>
      </c>
      <c r="D161" s="133"/>
      <c r="E161" s="228" t="s">
        <v>1859</v>
      </c>
      <c r="F161" s="226" t="s">
        <v>1883</v>
      </c>
      <c r="G161" s="227">
        <f>COUNTA(G162:G164)</f>
        <v>3</v>
      </c>
      <c r="H161" s="281" t="s">
        <v>1915</v>
      </c>
      <c r="I161" s="264">
        <f>MAX(I162:I166)</f>
        <v>45646</v>
      </c>
      <c r="J161" s="263">
        <f>MIN(J162:J166)</f>
        <v>45624</v>
      </c>
      <c r="K161" s="312">
        <f>MIN(K162:K166)</f>
        <v>45624</v>
      </c>
      <c r="L161" s="264">
        <f>MIN(L162:L166)</f>
        <v>45630</v>
      </c>
      <c r="M161" s="264">
        <f>MAX(M162:M166)</f>
        <v>45667</v>
      </c>
      <c r="N161" s="308">
        <f t="array" ref="N161">MAX(IF(W161:CI161&gt;0,$W$16:$CI$16))</f>
        <v>45646</v>
      </c>
      <c r="O161" s="307">
        <f>SUMPRODUCT(O162:O164,U162:U164)/SUM(U162:U164)</f>
        <v>0.66666666666666663</v>
      </c>
      <c r="P161" s="307">
        <f ca="1">SUMPRODUCT(P162:P164,U162:U164)/SUM(U162:U164)</f>
        <v>1</v>
      </c>
      <c r="Q161" s="234">
        <f t="shared" ca="1" si="33"/>
        <v>-0.33333333333333337</v>
      </c>
      <c r="R161" s="325" t="s">
        <v>1943</v>
      </c>
      <c r="S161" s="266"/>
      <c r="T161" s="256"/>
      <c r="U161" s="256"/>
      <c r="V161" s="256"/>
      <c r="W161" s="267"/>
      <c r="X161" s="267"/>
      <c r="Y161" s="267"/>
      <c r="Z161" s="275"/>
      <c r="AA161" s="267"/>
      <c r="AB161" s="267"/>
      <c r="AC161" s="267"/>
      <c r="AD161" s="268"/>
      <c r="AE161" s="267"/>
      <c r="AF161" s="267"/>
      <c r="AG161" s="267"/>
      <c r="AH161" s="275"/>
      <c r="AI161" s="267"/>
      <c r="AJ161" s="267"/>
      <c r="AK161" s="267"/>
      <c r="AL161" s="267"/>
      <c r="AM161" s="267"/>
      <c r="AN161" s="267"/>
      <c r="AO161" s="267"/>
      <c r="AP161" s="267"/>
      <c r="AQ161" s="267"/>
      <c r="AR161" s="267"/>
      <c r="AS161" s="267"/>
      <c r="AT161" s="267"/>
      <c r="AU161" s="267"/>
      <c r="AV161" s="267"/>
      <c r="AW161" s="255"/>
      <c r="AX161" s="267"/>
      <c r="AY161" s="267"/>
      <c r="AZ161" s="267"/>
      <c r="BA161" s="267"/>
      <c r="BB161" s="267"/>
      <c r="BC161" s="267"/>
      <c r="BD161" s="267"/>
      <c r="BE161" s="267"/>
      <c r="BF161" s="267"/>
      <c r="BG161" s="267"/>
      <c r="BH161" s="267"/>
      <c r="BI161" s="267"/>
      <c r="BJ161" s="267"/>
      <c r="BK161" s="267"/>
      <c r="BL161" s="267"/>
      <c r="BM161" s="267" t="s">
        <v>443</v>
      </c>
      <c r="BN161" s="267"/>
      <c r="BO161" s="268"/>
      <c r="BP161" s="268"/>
      <c r="BQ161" s="268"/>
      <c r="BR161" s="268"/>
      <c r="BS161" s="268"/>
      <c r="BT161" s="268"/>
      <c r="BU161" s="268"/>
      <c r="BV161" s="267"/>
      <c r="BW161" s="267"/>
      <c r="BX161" s="267"/>
      <c r="BY161" s="267"/>
      <c r="BZ161" s="267"/>
      <c r="CA161" s="267"/>
      <c r="CB161" s="267"/>
      <c r="CC161" s="267"/>
      <c r="CD161" s="267"/>
      <c r="CE161" s="267"/>
      <c r="CF161" s="267"/>
      <c r="CG161" s="267"/>
      <c r="CH161" s="267"/>
      <c r="CI161" s="267"/>
    </row>
    <row r="162" spans="1:87" ht="16.5" outlineLevel="1">
      <c r="A162" s="260" t="str">
        <f>E162&amp;G162</f>
        <v>lt007_instr_activityenvrnmntl_objctv</v>
      </c>
      <c r="B162" s="141" t="s">
        <v>26</v>
      </c>
      <c r="C162" s="137" t="s">
        <v>26</v>
      </c>
      <c r="D162" s="222" t="s">
        <v>40</v>
      </c>
      <c r="E162" s="225" t="s">
        <v>1859</v>
      </c>
      <c r="F162" s="225"/>
      <c r="G162" s="225" t="s">
        <v>382</v>
      </c>
      <c r="H162" s="222" t="str">
        <f>VLOOKUP(A162,'2. Status Detalhe Campos FY24'!$A$7:$G$731,7,0)</f>
        <v>1. Concluído</v>
      </c>
      <c r="I162" s="271">
        <v>45593</v>
      </c>
      <c r="J162" s="309">
        <v>45624</v>
      </c>
      <c r="K162" s="313">
        <v>45624</v>
      </c>
      <c r="L162" s="276">
        <f t="array" ref="L162">MIN(IF(W162:CI162&gt;0,$W$16:$CI$16))</f>
        <v>45642</v>
      </c>
      <c r="M162" s="277">
        <f t="array" ref="M162">MAX(IF(W162:CI162&gt;0,$W$16:$CI$16))</f>
        <v>45642</v>
      </c>
      <c r="N162" s="277"/>
      <c r="O162" s="235">
        <f>VLOOKUP(H162,Auxiliar!$B$16:$E$24,4,0)</f>
        <v>1</v>
      </c>
      <c r="P162" s="235">
        <f ca="1">IF(TODAY()&lt;=L162,0,MIN((TODAY()-L162)/(M162-L162+1),100%))</f>
        <v>1</v>
      </c>
      <c r="Q162" s="234">
        <f t="shared" ca="1" si="33"/>
        <v>0</v>
      </c>
      <c r="R162" s="248" t="s">
        <v>38</v>
      </c>
      <c r="S162" s="266"/>
      <c r="T162" s="256">
        <v>4.0999999999999996</v>
      </c>
      <c r="U162" s="256">
        <f>ROUND(T162/8,1)</f>
        <v>0.5</v>
      </c>
      <c r="V162" s="256">
        <f>SUM(W162:CI162)-U162</f>
        <v>0</v>
      </c>
      <c r="W162" s="267"/>
      <c r="X162" s="267"/>
      <c r="Y162" s="267"/>
      <c r="Z162" s="275"/>
      <c r="AA162" s="267"/>
      <c r="AB162" s="267"/>
      <c r="AC162" s="267"/>
      <c r="AD162" s="268"/>
      <c r="AE162" s="267"/>
      <c r="AF162" s="267"/>
      <c r="AG162" s="267"/>
      <c r="AH162" s="275"/>
      <c r="AI162" s="267"/>
      <c r="AJ162" s="267"/>
      <c r="AK162" s="267"/>
      <c r="AL162" s="267"/>
      <c r="AM162" s="267"/>
      <c r="AN162" s="267"/>
      <c r="AO162" s="267"/>
      <c r="AP162" s="267"/>
      <c r="AQ162" s="267"/>
      <c r="AR162" s="267"/>
      <c r="AS162" s="267"/>
      <c r="AT162" s="267"/>
      <c r="AU162" s="267"/>
      <c r="AV162" s="267"/>
      <c r="AW162" s="255"/>
      <c r="AX162" s="267"/>
      <c r="AY162" s="267"/>
      <c r="AZ162" s="267"/>
      <c r="BA162" s="267"/>
      <c r="BB162" s="267"/>
      <c r="BC162" s="267"/>
      <c r="BD162" s="267"/>
      <c r="BE162" s="267"/>
      <c r="BF162" s="267"/>
      <c r="BG162" s="267"/>
      <c r="BH162" s="267"/>
      <c r="BI162" s="267">
        <v>0.5</v>
      </c>
      <c r="BJ162" s="267"/>
      <c r="BK162" s="267"/>
      <c r="BL162" s="267"/>
      <c r="BM162" s="267"/>
      <c r="BN162" s="267"/>
      <c r="BO162" s="268"/>
      <c r="BP162" s="268"/>
      <c r="BQ162" s="268"/>
      <c r="BR162" s="268"/>
      <c r="BS162" s="268"/>
      <c r="BT162" s="268"/>
      <c r="BU162" s="268"/>
      <c r="BV162" s="267"/>
      <c r="BW162" s="267"/>
      <c r="BX162" s="267"/>
      <c r="BY162" s="267"/>
      <c r="BZ162" s="267"/>
      <c r="CA162" s="267"/>
      <c r="CB162" s="267"/>
      <c r="CC162" s="267"/>
      <c r="CD162" s="267"/>
      <c r="CE162" s="267"/>
      <c r="CF162" s="267"/>
      <c r="CG162" s="267"/>
      <c r="CH162" s="267"/>
      <c r="CI162" s="267"/>
    </row>
    <row r="163" spans="1:87" ht="16.5" outlineLevel="1">
      <c r="A163" s="260" t="str">
        <f>E163&amp;G163</f>
        <v>lt007_instr_activitytyp_actvty</v>
      </c>
      <c r="B163" s="141" t="s">
        <v>26</v>
      </c>
      <c r="C163" s="137" t="s">
        <v>26</v>
      </c>
      <c r="D163" s="222" t="s">
        <v>40</v>
      </c>
      <c r="E163" s="225" t="s">
        <v>1859</v>
      </c>
      <c r="F163" s="225"/>
      <c r="G163" s="225" t="s">
        <v>383</v>
      </c>
      <c r="H163" s="222" t="str">
        <f>VLOOKUP(A163,'2. Status Detalhe Campos FY24'!$A$7:$G$731,7,0)</f>
        <v>1. Concluído</v>
      </c>
      <c r="I163" s="271">
        <v>45593</v>
      </c>
      <c r="J163" s="309">
        <v>45624</v>
      </c>
      <c r="K163" s="313">
        <v>45624</v>
      </c>
      <c r="L163" s="276">
        <f t="array" ref="L163">MIN(IF(W163:CI163&gt;0,$W$16:$CI$16))</f>
        <v>45642</v>
      </c>
      <c r="M163" s="277">
        <f t="array" ref="M163">MAX(IF(W163:CI163&gt;0,$W$16:$CI$16))</f>
        <v>45642</v>
      </c>
      <c r="N163" s="277"/>
      <c r="O163" s="235">
        <f>VLOOKUP(H163,Auxiliar!$B$16:$E$24,4,0)</f>
        <v>1</v>
      </c>
      <c r="P163" s="235">
        <f ca="1">IF(TODAY()&lt;=L163,0,MIN((TODAY()-L163)/(M163-L163+1),100%))</f>
        <v>1</v>
      </c>
      <c r="Q163" s="234">
        <f t="shared" ca="1" si="33"/>
        <v>0</v>
      </c>
      <c r="R163" s="248" t="s">
        <v>38</v>
      </c>
      <c r="S163" s="266"/>
      <c r="T163" s="256">
        <v>4.0999999999999996</v>
      </c>
      <c r="U163" s="256">
        <f>ROUND(T163/8,1)</f>
        <v>0.5</v>
      </c>
      <c r="V163" s="256">
        <f>SUM(W163:CI163)-U163</f>
        <v>0</v>
      </c>
      <c r="W163" s="267"/>
      <c r="X163" s="267"/>
      <c r="Y163" s="267"/>
      <c r="Z163" s="275"/>
      <c r="AA163" s="267"/>
      <c r="AB163" s="267"/>
      <c r="AC163" s="267"/>
      <c r="AD163" s="268"/>
      <c r="AE163" s="267"/>
      <c r="AF163" s="267"/>
      <c r="AG163" s="267"/>
      <c r="AH163" s="267"/>
      <c r="AI163" s="267"/>
      <c r="AJ163" s="267"/>
      <c r="AK163" s="267"/>
      <c r="AL163" s="267"/>
      <c r="AM163" s="267"/>
      <c r="AN163" s="267"/>
      <c r="AO163" s="267"/>
      <c r="AP163" s="267"/>
      <c r="AQ163" s="267"/>
      <c r="AR163" s="267"/>
      <c r="AS163" s="267"/>
      <c r="AT163" s="267"/>
      <c r="AU163" s="267"/>
      <c r="AV163" s="267"/>
      <c r="AW163" s="255"/>
      <c r="AX163" s="267"/>
      <c r="AY163" s="267"/>
      <c r="AZ163" s="267"/>
      <c r="BA163" s="267"/>
      <c r="BB163" s="267"/>
      <c r="BC163" s="267"/>
      <c r="BD163" s="267"/>
      <c r="BE163" s="267"/>
      <c r="BF163" s="267"/>
      <c r="BG163" s="267"/>
      <c r="BH163" s="267"/>
      <c r="BI163" s="267">
        <v>0.5</v>
      </c>
      <c r="BJ163" s="267"/>
      <c r="BK163" s="267"/>
      <c r="BL163" s="267"/>
      <c r="BM163" s="267"/>
      <c r="BN163" s="267"/>
      <c r="BO163" s="268"/>
      <c r="BP163" s="268"/>
      <c r="BQ163" s="268"/>
      <c r="BR163" s="268"/>
      <c r="BS163" s="268"/>
      <c r="BT163" s="268"/>
      <c r="BU163" s="268"/>
      <c r="BV163" s="267"/>
      <c r="BW163" s="267"/>
      <c r="BX163" s="267"/>
      <c r="BY163" s="267"/>
      <c r="BZ163" s="267"/>
      <c r="CA163" s="267"/>
      <c r="CB163" s="267"/>
      <c r="CC163" s="267"/>
      <c r="CD163" s="267"/>
      <c r="CE163" s="267"/>
      <c r="CF163" s="267"/>
      <c r="CG163" s="267"/>
      <c r="CH163" s="267"/>
      <c r="CI163" s="267"/>
    </row>
    <row r="164" spans="1:87" ht="16.5" outlineLevel="1">
      <c r="A164" s="260" t="str">
        <f>E164&amp;G164</f>
        <v>lt007_instr_activitysstnbl_indctr</v>
      </c>
      <c r="B164" s="141" t="s">
        <v>26</v>
      </c>
      <c r="C164" s="137" t="s">
        <v>26</v>
      </c>
      <c r="D164" s="222" t="s">
        <v>40</v>
      </c>
      <c r="E164" s="225" t="s">
        <v>1859</v>
      </c>
      <c r="F164" s="225"/>
      <c r="G164" s="225" t="s">
        <v>418</v>
      </c>
      <c r="H164" s="222" t="str">
        <f>VLOOKUP(A164,'2. Status Detalhe Campos FY24'!$A$7:$G$731,7,0)</f>
        <v>5. Em Correção</v>
      </c>
      <c r="I164" s="271">
        <v>45593</v>
      </c>
      <c r="J164" s="309">
        <v>45624</v>
      </c>
      <c r="K164" s="313">
        <v>45624</v>
      </c>
      <c r="L164" s="276">
        <f t="array" ref="L164">MIN(IF(W164:CI164&gt;0,$W$16:$CI$16))</f>
        <v>45644</v>
      </c>
      <c r="M164" s="277">
        <f t="array" ref="M164">MAX(IF(W164:CI164&gt;0,$W$16:$CI$16))</f>
        <v>45644</v>
      </c>
      <c r="N164" s="277"/>
      <c r="O164" s="235">
        <f>VLOOKUP(H164,Auxiliar!$B$16:$E$24,4,0)</f>
        <v>0</v>
      </c>
      <c r="P164" s="235">
        <f ca="1">IF(TODAY()&lt;=L164,0,MIN((TODAY()-L164)/(M164-L164+1),100%))</f>
        <v>1</v>
      </c>
      <c r="Q164" s="234">
        <f t="shared" ca="1" si="33"/>
        <v>-1</v>
      </c>
      <c r="R164" s="248" t="s">
        <v>38</v>
      </c>
      <c r="S164" s="266"/>
      <c r="T164" s="285">
        <v>4.0999999999999996</v>
      </c>
      <c r="U164" s="256">
        <f>ROUND(T164/8,1)</f>
        <v>0.5</v>
      </c>
      <c r="V164" s="256">
        <f>SUM(W164:CI164)-U164</f>
        <v>0</v>
      </c>
      <c r="W164" s="267"/>
      <c r="X164" s="267"/>
      <c r="Y164" s="267"/>
      <c r="Z164" s="275"/>
      <c r="AA164" s="267"/>
      <c r="AB164" s="267"/>
      <c r="AC164" s="267"/>
      <c r="AD164" s="268"/>
      <c r="AE164" s="267"/>
      <c r="AF164" s="267"/>
      <c r="AG164" s="267"/>
      <c r="AH164" s="267"/>
      <c r="AI164" s="267"/>
      <c r="AJ164" s="267"/>
      <c r="AK164" s="267"/>
      <c r="AL164" s="267"/>
      <c r="AM164" s="267"/>
      <c r="AN164" s="267"/>
      <c r="AO164" s="267"/>
      <c r="AP164" s="267"/>
      <c r="AQ164" s="267"/>
      <c r="AR164" s="267"/>
      <c r="AS164" s="267"/>
      <c r="AT164" s="267"/>
      <c r="AU164" s="267"/>
      <c r="AV164" s="267"/>
      <c r="AW164" s="255"/>
      <c r="AX164" s="267"/>
      <c r="AY164" s="267"/>
      <c r="AZ164" s="267"/>
      <c r="BA164" s="267"/>
      <c r="BB164" s="267"/>
      <c r="BC164" s="267"/>
      <c r="BD164" s="267"/>
      <c r="BE164" s="267"/>
      <c r="BF164" s="267"/>
      <c r="BG164" s="267"/>
      <c r="BH164" s="267"/>
      <c r="BI164" s="267"/>
      <c r="BJ164" s="267"/>
      <c r="BK164" s="267">
        <v>0.5</v>
      </c>
      <c r="BL164" s="267"/>
      <c r="BM164" s="267"/>
      <c r="BN164" s="267"/>
      <c r="BO164" s="268"/>
      <c r="BP164" s="268"/>
      <c r="BQ164" s="268"/>
      <c r="BR164" s="268"/>
      <c r="BS164" s="268"/>
      <c r="BT164" s="268"/>
      <c r="BU164" s="268"/>
      <c r="BV164" s="267"/>
      <c r="BW164" s="267"/>
      <c r="BX164" s="267"/>
      <c r="BY164" s="267"/>
      <c r="BZ164" s="267"/>
      <c r="CA164" s="267"/>
      <c r="CB164" s="267"/>
      <c r="CC164" s="267"/>
      <c r="CD164" s="267"/>
      <c r="CE164" s="267"/>
      <c r="CF164" s="267"/>
      <c r="CG164" s="267"/>
      <c r="CH164" s="267"/>
      <c r="CI164" s="267"/>
    </row>
    <row r="165" spans="1:87" ht="15" customHeight="1" collapsed="1">
      <c r="A165" s="260"/>
      <c r="B165" s="141" t="s">
        <v>26</v>
      </c>
      <c r="C165" s="137" t="s">
        <v>26</v>
      </c>
      <c r="D165" s="133"/>
      <c r="E165" s="228" t="s">
        <v>1859</v>
      </c>
      <c r="F165" s="226" t="s">
        <v>1947</v>
      </c>
      <c r="G165" s="227">
        <f>COUNTA(G166)</f>
        <v>1</v>
      </c>
      <c r="H165" s="280" t="s">
        <v>1944</v>
      </c>
      <c r="I165" s="264">
        <f>MAX(I166:I172)</f>
        <v>45646</v>
      </c>
      <c r="J165" s="263">
        <f>MIN(J166:J172)</f>
        <v>45624</v>
      </c>
      <c r="K165" s="312">
        <f>MIN(K166:K172)</f>
        <v>45624</v>
      </c>
      <c r="L165" s="264">
        <f>MIN(L166:L172)</f>
        <v>45630</v>
      </c>
      <c r="M165" s="264">
        <f>MAX(M166:M172)</f>
        <v>45667</v>
      </c>
      <c r="N165" s="308" t="s">
        <v>1862</v>
      </c>
      <c r="O165" s="300">
        <f>O166</f>
        <v>0.25</v>
      </c>
      <c r="P165" s="300">
        <f ca="1">P166</f>
        <v>1</v>
      </c>
      <c r="Q165" s="234">
        <f ca="1">O165-P165</f>
        <v>-0.75</v>
      </c>
      <c r="R165" s="248" t="s">
        <v>1963</v>
      </c>
      <c r="S165" s="266"/>
      <c r="T165" s="256"/>
      <c r="U165" s="256"/>
      <c r="V165" s="256"/>
      <c r="W165" s="267"/>
      <c r="X165" s="267"/>
      <c r="Y165" s="267"/>
      <c r="Z165" s="275"/>
      <c r="AA165" s="267"/>
      <c r="AB165" s="267"/>
      <c r="AC165" s="267"/>
      <c r="AD165" s="268"/>
      <c r="AE165" s="267"/>
      <c r="AF165" s="267"/>
      <c r="AG165" s="267"/>
      <c r="AH165" s="275"/>
      <c r="AI165" s="267"/>
      <c r="AJ165" s="267"/>
      <c r="AK165" s="267"/>
      <c r="AL165" s="267"/>
      <c r="AM165" s="267"/>
      <c r="AN165" s="267"/>
      <c r="AO165" s="267"/>
      <c r="AP165" s="267"/>
      <c r="AQ165" s="267"/>
      <c r="AR165" s="267"/>
      <c r="AS165" s="267"/>
      <c r="AT165" s="267"/>
      <c r="AU165" s="267"/>
      <c r="AV165" s="267"/>
      <c r="AW165" s="255"/>
      <c r="AX165" s="267"/>
      <c r="AY165" s="267"/>
      <c r="AZ165" s="267"/>
      <c r="BA165" s="267"/>
      <c r="BB165" s="267"/>
      <c r="BC165" s="267"/>
      <c r="BD165" s="267"/>
      <c r="BE165" s="267"/>
      <c r="BF165" s="267"/>
      <c r="BG165" s="267"/>
      <c r="BH165" s="267"/>
      <c r="BI165" s="267"/>
      <c r="BJ165" s="267"/>
      <c r="BK165" s="267"/>
      <c r="BL165" s="267"/>
      <c r="BM165" s="267" t="s">
        <v>443</v>
      </c>
      <c r="BN165" s="267"/>
      <c r="BO165" s="268"/>
      <c r="BP165" s="268"/>
      <c r="BQ165" s="268"/>
      <c r="BR165" s="268"/>
      <c r="BS165" s="268"/>
      <c r="BT165" s="268"/>
      <c r="BU165" s="268"/>
      <c r="BV165" s="267"/>
      <c r="BW165" s="267"/>
      <c r="BX165" s="267"/>
      <c r="BY165" s="267"/>
      <c r="BZ165" s="267"/>
      <c r="CA165" s="267"/>
      <c r="CB165" s="267" t="s">
        <v>1946</v>
      </c>
      <c r="CC165" s="267"/>
      <c r="CD165" s="267"/>
      <c r="CE165" s="267"/>
      <c r="CF165" s="267"/>
      <c r="CG165" s="267"/>
      <c r="CH165" s="267"/>
      <c r="CI165" s="267"/>
    </row>
    <row r="166" spans="1:87" ht="16.5" outlineLevel="1">
      <c r="A166" s="260" t="str">
        <f>E166&amp;G166</f>
        <v>lt007_instr_activitysstnbl_ctgry</v>
      </c>
      <c r="B166" s="141" t="s">
        <v>26</v>
      </c>
      <c r="C166" s="137" t="s">
        <v>26</v>
      </c>
      <c r="D166" s="222" t="s">
        <v>40</v>
      </c>
      <c r="E166" s="225" t="s">
        <v>1859</v>
      </c>
      <c r="F166" s="225"/>
      <c r="G166" s="225" t="s">
        <v>419</v>
      </c>
      <c r="H166" s="222" t="str">
        <f>VLOOKUP(A166,'2. Status Detalhe Campos FY24'!$A$7:$G$731,7,0)</f>
        <v>2.1 Em Teste</v>
      </c>
      <c r="I166" s="271">
        <v>45593</v>
      </c>
      <c r="J166" s="309">
        <v>45624</v>
      </c>
      <c r="K166" s="313">
        <v>45624</v>
      </c>
      <c r="L166" s="276">
        <f t="array" ref="L166">MIN(IF(W166:CI166&gt;0,$W$16:$CI$16))</f>
        <v>45644</v>
      </c>
      <c r="M166" s="277">
        <f t="array" ref="M166">MAX(IF(W166:CI166&gt;0,$W$16:$CI$16))</f>
        <v>45644</v>
      </c>
      <c r="N166" s="277"/>
      <c r="O166" s="235">
        <f>VLOOKUP(H166,Auxiliar!$B$16:$E$24,4,0)</f>
        <v>0.25</v>
      </c>
      <c r="P166" s="235">
        <f ca="1">IF(TODAY()&lt;=L166,0,MIN((TODAY()-L166)/(M166-L166+1),100%))</f>
        <v>1</v>
      </c>
      <c r="Q166" s="234">
        <f t="shared" ca="1" si="33"/>
        <v>-0.75</v>
      </c>
      <c r="R166" s="248" t="s">
        <v>38</v>
      </c>
      <c r="S166" s="266"/>
      <c r="T166" s="285">
        <v>4.0999999999999996</v>
      </c>
      <c r="U166" s="256">
        <f>ROUND(T166/8,1)</f>
        <v>0.5</v>
      </c>
      <c r="V166" s="256">
        <f>SUM(W166:CI166)-U166</f>
        <v>0</v>
      </c>
      <c r="W166" s="267"/>
      <c r="X166" s="267"/>
      <c r="Y166" s="267"/>
      <c r="Z166" s="275"/>
      <c r="AA166" s="267"/>
      <c r="AB166" s="267"/>
      <c r="AC166" s="267"/>
      <c r="AD166" s="268"/>
      <c r="AE166" s="267"/>
      <c r="AF166" s="267"/>
      <c r="AG166" s="267"/>
      <c r="AH166" s="267"/>
      <c r="AI166" s="267"/>
      <c r="AJ166" s="267"/>
      <c r="AK166" s="267"/>
      <c r="AL166" s="267"/>
      <c r="AM166" s="267"/>
      <c r="AN166" s="267"/>
      <c r="AO166" s="267"/>
      <c r="AP166" s="267"/>
      <c r="AQ166" s="267"/>
      <c r="AR166" s="267"/>
      <c r="AS166" s="267"/>
      <c r="AT166" s="267"/>
      <c r="AU166" s="267"/>
      <c r="AV166" s="267"/>
      <c r="AW166" s="255"/>
      <c r="AX166" s="267"/>
      <c r="AY166" s="267"/>
      <c r="AZ166" s="267"/>
      <c r="BA166" s="267"/>
      <c r="BB166" s="267"/>
      <c r="BC166" s="267"/>
      <c r="BD166" s="267"/>
      <c r="BE166" s="267"/>
      <c r="BF166" s="267"/>
      <c r="BG166" s="267"/>
      <c r="BH166" s="267"/>
      <c r="BI166" s="267"/>
      <c r="BJ166" s="267"/>
      <c r="BK166" s="267">
        <v>0.5</v>
      </c>
      <c r="BL166" s="267"/>
      <c r="BM166" s="267"/>
      <c r="BN166" s="267"/>
      <c r="BO166" s="268"/>
      <c r="BP166" s="268"/>
      <c r="BQ166" s="268"/>
      <c r="BR166" s="268"/>
      <c r="BS166" s="268"/>
      <c r="BT166" s="268"/>
      <c r="BU166" s="268"/>
      <c r="BV166" s="267"/>
      <c r="BW166" s="267"/>
      <c r="BX166" s="267"/>
      <c r="BY166" s="267"/>
      <c r="BZ166" s="267"/>
      <c r="CA166" s="267"/>
      <c r="CB166" s="267"/>
      <c r="CC166" s="267"/>
      <c r="CD166" s="267"/>
      <c r="CE166" s="267"/>
      <c r="CF166" s="267"/>
      <c r="CG166" s="267"/>
      <c r="CH166" s="267"/>
      <c r="CI166" s="267"/>
    </row>
    <row r="167" spans="1:87" ht="15" customHeight="1">
      <c r="A167" s="260"/>
      <c r="B167" s="141" t="s">
        <v>26</v>
      </c>
      <c r="C167" s="137" t="s">
        <v>26</v>
      </c>
      <c r="D167" s="133"/>
      <c r="E167" s="228" t="s">
        <v>368</v>
      </c>
      <c r="F167" s="226" t="s">
        <v>1905</v>
      </c>
      <c r="G167" s="227">
        <f>COUNTA(G168:G168)</f>
        <v>1</v>
      </c>
      <c r="H167" s="281" t="s">
        <v>1915</v>
      </c>
      <c r="I167" s="264">
        <f>MAX(I168:I173)</f>
        <v>45646</v>
      </c>
      <c r="J167" s="263">
        <f>MIN(J168:J173)</f>
        <v>45624</v>
      </c>
      <c r="K167" s="312">
        <f>MIN(K168:K173)</f>
        <v>45624</v>
      </c>
      <c r="L167" s="263">
        <f>MIN(L168:L173)</f>
        <v>45630</v>
      </c>
      <c r="M167" s="264">
        <f>MAX(M168:M173)</f>
        <v>45667</v>
      </c>
      <c r="N167" s="308">
        <f t="array" ref="N167">MAX(IF(W167:CI167&gt;0,$W$16:$CI$16))</f>
        <v>45667</v>
      </c>
      <c r="O167" s="307">
        <f>SUMPRODUCT(O168:O168,U168:U168)/SUM(U168:U168)</f>
        <v>1</v>
      </c>
      <c r="P167" s="307">
        <f ca="1">SUMPRODUCT(P168:P168,U168:U168)/SUM(U168:U168)</f>
        <v>1</v>
      </c>
      <c r="Q167" s="234">
        <f t="shared" ref="Q167:Q188" ca="1" si="38">O167-P167</f>
        <v>0</v>
      </c>
      <c r="R167" s="325" t="s">
        <v>1949</v>
      </c>
      <c r="S167" s="266"/>
      <c r="T167" s="256"/>
      <c r="U167" s="256"/>
      <c r="V167" s="256"/>
      <c r="W167" s="267"/>
      <c r="X167" s="267"/>
      <c r="Y167" s="267"/>
      <c r="Z167" s="267"/>
      <c r="AA167" s="267"/>
      <c r="AB167" s="267"/>
      <c r="AC167" s="267"/>
      <c r="AD167" s="268"/>
      <c r="AE167" s="267"/>
      <c r="AF167" s="267"/>
      <c r="AG167" s="267"/>
      <c r="AH167" s="267"/>
      <c r="AI167" s="267"/>
      <c r="AJ167" s="267"/>
      <c r="AK167" s="267"/>
      <c r="AL167" s="267"/>
      <c r="AM167" s="267"/>
      <c r="AN167" s="267"/>
      <c r="AO167" s="267"/>
      <c r="AP167" s="267"/>
      <c r="AQ167" s="267"/>
      <c r="AR167" s="267"/>
      <c r="AS167" s="267"/>
      <c r="AT167" s="267"/>
      <c r="AU167" s="267"/>
      <c r="AV167" s="267"/>
      <c r="AW167" s="255"/>
      <c r="AX167" s="267"/>
      <c r="AY167" s="267"/>
      <c r="AZ167" s="267"/>
      <c r="BA167" s="267"/>
      <c r="BB167" s="267"/>
      <c r="BC167" s="267"/>
      <c r="BD167" s="267"/>
      <c r="BE167" s="267"/>
      <c r="BF167" s="267"/>
      <c r="BG167" s="267"/>
      <c r="BH167" s="267"/>
      <c r="BI167" s="267"/>
      <c r="BJ167" s="267"/>
      <c r="BK167" s="267"/>
      <c r="BL167" s="267"/>
      <c r="BN167" s="267"/>
      <c r="BO167" s="268"/>
      <c r="BP167" s="268"/>
      <c r="BQ167" s="268"/>
      <c r="BR167" s="268"/>
      <c r="BS167" s="268"/>
      <c r="BT167" s="268"/>
      <c r="BU167" s="268"/>
      <c r="BV167" s="267"/>
      <c r="BW167" s="267"/>
      <c r="BX167" s="267"/>
      <c r="BY167" s="267"/>
      <c r="BZ167" s="267"/>
      <c r="CA167" s="267"/>
      <c r="CB167" s="267" t="s">
        <v>443</v>
      </c>
      <c r="CC167" s="267"/>
      <c r="CD167" s="267"/>
      <c r="CE167" s="267"/>
      <c r="CF167" s="267"/>
      <c r="CG167" s="267"/>
      <c r="CH167" s="267"/>
      <c r="CI167" s="267"/>
    </row>
    <row r="168" spans="1:87" ht="16.5" outlineLevel="1">
      <c r="A168" s="260" t="str">
        <f t="shared" ref="A168:A173" si="39">E168&amp;G168</f>
        <v>lt004_protectionprtctn_vl</v>
      </c>
      <c r="B168" s="141" t="s">
        <v>26</v>
      </c>
      <c r="C168" s="137" t="s">
        <v>26</v>
      </c>
      <c r="D168" s="222" t="s">
        <v>40</v>
      </c>
      <c r="E168" s="225" t="s">
        <v>368</v>
      </c>
      <c r="F168" s="225"/>
      <c r="G168" s="225" t="s">
        <v>438</v>
      </c>
      <c r="H168" s="222" t="str">
        <f>VLOOKUP(A168,'2. Status Detalhe Campos FY24'!$A$7:$G$731,7,0)</f>
        <v>1. Concluído</v>
      </c>
      <c r="I168" s="271">
        <v>45588</v>
      </c>
      <c r="J168" s="309">
        <v>45624</v>
      </c>
      <c r="K168" s="313">
        <v>45624</v>
      </c>
      <c r="L168" s="276">
        <f t="array" ref="L168">MIN(IF(W168:CI168&gt;0,$W$16:$CI$16))</f>
        <v>45642</v>
      </c>
      <c r="M168" s="277">
        <f t="array" ref="M168">MAX(IF(W168:CI168&gt;0,$W$16:$CI$16))</f>
        <v>45642</v>
      </c>
      <c r="N168" s="277"/>
      <c r="O168" s="235">
        <f>VLOOKUP(H168,Auxiliar!$B$16:$E$24,4,0)</f>
        <v>1</v>
      </c>
      <c r="P168" s="235">
        <f t="shared" ref="P168:P173" ca="1" si="40">IF(TODAY()&lt;=L168,0,MIN((TODAY()-L168)/(M168-L168+1),100%))</f>
        <v>1</v>
      </c>
      <c r="Q168" s="234">
        <f t="shared" ca="1" si="38"/>
        <v>0</v>
      </c>
      <c r="R168" s="248" t="s">
        <v>38</v>
      </c>
      <c r="S168" s="266"/>
      <c r="T168" s="285">
        <v>4.0999999999999996</v>
      </c>
      <c r="U168" s="256">
        <f t="shared" ref="U168:U173" si="41">ROUND(T168/8,1)</f>
        <v>0.5</v>
      </c>
      <c r="V168" s="256">
        <f>SUM(W168:CI168)-U168</f>
        <v>0</v>
      </c>
      <c r="W168" s="283"/>
      <c r="X168" s="275"/>
      <c r="Y168" s="267"/>
      <c r="Z168" s="267"/>
      <c r="AA168" s="267"/>
      <c r="AB168" s="267"/>
      <c r="AC168" s="267"/>
      <c r="AD168" s="268"/>
      <c r="AE168" s="267"/>
      <c r="AF168" s="267"/>
      <c r="AG168" s="267"/>
      <c r="AH168" s="267"/>
      <c r="AI168" s="267"/>
      <c r="AJ168" s="267"/>
      <c r="AK168" s="267"/>
      <c r="AL168" s="267"/>
      <c r="AM168" s="267"/>
      <c r="AN168" s="267"/>
      <c r="AO168" s="267"/>
      <c r="AP168" s="267"/>
      <c r="AQ168" s="267"/>
      <c r="AR168" s="267"/>
      <c r="AS168" s="267"/>
      <c r="AT168" s="267"/>
      <c r="AU168" s="267"/>
      <c r="AV168" s="267"/>
      <c r="AW168" s="255"/>
      <c r="AX168" s="267"/>
      <c r="AY168" s="267"/>
      <c r="AZ168" s="267"/>
      <c r="BA168" s="267"/>
      <c r="BB168" s="267"/>
      <c r="BC168" s="267"/>
      <c r="BD168" s="267"/>
      <c r="BE168" s="267"/>
      <c r="BF168" s="267"/>
      <c r="BG168" s="267"/>
      <c r="BH168" s="267"/>
      <c r="BI168" s="267">
        <v>0.5</v>
      </c>
      <c r="BJ168" s="267"/>
      <c r="BK168" s="267"/>
      <c r="BL168" s="267"/>
      <c r="BM168" s="267"/>
      <c r="BN168" s="267"/>
      <c r="BO168" s="268"/>
      <c r="BP168" s="268"/>
      <c r="BQ168" s="268"/>
      <c r="BR168" s="268"/>
      <c r="BS168" s="268"/>
      <c r="BT168" s="268"/>
      <c r="BU168" s="268"/>
      <c r="BV168" s="267"/>
      <c r="BW168" s="267"/>
      <c r="BX168" s="267"/>
      <c r="BY168" s="267"/>
      <c r="BZ168" s="267"/>
      <c r="CA168" s="267"/>
      <c r="CB168" s="267"/>
      <c r="CC168" s="267"/>
      <c r="CD168" s="267"/>
      <c r="CE168" s="267"/>
      <c r="CF168" s="267"/>
      <c r="CG168" s="267"/>
      <c r="CH168" s="267"/>
      <c r="CI168" s="267"/>
    </row>
    <row r="169" spans="1:87" ht="15" customHeight="1" collapsed="1">
      <c r="A169" s="260"/>
      <c r="B169" s="141" t="s">
        <v>26</v>
      </c>
      <c r="C169" s="137" t="s">
        <v>26</v>
      </c>
      <c r="D169" s="133"/>
      <c r="E169" s="228" t="s">
        <v>368</v>
      </c>
      <c r="F169" s="226" t="s">
        <v>1905</v>
      </c>
      <c r="G169" s="227">
        <f>COUNTA(G170:G173)</f>
        <v>4</v>
      </c>
      <c r="H169" s="341" t="s">
        <v>1207</v>
      </c>
      <c r="I169" s="264">
        <f>MAX(I170:M173)</f>
        <v>45646</v>
      </c>
      <c r="J169" s="263">
        <f>MIN(J170:J176)</f>
        <v>45624</v>
      </c>
      <c r="K169" s="312">
        <f>MIN(K170:K176)</f>
        <v>45624</v>
      </c>
      <c r="L169" s="263">
        <f>MIN(L170:L176)</f>
        <v>45630</v>
      </c>
      <c r="M169" s="264">
        <f>MAX(M170:M176)</f>
        <v>45667</v>
      </c>
      <c r="N169" s="308">
        <f t="array" ref="N169">MAX(IF(W169:CI169&gt;0,$W$16:$CI$16))</f>
        <v>45646</v>
      </c>
      <c r="O169" s="342"/>
      <c r="P169" s="342"/>
      <c r="Q169" s="234">
        <f>O169-P169</f>
        <v>0</v>
      </c>
      <c r="R169" s="325" t="s">
        <v>1961</v>
      </c>
      <c r="S169" s="266"/>
      <c r="T169" s="256"/>
      <c r="U169" s="256"/>
      <c r="V169" s="256"/>
      <c r="W169" s="267"/>
      <c r="X169" s="267"/>
      <c r="Y169" s="267"/>
      <c r="Z169" s="267"/>
      <c r="AA169" s="267"/>
      <c r="AB169" s="267"/>
      <c r="AC169" s="267"/>
      <c r="AD169" s="268"/>
      <c r="AE169" s="267"/>
      <c r="AF169" s="267"/>
      <c r="AG169" s="267"/>
      <c r="AH169" s="267"/>
      <c r="AI169" s="267"/>
      <c r="AJ169" s="267"/>
      <c r="AK169" s="267"/>
      <c r="AL169" s="267"/>
      <c r="AM169" s="267"/>
      <c r="AN169" s="267"/>
      <c r="AO169" s="267"/>
      <c r="AP169" s="267"/>
      <c r="AQ169" s="267"/>
      <c r="AR169" s="267"/>
      <c r="AS169" s="267"/>
      <c r="AT169" s="267"/>
      <c r="AU169" s="267"/>
      <c r="AV169" s="267"/>
      <c r="AW169" s="255"/>
      <c r="AX169" s="267"/>
      <c r="AY169" s="267"/>
      <c r="AZ169" s="267"/>
      <c r="BA169" s="267"/>
      <c r="BB169" s="267"/>
      <c r="BC169" s="267"/>
      <c r="BD169" s="267"/>
      <c r="BE169" s="267"/>
      <c r="BF169" s="267"/>
      <c r="BG169" s="267"/>
      <c r="BH169" s="267"/>
      <c r="BI169" s="267"/>
      <c r="BJ169" s="267"/>
      <c r="BK169" s="267"/>
      <c r="BL169" s="267"/>
      <c r="BM169" s="267" t="s">
        <v>443</v>
      </c>
      <c r="BN169" s="267"/>
      <c r="BO169" s="268"/>
      <c r="BP169" s="268"/>
      <c r="BQ169" s="268"/>
      <c r="BR169" s="268"/>
      <c r="BS169" s="268"/>
      <c r="BT169" s="268"/>
      <c r="BU169" s="268"/>
      <c r="BV169" s="267"/>
      <c r="BW169" s="267"/>
      <c r="BX169" s="267"/>
      <c r="BY169" s="267"/>
      <c r="BZ169" s="267"/>
      <c r="CA169" s="267"/>
      <c r="CB169" s="267"/>
      <c r="CC169" s="267"/>
      <c r="CD169" s="267"/>
      <c r="CE169" s="267"/>
      <c r="CF169" s="267"/>
      <c r="CG169" s="267"/>
      <c r="CH169" s="267"/>
      <c r="CI169" s="267"/>
    </row>
    <row r="170" spans="1:87" ht="16.5" outlineLevel="1">
      <c r="A170" s="260" t="str">
        <f t="shared" si="39"/>
        <v>lt004_protectionflg_fin</v>
      </c>
      <c r="B170" s="141" t="s">
        <v>26</v>
      </c>
      <c r="C170" s="137" t="s">
        <v>26</v>
      </c>
      <c r="D170" s="222" t="s">
        <v>40</v>
      </c>
      <c r="E170" s="225" t="s">
        <v>368</v>
      </c>
      <c r="F170" s="225"/>
      <c r="G170" s="225" t="s">
        <v>480</v>
      </c>
      <c r="H170" s="222" t="str">
        <f>VLOOKUP(A170,'2. Status Detalhe Campos FY24'!$A$7:$G$731,7,0)</f>
        <v>0. Cancelado</v>
      </c>
      <c r="I170" s="262">
        <v>45593</v>
      </c>
      <c r="J170" s="309">
        <v>45624</v>
      </c>
      <c r="K170" s="313">
        <v>45624</v>
      </c>
      <c r="L170" s="276">
        <f t="array" ref="L170">MIN(IF(W170:CI170&gt;0,$W$16:$CI$16))</f>
        <v>45645</v>
      </c>
      <c r="M170" s="277">
        <f t="array" ref="M170">MAX(IF(W170:CI170&gt;0,$W$16:$CI$16))</f>
        <v>45645</v>
      </c>
      <c r="N170" s="277"/>
      <c r="O170" s="235">
        <f>VLOOKUP(H170,Auxiliar!$B$16:$E$24,4,0)</f>
        <v>0</v>
      </c>
      <c r="P170" s="235">
        <f t="shared" ca="1" si="40"/>
        <v>1</v>
      </c>
      <c r="Q170" s="234">
        <f t="shared" ca="1" si="38"/>
        <v>-1</v>
      </c>
      <c r="R170" s="248" t="s">
        <v>38</v>
      </c>
      <c r="S170" s="266"/>
      <c r="T170" s="256">
        <v>4.0999999999999996</v>
      </c>
      <c r="U170" s="256">
        <f t="shared" si="41"/>
        <v>0.5</v>
      </c>
      <c r="V170" s="256">
        <f>SUM(W170:CI170)-U170</f>
        <v>0</v>
      </c>
      <c r="W170" s="267"/>
      <c r="X170" s="267"/>
      <c r="Y170" s="267"/>
      <c r="Z170" s="267"/>
      <c r="AA170" s="267"/>
      <c r="AB170" s="267"/>
      <c r="AC170" s="267"/>
      <c r="AD170" s="268"/>
      <c r="AE170" s="267"/>
      <c r="AF170" s="267"/>
      <c r="AG170" s="267"/>
      <c r="AH170" s="267"/>
      <c r="AI170" s="267"/>
      <c r="AJ170" s="267"/>
      <c r="AK170" s="267"/>
      <c r="AL170" s="267"/>
      <c r="AM170" s="267"/>
      <c r="AN170" s="267"/>
      <c r="AO170" s="267"/>
      <c r="AP170" s="267"/>
      <c r="AQ170" s="267"/>
      <c r="AR170" s="267"/>
      <c r="AS170" s="267"/>
      <c r="AT170" s="267"/>
      <c r="AU170" s="267"/>
      <c r="AV170" s="267"/>
      <c r="AW170" s="255"/>
      <c r="AX170" s="267"/>
      <c r="AY170" s="267"/>
      <c r="AZ170" s="267"/>
      <c r="BA170" s="267"/>
      <c r="BB170" s="267"/>
      <c r="BC170" s="267"/>
      <c r="BD170" s="267"/>
      <c r="BE170" s="267"/>
      <c r="BF170" s="267"/>
      <c r="BG170" s="267"/>
      <c r="BH170" s="267"/>
      <c r="BI170" s="267"/>
      <c r="BJ170" s="267"/>
      <c r="BK170" s="267"/>
      <c r="BL170" s="267">
        <v>0.5</v>
      </c>
      <c r="BM170" s="267"/>
      <c r="BN170" s="267"/>
      <c r="BO170" s="268"/>
      <c r="BP170" s="268"/>
      <c r="BQ170" s="268"/>
      <c r="BR170" s="268"/>
      <c r="BS170" s="268"/>
      <c r="BT170" s="268"/>
      <c r="BU170" s="268"/>
      <c r="BV170" s="267"/>
      <c r="BW170" s="267"/>
      <c r="BX170" s="267"/>
      <c r="BY170" s="267"/>
      <c r="BZ170" s="267"/>
      <c r="CA170" s="267"/>
      <c r="CB170" s="267"/>
      <c r="CC170" s="267"/>
      <c r="CD170" s="267"/>
      <c r="CE170" s="267"/>
      <c r="CF170" s="267"/>
      <c r="CG170" s="267"/>
      <c r="CH170" s="267"/>
      <c r="CI170" s="267"/>
    </row>
    <row r="171" spans="1:87" ht="16.5" outlineLevel="1">
      <c r="A171" s="260" t="str">
        <f>E171&amp;G171</f>
        <v>lt004_protectionflg_col</v>
      </c>
      <c r="B171" s="141" t="s">
        <v>26</v>
      </c>
      <c r="C171" s="137" t="s">
        <v>26</v>
      </c>
      <c r="D171" s="222" t="s">
        <v>40</v>
      </c>
      <c r="E171" s="225" t="s">
        <v>368</v>
      </c>
      <c r="F171" s="225"/>
      <c r="G171" s="225" t="s">
        <v>479</v>
      </c>
      <c r="H171" s="222" t="str">
        <f>VLOOKUP(A171,'2. Status Detalhe Campos FY24'!$A$7:$G$731,7,0)</f>
        <v>0. Cancelado</v>
      </c>
      <c r="I171" s="262">
        <v>45593</v>
      </c>
      <c r="J171" s="309">
        <v>45624</v>
      </c>
      <c r="K171" s="313">
        <v>45624</v>
      </c>
      <c r="L171" s="276">
        <f t="array" ref="L171">MIN(IF(W171:CI171&gt;0,$W$16:$CI$16))</f>
        <v>45646</v>
      </c>
      <c r="M171" s="277">
        <f t="array" ref="M171">MAX(IF(W171:CI171&gt;0,$W$16:$CI$16))</f>
        <v>45646</v>
      </c>
      <c r="N171" s="277"/>
      <c r="O171" s="235">
        <f>VLOOKUP(H171,Auxiliar!$B$16:$E$24,4,0)</f>
        <v>0</v>
      </c>
      <c r="P171" s="235">
        <f ca="1">IF(TODAY()&lt;=L171,0,MIN((TODAY()-L171)/(M171-L171+1),100%))</f>
        <v>1</v>
      </c>
      <c r="Q171" s="234">
        <f ca="1">O171-P171</f>
        <v>-1</v>
      </c>
      <c r="R171" s="248" t="s">
        <v>38</v>
      </c>
      <c r="S171" s="266"/>
      <c r="T171" s="256">
        <v>4.0999999999999996</v>
      </c>
      <c r="U171" s="256">
        <f>ROUND(T171/8,1)</f>
        <v>0.5</v>
      </c>
      <c r="V171" s="256">
        <f>SUM(W171:CI171)-U171</f>
        <v>0</v>
      </c>
      <c r="W171" s="267"/>
      <c r="X171" s="267"/>
      <c r="Y171" s="267"/>
      <c r="Z171" s="267"/>
      <c r="AA171" s="267"/>
      <c r="AB171" s="267"/>
      <c r="AC171" s="267"/>
      <c r="AD171" s="268"/>
      <c r="AE171" s="267"/>
      <c r="AF171" s="267"/>
      <c r="AG171" s="267"/>
      <c r="AH171" s="267"/>
      <c r="AI171" s="267"/>
      <c r="AJ171" s="267"/>
      <c r="AK171" s="267"/>
      <c r="AL171" s="267"/>
      <c r="AM171" s="267"/>
      <c r="AN171" s="267"/>
      <c r="AO171" s="267"/>
      <c r="AP171" s="267"/>
      <c r="AQ171" s="267"/>
      <c r="AR171" s="267"/>
      <c r="AS171" s="267"/>
      <c r="AT171" s="267"/>
      <c r="AU171" s="267"/>
      <c r="AV171" s="267"/>
      <c r="AW171" s="255"/>
      <c r="AX171" s="267"/>
      <c r="AY171" s="267"/>
      <c r="AZ171" s="267"/>
      <c r="BA171" s="267"/>
      <c r="BB171" s="267"/>
      <c r="BC171" s="267"/>
      <c r="BD171" s="267"/>
      <c r="BE171" s="267"/>
      <c r="BF171" s="267"/>
      <c r="BG171" s="267"/>
      <c r="BH171" s="267"/>
      <c r="BI171" s="267"/>
      <c r="BJ171" s="267"/>
      <c r="BK171" s="267"/>
      <c r="BL171" s="267"/>
      <c r="BM171" s="267">
        <v>0.5</v>
      </c>
      <c r="BN171" s="267"/>
      <c r="BO171" s="268"/>
      <c r="BP171" s="268"/>
      <c r="BQ171" s="268"/>
      <c r="BR171" s="268"/>
      <c r="BS171" s="268"/>
      <c r="BT171" s="268"/>
      <c r="BU171" s="268"/>
      <c r="BV171" s="267"/>
      <c r="BW171" s="267"/>
      <c r="BX171" s="267"/>
      <c r="BY171" s="267"/>
      <c r="BZ171" s="267"/>
      <c r="CA171" s="267"/>
      <c r="CB171" s="267"/>
      <c r="CC171" s="267"/>
      <c r="CD171" s="267"/>
      <c r="CE171" s="267"/>
      <c r="CF171" s="267"/>
      <c r="CG171" s="267"/>
      <c r="CH171" s="267"/>
      <c r="CI171" s="267"/>
    </row>
    <row r="172" spans="1:87" ht="16.5" outlineLevel="1">
      <c r="A172" s="260" t="str">
        <f t="shared" si="39"/>
        <v>lt004_protectionflg_exec</v>
      </c>
      <c r="B172" s="141" t="s">
        <v>26</v>
      </c>
      <c r="C172" s="137" t="s">
        <v>26</v>
      </c>
      <c r="D172" s="222" t="s">
        <v>40</v>
      </c>
      <c r="E172" s="225" t="s">
        <v>368</v>
      </c>
      <c r="F172" s="225"/>
      <c r="G172" s="225" t="s">
        <v>1276</v>
      </c>
      <c r="H172" s="222" t="str">
        <f>VLOOKUP(A172,'2. Status Detalhe Campos FY24'!$A$7:$G$731,7,0)</f>
        <v>0. Cancelado</v>
      </c>
      <c r="I172" s="262">
        <v>45593</v>
      </c>
      <c r="J172" s="309">
        <v>45624</v>
      </c>
      <c r="K172" s="313">
        <v>45624</v>
      </c>
      <c r="L172" s="276">
        <f t="array" ref="L172">MIN(IF(W172:CI172&gt;0,$W$16:$CI$16))</f>
        <v>45645</v>
      </c>
      <c r="M172" s="277">
        <f t="array" ref="M172">MAX(IF(W172:CI172&gt;0,$W$16:$CI$16))</f>
        <v>45645</v>
      </c>
      <c r="N172" s="277"/>
      <c r="O172" s="235">
        <f>VLOOKUP(H172,Auxiliar!$B$16:$E$24,4,0)</f>
        <v>0</v>
      </c>
      <c r="P172" s="235">
        <f t="shared" ca="1" si="40"/>
        <v>1</v>
      </c>
      <c r="Q172" s="234">
        <f t="shared" ca="1" si="38"/>
        <v>-1</v>
      </c>
      <c r="R172" s="248" t="s">
        <v>38</v>
      </c>
      <c r="S172" s="266"/>
      <c r="T172" s="256">
        <v>4.0999999999999996</v>
      </c>
      <c r="U172" s="256">
        <f t="shared" si="41"/>
        <v>0.5</v>
      </c>
      <c r="V172" s="256">
        <f>SUM(W172:CI172)-U172</f>
        <v>0</v>
      </c>
      <c r="W172" s="267"/>
      <c r="X172" s="267"/>
      <c r="Y172" s="267"/>
      <c r="Z172" s="267"/>
      <c r="AA172" s="267"/>
      <c r="AB172" s="267"/>
      <c r="AC172" s="267"/>
      <c r="AD172" s="268"/>
      <c r="AE172" s="267"/>
      <c r="AF172" s="267"/>
      <c r="AG172" s="267"/>
      <c r="AH172" s="267"/>
      <c r="AI172" s="267"/>
      <c r="AJ172" s="267"/>
      <c r="AK172" s="267"/>
      <c r="AL172" s="267"/>
      <c r="AM172" s="267"/>
      <c r="AN172" s="267"/>
      <c r="AO172" s="267"/>
      <c r="AP172" s="267"/>
      <c r="AQ172" s="267"/>
      <c r="AR172" s="267"/>
      <c r="AS172" s="267"/>
      <c r="AT172" s="267"/>
      <c r="AU172" s="267"/>
      <c r="AV172" s="267"/>
      <c r="AW172" s="255"/>
      <c r="AX172" s="267"/>
      <c r="AY172" s="267"/>
      <c r="AZ172" s="267"/>
      <c r="BA172" s="267"/>
      <c r="BB172" s="267"/>
      <c r="BC172" s="267"/>
      <c r="BD172" s="267"/>
      <c r="BE172" s="267"/>
      <c r="BF172" s="267"/>
      <c r="BG172" s="267"/>
      <c r="BH172" s="267"/>
      <c r="BI172" s="267"/>
      <c r="BJ172" s="267"/>
      <c r="BK172" s="267"/>
      <c r="BL172" s="267">
        <v>0.5</v>
      </c>
      <c r="BM172" s="267"/>
      <c r="BN172" s="267"/>
      <c r="BO172" s="268"/>
      <c r="BP172" s="268"/>
      <c r="BQ172" s="268"/>
      <c r="BR172" s="268"/>
      <c r="BS172" s="268"/>
      <c r="BT172" s="268"/>
      <c r="BU172" s="268"/>
      <c r="BV172" s="267"/>
      <c r="BW172" s="267"/>
      <c r="BX172" s="267"/>
      <c r="BY172" s="267"/>
      <c r="BZ172" s="267"/>
      <c r="CA172" s="267"/>
      <c r="CB172" s="267"/>
      <c r="CC172" s="267"/>
      <c r="CD172" s="267"/>
      <c r="CE172" s="267"/>
      <c r="CF172" s="267"/>
      <c r="CG172" s="267"/>
      <c r="CH172" s="267"/>
      <c r="CI172" s="267"/>
    </row>
    <row r="173" spans="1:87" ht="16.5" outlineLevel="1">
      <c r="A173" s="260" t="str">
        <f t="shared" si="39"/>
        <v>lt004_protectionflg_pro</v>
      </c>
      <c r="B173" s="141" t="s">
        <v>26</v>
      </c>
      <c r="C173" s="137" t="s">
        <v>26</v>
      </c>
      <c r="D173" s="222" t="s">
        <v>40</v>
      </c>
      <c r="E173" s="225" t="s">
        <v>368</v>
      </c>
      <c r="F173" s="225"/>
      <c r="G173" s="225" t="s">
        <v>481</v>
      </c>
      <c r="H173" s="222" t="str">
        <f>VLOOKUP(A173,'2. Status Detalhe Campos FY24'!$A$7:$G$731,7,0)</f>
        <v>0. Cancelado</v>
      </c>
      <c r="I173" s="262">
        <v>45593</v>
      </c>
      <c r="J173" s="309">
        <v>45624</v>
      </c>
      <c r="K173" s="313">
        <v>45624</v>
      </c>
      <c r="L173" s="276">
        <f t="array" ref="L173">MIN(IF(W173:CI173&gt;0,$W$16:$CI$16))</f>
        <v>45646</v>
      </c>
      <c r="M173" s="277">
        <f t="array" ref="M173">MAX(IF(W173:CI173&gt;0,$W$16:$CI$16))</f>
        <v>45646</v>
      </c>
      <c r="N173" s="277"/>
      <c r="O173" s="235">
        <f>VLOOKUP(H173,Auxiliar!$B$16:$E$24,4,0)</f>
        <v>0</v>
      </c>
      <c r="P173" s="235">
        <f t="shared" ca="1" si="40"/>
        <v>1</v>
      </c>
      <c r="Q173" s="234">
        <f t="shared" ca="1" si="38"/>
        <v>-1</v>
      </c>
      <c r="R173" s="248" t="s">
        <v>38</v>
      </c>
      <c r="S173" s="266"/>
      <c r="T173" s="256">
        <v>4.0999999999999996</v>
      </c>
      <c r="U173" s="256">
        <f t="shared" si="41"/>
        <v>0.5</v>
      </c>
      <c r="V173" s="256">
        <f>SUM(W173:CI173)-U173</f>
        <v>0</v>
      </c>
      <c r="W173" s="267"/>
      <c r="X173" s="267"/>
      <c r="Y173" s="267"/>
      <c r="Z173" s="267"/>
      <c r="AA173" s="267"/>
      <c r="AB173" s="267"/>
      <c r="AC173" s="267"/>
      <c r="AD173" s="268"/>
      <c r="AE173" s="267"/>
      <c r="AF173" s="267"/>
      <c r="AG173" s="267"/>
      <c r="AH173" s="267"/>
      <c r="AI173" s="267"/>
      <c r="AJ173" s="267"/>
      <c r="AK173" s="267"/>
      <c r="AL173" s="267"/>
      <c r="AM173" s="267"/>
      <c r="AN173" s="267"/>
      <c r="AO173" s="267"/>
      <c r="AP173" s="267"/>
      <c r="AQ173" s="267"/>
      <c r="AR173" s="267"/>
      <c r="AS173" s="267"/>
      <c r="AT173" s="267"/>
      <c r="AU173" s="267"/>
      <c r="AV173" s="267"/>
      <c r="AW173" s="255"/>
      <c r="AX173" s="267"/>
      <c r="AY173" s="267"/>
      <c r="AZ173" s="267"/>
      <c r="BA173" s="267"/>
      <c r="BB173" s="267"/>
      <c r="BC173" s="267"/>
      <c r="BD173" s="267"/>
      <c r="BE173" s="267"/>
      <c r="BF173" s="267"/>
      <c r="BG173" s="267"/>
      <c r="BH173" s="267"/>
      <c r="BI173" s="267"/>
      <c r="BJ173" s="267"/>
      <c r="BK173" s="267"/>
      <c r="BL173" s="267"/>
      <c r="BM173" s="267">
        <v>0.5</v>
      </c>
      <c r="BN173" s="267"/>
      <c r="BO173" s="268"/>
      <c r="BP173" s="268"/>
      <c r="BQ173" s="268"/>
      <c r="BR173" s="268"/>
      <c r="BS173" s="268"/>
      <c r="BT173" s="268"/>
      <c r="BU173" s="268"/>
      <c r="BV173" s="267"/>
      <c r="BW173" s="267"/>
      <c r="BX173" s="267"/>
      <c r="BY173" s="267"/>
      <c r="BZ173" s="267"/>
      <c r="CA173" s="267"/>
      <c r="CB173" s="267"/>
      <c r="CC173" s="267"/>
      <c r="CD173" s="267"/>
      <c r="CE173" s="267"/>
      <c r="CF173" s="267"/>
      <c r="CG173" s="267"/>
      <c r="CH173" s="267"/>
      <c r="CI173" s="267"/>
    </row>
    <row r="174" spans="1:87" ht="15" customHeight="1" collapsed="1">
      <c r="A174" s="260"/>
      <c r="B174" s="141" t="s">
        <v>26</v>
      </c>
      <c r="C174" s="137" t="s">
        <v>26</v>
      </c>
      <c r="D174" s="133"/>
      <c r="E174" s="228" t="s">
        <v>368</v>
      </c>
      <c r="F174" s="226" t="s">
        <v>1945</v>
      </c>
      <c r="G174" s="227">
        <f>COUNTA(G175)</f>
        <v>1</v>
      </c>
      <c r="H174" s="281" t="s">
        <v>1915</v>
      </c>
      <c r="I174" s="290">
        <f>MIN(I175)</f>
        <v>45603</v>
      </c>
      <c r="J174" s="263">
        <f>MIN(J175)</f>
        <v>45624</v>
      </c>
      <c r="K174" s="312">
        <f>MIN(K175)</f>
        <v>45624</v>
      </c>
      <c r="L174" s="263">
        <f>MIN(L175)</f>
        <v>45645</v>
      </c>
      <c r="M174" s="264">
        <f>MAX(M175)</f>
        <v>45645</v>
      </c>
      <c r="N174" s="308">
        <f t="array" ref="N174">MAX(IF(W174:CI174&gt;0,$W$16:$CI$16))</f>
        <v>45667</v>
      </c>
      <c r="O174" s="307">
        <f>O175</f>
        <v>1</v>
      </c>
      <c r="P174" s="307">
        <f ca="1">P175</f>
        <v>1</v>
      </c>
      <c r="Q174" s="234">
        <f t="shared" ca="1" si="38"/>
        <v>0</v>
      </c>
      <c r="R174" s="325" t="s">
        <v>1950</v>
      </c>
      <c r="S174" s="266"/>
      <c r="T174" s="256"/>
      <c r="U174" s="256"/>
      <c r="V174" s="256"/>
      <c r="W174" s="267"/>
      <c r="X174" s="267"/>
      <c r="Y174" s="267"/>
      <c r="Z174" s="267"/>
      <c r="AA174" s="267"/>
      <c r="AB174" s="267"/>
      <c r="AC174" s="267"/>
      <c r="AD174" s="268"/>
      <c r="AE174" s="267"/>
      <c r="AF174" s="267"/>
      <c r="AG174" s="267"/>
      <c r="AH174" s="275"/>
      <c r="AI174" s="267"/>
      <c r="AJ174" s="267"/>
      <c r="AK174" s="267"/>
      <c r="AL174" s="267"/>
      <c r="AM174" s="267"/>
      <c r="AN174" s="267"/>
      <c r="AO174" s="267"/>
      <c r="AP174" s="267"/>
      <c r="AQ174" s="267"/>
      <c r="AR174" s="267"/>
      <c r="AS174" s="267"/>
      <c r="AT174" s="267"/>
      <c r="AU174" s="267"/>
      <c r="AV174" s="267"/>
      <c r="AW174" s="255"/>
      <c r="AX174" s="267"/>
      <c r="AY174" s="267"/>
      <c r="AZ174" s="267"/>
      <c r="BA174" s="267"/>
      <c r="BB174" s="267"/>
      <c r="BC174" s="267"/>
      <c r="BD174" s="267"/>
      <c r="BE174" s="267"/>
      <c r="BF174" s="267"/>
      <c r="BG174" s="267"/>
      <c r="BH174" s="267"/>
      <c r="BI174" s="267"/>
      <c r="BJ174" s="267"/>
      <c r="BK174" s="267"/>
      <c r="BL174" s="267"/>
      <c r="BM174" s="267" t="s">
        <v>443</v>
      </c>
      <c r="BN174" s="267"/>
      <c r="BO174" s="268"/>
      <c r="BP174" s="268"/>
      <c r="BQ174" s="268"/>
      <c r="BR174" s="268"/>
      <c r="BS174" s="268"/>
      <c r="BT174" s="268"/>
      <c r="BU174" s="268"/>
      <c r="BV174" s="267"/>
      <c r="BW174" s="267"/>
      <c r="BX174" s="267"/>
      <c r="BY174" s="267"/>
      <c r="BZ174" s="267"/>
      <c r="CA174" s="267"/>
      <c r="CB174" s="267" t="s">
        <v>443</v>
      </c>
      <c r="CC174" s="267"/>
      <c r="CD174" s="267"/>
      <c r="CE174" s="267"/>
      <c r="CF174" s="267"/>
      <c r="CG174" s="267"/>
      <c r="CH174" s="267"/>
      <c r="CI174" s="267"/>
    </row>
    <row r="175" spans="1:87" ht="16.5" outlineLevel="1">
      <c r="A175" s="260" t="str">
        <f>E175&amp;G175</f>
        <v>lt004_protectiontyp_prtctn</v>
      </c>
      <c r="B175" s="141" t="s">
        <v>26</v>
      </c>
      <c r="C175" s="137" t="s">
        <v>26</v>
      </c>
      <c r="D175" s="222" t="s">
        <v>40</v>
      </c>
      <c r="E175" s="225" t="s">
        <v>368</v>
      </c>
      <c r="F175" s="225"/>
      <c r="G175" s="225" t="s">
        <v>436</v>
      </c>
      <c r="H175" s="222" t="str">
        <f>VLOOKUP(A175,'2. Status Detalhe Campos FY24'!$A$7:$G$731,7,0)</f>
        <v>1. Concluído</v>
      </c>
      <c r="I175" s="293">
        <v>45603</v>
      </c>
      <c r="J175" s="293">
        <v>45624</v>
      </c>
      <c r="K175" s="293">
        <v>45624</v>
      </c>
      <c r="L175" s="276">
        <f t="array" ref="L175">MIN(IF(W175:CI175&gt;0,$W$16:$CI$16))</f>
        <v>45645</v>
      </c>
      <c r="M175" s="277">
        <f t="array" ref="M175">MAX(IF(W175:CI175&gt;0,$W$16:$CI$16))</f>
        <v>45645</v>
      </c>
      <c r="N175" s="277"/>
      <c r="O175" s="235">
        <f>VLOOKUP(H175,Auxiliar!$B$16:$E$24,4,0)</f>
        <v>1</v>
      </c>
      <c r="P175" s="235">
        <f ca="1">IF(TODAY()&lt;=L175,0,MIN((TODAY()-L175)/(M175-L175+1),100%))</f>
        <v>1</v>
      </c>
      <c r="Q175" s="234">
        <f t="shared" ca="1" si="38"/>
        <v>0</v>
      </c>
      <c r="R175" s="248" t="s">
        <v>38</v>
      </c>
      <c r="S175" s="266"/>
      <c r="T175" s="285">
        <v>4.0999999999999996</v>
      </c>
      <c r="U175" s="256">
        <f>ROUND(T175/8,1)</f>
        <v>0.5</v>
      </c>
      <c r="V175" s="256">
        <f>SUM(W175:CI175)-U175</f>
        <v>0</v>
      </c>
      <c r="W175" s="267"/>
      <c r="X175" s="267"/>
      <c r="Y175" s="267"/>
      <c r="Z175" s="267"/>
      <c r="AA175" s="267"/>
      <c r="AB175" s="283"/>
      <c r="AC175" s="267"/>
      <c r="AD175" s="268"/>
      <c r="AE175" s="267"/>
      <c r="AF175" s="267"/>
      <c r="AG175" s="267"/>
      <c r="AH175" s="275"/>
      <c r="AI175" s="267"/>
      <c r="AJ175" s="267"/>
      <c r="AK175" s="267"/>
      <c r="AL175" s="267"/>
      <c r="AM175" s="267"/>
      <c r="AN175" s="267"/>
      <c r="AO175" s="267"/>
      <c r="AP175" s="267"/>
      <c r="AQ175" s="267"/>
      <c r="AR175" s="267"/>
      <c r="AS175" s="267"/>
      <c r="AT175" s="267"/>
      <c r="AU175" s="267"/>
      <c r="AV175" s="267"/>
      <c r="AW175" s="255"/>
      <c r="AX175" s="267"/>
      <c r="AY175" s="267"/>
      <c r="AZ175" s="267"/>
      <c r="BA175" s="267"/>
      <c r="BB175" s="267"/>
      <c r="BC175" s="267"/>
      <c r="BD175" s="267"/>
      <c r="BE175" s="267"/>
      <c r="BF175" s="267"/>
      <c r="BG175" s="267"/>
      <c r="BH175" s="267"/>
      <c r="BI175" s="267"/>
      <c r="BJ175" s="267"/>
      <c r="BK175" s="267"/>
      <c r="BL175" s="267">
        <v>0.5</v>
      </c>
      <c r="BM175" s="267"/>
      <c r="BN175" s="267"/>
      <c r="BO175" s="268"/>
      <c r="BP175" s="268"/>
      <c r="BQ175" s="268"/>
      <c r="BR175" s="268"/>
      <c r="BS175" s="268"/>
      <c r="BT175" s="268"/>
      <c r="BU175" s="268"/>
      <c r="BV175" s="267"/>
      <c r="BW175" s="267"/>
      <c r="BX175" s="267"/>
      <c r="BY175" s="267"/>
      <c r="BZ175" s="267"/>
      <c r="CA175" s="267"/>
      <c r="CB175" s="267"/>
      <c r="CC175" s="267"/>
      <c r="CD175" s="267"/>
      <c r="CE175" s="267"/>
      <c r="CF175" s="267"/>
      <c r="CG175" s="267"/>
      <c r="CH175" s="267"/>
      <c r="CI175" s="267"/>
    </row>
    <row r="176" spans="1:87" ht="15" customHeight="1" collapsed="1">
      <c r="A176" s="260"/>
      <c r="B176" s="141" t="s">
        <v>26</v>
      </c>
      <c r="C176" s="137" t="s">
        <v>310</v>
      </c>
      <c r="D176" s="133"/>
      <c r="E176" s="226" t="s">
        <v>333</v>
      </c>
      <c r="F176" s="226" t="s">
        <v>1883</v>
      </c>
      <c r="G176" s="227">
        <f>COUNTA(G177:G188)</f>
        <v>12</v>
      </c>
      <c r="H176" s="280" t="s">
        <v>1914</v>
      </c>
      <c r="I176" s="262" t="s">
        <v>38</v>
      </c>
      <c r="J176" s="282">
        <f>MIN(J177:J188)</f>
        <v>45628</v>
      </c>
      <c r="K176" s="312">
        <f>MIN(K177:K188)</f>
        <v>45629</v>
      </c>
      <c r="L176" s="263">
        <f>MIN(L177:L188)</f>
        <v>45630</v>
      </c>
      <c r="M176" s="264">
        <f>MAX(M177:M188)</f>
        <v>45667</v>
      </c>
      <c r="N176" s="308" t="s">
        <v>1862</v>
      </c>
      <c r="O176" s="238">
        <v>0</v>
      </c>
      <c r="P176" s="238">
        <v>0</v>
      </c>
      <c r="Q176" s="234">
        <f t="shared" si="38"/>
        <v>0</v>
      </c>
      <c r="R176" s="248" t="s">
        <v>1964</v>
      </c>
      <c r="S176" s="266"/>
      <c r="T176" s="256"/>
      <c r="U176" s="256"/>
      <c r="V176" s="256"/>
      <c r="W176" s="267"/>
      <c r="X176" s="267"/>
      <c r="Y176" s="267"/>
      <c r="Z176" s="267"/>
      <c r="AA176" s="267"/>
      <c r="AB176" s="267"/>
      <c r="AC176" s="267"/>
      <c r="AD176" s="268"/>
      <c r="AE176" s="267"/>
      <c r="AF176" s="267"/>
      <c r="AG176" s="267"/>
      <c r="AH176" s="267"/>
      <c r="AI176" s="267"/>
      <c r="AJ176" s="267"/>
      <c r="AK176" s="267"/>
      <c r="AL176" s="267"/>
      <c r="AM176" s="267"/>
      <c r="AN176" s="267"/>
      <c r="AO176" s="267"/>
      <c r="AP176" s="267"/>
      <c r="AQ176" s="267"/>
      <c r="AR176" s="267"/>
      <c r="AS176" s="267"/>
      <c r="AT176" s="267"/>
      <c r="AU176" s="267"/>
      <c r="AV176" s="267"/>
      <c r="AW176" s="269"/>
      <c r="AX176" s="267"/>
      <c r="AY176" s="269"/>
      <c r="AZ176" s="255"/>
      <c r="BA176" s="267"/>
      <c r="BB176" s="267"/>
      <c r="BC176" s="267"/>
      <c r="BD176" s="267"/>
      <c r="BE176" s="267"/>
      <c r="BF176" s="267"/>
      <c r="BG176" s="267"/>
      <c r="BH176" s="267"/>
      <c r="BI176" s="267"/>
      <c r="BJ176" s="267"/>
      <c r="BK176" s="267"/>
      <c r="BL176" s="267"/>
      <c r="BM176" s="267"/>
      <c r="BN176" s="267"/>
      <c r="BO176" s="268"/>
      <c r="BP176" s="268"/>
      <c r="BQ176" s="268"/>
      <c r="BR176" s="268"/>
      <c r="BS176" s="268"/>
      <c r="BT176" s="268"/>
      <c r="BU176" s="268"/>
      <c r="BV176" s="267"/>
      <c r="BW176" s="267"/>
      <c r="BX176" s="267"/>
      <c r="BY176" s="267"/>
      <c r="BZ176" s="267"/>
      <c r="CA176" s="267"/>
      <c r="CB176" s="267" t="s">
        <v>443</v>
      </c>
      <c r="CC176" s="267"/>
      <c r="CD176" s="267"/>
      <c r="CE176" s="267"/>
      <c r="CF176" s="267"/>
      <c r="CG176" s="267"/>
      <c r="CH176" s="267"/>
      <c r="CI176" s="267"/>
    </row>
    <row r="177" spans="1:87" ht="16.5" outlineLevel="1">
      <c r="A177" s="260" t="str">
        <f t="shared" ref="A177:A188" si="42">E177&amp;G177</f>
        <v>modesg_out_sfcs_taxon_europeiacbalcao</v>
      </c>
      <c r="B177" s="141" t="s">
        <v>26</v>
      </c>
      <c r="C177" s="137" t="s">
        <v>310</v>
      </c>
      <c r="D177" s="222" t="s">
        <v>40</v>
      </c>
      <c r="E177" s="223" t="s">
        <v>333</v>
      </c>
      <c r="F177" s="223"/>
      <c r="G177" s="222" t="s">
        <v>183</v>
      </c>
      <c r="H177" s="222" t="e">
        <f>VLOOKUP(A177,'2. Status Detalhe Campos FY24'!$A$7:$G$731,7,0)</f>
        <v>#N/A</v>
      </c>
      <c r="I177" s="262" t="s">
        <v>38</v>
      </c>
      <c r="J177" s="309">
        <v>45628</v>
      </c>
      <c r="K177" s="310">
        <v>45629</v>
      </c>
      <c r="L177" s="276">
        <f t="array" ref="L177">MIN(IF(W177:CI177&gt;0,$W$16:$CI$16))</f>
        <v>45630</v>
      </c>
      <c r="M177" s="277">
        <f t="array" ref="M177">MAX(IF(W177:CI177&gt;0,$W$16:$CI$16))</f>
        <v>45630</v>
      </c>
      <c r="N177" s="277"/>
      <c r="O177" s="235" t="e">
        <f>VLOOKUP(H177,Auxiliar!$B$16:$E$24,4,0)</f>
        <v>#N/A</v>
      </c>
      <c r="P177" s="235">
        <f t="shared" ref="P177:P188" ca="1" si="43">IF(TODAY()&lt;=L177,0,MIN((TODAY()-L177)/(M177-L177+1),100%))</f>
        <v>1</v>
      </c>
      <c r="Q177" s="234" t="e">
        <f t="shared" ca="1" si="38"/>
        <v>#N/A</v>
      </c>
      <c r="R177" s="328"/>
      <c r="S177" s="266"/>
      <c r="T177" s="256">
        <v>4.0999999999999996</v>
      </c>
      <c r="U177" s="256">
        <f t="shared" ref="U177:U188" si="44">ROUND(T177/8,1)</f>
        <v>0.5</v>
      </c>
      <c r="V177" s="256">
        <f t="shared" ref="V177:V188" si="45">SUM(W177:CI177)-U177</f>
        <v>0</v>
      </c>
      <c r="W177" s="267"/>
      <c r="X177" s="267"/>
      <c r="Y177" s="267"/>
      <c r="Z177" s="267"/>
      <c r="AA177" s="267"/>
      <c r="AB177" s="267"/>
      <c r="AC177" s="267"/>
      <c r="AD177" s="268"/>
      <c r="AE177" s="267"/>
      <c r="AF177" s="267"/>
      <c r="AG177" s="267"/>
      <c r="AH177" s="267"/>
      <c r="AI177" s="267"/>
      <c r="AJ177" s="267"/>
      <c r="AK177" s="267"/>
      <c r="AL177" s="267"/>
      <c r="AM177" s="267"/>
      <c r="AN177" s="267"/>
      <c r="AO177" s="267"/>
      <c r="AP177" s="267"/>
      <c r="AQ177" s="267"/>
      <c r="AR177" s="267"/>
      <c r="AS177" s="267"/>
      <c r="AT177" s="267"/>
      <c r="AU177" s="267"/>
      <c r="AV177" s="267"/>
      <c r="AW177" s="269"/>
      <c r="AX177" s="267"/>
      <c r="AY177" s="269"/>
      <c r="AZ177" s="255"/>
      <c r="BA177" s="267">
        <v>0.5</v>
      </c>
      <c r="BB177" s="267"/>
      <c r="BC177" s="267"/>
      <c r="BD177" s="267"/>
      <c r="BE177" s="267"/>
      <c r="BF177" s="267"/>
      <c r="BG177" s="267"/>
      <c r="BH177" s="267"/>
      <c r="BI177" s="267"/>
      <c r="BJ177" s="267"/>
      <c r="BK177" s="267"/>
      <c r="BL177" s="267"/>
      <c r="BM177" s="267"/>
      <c r="BN177" s="267"/>
      <c r="BO177" s="268"/>
      <c r="BP177" s="268"/>
      <c r="BQ177" s="268"/>
      <c r="BR177" s="268"/>
      <c r="BS177" s="268"/>
      <c r="BT177" s="268"/>
      <c r="BU177" s="268"/>
      <c r="BV177" s="267"/>
      <c r="BW177" s="267"/>
      <c r="BX177" s="267"/>
      <c r="BY177" s="267"/>
      <c r="BZ177" s="267"/>
      <c r="CA177" s="267"/>
      <c r="CB177" s="267"/>
      <c r="CC177" s="267"/>
      <c r="CD177" s="267"/>
      <c r="CE177" s="267"/>
      <c r="CF177" s="267"/>
      <c r="CG177" s="267"/>
      <c r="CH177" s="267"/>
      <c r="CI177" s="267"/>
    </row>
    <row r="178" spans="1:87" ht="16.5" outlineLevel="1">
      <c r="A178" s="260" t="str">
        <f t="shared" si="42"/>
        <v>modesg_out_sfcs_taxon_europeiacempresa</v>
      </c>
      <c r="B178" s="141" t="s">
        <v>26</v>
      </c>
      <c r="C178" s="137" t="s">
        <v>310</v>
      </c>
      <c r="D178" s="222" t="s">
        <v>40</v>
      </c>
      <c r="E178" s="223" t="s">
        <v>333</v>
      </c>
      <c r="F178" s="223"/>
      <c r="G178" s="222" t="s">
        <v>184</v>
      </c>
      <c r="H178" s="222" t="e">
        <f>VLOOKUP(A178,'2. Status Detalhe Campos FY24'!$A$7:$G$731,7,0)</f>
        <v>#N/A</v>
      </c>
      <c r="I178" s="262" t="s">
        <v>38</v>
      </c>
      <c r="J178" s="309">
        <v>45628</v>
      </c>
      <c r="K178" s="310">
        <v>45629</v>
      </c>
      <c r="L178" s="276">
        <f t="array" ref="L178">MIN(IF(W178:CI178&gt;0,$W$16:$CI$16))</f>
        <v>45630</v>
      </c>
      <c r="M178" s="277">
        <f t="array" ref="M178">MAX(IF(W178:CI178&gt;0,$W$16:$CI$16))</f>
        <v>45630</v>
      </c>
      <c r="N178" s="277"/>
      <c r="O178" s="235" t="e">
        <f>VLOOKUP(H178,Auxiliar!$B$16:$E$24,4,0)</f>
        <v>#N/A</v>
      </c>
      <c r="P178" s="235">
        <f t="shared" ca="1" si="43"/>
        <v>1</v>
      </c>
      <c r="Q178" s="234" t="e">
        <f t="shared" ca="1" si="38"/>
        <v>#N/A</v>
      </c>
      <c r="R178" s="328"/>
      <c r="S178" s="266"/>
      <c r="T178" s="256">
        <v>4.0999999999999996</v>
      </c>
      <c r="U178" s="256">
        <f t="shared" si="44"/>
        <v>0.5</v>
      </c>
      <c r="V178" s="256">
        <f t="shared" si="45"/>
        <v>0</v>
      </c>
      <c r="W178" s="267"/>
      <c r="X178" s="267"/>
      <c r="Y178" s="267"/>
      <c r="Z178" s="267"/>
      <c r="AA178" s="267"/>
      <c r="AB178" s="267"/>
      <c r="AC178" s="267"/>
      <c r="AD178" s="268"/>
      <c r="AE178" s="267"/>
      <c r="AF178" s="267"/>
      <c r="AG178" s="267"/>
      <c r="AH178" s="267"/>
      <c r="AI178" s="267"/>
      <c r="AJ178" s="267"/>
      <c r="AK178" s="267"/>
      <c r="AL178" s="267"/>
      <c r="AM178" s="267"/>
      <c r="AN178" s="267"/>
      <c r="AO178" s="267"/>
      <c r="AP178" s="267"/>
      <c r="AQ178" s="267"/>
      <c r="AR178" s="267"/>
      <c r="AS178" s="267"/>
      <c r="AT178" s="267"/>
      <c r="AU178" s="267"/>
      <c r="AV178" s="267"/>
      <c r="AW178" s="269"/>
      <c r="AX178" s="267"/>
      <c r="AY178" s="269"/>
      <c r="AZ178" s="255"/>
      <c r="BA178" s="267">
        <v>0.5</v>
      </c>
      <c r="BB178" s="267"/>
      <c r="BC178" s="267"/>
      <c r="BD178" s="267"/>
      <c r="BE178" s="267"/>
      <c r="BF178" s="267"/>
      <c r="BG178" s="267"/>
      <c r="BH178" s="267"/>
      <c r="BI178" s="267"/>
      <c r="BJ178" s="267"/>
      <c r="BK178" s="267"/>
      <c r="BL178" s="267"/>
      <c r="BM178" s="267"/>
      <c r="BN178" s="267"/>
      <c r="BO178" s="268"/>
      <c r="BP178" s="268"/>
      <c r="BQ178" s="268"/>
      <c r="BR178" s="268"/>
      <c r="BS178" s="268"/>
      <c r="BT178" s="268"/>
      <c r="BU178" s="268"/>
      <c r="BV178" s="267"/>
      <c r="BW178" s="267"/>
      <c r="BX178" s="267"/>
      <c r="BY178" s="267"/>
      <c r="BZ178" s="267"/>
      <c r="CA178" s="267"/>
      <c r="CB178" s="267"/>
      <c r="CC178" s="267"/>
      <c r="CD178" s="267"/>
      <c r="CE178" s="267"/>
      <c r="CF178" s="267"/>
      <c r="CG178" s="267"/>
      <c r="CH178" s="267"/>
      <c r="CI178" s="267"/>
    </row>
    <row r="179" spans="1:87" ht="16.5" outlineLevel="1">
      <c r="A179" s="260" t="str">
        <f t="shared" si="42"/>
        <v>modesg_out_sfcs_taxon_europeiacnumecta</v>
      </c>
      <c r="B179" s="141" t="s">
        <v>26</v>
      </c>
      <c r="C179" s="137" t="s">
        <v>310</v>
      </c>
      <c r="D179" s="222" t="s">
        <v>40</v>
      </c>
      <c r="E179" s="223" t="s">
        <v>333</v>
      </c>
      <c r="F179" s="223"/>
      <c r="G179" s="222" t="s">
        <v>189</v>
      </c>
      <c r="H179" s="222" t="e">
        <f>VLOOKUP(A179,'2. Status Detalhe Campos FY24'!$A$7:$G$731,7,0)</f>
        <v>#N/A</v>
      </c>
      <c r="I179" s="262" t="s">
        <v>38</v>
      </c>
      <c r="J179" s="309">
        <v>45628</v>
      </c>
      <c r="K179" s="310">
        <v>45629</v>
      </c>
      <c r="L179" s="276">
        <f t="array" ref="L179">MIN(IF(W179:CI179&gt;0,$W$16:$CI$16))</f>
        <v>45631</v>
      </c>
      <c r="M179" s="277">
        <f t="array" ref="M179">MAX(IF(W179:CI179&gt;0,$W$16:$CI$16))</f>
        <v>45631</v>
      </c>
      <c r="N179" s="277"/>
      <c r="O179" s="235" t="e">
        <f>VLOOKUP(H179,Auxiliar!$B$16:$E$24,4,0)</f>
        <v>#N/A</v>
      </c>
      <c r="P179" s="235">
        <f t="shared" ca="1" si="43"/>
        <v>1</v>
      </c>
      <c r="Q179" s="234" t="e">
        <f t="shared" ca="1" si="38"/>
        <v>#N/A</v>
      </c>
      <c r="R179" s="328"/>
      <c r="S179" s="266"/>
      <c r="T179" s="256">
        <v>4.0999999999999996</v>
      </c>
      <c r="U179" s="256">
        <f t="shared" si="44"/>
        <v>0.5</v>
      </c>
      <c r="V179" s="256">
        <f t="shared" si="45"/>
        <v>0</v>
      </c>
      <c r="W179" s="267"/>
      <c r="X179" s="267"/>
      <c r="Y179" s="267"/>
      <c r="Z179" s="267"/>
      <c r="AA179" s="267"/>
      <c r="AB179" s="267"/>
      <c r="AC179" s="267"/>
      <c r="AD179" s="268"/>
      <c r="AE179" s="267"/>
      <c r="AF179" s="267"/>
      <c r="AG179" s="267"/>
      <c r="AH179" s="267"/>
      <c r="AI179" s="267"/>
      <c r="AJ179" s="267"/>
      <c r="AK179" s="267"/>
      <c r="AL179" s="267"/>
      <c r="AM179" s="267"/>
      <c r="AN179" s="267"/>
      <c r="AO179" s="267"/>
      <c r="AP179" s="267"/>
      <c r="AQ179" s="267"/>
      <c r="AR179" s="267"/>
      <c r="AS179" s="267"/>
      <c r="AT179" s="267"/>
      <c r="AU179" s="267"/>
      <c r="AV179" s="267"/>
      <c r="AW179" s="269"/>
      <c r="AX179" s="267"/>
      <c r="AY179" s="269"/>
      <c r="AZ179" s="255"/>
      <c r="BA179" s="267"/>
      <c r="BB179" s="267">
        <v>0.5</v>
      </c>
      <c r="BC179" s="267"/>
      <c r="BD179" s="267"/>
      <c r="BE179" s="267"/>
      <c r="BF179" s="267"/>
      <c r="BG179" s="267"/>
      <c r="BH179" s="267"/>
      <c r="BI179" s="267"/>
      <c r="BJ179" s="267"/>
      <c r="BK179" s="267"/>
      <c r="BL179" s="267"/>
      <c r="BM179" s="267"/>
      <c r="BN179" s="267"/>
      <c r="BO179" s="268"/>
      <c r="BP179" s="268"/>
      <c r="BQ179" s="268"/>
      <c r="BR179" s="268"/>
      <c r="BS179" s="268"/>
      <c r="BT179" s="268"/>
      <c r="BU179" s="268"/>
      <c r="BV179" s="267"/>
      <c r="BW179" s="267"/>
      <c r="BX179" s="267"/>
      <c r="BY179" s="267"/>
      <c r="BZ179" s="267"/>
      <c r="CA179" s="267"/>
      <c r="CB179" s="267"/>
      <c r="CC179" s="267"/>
      <c r="CD179" s="267"/>
      <c r="CE179" s="267"/>
      <c r="CF179" s="267"/>
      <c r="CG179" s="267"/>
      <c r="CH179" s="267"/>
      <c r="CI179" s="267"/>
    </row>
    <row r="180" spans="1:87" ht="16.5" outlineLevel="1">
      <c r="A180" s="260" t="str">
        <f t="shared" si="42"/>
        <v>modesg_out_sfcs_taxon_europeiacod_regra</v>
      </c>
      <c r="B180" s="141" t="s">
        <v>26</v>
      </c>
      <c r="C180" s="137" t="s">
        <v>310</v>
      </c>
      <c r="D180" s="222" t="s">
        <v>40</v>
      </c>
      <c r="E180" s="223" t="s">
        <v>333</v>
      </c>
      <c r="F180" s="223"/>
      <c r="G180" s="222" t="s">
        <v>191</v>
      </c>
      <c r="H180" s="222" t="e">
        <f>VLOOKUP(A180,'2. Status Detalhe Campos FY24'!$A$7:$G$731,7,0)</f>
        <v>#N/A</v>
      </c>
      <c r="I180" s="262" t="s">
        <v>38</v>
      </c>
      <c r="J180" s="309">
        <v>45628</v>
      </c>
      <c r="K180" s="310">
        <v>45629</v>
      </c>
      <c r="L180" s="276">
        <f t="array" ref="L180">MIN(IF(W180:CI180&gt;0,$W$16:$CI$16))</f>
        <v>45631</v>
      </c>
      <c r="M180" s="277">
        <f t="array" ref="M180">MAX(IF(W180:CI180&gt;0,$W$16:$CI$16))</f>
        <v>45631</v>
      </c>
      <c r="N180" s="277"/>
      <c r="O180" s="235" t="e">
        <f>VLOOKUP(H180,Auxiliar!$B$16:$E$24,4,0)</f>
        <v>#N/A</v>
      </c>
      <c r="P180" s="235">
        <f t="shared" ca="1" si="43"/>
        <v>1</v>
      </c>
      <c r="Q180" s="234" t="e">
        <f t="shared" ca="1" si="38"/>
        <v>#N/A</v>
      </c>
      <c r="R180" s="328"/>
      <c r="S180" s="266"/>
      <c r="T180" s="256">
        <v>4.0999999999999996</v>
      </c>
      <c r="U180" s="256">
        <f t="shared" si="44"/>
        <v>0.5</v>
      </c>
      <c r="V180" s="256">
        <f t="shared" si="45"/>
        <v>0</v>
      </c>
      <c r="W180" s="267"/>
      <c r="X180" s="267"/>
      <c r="Y180" s="267"/>
      <c r="Z180" s="267"/>
      <c r="AA180" s="267"/>
      <c r="AB180" s="267"/>
      <c r="AC180" s="267"/>
      <c r="AD180" s="268"/>
      <c r="AE180" s="267"/>
      <c r="AF180" s="267"/>
      <c r="AG180" s="267"/>
      <c r="AH180" s="267"/>
      <c r="AI180" s="267"/>
      <c r="AJ180" s="267"/>
      <c r="AK180" s="267"/>
      <c r="AL180" s="267"/>
      <c r="AM180" s="267"/>
      <c r="AN180" s="267"/>
      <c r="AO180" s="267"/>
      <c r="AP180" s="267"/>
      <c r="AQ180" s="267"/>
      <c r="AR180" s="267"/>
      <c r="AS180" s="267"/>
      <c r="AT180" s="267"/>
      <c r="AU180" s="267"/>
      <c r="AV180" s="267"/>
      <c r="AW180" s="269"/>
      <c r="AX180" s="267"/>
      <c r="AY180" s="269"/>
      <c r="AZ180" s="255"/>
      <c r="BA180" s="267"/>
      <c r="BB180" s="267">
        <v>0.5</v>
      </c>
      <c r="BC180" s="267"/>
      <c r="BD180" s="267"/>
      <c r="BE180" s="267"/>
      <c r="BF180" s="267"/>
      <c r="BG180" s="267"/>
      <c r="BH180" s="267"/>
      <c r="BI180" s="267"/>
      <c r="BJ180" s="267"/>
      <c r="BK180" s="267"/>
      <c r="BL180" s="267"/>
      <c r="BM180" s="267"/>
      <c r="BN180" s="267"/>
      <c r="BO180" s="268"/>
      <c r="BP180" s="268"/>
      <c r="BQ180" s="268"/>
      <c r="BR180" s="268"/>
      <c r="BS180" s="268"/>
      <c r="BT180" s="268"/>
      <c r="BU180" s="268"/>
      <c r="BV180" s="267"/>
      <c r="BW180" s="267"/>
      <c r="BX180" s="267"/>
      <c r="BY180" s="267"/>
      <c r="BZ180" s="267"/>
      <c r="CA180" s="267"/>
      <c r="CB180" s="267"/>
      <c r="CC180" s="267"/>
      <c r="CD180" s="267"/>
      <c r="CE180" s="267"/>
      <c r="CF180" s="267"/>
      <c r="CG180" s="267"/>
      <c r="CH180" s="267"/>
      <c r="CI180" s="267"/>
    </row>
    <row r="181" spans="1:87" ht="16.5" outlineLevel="1">
      <c r="A181" s="260" t="str">
        <f t="shared" si="42"/>
        <v>modesg_out_sfcs_taxon_europeiamontante_pndrc</v>
      </c>
      <c r="B181" s="141" t="s">
        <v>26</v>
      </c>
      <c r="C181" s="137" t="s">
        <v>310</v>
      </c>
      <c r="D181" s="222" t="s">
        <v>40</v>
      </c>
      <c r="E181" s="223" t="s">
        <v>333</v>
      </c>
      <c r="F181" s="223"/>
      <c r="G181" s="222" t="s">
        <v>202</v>
      </c>
      <c r="H181" s="222" t="e">
        <f>VLOOKUP(A181,'2. Status Detalhe Campos FY24'!$A$7:$G$731,7,0)</f>
        <v>#N/A</v>
      </c>
      <c r="I181" s="262" t="s">
        <v>38</v>
      </c>
      <c r="J181" s="309">
        <v>45628</v>
      </c>
      <c r="K181" s="310">
        <v>45629</v>
      </c>
      <c r="L181" s="276">
        <f t="array" ref="L181">MIN(IF(W181:CI181&gt;0,$W$16:$CI$16))</f>
        <v>45632</v>
      </c>
      <c r="M181" s="277">
        <f t="array" ref="M181">MAX(IF(W181:CI181&gt;0,$W$16:$CI$16))</f>
        <v>45635</v>
      </c>
      <c r="N181" s="277"/>
      <c r="O181" s="235" t="e">
        <f>VLOOKUP(H181,Auxiliar!$B$16:$E$24,4,0)</f>
        <v>#N/A</v>
      </c>
      <c r="P181" s="235">
        <f t="shared" ca="1" si="43"/>
        <v>1</v>
      </c>
      <c r="Q181" s="234" t="e">
        <f t="shared" ca="1" si="38"/>
        <v>#N/A</v>
      </c>
      <c r="R181" s="328"/>
      <c r="S181" s="266"/>
      <c r="T181" s="256">
        <v>16.100000000000001</v>
      </c>
      <c r="U181" s="256">
        <f t="shared" si="44"/>
        <v>2</v>
      </c>
      <c r="V181" s="256">
        <f t="shared" si="45"/>
        <v>0</v>
      </c>
      <c r="W181" s="267"/>
      <c r="X181" s="267"/>
      <c r="Y181" s="267"/>
      <c r="Z181" s="267"/>
      <c r="AA181" s="267"/>
      <c r="AB181" s="267"/>
      <c r="AC181" s="267"/>
      <c r="AD181" s="268"/>
      <c r="AE181" s="267"/>
      <c r="AF181" s="267"/>
      <c r="AG181" s="267"/>
      <c r="AH181" s="267"/>
      <c r="AI181" s="267"/>
      <c r="AJ181" s="267"/>
      <c r="AK181" s="267"/>
      <c r="AL181" s="267"/>
      <c r="AM181" s="267"/>
      <c r="AN181" s="267"/>
      <c r="AO181" s="267"/>
      <c r="AP181" s="267"/>
      <c r="AQ181" s="267"/>
      <c r="AR181" s="267"/>
      <c r="AS181" s="267"/>
      <c r="AT181" s="267"/>
      <c r="AU181" s="267"/>
      <c r="AV181" s="267"/>
      <c r="AW181" s="269"/>
      <c r="AX181" s="267"/>
      <c r="AY181" s="269"/>
      <c r="AZ181" s="255"/>
      <c r="BA181" s="267"/>
      <c r="BB181" s="267"/>
      <c r="BC181" s="267">
        <v>1</v>
      </c>
      <c r="BD181" s="267">
        <v>1</v>
      </c>
      <c r="BE181" s="267"/>
      <c r="BF181" s="267"/>
      <c r="BG181" s="267"/>
      <c r="BH181" s="267"/>
      <c r="BI181" s="267"/>
      <c r="BJ181" s="267"/>
      <c r="BK181" s="267"/>
      <c r="BL181" s="267"/>
      <c r="BM181" s="267"/>
      <c r="BN181" s="267"/>
      <c r="BO181" s="268"/>
      <c r="BP181" s="268"/>
      <c r="BQ181" s="268"/>
      <c r="BR181" s="268"/>
      <c r="BS181" s="268"/>
      <c r="BT181" s="268"/>
      <c r="BU181" s="268"/>
      <c r="BV181" s="267"/>
      <c r="BW181" s="267"/>
      <c r="BX181" s="267"/>
      <c r="BY181" s="267"/>
      <c r="BZ181" s="267"/>
      <c r="CA181" s="267"/>
      <c r="CB181" s="267"/>
      <c r="CC181" s="267"/>
      <c r="CD181" s="267"/>
      <c r="CE181" s="267"/>
      <c r="CF181" s="267"/>
      <c r="CG181" s="267"/>
      <c r="CH181" s="267"/>
      <c r="CI181" s="267"/>
    </row>
    <row r="182" spans="1:87" ht="16.5" outlineLevel="1">
      <c r="A182" s="260" t="str">
        <f t="shared" si="42"/>
        <v>modesg_out_sfcs_taxon_europeianome_ctgr_sfcs</v>
      </c>
      <c r="B182" s="141" t="s">
        <v>26</v>
      </c>
      <c r="C182" s="137" t="s">
        <v>310</v>
      </c>
      <c r="D182" s="222" t="s">
        <v>40</v>
      </c>
      <c r="E182" s="223" t="s">
        <v>333</v>
      </c>
      <c r="F182" s="223"/>
      <c r="G182" s="222" t="s">
        <v>203</v>
      </c>
      <c r="H182" s="222" t="e">
        <f>VLOOKUP(A182,'2. Status Detalhe Campos FY24'!$A$7:$G$731,7,0)</f>
        <v>#N/A</v>
      </c>
      <c r="I182" s="262" t="s">
        <v>38</v>
      </c>
      <c r="J182" s="309">
        <v>45628</v>
      </c>
      <c r="K182" s="310">
        <v>45629</v>
      </c>
      <c r="L182" s="276">
        <f t="array" ref="L182">MIN(IF(W182:CI182&gt;0,$W$16:$CI$16))</f>
        <v>45636</v>
      </c>
      <c r="M182" s="277">
        <f t="array" ref="M182">MAX(IF(W182:CI182&gt;0,$W$16:$CI$16))</f>
        <v>45637</v>
      </c>
      <c r="N182" s="277"/>
      <c r="O182" s="235" t="e">
        <f>VLOOKUP(H182,Auxiliar!$B$16:$E$24,4,0)</f>
        <v>#N/A</v>
      </c>
      <c r="P182" s="235">
        <f t="shared" ca="1" si="43"/>
        <v>1</v>
      </c>
      <c r="Q182" s="234" t="e">
        <f t="shared" ca="1" si="38"/>
        <v>#N/A</v>
      </c>
      <c r="R182" s="328"/>
      <c r="S182" s="266"/>
      <c r="T182" s="256">
        <v>16.100000000000001</v>
      </c>
      <c r="U182" s="256">
        <f t="shared" si="44"/>
        <v>2</v>
      </c>
      <c r="V182" s="256">
        <f t="shared" si="45"/>
        <v>0</v>
      </c>
      <c r="W182" s="267"/>
      <c r="X182" s="267"/>
      <c r="Y182" s="267"/>
      <c r="Z182" s="267"/>
      <c r="AA182" s="267"/>
      <c r="AB182" s="267"/>
      <c r="AC182" s="267"/>
      <c r="AD182" s="268"/>
      <c r="AE182" s="267"/>
      <c r="AF182" s="267"/>
      <c r="AG182" s="267"/>
      <c r="AH182" s="267"/>
      <c r="AI182" s="267"/>
      <c r="AJ182" s="267"/>
      <c r="AK182" s="267"/>
      <c r="AL182" s="267"/>
      <c r="AM182" s="267"/>
      <c r="AN182" s="267"/>
      <c r="AO182" s="267"/>
      <c r="AP182" s="267"/>
      <c r="AQ182" s="267"/>
      <c r="AR182" s="267"/>
      <c r="AS182" s="267"/>
      <c r="AT182" s="267"/>
      <c r="AU182" s="267"/>
      <c r="AV182" s="267"/>
      <c r="AW182" s="269"/>
      <c r="AX182" s="267"/>
      <c r="AY182" s="269"/>
      <c r="AZ182" s="255"/>
      <c r="BA182" s="267"/>
      <c r="BB182" s="267"/>
      <c r="BC182" s="267"/>
      <c r="BD182" s="267"/>
      <c r="BE182" s="267">
        <v>1</v>
      </c>
      <c r="BF182" s="267">
        <v>1</v>
      </c>
      <c r="BG182" s="267"/>
      <c r="BH182" s="267"/>
      <c r="BI182" s="267"/>
      <c r="BJ182" s="267"/>
      <c r="BK182" s="267"/>
      <c r="BL182" s="267"/>
      <c r="BM182" s="267"/>
      <c r="BN182" s="267"/>
      <c r="BO182" s="268"/>
      <c r="BP182" s="268"/>
      <c r="BQ182" s="268"/>
      <c r="BR182" s="268"/>
      <c r="BS182" s="268"/>
      <c r="BT182" s="268"/>
      <c r="BU182" s="268"/>
      <c r="BV182" s="267"/>
      <c r="BW182" s="267"/>
      <c r="BX182" s="267"/>
      <c r="BY182" s="267"/>
      <c r="BZ182" s="267"/>
      <c r="CA182" s="267"/>
      <c r="CB182" s="267"/>
      <c r="CC182" s="267"/>
      <c r="CD182" s="267"/>
      <c r="CE182" s="267"/>
      <c r="CF182" s="267"/>
      <c r="CG182" s="267"/>
      <c r="CH182" s="267"/>
      <c r="CI182" s="267"/>
    </row>
    <row r="183" spans="1:87" ht="16.5" outlineLevel="1">
      <c r="A183" s="260" t="str">
        <f t="shared" si="42"/>
        <v>modesg_out_sfcs_taxon_europeianome_general_specific_purpose</v>
      </c>
      <c r="B183" s="141" t="s">
        <v>26</v>
      </c>
      <c r="C183" s="137" t="s">
        <v>310</v>
      </c>
      <c r="D183" s="222" t="s">
        <v>40</v>
      </c>
      <c r="E183" s="223" t="s">
        <v>333</v>
      </c>
      <c r="F183" s="223"/>
      <c r="G183" s="222" t="s">
        <v>204</v>
      </c>
      <c r="H183" s="222" t="e">
        <f>VLOOKUP(A183,'2. Status Detalhe Campos FY24'!$A$7:$G$731,7,0)</f>
        <v>#N/A</v>
      </c>
      <c r="I183" s="262" t="s">
        <v>38</v>
      </c>
      <c r="J183" s="309">
        <v>45628</v>
      </c>
      <c r="K183" s="310">
        <v>45629</v>
      </c>
      <c r="L183" s="276">
        <f t="array" ref="L183">MIN(IF(W183:CI183&gt;0,$W$16:$CI$16))</f>
        <v>45638</v>
      </c>
      <c r="M183" s="277">
        <f t="array" ref="M183">MAX(IF(W183:CI183&gt;0,$W$16:$CI$16))</f>
        <v>45638</v>
      </c>
      <c r="N183" s="277"/>
      <c r="O183" s="235" t="e">
        <f>VLOOKUP(H183,Auxiliar!$B$16:$E$24,4,0)</f>
        <v>#N/A</v>
      </c>
      <c r="P183" s="235">
        <f t="shared" ca="1" si="43"/>
        <v>1</v>
      </c>
      <c r="Q183" s="234" t="e">
        <f t="shared" ca="1" si="38"/>
        <v>#N/A</v>
      </c>
      <c r="R183" s="328"/>
      <c r="S183" s="266"/>
      <c r="T183" s="256">
        <v>8.1</v>
      </c>
      <c r="U183" s="256">
        <f t="shared" si="44"/>
        <v>1</v>
      </c>
      <c r="V183" s="256">
        <f t="shared" si="45"/>
        <v>0</v>
      </c>
      <c r="W183" s="267"/>
      <c r="X183" s="267"/>
      <c r="Y183" s="267"/>
      <c r="Z183" s="267"/>
      <c r="AA183" s="267"/>
      <c r="AB183" s="267"/>
      <c r="AC183" s="267"/>
      <c r="AD183" s="268"/>
      <c r="AE183" s="267"/>
      <c r="AF183" s="267"/>
      <c r="AG183" s="267"/>
      <c r="AH183" s="267"/>
      <c r="AI183" s="267"/>
      <c r="AJ183" s="267"/>
      <c r="AK183" s="267"/>
      <c r="AL183" s="267"/>
      <c r="AM183" s="267"/>
      <c r="AN183" s="267"/>
      <c r="AO183" s="267"/>
      <c r="AP183" s="267"/>
      <c r="AQ183" s="267"/>
      <c r="AR183" s="267"/>
      <c r="AS183" s="267"/>
      <c r="AT183" s="267"/>
      <c r="AU183" s="267"/>
      <c r="AV183" s="267"/>
      <c r="AW183" s="269"/>
      <c r="AX183" s="267"/>
      <c r="AY183" s="269"/>
      <c r="AZ183" s="255"/>
      <c r="BA183" s="267"/>
      <c r="BB183" s="267"/>
      <c r="BC183" s="267"/>
      <c r="BD183" s="267"/>
      <c r="BE183" s="267"/>
      <c r="BF183" s="267"/>
      <c r="BG183" s="267">
        <v>1</v>
      </c>
      <c r="BH183" s="267"/>
      <c r="BI183" s="267"/>
      <c r="BJ183" s="267"/>
      <c r="BK183" s="267"/>
      <c r="BL183" s="267"/>
      <c r="BM183" s="267"/>
      <c r="BN183" s="267"/>
      <c r="BO183" s="268"/>
      <c r="BP183" s="268"/>
      <c r="BQ183" s="268"/>
      <c r="BR183" s="268"/>
      <c r="BS183" s="268"/>
      <c r="BT183" s="268"/>
      <c r="BU183" s="268"/>
      <c r="BV183" s="267"/>
      <c r="BW183" s="267"/>
      <c r="BX183" s="267"/>
      <c r="BY183" s="267"/>
      <c r="BZ183" s="267"/>
      <c r="CA183" s="267"/>
      <c r="CB183" s="267"/>
      <c r="CC183" s="267"/>
      <c r="CD183" s="267"/>
      <c r="CE183" s="267"/>
      <c r="CF183" s="267"/>
      <c r="CG183" s="267"/>
      <c r="CH183" s="267"/>
      <c r="CI183" s="267"/>
    </row>
    <row r="184" spans="1:87" ht="16.5" outlineLevel="1">
      <c r="A184" s="260" t="str">
        <f t="shared" si="42"/>
        <v>modesg_out_sfcs_taxon_europeianome_purpose_esg</v>
      </c>
      <c r="B184" s="141" t="s">
        <v>26</v>
      </c>
      <c r="C184" s="137" t="s">
        <v>310</v>
      </c>
      <c r="D184" s="222" t="s">
        <v>40</v>
      </c>
      <c r="E184" s="223" t="s">
        <v>333</v>
      </c>
      <c r="F184" s="223"/>
      <c r="G184" s="222" t="s">
        <v>205</v>
      </c>
      <c r="H184" s="222" t="e">
        <f>VLOOKUP(A184,'2. Status Detalhe Campos FY24'!$A$7:$G$731,7,0)</f>
        <v>#N/A</v>
      </c>
      <c r="I184" s="262" t="s">
        <v>38</v>
      </c>
      <c r="J184" s="309">
        <v>45628</v>
      </c>
      <c r="K184" s="310">
        <v>45629</v>
      </c>
      <c r="L184" s="276">
        <f t="array" ref="L184">MIN(IF(W184:CI184&gt;0,$W$16:$CI$16))</f>
        <v>45639</v>
      </c>
      <c r="M184" s="277">
        <f t="array" ref="M184">MAX(IF(W184:CI184&gt;0,$W$16:$CI$16))</f>
        <v>45639</v>
      </c>
      <c r="N184" s="277"/>
      <c r="O184" s="235" t="e">
        <f>VLOOKUP(H184,Auxiliar!$B$16:$E$24,4,0)</f>
        <v>#N/A</v>
      </c>
      <c r="P184" s="235">
        <f t="shared" ca="1" si="43"/>
        <v>1</v>
      </c>
      <c r="Q184" s="234" t="e">
        <f t="shared" ca="1" si="38"/>
        <v>#N/A</v>
      </c>
      <c r="R184" s="328"/>
      <c r="S184" s="266"/>
      <c r="T184" s="256">
        <v>8.1</v>
      </c>
      <c r="U184" s="256">
        <f t="shared" si="44"/>
        <v>1</v>
      </c>
      <c r="V184" s="256">
        <f t="shared" si="45"/>
        <v>0</v>
      </c>
      <c r="W184" s="267"/>
      <c r="X184" s="267"/>
      <c r="Y184" s="267"/>
      <c r="Z184" s="267"/>
      <c r="AA184" s="267"/>
      <c r="AB184" s="267"/>
      <c r="AC184" s="267"/>
      <c r="AD184" s="268"/>
      <c r="AE184" s="267"/>
      <c r="AF184" s="267"/>
      <c r="AG184" s="267"/>
      <c r="AH184" s="267"/>
      <c r="AI184" s="267"/>
      <c r="AJ184" s="267"/>
      <c r="AK184" s="267"/>
      <c r="AL184" s="267"/>
      <c r="AM184" s="267"/>
      <c r="AN184" s="267"/>
      <c r="AO184" s="267"/>
      <c r="AP184" s="267"/>
      <c r="AQ184" s="267"/>
      <c r="AR184" s="267"/>
      <c r="AS184" s="267"/>
      <c r="AT184" s="267"/>
      <c r="AU184" s="267"/>
      <c r="AV184" s="267"/>
      <c r="AW184" s="269"/>
      <c r="AX184" s="267"/>
      <c r="AY184" s="269"/>
      <c r="AZ184" s="255"/>
      <c r="BA184" s="267"/>
      <c r="BB184" s="267"/>
      <c r="BC184" s="267"/>
      <c r="BD184" s="267"/>
      <c r="BE184" s="267"/>
      <c r="BF184" s="267"/>
      <c r="BG184" s="267"/>
      <c r="BH184" s="267">
        <v>1</v>
      </c>
      <c r="BI184" s="267"/>
      <c r="BJ184" s="267"/>
      <c r="BK184" s="267"/>
      <c r="BL184" s="267"/>
      <c r="BM184" s="267"/>
      <c r="BN184" s="267"/>
      <c r="BO184" s="268"/>
      <c r="BP184" s="268"/>
      <c r="BQ184" s="268"/>
      <c r="BR184" s="268"/>
      <c r="BS184" s="268"/>
      <c r="BT184" s="268"/>
      <c r="BU184" s="268"/>
      <c r="BV184" s="267"/>
      <c r="BW184" s="267"/>
      <c r="BX184" s="267"/>
      <c r="BY184" s="267"/>
      <c r="BZ184" s="267"/>
      <c r="CA184" s="267"/>
      <c r="CB184" s="267"/>
      <c r="CC184" s="267"/>
      <c r="CD184" s="267"/>
      <c r="CE184" s="267"/>
      <c r="CF184" s="267"/>
      <c r="CG184" s="267"/>
      <c r="CH184" s="267"/>
      <c r="CI184" s="267"/>
    </row>
    <row r="185" spans="1:87" ht="16.5" outlineLevel="1">
      <c r="A185" s="260" t="str">
        <f t="shared" si="42"/>
        <v>modesg_out_sfcs_taxon_europeianome_specific_eligible</v>
      </c>
      <c r="B185" s="141" t="s">
        <v>26</v>
      </c>
      <c r="C185" s="137" t="s">
        <v>310</v>
      </c>
      <c r="D185" s="222" t="s">
        <v>40</v>
      </c>
      <c r="E185" s="223" t="s">
        <v>333</v>
      </c>
      <c r="F185" s="223"/>
      <c r="G185" s="222" t="s">
        <v>206</v>
      </c>
      <c r="H185" s="222" t="e">
        <f>VLOOKUP(A185,'2. Status Detalhe Campos FY24'!$A$7:$G$731,7,0)</f>
        <v>#N/A</v>
      </c>
      <c r="I185" s="262" t="s">
        <v>38</v>
      </c>
      <c r="J185" s="309">
        <v>45628</v>
      </c>
      <c r="K185" s="310">
        <v>45629</v>
      </c>
      <c r="L185" s="276">
        <f t="array" ref="L185">MIN(IF(W185:CI185&gt;0,$W$16:$CI$16))</f>
        <v>45642</v>
      </c>
      <c r="M185" s="277">
        <f t="array" ref="M185">MAX(IF(W185:CI185&gt;0,$W$16:$CI$16))</f>
        <v>45642</v>
      </c>
      <c r="N185" s="277"/>
      <c r="O185" s="235" t="e">
        <f>VLOOKUP(H185,Auxiliar!$B$16:$E$24,4,0)</f>
        <v>#N/A</v>
      </c>
      <c r="P185" s="235">
        <f t="shared" ca="1" si="43"/>
        <v>1</v>
      </c>
      <c r="Q185" s="234" t="e">
        <f t="shared" ca="1" si="38"/>
        <v>#N/A</v>
      </c>
      <c r="R185" s="328"/>
      <c r="S185" s="266"/>
      <c r="T185" s="256">
        <v>8.1</v>
      </c>
      <c r="U185" s="256">
        <f t="shared" si="44"/>
        <v>1</v>
      </c>
      <c r="V185" s="256">
        <f t="shared" si="45"/>
        <v>0</v>
      </c>
      <c r="W185" s="267"/>
      <c r="X185" s="267"/>
      <c r="Y185" s="267"/>
      <c r="Z185" s="267"/>
      <c r="AA185" s="267"/>
      <c r="AB185" s="267"/>
      <c r="AC185" s="267"/>
      <c r="AD185" s="268"/>
      <c r="AE185" s="267"/>
      <c r="AF185" s="267"/>
      <c r="AG185" s="267"/>
      <c r="AH185" s="267"/>
      <c r="AI185" s="267"/>
      <c r="AJ185" s="267"/>
      <c r="AK185" s="267"/>
      <c r="AL185" s="267"/>
      <c r="AM185" s="267"/>
      <c r="AN185" s="267"/>
      <c r="AO185" s="267"/>
      <c r="AP185" s="267"/>
      <c r="AQ185" s="267"/>
      <c r="AR185" s="267"/>
      <c r="AS185" s="267"/>
      <c r="AT185" s="267"/>
      <c r="AU185" s="267"/>
      <c r="AV185" s="267"/>
      <c r="AW185" s="269"/>
      <c r="AX185" s="267"/>
      <c r="AY185" s="269"/>
      <c r="AZ185" s="255"/>
      <c r="BA185" s="267"/>
      <c r="BB185" s="267"/>
      <c r="BC185" s="267"/>
      <c r="BD185" s="267"/>
      <c r="BE185" s="267"/>
      <c r="BF185" s="267"/>
      <c r="BG185" s="267"/>
      <c r="BH185" s="267"/>
      <c r="BI185" s="267">
        <v>1</v>
      </c>
      <c r="BJ185" s="267"/>
      <c r="BK185" s="267"/>
      <c r="BL185" s="267"/>
      <c r="BM185" s="267"/>
      <c r="BN185" s="267"/>
      <c r="BO185" s="268"/>
      <c r="BP185" s="268"/>
      <c r="BQ185" s="268"/>
      <c r="BR185" s="268"/>
      <c r="BS185" s="268"/>
      <c r="BT185" s="268"/>
      <c r="BU185" s="268"/>
      <c r="BV185" s="267"/>
      <c r="BW185" s="267"/>
      <c r="BX185" s="267"/>
      <c r="BY185" s="267"/>
      <c r="BZ185" s="267"/>
      <c r="CA185" s="267"/>
      <c r="CB185" s="267"/>
      <c r="CC185" s="267"/>
      <c r="CD185" s="267"/>
      <c r="CE185" s="267"/>
      <c r="CF185" s="267"/>
      <c r="CG185" s="267"/>
      <c r="CH185" s="267"/>
      <c r="CI185" s="267"/>
    </row>
    <row r="186" spans="1:87" ht="16.5" outlineLevel="1">
      <c r="A186" s="260" t="str">
        <f t="shared" si="42"/>
        <v>modesg_out_sfcs_taxon_europeianome_specific_sustainable</v>
      </c>
      <c r="B186" s="141" t="s">
        <v>26</v>
      </c>
      <c r="C186" s="137" t="s">
        <v>310</v>
      </c>
      <c r="D186" s="222" t="s">
        <v>40</v>
      </c>
      <c r="E186" s="223" t="s">
        <v>333</v>
      </c>
      <c r="F186" s="223"/>
      <c r="G186" s="222" t="s">
        <v>207</v>
      </c>
      <c r="H186" s="222" t="e">
        <f>VLOOKUP(A186,'2. Status Detalhe Campos FY24'!$A$7:$G$731,7,0)</f>
        <v>#N/A</v>
      </c>
      <c r="I186" s="262" t="s">
        <v>38</v>
      </c>
      <c r="J186" s="309">
        <v>45628</v>
      </c>
      <c r="K186" s="310">
        <v>45629</v>
      </c>
      <c r="L186" s="276">
        <f t="array" ref="L186">MIN(IF(W186:CI186&gt;0,$W$16:$CI$16))</f>
        <v>45643</v>
      </c>
      <c r="M186" s="277">
        <f t="array" ref="M186">MAX(IF(W186:CI186&gt;0,$W$16:$CI$16))</f>
        <v>45643</v>
      </c>
      <c r="N186" s="277"/>
      <c r="O186" s="235" t="e">
        <f>VLOOKUP(H186,Auxiliar!$B$16:$E$24,4,0)</f>
        <v>#N/A</v>
      </c>
      <c r="P186" s="235">
        <f t="shared" ca="1" si="43"/>
        <v>1</v>
      </c>
      <c r="Q186" s="234" t="e">
        <f t="shared" ca="1" si="38"/>
        <v>#N/A</v>
      </c>
      <c r="R186" s="328"/>
      <c r="S186" s="266"/>
      <c r="T186" s="256">
        <v>8.1</v>
      </c>
      <c r="U186" s="256">
        <f t="shared" si="44"/>
        <v>1</v>
      </c>
      <c r="V186" s="256">
        <f t="shared" si="45"/>
        <v>0</v>
      </c>
      <c r="W186" s="267"/>
      <c r="X186" s="267"/>
      <c r="Y186" s="267"/>
      <c r="Z186" s="267"/>
      <c r="AA186" s="267"/>
      <c r="AB186" s="267"/>
      <c r="AC186" s="267"/>
      <c r="AD186" s="268"/>
      <c r="AE186" s="267"/>
      <c r="AF186" s="267"/>
      <c r="AG186" s="267"/>
      <c r="AH186" s="267"/>
      <c r="AI186" s="267"/>
      <c r="AJ186" s="267"/>
      <c r="AK186" s="267"/>
      <c r="AL186" s="267"/>
      <c r="AM186" s="267"/>
      <c r="AN186" s="267"/>
      <c r="AO186" s="267"/>
      <c r="AP186" s="267"/>
      <c r="AQ186" s="267"/>
      <c r="AR186" s="267"/>
      <c r="AS186" s="267"/>
      <c r="AT186" s="267"/>
      <c r="AU186" s="267"/>
      <c r="AV186" s="267"/>
      <c r="AW186" s="269"/>
      <c r="AX186" s="267"/>
      <c r="AY186" s="269"/>
      <c r="AZ186" s="255"/>
      <c r="BA186" s="267"/>
      <c r="BB186" s="267"/>
      <c r="BC186" s="267"/>
      <c r="BD186" s="267"/>
      <c r="BE186" s="267"/>
      <c r="BF186" s="267"/>
      <c r="BG186" s="267"/>
      <c r="BH186" s="267"/>
      <c r="BI186" s="267"/>
      <c r="BJ186" s="267">
        <v>1</v>
      </c>
      <c r="BK186" s="267"/>
      <c r="BL186" s="267"/>
      <c r="BM186" s="267"/>
      <c r="BN186" s="267"/>
      <c r="BO186" s="268"/>
      <c r="BP186" s="268"/>
      <c r="BQ186" s="268"/>
      <c r="BR186" s="268"/>
      <c r="BS186" s="268"/>
      <c r="BT186" s="268"/>
      <c r="BU186" s="268"/>
      <c r="BV186" s="267"/>
      <c r="BW186" s="267"/>
      <c r="BX186" s="267"/>
      <c r="BY186" s="267"/>
      <c r="BZ186" s="267"/>
      <c r="CA186" s="267"/>
      <c r="CB186" s="267"/>
      <c r="CC186" s="267"/>
      <c r="CD186" s="267"/>
      <c r="CE186" s="267"/>
      <c r="CF186" s="267"/>
      <c r="CG186" s="267"/>
      <c r="CH186" s="267"/>
      <c r="CI186" s="267"/>
    </row>
    <row r="187" spans="1:87" ht="16.5" outlineLevel="1">
      <c r="A187" s="260" t="str">
        <f t="shared" si="42"/>
        <v>modesg_out_sfcs_taxon_europeiaref_date</v>
      </c>
      <c r="B187" s="141" t="s">
        <v>26</v>
      </c>
      <c r="C187" s="137" t="s">
        <v>310</v>
      </c>
      <c r="D187" s="222" t="s">
        <v>40</v>
      </c>
      <c r="E187" s="223" t="s">
        <v>333</v>
      </c>
      <c r="F187" s="223"/>
      <c r="G187" s="222" t="s">
        <v>208</v>
      </c>
      <c r="H187" s="222" t="e">
        <f>VLOOKUP(A187,'2. Status Detalhe Campos FY24'!$A$7:$G$731,7,0)</f>
        <v>#N/A</v>
      </c>
      <c r="I187" s="262" t="s">
        <v>38</v>
      </c>
      <c r="J187" s="309">
        <v>45628</v>
      </c>
      <c r="K187" s="310">
        <v>45629</v>
      </c>
      <c r="L187" s="276">
        <f t="array" ref="L187">MIN(IF(W187:CI187&gt;0,$W$16:$CI$16))</f>
        <v>45644</v>
      </c>
      <c r="M187" s="277">
        <f t="array" ref="M187">MAX(IF(W187:CI187&gt;0,$W$16:$CI$16))</f>
        <v>45644</v>
      </c>
      <c r="N187" s="277"/>
      <c r="O187" s="235" t="e">
        <f>VLOOKUP(H187,Auxiliar!$B$16:$E$24,4,0)</f>
        <v>#N/A</v>
      </c>
      <c r="P187" s="235">
        <f t="shared" ca="1" si="43"/>
        <v>1</v>
      </c>
      <c r="Q187" s="234" t="e">
        <f t="shared" ca="1" si="38"/>
        <v>#N/A</v>
      </c>
      <c r="R187" s="328"/>
      <c r="S187" s="266"/>
      <c r="T187" s="256">
        <v>4.0999999999999996</v>
      </c>
      <c r="U187" s="256">
        <f t="shared" si="44"/>
        <v>0.5</v>
      </c>
      <c r="V187" s="256">
        <f t="shared" si="45"/>
        <v>0</v>
      </c>
      <c r="W187" s="267"/>
      <c r="X187" s="267"/>
      <c r="Y187" s="267"/>
      <c r="Z187" s="267"/>
      <c r="AA187" s="267"/>
      <c r="AB187" s="267"/>
      <c r="AC187" s="267"/>
      <c r="AD187" s="268"/>
      <c r="AE187" s="267"/>
      <c r="AF187" s="267"/>
      <c r="AG187" s="267"/>
      <c r="AH187" s="267"/>
      <c r="AI187" s="267"/>
      <c r="AJ187" s="267"/>
      <c r="AK187" s="267"/>
      <c r="AL187" s="267"/>
      <c r="AM187" s="267"/>
      <c r="AN187" s="267"/>
      <c r="AO187" s="267"/>
      <c r="AP187" s="267"/>
      <c r="AQ187" s="267"/>
      <c r="AR187" s="267"/>
      <c r="AS187" s="267"/>
      <c r="AT187" s="267"/>
      <c r="AU187" s="267"/>
      <c r="AV187" s="267"/>
      <c r="AW187" s="269"/>
      <c r="AX187" s="267"/>
      <c r="AY187" s="269"/>
      <c r="AZ187" s="255"/>
      <c r="BA187" s="267"/>
      <c r="BB187" s="267"/>
      <c r="BC187" s="267"/>
      <c r="BD187" s="267"/>
      <c r="BE187" s="267"/>
      <c r="BF187" s="267"/>
      <c r="BG187" s="267"/>
      <c r="BH187" s="267"/>
      <c r="BI187" s="267"/>
      <c r="BJ187" s="267"/>
      <c r="BK187" s="267">
        <v>0.5</v>
      </c>
      <c r="BL187" s="267"/>
      <c r="BM187" s="267"/>
      <c r="BN187" s="267"/>
      <c r="BO187" s="268"/>
      <c r="BP187" s="268"/>
      <c r="BQ187" s="268"/>
      <c r="BR187" s="268"/>
      <c r="BS187" s="268"/>
      <c r="BT187" s="268"/>
      <c r="BU187" s="268"/>
      <c r="BV187" s="267"/>
      <c r="BW187" s="267"/>
      <c r="BX187" s="267"/>
      <c r="BY187" s="267"/>
      <c r="BZ187" s="267"/>
      <c r="CA187" s="267"/>
      <c r="CB187" s="267"/>
      <c r="CC187" s="267"/>
      <c r="CD187" s="267"/>
      <c r="CE187" s="267"/>
      <c r="CF187" s="267"/>
      <c r="CG187" s="267"/>
      <c r="CH187" s="267"/>
      <c r="CI187" s="267"/>
    </row>
    <row r="188" spans="1:87" ht="16.5" outlineLevel="1">
      <c r="A188" s="260" t="str">
        <f t="shared" si="42"/>
        <v>modesg_out_sfcs_taxon_europeiazdeposit</v>
      </c>
      <c r="B188" s="141" t="s">
        <v>26</v>
      </c>
      <c r="C188" s="137" t="s">
        <v>310</v>
      </c>
      <c r="D188" s="222" t="s">
        <v>40</v>
      </c>
      <c r="E188" s="223" t="s">
        <v>333</v>
      </c>
      <c r="F188" s="223"/>
      <c r="G188" s="222" t="s">
        <v>210</v>
      </c>
      <c r="H188" s="222" t="e">
        <f>VLOOKUP(A188,'2. Status Detalhe Campos FY24'!$A$7:$G$731,7,0)</f>
        <v>#N/A</v>
      </c>
      <c r="I188" s="262" t="s">
        <v>38</v>
      </c>
      <c r="J188" s="309">
        <v>45628</v>
      </c>
      <c r="K188" s="310">
        <v>45629</v>
      </c>
      <c r="L188" s="276">
        <f t="array" ref="L188">MIN(IF(W188:CI188&gt;0,$W$16:$CI$16))</f>
        <v>45644</v>
      </c>
      <c r="M188" s="277">
        <f t="array" ref="M188">MAX(IF(W188:CI188&gt;0,$W$16:$CI$16))</f>
        <v>45667</v>
      </c>
      <c r="N188" s="277"/>
      <c r="O188" s="235" t="e">
        <f>VLOOKUP(H188,Auxiliar!$B$16:$E$24,4,0)</f>
        <v>#N/A</v>
      </c>
      <c r="P188" s="235">
        <f t="shared" ca="1" si="43"/>
        <v>1</v>
      </c>
      <c r="Q188" s="234" t="e">
        <f t="shared" ca="1" si="38"/>
        <v>#N/A</v>
      </c>
      <c r="R188" s="328"/>
      <c r="S188" s="266"/>
      <c r="T188" s="256">
        <v>8.1</v>
      </c>
      <c r="U188" s="256">
        <f t="shared" si="44"/>
        <v>1</v>
      </c>
      <c r="V188" s="256">
        <f t="shared" si="45"/>
        <v>0</v>
      </c>
      <c r="W188" s="267"/>
      <c r="X188" s="267"/>
      <c r="Y188" s="267"/>
      <c r="Z188" s="267"/>
      <c r="AA188" s="267"/>
      <c r="AB188" s="267"/>
      <c r="AC188" s="267"/>
      <c r="AD188" s="268"/>
      <c r="AE188" s="267"/>
      <c r="AF188" s="267"/>
      <c r="AG188" s="267"/>
      <c r="AH188" s="267"/>
      <c r="AI188" s="267"/>
      <c r="AJ188" s="267"/>
      <c r="AK188" s="267"/>
      <c r="AL188" s="267"/>
      <c r="AM188" s="267"/>
      <c r="AN188" s="267"/>
      <c r="AO188" s="267"/>
      <c r="AP188" s="267"/>
      <c r="AQ188" s="267"/>
      <c r="AR188" s="267"/>
      <c r="AS188" s="267"/>
      <c r="AT188" s="267"/>
      <c r="AU188" s="267"/>
      <c r="AV188" s="267"/>
      <c r="AW188" s="269"/>
      <c r="AX188" s="267"/>
      <c r="AY188" s="269"/>
      <c r="AZ188" s="255"/>
      <c r="BA188" s="267"/>
      <c r="BB188" s="267"/>
      <c r="BC188" s="267"/>
      <c r="BD188" s="267"/>
      <c r="BE188" s="267"/>
      <c r="BF188" s="267"/>
      <c r="BG188" s="267"/>
      <c r="BH188" s="267"/>
      <c r="BI188" s="267"/>
      <c r="BJ188" s="267"/>
      <c r="BK188" s="267">
        <v>0.5</v>
      </c>
      <c r="BM188" s="267"/>
      <c r="BN188" s="267"/>
      <c r="BO188" s="268"/>
      <c r="BP188" s="268"/>
      <c r="BQ188" s="268"/>
      <c r="BR188" s="268"/>
      <c r="BS188" s="268"/>
      <c r="BT188" s="268"/>
      <c r="BU188" s="268"/>
      <c r="BV188" s="267"/>
      <c r="BW188" s="267"/>
      <c r="BX188" s="267"/>
      <c r="BY188" s="267"/>
      <c r="BZ188" s="267"/>
      <c r="CA188" s="267"/>
      <c r="CB188" s="267">
        <v>0.5</v>
      </c>
      <c r="CC188" s="267"/>
      <c r="CD188" s="267"/>
      <c r="CE188" s="267"/>
      <c r="CF188" s="267"/>
      <c r="CG188" s="267"/>
      <c r="CH188" s="267"/>
      <c r="CI188" s="267"/>
    </row>
    <row r="189" spans="1:87" ht="15" customHeight="1" collapsed="1">
      <c r="A189" s="260"/>
      <c r="B189" s="141" t="s">
        <v>26</v>
      </c>
      <c r="C189" s="137" t="s">
        <v>26</v>
      </c>
      <c r="D189" s="133"/>
      <c r="E189" s="228" t="s">
        <v>379</v>
      </c>
      <c r="F189" s="226" t="s">
        <v>1921</v>
      </c>
      <c r="G189" s="227">
        <f>COUNTA(G190:G192)</f>
        <v>3</v>
      </c>
      <c r="H189" s="261" t="s">
        <v>1918</v>
      </c>
      <c r="I189" s="290">
        <f>MAX(I190:I192)</f>
        <v>45603</v>
      </c>
      <c r="J189" s="282">
        <f>MIN(J190:J192)</f>
        <v>45631</v>
      </c>
      <c r="K189" s="312">
        <f>MIN(K190:K192)</f>
        <v>45631</v>
      </c>
      <c r="L189" s="264">
        <f>MIN(L190:L192)</f>
        <v>45642</v>
      </c>
      <c r="M189" s="264">
        <f>MAX(M190:M192)</f>
        <v>45643</v>
      </c>
      <c r="N189" s="308" t="s">
        <v>1862</v>
      </c>
      <c r="O189" s="300">
        <f>SUMPRODUCT(O190:O192,U190:U192)/SUM(U190:U192)</f>
        <v>0</v>
      </c>
      <c r="P189" s="300">
        <f ca="1">SUMPRODUCT(P190:P192,U190:U192)/SUM(U190:U192)</f>
        <v>1</v>
      </c>
      <c r="Q189" s="234">
        <f t="shared" ref="Q189:Q197" ca="1" si="46">O189-P189</f>
        <v>-1</v>
      </c>
      <c r="R189" s="325" t="s">
        <v>1952</v>
      </c>
      <c r="S189" s="266"/>
      <c r="T189" s="256"/>
      <c r="U189" s="256"/>
      <c r="V189" s="256"/>
      <c r="W189" s="267"/>
      <c r="X189" s="267"/>
      <c r="Y189" s="267"/>
      <c r="Z189" s="283"/>
      <c r="AA189" s="267"/>
      <c r="AB189" s="275"/>
      <c r="AC189" s="267"/>
      <c r="AD189" s="268"/>
      <c r="AE189" s="267"/>
      <c r="AF189" s="267"/>
      <c r="AG189" s="267"/>
      <c r="AH189" s="275"/>
      <c r="AI189" s="267"/>
      <c r="AJ189" s="267"/>
      <c r="AK189" s="267"/>
      <c r="AL189" s="267"/>
      <c r="AM189" s="267"/>
      <c r="AN189" s="274"/>
      <c r="AO189" s="267"/>
      <c r="AP189" s="267"/>
      <c r="AQ189" s="267"/>
      <c r="AR189" s="267"/>
      <c r="AS189" s="267"/>
      <c r="AT189" s="267"/>
      <c r="AU189" s="275"/>
      <c r="AV189" s="267"/>
      <c r="AW189" s="267"/>
      <c r="AX189" s="267"/>
      <c r="AY189" s="267"/>
      <c r="AZ189" s="267"/>
      <c r="BA189" s="267"/>
      <c r="BB189" s="255"/>
      <c r="BC189" s="267"/>
      <c r="BD189" s="267"/>
      <c r="BE189" s="267"/>
      <c r="BF189" s="267"/>
      <c r="BG189" s="267"/>
      <c r="BH189" s="267"/>
      <c r="BI189" s="267"/>
      <c r="BJ189" s="267"/>
      <c r="BK189" s="267"/>
      <c r="BL189" s="267"/>
      <c r="BM189" s="267" t="s">
        <v>443</v>
      </c>
      <c r="BN189" s="267"/>
      <c r="BO189" s="268"/>
      <c r="BP189" s="268"/>
      <c r="BQ189" s="268"/>
      <c r="BR189" s="268"/>
      <c r="BS189" s="268"/>
      <c r="BT189" s="268"/>
      <c r="BU189" s="268"/>
      <c r="BV189" s="267"/>
      <c r="BW189" s="267"/>
      <c r="BX189" s="267"/>
      <c r="BY189" s="267"/>
      <c r="BZ189" s="267"/>
      <c r="CA189" s="267"/>
      <c r="CB189" s="267"/>
      <c r="CC189" s="267"/>
      <c r="CD189" s="267"/>
      <c r="CE189" s="267"/>
      <c r="CF189" s="267"/>
      <c r="CG189" s="267"/>
      <c r="CH189" s="267"/>
      <c r="CI189" s="267"/>
    </row>
    <row r="190" spans="1:87" ht="16.5" outlineLevel="1">
      <c r="A190" s="260" t="str">
        <f>E190&amp;G190</f>
        <v>lt002_instrumentmthd_usd_instrmnt_scp_1</v>
      </c>
      <c r="B190" s="141" t="s">
        <v>26</v>
      </c>
      <c r="C190" s="137" t="s">
        <v>26</v>
      </c>
      <c r="D190" s="222" t="s">
        <v>40</v>
      </c>
      <c r="E190" s="225" t="s">
        <v>379</v>
      </c>
      <c r="F190" s="225"/>
      <c r="G190" s="225" t="s">
        <v>385</v>
      </c>
      <c r="H190" s="222" t="str">
        <f>VLOOKUP(A190,'2. Status Detalhe Campos FY24'!$A$7:$G$731,7,0)</f>
        <v>5. Em Correção</v>
      </c>
      <c r="I190" s="271">
        <v>45603</v>
      </c>
      <c r="J190" s="309">
        <v>45631</v>
      </c>
      <c r="K190" s="309">
        <v>45631</v>
      </c>
      <c r="L190" s="276">
        <f t="array" ref="L190">MIN(IF(W190:CI190&gt;0,$W$16:$CI$16))</f>
        <v>45642</v>
      </c>
      <c r="M190" s="277">
        <f t="array" ref="M190">MAX(IF(W190:CI190&gt;0,$W$16:$CI$16))</f>
        <v>45642</v>
      </c>
      <c r="N190" s="277"/>
      <c r="O190" s="331">
        <f>VLOOKUP(H190,Auxiliar!$B$16:$E$24,4,0)</f>
        <v>0</v>
      </c>
      <c r="P190" s="331">
        <f ca="1">IF(TODAY()&lt;=L190,0,MIN((TODAY()-L190)/(M190-L190+1),100%))</f>
        <v>1</v>
      </c>
      <c r="Q190" s="234">
        <f t="shared" ca="1" si="46"/>
        <v>-1</v>
      </c>
      <c r="R190" s="328"/>
      <c r="S190" s="266"/>
      <c r="T190" s="256">
        <v>4.0999999999999996</v>
      </c>
      <c r="U190" s="256">
        <f>ROUND(T190/8,1)</f>
        <v>0.5</v>
      </c>
      <c r="V190" s="256">
        <f>SUM(W190:CI190)-U190</f>
        <v>0</v>
      </c>
      <c r="W190" s="267"/>
      <c r="X190" s="267"/>
      <c r="Y190" s="267"/>
      <c r="Z190" s="283"/>
      <c r="AA190" s="267"/>
      <c r="AB190" s="275"/>
      <c r="AC190" s="267"/>
      <c r="AD190" s="268"/>
      <c r="AE190" s="267"/>
      <c r="AF190" s="267"/>
      <c r="AG190" s="267"/>
      <c r="AH190" s="275"/>
      <c r="AI190" s="267"/>
      <c r="AJ190" s="267"/>
      <c r="AK190" s="267"/>
      <c r="AL190" s="267"/>
      <c r="AM190" s="267"/>
      <c r="AN190" s="274"/>
      <c r="AO190" s="267"/>
      <c r="AP190" s="267"/>
      <c r="AQ190" s="267"/>
      <c r="AR190" s="267"/>
      <c r="AS190" s="267"/>
      <c r="AT190" s="267"/>
      <c r="AU190" s="275"/>
      <c r="AV190" s="267"/>
      <c r="AW190" s="267"/>
      <c r="AX190" s="267"/>
      <c r="AY190" s="267"/>
      <c r="AZ190" s="267"/>
      <c r="BA190" s="267"/>
      <c r="BB190" s="255"/>
      <c r="BC190" s="267"/>
      <c r="BD190" s="267"/>
      <c r="BE190" s="267"/>
      <c r="BF190" s="267"/>
      <c r="BG190" s="267"/>
      <c r="BH190" s="267"/>
      <c r="BI190" s="267">
        <v>0.5</v>
      </c>
      <c r="BJ190" s="267"/>
      <c r="BK190" s="267"/>
      <c r="BL190" s="267"/>
      <c r="BM190" s="270"/>
      <c r="BN190" s="267"/>
      <c r="BO190" s="268"/>
      <c r="BP190" s="268"/>
      <c r="BQ190" s="268"/>
      <c r="BR190" s="268"/>
      <c r="BS190" s="268"/>
      <c r="BT190" s="268"/>
      <c r="BU190" s="268"/>
      <c r="BV190" s="267"/>
      <c r="BW190" s="267"/>
      <c r="BX190" s="267"/>
      <c r="BY190" s="267"/>
      <c r="BZ190" s="267"/>
      <c r="CA190" s="267"/>
      <c r="CB190" s="267"/>
      <c r="CC190" s="267"/>
      <c r="CD190" s="267"/>
      <c r="CE190" s="267"/>
      <c r="CF190" s="267"/>
      <c r="CG190" s="267"/>
      <c r="CH190" s="267"/>
      <c r="CI190" s="267"/>
    </row>
    <row r="191" spans="1:87" ht="16.5" outlineLevel="1">
      <c r="A191" s="260" t="str">
        <f>E191&amp;G191</f>
        <v>lt002_instrumentmthd_usd_instrmnt_scp_2</v>
      </c>
      <c r="B191" s="141" t="s">
        <v>26</v>
      </c>
      <c r="C191" s="137" t="s">
        <v>26</v>
      </c>
      <c r="D191" s="222" t="s">
        <v>40</v>
      </c>
      <c r="E191" s="225" t="s">
        <v>379</v>
      </c>
      <c r="F191" s="225"/>
      <c r="G191" s="225" t="s">
        <v>386</v>
      </c>
      <c r="H191" s="222" t="str">
        <f>VLOOKUP(A191,'2. Status Detalhe Campos FY24'!$A$7:$G$731,7,0)</f>
        <v>5. Em Correção</v>
      </c>
      <c r="I191" s="271">
        <v>45603</v>
      </c>
      <c r="J191" s="309">
        <v>45631</v>
      </c>
      <c r="K191" s="309">
        <v>45631</v>
      </c>
      <c r="L191" s="276">
        <f t="array" ref="L191">MIN(IF(W191:CI191&gt;0,$W$16:$CI$16))</f>
        <v>45643</v>
      </c>
      <c r="M191" s="277">
        <f t="array" ref="M191">MAX(IF(W191:CI191&gt;0,$W$16:$CI$16))</f>
        <v>45643</v>
      </c>
      <c r="N191" s="277"/>
      <c r="O191" s="331">
        <f>VLOOKUP(H191,Auxiliar!$B$16:$E$24,4,0)</f>
        <v>0</v>
      </c>
      <c r="P191" s="331">
        <f ca="1">IF(TODAY()&lt;=L191,0,MIN((TODAY()-L191)/(M191-L191+1),100%))</f>
        <v>1</v>
      </c>
      <c r="Q191" s="234">
        <f t="shared" ca="1" si="46"/>
        <v>-1</v>
      </c>
      <c r="R191" s="328"/>
      <c r="S191" s="266"/>
      <c r="T191" s="256">
        <v>4.0999999999999996</v>
      </c>
      <c r="U191" s="256">
        <f>ROUND(T191/8,1)</f>
        <v>0.5</v>
      </c>
      <c r="V191" s="256">
        <f>SUM(W191:CI191)-U191</f>
        <v>0</v>
      </c>
      <c r="W191" s="267"/>
      <c r="X191" s="267"/>
      <c r="Y191" s="267"/>
      <c r="Z191" s="283"/>
      <c r="AA191" s="267"/>
      <c r="AB191" s="275"/>
      <c r="AC191" s="267"/>
      <c r="AD191" s="268"/>
      <c r="AE191" s="267"/>
      <c r="AF191" s="267"/>
      <c r="AG191" s="267"/>
      <c r="AH191" s="275"/>
      <c r="AI191" s="267"/>
      <c r="AJ191" s="267"/>
      <c r="AK191" s="267"/>
      <c r="AL191" s="267"/>
      <c r="AM191" s="267"/>
      <c r="AN191" s="274"/>
      <c r="AO191" s="267"/>
      <c r="AP191" s="267"/>
      <c r="AQ191" s="267"/>
      <c r="AR191" s="267"/>
      <c r="AS191" s="267"/>
      <c r="AT191" s="267"/>
      <c r="AU191" s="275"/>
      <c r="AV191" s="267"/>
      <c r="AW191" s="267"/>
      <c r="AX191" s="267"/>
      <c r="AY191" s="267"/>
      <c r="AZ191" s="267"/>
      <c r="BA191" s="267"/>
      <c r="BB191" s="255"/>
      <c r="BC191" s="267"/>
      <c r="BD191" s="267"/>
      <c r="BE191" s="267"/>
      <c r="BF191" s="267"/>
      <c r="BG191" s="267"/>
      <c r="BH191" s="267"/>
      <c r="BI191" s="267"/>
      <c r="BJ191" s="267">
        <v>0.5</v>
      </c>
      <c r="BK191" s="267"/>
      <c r="BL191" s="267"/>
      <c r="BM191" s="267"/>
      <c r="BN191" s="267"/>
      <c r="BO191" s="268"/>
      <c r="BP191" s="268"/>
      <c r="BQ191" s="268"/>
      <c r="BR191" s="268"/>
      <c r="BS191" s="268"/>
      <c r="BT191" s="268"/>
      <c r="BU191" s="268"/>
      <c r="BV191" s="267"/>
      <c r="BW191" s="267"/>
      <c r="BX191" s="267"/>
      <c r="BY191" s="267"/>
      <c r="BZ191" s="267"/>
      <c r="CA191" s="267"/>
      <c r="CB191" s="267"/>
      <c r="CC191" s="267"/>
      <c r="CD191" s="267"/>
      <c r="CE191" s="267"/>
      <c r="CF191" s="267"/>
      <c r="CG191" s="267"/>
      <c r="CH191" s="267"/>
      <c r="CI191" s="267"/>
    </row>
    <row r="192" spans="1:87" ht="16.5" outlineLevel="1">
      <c r="A192" s="260" t="str">
        <f>E192&amp;G192</f>
        <v>lt002_instrumentmthd_usd_instrmnt_scp_3</v>
      </c>
      <c r="B192" s="141" t="s">
        <v>26</v>
      </c>
      <c r="C192" s="137" t="s">
        <v>26</v>
      </c>
      <c r="D192" s="222" t="s">
        <v>40</v>
      </c>
      <c r="E192" s="225" t="s">
        <v>379</v>
      </c>
      <c r="F192" s="225"/>
      <c r="G192" s="225" t="s">
        <v>387</v>
      </c>
      <c r="H192" s="222" t="str">
        <f>VLOOKUP(A192,'2. Status Detalhe Campos FY24'!$A$7:$G$731,7,0)</f>
        <v>5. Em Correção</v>
      </c>
      <c r="I192" s="271">
        <v>45603</v>
      </c>
      <c r="J192" s="309">
        <v>45631</v>
      </c>
      <c r="K192" s="309">
        <v>45631</v>
      </c>
      <c r="L192" s="276">
        <f t="array" ref="L192">MIN(IF(W192:CI192&gt;0,$W$16:$CI$16))</f>
        <v>45643</v>
      </c>
      <c r="M192" s="277">
        <f t="array" ref="M192">MAX(IF(W192:CI192&gt;0,$W$16:$CI$16))</f>
        <v>45643</v>
      </c>
      <c r="N192" s="277"/>
      <c r="O192" s="331">
        <f>VLOOKUP(H192,Auxiliar!$B$16:$E$24,4,0)</f>
        <v>0</v>
      </c>
      <c r="P192" s="331">
        <f ca="1">IF(TODAY()&lt;=L192,0,MIN((TODAY()-L192)/(M192-L192+1),100%))</f>
        <v>1</v>
      </c>
      <c r="Q192" s="234">
        <f t="shared" ca="1" si="46"/>
        <v>-1</v>
      </c>
      <c r="R192" s="328"/>
      <c r="S192" s="266"/>
      <c r="T192" s="256">
        <v>4.0999999999999996</v>
      </c>
      <c r="U192" s="256">
        <f>ROUND(T192/8,1)</f>
        <v>0.5</v>
      </c>
      <c r="V192" s="256">
        <f>SUM(W192:CI192)-U192</f>
        <v>0</v>
      </c>
      <c r="W192" s="267"/>
      <c r="X192" s="267"/>
      <c r="Y192" s="267"/>
      <c r="Z192" s="283"/>
      <c r="AA192" s="267"/>
      <c r="AB192" s="275"/>
      <c r="AC192" s="267"/>
      <c r="AD192" s="268"/>
      <c r="AE192" s="267"/>
      <c r="AF192" s="267"/>
      <c r="AG192" s="267"/>
      <c r="AH192" s="275"/>
      <c r="AI192" s="267"/>
      <c r="AJ192" s="267"/>
      <c r="AK192" s="267"/>
      <c r="AL192" s="267"/>
      <c r="AM192" s="267"/>
      <c r="AN192" s="274"/>
      <c r="AO192" s="267"/>
      <c r="AP192" s="267"/>
      <c r="AQ192" s="267"/>
      <c r="AR192" s="267"/>
      <c r="AS192" s="267"/>
      <c r="AT192" s="267"/>
      <c r="AU192" s="275"/>
      <c r="AV192" s="267"/>
      <c r="AW192" s="267"/>
      <c r="AX192" s="267"/>
      <c r="AY192" s="267"/>
      <c r="AZ192" s="267"/>
      <c r="BA192" s="267"/>
      <c r="BB192" s="255"/>
      <c r="BC192" s="267"/>
      <c r="BD192" s="267"/>
      <c r="BE192" s="267"/>
      <c r="BF192" s="267"/>
      <c r="BG192" s="267"/>
      <c r="BH192" s="267"/>
      <c r="BI192" s="267"/>
      <c r="BJ192" s="267">
        <v>0.5</v>
      </c>
      <c r="BK192" s="267"/>
      <c r="BL192" s="267"/>
      <c r="BM192" s="267"/>
      <c r="BN192" s="267"/>
      <c r="BO192" s="268"/>
      <c r="BP192" s="268"/>
      <c r="BQ192" s="268"/>
      <c r="BR192" s="268"/>
      <c r="BS192" s="268"/>
      <c r="BT192" s="268"/>
      <c r="BU192" s="268"/>
      <c r="BV192" s="267"/>
      <c r="BW192" s="267"/>
      <c r="BX192" s="267"/>
      <c r="BY192" s="267"/>
      <c r="BZ192" s="267"/>
      <c r="CA192" s="267"/>
      <c r="CB192" s="267"/>
      <c r="CC192" s="267"/>
      <c r="CD192" s="267"/>
      <c r="CE192" s="267"/>
      <c r="CF192" s="267"/>
      <c r="CG192" s="267"/>
      <c r="CH192" s="267"/>
      <c r="CI192" s="267"/>
    </row>
    <row r="193" spans="1:87" ht="15" customHeight="1" collapsed="1">
      <c r="A193" s="260"/>
      <c r="B193" s="141" t="s">
        <v>26</v>
      </c>
      <c r="C193" s="137" t="s">
        <v>310</v>
      </c>
      <c r="D193" s="133"/>
      <c r="E193" s="226" t="s">
        <v>325</v>
      </c>
      <c r="F193" s="226" t="s">
        <v>1905</v>
      </c>
      <c r="G193" s="227">
        <f>COUNTA(G194:G197)</f>
        <v>4</v>
      </c>
      <c r="H193" s="281" t="s">
        <v>1915</v>
      </c>
      <c r="I193" s="262" t="s">
        <v>38</v>
      </c>
      <c r="J193" s="298">
        <f>MIN(J194:J197)</f>
        <v>45638</v>
      </c>
      <c r="K193" s="262"/>
      <c r="L193" s="263">
        <f>MIN(L194:L197)</f>
        <v>45638</v>
      </c>
      <c r="M193" s="264">
        <f>MAX(M194:M197)</f>
        <v>45646</v>
      </c>
      <c r="N193" s="308">
        <f t="array" ref="N193">MAX(IF(W193:CI193&gt;0,$W$16:$CI$16))</f>
        <v>45646</v>
      </c>
      <c r="O193" s="307">
        <f>SUMPRODUCT(O194:O197,U194:U197)/SUM(U194:U197)</f>
        <v>1</v>
      </c>
      <c r="P193" s="307">
        <f ca="1">SUMPRODUCT(P194:P197,U194:U197)/SUM(U194:U197)</f>
        <v>1</v>
      </c>
      <c r="Q193" s="234">
        <f t="shared" ca="1" si="46"/>
        <v>0</v>
      </c>
      <c r="R193" s="325" t="s">
        <v>1943</v>
      </c>
      <c r="S193" s="266"/>
      <c r="T193" s="256"/>
      <c r="U193" s="256"/>
      <c r="V193" s="256"/>
      <c r="W193" s="267"/>
      <c r="X193" s="267"/>
      <c r="Y193" s="267"/>
      <c r="Z193" s="267"/>
      <c r="AA193" s="267"/>
      <c r="AB193" s="267"/>
      <c r="AC193" s="267"/>
      <c r="AD193" s="268"/>
      <c r="AE193" s="267"/>
      <c r="AF193" s="267"/>
      <c r="AG193" s="267"/>
      <c r="AH193" s="267"/>
      <c r="AI193" s="267"/>
      <c r="AJ193" s="267"/>
      <c r="AK193" s="267"/>
      <c r="AL193" s="267"/>
      <c r="AM193" s="267"/>
      <c r="AN193" s="267"/>
      <c r="AO193" s="267"/>
      <c r="AP193" s="267"/>
      <c r="AQ193" s="267"/>
      <c r="AR193" s="267"/>
      <c r="AS193" s="267"/>
      <c r="AT193" s="267"/>
      <c r="AU193" s="267"/>
      <c r="AV193" s="267"/>
      <c r="AW193" s="269"/>
      <c r="AX193" s="267"/>
      <c r="AY193" s="267"/>
      <c r="AZ193" s="267"/>
      <c r="BA193" s="267"/>
      <c r="BB193" s="267"/>
      <c r="BC193" s="267"/>
      <c r="BD193" s="267"/>
      <c r="BE193" s="267"/>
      <c r="BF193" s="267"/>
      <c r="BG193" s="269"/>
      <c r="BH193" s="267"/>
      <c r="BI193" s="267"/>
      <c r="BJ193" s="267"/>
      <c r="BK193" s="267"/>
      <c r="BL193" s="267"/>
      <c r="BM193" s="267" t="s">
        <v>443</v>
      </c>
      <c r="BN193" s="267"/>
      <c r="BO193" s="268"/>
      <c r="BP193" s="268"/>
      <c r="BQ193" s="268"/>
      <c r="BR193" s="268"/>
      <c r="BS193" s="268"/>
      <c r="BT193" s="268"/>
      <c r="BU193" s="268"/>
      <c r="BV193" s="267"/>
      <c r="BW193" s="267"/>
      <c r="BX193" s="267"/>
      <c r="BY193" s="267"/>
      <c r="BZ193" s="267"/>
      <c r="CA193" s="267"/>
      <c r="CB193" s="267"/>
      <c r="CC193" s="267"/>
      <c r="CD193" s="267"/>
      <c r="CE193" s="267"/>
      <c r="CF193" s="267"/>
      <c r="CG193" s="267"/>
      <c r="CH193" s="267"/>
      <c r="CI193" s="267"/>
    </row>
    <row r="194" spans="1:87" ht="16.5" outlineLevel="1">
      <c r="A194" s="260" t="str">
        <f>E194&amp;G194</f>
        <v>modesg_out_empr_info_nfinflg_rsc_fsc_agd</v>
      </c>
      <c r="B194" s="141" t="s">
        <v>26</v>
      </c>
      <c r="C194" s="137" t="s">
        <v>310</v>
      </c>
      <c r="D194" s="222" t="s">
        <v>40</v>
      </c>
      <c r="E194" s="223" t="s">
        <v>325</v>
      </c>
      <c r="F194" s="223"/>
      <c r="G194" s="222" t="s">
        <v>282</v>
      </c>
      <c r="H194" s="222" t="str">
        <f>VLOOKUP(A194,'2. Status Detalhe Campos FY24'!$A$7:$G$731,7,0)</f>
        <v>1. Concluído</v>
      </c>
      <c r="I194" s="262" t="s">
        <v>38</v>
      </c>
      <c r="J194" s="271">
        <v>45638</v>
      </c>
      <c r="K194" s="271">
        <v>45639</v>
      </c>
      <c r="L194" s="276">
        <f t="array" ref="L194">MIN(IF(W194:CI194&gt;0,$W$16:$CI$16))</f>
        <v>45643</v>
      </c>
      <c r="M194" s="277">
        <f t="array" ref="M194">MAX(IF(W194:CI194&gt;0,$W$16:$CI$16))</f>
        <v>45644</v>
      </c>
      <c r="N194" s="277"/>
      <c r="O194" s="235">
        <f>VLOOKUP(H194,Auxiliar!$B$16:$E$24,4,0)</f>
        <v>1</v>
      </c>
      <c r="P194" s="235">
        <f ca="1">IF(TODAY()&lt;=L194,0,MIN((TODAY()-L194)/(M194-L194+1),100%))</f>
        <v>1</v>
      </c>
      <c r="Q194" s="234">
        <f t="shared" ca="1" si="46"/>
        <v>0</v>
      </c>
      <c r="R194" s="327" t="s">
        <v>38</v>
      </c>
      <c r="S194" s="266"/>
      <c r="T194" s="256">
        <v>16.100000000000001</v>
      </c>
      <c r="U194" s="256">
        <f>ROUND(T194/8,1)</f>
        <v>2</v>
      </c>
      <c r="V194" s="256">
        <f>SUM(W194:CI194)-U194</f>
        <v>0</v>
      </c>
      <c r="W194" s="267"/>
      <c r="X194" s="267"/>
      <c r="Y194" s="267"/>
      <c r="Z194" s="267"/>
      <c r="AA194" s="267"/>
      <c r="AB194" s="267"/>
      <c r="AC194" s="267"/>
      <c r="AD194" s="268"/>
      <c r="AE194" s="267"/>
      <c r="AF194" s="267"/>
      <c r="AG194" s="267"/>
      <c r="AH194" s="267"/>
      <c r="AI194" s="267"/>
      <c r="AJ194" s="267"/>
      <c r="AK194" s="267"/>
      <c r="AL194" s="267"/>
      <c r="AM194" s="267"/>
      <c r="AN194" s="267"/>
      <c r="AO194" s="267"/>
      <c r="AP194" s="267"/>
      <c r="AQ194" s="267"/>
      <c r="AR194" s="267"/>
      <c r="AS194" s="267"/>
      <c r="AT194" s="267"/>
      <c r="AU194" s="267"/>
      <c r="AV194" s="267"/>
      <c r="AW194" s="269"/>
      <c r="AX194" s="267"/>
      <c r="AY194" s="267"/>
      <c r="AZ194" s="267"/>
      <c r="BA194" s="267"/>
      <c r="BB194" s="267"/>
      <c r="BC194" s="267"/>
      <c r="BD194" s="267"/>
      <c r="BE194" s="267"/>
      <c r="BF194" s="267"/>
      <c r="BG194" s="269"/>
      <c r="BH194" s="255"/>
      <c r="BI194" s="267"/>
      <c r="BJ194" s="267">
        <v>1</v>
      </c>
      <c r="BK194" s="267">
        <v>1</v>
      </c>
      <c r="BL194" s="267"/>
      <c r="BM194" s="267"/>
      <c r="BN194" s="267"/>
      <c r="BO194" s="268"/>
      <c r="BP194" s="268"/>
      <c r="BQ194" s="268"/>
      <c r="BR194" s="268"/>
      <c r="BS194" s="268"/>
      <c r="BT194" s="268"/>
      <c r="BU194" s="268"/>
      <c r="BV194" s="267"/>
      <c r="BW194" s="267"/>
      <c r="BX194" s="267"/>
      <c r="BY194" s="267"/>
      <c r="BZ194" s="267"/>
      <c r="CA194" s="267"/>
      <c r="CB194" s="267"/>
      <c r="CC194" s="267"/>
      <c r="CD194" s="267"/>
      <c r="CE194" s="267"/>
      <c r="CF194" s="267"/>
      <c r="CG194" s="267"/>
      <c r="CH194" s="267"/>
      <c r="CI194" s="267"/>
    </row>
    <row r="195" spans="1:87" ht="16.5" outlineLevel="1">
      <c r="A195" s="260" t="str">
        <f>E195&amp;G195</f>
        <v>modesg_out_empr_info_nfinflg_rsc_fsc_crnc</v>
      </c>
      <c r="B195" s="141" t="s">
        <v>26</v>
      </c>
      <c r="C195" s="137" t="s">
        <v>310</v>
      </c>
      <c r="D195" s="222" t="s">
        <v>40</v>
      </c>
      <c r="E195" s="223" t="s">
        <v>325</v>
      </c>
      <c r="F195" s="223"/>
      <c r="G195" s="222" t="s">
        <v>283</v>
      </c>
      <c r="H195" s="222" t="str">
        <f>VLOOKUP(A195,'2. Status Detalhe Campos FY24'!$A$7:$G$731,7,0)</f>
        <v>1. Concluído</v>
      </c>
      <c r="I195" s="262" t="s">
        <v>38</v>
      </c>
      <c r="J195" s="271">
        <v>45638</v>
      </c>
      <c r="K195" s="271">
        <v>45639</v>
      </c>
      <c r="L195" s="276">
        <f t="array" ref="L195">MIN(IF(W195:CI195&gt;0,$W$16:$CI$16))</f>
        <v>45645</v>
      </c>
      <c r="M195" s="277">
        <f t="array" ref="M195">MAX(IF(W195:CI195&gt;0,$W$16:$CI$16))</f>
        <v>45646</v>
      </c>
      <c r="N195" s="277"/>
      <c r="O195" s="235">
        <f>VLOOKUP(H195,Auxiliar!$B$16:$E$24,4,0)</f>
        <v>1</v>
      </c>
      <c r="P195" s="235">
        <f ca="1">IF(TODAY()&lt;=L195,0,MIN((TODAY()-L195)/(M195-L195+1),100%))</f>
        <v>1</v>
      </c>
      <c r="Q195" s="234">
        <f t="shared" ca="1" si="46"/>
        <v>0</v>
      </c>
      <c r="R195" s="327" t="s">
        <v>38</v>
      </c>
      <c r="S195" s="266"/>
      <c r="T195" s="256">
        <v>16.100000000000001</v>
      </c>
      <c r="U195" s="256">
        <f>ROUND(T195/8,1)</f>
        <v>2</v>
      </c>
      <c r="V195" s="256">
        <f>SUM(W195:CI195)-U195</f>
        <v>0</v>
      </c>
      <c r="W195" s="267"/>
      <c r="X195" s="267"/>
      <c r="Y195" s="267"/>
      <c r="Z195" s="267"/>
      <c r="AA195" s="267"/>
      <c r="AB195" s="267"/>
      <c r="AC195" s="267"/>
      <c r="AD195" s="268"/>
      <c r="AE195" s="267"/>
      <c r="AF195" s="267"/>
      <c r="AG195" s="267"/>
      <c r="AH195" s="267"/>
      <c r="AI195" s="267"/>
      <c r="AJ195" s="267"/>
      <c r="AK195" s="267"/>
      <c r="AL195" s="267"/>
      <c r="AM195" s="267"/>
      <c r="AN195" s="267"/>
      <c r="AO195" s="267"/>
      <c r="AP195" s="267"/>
      <c r="AQ195" s="267"/>
      <c r="AR195" s="267"/>
      <c r="AS195" s="267"/>
      <c r="AT195" s="267"/>
      <c r="AU195" s="267"/>
      <c r="AV195" s="267"/>
      <c r="AW195" s="269"/>
      <c r="AX195" s="267"/>
      <c r="AY195" s="267"/>
      <c r="AZ195" s="267"/>
      <c r="BA195" s="267"/>
      <c r="BB195" s="267"/>
      <c r="BC195" s="267"/>
      <c r="BD195" s="267"/>
      <c r="BE195" s="267"/>
      <c r="BF195" s="267"/>
      <c r="BG195" s="269"/>
      <c r="BH195" s="255"/>
      <c r="BI195" s="267"/>
      <c r="BJ195" s="267"/>
      <c r="BK195" s="267"/>
      <c r="BL195" s="267">
        <v>1</v>
      </c>
      <c r="BM195" s="267">
        <v>1</v>
      </c>
      <c r="BN195" s="267"/>
      <c r="BO195" s="268"/>
      <c r="BP195" s="268"/>
      <c r="BQ195" s="268"/>
      <c r="BR195" s="268"/>
      <c r="BS195" s="268"/>
      <c r="BT195" s="268"/>
      <c r="BU195" s="268"/>
      <c r="BV195" s="267"/>
      <c r="BW195" s="267"/>
      <c r="BX195" s="267"/>
      <c r="BY195" s="267"/>
      <c r="BZ195" s="267"/>
      <c r="CA195" s="267"/>
      <c r="CB195" s="267"/>
      <c r="CC195" s="267"/>
      <c r="CD195" s="267"/>
      <c r="CE195" s="267"/>
      <c r="CF195" s="267"/>
      <c r="CG195" s="267"/>
      <c r="CH195" s="267"/>
      <c r="CI195" s="267"/>
    </row>
    <row r="196" spans="1:87" ht="16.5" outlineLevel="1">
      <c r="A196" s="260" t="str">
        <f>E196&amp;G196</f>
        <v>modesg_out_empr_info_nfinorigem_flg_rsc_fsc_agd</v>
      </c>
      <c r="B196" s="141" t="s">
        <v>26</v>
      </c>
      <c r="C196" s="137" t="s">
        <v>310</v>
      </c>
      <c r="D196" s="222" t="s">
        <v>40</v>
      </c>
      <c r="E196" s="223" t="s">
        <v>325</v>
      </c>
      <c r="F196" s="223"/>
      <c r="G196" s="222" t="s">
        <v>317</v>
      </c>
      <c r="H196" s="222" t="str">
        <f>VLOOKUP(A196,'2. Status Detalhe Campos FY24'!$A$7:$G$731,7,0)</f>
        <v>1. Concluído</v>
      </c>
      <c r="I196" s="262" t="s">
        <v>38</v>
      </c>
      <c r="J196" s="271">
        <v>45638</v>
      </c>
      <c r="K196" s="271">
        <v>45639</v>
      </c>
      <c r="L196" s="276">
        <f t="array" ref="L196">MIN(IF(W196:CI196&gt;0,$W$16:$CI$16))</f>
        <v>45638</v>
      </c>
      <c r="M196" s="277">
        <f t="array" ref="M196">MAX(IF(W196:CI196&gt;0,$W$16:$CI$16))</f>
        <v>45638</v>
      </c>
      <c r="N196" s="277"/>
      <c r="O196" s="235">
        <f>VLOOKUP(H196,Auxiliar!$B$16:$E$24,4,0)</f>
        <v>1</v>
      </c>
      <c r="P196" s="235">
        <f ca="1">IF(TODAY()&lt;=L196,0,MIN((TODAY()-L196)/(M196-L196+1),100%))</f>
        <v>1</v>
      </c>
      <c r="Q196" s="234">
        <f t="shared" ca="1" si="46"/>
        <v>0</v>
      </c>
      <c r="R196" s="327" t="s">
        <v>38</v>
      </c>
      <c r="S196" s="266"/>
      <c r="T196" s="256">
        <v>4.0999999999999996</v>
      </c>
      <c r="U196" s="256">
        <f>ROUND(T196/8,1)</f>
        <v>0.5</v>
      </c>
      <c r="V196" s="256">
        <f>SUM(W196:CI196)-U196</f>
        <v>0</v>
      </c>
      <c r="W196" s="267"/>
      <c r="X196" s="267"/>
      <c r="Y196" s="267"/>
      <c r="Z196" s="267"/>
      <c r="AA196" s="267"/>
      <c r="AB196" s="267"/>
      <c r="AC196" s="267"/>
      <c r="AD196" s="268"/>
      <c r="AE196" s="267"/>
      <c r="AF196" s="267"/>
      <c r="AG196" s="267"/>
      <c r="AH196" s="267"/>
      <c r="AI196" s="267"/>
      <c r="AJ196" s="267"/>
      <c r="AK196" s="267"/>
      <c r="AL196" s="267"/>
      <c r="AM196" s="267"/>
      <c r="AN196" s="267"/>
      <c r="AO196" s="267"/>
      <c r="AP196" s="267"/>
      <c r="AQ196" s="267"/>
      <c r="AR196" s="267"/>
      <c r="AS196" s="267"/>
      <c r="AT196" s="267"/>
      <c r="AU196" s="267"/>
      <c r="AV196" s="267"/>
      <c r="AW196" s="269"/>
      <c r="AX196" s="267"/>
      <c r="AY196" s="267"/>
      <c r="AZ196" s="267"/>
      <c r="BA196" s="267"/>
      <c r="BB196" s="267"/>
      <c r="BC196" s="267"/>
      <c r="BD196" s="267"/>
      <c r="BE196" s="267"/>
      <c r="BF196" s="267"/>
      <c r="BG196" s="269">
        <v>0.5</v>
      </c>
      <c r="BH196" s="255"/>
      <c r="BI196" s="267"/>
      <c r="BJ196" s="267"/>
      <c r="BK196" s="267"/>
      <c r="BL196" s="267"/>
      <c r="BM196" s="267"/>
      <c r="BN196" s="267"/>
      <c r="BO196" s="268"/>
      <c r="BP196" s="268"/>
      <c r="BQ196" s="268"/>
      <c r="BR196" s="268"/>
      <c r="BS196" s="268"/>
      <c r="BT196" s="268"/>
      <c r="BU196" s="268"/>
      <c r="BV196" s="267"/>
      <c r="BW196" s="267"/>
      <c r="BX196" s="267"/>
      <c r="BY196" s="267"/>
      <c r="BZ196" s="267"/>
      <c r="CA196" s="267"/>
      <c r="CB196" s="267"/>
      <c r="CC196" s="267"/>
      <c r="CD196" s="267"/>
      <c r="CE196" s="267"/>
      <c r="CF196" s="267"/>
      <c r="CG196" s="267"/>
      <c r="CH196" s="267"/>
      <c r="CI196" s="267"/>
    </row>
    <row r="197" spans="1:87" ht="16.5" outlineLevel="1">
      <c r="A197" s="260" t="str">
        <f>E197&amp;G197</f>
        <v>modesg_out_empr_info_nfinorigem_flg_rsc_fsc_crnc</v>
      </c>
      <c r="B197" s="141" t="s">
        <v>26</v>
      </c>
      <c r="C197" s="137" t="s">
        <v>310</v>
      </c>
      <c r="D197" s="222" t="s">
        <v>40</v>
      </c>
      <c r="E197" s="223" t="s">
        <v>325</v>
      </c>
      <c r="F197" s="223"/>
      <c r="G197" s="222" t="s">
        <v>318</v>
      </c>
      <c r="H197" s="222" t="str">
        <f>VLOOKUP(A197,'2. Status Detalhe Campos FY24'!$A$7:$G$731,7,0)</f>
        <v>1. Concluído</v>
      </c>
      <c r="I197" s="262" t="s">
        <v>38</v>
      </c>
      <c r="J197" s="271">
        <v>45638</v>
      </c>
      <c r="K197" s="271">
        <v>45639</v>
      </c>
      <c r="L197" s="276">
        <f t="array" ref="L197">MIN(IF(W197:CI197&gt;0,$W$16:$CI$16))</f>
        <v>45638</v>
      </c>
      <c r="M197" s="277">
        <f t="array" ref="M197">MAX(IF(W197:CI197&gt;0,$W$16:$CI$16))</f>
        <v>45638</v>
      </c>
      <c r="N197" s="277"/>
      <c r="O197" s="235">
        <f>VLOOKUP(H197,Auxiliar!$B$16:$E$24,4,0)</f>
        <v>1</v>
      </c>
      <c r="P197" s="235">
        <f ca="1">IF(TODAY()&lt;=L197,0,MIN((TODAY()-L197)/(M197-L197+1),100%))</f>
        <v>1</v>
      </c>
      <c r="Q197" s="234">
        <f t="shared" ca="1" si="46"/>
        <v>0</v>
      </c>
      <c r="R197" s="327" t="s">
        <v>38</v>
      </c>
      <c r="S197" s="266"/>
      <c r="T197" s="256">
        <v>4.0999999999999996</v>
      </c>
      <c r="U197" s="256">
        <f>ROUND(T197/8,1)</f>
        <v>0.5</v>
      </c>
      <c r="V197" s="256">
        <f>SUM(W197:CI197)-U197</f>
        <v>0</v>
      </c>
      <c r="W197" s="267"/>
      <c r="X197" s="267"/>
      <c r="Y197" s="267"/>
      <c r="Z197" s="267"/>
      <c r="AA197" s="267"/>
      <c r="AB197" s="267"/>
      <c r="AC197" s="267"/>
      <c r="AD197" s="268"/>
      <c r="AE197" s="267"/>
      <c r="AF197" s="267"/>
      <c r="AG197" s="267"/>
      <c r="AH197" s="267"/>
      <c r="AI197" s="267"/>
      <c r="AJ197" s="267"/>
      <c r="AK197" s="267"/>
      <c r="AL197" s="267"/>
      <c r="AM197" s="267"/>
      <c r="AN197" s="267"/>
      <c r="AO197" s="267"/>
      <c r="AP197" s="267"/>
      <c r="AQ197" s="267"/>
      <c r="AR197" s="267"/>
      <c r="AS197" s="267"/>
      <c r="AT197" s="267"/>
      <c r="AU197" s="267"/>
      <c r="AV197" s="267"/>
      <c r="AW197" s="269"/>
      <c r="AX197" s="267"/>
      <c r="AY197" s="267"/>
      <c r="AZ197" s="267"/>
      <c r="BA197" s="267"/>
      <c r="BB197" s="267"/>
      <c r="BC197" s="267"/>
      <c r="BD197" s="267"/>
      <c r="BE197" s="267"/>
      <c r="BF197" s="267"/>
      <c r="BG197" s="269">
        <v>0.5</v>
      </c>
      <c r="BH197" s="255"/>
      <c r="BI197" s="267"/>
      <c r="BJ197" s="267"/>
      <c r="BK197" s="267"/>
      <c r="BL197" s="267"/>
      <c r="BM197" s="267"/>
      <c r="BN197" s="267"/>
      <c r="BO197" s="268"/>
      <c r="BP197" s="268"/>
      <c r="BQ197" s="268"/>
      <c r="BR197" s="268"/>
      <c r="BS197" s="268"/>
      <c r="BT197" s="268"/>
      <c r="BU197" s="268"/>
      <c r="BV197" s="267"/>
      <c r="BW197" s="267"/>
      <c r="BX197" s="267"/>
      <c r="BY197" s="267"/>
      <c r="BZ197" s="267"/>
      <c r="CA197" s="267"/>
      <c r="CB197" s="267"/>
      <c r="CC197" s="267"/>
      <c r="CD197" s="267"/>
      <c r="CE197" s="267"/>
      <c r="CF197" s="267"/>
      <c r="CG197" s="267"/>
      <c r="CH197" s="267"/>
      <c r="CI197" s="267"/>
    </row>
    <row r="198" spans="1:87" ht="15" customHeight="1" collapsed="1">
      <c r="A198" s="260"/>
      <c r="B198" s="141" t="s">
        <v>26</v>
      </c>
      <c r="C198" s="137" t="s">
        <v>26</v>
      </c>
      <c r="D198" s="133"/>
      <c r="E198" s="228" t="s">
        <v>368</v>
      </c>
      <c r="F198" s="226" t="s">
        <v>1920</v>
      </c>
      <c r="G198" s="227">
        <f>COUNTA(G199:G204)</f>
        <v>6</v>
      </c>
      <c r="H198" s="281" t="s">
        <v>1915</v>
      </c>
      <c r="I198" s="290">
        <f>MIN(I199:I204)</f>
        <v>45603</v>
      </c>
      <c r="J198" s="263">
        <f>MIN(J199:J204)</f>
        <v>45631</v>
      </c>
      <c r="K198" s="263">
        <f>MIN(K199:K204)</f>
        <v>45631</v>
      </c>
      <c r="L198" s="264">
        <f>MIN(L199:L204)</f>
        <v>45649</v>
      </c>
      <c r="M198" s="264">
        <f>MAX(M199:M204)</f>
        <v>45649</v>
      </c>
      <c r="N198" s="308">
        <f t="array" ref="N198">MAX(IF(W198:CI198&gt;0,$W$16:$CI$16))</f>
        <v>45667</v>
      </c>
      <c r="O198" s="307">
        <f>SUMPRODUCT(O199:O204,U199:U204)/SUM(U199:U204)</f>
        <v>1</v>
      </c>
      <c r="P198" s="307">
        <f ca="1">SUMPRODUCT(P199:P204,U199:U204)/SUM(U199:U204)</f>
        <v>1</v>
      </c>
      <c r="Q198" s="234">
        <f t="shared" ref="Q198:Q204" ca="1" si="47">O198-P198</f>
        <v>0</v>
      </c>
      <c r="R198" s="325" t="s">
        <v>1949</v>
      </c>
      <c r="S198" s="266"/>
      <c r="T198" s="256"/>
      <c r="U198" s="256"/>
      <c r="V198" s="256"/>
      <c r="W198" s="267"/>
      <c r="X198" s="267"/>
      <c r="Y198" s="267"/>
      <c r="Z198" s="267"/>
      <c r="AA198" s="267"/>
      <c r="AB198" s="267"/>
      <c r="AC198" s="274"/>
      <c r="AD198" s="268"/>
      <c r="AE198" s="267"/>
      <c r="AF198" s="267"/>
      <c r="AG198" s="267"/>
      <c r="AH198" s="275"/>
      <c r="AI198" s="267"/>
      <c r="AJ198" s="267"/>
      <c r="AK198" s="267"/>
      <c r="AL198" s="267"/>
      <c r="AM198" s="267"/>
      <c r="AN198" s="274"/>
      <c r="AO198" s="267"/>
      <c r="AP198" s="267"/>
      <c r="AQ198" s="267"/>
      <c r="AR198" s="267"/>
      <c r="AS198" s="267"/>
      <c r="AT198" s="267"/>
      <c r="AU198" s="275"/>
      <c r="AV198" s="267"/>
      <c r="AW198" s="267"/>
      <c r="AX198" s="267"/>
      <c r="AY198" s="267"/>
      <c r="AZ198" s="267"/>
      <c r="BA198" s="267"/>
      <c r="BB198" s="255"/>
      <c r="BC198" s="267"/>
      <c r="BD198" s="267"/>
      <c r="BE198" s="267"/>
      <c r="BF198" s="267"/>
      <c r="BG198" s="267"/>
      <c r="BH198" s="267"/>
      <c r="BI198" s="267"/>
      <c r="BJ198" s="267"/>
      <c r="BK198" s="267"/>
      <c r="BL198" s="267"/>
      <c r="BM198" s="267"/>
      <c r="BO198" s="268"/>
      <c r="BP198" s="268"/>
      <c r="BQ198" s="268"/>
      <c r="BR198" s="268"/>
      <c r="BS198" s="268"/>
      <c r="BT198" s="268"/>
      <c r="BU198" s="268"/>
      <c r="BV198" s="267"/>
      <c r="BW198" s="267"/>
      <c r="BX198" s="267"/>
      <c r="BY198" s="267"/>
      <c r="BZ198" s="267"/>
      <c r="CA198" s="267"/>
      <c r="CB198" s="270" t="s">
        <v>443</v>
      </c>
      <c r="CC198" s="267"/>
      <c r="CD198" s="267"/>
      <c r="CE198" s="267"/>
      <c r="CF198" s="267"/>
      <c r="CG198" s="267"/>
      <c r="CH198" s="267"/>
      <c r="CI198" s="267"/>
    </row>
    <row r="199" spans="1:87" ht="16.5" outlineLevel="1">
      <c r="A199" s="260" t="str">
        <f t="shared" ref="A199:A204" si="48">E199&amp;G199</f>
        <v>lt004_protectionemssns_scp1_prtctn</v>
      </c>
      <c r="B199" s="141" t="s">
        <v>26</v>
      </c>
      <c r="C199" s="137" t="s">
        <v>26</v>
      </c>
      <c r="D199" s="222" t="s">
        <v>40</v>
      </c>
      <c r="E199" s="225" t="s">
        <v>368</v>
      </c>
      <c r="F199" s="225"/>
      <c r="G199" s="225" t="s">
        <v>373</v>
      </c>
      <c r="H199" s="222" t="str">
        <f>VLOOKUP(A199,'2. Status Detalhe Campos FY24'!$A$7:$G$731,7,0)</f>
        <v>1. Concluído</v>
      </c>
      <c r="I199" s="262">
        <v>45603</v>
      </c>
      <c r="J199" s="309">
        <v>45631</v>
      </c>
      <c r="K199" s="309">
        <v>45631</v>
      </c>
      <c r="L199" s="276">
        <f t="array" ref="L199">MIN(IF(W199:CI199&gt;0,$W$16:$CI$16))</f>
        <v>45649</v>
      </c>
      <c r="M199" s="277">
        <f t="array" ref="M199">MAX(IF(W199:CI199&gt;0,$W$16:$CI$16))</f>
        <v>45649</v>
      </c>
      <c r="N199" s="277"/>
      <c r="O199" s="235">
        <f>VLOOKUP(H199,Auxiliar!$B$16:$E$24,4,0)</f>
        <v>1</v>
      </c>
      <c r="P199" s="235">
        <f t="shared" ref="P199:P204" ca="1" si="49">IF(TODAY()&lt;=L199,0,MIN((TODAY()-L199)/(M199-L199+1),100%))</f>
        <v>1</v>
      </c>
      <c r="Q199" s="234">
        <f t="shared" ca="1" si="47"/>
        <v>0</v>
      </c>
      <c r="R199" s="327" t="s">
        <v>38</v>
      </c>
      <c r="S199" s="266" t="s">
        <v>1858</v>
      </c>
      <c r="T199" s="256">
        <v>4.0999999999999996</v>
      </c>
      <c r="U199" s="256">
        <f t="shared" ref="U199:U204" si="50">ROUND(T199/8,1)</f>
        <v>0.5</v>
      </c>
      <c r="V199" s="256">
        <f t="shared" ref="V199:V204" si="51">SUM(W199:CI199)-U199</f>
        <v>0</v>
      </c>
      <c r="W199" s="267"/>
      <c r="X199" s="267"/>
      <c r="Y199" s="267"/>
      <c r="Z199" s="267"/>
      <c r="AA199" s="267"/>
      <c r="AB199" s="267"/>
      <c r="AC199" s="274"/>
      <c r="AD199" s="268"/>
      <c r="AE199" s="267"/>
      <c r="AF199" s="267"/>
      <c r="AG199" s="267"/>
      <c r="AH199" s="275"/>
      <c r="AI199" s="267"/>
      <c r="AJ199" s="267"/>
      <c r="AK199" s="267"/>
      <c r="AL199" s="267"/>
      <c r="AM199" s="267"/>
      <c r="AN199" s="274"/>
      <c r="AO199" s="267"/>
      <c r="AP199" s="267"/>
      <c r="AQ199" s="267"/>
      <c r="AR199" s="267"/>
      <c r="AS199" s="267"/>
      <c r="AT199" s="267"/>
      <c r="AU199" s="275"/>
      <c r="AV199" s="267"/>
      <c r="AW199" s="267"/>
      <c r="AX199" s="267"/>
      <c r="AY199" s="267"/>
      <c r="AZ199" s="267"/>
      <c r="BA199" s="267"/>
      <c r="BB199" s="255"/>
      <c r="BC199" s="267"/>
      <c r="BD199" s="267"/>
      <c r="BE199" s="267"/>
      <c r="BF199" s="267"/>
      <c r="BG199" s="267"/>
      <c r="BH199" s="267"/>
      <c r="BI199" s="267"/>
      <c r="BJ199" s="267"/>
      <c r="BK199" s="267"/>
      <c r="BL199" s="267"/>
      <c r="BM199" s="267"/>
      <c r="BN199" s="267">
        <v>0.5</v>
      </c>
      <c r="BO199" s="268"/>
      <c r="BP199" s="268"/>
      <c r="BQ199" s="268"/>
      <c r="BR199" s="268"/>
      <c r="BS199" s="268"/>
      <c r="BT199" s="268"/>
      <c r="BU199" s="268"/>
      <c r="BV199" s="267"/>
      <c r="BW199" s="267"/>
      <c r="BX199" s="267"/>
      <c r="BY199" s="267"/>
      <c r="BZ199" s="267"/>
      <c r="CA199" s="267"/>
      <c r="CB199" s="267"/>
      <c r="CC199" s="267"/>
      <c r="CD199" s="267"/>
      <c r="CE199" s="267"/>
      <c r="CF199" s="267"/>
      <c r="CG199" s="267"/>
      <c r="CH199" s="267"/>
      <c r="CI199" s="267"/>
    </row>
    <row r="200" spans="1:87" ht="16.5" outlineLevel="1">
      <c r="A200" s="260" t="str">
        <f t="shared" si="48"/>
        <v>lt004_protectionemssns_scp2_prtctn</v>
      </c>
      <c r="B200" s="141" t="s">
        <v>26</v>
      </c>
      <c r="C200" s="137" t="s">
        <v>26</v>
      </c>
      <c r="D200" s="222" t="s">
        <v>40</v>
      </c>
      <c r="E200" s="225" t="s">
        <v>368</v>
      </c>
      <c r="F200" s="225"/>
      <c r="G200" s="225" t="s">
        <v>374</v>
      </c>
      <c r="H200" s="222" t="str">
        <f>VLOOKUP(A200,'2. Status Detalhe Campos FY24'!$A$7:$G$731,7,0)</f>
        <v>1. Concluído</v>
      </c>
      <c r="I200" s="262">
        <v>45603</v>
      </c>
      <c r="J200" s="309">
        <v>45631</v>
      </c>
      <c r="K200" s="309">
        <v>45631</v>
      </c>
      <c r="L200" s="276">
        <f t="array" ref="L200">MIN(IF(W200:CI200&gt;0,$W$16:$CI$16))</f>
        <v>45649</v>
      </c>
      <c r="M200" s="277">
        <f t="array" ref="M200">MAX(IF(W200:CI200&gt;0,$W$16:$CI$16))</f>
        <v>45649</v>
      </c>
      <c r="N200" s="277"/>
      <c r="O200" s="235">
        <f>VLOOKUP(H200,Auxiliar!$B$16:$E$24,4,0)</f>
        <v>1</v>
      </c>
      <c r="P200" s="235">
        <f t="shared" ca="1" si="49"/>
        <v>1</v>
      </c>
      <c r="Q200" s="234">
        <f t="shared" ca="1" si="47"/>
        <v>0</v>
      </c>
      <c r="R200" s="327" t="s">
        <v>38</v>
      </c>
      <c r="S200" s="266" t="s">
        <v>1858</v>
      </c>
      <c r="T200" s="256">
        <v>4.0999999999999996</v>
      </c>
      <c r="U200" s="256">
        <f t="shared" si="50"/>
        <v>0.5</v>
      </c>
      <c r="V200" s="256">
        <f t="shared" si="51"/>
        <v>0</v>
      </c>
      <c r="W200" s="267"/>
      <c r="X200" s="267"/>
      <c r="Y200" s="267"/>
      <c r="Z200" s="267"/>
      <c r="AA200" s="267"/>
      <c r="AB200" s="267"/>
      <c r="AC200" s="274"/>
      <c r="AD200" s="268"/>
      <c r="AE200" s="267"/>
      <c r="AF200" s="267"/>
      <c r="AG200" s="267"/>
      <c r="AH200" s="275"/>
      <c r="AI200" s="267"/>
      <c r="AJ200" s="267"/>
      <c r="AK200" s="267"/>
      <c r="AL200" s="267"/>
      <c r="AM200" s="267"/>
      <c r="AN200" s="274"/>
      <c r="AO200" s="267"/>
      <c r="AP200" s="267"/>
      <c r="AQ200" s="267"/>
      <c r="AR200" s="267"/>
      <c r="AS200" s="267"/>
      <c r="AT200" s="267"/>
      <c r="AU200" s="275"/>
      <c r="AV200" s="267"/>
      <c r="AW200" s="267"/>
      <c r="AX200" s="267"/>
      <c r="AY200" s="267"/>
      <c r="AZ200" s="267"/>
      <c r="BA200" s="267"/>
      <c r="BB200" s="255"/>
      <c r="BC200" s="267"/>
      <c r="BD200" s="267"/>
      <c r="BE200" s="267"/>
      <c r="BF200" s="267"/>
      <c r="BG200" s="267"/>
      <c r="BH200" s="267"/>
      <c r="BI200" s="267"/>
      <c r="BJ200" s="267"/>
      <c r="BK200" s="267"/>
      <c r="BL200" s="267"/>
      <c r="BM200" s="267"/>
      <c r="BN200" s="267">
        <v>0.5</v>
      </c>
      <c r="BO200" s="268"/>
      <c r="BP200" s="268"/>
      <c r="BQ200" s="268"/>
      <c r="BR200" s="268"/>
      <c r="BS200" s="268"/>
      <c r="BT200" s="268"/>
      <c r="BU200" s="268"/>
      <c r="BV200" s="267"/>
      <c r="BW200" s="267"/>
      <c r="BX200" s="267"/>
      <c r="BY200" s="267"/>
      <c r="BZ200" s="267"/>
      <c r="CA200" s="267"/>
      <c r="CB200" s="267"/>
      <c r="CC200" s="267"/>
      <c r="CD200" s="267"/>
      <c r="CE200" s="267"/>
      <c r="CF200" s="267"/>
      <c r="CG200" s="267"/>
      <c r="CH200" s="267"/>
      <c r="CI200" s="267"/>
    </row>
    <row r="201" spans="1:87" ht="16.5" outlineLevel="1">
      <c r="A201" s="260" t="str">
        <f t="shared" si="48"/>
        <v>lt004_protectionemssns_scp3_prtctn</v>
      </c>
      <c r="B201" s="141" t="s">
        <v>26</v>
      </c>
      <c r="C201" s="137" t="s">
        <v>26</v>
      </c>
      <c r="D201" s="222" t="s">
        <v>40</v>
      </c>
      <c r="E201" s="225" t="s">
        <v>368</v>
      </c>
      <c r="F201" s="225"/>
      <c r="G201" s="225" t="s">
        <v>375</v>
      </c>
      <c r="H201" s="222" t="str">
        <f>VLOOKUP(A201,'2. Status Detalhe Campos FY24'!$A$7:$G$731,7,0)</f>
        <v>1. Concluído</v>
      </c>
      <c r="I201" s="262">
        <v>45603</v>
      </c>
      <c r="J201" s="309">
        <v>45631</v>
      </c>
      <c r="K201" s="309">
        <v>45631</v>
      </c>
      <c r="L201" s="276">
        <f t="array" ref="L201">MIN(IF(W201:CI201&gt;0,$W$16:$CI$16))</f>
        <v>45649</v>
      </c>
      <c r="M201" s="277">
        <f t="array" ref="M201">MAX(IF(W201:CI201&gt;0,$W$16:$CI$16))</f>
        <v>45649</v>
      </c>
      <c r="N201" s="277"/>
      <c r="O201" s="235">
        <f>VLOOKUP(H201,Auxiliar!$B$16:$E$24,4,0)</f>
        <v>1</v>
      </c>
      <c r="P201" s="235">
        <f t="shared" ca="1" si="49"/>
        <v>1</v>
      </c>
      <c r="Q201" s="234">
        <f t="shared" ca="1" si="47"/>
        <v>0</v>
      </c>
      <c r="R201" s="327" t="s">
        <v>38</v>
      </c>
      <c r="S201" s="266" t="s">
        <v>1858</v>
      </c>
      <c r="T201" s="256">
        <v>4.0999999999999996</v>
      </c>
      <c r="U201" s="256">
        <f t="shared" si="50"/>
        <v>0.5</v>
      </c>
      <c r="V201" s="256">
        <f t="shared" si="51"/>
        <v>0</v>
      </c>
      <c r="W201" s="267"/>
      <c r="X201" s="267"/>
      <c r="Y201" s="267"/>
      <c r="Z201" s="267"/>
      <c r="AA201" s="267"/>
      <c r="AB201" s="267"/>
      <c r="AC201" s="274"/>
      <c r="AD201" s="268"/>
      <c r="AE201" s="267"/>
      <c r="AF201" s="267"/>
      <c r="AG201" s="267"/>
      <c r="AH201" s="275"/>
      <c r="AI201" s="267"/>
      <c r="AJ201" s="267"/>
      <c r="AK201" s="267"/>
      <c r="AL201" s="267"/>
      <c r="AM201" s="267"/>
      <c r="AN201" s="274"/>
      <c r="AO201" s="267"/>
      <c r="AP201" s="267"/>
      <c r="AQ201" s="267"/>
      <c r="AR201" s="267"/>
      <c r="AS201" s="267"/>
      <c r="AT201" s="267"/>
      <c r="AU201" s="275"/>
      <c r="AV201" s="267"/>
      <c r="AW201" s="267"/>
      <c r="AX201" s="267"/>
      <c r="AY201" s="267"/>
      <c r="AZ201" s="267"/>
      <c r="BA201" s="267"/>
      <c r="BB201" s="255"/>
      <c r="BC201" s="267"/>
      <c r="BD201" s="267"/>
      <c r="BE201" s="267"/>
      <c r="BF201" s="267"/>
      <c r="BG201" s="267"/>
      <c r="BH201" s="267"/>
      <c r="BI201" s="267"/>
      <c r="BJ201" s="267"/>
      <c r="BK201" s="267"/>
      <c r="BL201" s="267"/>
      <c r="BM201" s="267"/>
      <c r="BN201" s="267">
        <v>0.5</v>
      </c>
      <c r="BO201" s="268"/>
      <c r="BP201" s="268"/>
      <c r="BQ201" s="268"/>
      <c r="BR201" s="268"/>
      <c r="BS201" s="268"/>
      <c r="BT201" s="268"/>
      <c r="BU201" s="268"/>
      <c r="BV201" s="267"/>
      <c r="BW201" s="267"/>
      <c r="BX201" s="267"/>
      <c r="BY201" s="267"/>
      <c r="BZ201" s="267"/>
      <c r="CA201" s="267"/>
      <c r="CB201" s="267"/>
      <c r="CC201" s="267"/>
      <c r="CD201" s="267"/>
      <c r="CE201" s="267"/>
      <c r="CF201" s="267"/>
      <c r="CG201" s="267"/>
      <c r="CH201" s="267"/>
      <c r="CI201" s="267"/>
    </row>
    <row r="202" spans="1:87" ht="16.5" outlineLevel="1">
      <c r="A202" s="260" t="str">
        <f t="shared" si="48"/>
        <v>lt004_protectionmthd_usd_prtctn_scp_1</v>
      </c>
      <c r="B202" s="141" t="s">
        <v>26</v>
      </c>
      <c r="C202" s="137" t="s">
        <v>26</v>
      </c>
      <c r="D202" s="222" t="s">
        <v>40</v>
      </c>
      <c r="E202" s="225" t="s">
        <v>368</v>
      </c>
      <c r="F202" s="225"/>
      <c r="G202" s="225" t="s">
        <v>376</v>
      </c>
      <c r="H202" s="222" t="str">
        <f>VLOOKUP(A202,'2. Status Detalhe Campos FY24'!$A$7:$G$731,7,0)</f>
        <v>1. Concluído</v>
      </c>
      <c r="I202" s="262">
        <v>45603</v>
      </c>
      <c r="J202" s="309">
        <v>45631</v>
      </c>
      <c r="K202" s="309">
        <v>45631</v>
      </c>
      <c r="L202" s="276">
        <f t="array" ref="L202">MIN(IF(W202:CI202&gt;0,$W$16:$CI$16))</f>
        <v>45649</v>
      </c>
      <c r="M202" s="277">
        <f t="array" ref="M202">MAX(IF(W202:CI202&gt;0,$W$16:$CI$16))</f>
        <v>45649</v>
      </c>
      <c r="N202" s="277"/>
      <c r="O202" s="235">
        <f>VLOOKUP(H202,Auxiliar!$B$16:$E$24,4,0)</f>
        <v>1</v>
      </c>
      <c r="P202" s="235">
        <f t="shared" ca="1" si="49"/>
        <v>1</v>
      </c>
      <c r="Q202" s="234">
        <f t="shared" ca="1" si="47"/>
        <v>0</v>
      </c>
      <c r="R202" s="327" t="s">
        <v>38</v>
      </c>
      <c r="S202" s="266" t="s">
        <v>1858</v>
      </c>
      <c r="T202" s="256">
        <v>4.0999999999999996</v>
      </c>
      <c r="U202" s="256">
        <f t="shared" si="50"/>
        <v>0.5</v>
      </c>
      <c r="V202" s="256">
        <f t="shared" si="51"/>
        <v>0</v>
      </c>
      <c r="W202" s="267"/>
      <c r="X202" s="267"/>
      <c r="Y202" s="267"/>
      <c r="Z202" s="267"/>
      <c r="AA202" s="267"/>
      <c r="AB202" s="267"/>
      <c r="AC202" s="274"/>
      <c r="AD202" s="268"/>
      <c r="AE202" s="267"/>
      <c r="AF202" s="267"/>
      <c r="AG202" s="267"/>
      <c r="AH202" s="275"/>
      <c r="AI202" s="267"/>
      <c r="AJ202" s="267"/>
      <c r="AK202" s="267"/>
      <c r="AL202" s="267"/>
      <c r="AM202" s="267"/>
      <c r="AN202" s="274"/>
      <c r="AO202" s="267"/>
      <c r="AP202" s="267"/>
      <c r="AQ202" s="267"/>
      <c r="AR202" s="267"/>
      <c r="AS202" s="267"/>
      <c r="AT202" s="267"/>
      <c r="AU202" s="275"/>
      <c r="AV202" s="267"/>
      <c r="AW202" s="267"/>
      <c r="AX202" s="267"/>
      <c r="AY202" s="267"/>
      <c r="AZ202" s="267"/>
      <c r="BA202" s="267"/>
      <c r="BB202" s="255"/>
      <c r="BC202" s="267"/>
      <c r="BD202" s="267"/>
      <c r="BE202" s="267"/>
      <c r="BF202" s="267"/>
      <c r="BG202" s="267"/>
      <c r="BH202" s="267"/>
      <c r="BI202" s="267"/>
      <c r="BJ202" s="267"/>
      <c r="BK202" s="267"/>
      <c r="BL202" s="267"/>
      <c r="BM202" s="267"/>
      <c r="BN202" s="267">
        <v>0.5</v>
      </c>
      <c r="BO202" s="268"/>
      <c r="BP202" s="268"/>
      <c r="BQ202" s="268"/>
      <c r="BR202" s="268"/>
      <c r="BS202" s="268"/>
      <c r="BT202" s="268"/>
      <c r="BU202" s="268"/>
      <c r="BV202" s="267"/>
      <c r="BW202" s="267"/>
      <c r="BX202" s="267"/>
      <c r="BY202" s="267"/>
      <c r="BZ202" s="267"/>
      <c r="CA202" s="267"/>
      <c r="CB202" s="267"/>
      <c r="CC202" s="267"/>
      <c r="CD202" s="267"/>
      <c r="CE202" s="267"/>
      <c r="CF202" s="267"/>
      <c r="CG202" s="267"/>
      <c r="CH202" s="267"/>
      <c r="CI202" s="267"/>
    </row>
    <row r="203" spans="1:87" ht="16.5" outlineLevel="1">
      <c r="A203" s="260" t="str">
        <f t="shared" si="48"/>
        <v>lt004_protectionmthd_usd_prtctn_scp_2</v>
      </c>
      <c r="B203" s="141" t="s">
        <v>26</v>
      </c>
      <c r="C203" s="137" t="s">
        <v>26</v>
      </c>
      <c r="D203" s="222" t="s">
        <v>40</v>
      </c>
      <c r="E203" s="225" t="s">
        <v>368</v>
      </c>
      <c r="F203" s="225"/>
      <c r="G203" s="225" t="s">
        <v>377</v>
      </c>
      <c r="H203" s="222" t="str">
        <f>VLOOKUP(A203,'2. Status Detalhe Campos FY24'!$A$7:$G$731,7,0)</f>
        <v>1. Concluído</v>
      </c>
      <c r="I203" s="262">
        <v>45603</v>
      </c>
      <c r="J203" s="309">
        <v>45631</v>
      </c>
      <c r="K203" s="309">
        <v>45631</v>
      </c>
      <c r="L203" s="276">
        <f t="array" ref="L203">MIN(IF(W203:CI203&gt;0,$W$16:$CI$16))</f>
        <v>45649</v>
      </c>
      <c r="M203" s="277">
        <f t="array" ref="M203">MAX(IF(W203:CI203&gt;0,$W$16:$CI$16))</f>
        <v>45649</v>
      </c>
      <c r="N203" s="277"/>
      <c r="O203" s="235">
        <f>VLOOKUP(H203,Auxiliar!$B$16:$E$24,4,0)</f>
        <v>1</v>
      </c>
      <c r="P203" s="235">
        <f t="shared" ca="1" si="49"/>
        <v>1</v>
      </c>
      <c r="Q203" s="234">
        <f t="shared" ca="1" si="47"/>
        <v>0</v>
      </c>
      <c r="R203" s="327" t="s">
        <v>38</v>
      </c>
      <c r="S203" s="266" t="s">
        <v>1858</v>
      </c>
      <c r="T203" s="256">
        <v>4.0999999999999996</v>
      </c>
      <c r="U203" s="256">
        <f t="shared" si="50"/>
        <v>0.5</v>
      </c>
      <c r="V203" s="256">
        <f t="shared" si="51"/>
        <v>0</v>
      </c>
      <c r="W203" s="267"/>
      <c r="X203" s="267"/>
      <c r="Y203" s="267"/>
      <c r="Z203" s="267"/>
      <c r="AA203" s="267"/>
      <c r="AB203" s="267"/>
      <c r="AC203" s="274"/>
      <c r="AD203" s="268"/>
      <c r="AE203" s="267"/>
      <c r="AF203" s="267"/>
      <c r="AG203" s="267"/>
      <c r="AH203" s="275"/>
      <c r="AI203" s="267"/>
      <c r="AJ203" s="267"/>
      <c r="AK203" s="267"/>
      <c r="AL203" s="267"/>
      <c r="AM203" s="267"/>
      <c r="AN203" s="274"/>
      <c r="AO203" s="267"/>
      <c r="AP203" s="267"/>
      <c r="AQ203" s="267"/>
      <c r="AR203" s="267"/>
      <c r="AS203" s="267"/>
      <c r="AT203" s="267"/>
      <c r="AU203" s="275"/>
      <c r="AV203" s="267"/>
      <c r="AW203" s="267"/>
      <c r="AX203" s="267"/>
      <c r="AY203" s="267"/>
      <c r="AZ203" s="267"/>
      <c r="BA203" s="267"/>
      <c r="BB203" s="255"/>
      <c r="BC203" s="267"/>
      <c r="BD203" s="267"/>
      <c r="BE203" s="267"/>
      <c r="BF203" s="267"/>
      <c r="BG203" s="267"/>
      <c r="BH203" s="267"/>
      <c r="BI203" s="267"/>
      <c r="BJ203" s="267"/>
      <c r="BK203" s="267"/>
      <c r="BL203" s="267"/>
      <c r="BM203" s="267"/>
      <c r="BN203" s="267">
        <v>0.5</v>
      </c>
      <c r="BO203" s="268"/>
      <c r="BP203" s="268"/>
      <c r="BQ203" s="268"/>
      <c r="BR203" s="268"/>
      <c r="BS203" s="268"/>
      <c r="BT203" s="268"/>
      <c r="BU203" s="268"/>
      <c r="BV203" s="267"/>
      <c r="BW203" s="267"/>
      <c r="BX203" s="267"/>
      <c r="BY203" s="267"/>
      <c r="BZ203" s="267"/>
      <c r="CA203" s="267"/>
      <c r="CB203" s="267"/>
      <c r="CC203" s="267"/>
      <c r="CD203" s="267"/>
      <c r="CE203" s="267"/>
      <c r="CF203" s="267"/>
      <c r="CG203" s="267"/>
      <c r="CH203" s="267"/>
      <c r="CI203" s="267"/>
    </row>
    <row r="204" spans="1:87" ht="16.5" outlineLevel="1">
      <c r="A204" s="260" t="str">
        <f t="shared" si="48"/>
        <v>lt004_protectionmthd_usd_prtctn_scp_3</v>
      </c>
      <c r="B204" s="141" t="s">
        <v>26</v>
      </c>
      <c r="C204" s="137" t="s">
        <v>26</v>
      </c>
      <c r="D204" s="222" t="s">
        <v>40</v>
      </c>
      <c r="E204" s="225" t="s">
        <v>368</v>
      </c>
      <c r="F204" s="225"/>
      <c r="G204" s="225" t="s">
        <v>378</v>
      </c>
      <c r="H204" s="222" t="str">
        <f>VLOOKUP(A204,'2. Status Detalhe Campos FY24'!$A$7:$G$731,7,0)</f>
        <v>1. Concluído</v>
      </c>
      <c r="I204" s="262">
        <v>45603</v>
      </c>
      <c r="J204" s="309">
        <v>45631</v>
      </c>
      <c r="K204" s="309">
        <v>45631</v>
      </c>
      <c r="L204" s="276">
        <f t="array" ref="L204">MIN(IF(W204:CI204&gt;0,$W$16:$CI$16))</f>
        <v>45649</v>
      </c>
      <c r="M204" s="277">
        <f t="array" ref="M204">MAX(IF(W204:CI204&gt;0,$W$16:$CI$16))</f>
        <v>45649</v>
      </c>
      <c r="N204" s="277"/>
      <c r="O204" s="235">
        <f>VLOOKUP(H204,Auxiliar!$B$16:$E$24,4,0)</f>
        <v>1</v>
      </c>
      <c r="P204" s="235">
        <f t="shared" ca="1" si="49"/>
        <v>1</v>
      </c>
      <c r="Q204" s="234">
        <f t="shared" ca="1" si="47"/>
        <v>0</v>
      </c>
      <c r="R204" s="327" t="s">
        <v>38</v>
      </c>
      <c r="S204" s="266" t="s">
        <v>1858</v>
      </c>
      <c r="T204" s="256">
        <v>4.0999999999999996</v>
      </c>
      <c r="U204" s="256">
        <f t="shared" si="50"/>
        <v>0.5</v>
      </c>
      <c r="V204" s="256">
        <f t="shared" si="51"/>
        <v>0</v>
      </c>
      <c r="W204" s="267"/>
      <c r="X204" s="267"/>
      <c r="Y204" s="267"/>
      <c r="Z204" s="267"/>
      <c r="AA204" s="267"/>
      <c r="AB204" s="267"/>
      <c r="AC204" s="274"/>
      <c r="AD204" s="268"/>
      <c r="AE204" s="267"/>
      <c r="AF204" s="267"/>
      <c r="AG204" s="267"/>
      <c r="AH204" s="275"/>
      <c r="AI204" s="267"/>
      <c r="AJ204" s="267"/>
      <c r="AK204" s="267"/>
      <c r="AL204" s="267"/>
      <c r="AM204" s="267"/>
      <c r="AN204" s="274"/>
      <c r="AO204" s="267"/>
      <c r="AP204" s="267"/>
      <c r="AQ204" s="267"/>
      <c r="AR204" s="267"/>
      <c r="AS204" s="267"/>
      <c r="AT204" s="267"/>
      <c r="AU204" s="275"/>
      <c r="AV204" s="267"/>
      <c r="AW204" s="267"/>
      <c r="AX204" s="267"/>
      <c r="AY204" s="267"/>
      <c r="AZ204" s="267"/>
      <c r="BA204" s="267"/>
      <c r="BB204" s="255"/>
      <c r="BC204" s="267"/>
      <c r="BD204" s="267"/>
      <c r="BE204" s="267"/>
      <c r="BF204" s="267"/>
      <c r="BG204" s="267"/>
      <c r="BH204" s="267"/>
      <c r="BI204" s="267"/>
      <c r="BJ204" s="267"/>
      <c r="BK204" s="267"/>
      <c r="BL204" s="267"/>
      <c r="BM204" s="267"/>
      <c r="BN204" s="267">
        <v>0.5</v>
      </c>
      <c r="BO204" s="268"/>
      <c r="BP204" s="268"/>
      <c r="BQ204" s="268"/>
      <c r="BR204" s="268"/>
      <c r="BS204" s="268"/>
      <c r="BT204" s="268"/>
      <c r="BU204" s="268"/>
      <c r="BV204" s="267"/>
      <c r="BW204" s="267"/>
      <c r="BX204" s="267"/>
      <c r="BY204" s="267"/>
      <c r="BZ204" s="267"/>
      <c r="CA204" s="267"/>
      <c r="CB204" s="267"/>
      <c r="CC204" s="267"/>
      <c r="CD204" s="267"/>
      <c r="CE204" s="267"/>
      <c r="CF204" s="267"/>
      <c r="CG204" s="267"/>
      <c r="CH204" s="267"/>
      <c r="CI204" s="267"/>
    </row>
    <row r="205" spans="1:87" ht="15" customHeight="1" collapsed="1">
      <c r="A205" s="260"/>
      <c r="B205" s="141" t="s">
        <v>26</v>
      </c>
      <c r="C205" s="137" t="s">
        <v>34</v>
      </c>
      <c r="D205" s="133"/>
      <c r="E205" s="226" t="s">
        <v>37</v>
      </c>
      <c r="F205" s="226" t="s">
        <v>1907</v>
      </c>
      <c r="G205" s="227">
        <f>COUNTA(G206:G217)</f>
        <v>12</v>
      </c>
      <c r="H205" s="340" t="s">
        <v>572</v>
      </c>
      <c r="I205" s="262" t="s">
        <v>38</v>
      </c>
      <c r="J205" s="263">
        <f>MIN(J206:J217)</f>
        <v>45630</v>
      </c>
      <c r="K205" s="263">
        <f>MIN(K206:K217)</f>
        <v>45631</v>
      </c>
      <c r="L205" s="265">
        <f>MIN(L206:L217)</f>
        <v>45646</v>
      </c>
      <c r="M205" s="265">
        <f>MAX(M206:M217)</f>
        <v>45659</v>
      </c>
      <c r="N205" s="308" t="s">
        <v>1862</v>
      </c>
      <c r="O205" s="238" t="e">
        <f>SUMPRODUCT(O206:O217,U206:U217)/SUM(U206:U217)</f>
        <v>#N/A</v>
      </c>
      <c r="P205" s="238">
        <v>0</v>
      </c>
      <c r="Q205" s="234" t="e">
        <f>O205-P205</f>
        <v>#N/A</v>
      </c>
      <c r="R205" s="327" t="s">
        <v>1965</v>
      </c>
      <c r="S205" s="266"/>
      <c r="T205" s="256"/>
      <c r="U205" s="256"/>
      <c r="V205" s="256"/>
      <c r="W205" s="267"/>
      <c r="X205" s="267"/>
      <c r="Y205" s="267"/>
      <c r="Z205" s="267"/>
      <c r="AA205" s="267"/>
      <c r="AB205" s="267"/>
      <c r="AC205" s="267"/>
      <c r="AD205" s="268"/>
      <c r="AE205" s="267"/>
      <c r="AF205" s="267"/>
      <c r="AG205" s="267"/>
      <c r="AH205" s="267"/>
      <c r="AI205" s="267"/>
      <c r="AJ205" s="267"/>
      <c r="AK205" s="267"/>
      <c r="AL205" s="267"/>
      <c r="AM205" s="267"/>
      <c r="AN205" s="267"/>
      <c r="AO205" s="267"/>
      <c r="AP205" s="267"/>
      <c r="AQ205" s="267"/>
      <c r="AR205" s="267"/>
      <c r="AS205" s="267"/>
      <c r="AT205" s="267"/>
      <c r="AU205" s="267"/>
      <c r="AV205" s="267"/>
      <c r="AW205" s="269"/>
      <c r="AX205" s="267"/>
      <c r="AY205" s="267"/>
      <c r="AZ205" s="267"/>
      <c r="BA205" s="269"/>
      <c r="BB205" s="255"/>
      <c r="BC205" s="267"/>
      <c r="BD205" s="267"/>
      <c r="BE205" s="267"/>
      <c r="BF205" s="267"/>
      <c r="BG205" s="267"/>
      <c r="BH205" s="267"/>
      <c r="BI205" s="267"/>
      <c r="BJ205" s="267"/>
      <c r="BK205" s="267"/>
      <c r="BL205" s="267"/>
      <c r="BM205" s="267"/>
      <c r="BN205" s="267"/>
      <c r="BO205" s="268"/>
      <c r="BP205" s="268"/>
      <c r="BQ205" s="268"/>
      <c r="BR205" s="268"/>
      <c r="BS205" s="268"/>
      <c r="BT205" s="268"/>
      <c r="BU205" s="268"/>
      <c r="BV205" s="267"/>
      <c r="BW205" s="267"/>
      <c r="BX205" s="267"/>
      <c r="BY205" s="267"/>
      <c r="BZ205" s="267"/>
      <c r="CA205" s="267"/>
      <c r="CB205" s="267" t="s">
        <v>443</v>
      </c>
      <c r="CC205" s="267"/>
      <c r="CD205" s="267"/>
      <c r="CE205" s="267"/>
      <c r="CF205" s="267"/>
      <c r="CG205" s="267"/>
      <c r="CH205" s="267"/>
      <c r="CI205" s="267"/>
    </row>
    <row r="206" spans="1:87" ht="15" customHeight="1" outlineLevel="1">
      <c r="A206" s="260" t="str">
        <f t="shared" ref="A206:A247" si="52">E206&amp;G206</f>
        <v>ENERGY_CERTIFICATE_EST_INPUTPROPERTY_BANK_ID</v>
      </c>
      <c r="B206" s="141" t="s">
        <v>26</v>
      </c>
      <c r="C206" s="137" t="s">
        <v>34</v>
      </c>
      <c r="D206" s="222" t="s">
        <v>40</v>
      </c>
      <c r="E206" s="223" t="s">
        <v>37</v>
      </c>
      <c r="F206" s="223"/>
      <c r="G206" s="222" t="s">
        <v>41</v>
      </c>
      <c r="H206" s="222" t="str">
        <f>VLOOKUP(A206,'2. Status Detalhe Campos FY24'!$A$7:$G$731,7,0)</f>
        <v>1. Concluído</v>
      </c>
      <c r="I206" s="262" t="s">
        <v>38</v>
      </c>
      <c r="J206" s="271">
        <v>45630</v>
      </c>
      <c r="K206" s="271">
        <v>45631</v>
      </c>
      <c r="L206" s="272">
        <f t="array" ref="L206">MIN(IF(W206:CI206&gt;0,$W$16:$CI$16))</f>
        <v>45646</v>
      </c>
      <c r="M206" s="273">
        <f t="array" ref="M206">MAX(IF(W206:CI206&gt;0,$W$16:$CI$16))</f>
        <v>45646</v>
      </c>
      <c r="N206" s="273"/>
      <c r="O206" s="235">
        <f>VLOOKUP(H206,Auxiliar!$B$16:$E$24,4,0)</f>
        <v>1</v>
      </c>
      <c r="P206" s="235">
        <f ca="1">IF(TODAY()&lt;=L206,0,MIN((TODAY()-L206)/(M206-L206+1),100%))</f>
        <v>1</v>
      </c>
      <c r="Q206" s="234">
        <f t="shared" ref="Q206:Q247" ca="1" si="53">O206-P206</f>
        <v>0</v>
      </c>
      <c r="R206" s="328"/>
      <c r="S206" s="266"/>
      <c r="T206" s="256">
        <v>0.6</v>
      </c>
      <c r="U206" s="256">
        <f t="shared" ref="U206:U247" si="54">ROUND(T206/8,1)</f>
        <v>0.1</v>
      </c>
      <c r="V206" s="256">
        <f t="shared" ref="V206:V217" si="55">SUM(W206:CI206)-U206</f>
        <v>0</v>
      </c>
      <c r="W206" s="267"/>
      <c r="X206" s="267"/>
      <c r="Y206" s="267"/>
      <c r="Z206" s="267"/>
      <c r="AA206" s="267"/>
      <c r="AB206" s="267"/>
      <c r="AC206" s="267"/>
      <c r="AD206" s="268"/>
      <c r="AE206" s="267"/>
      <c r="AF206" s="267"/>
      <c r="AG206" s="267"/>
      <c r="AH206" s="267"/>
      <c r="AI206" s="267"/>
      <c r="AJ206" s="267"/>
      <c r="AK206" s="267"/>
      <c r="AL206" s="267"/>
      <c r="AM206" s="267"/>
      <c r="AN206" s="267"/>
      <c r="AO206" s="267"/>
      <c r="AP206" s="267"/>
      <c r="AQ206" s="267"/>
      <c r="AR206" s="267"/>
      <c r="AS206" s="267"/>
      <c r="AT206" s="267"/>
      <c r="AU206" s="267"/>
      <c r="AV206" s="267"/>
      <c r="AW206" s="269"/>
      <c r="AX206" s="267"/>
      <c r="AY206" s="267"/>
      <c r="AZ206" s="267"/>
      <c r="BA206" s="255"/>
      <c r="BB206" s="267"/>
      <c r="BC206" s="267"/>
      <c r="BD206" s="267"/>
      <c r="BE206" s="267"/>
      <c r="BF206" s="267"/>
      <c r="BG206" s="267"/>
      <c r="BH206" s="267"/>
      <c r="BI206" s="267"/>
      <c r="BJ206" s="267"/>
      <c r="BK206" s="267"/>
      <c r="BL206" s="267"/>
      <c r="BM206" s="267">
        <v>0.1</v>
      </c>
      <c r="BN206" s="267"/>
      <c r="BO206" s="268"/>
      <c r="BP206" s="268"/>
      <c r="BQ206" s="268"/>
      <c r="BR206" s="268"/>
      <c r="BS206" s="268"/>
      <c r="BT206" s="268"/>
      <c r="BU206" s="268"/>
      <c r="BV206" s="267"/>
      <c r="BW206" s="267"/>
      <c r="BX206" s="267"/>
      <c r="BY206" s="267"/>
      <c r="BZ206" s="267"/>
      <c r="CA206" s="267"/>
      <c r="CB206" s="267"/>
      <c r="CC206" s="267"/>
      <c r="CD206" s="267"/>
      <c r="CE206" s="267"/>
      <c r="CF206" s="267"/>
      <c r="CG206" s="267"/>
      <c r="CH206" s="267"/>
      <c r="CI206" s="267"/>
    </row>
    <row r="207" spans="1:87" ht="15" customHeight="1" outlineLevel="1">
      <c r="A207" s="260" t="str">
        <f t="shared" si="52"/>
        <v>ENERGY_CERTIFICATE_EST_INPUTENCRYPTED_KEY</v>
      </c>
      <c r="B207" s="141" t="s">
        <v>26</v>
      </c>
      <c r="C207" s="137" t="s">
        <v>34</v>
      </c>
      <c r="D207" s="222" t="s">
        <v>40</v>
      </c>
      <c r="E207" s="223" t="s">
        <v>37</v>
      </c>
      <c r="F207" s="223"/>
      <c r="G207" s="222" t="s">
        <v>42</v>
      </c>
      <c r="H207" s="222" t="e">
        <f>VLOOKUP(A207,'2. Status Detalhe Campos FY24'!$A$7:$G$731,7,0)</f>
        <v>#N/A</v>
      </c>
      <c r="I207" s="262" t="s">
        <v>38</v>
      </c>
      <c r="J207" s="271">
        <v>45630</v>
      </c>
      <c r="K207" s="271">
        <v>45631</v>
      </c>
      <c r="L207" s="272">
        <f t="array" ref="L207">MIN(IF(W207:CI207&gt;0,$W$16:$CI$16))</f>
        <v>45646</v>
      </c>
      <c r="M207" s="273">
        <f t="array" ref="M207">MAX(IF(W207:CI207&gt;0,$W$16:$CI$16))</f>
        <v>45646</v>
      </c>
      <c r="N207" s="273"/>
      <c r="O207" s="235" t="e">
        <f>VLOOKUP(H207,Auxiliar!$B$16:$E$24,4,0)</f>
        <v>#N/A</v>
      </c>
      <c r="P207" s="235">
        <f t="shared" ref="P207:P247" ca="1" si="56">IF(TODAY()&lt;=L207,0,MIN((TODAY()-L207)/(M207-L207+1),100%))</f>
        <v>1</v>
      </c>
      <c r="Q207" s="234" t="e">
        <f t="shared" ca="1" si="53"/>
        <v>#N/A</v>
      </c>
      <c r="R207" s="328"/>
      <c r="S207" s="266"/>
      <c r="T207" s="256">
        <v>0.6</v>
      </c>
      <c r="U207" s="256">
        <f t="shared" si="54"/>
        <v>0.1</v>
      </c>
      <c r="V207" s="256">
        <f t="shared" si="55"/>
        <v>0</v>
      </c>
      <c r="W207" s="267"/>
      <c r="X207" s="267"/>
      <c r="Y207" s="267"/>
      <c r="Z207" s="267"/>
      <c r="AA207" s="267"/>
      <c r="AB207" s="267"/>
      <c r="AC207" s="267"/>
      <c r="AD207" s="268"/>
      <c r="AE207" s="267"/>
      <c r="AF207" s="267"/>
      <c r="AG207" s="267"/>
      <c r="AH207" s="267"/>
      <c r="AI207" s="267"/>
      <c r="AJ207" s="267"/>
      <c r="AK207" s="267"/>
      <c r="AL207" s="267"/>
      <c r="AM207" s="267"/>
      <c r="AN207" s="267"/>
      <c r="AO207" s="267"/>
      <c r="AP207" s="267"/>
      <c r="AQ207" s="267"/>
      <c r="AR207" s="267"/>
      <c r="AS207" s="267"/>
      <c r="AT207" s="267"/>
      <c r="AU207" s="267"/>
      <c r="AV207" s="267"/>
      <c r="AW207" s="269"/>
      <c r="AX207" s="267"/>
      <c r="AY207" s="267"/>
      <c r="AZ207" s="267"/>
      <c r="BA207" s="255"/>
      <c r="BB207" s="267"/>
      <c r="BC207" s="267"/>
      <c r="BD207" s="267"/>
      <c r="BE207" s="267"/>
      <c r="BF207" s="267"/>
      <c r="BG207" s="267"/>
      <c r="BH207" s="267"/>
      <c r="BI207" s="267"/>
      <c r="BJ207" s="267"/>
      <c r="BK207" s="267"/>
      <c r="BL207" s="267"/>
      <c r="BM207" s="267">
        <v>0.1</v>
      </c>
      <c r="BN207" s="267"/>
      <c r="BO207" s="268"/>
      <c r="BP207" s="268"/>
      <c r="BQ207" s="268"/>
      <c r="BR207" s="268"/>
      <c r="BS207" s="268"/>
      <c r="BT207" s="268"/>
      <c r="BU207" s="268"/>
      <c r="BV207" s="267"/>
      <c r="BW207" s="267"/>
      <c r="BX207" s="267"/>
      <c r="BY207" s="267"/>
      <c r="BZ207" s="267"/>
      <c r="CA207" s="267"/>
      <c r="CB207" s="267"/>
      <c r="CC207" s="267"/>
      <c r="CD207" s="267"/>
      <c r="CE207" s="267"/>
      <c r="CF207" s="267"/>
      <c r="CG207" s="267"/>
      <c r="CH207" s="267"/>
      <c r="CI207" s="267"/>
    </row>
    <row r="208" spans="1:87" ht="15" customHeight="1" outlineLevel="1">
      <c r="A208" s="260" t="str">
        <f t="shared" si="52"/>
        <v>ENERGY_CERTIFICATE_EST_INPUTPROPERTY_BRANCH_CODE</v>
      </c>
      <c r="B208" s="141" t="s">
        <v>26</v>
      </c>
      <c r="C208" s="137" t="s">
        <v>34</v>
      </c>
      <c r="D208" s="222" t="s">
        <v>40</v>
      </c>
      <c r="E208" s="223" t="s">
        <v>37</v>
      </c>
      <c r="F208" s="223"/>
      <c r="G208" s="222" t="s">
        <v>43</v>
      </c>
      <c r="H208" s="222" t="str">
        <f>VLOOKUP(A208,'2. Status Detalhe Campos FY24'!$A$7:$G$731,7,0)</f>
        <v>1. Concluído</v>
      </c>
      <c r="I208" s="262" t="s">
        <v>38</v>
      </c>
      <c r="J208" s="271">
        <v>45630</v>
      </c>
      <c r="K208" s="271">
        <v>45631</v>
      </c>
      <c r="L208" s="272">
        <f t="array" ref="L208">MIN(IF(W208:CI208&gt;0,$W$16:$CI$16))</f>
        <v>45646</v>
      </c>
      <c r="M208" s="273">
        <f t="array" ref="M208">MAX(IF(W208:CI208&gt;0,$W$16:$CI$16))</f>
        <v>45646</v>
      </c>
      <c r="N208" s="273"/>
      <c r="O208" s="235">
        <f>VLOOKUP(H208,Auxiliar!$B$16:$E$24,4,0)</f>
        <v>1</v>
      </c>
      <c r="P208" s="235">
        <f t="shared" ca="1" si="56"/>
        <v>1</v>
      </c>
      <c r="Q208" s="234">
        <f t="shared" ca="1" si="53"/>
        <v>0</v>
      </c>
      <c r="R208" s="328"/>
      <c r="S208" s="266"/>
      <c r="T208" s="256">
        <v>0.6</v>
      </c>
      <c r="U208" s="256">
        <f t="shared" si="54"/>
        <v>0.1</v>
      </c>
      <c r="V208" s="256">
        <f t="shared" si="55"/>
        <v>0</v>
      </c>
      <c r="W208" s="267"/>
      <c r="X208" s="267"/>
      <c r="Y208" s="267"/>
      <c r="Z208" s="267"/>
      <c r="AA208" s="267"/>
      <c r="AB208" s="267"/>
      <c r="AC208" s="267"/>
      <c r="AD208" s="268"/>
      <c r="AE208" s="267"/>
      <c r="AF208" s="267"/>
      <c r="AG208" s="267"/>
      <c r="AH208" s="267"/>
      <c r="AI208" s="267"/>
      <c r="AJ208" s="267"/>
      <c r="AK208" s="267"/>
      <c r="AL208" s="267"/>
      <c r="AM208" s="267"/>
      <c r="AN208" s="267"/>
      <c r="AO208" s="267"/>
      <c r="AP208" s="267"/>
      <c r="AQ208" s="267"/>
      <c r="AR208" s="267"/>
      <c r="AS208" s="267"/>
      <c r="AT208" s="267"/>
      <c r="AU208" s="267"/>
      <c r="AV208" s="267"/>
      <c r="AW208" s="269"/>
      <c r="AX208" s="267"/>
      <c r="AY208" s="267"/>
      <c r="AZ208" s="267"/>
      <c r="BA208" s="255"/>
      <c r="BB208" s="267"/>
      <c r="BC208" s="267"/>
      <c r="BD208" s="267"/>
      <c r="BE208" s="267"/>
      <c r="BF208" s="267"/>
      <c r="BG208" s="267"/>
      <c r="BH208" s="267"/>
      <c r="BI208" s="267"/>
      <c r="BJ208" s="267"/>
      <c r="BK208" s="267"/>
      <c r="BL208" s="267"/>
      <c r="BM208" s="267">
        <v>0.1</v>
      </c>
      <c r="BN208" s="267"/>
      <c r="BO208" s="268"/>
      <c r="BP208" s="268"/>
      <c r="BQ208" s="268"/>
      <c r="BR208" s="268"/>
      <c r="BS208" s="268"/>
      <c r="BT208" s="268"/>
      <c r="BU208" s="268"/>
      <c r="BV208" s="267"/>
      <c r="BW208" s="267"/>
      <c r="BX208" s="267"/>
      <c r="BY208" s="267"/>
      <c r="BZ208" s="267"/>
      <c r="CA208" s="267"/>
      <c r="CB208" s="267"/>
      <c r="CC208" s="267"/>
      <c r="CD208" s="267"/>
      <c r="CE208" s="267"/>
      <c r="CF208" s="267"/>
      <c r="CG208" s="267"/>
      <c r="CH208" s="267"/>
      <c r="CI208" s="267"/>
    </row>
    <row r="209" spans="1:87" ht="15" customHeight="1" outlineLevel="1">
      <c r="A209" s="260" t="str">
        <f t="shared" si="52"/>
        <v>ENERGY_CERTIFICATE_EST_INPUTPROPERTY_CONTRACT_ID</v>
      </c>
      <c r="B209" s="141" t="s">
        <v>26</v>
      </c>
      <c r="C209" s="137" t="s">
        <v>34</v>
      </c>
      <c r="D209" s="222" t="s">
        <v>40</v>
      </c>
      <c r="E209" s="223" t="s">
        <v>37</v>
      </c>
      <c r="F209" s="223"/>
      <c r="G209" s="222" t="s">
        <v>44</v>
      </c>
      <c r="H209" s="222" t="str">
        <f>VLOOKUP(A209,'2. Status Detalhe Campos FY24'!$A$7:$G$731,7,0)</f>
        <v>1. Concluído</v>
      </c>
      <c r="I209" s="262" t="s">
        <v>38</v>
      </c>
      <c r="J209" s="271">
        <v>45630</v>
      </c>
      <c r="K209" s="271">
        <v>45631</v>
      </c>
      <c r="L209" s="272">
        <f t="array" ref="L209">MIN(IF(W209:CI209&gt;0,$W$16:$CI$16))</f>
        <v>45646</v>
      </c>
      <c r="M209" s="273">
        <f t="array" ref="M209">MAX(IF(W209:CI209&gt;0,$W$16:$CI$16))</f>
        <v>45646</v>
      </c>
      <c r="N209" s="273"/>
      <c r="O209" s="235">
        <f>VLOOKUP(H209,Auxiliar!$B$16:$E$24,4,0)</f>
        <v>1</v>
      </c>
      <c r="P209" s="235">
        <f t="shared" ca="1" si="56"/>
        <v>1</v>
      </c>
      <c r="Q209" s="234">
        <f t="shared" ca="1" si="53"/>
        <v>0</v>
      </c>
      <c r="R209" s="328"/>
      <c r="S209" s="266"/>
      <c r="T209" s="256">
        <v>0.6</v>
      </c>
      <c r="U209" s="256">
        <f t="shared" si="54"/>
        <v>0.1</v>
      </c>
      <c r="V209" s="256">
        <f t="shared" si="55"/>
        <v>0</v>
      </c>
      <c r="W209" s="267"/>
      <c r="X209" s="267"/>
      <c r="Y209" s="267"/>
      <c r="Z209" s="267"/>
      <c r="AA209" s="267"/>
      <c r="AB209" s="267"/>
      <c r="AC209" s="267"/>
      <c r="AD209" s="268"/>
      <c r="AE209" s="267"/>
      <c r="AF209" s="267"/>
      <c r="AG209" s="267"/>
      <c r="AH209" s="267"/>
      <c r="AI209" s="267"/>
      <c r="AJ209" s="267"/>
      <c r="AK209" s="267"/>
      <c r="AL209" s="267"/>
      <c r="AM209" s="267"/>
      <c r="AN209" s="267"/>
      <c r="AO209" s="267"/>
      <c r="AP209" s="267"/>
      <c r="AQ209" s="267"/>
      <c r="AR209" s="267"/>
      <c r="AS209" s="267"/>
      <c r="AT209" s="267"/>
      <c r="AU209" s="267"/>
      <c r="AV209" s="267"/>
      <c r="AW209" s="269"/>
      <c r="AX209" s="267"/>
      <c r="AY209" s="267"/>
      <c r="AZ209" s="267"/>
      <c r="BA209" s="255"/>
      <c r="BB209" s="267"/>
      <c r="BC209" s="267"/>
      <c r="BD209" s="267"/>
      <c r="BE209" s="267"/>
      <c r="BF209" s="267"/>
      <c r="BG209" s="267"/>
      <c r="BH209" s="267"/>
      <c r="BI209" s="267"/>
      <c r="BJ209" s="267"/>
      <c r="BK209" s="267"/>
      <c r="BL209" s="267"/>
      <c r="BM209" s="267">
        <v>0.1</v>
      </c>
      <c r="BN209" s="267"/>
      <c r="BO209" s="268"/>
      <c r="BP209" s="268"/>
      <c r="BQ209" s="268"/>
      <c r="BR209" s="268"/>
      <c r="BS209" s="268"/>
      <c r="BT209" s="268"/>
      <c r="BU209" s="268"/>
      <c r="BV209" s="267"/>
      <c r="BW209" s="267"/>
      <c r="BX209" s="267"/>
      <c r="BY209" s="267"/>
      <c r="BZ209" s="267"/>
      <c r="CA209" s="267"/>
      <c r="CB209" s="267"/>
      <c r="CC209" s="267"/>
      <c r="CD209" s="267"/>
      <c r="CE209" s="267"/>
      <c r="CF209" s="267"/>
      <c r="CG209" s="267"/>
      <c r="CH209" s="267"/>
      <c r="CI209" s="267"/>
    </row>
    <row r="210" spans="1:87" ht="15" customHeight="1" outlineLevel="1">
      <c r="A210" s="260" t="str">
        <f t="shared" si="52"/>
        <v>ENERGY_CERTIFICATE_EST_INPUTPROPERTY_REFERENCE_CODE</v>
      </c>
      <c r="B210" s="141" t="s">
        <v>26</v>
      </c>
      <c r="C210" s="137" t="s">
        <v>34</v>
      </c>
      <c r="D210" s="222" t="s">
        <v>40</v>
      </c>
      <c r="E210" s="223" t="s">
        <v>37</v>
      </c>
      <c r="F210" s="223"/>
      <c r="G210" s="222" t="s">
        <v>45</v>
      </c>
      <c r="H210" s="222" t="str">
        <f>VLOOKUP(A210,'2. Status Detalhe Campos FY24'!$A$7:$G$731,7,0)</f>
        <v>1. Concluído</v>
      </c>
      <c r="I210" s="262" t="s">
        <v>38</v>
      </c>
      <c r="J210" s="271">
        <v>45630</v>
      </c>
      <c r="K210" s="271">
        <v>45631</v>
      </c>
      <c r="L210" s="272">
        <f t="array" ref="L210">MIN(IF(W210:CI210&gt;0,$W$16:$CI$16))</f>
        <v>45646</v>
      </c>
      <c r="M210" s="273">
        <f t="array" ref="M210">MAX(IF(W210:CI210&gt;0,$W$16:$CI$16))</f>
        <v>45646</v>
      </c>
      <c r="N210" s="273"/>
      <c r="O210" s="235">
        <f>VLOOKUP(H210,Auxiliar!$B$16:$E$24,4,0)</f>
        <v>1</v>
      </c>
      <c r="P210" s="235">
        <f t="shared" ca="1" si="56"/>
        <v>1</v>
      </c>
      <c r="Q210" s="234">
        <f t="shared" ca="1" si="53"/>
        <v>0</v>
      </c>
      <c r="R210" s="328"/>
      <c r="S210" s="266"/>
      <c r="T210" s="256">
        <v>0.6</v>
      </c>
      <c r="U210" s="256">
        <f t="shared" si="54"/>
        <v>0.1</v>
      </c>
      <c r="V210" s="256">
        <f t="shared" si="55"/>
        <v>0</v>
      </c>
      <c r="W210" s="267"/>
      <c r="X210" s="267"/>
      <c r="Y210" s="267"/>
      <c r="Z210" s="267"/>
      <c r="AA210" s="267"/>
      <c r="AB210" s="267"/>
      <c r="AC210" s="267"/>
      <c r="AD210" s="268"/>
      <c r="AE210" s="267"/>
      <c r="AF210" s="267"/>
      <c r="AG210" s="267"/>
      <c r="AH210" s="267"/>
      <c r="AI210" s="267"/>
      <c r="AJ210" s="267"/>
      <c r="AK210" s="267"/>
      <c r="AL210" s="267"/>
      <c r="AM210" s="267"/>
      <c r="AN210" s="267"/>
      <c r="AO210" s="267"/>
      <c r="AP210" s="267"/>
      <c r="AQ210" s="267"/>
      <c r="AR210" s="267"/>
      <c r="AS210" s="267"/>
      <c r="AT210" s="267"/>
      <c r="AU210" s="267"/>
      <c r="AV210" s="267"/>
      <c r="AW210" s="269"/>
      <c r="AX210" s="267"/>
      <c r="AY210" s="267"/>
      <c r="AZ210" s="267"/>
      <c r="BA210" s="255"/>
      <c r="BB210" s="267"/>
      <c r="BC210" s="267"/>
      <c r="BD210" s="267"/>
      <c r="BE210" s="267"/>
      <c r="BF210" s="267"/>
      <c r="BG210" s="267"/>
      <c r="BH210" s="267"/>
      <c r="BI210" s="267"/>
      <c r="BJ210" s="267"/>
      <c r="BK210" s="267"/>
      <c r="BL210" s="267"/>
      <c r="BM210" s="267">
        <v>0.1</v>
      </c>
      <c r="BN210" s="267"/>
      <c r="BO210" s="268"/>
      <c r="BP210" s="268"/>
      <c r="BQ210" s="268"/>
      <c r="BR210" s="268"/>
      <c r="BS210" s="268"/>
      <c r="BT210" s="268"/>
      <c r="BU210" s="268"/>
      <c r="BV210" s="267"/>
      <c r="BW210" s="267"/>
      <c r="BX210" s="267"/>
      <c r="BY210" s="267"/>
      <c r="BZ210" s="267"/>
      <c r="CA210" s="267"/>
      <c r="CB210" s="267"/>
      <c r="CC210" s="267"/>
      <c r="CD210" s="267"/>
      <c r="CE210" s="267"/>
      <c r="CF210" s="267"/>
      <c r="CG210" s="267"/>
      <c r="CH210" s="267"/>
      <c r="CI210" s="267"/>
    </row>
    <row r="211" spans="1:87" ht="15" customHeight="1" outlineLevel="1">
      <c r="A211" s="260" t="str">
        <f t="shared" si="52"/>
        <v>ENERGY_CERTIFICATE_EST_INPUTDATA_EXTRACTION_DATE</v>
      </c>
      <c r="B211" s="141" t="s">
        <v>26</v>
      </c>
      <c r="C211" s="137" t="s">
        <v>34</v>
      </c>
      <c r="D211" s="222" t="s">
        <v>40</v>
      </c>
      <c r="E211" s="223" t="s">
        <v>37</v>
      </c>
      <c r="F211" s="223"/>
      <c r="G211" s="222" t="s">
        <v>46</v>
      </c>
      <c r="H211" s="222" t="e">
        <f>VLOOKUP(A211,'2. Status Detalhe Campos FY24'!$A$7:$G$731,7,0)</f>
        <v>#N/A</v>
      </c>
      <c r="I211" s="262" t="s">
        <v>38</v>
      </c>
      <c r="J211" s="271">
        <v>45630</v>
      </c>
      <c r="K211" s="271">
        <v>45631</v>
      </c>
      <c r="L211" s="272">
        <f t="array" ref="L211">MIN(IF(W211:CI211&gt;0,$W$16:$CI$16))</f>
        <v>45646</v>
      </c>
      <c r="M211" s="273">
        <f t="array" ref="M211">MAX(IF(W211:CI211&gt;0,$W$16:$CI$16))</f>
        <v>45646</v>
      </c>
      <c r="N211" s="273"/>
      <c r="O211" s="235" t="e">
        <f>VLOOKUP(H211,Auxiliar!$B$16:$E$24,4,0)</f>
        <v>#N/A</v>
      </c>
      <c r="P211" s="235">
        <f t="shared" ca="1" si="56"/>
        <v>1</v>
      </c>
      <c r="Q211" s="234" t="e">
        <f t="shared" ca="1" si="53"/>
        <v>#N/A</v>
      </c>
      <c r="R211" s="328"/>
      <c r="S211" s="266"/>
      <c r="T211" s="256">
        <v>0.6</v>
      </c>
      <c r="U211" s="256">
        <f t="shared" si="54"/>
        <v>0.1</v>
      </c>
      <c r="V211" s="256">
        <f t="shared" si="55"/>
        <v>0</v>
      </c>
      <c r="W211" s="267"/>
      <c r="X211" s="267"/>
      <c r="Y211" s="267"/>
      <c r="Z211" s="267"/>
      <c r="AA211" s="267"/>
      <c r="AB211" s="267"/>
      <c r="AC211" s="267"/>
      <c r="AD211" s="268"/>
      <c r="AE211" s="267"/>
      <c r="AF211" s="267"/>
      <c r="AG211" s="267"/>
      <c r="AH211" s="267"/>
      <c r="AI211" s="267"/>
      <c r="AJ211" s="267"/>
      <c r="AK211" s="267"/>
      <c r="AL211" s="267"/>
      <c r="AM211" s="267"/>
      <c r="AN211" s="267"/>
      <c r="AO211" s="267"/>
      <c r="AP211" s="267"/>
      <c r="AQ211" s="267"/>
      <c r="AR211" s="267"/>
      <c r="AS211" s="267"/>
      <c r="AT211" s="267"/>
      <c r="AU211" s="267"/>
      <c r="AV211" s="267"/>
      <c r="AW211" s="269"/>
      <c r="AX211" s="267"/>
      <c r="AY211" s="267"/>
      <c r="AZ211" s="267"/>
      <c r="BA211" s="255"/>
      <c r="BB211" s="267"/>
      <c r="BC211" s="267"/>
      <c r="BD211" s="267"/>
      <c r="BE211" s="267"/>
      <c r="BF211" s="267"/>
      <c r="BG211" s="267"/>
      <c r="BH211" s="267"/>
      <c r="BI211" s="267"/>
      <c r="BJ211" s="267"/>
      <c r="BK211" s="267"/>
      <c r="BL211" s="267"/>
      <c r="BM211" s="267">
        <v>0.1</v>
      </c>
      <c r="BN211" s="267"/>
      <c r="BO211" s="268"/>
      <c r="BP211" s="268"/>
      <c r="BQ211" s="268"/>
      <c r="BR211" s="268"/>
      <c r="BS211" s="268"/>
      <c r="BT211" s="268"/>
      <c r="BU211" s="268"/>
      <c r="BV211" s="267"/>
      <c r="BW211" s="267"/>
      <c r="BX211" s="267"/>
      <c r="BY211" s="267"/>
      <c r="BZ211" s="267"/>
      <c r="CA211" s="267"/>
      <c r="CB211" s="267"/>
      <c r="CC211" s="267"/>
      <c r="CD211" s="267"/>
      <c r="CE211" s="267"/>
      <c r="CF211" s="267"/>
      <c r="CG211" s="267"/>
      <c r="CH211" s="267"/>
      <c r="CI211" s="267"/>
    </row>
    <row r="212" spans="1:87" ht="15" customHeight="1" outlineLevel="1">
      <c r="A212" s="260" t="str">
        <f t="shared" si="52"/>
        <v>ENERGY_CERTIFICATE_EST_INPUTEPC</v>
      </c>
      <c r="B212" s="141" t="s">
        <v>26</v>
      </c>
      <c r="C212" s="137" t="s">
        <v>34</v>
      </c>
      <c r="D212" s="222" t="s">
        <v>40</v>
      </c>
      <c r="E212" s="223" t="s">
        <v>37</v>
      </c>
      <c r="F212" s="223"/>
      <c r="G212" s="222" t="s">
        <v>47</v>
      </c>
      <c r="H212" s="222" t="e">
        <f>VLOOKUP(A212,'2. Status Detalhe Campos FY24'!$A$7:$G$731,7,0)</f>
        <v>#N/A</v>
      </c>
      <c r="I212" s="262" t="s">
        <v>38</v>
      </c>
      <c r="J212" s="271">
        <v>45630</v>
      </c>
      <c r="K212" s="271">
        <v>45631</v>
      </c>
      <c r="L212" s="272">
        <f t="array" ref="L212">MIN(IF(W212:CI212&gt;0,$W$16:$CI$16))</f>
        <v>45646</v>
      </c>
      <c r="M212" s="273">
        <f t="array" ref="M212">MAX(IF(W212:CI212&gt;0,$W$16:$CI$16))</f>
        <v>45646</v>
      </c>
      <c r="N212" s="273"/>
      <c r="O212" s="235" t="e">
        <f>VLOOKUP(H212,Auxiliar!$B$16:$E$24,4,0)</f>
        <v>#N/A</v>
      </c>
      <c r="P212" s="235">
        <f t="shared" ca="1" si="56"/>
        <v>1</v>
      </c>
      <c r="Q212" s="234" t="e">
        <f t="shared" ca="1" si="53"/>
        <v>#N/A</v>
      </c>
      <c r="R212" s="328"/>
      <c r="S212" s="266"/>
      <c r="T212" s="256">
        <v>0.6</v>
      </c>
      <c r="U212" s="256">
        <f t="shared" si="54"/>
        <v>0.1</v>
      </c>
      <c r="V212" s="256">
        <f t="shared" si="55"/>
        <v>0</v>
      </c>
      <c r="W212" s="267"/>
      <c r="X212" s="267"/>
      <c r="Y212" s="267"/>
      <c r="Z212" s="267"/>
      <c r="AA212" s="267"/>
      <c r="AB212" s="267"/>
      <c r="AC212" s="267"/>
      <c r="AD212" s="268"/>
      <c r="AE212" s="267"/>
      <c r="AF212" s="267"/>
      <c r="AG212" s="267"/>
      <c r="AH212" s="267"/>
      <c r="AI212" s="267"/>
      <c r="AJ212" s="267"/>
      <c r="AK212" s="267"/>
      <c r="AL212" s="267"/>
      <c r="AM212" s="267"/>
      <c r="AN212" s="267"/>
      <c r="AO212" s="267"/>
      <c r="AP212" s="267"/>
      <c r="AQ212" s="267"/>
      <c r="AR212" s="267"/>
      <c r="AS212" s="267"/>
      <c r="AT212" s="267"/>
      <c r="AU212" s="267"/>
      <c r="AV212" s="267"/>
      <c r="AW212" s="269"/>
      <c r="AX212" s="267"/>
      <c r="AY212" s="267"/>
      <c r="AZ212" s="267"/>
      <c r="BA212" s="255"/>
      <c r="BB212" s="267"/>
      <c r="BC212" s="267"/>
      <c r="BD212" s="267"/>
      <c r="BE212" s="267"/>
      <c r="BF212" s="267"/>
      <c r="BG212" s="267"/>
      <c r="BH212" s="267"/>
      <c r="BI212" s="267"/>
      <c r="BJ212" s="267"/>
      <c r="BK212" s="267"/>
      <c r="BL212" s="267"/>
      <c r="BM212" s="267">
        <v>0.1</v>
      </c>
      <c r="BN212" s="267"/>
      <c r="BO212" s="268"/>
      <c r="BP212" s="268"/>
      <c r="BQ212" s="268"/>
      <c r="BR212" s="268"/>
      <c r="BS212" s="268"/>
      <c r="BT212" s="268"/>
      <c r="BU212" s="268"/>
      <c r="BV212" s="267"/>
      <c r="BW212" s="267"/>
      <c r="BX212" s="267"/>
      <c r="BY212" s="267"/>
      <c r="BZ212" s="267"/>
      <c r="CA212" s="267"/>
      <c r="CB212" s="267"/>
      <c r="CC212" s="267"/>
      <c r="CD212" s="267"/>
      <c r="CE212" s="267"/>
      <c r="CF212" s="267"/>
      <c r="CG212" s="267"/>
      <c r="CH212" s="267"/>
      <c r="CI212" s="267"/>
    </row>
    <row r="213" spans="1:87" ht="15" customHeight="1" outlineLevel="1">
      <c r="A213" s="260" t="str">
        <f t="shared" si="52"/>
        <v>ENERGY_CERTIFICATE_EST_INPUTDATA_PROVIDER</v>
      </c>
      <c r="B213" s="141" t="s">
        <v>26</v>
      </c>
      <c r="C213" s="137" t="s">
        <v>34</v>
      </c>
      <c r="D213" s="222" t="s">
        <v>40</v>
      </c>
      <c r="E213" s="223" t="s">
        <v>37</v>
      </c>
      <c r="F213" s="223"/>
      <c r="G213" s="222" t="s">
        <v>48</v>
      </c>
      <c r="H213" s="222" t="str">
        <f>VLOOKUP(A213,'2. Status Detalhe Campos FY24'!$A$7:$G$731,7,0)</f>
        <v>0. Cancelado</v>
      </c>
      <c r="I213" s="262" t="s">
        <v>38</v>
      </c>
      <c r="J213" s="271">
        <v>45630</v>
      </c>
      <c r="K213" s="271">
        <v>45631</v>
      </c>
      <c r="L213" s="272">
        <f t="array" ref="L213">MIN(IF(W213:CI213&gt;0,$W$16:$CI$16))</f>
        <v>45646</v>
      </c>
      <c r="M213" s="273">
        <f t="array" ref="M213">MAX(IF(W213:CI213&gt;0,$W$16:$CI$16))</f>
        <v>45646</v>
      </c>
      <c r="N213" s="273"/>
      <c r="O213" s="235">
        <f>VLOOKUP(H213,Auxiliar!$B$16:$E$24,4,0)</f>
        <v>0</v>
      </c>
      <c r="P213" s="235">
        <f t="shared" ca="1" si="56"/>
        <v>1</v>
      </c>
      <c r="Q213" s="234">
        <f t="shared" ca="1" si="53"/>
        <v>-1</v>
      </c>
      <c r="R213" s="328"/>
      <c r="S213" s="266"/>
      <c r="T213" s="256">
        <v>0.6</v>
      </c>
      <c r="U213" s="256">
        <f t="shared" si="54"/>
        <v>0.1</v>
      </c>
      <c r="V213" s="256">
        <f t="shared" si="55"/>
        <v>0</v>
      </c>
      <c r="W213" s="267"/>
      <c r="X213" s="267"/>
      <c r="Y213" s="267"/>
      <c r="Z213" s="267"/>
      <c r="AA213" s="267"/>
      <c r="AB213" s="267"/>
      <c r="AC213" s="267"/>
      <c r="AD213" s="268"/>
      <c r="AE213" s="267"/>
      <c r="AF213" s="267"/>
      <c r="AG213" s="267"/>
      <c r="AH213" s="267"/>
      <c r="AI213" s="267"/>
      <c r="AJ213" s="267"/>
      <c r="AK213" s="267"/>
      <c r="AL213" s="267"/>
      <c r="AM213" s="267"/>
      <c r="AN213" s="267"/>
      <c r="AO213" s="267"/>
      <c r="AP213" s="267"/>
      <c r="AQ213" s="267"/>
      <c r="AR213" s="267"/>
      <c r="AS213" s="267"/>
      <c r="AT213" s="267"/>
      <c r="AU213" s="267"/>
      <c r="AV213" s="267"/>
      <c r="AW213" s="269"/>
      <c r="AX213" s="267"/>
      <c r="AY213" s="267"/>
      <c r="AZ213" s="267"/>
      <c r="BA213" s="255"/>
      <c r="BB213" s="267"/>
      <c r="BC213" s="267"/>
      <c r="BD213" s="267"/>
      <c r="BE213" s="267"/>
      <c r="BF213" s="267"/>
      <c r="BG213" s="267"/>
      <c r="BH213" s="267"/>
      <c r="BI213" s="267"/>
      <c r="BJ213" s="267"/>
      <c r="BK213" s="267"/>
      <c r="BL213" s="267"/>
      <c r="BM213" s="267">
        <v>0.1</v>
      </c>
      <c r="BN213" s="267"/>
      <c r="BO213" s="268"/>
      <c r="BP213" s="268"/>
      <c r="BQ213" s="268"/>
      <c r="BR213" s="268"/>
      <c r="BS213" s="268"/>
      <c r="BT213" s="268"/>
      <c r="BU213" s="268"/>
      <c r="BV213" s="267"/>
      <c r="BW213" s="267"/>
      <c r="BX213" s="267"/>
      <c r="BY213" s="267"/>
      <c r="BZ213" s="267"/>
      <c r="CA213" s="267"/>
      <c r="CB213" s="267"/>
      <c r="CC213" s="267"/>
      <c r="CD213" s="267"/>
      <c r="CE213" s="267"/>
      <c r="CF213" s="267"/>
      <c r="CG213" s="267"/>
      <c r="CH213" s="267"/>
      <c r="CI213" s="267"/>
    </row>
    <row r="214" spans="1:87" ht="15" customHeight="1" outlineLevel="1">
      <c r="A214" s="260" t="str">
        <f t="shared" si="52"/>
        <v>ENERGY_CERTIFICATE_EST_INPUTACTUAL_VALUE_IND</v>
      </c>
      <c r="B214" s="141" t="s">
        <v>26</v>
      </c>
      <c r="C214" s="137" t="s">
        <v>34</v>
      </c>
      <c r="D214" s="222" t="s">
        <v>40</v>
      </c>
      <c r="E214" s="223" t="s">
        <v>37</v>
      </c>
      <c r="F214" s="223"/>
      <c r="G214" s="222" t="s">
        <v>49</v>
      </c>
      <c r="H214" s="222" t="str">
        <f>VLOOKUP(A214,'2. Status Detalhe Campos FY24'!$A$7:$G$731,7,0)</f>
        <v>0. Cancelado</v>
      </c>
      <c r="I214" s="262" t="s">
        <v>38</v>
      </c>
      <c r="J214" s="271">
        <v>45630</v>
      </c>
      <c r="K214" s="271">
        <v>45631</v>
      </c>
      <c r="L214" s="272">
        <f t="array" ref="L214">MIN(IF(W214:CI214&gt;0,$W$16:$CI$16))</f>
        <v>45646</v>
      </c>
      <c r="M214" s="273">
        <f t="array" ref="M214">MAX(IF(W214:CI214&gt;0,$W$16:$CI$16))</f>
        <v>45646</v>
      </c>
      <c r="N214" s="273"/>
      <c r="O214" s="235">
        <f>VLOOKUP(H214,Auxiliar!$B$16:$E$24,4,0)</f>
        <v>0</v>
      </c>
      <c r="P214" s="235">
        <f t="shared" ca="1" si="56"/>
        <v>1</v>
      </c>
      <c r="Q214" s="234">
        <f t="shared" ca="1" si="53"/>
        <v>-1</v>
      </c>
      <c r="R214" s="328"/>
      <c r="S214" s="266"/>
      <c r="T214" s="256">
        <v>0.6</v>
      </c>
      <c r="U214" s="256">
        <f t="shared" si="54"/>
        <v>0.1</v>
      </c>
      <c r="V214" s="256">
        <f t="shared" si="55"/>
        <v>0</v>
      </c>
      <c r="W214" s="267"/>
      <c r="X214" s="267"/>
      <c r="Y214" s="267"/>
      <c r="Z214" s="267"/>
      <c r="AA214" s="267"/>
      <c r="AB214" s="267"/>
      <c r="AC214" s="267"/>
      <c r="AD214" s="268"/>
      <c r="AE214" s="267"/>
      <c r="AF214" s="267"/>
      <c r="AG214" s="267"/>
      <c r="AH214" s="267"/>
      <c r="AI214" s="267"/>
      <c r="AJ214" s="267"/>
      <c r="AK214" s="267"/>
      <c r="AL214" s="267"/>
      <c r="AM214" s="267"/>
      <c r="AN214" s="267"/>
      <c r="AO214" s="267"/>
      <c r="AP214" s="267"/>
      <c r="AQ214" s="267"/>
      <c r="AR214" s="267"/>
      <c r="AS214" s="267"/>
      <c r="AT214" s="267"/>
      <c r="AU214" s="267"/>
      <c r="AV214" s="267"/>
      <c r="AW214" s="269"/>
      <c r="AX214" s="267"/>
      <c r="AY214" s="267"/>
      <c r="AZ214" s="267"/>
      <c r="BA214" s="255"/>
      <c r="BB214" s="267"/>
      <c r="BC214" s="267"/>
      <c r="BD214" s="267"/>
      <c r="BE214" s="267"/>
      <c r="BF214" s="267"/>
      <c r="BG214" s="267"/>
      <c r="BH214" s="267"/>
      <c r="BI214" s="267"/>
      <c r="BJ214" s="267"/>
      <c r="BK214" s="267"/>
      <c r="BL214" s="267"/>
      <c r="BM214" s="267">
        <v>0.1</v>
      </c>
      <c r="BN214" s="267"/>
      <c r="BO214" s="268"/>
      <c r="BP214" s="268"/>
      <c r="BQ214" s="268"/>
      <c r="BR214" s="268"/>
      <c r="BS214" s="268"/>
      <c r="BT214" s="268"/>
      <c r="BU214" s="268"/>
      <c r="BV214" s="267"/>
      <c r="BW214" s="267"/>
      <c r="BX214" s="267"/>
      <c r="BY214" s="267"/>
      <c r="BZ214" s="267"/>
      <c r="CA214" s="267"/>
      <c r="CB214" s="267"/>
      <c r="CC214" s="267"/>
      <c r="CD214" s="267"/>
      <c r="CE214" s="267"/>
      <c r="CF214" s="267"/>
      <c r="CG214" s="267"/>
      <c r="CH214" s="267"/>
      <c r="CI214" s="267"/>
    </row>
    <row r="215" spans="1:87" ht="15" customHeight="1" outlineLevel="1">
      <c r="A215" s="260" t="str">
        <f t="shared" si="52"/>
        <v>ENERGY_CERTIFICATE_EST_INPUTQUALITY_SCORE</v>
      </c>
      <c r="B215" s="141" t="s">
        <v>26</v>
      </c>
      <c r="C215" s="137" t="s">
        <v>34</v>
      </c>
      <c r="D215" s="222" t="s">
        <v>40</v>
      </c>
      <c r="E215" s="223" t="s">
        <v>37</v>
      </c>
      <c r="F215" s="223"/>
      <c r="G215" s="222" t="s">
        <v>50</v>
      </c>
      <c r="H215" s="222" t="e">
        <f>VLOOKUP(A215,'2. Status Detalhe Campos FY24'!$A$7:$G$731,7,0)</f>
        <v>#N/A</v>
      </c>
      <c r="I215" s="262" t="s">
        <v>38</v>
      </c>
      <c r="J215" s="271">
        <v>45630</v>
      </c>
      <c r="K215" s="271">
        <v>45631</v>
      </c>
      <c r="L215" s="272">
        <f t="array" ref="L215">MIN(IF(W215:CI215&gt;0,$W$16:$CI$16))</f>
        <v>45646</v>
      </c>
      <c r="M215" s="273">
        <f t="array" ref="M215">MAX(IF(W215:CI215&gt;0,$W$16:$CI$16))</f>
        <v>45646</v>
      </c>
      <c r="N215" s="273"/>
      <c r="O215" s="235" t="e">
        <f>VLOOKUP(H215,Auxiliar!$B$16:$E$24,4,0)</f>
        <v>#N/A</v>
      </c>
      <c r="P215" s="235">
        <f t="shared" ca="1" si="56"/>
        <v>1</v>
      </c>
      <c r="Q215" s="234" t="e">
        <f t="shared" ca="1" si="53"/>
        <v>#N/A</v>
      </c>
      <c r="R215" s="328"/>
      <c r="S215" s="266"/>
      <c r="T215" s="256">
        <v>0.6</v>
      </c>
      <c r="U215" s="256">
        <f t="shared" si="54"/>
        <v>0.1</v>
      </c>
      <c r="V215" s="256">
        <f t="shared" si="55"/>
        <v>0</v>
      </c>
      <c r="W215" s="267"/>
      <c r="X215" s="267"/>
      <c r="Y215" s="267"/>
      <c r="Z215" s="267"/>
      <c r="AA215" s="267"/>
      <c r="AB215" s="267"/>
      <c r="AC215" s="267"/>
      <c r="AD215" s="268"/>
      <c r="AE215" s="267"/>
      <c r="AF215" s="267"/>
      <c r="AG215" s="267"/>
      <c r="AH215" s="267"/>
      <c r="AI215" s="267"/>
      <c r="AJ215" s="267"/>
      <c r="AK215" s="267"/>
      <c r="AL215" s="267"/>
      <c r="AM215" s="267"/>
      <c r="AN215" s="267"/>
      <c r="AO215" s="267"/>
      <c r="AP215" s="267"/>
      <c r="AQ215" s="267"/>
      <c r="AR215" s="267"/>
      <c r="AS215" s="267"/>
      <c r="AT215" s="267"/>
      <c r="AU215" s="267"/>
      <c r="AV215" s="267"/>
      <c r="AW215" s="269"/>
      <c r="AX215" s="267"/>
      <c r="AY215" s="267"/>
      <c r="AZ215" s="267"/>
      <c r="BA215" s="255"/>
      <c r="BB215" s="267"/>
      <c r="BC215" s="267"/>
      <c r="BD215" s="267"/>
      <c r="BE215" s="267"/>
      <c r="BF215" s="267"/>
      <c r="BG215" s="267"/>
      <c r="BH215" s="267"/>
      <c r="BI215" s="267"/>
      <c r="BJ215" s="267"/>
      <c r="BK215" s="267"/>
      <c r="BL215" s="267"/>
      <c r="BM215" s="267">
        <v>0.1</v>
      </c>
      <c r="BN215" s="267"/>
      <c r="BO215" s="268"/>
      <c r="BP215" s="268"/>
      <c r="BQ215" s="268"/>
      <c r="BR215" s="268"/>
      <c r="BS215" s="268"/>
      <c r="BT215" s="268"/>
      <c r="BU215" s="268"/>
      <c r="BV215" s="267"/>
      <c r="BW215" s="267"/>
      <c r="BX215" s="267"/>
      <c r="BY215" s="267"/>
      <c r="BZ215" s="267"/>
      <c r="CA215" s="267"/>
      <c r="CB215" s="267"/>
      <c r="CC215" s="267"/>
      <c r="CD215" s="267"/>
      <c r="CE215" s="267"/>
      <c r="CF215" s="267"/>
      <c r="CG215" s="267"/>
      <c r="CH215" s="267"/>
      <c r="CI215" s="267"/>
    </row>
    <row r="216" spans="1:87" ht="15" customHeight="1" outlineLevel="1">
      <c r="A216" s="260" t="str">
        <f t="shared" si="52"/>
        <v>ENERGY_CERTIFICATE_EST_INPUTENERGY_CONSUMPTION_VALUE_YEAR</v>
      </c>
      <c r="B216" s="141" t="s">
        <v>26</v>
      </c>
      <c r="C216" s="137" t="s">
        <v>34</v>
      </c>
      <c r="D216" s="222" t="s">
        <v>40</v>
      </c>
      <c r="E216" s="223" t="s">
        <v>37</v>
      </c>
      <c r="F216" s="223"/>
      <c r="G216" s="222" t="s">
        <v>51</v>
      </c>
      <c r="H216" s="222" t="e">
        <f>VLOOKUP(A216,'2. Status Detalhe Campos FY24'!$A$7:$G$731,7,0)</f>
        <v>#N/A</v>
      </c>
      <c r="I216" s="262" t="s">
        <v>38</v>
      </c>
      <c r="J216" s="271">
        <v>45630</v>
      </c>
      <c r="K216" s="271">
        <v>45631</v>
      </c>
      <c r="L216" s="272">
        <f t="array" ref="L216">MIN(IF(W216:CI216&gt;0,$W$16:$CI$16))</f>
        <v>45659</v>
      </c>
      <c r="M216" s="273">
        <f t="array" ref="M216">MAX(IF(W216:CI216&gt;0,$W$16:$CI$16))</f>
        <v>45659</v>
      </c>
      <c r="N216" s="273"/>
      <c r="O216" s="235" t="e">
        <f>VLOOKUP(H216,Auxiliar!$B$16:$E$24,4,0)</f>
        <v>#N/A</v>
      </c>
      <c r="P216" s="235">
        <f t="shared" ca="1" si="56"/>
        <v>1</v>
      </c>
      <c r="Q216" s="234" t="e">
        <f t="shared" ca="1" si="53"/>
        <v>#N/A</v>
      </c>
      <c r="R216" s="328"/>
      <c r="S216" s="266"/>
      <c r="T216" s="256">
        <v>0.6</v>
      </c>
      <c r="U216" s="256">
        <f t="shared" si="54"/>
        <v>0.1</v>
      </c>
      <c r="V216" s="256">
        <f t="shared" si="55"/>
        <v>0</v>
      </c>
      <c r="W216" s="267"/>
      <c r="X216" s="267"/>
      <c r="Y216" s="267"/>
      <c r="Z216" s="267"/>
      <c r="AA216" s="267"/>
      <c r="AB216" s="267"/>
      <c r="AC216" s="267"/>
      <c r="AD216" s="268"/>
      <c r="AE216" s="267"/>
      <c r="AF216" s="267"/>
      <c r="AG216" s="267"/>
      <c r="AH216" s="267"/>
      <c r="AI216" s="267"/>
      <c r="AJ216" s="267"/>
      <c r="AK216" s="267"/>
      <c r="AL216" s="267"/>
      <c r="AM216" s="267"/>
      <c r="AN216" s="267"/>
      <c r="AO216" s="267"/>
      <c r="AP216" s="267"/>
      <c r="AQ216" s="267"/>
      <c r="AR216" s="267"/>
      <c r="AS216" s="267"/>
      <c r="AT216" s="267"/>
      <c r="AU216" s="267"/>
      <c r="AV216" s="267"/>
      <c r="AW216" s="269"/>
      <c r="AX216" s="267"/>
      <c r="AY216" s="267"/>
      <c r="AZ216" s="267"/>
      <c r="BA216" s="255"/>
      <c r="BB216" s="267"/>
      <c r="BC216" s="267"/>
      <c r="BD216" s="267"/>
      <c r="BE216" s="267"/>
      <c r="BF216" s="267"/>
      <c r="BG216" s="267"/>
      <c r="BH216" s="267"/>
      <c r="BI216" s="267"/>
      <c r="BJ216" s="267"/>
      <c r="BK216" s="267"/>
      <c r="BL216" s="267"/>
      <c r="BM216" s="267"/>
      <c r="BN216" s="267"/>
      <c r="BO216" s="268"/>
      <c r="BP216" s="268"/>
      <c r="BQ216" s="268"/>
      <c r="BR216" s="268"/>
      <c r="BS216" s="268"/>
      <c r="BT216" s="268"/>
      <c r="BU216" s="268"/>
      <c r="BV216" s="267">
        <v>0.1</v>
      </c>
      <c r="BW216" s="267"/>
      <c r="BX216" s="267"/>
      <c r="BY216" s="267"/>
      <c r="BZ216" s="267"/>
      <c r="CA216" s="267"/>
      <c r="CB216" s="267"/>
      <c r="CC216" s="267"/>
      <c r="CD216" s="267"/>
      <c r="CE216" s="267"/>
      <c r="CF216" s="267"/>
      <c r="CG216" s="267"/>
      <c r="CH216" s="267"/>
      <c r="CI216" s="267"/>
    </row>
    <row r="217" spans="1:87" ht="15" customHeight="1" outlineLevel="1">
      <c r="A217" s="260" t="str">
        <f t="shared" si="52"/>
        <v>ENERGY_CERTIFICATE_EST_INPUTCARBON_EMISSION_VALUE_YEAR</v>
      </c>
      <c r="B217" s="141" t="s">
        <v>26</v>
      </c>
      <c r="C217" s="137" t="s">
        <v>34</v>
      </c>
      <c r="D217" s="222" t="s">
        <v>40</v>
      </c>
      <c r="E217" s="223" t="s">
        <v>37</v>
      </c>
      <c r="F217" s="223"/>
      <c r="G217" s="222" t="s">
        <v>52</v>
      </c>
      <c r="H217" s="222" t="e">
        <f>VLOOKUP(A217,'2. Status Detalhe Campos FY24'!$A$7:$G$731,7,0)</f>
        <v>#N/A</v>
      </c>
      <c r="I217" s="262" t="s">
        <v>38</v>
      </c>
      <c r="J217" s="271">
        <v>45630</v>
      </c>
      <c r="K217" s="271">
        <v>45631</v>
      </c>
      <c r="L217" s="272">
        <f t="array" ref="L217">MIN(IF(W217:CI217&gt;0,$W$16:$CI$16))</f>
        <v>45659</v>
      </c>
      <c r="M217" s="273">
        <f t="array" ref="M217">MAX(IF(W217:CI217&gt;0,$W$16:$CI$16))</f>
        <v>45659</v>
      </c>
      <c r="N217" s="273"/>
      <c r="O217" s="235" t="e">
        <f>VLOOKUP(H217,Auxiliar!$B$16:$E$24,4,0)</f>
        <v>#N/A</v>
      </c>
      <c r="P217" s="235">
        <f t="shared" ca="1" si="56"/>
        <v>1</v>
      </c>
      <c r="Q217" s="234" t="e">
        <f t="shared" ca="1" si="53"/>
        <v>#N/A</v>
      </c>
      <c r="R217" s="328"/>
      <c r="S217" s="266"/>
      <c r="T217" s="256">
        <v>0.6</v>
      </c>
      <c r="U217" s="256">
        <f t="shared" si="54"/>
        <v>0.1</v>
      </c>
      <c r="V217" s="256">
        <f t="shared" si="55"/>
        <v>0</v>
      </c>
      <c r="W217" s="267"/>
      <c r="X217" s="267"/>
      <c r="Y217" s="267"/>
      <c r="Z217" s="267"/>
      <c r="AA217" s="267"/>
      <c r="AB217" s="267"/>
      <c r="AC217" s="267"/>
      <c r="AD217" s="268"/>
      <c r="AE217" s="267"/>
      <c r="AF217" s="267"/>
      <c r="AG217" s="267"/>
      <c r="AH217" s="267"/>
      <c r="AI217" s="267"/>
      <c r="AJ217" s="267"/>
      <c r="AK217" s="267"/>
      <c r="AL217" s="267"/>
      <c r="AM217" s="267"/>
      <c r="AN217" s="267"/>
      <c r="AO217" s="267"/>
      <c r="AP217" s="267"/>
      <c r="AQ217" s="267"/>
      <c r="AR217" s="267"/>
      <c r="AS217" s="267"/>
      <c r="AT217" s="267"/>
      <c r="AU217" s="267"/>
      <c r="AV217" s="267"/>
      <c r="AW217" s="269"/>
      <c r="AX217" s="267"/>
      <c r="AY217" s="267"/>
      <c r="AZ217" s="267"/>
      <c r="BA217" s="255"/>
      <c r="BB217" s="267"/>
      <c r="BC217" s="267"/>
      <c r="BD217" s="267"/>
      <c r="BE217" s="267"/>
      <c r="BF217" s="267"/>
      <c r="BG217" s="267"/>
      <c r="BH217" s="267"/>
      <c r="BI217" s="267"/>
      <c r="BJ217" s="267"/>
      <c r="BK217" s="267"/>
      <c r="BL217" s="267"/>
      <c r="BM217" s="267"/>
      <c r="BN217" s="267"/>
      <c r="BO217" s="268"/>
      <c r="BP217" s="268"/>
      <c r="BQ217" s="268"/>
      <c r="BR217" s="268"/>
      <c r="BS217" s="268"/>
      <c r="BT217" s="268"/>
      <c r="BU217" s="268"/>
      <c r="BV217" s="267">
        <v>0.1</v>
      </c>
      <c r="BW217" s="267"/>
      <c r="BX217" s="267"/>
      <c r="BY217" s="267"/>
      <c r="BZ217" s="267"/>
      <c r="CA217" s="267"/>
      <c r="CB217" s="267"/>
      <c r="CC217" s="267"/>
      <c r="CD217" s="267"/>
      <c r="CE217" s="267"/>
      <c r="CF217" s="267"/>
      <c r="CG217" s="267"/>
      <c r="CH217" s="267"/>
      <c r="CI217" s="267"/>
    </row>
    <row r="218" spans="1:87" ht="15" customHeight="1">
      <c r="A218" s="260"/>
      <c r="B218" s="141" t="s">
        <v>26</v>
      </c>
      <c r="C218" s="137" t="s">
        <v>54</v>
      </c>
      <c r="D218" s="133"/>
      <c r="E218" s="228" t="s">
        <v>94</v>
      </c>
      <c r="F218" s="226" t="s">
        <v>1883</v>
      </c>
      <c r="G218" s="241">
        <v>1</v>
      </c>
      <c r="H218" s="281" t="s">
        <v>1915</v>
      </c>
      <c r="I218" s="264">
        <v>45604</v>
      </c>
      <c r="J218" s="264">
        <v>45645</v>
      </c>
      <c r="K218" s="264">
        <v>45645</v>
      </c>
      <c r="L218" s="265"/>
      <c r="M218" s="296"/>
      <c r="N218" s="308">
        <f t="array" ref="N218">MAX(IF(W218:CI218&gt;0,$W$16:$CI$16))</f>
        <v>45667</v>
      </c>
      <c r="O218" s="307">
        <v>1</v>
      </c>
      <c r="P218" s="307">
        <v>1</v>
      </c>
      <c r="Q218" s="234">
        <f>O218-P218</f>
        <v>0</v>
      </c>
      <c r="R218" s="325" t="s">
        <v>1950</v>
      </c>
      <c r="S218" s="266"/>
      <c r="T218" s="256"/>
      <c r="U218" s="256"/>
      <c r="V218" s="256"/>
      <c r="W218" s="267"/>
      <c r="X218" s="267"/>
      <c r="Y218" s="267"/>
      <c r="Z218" s="267"/>
      <c r="AA218" s="267"/>
      <c r="AB218" s="267"/>
      <c r="AC218" s="267"/>
      <c r="AD218" s="268"/>
      <c r="AE218" s="267"/>
      <c r="AF218" s="267"/>
      <c r="AG218" s="267"/>
      <c r="AH218" s="267"/>
      <c r="AI218" s="275"/>
      <c r="AJ218" s="267"/>
      <c r="AK218" s="267"/>
      <c r="AL218" s="267"/>
      <c r="AM218" s="267"/>
      <c r="AN218" s="267"/>
      <c r="AO218" s="267"/>
      <c r="AP218" s="267"/>
      <c r="AQ218" s="267"/>
      <c r="AR218" s="267"/>
      <c r="AS218" s="267"/>
      <c r="AT218" s="267"/>
      <c r="AU218" s="267"/>
      <c r="AV218" s="267"/>
      <c r="AW218" s="267"/>
      <c r="AX218" s="267"/>
      <c r="AY218" s="267"/>
      <c r="AZ218" s="267"/>
      <c r="BA218" s="267"/>
      <c r="BB218" s="269"/>
      <c r="BC218" s="267"/>
      <c r="BD218" s="267"/>
      <c r="BE218" s="267"/>
      <c r="BF218" s="267"/>
      <c r="BG218" s="267"/>
      <c r="BH218" s="267"/>
      <c r="BI218" s="267"/>
      <c r="BJ218" s="267"/>
      <c r="BK218" s="267"/>
      <c r="BL218" s="255"/>
      <c r="BM218" s="267"/>
      <c r="BN218" s="267"/>
      <c r="BO218" s="268"/>
      <c r="BP218" s="268"/>
      <c r="BQ218" s="268"/>
      <c r="BR218" s="268"/>
      <c r="BS218" s="268"/>
      <c r="BT218" s="268"/>
      <c r="BU218" s="268"/>
      <c r="BV218" s="267"/>
      <c r="BW218" s="267"/>
      <c r="BX218" s="267"/>
      <c r="BY218" s="267"/>
      <c r="BZ218" s="267"/>
      <c r="CA218" s="267"/>
      <c r="CB218" s="267" t="s">
        <v>443</v>
      </c>
      <c r="CC218" s="267"/>
      <c r="CD218" s="267"/>
      <c r="CE218" s="267"/>
      <c r="CF218" s="267"/>
      <c r="CG218" s="267"/>
      <c r="CH218" s="267"/>
      <c r="CI218" s="267"/>
    </row>
    <row r="219" spans="1:87" ht="15" customHeight="1">
      <c r="A219" s="260"/>
      <c r="B219" s="141" t="s">
        <v>26</v>
      </c>
      <c r="C219" s="137" t="s">
        <v>34</v>
      </c>
      <c r="D219" s="133"/>
      <c r="E219" s="228" t="s">
        <v>1916</v>
      </c>
      <c r="F219" s="226" t="s">
        <v>1939</v>
      </c>
      <c r="G219" s="241" t="s">
        <v>1862</v>
      </c>
      <c r="H219" s="261" t="s">
        <v>1918</v>
      </c>
      <c r="I219" s="264">
        <v>45604</v>
      </c>
      <c r="J219" s="264">
        <v>45630</v>
      </c>
      <c r="K219" s="264">
        <v>45631</v>
      </c>
      <c r="L219" s="265">
        <f t="array" ref="L219">MIN(IF(W219:CI219&gt;0,$W$16:$CI$16))</f>
        <v>45665</v>
      </c>
      <c r="M219" s="296">
        <f t="array" ref="M219">MAX(IF(W219:CI219&gt;0,$W$16:$CI$16))</f>
        <v>45667</v>
      </c>
      <c r="N219" s="308" t="s">
        <v>1862</v>
      </c>
      <c r="O219" s="302">
        <v>0</v>
      </c>
      <c r="P219" s="302">
        <v>0</v>
      </c>
      <c r="Q219" s="234">
        <f>O219-P219</f>
        <v>0</v>
      </c>
      <c r="R219" s="327"/>
      <c r="S219" s="266"/>
      <c r="T219" s="256"/>
      <c r="U219" s="256"/>
      <c r="V219" s="256"/>
      <c r="W219" s="267"/>
      <c r="X219" s="267"/>
      <c r="Y219" s="267"/>
      <c r="Z219" s="267"/>
      <c r="AA219" s="267"/>
      <c r="AB219" s="267"/>
      <c r="AC219" s="267"/>
      <c r="AD219" s="268"/>
      <c r="AE219" s="267"/>
      <c r="AF219" s="267"/>
      <c r="AG219" s="267"/>
      <c r="AH219" s="267"/>
      <c r="AI219" s="275"/>
      <c r="AJ219" s="267"/>
      <c r="AK219" s="267"/>
      <c r="AL219" s="267"/>
      <c r="AM219" s="267"/>
      <c r="AN219" s="267"/>
      <c r="AO219" s="267"/>
      <c r="AP219" s="267"/>
      <c r="AQ219" s="267"/>
      <c r="AR219" s="267"/>
      <c r="AS219" s="267"/>
      <c r="AT219" s="267"/>
      <c r="AU219" s="267"/>
      <c r="AV219" s="267"/>
      <c r="AW219" s="269"/>
      <c r="AX219" s="267"/>
      <c r="AY219" s="267"/>
      <c r="AZ219" s="267"/>
      <c r="BA219" s="269"/>
      <c r="BB219" s="255"/>
      <c r="BC219" s="267"/>
      <c r="BD219" s="267"/>
      <c r="BE219" s="267"/>
      <c r="BF219" s="267"/>
      <c r="BG219" s="267"/>
      <c r="BH219" s="267"/>
      <c r="BI219" s="267"/>
      <c r="BJ219" s="267"/>
      <c r="BK219" s="267"/>
      <c r="BL219" s="267"/>
      <c r="BM219" s="267"/>
      <c r="BN219" s="267"/>
      <c r="BO219" s="268"/>
      <c r="BP219" s="268"/>
      <c r="BQ219" s="268"/>
      <c r="BR219" s="268"/>
      <c r="BS219" s="268"/>
      <c r="BT219" s="268"/>
      <c r="BU219" s="268"/>
      <c r="BV219" s="267"/>
      <c r="BW219" s="267"/>
      <c r="BX219" s="267"/>
      <c r="BY219" s="267"/>
      <c r="BZ219" s="267">
        <v>1</v>
      </c>
      <c r="CA219" s="267">
        <v>1</v>
      </c>
      <c r="CB219" s="267" t="s">
        <v>443</v>
      </c>
      <c r="CC219" s="267"/>
      <c r="CD219" s="267"/>
      <c r="CE219" s="267"/>
      <c r="CF219" s="267"/>
      <c r="CG219" s="267"/>
      <c r="CH219" s="267"/>
      <c r="CI219" s="267"/>
    </row>
    <row r="220" spans="1:87" ht="15" customHeight="1">
      <c r="A220" s="260"/>
      <c r="B220" s="141" t="s">
        <v>26</v>
      </c>
      <c r="C220" s="137" t="s">
        <v>310</v>
      </c>
      <c r="D220" s="133"/>
      <c r="E220" s="226" t="s">
        <v>311</v>
      </c>
      <c r="F220" s="226" t="s">
        <v>1904</v>
      </c>
      <c r="G220" s="314">
        <f>COUNTA(G221:G224)</f>
        <v>4</v>
      </c>
      <c r="H220" s="281" t="s">
        <v>1915</v>
      </c>
      <c r="I220" s="262" t="s">
        <v>38</v>
      </c>
      <c r="J220" s="263">
        <f>MIN(J221:J224)</f>
        <v>45631</v>
      </c>
      <c r="K220" s="263">
        <f>MIN(K221:K224)</f>
        <v>45631</v>
      </c>
      <c r="L220" s="263">
        <f>MIN(L221:L224)</f>
        <v>45663</v>
      </c>
      <c r="M220" s="264">
        <f>MAX(M221:M224)</f>
        <v>45664</v>
      </c>
      <c r="N220" s="308">
        <f t="array" ref="N220">MAX(IF(W220:CI220&gt;0,$W$16:$CI$16))</f>
        <v>45674</v>
      </c>
      <c r="O220" s="307">
        <f>SUMPRODUCT(O221:O224,U221:U224)/SUM(U221:U224)</f>
        <v>1</v>
      </c>
      <c r="P220" s="307">
        <f ca="1">SUMPRODUCT(P221:P224,U221:U224)/SUM(U221:U224)</f>
        <v>1</v>
      </c>
      <c r="Q220" s="234">
        <f t="shared" ref="Q220:Q225" ca="1" si="57">O220-P220</f>
        <v>0</v>
      </c>
      <c r="R220" s="325" t="s">
        <v>1962</v>
      </c>
      <c r="S220" s="266"/>
      <c r="T220" s="256"/>
      <c r="U220" s="256"/>
      <c r="V220" s="256"/>
      <c r="W220" s="267"/>
      <c r="X220" s="267"/>
      <c r="Y220" s="267"/>
      <c r="Z220" s="267"/>
      <c r="AA220" s="267"/>
      <c r="AB220" s="267"/>
      <c r="AC220" s="267"/>
      <c r="AD220" s="268"/>
      <c r="AE220" s="267"/>
      <c r="AF220" s="267"/>
      <c r="AG220" s="267"/>
      <c r="AH220" s="267"/>
      <c r="AI220" s="267"/>
      <c r="AJ220" s="267"/>
      <c r="AK220" s="267"/>
      <c r="AL220" s="267"/>
      <c r="AM220" s="267"/>
      <c r="AN220" s="267"/>
      <c r="AO220" s="267"/>
      <c r="AP220" s="267"/>
      <c r="AQ220" s="267"/>
      <c r="AR220" s="267"/>
      <c r="AS220" s="267"/>
      <c r="AT220" s="269"/>
      <c r="AU220" s="267"/>
      <c r="AV220" s="267"/>
      <c r="AW220" s="267"/>
      <c r="AX220" s="267"/>
      <c r="AY220" s="267"/>
      <c r="AZ220" s="267"/>
      <c r="BA220" s="267"/>
      <c r="BB220" s="255"/>
      <c r="BC220" s="267"/>
      <c r="BD220" s="267"/>
      <c r="BE220" s="267"/>
      <c r="BF220" s="267"/>
      <c r="BG220" s="267"/>
      <c r="BH220" s="267"/>
      <c r="BI220" s="267"/>
      <c r="BJ220" s="267"/>
      <c r="BK220" s="267"/>
      <c r="BL220" s="267"/>
      <c r="BM220" s="267"/>
      <c r="BN220" s="267"/>
      <c r="BO220" s="268"/>
      <c r="BP220" s="268"/>
      <c r="BQ220" s="268"/>
      <c r="BR220" s="268"/>
      <c r="BS220" s="268"/>
      <c r="BT220" s="268"/>
      <c r="BU220" s="268"/>
      <c r="BV220" s="267"/>
      <c r="BW220" s="267"/>
      <c r="BX220" s="267"/>
      <c r="BY220" s="267"/>
      <c r="BZ220" s="267"/>
      <c r="CA220" s="267"/>
      <c r="CB220" s="267"/>
      <c r="CC220" s="267"/>
      <c r="CD220" s="267"/>
      <c r="CE220" s="267"/>
      <c r="CF220" s="267"/>
      <c r="CG220" s="267" t="s">
        <v>443</v>
      </c>
      <c r="CH220" s="267"/>
      <c r="CI220" s="267"/>
    </row>
    <row r="221" spans="1:87" ht="16.5" outlineLevel="1">
      <c r="A221" s="260" t="str">
        <f t="shared" ref="A221:A228" si="58">E221&amp;G221</f>
        <v>modesg_out_bens_imoveisflg_rsc_fsc_agd</v>
      </c>
      <c r="B221" s="141" t="s">
        <v>26</v>
      </c>
      <c r="C221" s="137" t="s">
        <v>310</v>
      </c>
      <c r="D221" s="222" t="s">
        <v>40</v>
      </c>
      <c r="E221" s="223" t="s">
        <v>311</v>
      </c>
      <c r="F221" s="223"/>
      <c r="G221" s="315" t="s">
        <v>282</v>
      </c>
      <c r="H221" s="222" t="str">
        <f>VLOOKUP(A221,'2. Status Detalhe Campos FY24'!$A$7:$G$731,7,0)</f>
        <v>1. Concluído</v>
      </c>
      <c r="I221" s="262" t="s">
        <v>38</v>
      </c>
      <c r="J221" s="271">
        <v>45631</v>
      </c>
      <c r="K221" s="271">
        <v>45631</v>
      </c>
      <c r="L221" s="276">
        <f t="array" ref="L221">MIN(IF(W221:CI221&gt;0,$W$16:$CI$16))</f>
        <v>45663</v>
      </c>
      <c r="M221" s="277">
        <f t="array" ref="M221">MAX(IF(W221:CI221&gt;0,$W$16:$CI$16))</f>
        <v>45663</v>
      </c>
      <c r="N221" s="277"/>
      <c r="O221" s="235">
        <f>VLOOKUP(H221,Auxiliar!$B$16:$E$24,4,0)</f>
        <v>1</v>
      </c>
      <c r="P221" s="235">
        <f ca="1">IF(TODAY()&lt;=L221,0,MIN((TODAY()-L221)/(M221-L221+1),100%))</f>
        <v>1</v>
      </c>
      <c r="Q221" s="234">
        <f t="shared" ca="1" si="57"/>
        <v>0</v>
      </c>
      <c r="R221" s="327" t="s">
        <v>38</v>
      </c>
      <c r="S221" s="266"/>
      <c r="T221" s="256">
        <v>16.100000000000001</v>
      </c>
      <c r="U221" s="256">
        <f>ROUND(T221/8,1)</f>
        <v>2</v>
      </c>
      <c r="V221" s="256">
        <f>SUM(W221:CI221)-U221</f>
        <v>0</v>
      </c>
      <c r="W221" s="267"/>
      <c r="X221" s="267"/>
      <c r="Y221" s="267"/>
      <c r="Z221" s="267"/>
      <c r="AA221" s="267"/>
      <c r="AB221" s="267"/>
      <c r="AC221" s="267"/>
      <c r="AD221" s="268"/>
      <c r="AE221" s="267"/>
      <c r="AF221" s="267"/>
      <c r="AG221" s="267"/>
      <c r="AH221" s="267"/>
      <c r="AI221" s="267"/>
      <c r="AJ221" s="267"/>
      <c r="AK221" s="267"/>
      <c r="AL221" s="267"/>
      <c r="AM221" s="267"/>
      <c r="AN221" s="267"/>
      <c r="AO221" s="267"/>
      <c r="AP221" s="267"/>
      <c r="AQ221" s="267"/>
      <c r="AR221" s="267"/>
      <c r="AS221" s="267"/>
      <c r="AT221" s="269"/>
      <c r="AU221" s="267"/>
      <c r="AV221" s="267"/>
      <c r="AW221" s="267"/>
      <c r="AX221" s="267"/>
      <c r="AY221" s="267"/>
      <c r="AZ221" s="267"/>
      <c r="BA221" s="267"/>
      <c r="BB221" s="255"/>
      <c r="BC221" s="267"/>
      <c r="BD221" s="267"/>
      <c r="BE221" s="267"/>
      <c r="BF221" s="267"/>
      <c r="BG221" s="267"/>
      <c r="BH221" s="267"/>
      <c r="BI221" s="267"/>
      <c r="BJ221" s="267"/>
      <c r="BK221" s="267"/>
      <c r="BL221" s="267"/>
      <c r="BM221" s="267"/>
      <c r="BN221" s="267"/>
      <c r="BO221" s="268"/>
      <c r="BP221" s="268"/>
      <c r="BQ221" s="268"/>
      <c r="BR221" s="268"/>
      <c r="BS221" s="268"/>
      <c r="BT221" s="268"/>
      <c r="BU221" s="268"/>
      <c r="BV221" s="267"/>
      <c r="BW221" s="267"/>
      <c r="BX221" s="267">
        <v>2</v>
      </c>
      <c r="BY221" s="267"/>
      <c r="BZ221" s="267"/>
      <c r="CA221" s="267"/>
      <c r="CB221" s="267"/>
      <c r="CC221" s="267"/>
      <c r="CD221" s="267"/>
      <c r="CE221" s="267"/>
      <c r="CF221" s="267"/>
      <c r="CG221" s="267"/>
      <c r="CH221" s="267"/>
      <c r="CI221" s="267"/>
    </row>
    <row r="222" spans="1:87" ht="16.5" outlineLevel="1">
      <c r="A222" s="260" t="str">
        <f t="shared" si="58"/>
        <v>modesg_out_bens_imoveisflg_rsc_fsc_crnc</v>
      </c>
      <c r="B222" s="141" t="s">
        <v>26</v>
      </c>
      <c r="C222" s="137" t="s">
        <v>310</v>
      </c>
      <c r="D222" s="222" t="s">
        <v>40</v>
      </c>
      <c r="E222" s="223" t="s">
        <v>311</v>
      </c>
      <c r="F222" s="223"/>
      <c r="G222" s="315" t="s">
        <v>283</v>
      </c>
      <c r="H222" s="222" t="str">
        <f>VLOOKUP(A222,'2. Status Detalhe Campos FY24'!$A$7:$G$731,7,0)</f>
        <v>1. Concluído</v>
      </c>
      <c r="I222" s="262" t="s">
        <v>38</v>
      </c>
      <c r="J222" s="271">
        <v>45631</v>
      </c>
      <c r="K222" s="271">
        <v>45631</v>
      </c>
      <c r="L222" s="276">
        <f t="array" ref="L222">MIN(IF(W222:CI222&gt;0,$W$16:$CI$16))</f>
        <v>45663</v>
      </c>
      <c r="M222" s="277">
        <f t="array" ref="M222">MAX(IF(W222:CI222&gt;0,$W$16:$CI$16))</f>
        <v>45664</v>
      </c>
      <c r="N222" s="277"/>
      <c r="O222" s="235">
        <f>VLOOKUP(H222,Auxiliar!$B$16:$E$24,4,0)</f>
        <v>1</v>
      </c>
      <c r="P222" s="235">
        <f ca="1">IF(TODAY()&lt;=L222,0,MIN((TODAY()-L222)/(M222-L222+1),100%))</f>
        <v>1</v>
      </c>
      <c r="Q222" s="234">
        <f t="shared" ca="1" si="57"/>
        <v>0</v>
      </c>
      <c r="R222" s="327" t="s">
        <v>38</v>
      </c>
      <c r="S222" s="266"/>
      <c r="T222" s="256">
        <v>16.100000000000001</v>
      </c>
      <c r="U222" s="256">
        <f>ROUND(T222/8,1)</f>
        <v>2</v>
      </c>
      <c r="V222" s="256">
        <f>SUM(W222:CI222)-U222</f>
        <v>0</v>
      </c>
      <c r="W222" s="267"/>
      <c r="X222" s="267"/>
      <c r="Y222" s="267"/>
      <c r="Z222" s="267"/>
      <c r="AA222" s="267"/>
      <c r="AB222" s="267"/>
      <c r="AC222" s="267"/>
      <c r="AD222" s="268"/>
      <c r="AE222" s="267"/>
      <c r="AF222" s="267"/>
      <c r="AG222" s="267"/>
      <c r="AH222" s="267"/>
      <c r="AI222" s="267"/>
      <c r="AJ222" s="267"/>
      <c r="AK222" s="267"/>
      <c r="AL222" s="267"/>
      <c r="AM222" s="267"/>
      <c r="AN222" s="267"/>
      <c r="AO222" s="267"/>
      <c r="AP222" s="267"/>
      <c r="AQ222" s="267"/>
      <c r="AR222" s="267"/>
      <c r="AS222" s="267"/>
      <c r="AT222" s="269"/>
      <c r="AU222" s="267"/>
      <c r="AV222" s="267"/>
      <c r="AW222" s="267"/>
      <c r="AX222" s="267"/>
      <c r="AY222" s="267"/>
      <c r="AZ222" s="267"/>
      <c r="BA222" s="267"/>
      <c r="BB222" s="255"/>
      <c r="BC222" s="267"/>
      <c r="BD222" s="267"/>
      <c r="BE222" s="267"/>
      <c r="BF222" s="267"/>
      <c r="BG222" s="267"/>
      <c r="BH222" s="267"/>
      <c r="BI222" s="267"/>
      <c r="BJ222" s="267"/>
      <c r="BK222" s="267"/>
      <c r="BL222" s="267"/>
      <c r="BM222" s="267"/>
      <c r="BN222" s="267"/>
      <c r="BO222" s="268"/>
      <c r="BP222" s="268"/>
      <c r="BQ222" s="268"/>
      <c r="BR222" s="268"/>
      <c r="BS222" s="268"/>
      <c r="BT222" s="268"/>
      <c r="BU222" s="268"/>
      <c r="BV222" s="267"/>
      <c r="BW222" s="267"/>
      <c r="BX222" s="267">
        <v>1</v>
      </c>
      <c r="BY222" s="267">
        <v>1</v>
      </c>
      <c r="BZ222" s="267"/>
      <c r="CA222" s="267"/>
      <c r="CB222" s="267"/>
      <c r="CC222" s="267"/>
      <c r="CD222" s="267"/>
      <c r="CE222" s="267"/>
      <c r="CF222" s="267"/>
      <c r="CG222" s="267"/>
      <c r="CH222" s="267"/>
      <c r="CI222" s="267"/>
    </row>
    <row r="223" spans="1:87" ht="16.5" outlineLevel="1">
      <c r="A223" s="260" t="str">
        <f t="shared" si="58"/>
        <v>modesg_out_bens_imoveisorigem_flg_rsc_fsc_agd</v>
      </c>
      <c r="B223" s="141" t="s">
        <v>26</v>
      </c>
      <c r="C223" s="137" t="s">
        <v>310</v>
      </c>
      <c r="D223" s="222" t="s">
        <v>40</v>
      </c>
      <c r="E223" s="223" t="s">
        <v>311</v>
      </c>
      <c r="F223" s="223"/>
      <c r="G223" s="315" t="s">
        <v>317</v>
      </c>
      <c r="H223" s="222" t="str">
        <f>VLOOKUP(A223,'2. Status Detalhe Campos FY24'!$A$7:$G$731,7,0)</f>
        <v>1. Concluído</v>
      </c>
      <c r="I223" s="262" t="s">
        <v>38</v>
      </c>
      <c r="J223" s="271">
        <v>45631</v>
      </c>
      <c r="K223" s="271">
        <v>45631</v>
      </c>
      <c r="L223" s="276">
        <f t="array" ref="L223">MIN(IF(W223:CI223&gt;0,$W$16:$CI$16))</f>
        <v>45664</v>
      </c>
      <c r="M223" s="277">
        <f t="array" ref="M223">MAX(IF(W223:CI223&gt;0,$W$16:$CI$16))</f>
        <v>45664</v>
      </c>
      <c r="N223" s="277"/>
      <c r="O223" s="235">
        <f>VLOOKUP(H223,Auxiliar!$B$16:$E$24,4,0)</f>
        <v>1</v>
      </c>
      <c r="P223" s="235">
        <f ca="1">IF(TODAY()&lt;=L223,0,MIN((TODAY()-L223)/(M223-L223+1),100%))</f>
        <v>1</v>
      </c>
      <c r="Q223" s="234">
        <f t="shared" ca="1" si="57"/>
        <v>0</v>
      </c>
      <c r="R223" s="327" t="s">
        <v>38</v>
      </c>
      <c r="S223" s="266"/>
      <c r="T223" s="256">
        <v>4.0999999999999996</v>
      </c>
      <c r="U223" s="256">
        <f>ROUND(T223/8,1)</f>
        <v>0.5</v>
      </c>
      <c r="V223" s="256">
        <f>SUM(W223:CI223)-U223</f>
        <v>0</v>
      </c>
      <c r="W223" s="267"/>
      <c r="X223" s="267"/>
      <c r="Y223" s="267"/>
      <c r="Z223" s="267"/>
      <c r="AA223" s="267"/>
      <c r="AB223" s="267"/>
      <c r="AC223" s="267"/>
      <c r="AD223" s="268"/>
      <c r="AE223" s="267"/>
      <c r="AF223" s="267"/>
      <c r="AG223" s="267"/>
      <c r="AH223" s="267"/>
      <c r="AI223" s="267"/>
      <c r="AJ223" s="267"/>
      <c r="AK223" s="267"/>
      <c r="AL223" s="267"/>
      <c r="AM223" s="267"/>
      <c r="AN223" s="267"/>
      <c r="AO223" s="267"/>
      <c r="AP223" s="267"/>
      <c r="AQ223" s="267"/>
      <c r="AR223" s="267"/>
      <c r="AS223" s="267"/>
      <c r="AT223" s="269"/>
      <c r="AU223" s="267"/>
      <c r="AV223" s="267"/>
      <c r="AW223" s="267"/>
      <c r="AX223" s="267"/>
      <c r="AY223" s="267"/>
      <c r="AZ223" s="267"/>
      <c r="BA223" s="267"/>
      <c r="BB223" s="255"/>
      <c r="BC223" s="267"/>
      <c r="BD223" s="267"/>
      <c r="BE223" s="267"/>
      <c r="BF223" s="267"/>
      <c r="BG223" s="267"/>
      <c r="BH223" s="267"/>
      <c r="BI223" s="267"/>
      <c r="BJ223" s="267"/>
      <c r="BK223" s="267"/>
      <c r="BL223" s="267"/>
      <c r="BM223" s="267"/>
      <c r="BN223" s="267"/>
      <c r="BO223" s="268"/>
      <c r="BP223" s="268"/>
      <c r="BQ223" s="268"/>
      <c r="BR223" s="268"/>
      <c r="BS223" s="268"/>
      <c r="BT223" s="268"/>
      <c r="BU223" s="268"/>
      <c r="BV223" s="267"/>
      <c r="BW223" s="267"/>
      <c r="BX223" s="267"/>
      <c r="BY223" s="267">
        <v>0.5</v>
      </c>
      <c r="BZ223" s="267"/>
      <c r="CA223" s="267"/>
      <c r="CB223" s="267"/>
      <c r="CC223" s="267"/>
      <c r="CD223" s="267"/>
      <c r="CE223" s="267"/>
      <c r="CF223" s="267"/>
      <c r="CG223" s="267"/>
      <c r="CH223" s="267"/>
      <c r="CI223" s="267"/>
    </row>
    <row r="224" spans="1:87" ht="16.5" outlineLevel="1">
      <c r="A224" s="260" t="str">
        <f t="shared" si="58"/>
        <v>modesg_out_bens_imoveisorigem_flg_rsc_fsc_crnc</v>
      </c>
      <c r="B224" s="141" t="s">
        <v>26</v>
      </c>
      <c r="C224" s="137" t="s">
        <v>310</v>
      </c>
      <c r="D224" s="222" t="s">
        <v>40</v>
      </c>
      <c r="E224" s="223" t="s">
        <v>311</v>
      </c>
      <c r="F224" s="223"/>
      <c r="G224" s="315" t="s">
        <v>318</v>
      </c>
      <c r="H224" s="222" t="str">
        <f>VLOOKUP(A224,'2. Status Detalhe Campos FY24'!$A$7:$G$731,7,0)</f>
        <v>1. Concluído</v>
      </c>
      <c r="I224" s="262" t="s">
        <v>38</v>
      </c>
      <c r="J224" s="271">
        <v>45631</v>
      </c>
      <c r="K224" s="271">
        <v>45631</v>
      </c>
      <c r="L224" s="276">
        <f t="array" ref="L224">MIN(IF(W224:CI224&gt;0,$W$16:$CI$16))</f>
        <v>45664</v>
      </c>
      <c r="M224" s="277">
        <f t="array" ref="M224">MAX(IF(W224:CI224&gt;0,$W$16:$CI$16))</f>
        <v>45664</v>
      </c>
      <c r="N224" s="277"/>
      <c r="O224" s="235">
        <f>VLOOKUP(H224,Auxiliar!$B$16:$E$24,4,0)</f>
        <v>1</v>
      </c>
      <c r="P224" s="235">
        <f ca="1">IF(TODAY()&lt;=L224,0,MIN((TODAY()-L224)/(M224-L224+1),100%))</f>
        <v>1</v>
      </c>
      <c r="Q224" s="234">
        <f t="shared" ca="1" si="57"/>
        <v>0</v>
      </c>
      <c r="R224" s="327" t="s">
        <v>38</v>
      </c>
      <c r="S224" s="266"/>
      <c r="T224" s="256">
        <v>4.0999999999999996</v>
      </c>
      <c r="U224" s="256">
        <f>ROUND(T224/8,1)</f>
        <v>0.5</v>
      </c>
      <c r="V224" s="256">
        <f>SUM(W224:CI224)-U224</f>
        <v>0</v>
      </c>
      <c r="W224" s="267"/>
      <c r="X224" s="267"/>
      <c r="Y224" s="267"/>
      <c r="Z224" s="267"/>
      <c r="AA224" s="267"/>
      <c r="AB224" s="267"/>
      <c r="AC224" s="267"/>
      <c r="AD224" s="268"/>
      <c r="AE224" s="267"/>
      <c r="AF224" s="267"/>
      <c r="AG224" s="267"/>
      <c r="AH224" s="267"/>
      <c r="AI224" s="267"/>
      <c r="AJ224" s="267"/>
      <c r="AK224" s="267"/>
      <c r="AL224" s="267"/>
      <c r="AM224" s="267"/>
      <c r="AN224" s="267"/>
      <c r="AO224" s="267"/>
      <c r="AP224" s="267"/>
      <c r="AQ224" s="267"/>
      <c r="AR224" s="267"/>
      <c r="AS224" s="267"/>
      <c r="AT224" s="269"/>
      <c r="AU224" s="267"/>
      <c r="AV224" s="267"/>
      <c r="AW224" s="267"/>
      <c r="AX224" s="267"/>
      <c r="AY224" s="267"/>
      <c r="AZ224" s="267"/>
      <c r="BA224" s="267"/>
      <c r="BB224" s="255"/>
      <c r="BC224" s="267"/>
      <c r="BD224" s="267"/>
      <c r="BE224" s="267"/>
      <c r="BF224" s="267"/>
      <c r="BG224" s="267"/>
      <c r="BH224" s="267"/>
      <c r="BI224" s="267"/>
      <c r="BJ224" s="267"/>
      <c r="BK224" s="267"/>
      <c r="BL224" s="267"/>
      <c r="BM224" s="267"/>
      <c r="BN224" s="267"/>
      <c r="BO224" s="268"/>
      <c r="BP224" s="268"/>
      <c r="BQ224" s="268"/>
      <c r="BR224" s="268"/>
      <c r="BS224" s="268"/>
      <c r="BT224" s="268"/>
      <c r="BU224" s="268"/>
      <c r="BV224" s="267"/>
      <c r="BW224" s="267"/>
      <c r="BX224" s="267"/>
      <c r="BY224" s="267">
        <v>0.5</v>
      </c>
      <c r="BZ224" s="267"/>
      <c r="CA224" s="267"/>
      <c r="CB224" s="267"/>
      <c r="CC224" s="267"/>
      <c r="CD224" s="267"/>
      <c r="CE224" s="267"/>
      <c r="CF224" s="267"/>
      <c r="CG224" s="267"/>
      <c r="CH224" s="267"/>
      <c r="CI224" s="267"/>
    </row>
    <row r="225" spans="1:87" ht="15" customHeight="1" collapsed="1">
      <c r="A225" s="260" t="str">
        <f t="shared" si="58"/>
        <v>lt002_instrument3</v>
      </c>
      <c r="B225" s="141" t="s">
        <v>26</v>
      </c>
      <c r="C225" s="137" t="s">
        <v>26</v>
      </c>
      <c r="D225" s="222"/>
      <c r="E225" s="228" t="s">
        <v>379</v>
      </c>
      <c r="F225" s="228" t="s">
        <v>1906</v>
      </c>
      <c r="G225" s="241">
        <v>3</v>
      </c>
      <c r="H225" s="284" t="s">
        <v>1919</v>
      </c>
      <c r="I225" s="262" t="s">
        <v>38</v>
      </c>
      <c r="J225" s="263">
        <f>MIN(J226:J228)</f>
        <v>45631</v>
      </c>
      <c r="K225" s="263">
        <f>MIN(K226:K228)</f>
        <v>45631</v>
      </c>
      <c r="L225" s="263">
        <f>MIN(L226)</f>
        <v>45664</v>
      </c>
      <c r="M225" s="264">
        <f>MAX(M226)</f>
        <v>45664</v>
      </c>
      <c r="N225" s="308">
        <f t="array" ref="N225">MAX(IF(W225:CI225&gt;0,$W$16:$CI$16))</f>
        <v>45678</v>
      </c>
      <c r="O225" s="237">
        <f>SUMPRODUCT(O226:O228,U226:U228)/SUM(U226:U228)</f>
        <v>0</v>
      </c>
      <c r="P225" s="237">
        <v>0.25</v>
      </c>
      <c r="Q225" s="234">
        <f t="shared" si="57"/>
        <v>-0.25</v>
      </c>
      <c r="R225" s="327"/>
      <c r="S225" s="266"/>
      <c r="T225" s="295"/>
      <c r="U225" s="256"/>
      <c r="V225" s="256"/>
      <c r="W225" s="267"/>
      <c r="X225" s="267"/>
      <c r="Y225" s="267"/>
      <c r="Z225" s="267"/>
      <c r="AA225" s="267"/>
      <c r="AB225" s="267"/>
      <c r="AC225" s="267"/>
      <c r="AD225" s="268"/>
      <c r="AE225" s="267"/>
      <c r="AF225" s="267"/>
      <c r="AG225" s="267"/>
      <c r="AH225" s="267"/>
      <c r="AI225" s="267"/>
      <c r="AJ225" s="267"/>
      <c r="AK225" s="267"/>
      <c r="AL225" s="267"/>
      <c r="AM225" s="267"/>
      <c r="AN225" s="267"/>
      <c r="AO225" s="267"/>
      <c r="AP225" s="267"/>
      <c r="AQ225" s="267"/>
      <c r="AR225" s="267"/>
      <c r="AS225" s="267"/>
      <c r="AT225" s="267"/>
      <c r="AU225" s="267"/>
      <c r="AV225" s="267"/>
      <c r="AW225" s="267"/>
      <c r="AX225" s="267"/>
      <c r="AY225" s="267"/>
      <c r="AZ225" s="267"/>
      <c r="BA225" s="267"/>
      <c r="BB225" s="255"/>
      <c r="BC225" s="267"/>
      <c r="BD225" s="267"/>
      <c r="BE225" s="267"/>
      <c r="BF225" s="267"/>
      <c r="BG225" s="267"/>
      <c r="BH225" s="267"/>
      <c r="BI225" s="267"/>
      <c r="BJ225" s="267"/>
      <c r="BK225" s="267"/>
      <c r="BL225" s="267"/>
      <c r="BM225" s="267"/>
      <c r="BN225" s="267"/>
      <c r="BO225" s="268"/>
      <c r="BP225" s="268"/>
      <c r="BQ225" s="268"/>
      <c r="BR225" s="268"/>
      <c r="BS225" s="268"/>
      <c r="BT225" s="268"/>
      <c r="BU225" s="268"/>
      <c r="BV225" s="267"/>
      <c r="BW225" s="267"/>
      <c r="BX225" s="267"/>
      <c r="BY225" s="267"/>
      <c r="BZ225" s="267"/>
      <c r="CA225" s="267"/>
      <c r="CB225" s="267"/>
      <c r="CC225" s="267"/>
      <c r="CD225" s="267"/>
      <c r="CE225" s="267"/>
      <c r="CF225" s="267"/>
      <c r="CH225" s="267"/>
      <c r="CI225" s="267" t="s">
        <v>443</v>
      </c>
    </row>
    <row r="226" spans="1:87" ht="16.5" outlineLevel="1">
      <c r="A226" s="260" t="str">
        <f t="shared" si="58"/>
        <v>lt002_instrumentgrss_intrst_incm</v>
      </c>
      <c r="B226" s="141" t="s">
        <v>26</v>
      </c>
      <c r="C226" s="137" t="s">
        <v>26</v>
      </c>
      <c r="D226" s="222"/>
      <c r="E226" s="225" t="s">
        <v>379</v>
      </c>
      <c r="F226" s="225"/>
      <c r="G226" s="316" t="s">
        <v>420</v>
      </c>
      <c r="H226" s="222" t="str">
        <f>VLOOKUP(A226,'2. Status Detalhe Campos FY24'!$A$7:$G$731,7,0)</f>
        <v xml:space="preserve">6. Em implementação </v>
      </c>
      <c r="I226" s="262"/>
      <c r="J226" s="271">
        <v>45631</v>
      </c>
      <c r="K226" s="271">
        <v>45631</v>
      </c>
      <c r="L226" s="276">
        <f t="array" ref="L226">MIN(IF(W226:CI226&gt;0,$W$16:$CI$16))</f>
        <v>45664</v>
      </c>
      <c r="M226" s="277">
        <f t="array" ref="M226">MAX(IF(W226:CI226&gt;0,$W$16:$CI$16))</f>
        <v>45664</v>
      </c>
      <c r="N226" s="277"/>
      <c r="O226" s="235">
        <f>VLOOKUP(H226,Auxiliar!$B$16:$E$24,4,0)</f>
        <v>0</v>
      </c>
      <c r="P226" s="235">
        <f ca="1">IF(TODAY()&lt;=L226,0,MIN((TODAY()-L226)/(M226-L226+1),100%))</f>
        <v>1</v>
      </c>
      <c r="Q226" s="235">
        <f ca="1">O226-P226</f>
        <v>-1</v>
      </c>
      <c r="R226" s="328"/>
      <c r="S226" s="266"/>
      <c r="T226" s="292">
        <v>8</v>
      </c>
      <c r="U226" s="256">
        <f>ROUND(T226/8,1)</f>
        <v>1</v>
      </c>
      <c r="V226" s="256">
        <f>SUM(W226:CI226)-U226</f>
        <v>0</v>
      </c>
      <c r="W226" s="267"/>
      <c r="X226" s="267"/>
      <c r="Y226" s="267"/>
      <c r="Z226" s="267"/>
      <c r="AA226" s="267"/>
      <c r="AB226" s="267"/>
      <c r="AC226" s="267"/>
      <c r="AD226" s="268"/>
      <c r="AE226" s="267"/>
      <c r="AF226" s="267"/>
      <c r="AG226" s="267"/>
      <c r="AH226" s="267"/>
      <c r="AI226" s="267"/>
      <c r="AJ226" s="267"/>
      <c r="AK226" s="267"/>
      <c r="AL226" s="267"/>
      <c r="AM226" s="267"/>
      <c r="AN226" s="267"/>
      <c r="AO226" s="267"/>
      <c r="AP226" s="267"/>
      <c r="AQ226" s="267"/>
      <c r="AR226" s="267"/>
      <c r="AS226" s="267"/>
      <c r="AT226" s="267"/>
      <c r="AU226" s="267"/>
      <c r="AV226" s="267"/>
      <c r="AW226" s="267"/>
      <c r="AX226" s="267"/>
      <c r="AY226" s="267"/>
      <c r="AZ226" s="267"/>
      <c r="BA226" s="267"/>
      <c r="BB226" s="255"/>
      <c r="BC226" s="267"/>
      <c r="BD226" s="267"/>
      <c r="BE226" s="267"/>
      <c r="BF226" s="267"/>
      <c r="BG226" s="267"/>
      <c r="BH226" s="267"/>
      <c r="BI226" s="267"/>
      <c r="BJ226" s="267"/>
      <c r="BK226" s="267"/>
      <c r="BL226" s="267"/>
      <c r="BM226" s="267"/>
      <c r="BN226" s="267"/>
      <c r="BO226" s="268"/>
      <c r="BP226" s="268"/>
      <c r="BQ226" s="268"/>
      <c r="BR226" s="268"/>
      <c r="BS226" s="268"/>
      <c r="BT226" s="268"/>
      <c r="BU226" s="268"/>
      <c r="BV226" s="267"/>
      <c r="BW226" s="267"/>
      <c r="BX226" s="267"/>
      <c r="BY226" s="267">
        <v>1</v>
      </c>
      <c r="BZ226" s="267"/>
      <c r="CA226" s="267"/>
      <c r="CB226" s="267"/>
      <c r="CC226" s="267"/>
      <c r="CD226" s="267"/>
      <c r="CE226" s="267"/>
      <c r="CF226" s="267"/>
      <c r="CG226" s="267"/>
      <c r="CH226" s="267"/>
      <c r="CI226" s="267"/>
    </row>
    <row r="227" spans="1:87" ht="16.5" outlineLevel="1">
      <c r="A227" s="260" t="str">
        <f t="shared" si="58"/>
        <v>lt002_instrumentgrss_cmmssn_incm</v>
      </c>
      <c r="B227" s="141" t="s">
        <v>26</v>
      </c>
      <c r="C227" s="137" t="s">
        <v>26</v>
      </c>
      <c r="D227" s="222"/>
      <c r="E227" s="225" t="s">
        <v>379</v>
      </c>
      <c r="F227" s="225"/>
      <c r="G227" s="316" t="s">
        <v>421</v>
      </c>
      <c r="H227" s="222" t="str">
        <f>VLOOKUP(A227,'2. Status Detalhe Campos FY24'!$A$7:$G$731,7,0)</f>
        <v xml:space="preserve">6. Em implementação </v>
      </c>
      <c r="I227" s="262"/>
      <c r="J227" s="271">
        <v>45631</v>
      </c>
      <c r="K227" s="271">
        <v>45631</v>
      </c>
      <c r="L227" s="276">
        <f t="array" ref="L227">MIN(IF(W227:CI227&gt;0,$W$16:$CI$16))</f>
        <v>45665</v>
      </c>
      <c r="M227" s="277">
        <f t="array" ref="M227">MAX(IF(W227:CI227&gt;0,$W$16:$CI$16))</f>
        <v>45665</v>
      </c>
      <c r="N227" s="277"/>
      <c r="O227" s="235">
        <f>VLOOKUP(H227,Auxiliar!$B$16:$E$24,4,0)</f>
        <v>0</v>
      </c>
      <c r="P227" s="235">
        <f ca="1">IF(TODAY()&lt;=L227,0,MIN((TODAY()-L227)/(M227-L227+1),100%))</f>
        <v>1</v>
      </c>
      <c r="Q227" s="235">
        <f ca="1">O227-P227</f>
        <v>-1</v>
      </c>
      <c r="R227" s="328"/>
      <c r="S227" s="266"/>
      <c r="T227" s="292">
        <v>4</v>
      </c>
      <c r="U227" s="256">
        <f>ROUND(T227/8,1)</f>
        <v>0.5</v>
      </c>
      <c r="V227" s="256">
        <f>SUM(W227:CI227)-U227</f>
        <v>0</v>
      </c>
      <c r="W227" s="267"/>
      <c r="X227" s="267"/>
      <c r="Y227" s="267"/>
      <c r="Z227" s="267"/>
      <c r="AA227" s="267"/>
      <c r="AB227" s="267"/>
      <c r="AC227" s="267"/>
      <c r="AD227" s="268"/>
      <c r="AE227" s="267"/>
      <c r="AF227" s="267"/>
      <c r="AG227" s="267"/>
      <c r="AH227" s="267"/>
      <c r="AI227" s="267"/>
      <c r="AJ227" s="267"/>
      <c r="AK227" s="267"/>
      <c r="AL227" s="267"/>
      <c r="AM227" s="267"/>
      <c r="AN227" s="267"/>
      <c r="AO227" s="267"/>
      <c r="AP227" s="267"/>
      <c r="AQ227" s="267"/>
      <c r="AR227" s="267"/>
      <c r="AS227" s="267"/>
      <c r="AT227" s="267"/>
      <c r="AU227" s="267"/>
      <c r="AV227" s="267"/>
      <c r="AW227" s="267"/>
      <c r="AX227" s="267"/>
      <c r="AY227" s="267"/>
      <c r="AZ227" s="267"/>
      <c r="BA227" s="267"/>
      <c r="BB227" s="255"/>
      <c r="BC227" s="267"/>
      <c r="BD227" s="267"/>
      <c r="BE227" s="267"/>
      <c r="BF227" s="267"/>
      <c r="BG227" s="267"/>
      <c r="BH227" s="267"/>
      <c r="BI227" s="267"/>
      <c r="BJ227" s="267"/>
      <c r="BK227" s="267"/>
      <c r="BL227" s="267"/>
      <c r="BM227" s="267"/>
      <c r="BN227" s="267"/>
      <c r="BO227" s="268"/>
      <c r="BP227" s="268"/>
      <c r="BQ227" s="268"/>
      <c r="BR227" s="268"/>
      <c r="BS227" s="268"/>
      <c r="BT227" s="268"/>
      <c r="BU227" s="268"/>
      <c r="BV227" s="267"/>
      <c r="BW227" s="267"/>
      <c r="BX227" s="267"/>
      <c r="BY227" s="267"/>
      <c r="BZ227" s="267">
        <v>0.5</v>
      </c>
      <c r="CA227" s="267"/>
      <c r="CB227" s="267"/>
      <c r="CC227" s="267"/>
      <c r="CD227" s="267"/>
      <c r="CE227" s="267"/>
      <c r="CF227" s="267"/>
      <c r="CG227" s="267"/>
      <c r="CH227" s="267"/>
      <c r="CI227" s="267"/>
    </row>
    <row r="228" spans="1:87" ht="16.5" outlineLevel="1">
      <c r="A228" s="260" t="str">
        <f t="shared" si="58"/>
        <v>lt002_instrumentgrss_cmmssn_incm_off_blnc</v>
      </c>
      <c r="B228" s="141" t="s">
        <v>26</v>
      </c>
      <c r="C228" s="137" t="s">
        <v>26</v>
      </c>
      <c r="D228" s="222"/>
      <c r="E228" s="225" t="s">
        <v>379</v>
      </c>
      <c r="F228" s="225"/>
      <c r="G228" s="316" t="s">
        <v>422</v>
      </c>
      <c r="H228" s="222" t="str">
        <f>VLOOKUP(A228,'2. Status Detalhe Campos FY24'!$A$7:$G$731,7,0)</f>
        <v xml:space="preserve">6. Em implementação </v>
      </c>
      <c r="I228" s="262"/>
      <c r="J228" s="271">
        <v>45631</v>
      </c>
      <c r="K228" s="271">
        <v>45631</v>
      </c>
      <c r="L228" s="276">
        <f t="array" ref="L228">MIN(IF(W228:CI228&gt;0,$W$16:$CI$16))</f>
        <v>45665</v>
      </c>
      <c r="M228" s="277">
        <f t="array" ref="M228">MAX(IF(W228:CI228&gt;0,$W$16:$CI$16))</f>
        <v>45665</v>
      </c>
      <c r="N228" s="277"/>
      <c r="O228" s="235">
        <f>VLOOKUP(H228,Auxiliar!$B$16:$E$24,4,0)</f>
        <v>0</v>
      </c>
      <c r="P228" s="235">
        <f ca="1">IF(TODAY()&lt;=L228,0,MIN((TODAY()-L228)/(M228-L228+1),100%))</f>
        <v>1</v>
      </c>
      <c r="Q228" s="235">
        <f ca="1">O228-P228</f>
        <v>-1</v>
      </c>
      <c r="R228" s="328"/>
      <c r="S228" s="266"/>
      <c r="T228" s="292">
        <v>4</v>
      </c>
      <c r="U228" s="256">
        <f>ROUND(T228/8,1)</f>
        <v>0.5</v>
      </c>
      <c r="V228" s="256">
        <f>SUM(W228:CI228)-U228</f>
        <v>0</v>
      </c>
      <c r="W228" s="267"/>
      <c r="X228" s="267"/>
      <c r="Y228" s="267"/>
      <c r="Z228" s="267"/>
      <c r="AA228" s="267"/>
      <c r="AB228" s="267"/>
      <c r="AC228" s="267"/>
      <c r="AD228" s="268"/>
      <c r="AE228" s="267"/>
      <c r="AF228" s="267"/>
      <c r="AG228" s="267"/>
      <c r="AH228" s="267"/>
      <c r="AI228" s="267"/>
      <c r="AJ228" s="267"/>
      <c r="AK228" s="267"/>
      <c r="AL228" s="267"/>
      <c r="AM228" s="267"/>
      <c r="AN228" s="267"/>
      <c r="AO228" s="267"/>
      <c r="AP228" s="267"/>
      <c r="AQ228" s="267"/>
      <c r="AR228" s="267"/>
      <c r="AS228" s="267"/>
      <c r="AT228" s="267"/>
      <c r="AU228" s="267"/>
      <c r="AV228" s="267"/>
      <c r="AW228" s="267"/>
      <c r="AX228" s="267"/>
      <c r="AY228" s="267"/>
      <c r="AZ228" s="267"/>
      <c r="BA228" s="267"/>
      <c r="BB228" s="255"/>
      <c r="BC228" s="267"/>
      <c r="BD228" s="267"/>
      <c r="BE228" s="267"/>
      <c r="BF228" s="267"/>
      <c r="BG228" s="267"/>
      <c r="BH228" s="267"/>
      <c r="BI228" s="267"/>
      <c r="BJ228" s="267"/>
      <c r="BK228" s="267"/>
      <c r="BL228" s="267"/>
      <c r="BM228" s="267"/>
      <c r="BN228" s="267"/>
      <c r="BO228" s="268"/>
      <c r="BP228" s="268"/>
      <c r="BQ228" s="268"/>
      <c r="BR228" s="268"/>
      <c r="BS228" s="268"/>
      <c r="BT228" s="268"/>
      <c r="BU228" s="268"/>
      <c r="BV228" s="267"/>
      <c r="BW228" s="267"/>
      <c r="BX228" s="267"/>
      <c r="BY228" s="267"/>
      <c r="BZ228" s="267">
        <v>0.5</v>
      </c>
      <c r="CA228" s="267"/>
      <c r="CB228" s="267"/>
      <c r="CC228" s="267"/>
      <c r="CD228" s="267"/>
      <c r="CE228" s="267"/>
      <c r="CF228" s="267"/>
      <c r="CG228" s="267"/>
      <c r="CH228" s="267"/>
      <c r="CI228" s="267"/>
    </row>
    <row r="229" spans="1:87" ht="15" customHeight="1" collapsed="1">
      <c r="A229" s="260"/>
      <c r="B229" s="141" t="s">
        <v>26</v>
      </c>
      <c r="C229" s="137" t="s">
        <v>54</v>
      </c>
      <c r="D229" s="133"/>
      <c r="E229" s="226" t="s">
        <v>123</v>
      </c>
      <c r="F229" s="226" t="s">
        <v>1907</v>
      </c>
      <c r="G229" s="314">
        <f>COUNTA(G230:G248)</f>
        <v>19</v>
      </c>
      <c r="H229" s="281" t="s">
        <v>1915</v>
      </c>
      <c r="I229" s="262" t="s">
        <v>38</v>
      </c>
      <c r="J229" s="263">
        <f>MIN(J230:J248)</f>
        <v>45638</v>
      </c>
      <c r="K229" s="263">
        <f>MIN(K230:K248)</f>
        <v>45639</v>
      </c>
      <c r="L229" s="265">
        <f>MIN(L230:L248)</f>
        <v>45639</v>
      </c>
      <c r="M229" s="265">
        <f>MAX(M230:M248)</f>
        <v>45639</v>
      </c>
      <c r="N229" s="308">
        <f t="array" ref="N229">MAX(IF(W229:CI229&gt;0,$W$16:$CI$16))</f>
        <v>45639</v>
      </c>
      <c r="O229" s="307" t="e">
        <f>SUMPRODUCT(O230:O248,U230:U248)/SUM(U230:U248)</f>
        <v>#N/A</v>
      </c>
      <c r="P229" s="307">
        <f ca="1">SUMPRODUCT(P230:P248,U230:U248)/SUM(U230:U248)</f>
        <v>1</v>
      </c>
      <c r="Q229" s="234" t="e">
        <f t="shared" ca="1" si="53"/>
        <v>#N/A</v>
      </c>
      <c r="R229" s="325" t="s">
        <v>1940</v>
      </c>
      <c r="S229" s="266"/>
      <c r="T229" s="256"/>
      <c r="U229" s="256"/>
      <c r="V229" s="256"/>
      <c r="W229" s="267"/>
      <c r="X229" s="267"/>
      <c r="Y229" s="267"/>
      <c r="Z229" s="274"/>
      <c r="AA229" s="267"/>
      <c r="AB229" s="267"/>
      <c r="AC229" s="267"/>
      <c r="AD229" s="268"/>
      <c r="AE229" s="274"/>
      <c r="AF229" s="267"/>
      <c r="AG229" s="267"/>
      <c r="AH229" s="267"/>
      <c r="AI229" s="275"/>
      <c r="AJ229" s="267"/>
      <c r="AK229" s="267"/>
      <c r="AL229" s="267"/>
      <c r="AM229" s="267"/>
      <c r="AN229" s="267"/>
      <c r="AO229" s="267"/>
      <c r="AP229" s="267"/>
      <c r="AQ229" s="275"/>
      <c r="AR229" s="267"/>
      <c r="AS229" s="267"/>
      <c r="AT229" s="267"/>
      <c r="AU229" s="267"/>
      <c r="AV229" s="267"/>
      <c r="AW229" s="267"/>
      <c r="AX229" s="267"/>
      <c r="AY229" s="267"/>
      <c r="AZ229" s="267"/>
      <c r="BA229" s="267"/>
      <c r="BB229" s="267"/>
      <c r="BC229" s="267"/>
      <c r="BD229" s="267"/>
      <c r="BE229" s="267"/>
      <c r="BF229" s="267"/>
      <c r="BG229" s="269"/>
      <c r="BH229" s="274" t="s">
        <v>443</v>
      </c>
      <c r="BI229" s="267"/>
      <c r="BJ229" s="267"/>
      <c r="BK229" s="267"/>
      <c r="BL229" s="267"/>
      <c r="BM229" s="267"/>
      <c r="BN229" s="267"/>
      <c r="BO229" s="268"/>
      <c r="BP229" s="268"/>
      <c r="BQ229" s="268"/>
      <c r="BR229" s="268"/>
      <c r="BS229" s="268"/>
      <c r="BT229" s="268"/>
      <c r="BU229" s="268"/>
      <c r="BV229" s="267"/>
      <c r="BW229" s="267"/>
      <c r="BX229" s="267"/>
      <c r="BY229" s="267"/>
      <c r="BZ229" s="267"/>
      <c r="CA229" s="267"/>
      <c r="CB229" s="267"/>
      <c r="CC229" s="267"/>
      <c r="CD229" s="267"/>
      <c r="CE229" s="267"/>
      <c r="CF229" s="267"/>
      <c r="CG229" s="267"/>
      <c r="CH229" s="267"/>
      <c r="CI229" s="267"/>
    </row>
    <row r="230" spans="1:87" ht="16.5" outlineLevel="1">
      <c r="A230" s="260" t="str">
        <f t="shared" si="52"/>
        <v>PROPERTY_ENERGY_CERTIFICATELAND_REGISTRY_OFFICE_CODE</v>
      </c>
      <c r="B230" s="141" t="s">
        <v>26</v>
      </c>
      <c r="C230" s="137" t="s">
        <v>54</v>
      </c>
      <c r="D230" s="222" t="s">
        <v>40</v>
      </c>
      <c r="E230" s="223" t="s">
        <v>123</v>
      </c>
      <c r="F230" s="223"/>
      <c r="G230" s="315" t="s">
        <v>125</v>
      </c>
      <c r="H230" s="222" t="str">
        <f>VLOOKUP(A230,'2. Status Detalhe Campos FY24'!$A$7:$G$731,7,0)</f>
        <v>1. Concluído</v>
      </c>
      <c r="I230" s="262" t="s">
        <v>38</v>
      </c>
      <c r="J230" s="271">
        <v>45638</v>
      </c>
      <c r="K230" s="271">
        <v>45639</v>
      </c>
      <c r="L230" s="276">
        <f t="array" ref="L230">MIN(IF(W230:CI230&gt;0,$W$16:$CI$16))</f>
        <v>45639</v>
      </c>
      <c r="M230" s="277">
        <f t="array" ref="M230">MAX(IF(W230:CI230&gt;0,$W$16:$CI$16))</f>
        <v>45639</v>
      </c>
      <c r="N230" s="277"/>
      <c r="O230" s="235">
        <f>VLOOKUP(H230,Auxiliar!$B$16:$E$24,4,0)</f>
        <v>1</v>
      </c>
      <c r="P230" s="301">
        <f t="shared" ca="1" si="56"/>
        <v>1</v>
      </c>
      <c r="Q230" s="234">
        <f t="shared" ca="1" si="53"/>
        <v>0</v>
      </c>
      <c r="R230" s="328"/>
      <c r="S230" s="278" t="s">
        <v>1855</v>
      </c>
      <c r="T230" s="256">
        <v>4.0999999999999996</v>
      </c>
      <c r="U230" s="256">
        <f t="shared" si="54"/>
        <v>0.5</v>
      </c>
      <c r="V230" s="256">
        <f t="shared" ref="V230:V247" si="59">SUM(W230:CI230)-U230</f>
        <v>-0.5</v>
      </c>
      <c r="W230" s="267"/>
      <c r="X230" s="267"/>
      <c r="Y230" s="267"/>
      <c r="Z230" s="274"/>
      <c r="AA230" s="267"/>
      <c r="AB230" s="267"/>
      <c r="AC230" s="267"/>
      <c r="AD230" s="268"/>
      <c r="AE230" s="274"/>
      <c r="AF230" s="267"/>
      <c r="AG230" s="267"/>
      <c r="AH230" s="267"/>
      <c r="AI230" s="275"/>
      <c r="AJ230" s="267"/>
      <c r="AK230" s="267"/>
      <c r="AL230" s="267"/>
      <c r="AM230" s="267"/>
      <c r="AN230" s="267"/>
      <c r="AO230" s="267"/>
      <c r="AP230" s="267"/>
      <c r="AQ230" s="275"/>
      <c r="AR230" s="267"/>
      <c r="AS230" s="267"/>
      <c r="AT230" s="267"/>
      <c r="AU230" s="267"/>
      <c r="AV230" s="267"/>
      <c r="AW230" s="267"/>
      <c r="AX230" s="267"/>
      <c r="AY230" s="267"/>
      <c r="AZ230" s="267"/>
      <c r="BA230" s="267"/>
      <c r="BB230" s="267"/>
      <c r="BC230" s="267"/>
      <c r="BD230" s="267"/>
      <c r="BE230" s="267"/>
      <c r="BF230" s="267"/>
      <c r="BG230" s="269"/>
      <c r="BH230" s="274" t="s">
        <v>443</v>
      </c>
      <c r="BI230" s="267"/>
      <c r="BJ230" s="267"/>
      <c r="BK230" s="267"/>
      <c r="BL230" s="267"/>
      <c r="BM230" s="267"/>
      <c r="BN230" s="267"/>
      <c r="BO230" s="268"/>
      <c r="BP230" s="268"/>
      <c r="BQ230" s="268"/>
      <c r="BR230" s="268"/>
      <c r="BS230" s="268"/>
      <c r="BT230" s="268"/>
      <c r="BU230" s="268"/>
      <c r="BV230" s="267"/>
      <c r="BW230" s="267"/>
      <c r="BX230" s="267"/>
      <c r="BY230" s="267"/>
      <c r="BZ230" s="267"/>
      <c r="CA230" s="267"/>
      <c r="CB230" s="267"/>
      <c r="CC230" s="267"/>
      <c r="CD230" s="267"/>
      <c r="CE230" s="267"/>
      <c r="CF230" s="267"/>
      <c r="CG230" s="267"/>
      <c r="CH230" s="267"/>
      <c r="CI230" s="267"/>
    </row>
    <row r="231" spans="1:87" ht="16.5" outlineLevel="1">
      <c r="A231" s="260" t="str">
        <f t="shared" si="52"/>
        <v>PROPERTY_ENERGY_CERTIFICATEPROPERTY_IDENTIFICATION_CODE</v>
      </c>
      <c r="B231" s="141" t="s">
        <v>26</v>
      </c>
      <c r="C231" s="137" t="s">
        <v>54</v>
      </c>
      <c r="D231" s="222" t="s">
        <v>40</v>
      </c>
      <c r="E231" s="223" t="s">
        <v>123</v>
      </c>
      <c r="F231" s="223"/>
      <c r="G231" s="315" t="s">
        <v>126</v>
      </c>
      <c r="H231" s="222" t="str">
        <f>VLOOKUP(A231,'2. Status Detalhe Campos FY24'!$A$7:$G$731,7,0)</f>
        <v>1. Concluído</v>
      </c>
      <c r="I231" s="262" t="s">
        <v>38</v>
      </c>
      <c r="J231" s="271">
        <v>45638</v>
      </c>
      <c r="K231" s="271">
        <v>45639</v>
      </c>
      <c r="L231" s="276">
        <f t="array" ref="L231">MIN(IF(W231:CI231&gt;0,$W$16:$CI$16))</f>
        <v>45639</v>
      </c>
      <c r="M231" s="277">
        <f t="array" ref="M231">MAX(IF(W231:CI231&gt;0,$W$16:$CI$16))</f>
        <v>45639</v>
      </c>
      <c r="N231" s="277"/>
      <c r="O231" s="235">
        <f>VLOOKUP(H231,Auxiliar!$B$16:$E$24,4,0)</f>
        <v>1</v>
      </c>
      <c r="P231" s="301">
        <f t="shared" ca="1" si="56"/>
        <v>1</v>
      </c>
      <c r="Q231" s="234">
        <f t="shared" ca="1" si="53"/>
        <v>0</v>
      </c>
      <c r="R231" s="328"/>
      <c r="S231" s="278" t="s">
        <v>1855</v>
      </c>
      <c r="T231" s="256">
        <v>4.0999999999999996</v>
      </c>
      <c r="U231" s="256">
        <f t="shared" si="54"/>
        <v>0.5</v>
      </c>
      <c r="V231" s="256">
        <f t="shared" si="59"/>
        <v>-0.5</v>
      </c>
      <c r="W231" s="267"/>
      <c r="X231" s="267"/>
      <c r="Y231" s="267"/>
      <c r="Z231" s="274"/>
      <c r="AA231" s="267"/>
      <c r="AB231" s="267"/>
      <c r="AC231" s="267"/>
      <c r="AD231" s="268"/>
      <c r="AE231" s="274"/>
      <c r="AF231" s="267"/>
      <c r="AG231" s="267"/>
      <c r="AH231" s="267"/>
      <c r="AI231" s="275"/>
      <c r="AJ231" s="267"/>
      <c r="AK231" s="267"/>
      <c r="AL231" s="267"/>
      <c r="AM231" s="267"/>
      <c r="AN231" s="267"/>
      <c r="AO231" s="267"/>
      <c r="AP231" s="267"/>
      <c r="AQ231" s="275"/>
      <c r="AR231" s="267"/>
      <c r="AS231" s="267"/>
      <c r="AT231" s="267"/>
      <c r="AU231" s="267"/>
      <c r="AV231" s="267"/>
      <c r="AW231" s="267"/>
      <c r="AX231" s="267"/>
      <c r="AY231" s="267"/>
      <c r="AZ231" s="267"/>
      <c r="BA231" s="267"/>
      <c r="BB231" s="267"/>
      <c r="BC231" s="267"/>
      <c r="BD231" s="267"/>
      <c r="BE231" s="267"/>
      <c r="BF231" s="267"/>
      <c r="BG231" s="269"/>
      <c r="BH231" s="274" t="s">
        <v>443</v>
      </c>
      <c r="BI231" s="267"/>
      <c r="BJ231" s="267"/>
      <c r="BK231" s="267"/>
      <c r="BL231" s="267"/>
      <c r="BM231" s="267"/>
      <c r="BN231" s="267"/>
      <c r="BO231" s="268"/>
      <c r="BP231" s="268"/>
      <c r="BQ231" s="268"/>
      <c r="BR231" s="268"/>
      <c r="BS231" s="268"/>
      <c r="BT231" s="268"/>
      <c r="BU231" s="268"/>
      <c r="BV231" s="267"/>
      <c r="BW231" s="267"/>
      <c r="BX231" s="267"/>
      <c r="BY231" s="267"/>
      <c r="BZ231" s="267"/>
      <c r="CA231" s="267"/>
      <c r="CB231" s="267"/>
      <c r="CC231" s="267"/>
      <c r="CD231" s="267"/>
      <c r="CE231" s="267"/>
      <c r="CF231" s="267"/>
      <c r="CG231" s="267"/>
      <c r="CH231" s="267"/>
      <c r="CI231" s="267"/>
    </row>
    <row r="232" spans="1:87" ht="16.5" outlineLevel="1">
      <c r="A232" s="260" t="str">
        <f t="shared" si="52"/>
        <v>PROPERTY_ENERGY_CERTIFICATEENERGY_CERTIFICATION_SYSTEM_CODE</v>
      </c>
      <c r="B232" s="141" t="s">
        <v>26</v>
      </c>
      <c r="C232" s="137" t="s">
        <v>54</v>
      </c>
      <c r="D232" s="222" t="s">
        <v>40</v>
      </c>
      <c r="E232" s="223" t="s">
        <v>123</v>
      </c>
      <c r="F232" s="223"/>
      <c r="G232" s="315" t="s">
        <v>127</v>
      </c>
      <c r="H232" s="222" t="str">
        <f>VLOOKUP(A232,'2. Status Detalhe Campos FY24'!$A$7:$G$731,7,0)</f>
        <v>1. Concluído</v>
      </c>
      <c r="I232" s="262" t="s">
        <v>38</v>
      </c>
      <c r="J232" s="271">
        <v>45638</v>
      </c>
      <c r="K232" s="271">
        <v>45639</v>
      </c>
      <c r="L232" s="276">
        <f t="array" ref="L232">MIN(IF(W232:CI232&gt;0,$W$16:$CI$16))</f>
        <v>45639</v>
      </c>
      <c r="M232" s="277">
        <f t="array" ref="M232">MAX(IF(W232:CI232&gt;0,$W$16:$CI$16))</f>
        <v>45639</v>
      </c>
      <c r="N232" s="277"/>
      <c r="O232" s="235">
        <f>VLOOKUP(H232,Auxiliar!$B$16:$E$24,4,0)</f>
        <v>1</v>
      </c>
      <c r="P232" s="301">
        <f t="shared" ca="1" si="56"/>
        <v>1</v>
      </c>
      <c r="Q232" s="234">
        <f t="shared" ca="1" si="53"/>
        <v>0</v>
      </c>
      <c r="R232" s="328"/>
      <c r="S232" s="278" t="s">
        <v>1855</v>
      </c>
      <c r="T232" s="256">
        <v>4.0999999999999996</v>
      </c>
      <c r="U232" s="256">
        <f t="shared" si="54"/>
        <v>0.5</v>
      </c>
      <c r="V232" s="256">
        <f t="shared" si="59"/>
        <v>-0.5</v>
      </c>
      <c r="W232" s="267"/>
      <c r="X232" s="267"/>
      <c r="Y232" s="267"/>
      <c r="Z232" s="274"/>
      <c r="AA232" s="267"/>
      <c r="AB232" s="267"/>
      <c r="AC232" s="267"/>
      <c r="AD232" s="268"/>
      <c r="AE232" s="274"/>
      <c r="AF232" s="267"/>
      <c r="AG232" s="267"/>
      <c r="AH232" s="267"/>
      <c r="AI232" s="275"/>
      <c r="AJ232" s="267"/>
      <c r="AK232" s="267"/>
      <c r="AL232" s="267"/>
      <c r="AM232" s="267"/>
      <c r="AN232" s="267"/>
      <c r="AO232" s="267"/>
      <c r="AP232" s="267"/>
      <c r="AQ232" s="275"/>
      <c r="AR232" s="267"/>
      <c r="AS232" s="267"/>
      <c r="AT232" s="267"/>
      <c r="AU232" s="267"/>
      <c r="AV232" s="267"/>
      <c r="AW232" s="267"/>
      <c r="AX232" s="267"/>
      <c r="AY232" s="267"/>
      <c r="AZ232" s="267"/>
      <c r="BA232" s="267"/>
      <c r="BB232" s="267"/>
      <c r="BC232" s="267"/>
      <c r="BD232" s="267"/>
      <c r="BE232" s="267"/>
      <c r="BF232" s="267"/>
      <c r="BG232" s="269"/>
      <c r="BH232" s="274" t="s">
        <v>443</v>
      </c>
      <c r="BI232" s="267"/>
      <c r="BJ232" s="267"/>
      <c r="BK232" s="267"/>
      <c r="BL232" s="267"/>
      <c r="BM232" s="267"/>
      <c r="BN232" s="267"/>
      <c r="BO232" s="268"/>
      <c r="BP232" s="268"/>
      <c r="BQ232" s="268"/>
      <c r="BR232" s="268"/>
      <c r="BS232" s="268"/>
      <c r="BT232" s="268"/>
      <c r="BU232" s="268"/>
      <c r="BV232" s="267"/>
      <c r="BW232" s="267"/>
      <c r="BX232" s="267"/>
      <c r="BY232" s="267"/>
      <c r="BZ232" s="267"/>
      <c r="CA232" s="267"/>
      <c r="CB232" s="267"/>
      <c r="CC232" s="267"/>
      <c r="CD232" s="267"/>
      <c r="CE232" s="267"/>
      <c r="CF232" s="267"/>
      <c r="CG232" s="267"/>
      <c r="CH232" s="267"/>
      <c r="CI232" s="267"/>
    </row>
    <row r="233" spans="1:87" ht="16.5" outlineLevel="1">
      <c r="A233" s="260" t="str">
        <f t="shared" si="52"/>
        <v>PROPERTY_ENERGY_CERTIFICATEEPC_ISSUING_DATE</v>
      </c>
      <c r="B233" s="141" t="s">
        <v>26</v>
      </c>
      <c r="C233" s="137" t="s">
        <v>54</v>
      </c>
      <c r="D233" s="222" t="s">
        <v>40</v>
      </c>
      <c r="E233" s="223" t="s">
        <v>123</v>
      </c>
      <c r="F233" s="223"/>
      <c r="G233" s="315" t="s">
        <v>128</v>
      </c>
      <c r="H233" s="222" t="str">
        <f>VLOOKUP(A233,'2. Status Detalhe Campos FY24'!$A$7:$G$731,7,0)</f>
        <v>1. Concluído</v>
      </c>
      <c r="I233" s="262" t="s">
        <v>38</v>
      </c>
      <c r="J233" s="271">
        <v>45638</v>
      </c>
      <c r="K233" s="271">
        <v>45639</v>
      </c>
      <c r="L233" s="276">
        <f t="array" ref="L233">MIN(IF(W233:CI233&gt;0,$W$16:$CI$16))</f>
        <v>45639</v>
      </c>
      <c r="M233" s="277">
        <f t="array" ref="M233">MAX(IF(W233:CI233&gt;0,$W$16:$CI$16))</f>
        <v>45639</v>
      </c>
      <c r="N233" s="277"/>
      <c r="O233" s="235">
        <f>VLOOKUP(H233,Auxiliar!$B$16:$E$24,4,0)</f>
        <v>1</v>
      </c>
      <c r="P233" s="301">
        <f t="shared" ca="1" si="56"/>
        <v>1</v>
      </c>
      <c r="Q233" s="234">
        <f t="shared" ca="1" si="53"/>
        <v>0</v>
      </c>
      <c r="R233" s="328"/>
      <c r="S233" s="278" t="s">
        <v>1855</v>
      </c>
      <c r="T233" s="256">
        <v>4.0999999999999996</v>
      </c>
      <c r="U233" s="256">
        <f t="shared" si="54"/>
        <v>0.5</v>
      </c>
      <c r="V233" s="256">
        <f t="shared" si="59"/>
        <v>-0.5</v>
      </c>
      <c r="W233" s="267"/>
      <c r="X233" s="267"/>
      <c r="Y233" s="267"/>
      <c r="Z233" s="274"/>
      <c r="AA233" s="267"/>
      <c r="AB233" s="267"/>
      <c r="AC233" s="267"/>
      <c r="AD233" s="268"/>
      <c r="AE233" s="274"/>
      <c r="AF233" s="267"/>
      <c r="AG233" s="267"/>
      <c r="AH233" s="267"/>
      <c r="AI233" s="275"/>
      <c r="AJ233" s="267"/>
      <c r="AK233" s="267"/>
      <c r="AL233" s="267"/>
      <c r="AM233" s="267"/>
      <c r="AN233" s="267"/>
      <c r="AO233" s="267"/>
      <c r="AP233" s="267"/>
      <c r="AQ233" s="275"/>
      <c r="AR233" s="267"/>
      <c r="AS233" s="267"/>
      <c r="AT233" s="267"/>
      <c r="AU233" s="267"/>
      <c r="AV233" s="267"/>
      <c r="AW233" s="267"/>
      <c r="AX233" s="267"/>
      <c r="AY233" s="267"/>
      <c r="AZ233" s="267"/>
      <c r="BA233" s="267"/>
      <c r="BB233" s="267"/>
      <c r="BC233" s="267"/>
      <c r="BD233" s="267"/>
      <c r="BE233" s="267"/>
      <c r="BF233" s="267"/>
      <c r="BG233" s="269"/>
      <c r="BH233" s="274" t="s">
        <v>443</v>
      </c>
      <c r="BI233" s="267"/>
      <c r="BJ233" s="267"/>
      <c r="BK233" s="267"/>
      <c r="BL233" s="267"/>
      <c r="BM233" s="267"/>
      <c r="BN233" s="267"/>
      <c r="BO233" s="268"/>
      <c r="BP233" s="268"/>
      <c r="BQ233" s="268"/>
      <c r="BR233" s="268"/>
      <c r="BS233" s="268"/>
      <c r="BT233" s="268"/>
      <c r="BU233" s="268"/>
      <c r="BV233" s="267"/>
      <c r="BW233" s="267"/>
      <c r="BX233" s="267"/>
      <c r="BY233" s="267"/>
      <c r="BZ233" s="267"/>
      <c r="CA233" s="267"/>
      <c r="CB233" s="267"/>
      <c r="CC233" s="267"/>
      <c r="CD233" s="267"/>
      <c r="CE233" s="267"/>
      <c r="CF233" s="267"/>
      <c r="CG233" s="267"/>
      <c r="CH233" s="267"/>
      <c r="CI233" s="267"/>
    </row>
    <row r="234" spans="1:87" ht="16.5" outlineLevel="1">
      <c r="A234" s="260" t="str">
        <f t="shared" si="52"/>
        <v>PROPERTY_ENERGY_CERTIFICATEEPC_EXPIRATION_DATE</v>
      </c>
      <c r="B234" s="141" t="s">
        <v>26</v>
      </c>
      <c r="C234" s="137" t="s">
        <v>54</v>
      </c>
      <c r="D234" s="222" t="s">
        <v>40</v>
      </c>
      <c r="E234" s="223" t="s">
        <v>123</v>
      </c>
      <c r="F234" s="223"/>
      <c r="G234" s="315" t="s">
        <v>129</v>
      </c>
      <c r="H234" s="222" t="str">
        <f>VLOOKUP(A234,'2. Status Detalhe Campos FY24'!$A$7:$G$731,7,0)</f>
        <v>1. Concluído</v>
      </c>
      <c r="I234" s="262" t="s">
        <v>38</v>
      </c>
      <c r="J234" s="271">
        <v>45638</v>
      </c>
      <c r="K234" s="271">
        <v>45639</v>
      </c>
      <c r="L234" s="276">
        <f t="array" ref="L234">MIN(IF(W234:CI234&gt;0,$W$16:$CI$16))</f>
        <v>45639</v>
      </c>
      <c r="M234" s="277">
        <f t="array" ref="M234">MAX(IF(W234:CI234&gt;0,$W$16:$CI$16))</f>
        <v>45639</v>
      </c>
      <c r="N234" s="277"/>
      <c r="O234" s="235">
        <f>VLOOKUP(H234,Auxiliar!$B$16:$E$24,4,0)</f>
        <v>1</v>
      </c>
      <c r="P234" s="301">
        <f t="shared" ca="1" si="56"/>
        <v>1</v>
      </c>
      <c r="Q234" s="234">
        <f t="shared" ca="1" si="53"/>
        <v>0</v>
      </c>
      <c r="R234" s="328"/>
      <c r="S234" s="278" t="s">
        <v>1855</v>
      </c>
      <c r="T234" s="256">
        <v>4.0999999999999996</v>
      </c>
      <c r="U234" s="256">
        <f t="shared" si="54"/>
        <v>0.5</v>
      </c>
      <c r="V234" s="256">
        <f t="shared" si="59"/>
        <v>-0.5</v>
      </c>
      <c r="W234" s="267"/>
      <c r="X234" s="267"/>
      <c r="Y234" s="267"/>
      <c r="Z234" s="274"/>
      <c r="AA234" s="267"/>
      <c r="AB234" s="267"/>
      <c r="AC234" s="267"/>
      <c r="AD234" s="268"/>
      <c r="AE234" s="274"/>
      <c r="AF234" s="267"/>
      <c r="AG234" s="267"/>
      <c r="AH234" s="267"/>
      <c r="AI234" s="275"/>
      <c r="AJ234" s="267"/>
      <c r="AK234" s="267"/>
      <c r="AL234" s="267"/>
      <c r="AM234" s="267"/>
      <c r="AN234" s="267"/>
      <c r="AO234" s="267"/>
      <c r="AP234" s="267"/>
      <c r="AQ234" s="275"/>
      <c r="AR234" s="267"/>
      <c r="AS234" s="267"/>
      <c r="AT234" s="267"/>
      <c r="AU234" s="267"/>
      <c r="AV234" s="267"/>
      <c r="AW234" s="267"/>
      <c r="AX234" s="267"/>
      <c r="AY234" s="267"/>
      <c r="AZ234" s="267"/>
      <c r="BA234" s="267"/>
      <c r="BB234" s="267"/>
      <c r="BC234" s="267"/>
      <c r="BD234" s="267"/>
      <c r="BE234" s="267"/>
      <c r="BF234" s="267"/>
      <c r="BG234" s="269"/>
      <c r="BH234" s="274" t="s">
        <v>443</v>
      </c>
      <c r="BI234" s="267"/>
      <c r="BJ234" s="267"/>
      <c r="BK234" s="267"/>
      <c r="BL234" s="267"/>
      <c r="BM234" s="267"/>
      <c r="BN234" s="267"/>
      <c r="BO234" s="268"/>
      <c r="BP234" s="268"/>
      <c r="BQ234" s="268"/>
      <c r="BR234" s="268"/>
      <c r="BS234" s="268"/>
      <c r="BT234" s="268"/>
      <c r="BU234" s="268"/>
      <c r="BV234" s="267"/>
      <c r="BW234" s="267"/>
      <c r="BX234" s="267"/>
      <c r="BY234" s="267"/>
      <c r="BZ234" s="267"/>
      <c r="CA234" s="267"/>
      <c r="CB234" s="267"/>
      <c r="CC234" s="267"/>
      <c r="CD234" s="267"/>
      <c r="CE234" s="267"/>
      <c r="CF234" s="267"/>
      <c r="CG234" s="267"/>
      <c r="CH234" s="267"/>
      <c r="CI234" s="267"/>
    </row>
    <row r="235" spans="1:87" ht="16.5" outlineLevel="1">
      <c r="A235" s="260" t="str">
        <f t="shared" si="52"/>
        <v>PROPERTY_ENERGY_CERTIFICATEENERGY_EFFICIENCY_IND</v>
      </c>
      <c r="B235" s="141" t="s">
        <v>26</v>
      </c>
      <c r="C235" s="137" t="s">
        <v>54</v>
      </c>
      <c r="D235" s="222" t="s">
        <v>40</v>
      </c>
      <c r="E235" s="223" t="s">
        <v>123</v>
      </c>
      <c r="F235" s="223"/>
      <c r="G235" s="315" t="s">
        <v>132</v>
      </c>
      <c r="H235" s="222" t="str">
        <f>VLOOKUP(A235,'2. Status Detalhe Campos FY24'!$A$7:$G$731,7,0)</f>
        <v>1. Concluído</v>
      </c>
      <c r="I235" s="262" t="s">
        <v>38</v>
      </c>
      <c r="J235" s="271">
        <v>45638</v>
      </c>
      <c r="K235" s="271">
        <v>45639</v>
      </c>
      <c r="L235" s="276">
        <f t="array" ref="L235">MIN(IF(W235:CI235&gt;0,$W$16:$CI$16))</f>
        <v>45639</v>
      </c>
      <c r="M235" s="277">
        <f t="array" ref="M235">MAX(IF(W235:CI235&gt;0,$W$16:$CI$16))</f>
        <v>45639</v>
      </c>
      <c r="N235" s="277"/>
      <c r="O235" s="235">
        <f>VLOOKUP(H235,Auxiliar!$B$16:$E$24,4,0)</f>
        <v>1</v>
      </c>
      <c r="P235" s="301">
        <f t="shared" ca="1" si="56"/>
        <v>1</v>
      </c>
      <c r="Q235" s="234">
        <f t="shared" ca="1" si="53"/>
        <v>0</v>
      </c>
      <c r="R235" s="328"/>
      <c r="S235" s="278" t="s">
        <v>1855</v>
      </c>
      <c r="T235" s="256">
        <v>4.0999999999999996</v>
      </c>
      <c r="U235" s="256">
        <f t="shared" si="54"/>
        <v>0.5</v>
      </c>
      <c r="V235" s="256">
        <f t="shared" si="59"/>
        <v>-0.5</v>
      </c>
      <c r="W235" s="267"/>
      <c r="X235" s="267"/>
      <c r="Y235" s="267"/>
      <c r="Z235" s="274"/>
      <c r="AA235" s="267"/>
      <c r="AB235" s="267"/>
      <c r="AC235" s="267"/>
      <c r="AD235" s="268"/>
      <c r="AE235" s="274"/>
      <c r="AF235" s="267"/>
      <c r="AG235" s="267"/>
      <c r="AH235" s="267"/>
      <c r="AI235" s="275"/>
      <c r="AJ235" s="267"/>
      <c r="AK235" s="267"/>
      <c r="AL235" s="267"/>
      <c r="AM235" s="267"/>
      <c r="AN235" s="267"/>
      <c r="AO235" s="267"/>
      <c r="AP235" s="267"/>
      <c r="AQ235" s="275"/>
      <c r="AR235" s="267"/>
      <c r="AS235" s="267"/>
      <c r="AT235" s="267"/>
      <c r="AU235" s="267"/>
      <c r="AV235" s="267"/>
      <c r="AW235" s="267"/>
      <c r="AX235" s="267"/>
      <c r="AY235" s="267"/>
      <c r="AZ235" s="267"/>
      <c r="BA235" s="267"/>
      <c r="BB235" s="267"/>
      <c r="BC235" s="267"/>
      <c r="BD235" s="267"/>
      <c r="BE235" s="267"/>
      <c r="BF235" s="267"/>
      <c r="BG235" s="269"/>
      <c r="BH235" s="274" t="s">
        <v>443</v>
      </c>
      <c r="BI235" s="267"/>
      <c r="BJ235" s="267"/>
      <c r="BK235" s="267"/>
      <c r="BL235" s="267"/>
      <c r="BM235" s="267"/>
      <c r="BN235" s="267"/>
      <c r="BO235" s="268"/>
      <c r="BP235" s="268"/>
      <c r="BQ235" s="268"/>
      <c r="BR235" s="268"/>
      <c r="BS235" s="268"/>
      <c r="BT235" s="268"/>
      <c r="BU235" s="268"/>
      <c r="BV235" s="267"/>
      <c r="BW235" s="267"/>
      <c r="BX235" s="267"/>
      <c r="BY235" s="267"/>
      <c r="BZ235" s="267"/>
      <c r="CA235" s="267"/>
      <c r="CB235" s="267"/>
      <c r="CC235" s="267"/>
      <c r="CD235" s="267"/>
      <c r="CE235" s="267"/>
      <c r="CF235" s="267"/>
      <c r="CG235" s="267"/>
      <c r="CH235" s="267"/>
      <c r="CI235" s="267"/>
    </row>
    <row r="236" spans="1:87" ht="16.5" outlineLevel="1">
      <c r="A236" s="260" t="str">
        <f t="shared" si="52"/>
        <v>PROPERTY_ENERGY_CERTIFICATENZEB_IND</v>
      </c>
      <c r="B236" s="141" t="s">
        <v>26</v>
      </c>
      <c r="C236" s="137" t="s">
        <v>54</v>
      </c>
      <c r="D236" s="222" t="s">
        <v>40</v>
      </c>
      <c r="E236" s="223" t="s">
        <v>123</v>
      </c>
      <c r="F236" s="223"/>
      <c r="G236" s="315" t="s">
        <v>134</v>
      </c>
      <c r="H236" s="222" t="str">
        <f>VLOOKUP(A236,'2. Status Detalhe Campos FY24'!$A$7:$G$731,7,0)</f>
        <v>1. Concluído</v>
      </c>
      <c r="I236" s="262" t="s">
        <v>38</v>
      </c>
      <c r="J236" s="271">
        <v>45638</v>
      </c>
      <c r="K236" s="271">
        <v>45639</v>
      </c>
      <c r="L236" s="276">
        <f t="array" ref="L236">MIN(IF(W236:CI236&gt;0,$W$16:$CI$16))</f>
        <v>45639</v>
      </c>
      <c r="M236" s="277">
        <f t="array" ref="M236">MAX(IF(W236:CI236&gt;0,$W$16:$CI$16))</f>
        <v>45639</v>
      </c>
      <c r="N236" s="277"/>
      <c r="O236" s="235">
        <f>VLOOKUP(H236,Auxiliar!$B$16:$E$24,4,0)</f>
        <v>1</v>
      </c>
      <c r="P236" s="301">
        <f t="shared" ca="1" si="56"/>
        <v>1</v>
      </c>
      <c r="Q236" s="234">
        <f t="shared" ca="1" si="53"/>
        <v>0</v>
      </c>
      <c r="R236" s="328"/>
      <c r="S236" s="278" t="s">
        <v>1855</v>
      </c>
      <c r="T236" s="256">
        <v>4.0999999999999996</v>
      </c>
      <c r="U236" s="256">
        <f t="shared" si="54"/>
        <v>0.5</v>
      </c>
      <c r="V236" s="256">
        <f t="shared" si="59"/>
        <v>-0.5</v>
      </c>
      <c r="W236" s="267"/>
      <c r="X236" s="267"/>
      <c r="Y236" s="267"/>
      <c r="Z236" s="274"/>
      <c r="AA236" s="267"/>
      <c r="AB236" s="267"/>
      <c r="AC236" s="267"/>
      <c r="AD236" s="268"/>
      <c r="AE236" s="274"/>
      <c r="AF236" s="267"/>
      <c r="AG236" s="267"/>
      <c r="AH236" s="267"/>
      <c r="AI236" s="275"/>
      <c r="AJ236" s="267"/>
      <c r="AK236" s="267"/>
      <c r="AL236" s="267"/>
      <c r="AM236" s="267"/>
      <c r="AN236" s="267"/>
      <c r="AO236" s="267"/>
      <c r="AP236" s="267"/>
      <c r="AQ236" s="275"/>
      <c r="AR236" s="267"/>
      <c r="AS236" s="267"/>
      <c r="AT236" s="267"/>
      <c r="AU236" s="267"/>
      <c r="AV236" s="267"/>
      <c r="AW236" s="267"/>
      <c r="AX236" s="267"/>
      <c r="AY236" s="267"/>
      <c r="AZ236" s="267"/>
      <c r="BA236" s="267"/>
      <c r="BB236" s="267"/>
      <c r="BC236" s="267"/>
      <c r="BD236" s="267"/>
      <c r="BE236" s="267"/>
      <c r="BF236" s="267"/>
      <c r="BG236" s="269"/>
      <c r="BH236" s="274" t="s">
        <v>443</v>
      </c>
      <c r="BI236" s="267"/>
      <c r="BJ236" s="267"/>
      <c r="BK236" s="267"/>
      <c r="BL236" s="267"/>
      <c r="BM236" s="267"/>
      <c r="BN236" s="267"/>
      <c r="BO236" s="268"/>
      <c r="BP236" s="268"/>
      <c r="BQ236" s="268"/>
      <c r="BR236" s="268"/>
      <c r="BS236" s="268"/>
      <c r="BT236" s="268"/>
      <c r="BU236" s="268"/>
      <c r="BV236" s="267"/>
      <c r="BW236" s="267"/>
      <c r="BX236" s="267"/>
      <c r="BY236" s="267"/>
      <c r="BZ236" s="267"/>
      <c r="CA236" s="267"/>
      <c r="CB236" s="267"/>
      <c r="CC236" s="267"/>
      <c r="CD236" s="267"/>
      <c r="CE236" s="267"/>
      <c r="CF236" s="267"/>
      <c r="CG236" s="267"/>
      <c r="CH236" s="267"/>
      <c r="CI236" s="267"/>
    </row>
    <row r="237" spans="1:87" ht="16.5" outlineLevel="1">
      <c r="A237" s="260" t="str">
        <f t="shared" si="52"/>
        <v>PROPERTY_ENERGY_CERTIFICATEACTUAL_VALUE_IND</v>
      </c>
      <c r="B237" s="141" t="s">
        <v>26</v>
      </c>
      <c r="C237" s="137" t="s">
        <v>54</v>
      </c>
      <c r="D237" s="222" t="s">
        <v>40</v>
      </c>
      <c r="E237" s="223" t="s">
        <v>123</v>
      </c>
      <c r="F237" s="223"/>
      <c r="G237" s="315" t="s">
        <v>49</v>
      </c>
      <c r="H237" s="222" t="e">
        <f>VLOOKUP(A237,'2. Status Detalhe Campos FY24'!$A$7:$G$731,7,0)</f>
        <v>#N/A</v>
      </c>
      <c r="I237" s="262" t="s">
        <v>38</v>
      </c>
      <c r="J237" s="271">
        <v>45638</v>
      </c>
      <c r="K237" s="271">
        <v>45639</v>
      </c>
      <c r="L237" s="276">
        <f t="array" ref="L237">MIN(IF(W237:CI237&gt;0,$W$16:$CI$16))</f>
        <v>45639</v>
      </c>
      <c r="M237" s="277">
        <f t="array" ref="M237">MAX(IF(W237:CI237&gt;0,$W$16:$CI$16))</f>
        <v>45639</v>
      </c>
      <c r="N237" s="277"/>
      <c r="O237" s="235" t="e">
        <f>VLOOKUP(H237,Auxiliar!$B$16:$E$24,4,0)</f>
        <v>#N/A</v>
      </c>
      <c r="P237" s="301">
        <f t="shared" ca="1" si="56"/>
        <v>1</v>
      </c>
      <c r="Q237" s="234" t="e">
        <f t="shared" ca="1" si="53"/>
        <v>#N/A</v>
      </c>
      <c r="R237" s="328"/>
      <c r="S237" s="278" t="s">
        <v>1855</v>
      </c>
      <c r="T237" s="256">
        <v>4.0999999999999996</v>
      </c>
      <c r="U237" s="256">
        <f t="shared" si="54"/>
        <v>0.5</v>
      </c>
      <c r="V237" s="256">
        <f t="shared" si="59"/>
        <v>-0.5</v>
      </c>
      <c r="W237" s="267"/>
      <c r="X237" s="267"/>
      <c r="Y237" s="267"/>
      <c r="Z237" s="274"/>
      <c r="AA237" s="267"/>
      <c r="AB237" s="267"/>
      <c r="AC237" s="267"/>
      <c r="AD237" s="268"/>
      <c r="AE237" s="274"/>
      <c r="AF237" s="267"/>
      <c r="AG237" s="267"/>
      <c r="AH237" s="267"/>
      <c r="AI237" s="275"/>
      <c r="AJ237" s="267"/>
      <c r="AK237" s="267"/>
      <c r="AL237" s="267"/>
      <c r="AM237" s="267"/>
      <c r="AN237" s="267"/>
      <c r="AO237" s="267"/>
      <c r="AP237" s="267"/>
      <c r="AQ237" s="275"/>
      <c r="AR237" s="267"/>
      <c r="AS237" s="267"/>
      <c r="AT237" s="267"/>
      <c r="AU237" s="267"/>
      <c r="AV237" s="267"/>
      <c r="AW237" s="267"/>
      <c r="AX237" s="267"/>
      <c r="AY237" s="267"/>
      <c r="AZ237" s="267"/>
      <c r="BA237" s="267"/>
      <c r="BB237" s="267"/>
      <c r="BC237" s="267"/>
      <c r="BD237" s="267"/>
      <c r="BE237" s="267"/>
      <c r="BF237" s="267"/>
      <c r="BG237" s="269"/>
      <c r="BH237" s="274" t="s">
        <v>443</v>
      </c>
      <c r="BI237" s="267"/>
      <c r="BJ237" s="267"/>
      <c r="BK237" s="267"/>
      <c r="BL237" s="267"/>
      <c r="BM237" s="267"/>
      <c r="BN237" s="267"/>
      <c r="BO237" s="268"/>
      <c r="BP237" s="268"/>
      <c r="BQ237" s="268"/>
      <c r="BR237" s="268"/>
      <c r="BS237" s="268"/>
      <c r="BT237" s="268"/>
      <c r="BU237" s="268"/>
      <c r="BV237" s="267"/>
      <c r="BW237" s="267"/>
      <c r="BX237" s="267"/>
      <c r="BY237" s="267"/>
      <c r="BZ237" s="267"/>
      <c r="CA237" s="267"/>
      <c r="CB237" s="267"/>
      <c r="CC237" s="267"/>
      <c r="CD237" s="267"/>
      <c r="CE237" s="267"/>
      <c r="CF237" s="267"/>
      <c r="CG237" s="267"/>
      <c r="CH237" s="267"/>
      <c r="CI237" s="267"/>
    </row>
    <row r="238" spans="1:87" ht="16.5" outlineLevel="1">
      <c r="A238" s="260" t="str">
        <f t="shared" si="52"/>
        <v>PROPERTY_ENERGY_CERTIFICATESOURCE_CODE</v>
      </c>
      <c r="B238" s="141" t="s">
        <v>26</v>
      </c>
      <c r="C238" s="137" t="s">
        <v>54</v>
      </c>
      <c r="D238" s="222" t="s">
        <v>40</v>
      </c>
      <c r="E238" s="223" t="s">
        <v>123</v>
      </c>
      <c r="F238" s="223"/>
      <c r="G238" s="315" t="s">
        <v>87</v>
      </c>
      <c r="H238" s="222" t="str">
        <f>VLOOKUP(A238,'2. Status Detalhe Campos FY24'!$A$7:$G$731,7,0)</f>
        <v>1. Concluído</v>
      </c>
      <c r="I238" s="262" t="s">
        <v>38</v>
      </c>
      <c r="J238" s="271">
        <v>45638</v>
      </c>
      <c r="K238" s="271">
        <v>45639</v>
      </c>
      <c r="L238" s="276">
        <f t="array" ref="L238">MIN(IF(W238:CI238&gt;0,$W$16:$CI$16))</f>
        <v>45639</v>
      </c>
      <c r="M238" s="277">
        <f t="array" ref="M238">MAX(IF(W238:CI238&gt;0,$W$16:$CI$16))</f>
        <v>45639</v>
      </c>
      <c r="N238" s="277"/>
      <c r="O238" s="235">
        <f>VLOOKUP(H238,Auxiliar!$B$16:$E$24,4,0)</f>
        <v>1</v>
      </c>
      <c r="P238" s="301">
        <f t="shared" ca="1" si="56"/>
        <v>1</v>
      </c>
      <c r="Q238" s="234">
        <f t="shared" ca="1" si="53"/>
        <v>0</v>
      </c>
      <c r="R238" s="328"/>
      <c r="S238" s="278" t="s">
        <v>1855</v>
      </c>
      <c r="T238" s="256">
        <v>4.0999999999999996</v>
      </c>
      <c r="U238" s="256">
        <f t="shared" si="54"/>
        <v>0.5</v>
      </c>
      <c r="V238" s="256">
        <f t="shared" si="59"/>
        <v>-0.5</v>
      </c>
      <c r="W238" s="267"/>
      <c r="X238" s="267"/>
      <c r="Y238" s="267"/>
      <c r="Z238" s="274"/>
      <c r="AA238" s="267"/>
      <c r="AB238" s="267"/>
      <c r="AC238" s="267"/>
      <c r="AD238" s="268"/>
      <c r="AE238" s="274"/>
      <c r="AF238" s="279"/>
      <c r="AG238" s="267"/>
      <c r="AH238" s="267"/>
      <c r="AI238" s="275"/>
      <c r="AJ238" s="267"/>
      <c r="AK238" s="267"/>
      <c r="AL238" s="267"/>
      <c r="AM238" s="267"/>
      <c r="AN238" s="267"/>
      <c r="AO238" s="267"/>
      <c r="AP238" s="267"/>
      <c r="AQ238" s="275"/>
      <c r="AR238" s="267"/>
      <c r="AS238" s="267"/>
      <c r="AT238" s="267"/>
      <c r="AU238" s="267"/>
      <c r="AV238" s="267"/>
      <c r="AW238" s="267"/>
      <c r="AX238" s="267"/>
      <c r="AY238" s="267"/>
      <c r="AZ238" s="267"/>
      <c r="BA238" s="267"/>
      <c r="BB238" s="267"/>
      <c r="BC238" s="267"/>
      <c r="BD238" s="267"/>
      <c r="BE238" s="267"/>
      <c r="BF238" s="267"/>
      <c r="BG238" s="269"/>
      <c r="BH238" s="274" t="s">
        <v>443</v>
      </c>
      <c r="BI238" s="267"/>
      <c r="BJ238" s="267"/>
      <c r="BK238" s="267"/>
      <c r="BL238" s="267"/>
      <c r="BM238" s="267"/>
      <c r="BN238" s="267"/>
      <c r="BO238" s="268"/>
      <c r="BP238" s="268"/>
      <c r="BQ238" s="268"/>
      <c r="BR238" s="268"/>
      <c r="BS238" s="268"/>
      <c r="BT238" s="268"/>
      <c r="BU238" s="268"/>
      <c r="BV238" s="267"/>
      <c r="BW238" s="267"/>
      <c r="BX238" s="267"/>
      <c r="BY238" s="267"/>
      <c r="BZ238" s="267"/>
      <c r="CA238" s="267"/>
      <c r="CB238" s="267"/>
      <c r="CC238" s="267"/>
      <c r="CD238" s="267"/>
      <c r="CE238" s="267"/>
      <c r="CF238" s="267"/>
      <c r="CG238" s="267"/>
      <c r="CH238" s="267"/>
      <c r="CI238" s="267"/>
    </row>
    <row r="239" spans="1:87" ht="16.5" outlineLevel="1">
      <c r="A239" s="260" t="str">
        <f t="shared" si="52"/>
        <v>PROPERTY_ENERGY_CERTIFICATECERTIFICATE_TYPE</v>
      </c>
      <c r="B239" s="141" t="s">
        <v>26</v>
      </c>
      <c r="C239" s="137" t="s">
        <v>54</v>
      </c>
      <c r="D239" s="222" t="s">
        <v>40</v>
      </c>
      <c r="E239" s="223" t="s">
        <v>123</v>
      </c>
      <c r="F239" s="223"/>
      <c r="G239" s="315" t="s">
        <v>136</v>
      </c>
      <c r="H239" s="222" t="str">
        <f>VLOOKUP(A239,'2. Status Detalhe Campos FY24'!$A$7:$G$731,7,0)</f>
        <v>1. Concluído</v>
      </c>
      <c r="I239" s="262" t="s">
        <v>38</v>
      </c>
      <c r="J239" s="271">
        <v>45638</v>
      </c>
      <c r="K239" s="271">
        <v>45639</v>
      </c>
      <c r="L239" s="276">
        <f t="array" ref="L239">MIN(IF(W239:CI239&gt;0,$W$16:$CI$16))</f>
        <v>45639</v>
      </c>
      <c r="M239" s="277">
        <f t="array" ref="M239">MAX(IF(W239:CI239&gt;0,$W$16:$CI$16))</f>
        <v>45639</v>
      </c>
      <c r="N239" s="277"/>
      <c r="O239" s="235">
        <f>VLOOKUP(H239,Auxiliar!$B$16:$E$24,4,0)</f>
        <v>1</v>
      </c>
      <c r="P239" s="301">
        <f t="shared" ca="1" si="56"/>
        <v>1</v>
      </c>
      <c r="Q239" s="234">
        <f t="shared" ca="1" si="53"/>
        <v>0</v>
      </c>
      <c r="R239" s="328"/>
      <c r="S239" s="278" t="s">
        <v>1855</v>
      </c>
      <c r="T239" s="256">
        <v>4.0999999999999996</v>
      </c>
      <c r="U239" s="256">
        <f t="shared" si="54"/>
        <v>0.5</v>
      </c>
      <c r="V239" s="256">
        <f t="shared" si="59"/>
        <v>-0.5</v>
      </c>
      <c r="W239" s="267"/>
      <c r="X239" s="267"/>
      <c r="Y239" s="267"/>
      <c r="Z239" s="274"/>
      <c r="AA239" s="267"/>
      <c r="AB239" s="267"/>
      <c r="AC239" s="267"/>
      <c r="AD239" s="268"/>
      <c r="AE239" s="274"/>
      <c r="AF239" s="267"/>
      <c r="AG239" s="267"/>
      <c r="AH239" s="267"/>
      <c r="AI239" s="275"/>
      <c r="AJ239" s="267"/>
      <c r="AK239" s="267"/>
      <c r="AL239" s="267"/>
      <c r="AM239" s="267"/>
      <c r="AN239" s="267"/>
      <c r="AO239" s="267"/>
      <c r="AP239" s="267"/>
      <c r="AQ239" s="275"/>
      <c r="AR239" s="267"/>
      <c r="AS239" s="267"/>
      <c r="AT239" s="267"/>
      <c r="AU239" s="267"/>
      <c r="AV239" s="267"/>
      <c r="AW239" s="267"/>
      <c r="AX239" s="267"/>
      <c r="AY239" s="267"/>
      <c r="AZ239" s="267"/>
      <c r="BA239" s="267"/>
      <c r="BB239" s="267"/>
      <c r="BC239" s="267"/>
      <c r="BD239" s="267"/>
      <c r="BE239" s="267"/>
      <c r="BF239" s="267"/>
      <c r="BG239" s="269"/>
      <c r="BH239" s="274" t="s">
        <v>443</v>
      </c>
      <c r="BI239" s="267"/>
      <c r="BJ239" s="267"/>
      <c r="BK239" s="267"/>
      <c r="BL239" s="267"/>
      <c r="BM239" s="267"/>
      <c r="BN239" s="267"/>
      <c r="BO239" s="268"/>
      <c r="BP239" s="268"/>
      <c r="BQ239" s="268"/>
      <c r="BR239" s="268"/>
      <c r="BS239" s="268"/>
      <c r="BT239" s="268"/>
      <c r="BU239" s="268"/>
      <c r="BV239" s="267"/>
      <c r="BW239" s="267"/>
      <c r="BX239" s="267"/>
      <c r="BY239" s="267"/>
      <c r="BZ239" s="267"/>
      <c r="CA239" s="267"/>
      <c r="CB239" s="267"/>
      <c r="CC239" s="267"/>
      <c r="CD239" s="267"/>
      <c r="CE239" s="267"/>
      <c r="CF239" s="267"/>
      <c r="CG239" s="267"/>
      <c r="CH239" s="267"/>
      <c r="CI239" s="267"/>
    </row>
    <row r="240" spans="1:87" ht="16.5" outlineLevel="1">
      <c r="A240" s="260" t="str">
        <f t="shared" si="52"/>
        <v>PROPERTY_ENERGY_CERTIFICATEREN_ENERGY_PRODUCED_VALUE</v>
      </c>
      <c r="B240" s="141" t="s">
        <v>26</v>
      </c>
      <c r="C240" s="137" t="s">
        <v>54</v>
      </c>
      <c r="D240" s="222" t="s">
        <v>40</v>
      </c>
      <c r="E240" s="223" t="s">
        <v>123</v>
      </c>
      <c r="F240" s="223"/>
      <c r="G240" s="315" t="s">
        <v>160</v>
      </c>
      <c r="H240" s="222" t="str">
        <f>VLOOKUP(A240,'2. Status Detalhe Campos FY24'!$A$7:$G$731,7,0)</f>
        <v>1. Concluído</v>
      </c>
      <c r="I240" s="262" t="s">
        <v>38</v>
      </c>
      <c r="J240" s="271">
        <v>45638</v>
      </c>
      <c r="K240" s="271">
        <v>45639</v>
      </c>
      <c r="L240" s="276">
        <f t="array" ref="L240">MIN(IF(W240:CI240&gt;0,$W$16:$CI$16))</f>
        <v>45639</v>
      </c>
      <c r="M240" s="277">
        <f t="array" ref="M240">MAX(IF(W240:CI240&gt;0,$W$16:$CI$16))</f>
        <v>45639</v>
      </c>
      <c r="N240" s="277"/>
      <c r="O240" s="235">
        <f>VLOOKUP(H240,Auxiliar!$B$16:$E$24,4,0)</f>
        <v>1</v>
      </c>
      <c r="P240" s="301">
        <f t="shared" ca="1" si="56"/>
        <v>1</v>
      </c>
      <c r="Q240" s="234">
        <f t="shared" ca="1" si="53"/>
        <v>0</v>
      </c>
      <c r="R240" s="328"/>
      <c r="S240" s="278" t="s">
        <v>1855</v>
      </c>
      <c r="T240" s="256">
        <v>4.0999999999999996</v>
      </c>
      <c r="U240" s="256">
        <f t="shared" si="54"/>
        <v>0.5</v>
      </c>
      <c r="V240" s="256">
        <f t="shared" si="59"/>
        <v>-0.5</v>
      </c>
      <c r="W240" s="267"/>
      <c r="X240" s="267"/>
      <c r="Y240" s="267"/>
      <c r="Z240" s="274"/>
      <c r="AA240" s="267"/>
      <c r="AB240" s="267"/>
      <c r="AC240" s="267"/>
      <c r="AD240" s="268"/>
      <c r="AE240" s="274"/>
      <c r="AF240" s="267"/>
      <c r="AG240" s="267"/>
      <c r="AH240" s="267"/>
      <c r="AI240" s="275"/>
      <c r="AJ240" s="267"/>
      <c r="AK240" s="267"/>
      <c r="AL240" s="267"/>
      <c r="AM240" s="267"/>
      <c r="AN240" s="267"/>
      <c r="AO240" s="267"/>
      <c r="AP240" s="267"/>
      <c r="AQ240" s="275"/>
      <c r="AR240" s="267"/>
      <c r="AS240" s="267"/>
      <c r="AT240" s="267"/>
      <c r="AU240" s="267"/>
      <c r="AV240" s="267"/>
      <c r="AW240" s="267"/>
      <c r="AX240" s="267"/>
      <c r="AY240" s="267"/>
      <c r="AZ240" s="267"/>
      <c r="BA240" s="267"/>
      <c r="BB240" s="267"/>
      <c r="BC240" s="267"/>
      <c r="BD240" s="267"/>
      <c r="BE240" s="267"/>
      <c r="BF240" s="267"/>
      <c r="BG240" s="269"/>
      <c r="BH240" s="274" t="s">
        <v>443</v>
      </c>
      <c r="BI240" s="267"/>
      <c r="BJ240" s="267"/>
      <c r="BK240" s="267"/>
      <c r="BL240" s="267"/>
      <c r="BM240" s="267"/>
      <c r="BN240" s="267"/>
      <c r="BO240" s="268"/>
      <c r="BP240" s="268"/>
      <c r="BQ240" s="268"/>
      <c r="BR240" s="268"/>
      <c r="BS240" s="268"/>
      <c r="BT240" s="268"/>
      <c r="BU240" s="268"/>
      <c r="BV240" s="267"/>
      <c r="BW240" s="267"/>
      <c r="BX240" s="267"/>
      <c r="BY240" s="267"/>
      <c r="BZ240" s="267"/>
      <c r="CA240" s="267"/>
      <c r="CB240" s="267"/>
      <c r="CC240" s="267"/>
      <c r="CD240" s="267"/>
      <c r="CE240" s="267"/>
      <c r="CF240" s="267"/>
      <c r="CG240" s="267"/>
      <c r="CH240" s="267"/>
      <c r="CI240" s="267"/>
    </row>
    <row r="241" spans="1:87" ht="16.5" outlineLevel="1">
      <c r="A241" s="260" t="str">
        <f t="shared" si="52"/>
        <v>PROPERTY_ENERGY_CERTIFICATEPRIMARY_ENERGY_REQ_VALUE</v>
      </c>
      <c r="B241" s="141" t="s">
        <v>26</v>
      </c>
      <c r="C241" s="137" t="s">
        <v>54</v>
      </c>
      <c r="D241" s="222" t="s">
        <v>40</v>
      </c>
      <c r="E241" s="223" t="s">
        <v>123</v>
      </c>
      <c r="F241" s="223"/>
      <c r="G241" s="315" t="s">
        <v>164</v>
      </c>
      <c r="H241" s="222" t="str">
        <f>VLOOKUP(A241,'2. Status Detalhe Campos FY24'!$A$7:$G$731,7,0)</f>
        <v>1. Concluído</v>
      </c>
      <c r="I241" s="262" t="s">
        <v>38</v>
      </c>
      <c r="J241" s="271">
        <v>45638</v>
      </c>
      <c r="K241" s="271">
        <v>45639</v>
      </c>
      <c r="L241" s="276">
        <f t="array" ref="L241">MIN(IF(W241:CI241&gt;0,$W$16:$CI$16))</f>
        <v>45639</v>
      </c>
      <c r="M241" s="277">
        <f t="array" ref="M241">MAX(IF(W241:CI241&gt;0,$W$16:$CI$16))</f>
        <v>45639</v>
      </c>
      <c r="N241" s="277"/>
      <c r="O241" s="235">
        <f>VLOOKUP(H241,Auxiliar!$B$16:$E$24,4,0)</f>
        <v>1</v>
      </c>
      <c r="P241" s="301">
        <f t="shared" ca="1" si="56"/>
        <v>1</v>
      </c>
      <c r="Q241" s="234">
        <f t="shared" ca="1" si="53"/>
        <v>0</v>
      </c>
      <c r="R241" s="328"/>
      <c r="S241" s="278" t="s">
        <v>1855</v>
      </c>
      <c r="T241" s="256">
        <v>4.0999999999999996</v>
      </c>
      <c r="U241" s="256">
        <f t="shared" si="54"/>
        <v>0.5</v>
      </c>
      <c r="V241" s="256">
        <f t="shared" si="59"/>
        <v>-0.5</v>
      </c>
      <c r="W241" s="267"/>
      <c r="X241" s="267"/>
      <c r="Y241" s="267"/>
      <c r="Z241" s="274"/>
      <c r="AA241" s="267"/>
      <c r="AB241" s="267"/>
      <c r="AC241" s="267"/>
      <c r="AD241" s="268"/>
      <c r="AE241" s="274"/>
      <c r="AF241" s="267"/>
      <c r="AG241" s="267"/>
      <c r="AH241" s="267"/>
      <c r="AI241" s="275"/>
      <c r="AJ241" s="267"/>
      <c r="AK241" s="267"/>
      <c r="AL241" s="267"/>
      <c r="AM241" s="267"/>
      <c r="AN241" s="267"/>
      <c r="AO241" s="267"/>
      <c r="AP241" s="267"/>
      <c r="AQ241" s="275"/>
      <c r="AR241" s="267"/>
      <c r="AS241" s="267"/>
      <c r="AT241" s="267"/>
      <c r="AU241" s="267"/>
      <c r="AV241" s="267"/>
      <c r="AW241" s="267"/>
      <c r="AX241" s="267"/>
      <c r="AY241" s="267"/>
      <c r="AZ241" s="267"/>
      <c r="BA241" s="267"/>
      <c r="BB241" s="267"/>
      <c r="BC241" s="267"/>
      <c r="BD241" s="267"/>
      <c r="BE241" s="267"/>
      <c r="BF241" s="267"/>
      <c r="BG241" s="269"/>
      <c r="BH241" s="274" t="s">
        <v>443</v>
      </c>
      <c r="BI241" s="267"/>
      <c r="BJ241" s="267"/>
      <c r="BK241" s="267"/>
      <c r="BL241" s="267"/>
      <c r="BM241" s="267"/>
      <c r="BN241" s="267"/>
      <c r="BO241" s="268"/>
      <c r="BP241" s="268"/>
      <c r="BQ241" s="268"/>
      <c r="BR241" s="268"/>
      <c r="BS241" s="268"/>
      <c r="BT241" s="268"/>
      <c r="BU241" s="268"/>
      <c r="BV241" s="267"/>
      <c r="BW241" s="267"/>
      <c r="BX241" s="267"/>
      <c r="BY241" s="267"/>
      <c r="BZ241" s="267"/>
      <c r="CA241" s="267"/>
      <c r="CB241" s="267"/>
      <c r="CC241" s="267"/>
      <c r="CD241" s="267"/>
      <c r="CE241" s="267"/>
      <c r="CF241" s="267"/>
      <c r="CG241" s="267"/>
      <c r="CH241" s="267"/>
      <c r="CI241" s="267"/>
    </row>
    <row r="242" spans="1:87" ht="16.5" outlineLevel="1">
      <c r="A242" s="260" t="str">
        <f t="shared" si="52"/>
        <v>PROPERTY_ENERGY_CERTIFICATENET_FLOOR_AREA</v>
      </c>
      <c r="B242" s="141" t="s">
        <v>26</v>
      </c>
      <c r="C242" s="137" t="s">
        <v>54</v>
      </c>
      <c r="D242" s="222" t="s">
        <v>40</v>
      </c>
      <c r="E242" s="223" t="s">
        <v>123</v>
      </c>
      <c r="F242" s="223"/>
      <c r="G242" s="315" t="s">
        <v>97</v>
      </c>
      <c r="H242" s="222" t="str">
        <f>VLOOKUP(A242,'2. Status Detalhe Campos FY24'!$A$7:$G$731,7,0)</f>
        <v>1. Concluído</v>
      </c>
      <c r="I242" s="262" t="s">
        <v>38</v>
      </c>
      <c r="J242" s="271">
        <v>45638</v>
      </c>
      <c r="K242" s="271">
        <v>45639</v>
      </c>
      <c r="L242" s="276">
        <f t="array" ref="L242">MIN(IF(W242:CI242&gt;0,$W$16:$CI$16))</f>
        <v>45639</v>
      </c>
      <c r="M242" s="277">
        <f t="array" ref="M242">MAX(IF(W242:CI242&gt;0,$W$16:$CI$16))</f>
        <v>45639</v>
      </c>
      <c r="N242" s="277"/>
      <c r="O242" s="235">
        <f>VLOOKUP(H242,Auxiliar!$B$16:$E$24,4,0)</f>
        <v>1</v>
      </c>
      <c r="P242" s="301">
        <f t="shared" ca="1" si="56"/>
        <v>1</v>
      </c>
      <c r="Q242" s="234">
        <f t="shared" ca="1" si="53"/>
        <v>0</v>
      </c>
      <c r="R242" s="328"/>
      <c r="S242" s="278" t="s">
        <v>1855</v>
      </c>
      <c r="T242" s="256">
        <v>4.0999999999999996</v>
      </c>
      <c r="U242" s="256">
        <f t="shared" si="54"/>
        <v>0.5</v>
      </c>
      <c r="V242" s="256">
        <f t="shared" si="59"/>
        <v>-0.5</v>
      </c>
      <c r="W242" s="267"/>
      <c r="X242" s="267"/>
      <c r="Y242" s="267"/>
      <c r="Z242" s="274"/>
      <c r="AA242" s="267"/>
      <c r="AB242" s="267"/>
      <c r="AC242" s="267"/>
      <c r="AD242" s="268"/>
      <c r="AE242" s="274"/>
      <c r="AF242" s="267"/>
      <c r="AG242" s="267"/>
      <c r="AH242" s="267"/>
      <c r="AI242" s="275"/>
      <c r="AJ242" s="267"/>
      <c r="AK242" s="267"/>
      <c r="AL242" s="267"/>
      <c r="AM242" s="267"/>
      <c r="AN242" s="267"/>
      <c r="AO242" s="267"/>
      <c r="AP242" s="267"/>
      <c r="AQ242" s="275"/>
      <c r="AR242" s="267"/>
      <c r="AS242" s="267"/>
      <c r="AT242" s="267"/>
      <c r="AU242" s="267"/>
      <c r="AV242" s="267"/>
      <c r="AW242" s="267"/>
      <c r="AX242" s="267"/>
      <c r="AY242" s="267"/>
      <c r="AZ242" s="267"/>
      <c r="BA242" s="267"/>
      <c r="BB242" s="267"/>
      <c r="BC242" s="267"/>
      <c r="BD242" s="267"/>
      <c r="BE242" s="267"/>
      <c r="BF242" s="267"/>
      <c r="BG242" s="269"/>
      <c r="BH242" s="274" t="s">
        <v>443</v>
      </c>
      <c r="BI242" s="267"/>
      <c r="BJ242" s="267"/>
      <c r="BK242" s="267"/>
      <c r="BL242" s="267"/>
      <c r="BM242" s="267"/>
      <c r="BN242" s="267"/>
      <c r="BO242" s="268"/>
      <c r="BP242" s="268"/>
      <c r="BQ242" s="268"/>
      <c r="BR242" s="268"/>
      <c r="BS242" s="268"/>
      <c r="BT242" s="268"/>
      <c r="BU242" s="268"/>
      <c r="BV242" s="267"/>
      <c r="BW242" s="267"/>
      <c r="BX242" s="267"/>
      <c r="BY242" s="267"/>
      <c r="BZ242" s="267"/>
      <c r="CA242" s="267"/>
      <c r="CB242" s="267"/>
      <c r="CC242" s="267"/>
      <c r="CD242" s="267"/>
      <c r="CE242" s="267"/>
      <c r="CF242" s="267"/>
      <c r="CG242" s="267"/>
      <c r="CH242" s="267"/>
      <c r="CI242" s="267"/>
    </row>
    <row r="243" spans="1:87" ht="16.5" outlineLevel="1">
      <c r="A243" s="260" t="str">
        <f t="shared" si="52"/>
        <v>PROPERTY_ENERGY_CERTIFICATECADASTRAL_REGISTER_CODE</v>
      </c>
      <c r="B243" s="141" t="s">
        <v>26</v>
      </c>
      <c r="C243" s="137" t="s">
        <v>54</v>
      </c>
      <c r="D243" s="222" t="s">
        <v>40</v>
      </c>
      <c r="E243" s="223" t="s">
        <v>123</v>
      </c>
      <c r="F243" s="223"/>
      <c r="G243" s="315" t="s">
        <v>98</v>
      </c>
      <c r="H243" s="222" t="str">
        <f>VLOOKUP(A243,'2. Status Detalhe Campos FY24'!$A$7:$G$731,7,0)</f>
        <v>1. Concluído</v>
      </c>
      <c r="I243" s="262" t="s">
        <v>38</v>
      </c>
      <c r="J243" s="271">
        <v>45638</v>
      </c>
      <c r="K243" s="271">
        <v>45639</v>
      </c>
      <c r="L243" s="276">
        <f t="array" ref="L243">MIN(IF(W243:CI243&gt;0,$W$16:$CI$16))</f>
        <v>45639</v>
      </c>
      <c r="M243" s="277">
        <f t="array" ref="M243">MAX(IF(W243:CI243&gt;0,$W$16:$CI$16))</f>
        <v>45639</v>
      </c>
      <c r="N243" s="277"/>
      <c r="O243" s="235">
        <f>VLOOKUP(H243,Auxiliar!$B$16:$E$24,4,0)</f>
        <v>1</v>
      </c>
      <c r="P243" s="301">
        <f t="shared" ca="1" si="56"/>
        <v>1</v>
      </c>
      <c r="Q243" s="234">
        <f t="shared" ca="1" si="53"/>
        <v>0</v>
      </c>
      <c r="R243" s="328"/>
      <c r="S243" s="278" t="s">
        <v>1855</v>
      </c>
      <c r="T243" s="256">
        <v>4.0999999999999996</v>
      </c>
      <c r="U243" s="256">
        <f t="shared" si="54"/>
        <v>0.5</v>
      </c>
      <c r="V243" s="256">
        <f t="shared" si="59"/>
        <v>-0.5</v>
      </c>
      <c r="W243" s="267"/>
      <c r="X243" s="267"/>
      <c r="Y243" s="267"/>
      <c r="Z243" s="274"/>
      <c r="AA243" s="267"/>
      <c r="AB243" s="267"/>
      <c r="AC243" s="267"/>
      <c r="AD243" s="268"/>
      <c r="AE243" s="274"/>
      <c r="AF243" s="267"/>
      <c r="AG243" s="267"/>
      <c r="AH243" s="267"/>
      <c r="AI243" s="275"/>
      <c r="AJ243" s="267"/>
      <c r="AK243" s="267"/>
      <c r="AL243" s="267"/>
      <c r="AM243" s="267"/>
      <c r="AN243" s="267"/>
      <c r="AO243" s="267"/>
      <c r="AP243" s="267"/>
      <c r="AQ243" s="275"/>
      <c r="AR243" s="267"/>
      <c r="AS243" s="267"/>
      <c r="AT243" s="267"/>
      <c r="AU243" s="267"/>
      <c r="AV243" s="267"/>
      <c r="AW243" s="267"/>
      <c r="AX243" s="267"/>
      <c r="AY243" s="267"/>
      <c r="AZ243" s="267"/>
      <c r="BA243" s="267"/>
      <c r="BB243" s="267"/>
      <c r="BC243" s="267"/>
      <c r="BD243" s="267"/>
      <c r="BE243" s="267"/>
      <c r="BF243" s="267"/>
      <c r="BG243" s="269"/>
      <c r="BH243" s="274" t="s">
        <v>443</v>
      </c>
      <c r="BI243" s="267"/>
      <c r="BJ243" s="267"/>
      <c r="BK243" s="267"/>
      <c r="BL243" s="267"/>
      <c r="BM243" s="267"/>
      <c r="BN243" s="267"/>
      <c r="BO243" s="268"/>
      <c r="BP243" s="268"/>
      <c r="BQ243" s="268"/>
      <c r="BR243" s="268"/>
      <c r="BS243" s="268"/>
      <c r="BT243" s="268"/>
      <c r="BU243" s="268"/>
      <c r="BV243" s="267"/>
      <c r="BW243" s="267"/>
      <c r="BX243" s="267"/>
      <c r="BY243" s="267"/>
      <c r="BZ243" s="267"/>
      <c r="CA243" s="267"/>
      <c r="CB243" s="267"/>
      <c r="CC243" s="267"/>
      <c r="CD243" s="267"/>
      <c r="CE243" s="267"/>
      <c r="CF243" s="267"/>
      <c r="CG243" s="267"/>
      <c r="CH243" s="267"/>
      <c r="CI243" s="267"/>
    </row>
    <row r="244" spans="1:87" ht="16.5" outlineLevel="1">
      <c r="A244" s="260" t="str">
        <f t="shared" si="52"/>
        <v>PROPERTY_ENERGY_CERTIFICATEDISTRICT_MUNICIP_PARISH_CODE</v>
      </c>
      <c r="B244" s="141" t="s">
        <v>26</v>
      </c>
      <c r="C244" s="137" t="s">
        <v>54</v>
      </c>
      <c r="D244" s="222" t="s">
        <v>40</v>
      </c>
      <c r="E244" s="223" t="s">
        <v>123</v>
      </c>
      <c r="F244" s="223"/>
      <c r="G244" s="315" t="s">
        <v>101</v>
      </c>
      <c r="H244" s="222" t="str">
        <f>VLOOKUP(A244,'2. Status Detalhe Campos FY24'!$A$7:$G$731,7,0)</f>
        <v>1. Concluído</v>
      </c>
      <c r="I244" s="262" t="s">
        <v>38</v>
      </c>
      <c r="J244" s="271">
        <v>45638</v>
      </c>
      <c r="K244" s="271">
        <v>45639</v>
      </c>
      <c r="L244" s="276">
        <f t="array" ref="L244">MIN(IF(W244:CI244&gt;0,$W$16:$CI$16))</f>
        <v>45639</v>
      </c>
      <c r="M244" s="277">
        <f t="array" ref="M244">MAX(IF(W244:CI244&gt;0,$W$16:$CI$16))</f>
        <v>45639</v>
      </c>
      <c r="N244" s="277"/>
      <c r="O244" s="235">
        <f>VLOOKUP(H244,Auxiliar!$B$16:$E$24,4,0)</f>
        <v>1</v>
      </c>
      <c r="P244" s="301">
        <f t="shared" ca="1" si="56"/>
        <v>1</v>
      </c>
      <c r="Q244" s="234">
        <f t="shared" ca="1" si="53"/>
        <v>0</v>
      </c>
      <c r="R244" s="328"/>
      <c r="S244" s="278" t="s">
        <v>1855</v>
      </c>
      <c r="T244" s="256">
        <v>4.0999999999999996</v>
      </c>
      <c r="U244" s="256">
        <f t="shared" si="54"/>
        <v>0.5</v>
      </c>
      <c r="V244" s="256">
        <f t="shared" si="59"/>
        <v>-0.5</v>
      </c>
      <c r="W244" s="267"/>
      <c r="X244" s="267"/>
      <c r="Y244" s="267"/>
      <c r="Z244" s="274"/>
      <c r="AA244" s="267"/>
      <c r="AB244" s="267"/>
      <c r="AC244" s="267"/>
      <c r="AD244" s="268"/>
      <c r="AE244" s="274"/>
      <c r="AF244" s="267"/>
      <c r="AG244" s="267"/>
      <c r="AH244" s="267"/>
      <c r="AI244" s="275"/>
      <c r="AJ244" s="267"/>
      <c r="AK244" s="267"/>
      <c r="AL244" s="267"/>
      <c r="AM244" s="267"/>
      <c r="AN244" s="267"/>
      <c r="AO244" s="267"/>
      <c r="AP244" s="267"/>
      <c r="AQ244" s="275"/>
      <c r="AR244" s="267"/>
      <c r="AS244" s="267"/>
      <c r="AT244" s="267"/>
      <c r="AU244" s="267"/>
      <c r="AV244" s="267"/>
      <c r="AW244" s="267"/>
      <c r="AX244" s="267"/>
      <c r="AY244" s="267"/>
      <c r="AZ244" s="267"/>
      <c r="BA244" s="267"/>
      <c r="BB244" s="267"/>
      <c r="BC244" s="267"/>
      <c r="BD244" s="267"/>
      <c r="BE244" s="267"/>
      <c r="BF244" s="267"/>
      <c r="BG244" s="269"/>
      <c r="BH244" s="274" t="s">
        <v>443</v>
      </c>
      <c r="BI244" s="267"/>
      <c r="BJ244" s="267"/>
      <c r="BK244" s="267"/>
      <c r="BL244" s="267"/>
      <c r="BM244" s="267"/>
      <c r="BN244" s="267"/>
      <c r="BO244" s="268"/>
      <c r="BP244" s="268"/>
      <c r="BQ244" s="268"/>
      <c r="BR244" s="268"/>
      <c r="BS244" s="268"/>
      <c r="BT244" s="268"/>
      <c r="BU244" s="268"/>
      <c r="BV244" s="267"/>
      <c r="BW244" s="267"/>
      <c r="BX244" s="267"/>
      <c r="BY244" s="267"/>
      <c r="BZ244" s="267"/>
      <c r="CA244" s="267"/>
      <c r="CB244" s="267"/>
      <c r="CC244" s="267"/>
      <c r="CD244" s="267"/>
      <c r="CE244" s="267"/>
      <c r="CF244" s="267"/>
      <c r="CG244" s="267"/>
      <c r="CH244" s="267"/>
      <c r="CI244" s="267"/>
    </row>
    <row r="245" spans="1:87" ht="16.5" outlineLevel="1">
      <c r="A245" s="260" t="str">
        <f t="shared" si="52"/>
        <v>PROPERTY_ENERGY_CERTIFICATEPROPERTY_PURPOSE_CODE</v>
      </c>
      <c r="B245" s="141" t="s">
        <v>26</v>
      </c>
      <c r="C245" s="137" t="s">
        <v>54</v>
      </c>
      <c r="D245" s="222" t="s">
        <v>40</v>
      </c>
      <c r="E245" s="223" t="s">
        <v>123</v>
      </c>
      <c r="F245" s="223"/>
      <c r="G245" s="315" t="s">
        <v>102</v>
      </c>
      <c r="H245" s="222" t="str">
        <f>VLOOKUP(A245,'2. Status Detalhe Campos FY24'!$A$7:$G$731,7,0)</f>
        <v>1. Concluído</v>
      </c>
      <c r="I245" s="262" t="s">
        <v>38</v>
      </c>
      <c r="J245" s="271">
        <v>45638</v>
      </c>
      <c r="K245" s="271">
        <v>45639</v>
      </c>
      <c r="L245" s="276">
        <f t="array" ref="L245">MIN(IF(W245:CI245&gt;0,$W$16:$CI$16))</f>
        <v>45639</v>
      </c>
      <c r="M245" s="277">
        <f t="array" ref="M245">MAX(IF(W245:CI245&gt;0,$W$16:$CI$16))</f>
        <v>45639</v>
      </c>
      <c r="N245" s="277"/>
      <c r="O245" s="235">
        <f>VLOOKUP(H245,Auxiliar!$B$16:$E$24,4,0)</f>
        <v>1</v>
      </c>
      <c r="P245" s="301">
        <f t="shared" ca="1" si="56"/>
        <v>1</v>
      </c>
      <c r="Q245" s="234">
        <f t="shared" ca="1" si="53"/>
        <v>0</v>
      </c>
      <c r="R245" s="328"/>
      <c r="S245" s="278" t="s">
        <v>1855</v>
      </c>
      <c r="T245" s="256">
        <v>4.0999999999999996</v>
      </c>
      <c r="U245" s="256">
        <f t="shared" si="54"/>
        <v>0.5</v>
      </c>
      <c r="V245" s="256">
        <f t="shared" si="59"/>
        <v>-0.5</v>
      </c>
      <c r="W245" s="267"/>
      <c r="X245" s="267"/>
      <c r="Y245" s="267"/>
      <c r="Z245" s="274"/>
      <c r="AA245" s="267"/>
      <c r="AB245" s="267"/>
      <c r="AC245" s="267"/>
      <c r="AD245" s="268"/>
      <c r="AE245" s="274"/>
      <c r="AF245" s="267"/>
      <c r="AG245" s="267"/>
      <c r="AH245" s="267"/>
      <c r="AI245" s="275"/>
      <c r="AJ245" s="267"/>
      <c r="AK245" s="267"/>
      <c r="AL245" s="267"/>
      <c r="AM245" s="267"/>
      <c r="AN245" s="267"/>
      <c r="AO245" s="267"/>
      <c r="AP245" s="267"/>
      <c r="AQ245" s="275"/>
      <c r="AR245" s="267"/>
      <c r="AS245" s="267"/>
      <c r="AT245" s="267"/>
      <c r="AU245" s="267"/>
      <c r="AV245" s="267"/>
      <c r="AW245" s="267"/>
      <c r="AX245" s="267"/>
      <c r="AY245" s="267"/>
      <c r="AZ245" s="267"/>
      <c r="BA245" s="267"/>
      <c r="BB245" s="267"/>
      <c r="BC245" s="267"/>
      <c r="BD245" s="267"/>
      <c r="BE245" s="267"/>
      <c r="BF245" s="267"/>
      <c r="BG245" s="269"/>
      <c r="BH245" s="274" t="s">
        <v>443</v>
      </c>
      <c r="BI245" s="267"/>
      <c r="BJ245" s="267"/>
      <c r="BK245" s="267"/>
      <c r="BL245" s="267"/>
      <c r="BM245" s="267"/>
      <c r="BN245" s="267"/>
      <c r="BO245" s="268"/>
      <c r="BP245" s="268"/>
      <c r="BQ245" s="268"/>
      <c r="BR245" s="268"/>
      <c r="BS245" s="268"/>
      <c r="BT245" s="268"/>
      <c r="BU245" s="268"/>
      <c r="BV245" s="267"/>
      <c r="BW245" s="267"/>
      <c r="BX245" s="267"/>
      <c r="BY245" s="267"/>
      <c r="BZ245" s="267"/>
      <c r="CA245" s="267"/>
      <c r="CB245" s="267"/>
      <c r="CC245" s="267"/>
      <c r="CD245" s="267"/>
      <c r="CE245" s="267"/>
      <c r="CF245" s="267"/>
      <c r="CG245" s="267"/>
      <c r="CH245" s="267"/>
      <c r="CI245" s="267"/>
    </row>
    <row r="246" spans="1:87" ht="16.5" outlineLevel="1">
      <c r="A246" s="260" t="str">
        <f t="shared" si="52"/>
        <v>PROPERTY_ENERGY_CERTIFICATEADDRESS_CODE</v>
      </c>
      <c r="B246" s="141" t="s">
        <v>26</v>
      </c>
      <c r="C246" s="137" t="s">
        <v>54</v>
      </c>
      <c r="D246" s="222" t="s">
        <v>40</v>
      </c>
      <c r="E246" s="223" t="s">
        <v>123</v>
      </c>
      <c r="F246" s="223"/>
      <c r="G246" s="315" t="s">
        <v>104</v>
      </c>
      <c r="H246" s="222" t="str">
        <f>VLOOKUP(A246,'2. Status Detalhe Campos FY24'!$A$7:$G$731,7,0)</f>
        <v>1. Concluído</v>
      </c>
      <c r="I246" s="262" t="s">
        <v>38</v>
      </c>
      <c r="J246" s="271">
        <v>45638</v>
      </c>
      <c r="K246" s="271">
        <v>45639</v>
      </c>
      <c r="L246" s="276">
        <f t="array" ref="L246">MIN(IF(W246:CI246&gt;0,$W$16:$CI$16))</f>
        <v>45639</v>
      </c>
      <c r="M246" s="277">
        <f t="array" ref="M246">MAX(IF(W246:CI246&gt;0,$W$16:$CI$16))</f>
        <v>45639</v>
      </c>
      <c r="N246" s="277"/>
      <c r="O246" s="235">
        <f>VLOOKUP(H246,Auxiliar!$B$16:$E$24,4,0)</f>
        <v>1</v>
      </c>
      <c r="P246" s="301">
        <f t="shared" ca="1" si="56"/>
        <v>1</v>
      </c>
      <c r="Q246" s="234">
        <f t="shared" ca="1" si="53"/>
        <v>0</v>
      </c>
      <c r="R246" s="328"/>
      <c r="S246" s="278" t="s">
        <v>1855</v>
      </c>
      <c r="T246" s="256">
        <v>4.0999999999999996</v>
      </c>
      <c r="U246" s="256">
        <f t="shared" si="54"/>
        <v>0.5</v>
      </c>
      <c r="V246" s="256">
        <f t="shared" si="59"/>
        <v>-0.5</v>
      </c>
      <c r="W246" s="267"/>
      <c r="X246" s="267"/>
      <c r="Y246" s="267"/>
      <c r="Z246" s="274"/>
      <c r="AA246" s="267"/>
      <c r="AB246" s="267"/>
      <c r="AC246" s="267"/>
      <c r="AD246" s="268"/>
      <c r="AE246" s="274"/>
      <c r="AF246" s="267"/>
      <c r="AG246" s="267"/>
      <c r="AH246" s="267"/>
      <c r="AI246" s="275"/>
      <c r="AJ246" s="267"/>
      <c r="AK246" s="267"/>
      <c r="AL246" s="267"/>
      <c r="AM246" s="267"/>
      <c r="AN246" s="267"/>
      <c r="AO246" s="267"/>
      <c r="AP246" s="267"/>
      <c r="AQ246" s="275"/>
      <c r="AR246" s="267"/>
      <c r="AS246" s="267"/>
      <c r="AT246" s="267"/>
      <c r="AU246" s="267"/>
      <c r="AV246" s="267"/>
      <c r="AW246" s="267"/>
      <c r="AX246" s="267"/>
      <c r="AY246" s="267"/>
      <c r="AZ246" s="267"/>
      <c r="BA246" s="267"/>
      <c r="BB246" s="267"/>
      <c r="BC246" s="267"/>
      <c r="BD246" s="267"/>
      <c r="BE246" s="267"/>
      <c r="BF246" s="267"/>
      <c r="BG246" s="269"/>
      <c r="BH246" s="274" t="s">
        <v>443</v>
      </c>
      <c r="BI246" s="267"/>
      <c r="BJ246" s="267"/>
      <c r="BK246" s="267"/>
      <c r="BL246" s="267"/>
      <c r="BM246" s="267"/>
      <c r="BN246" s="267"/>
      <c r="BO246" s="268"/>
      <c r="BP246" s="268"/>
      <c r="BQ246" s="268"/>
      <c r="BR246" s="268"/>
      <c r="BS246" s="268"/>
      <c r="BT246" s="268"/>
      <c r="BU246" s="268"/>
      <c r="BV246" s="267"/>
      <c r="BW246" s="267"/>
      <c r="BX246" s="267"/>
      <c r="BY246" s="267"/>
      <c r="BZ246" s="267"/>
      <c r="CA246" s="267"/>
      <c r="CB246" s="267"/>
      <c r="CC246" s="267"/>
      <c r="CD246" s="267"/>
      <c r="CE246" s="267"/>
      <c r="CF246" s="267"/>
      <c r="CG246" s="267"/>
      <c r="CH246" s="267"/>
      <c r="CI246" s="267"/>
    </row>
    <row r="247" spans="1:87" ht="16.5" outlineLevel="1">
      <c r="A247" s="260" t="str">
        <f t="shared" si="52"/>
        <v>PROPERTY_ENERGY_CERTIFICATEFLOOR_NUMBER</v>
      </c>
      <c r="B247" s="141" t="s">
        <v>26</v>
      </c>
      <c r="C247" s="137" t="s">
        <v>54</v>
      </c>
      <c r="D247" s="222" t="s">
        <v>40</v>
      </c>
      <c r="E247" s="223" t="s">
        <v>123</v>
      </c>
      <c r="F247" s="223"/>
      <c r="G247" s="315" t="s">
        <v>111</v>
      </c>
      <c r="H247" s="222" t="str">
        <f>VLOOKUP(A247,'2. Status Detalhe Campos FY24'!$A$7:$G$731,7,0)</f>
        <v>1. Concluído</v>
      </c>
      <c r="I247" s="262" t="s">
        <v>38</v>
      </c>
      <c r="J247" s="271">
        <v>45638</v>
      </c>
      <c r="K247" s="271">
        <v>45639</v>
      </c>
      <c r="L247" s="276">
        <f t="array" ref="L247">MIN(IF(W247:CI247&gt;0,$W$16:$CI$16))</f>
        <v>45639</v>
      </c>
      <c r="M247" s="277">
        <f t="array" ref="M247">MAX(IF(W247:CI247&gt;0,$W$16:$CI$16))</f>
        <v>45639</v>
      </c>
      <c r="N247" s="277"/>
      <c r="O247" s="235">
        <f>VLOOKUP(H247,Auxiliar!$B$16:$E$24,4,0)</f>
        <v>1</v>
      </c>
      <c r="P247" s="301">
        <f t="shared" ca="1" si="56"/>
        <v>1</v>
      </c>
      <c r="Q247" s="234">
        <f t="shared" ca="1" si="53"/>
        <v>0</v>
      </c>
      <c r="R247" s="328"/>
      <c r="S247" s="278" t="s">
        <v>1855</v>
      </c>
      <c r="T247" s="256">
        <v>4.0999999999999996</v>
      </c>
      <c r="U247" s="256">
        <f t="shared" si="54"/>
        <v>0.5</v>
      </c>
      <c r="V247" s="256">
        <f t="shared" si="59"/>
        <v>-0.5</v>
      </c>
      <c r="W247" s="267"/>
      <c r="X247" s="267"/>
      <c r="Y247" s="267"/>
      <c r="Z247" s="274"/>
      <c r="AA247" s="267"/>
      <c r="AB247" s="267"/>
      <c r="AC247" s="267"/>
      <c r="AD247" s="268"/>
      <c r="AE247" s="274"/>
      <c r="AF247" s="267"/>
      <c r="AG247" s="267"/>
      <c r="AH247" s="267"/>
      <c r="AI247" s="275"/>
      <c r="AJ247" s="267"/>
      <c r="AK247" s="267"/>
      <c r="AL247" s="267"/>
      <c r="AM247" s="267"/>
      <c r="AN247" s="267"/>
      <c r="AO247" s="267"/>
      <c r="AP247" s="267"/>
      <c r="AQ247" s="275"/>
      <c r="AR247" s="267"/>
      <c r="AS247" s="267"/>
      <c r="AT247" s="267"/>
      <c r="AU247" s="267"/>
      <c r="AV247" s="267"/>
      <c r="AW247" s="267"/>
      <c r="AX247" s="267"/>
      <c r="AY247" s="267"/>
      <c r="AZ247" s="267"/>
      <c r="BA247" s="267"/>
      <c r="BB247" s="267"/>
      <c r="BC247" s="267"/>
      <c r="BD247" s="267"/>
      <c r="BE247" s="267"/>
      <c r="BF247" s="267"/>
      <c r="BG247" s="269"/>
      <c r="BH247" s="274" t="s">
        <v>443</v>
      </c>
      <c r="BI247" s="267"/>
      <c r="BJ247" s="267"/>
      <c r="BK247" s="267"/>
      <c r="BL247" s="267"/>
      <c r="BM247" s="267"/>
      <c r="BN247" s="267"/>
      <c r="BO247" s="268"/>
      <c r="BP247" s="268"/>
      <c r="BQ247" s="268"/>
      <c r="BR247" s="268"/>
      <c r="BS247" s="268"/>
      <c r="BT247" s="268"/>
      <c r="BU247" s="268"/>
      <c r="BV247" s="267"/>
      <c r="BW247" s="267"/>
      <c r="BX247" s="267"/>
      <c r="BY247" s="267"/>
      <c r="BZ247" s="267"/>
      <c r="CA247" s="267"/>
      <c r="CB247" s="267"/>
      <c r="CC247" s="267"/>
      <c r="CD247" s="267"/>
      <c r="CE247" s="267"/>
      <c r="CF247" s="267"/>
      <c r="CG247" s="267"/>
      <c r="CH247" s="267"/>
      <c r="CI247" s="267"/>
    </row>
    <row r="248" spans="1:87" ht="16.5" outlineLevel="1">
      <c r="A248" s="260" t="str">
        <f>E248&amp;G248</f>
        <v>PROPERTY_ENERGY_CERTIFICATELOCALITY</v>
      </c>
      <c r="B248" s="141" t="s">
        <v>26</v>
      </c>
      <c r="C248" s="137" t="s">
        <v>54</v>
      </c>
      <c r="D248" s="222" t="s">
        <v>40</v>
      </c>
      <c r="E248" s="223" t="s">
        <v>123</v>
      </c>
      <c r="F248" s="223"/>
      <c r="G248" s="315" t="s">
        <v>112</v>
      </c>
      <c r="H248" s="222" t="str">
        <f>VLOOKUP(A248,'2. Status Detalhe Campos FY24'!$A$7:$G$731,7,0)</f>
        <v>1. Concluído</v>
      </c>
      <c r="I248" s="262" t="s">
        <v>38</v>
      </c>
      <c r="J248" s="271">
        <v>45638</v>
      </c>
      <c r="K248" s="271">
        <v>45639</v>
      </c>
      <c r="L248" s="276">
        <f t="array" ref="L248">MIN(IF(W248:CI248&gt;0,$W$16:$CI$16))</f>
        <v>45639</v>
      </c>
      <c r="M248" s="277">
        <f t="array" ref="M248">MAX(IF(W248:CI248&gt;0,$W$16:$CI$16))</f>
        <v>45639</v>
      </c>
      <c r="N248" s="277"/>
      <c r="O248" s="235">
        <f>VLOOKUP(H248,Auxiliar!$B$16:$E$24,4,0)</f>
        <v>1</v>
      </c>
      <c r="P248" s="301">
        <f ca="1">IF(TODAY()&lt;=L248,0,MIN((TODAY()-L248)/(M248-L248+1),100%))</f>
        <v>1</v>
      </c>
      <c r="Q248" s="234">
        <f t="shared" ref="Q248:Q256" ca="1" si="60">O248-P248</f>
        <v>0</v>
      </c>
      <c r="R248" s="328"/>
      <c r="S248" s="278" t="s">
        <v>1855</v>
      </c>
      <c r="T248" s="256">
        <v>4.0999999999999996</v>
      </c>
      <c r="U248" s="256">
        <f>ROUND(T248/8,1)</f>
        <v>0.5</v>
      </c>
      <c r="V248" s="256">
        <f>SUM(W248:CI248)-U248</f>
        <v>-0.5</v>
      </c>
      <c r="W248" s="267"/>
      <c r="X248" s="267"/>
      <c r="Y248" s="267"/>
      <c r="Z248" s="274"/>
      <c r="AA248" s="267"/>
      <c r="AB248" s="267"/>
      <c r="AC248" s="267"/>
      <c r="AD248" s="268"/>
      <c r="AE248" s="274"/>
      <c r="AF248" s="267"/>
      <c r="AG248" s="267"/>
      <c r="AH248" s="267"/>
      <c r="AI248" s="275"/>
      <c r="AJ248" s="267"/>
      <c r="AK248" s="267"/>
      <c r="AL248" s="267"/>
      <c r="AM248" s="267"/>
      <c r="AN248" s="267"/>
      <c r="AO248" s="267"/>
      <c r="AP248" s="267"/>
      <c r="AQ248" s="275"/>
      <c r="AR248" s="267"/>
      <c r="AS248" s="267"/>
      <c r="AT248" s="267"/>
      <c r="AU248" s="267"/>
      <c r="AV248" s="267"/>
      <c r="AW248" s="267"/>
      <c r="AX248" s="267"/>
      <c r="AY248" s="267"/>
      <c r="AZ248" s="267"/>
      <c r="BA248" s="267"/>
      <c r="BB248" s="267"/>
      <c r="BC248" s="267"/>
      <c r="BD248" s="267"/>
      <c r="BE248" s="267"/>
      <c r="BF248" s="267"/>
      <c r="BG248" s="269"/>
      <c r="BH248" s="274" t="s">
        <v>443</v>
      </c>
      <c r="BI248" s="267"/>
      <c r="BJ248" s="267"/>
      <c r="BK248" s="267"/>
      <c r="BL248" s="267"/>
      <c r="BM248" s="267"/>
      <c r="BN248" s="267"/>
      <c r="BO248" s="268"/>
      <c r="BP248" s="268"/>
      <c r="BQ248" s="268"/>
      <c r="BR248" s="268"/>
      <c r="BS248" s="268"/>
      <c r="BT248" s="268"/>
      <c r="BU248" s="268"/>
      <c r="BV248" s="267"/>
      <c r="BW248" s="267"/>
      <c r="BX248" s="267"/>
      <c r="BY248" s="267"/>
      <c r="BZ248" s="267"/>
      <c r="CA248" s="267"/>
      <c r="CB248" s="267"/>
      <c r="CC248" s="267"/>
      <c r="CD248" s="267"/>
      <c r="CE248" s="267"/>
      <c r="CF248" s="267"/>
      <c r="CG248" s="267"/>
      <c r="CH248" s="267"/>
      <c r="CI248" s="267"/>
    </row>
    <row r="249" spans="1:87" ht="15" customHeight="1" collapsed="1">
      <c r="A249" s="260"/>
      <c r="B249" s="141" t="s">
        <v>26</v>
      </c>
      <c r="C249" s="137" t="s">
        <v>54</v>
      </c>
      <c r="D249" s="133"/>
      <c r="E249" s="226" t="s">
        <v>123</v>
      </c>
      <c r="F249" s="226" t="s">
        <v>1907</v>
      </c>
      <c r="G249" s="314">
        <f>COUNTA(G250:G254)</f>
        <v>5</v>
      </c>
      <c r="H249" s="340" t="s">
        <v>572</v>
      </c>
      <c r="I249" s="262" t="s">
        <v>38</v>
      </c>
      <c r="J249" s="263">
        <f>MIN(J250:J268)</f>
        <v>45631</v>
      </c>
      <c r="K249" s="263">
        <f>MIN(K250:K268)</f>
        <v>45639</v>
      </c>
      <c r="L249" s="265" t="e">
        <f>MIN(L250:L268)</f>
        <v>#N/A</v>
      </c>
      <c r="M249" s="265" t="e">
        <f>MAX(M250:M268)</f>
        <v>#N/A</v>
      </c>
      <c r="N249" s="308" t="s">
        <v>1862</v>
      </c>
      <c r="O249" s="300">
        <f>SUMPRODUCT(O250:O268,U250:U268)/SUM(U250:U268)</f>
        <v>0.25316455696202528</v>
      </c>
      <c r="P249" s="300">
        <f ca="1">SUMPRODUCT(P250:P268,U250:U268)/SUM(U250:U268)</f>
        <v>0.25316455696202528</v>
      </c>
      <c r="Q249" s="234">
        <f t="shared" ca="1" si="60"/>
        <v>0</v>
      </c>
      <c r="R249" s="325" t="s">
        <v>1966</v>
      </c>
      <c r="S249" s="266"/>
      <c r="T249" s="256"/>
      <c r="U249" s="256"/>
      <c r="V249" s="256"/>
      <c r="W249" s="267"/>
      <c r="X249" s="267"/>
      <c r="Y249" s="267"/>
      <c r="Z249" s="274"/>
      <c r="AA249" s="267"/>
      <c r="AB249" s="267"/>
      <c r="AC249" s="267"/>
      <c r="AD249" s="268"/>
      <c r="AE249" s="274"/>
      <c r="AF249" s="267"/>
      <c r="AG249" s="267"/>
      <c r="AH249" s="267"/>
      <c r="AI249" s="275"/>
      <c r="AJ249" s="267"/>
      <c r="AK249" s="267"/>
      <c r="AL249" s="267"/>
      <c r="AM249" s="267"/>
      <c r="AN249" s="267"/>
      <c r="AO249" s="267"/>
      <c r="AP249" s="267"/>
      <c r="AQ249" s="275"/>
      <c r="AR249" s="267"/>
      <c r="AS249" s="267"/>
      <c r="AT249" s="267"/>
      <c r="AU249" s="267"/>
      <c r="AV249" s="267"/>
      <c r="AW249" s="267"/>
      <c r="AX249" s="267"/>
      <c r="AY249" s="267"/>
      <c r="AZ249" s="267"/>
      <c r="BA249" s="267"/>
      <c r="BB249" s="267"/>
      <c r="BC249" s="267"/>
      <c r="BD249" s="267"/>
      <c r="BE249" s="267"/>
      <c r="BF249" s="267"/>
      <c r="BG249" s="269"/>
      <c r="BH249" s="274" t="s">
        <v>443</v>
      </c>
      <c r="BI249" s="267"/>
      <c r="BJ249" s="267"/>
      <c r="BK249" s="267"/>
      <c r="BL249" s="267"/>
      <c r="BM249" s="267"/>
      <c r="BN249" s="267"/>
      <c r="BO249" s="268"/>
      <c r="BP249" s="268"/>
      <c r="BQ249" s="268"/>
      <c r="BR249" s="268"/>
      <c r="BS249" s="268"/>
      <c r="BT249" s="268"/>
      <c r="BU249" s="268"/>
      <c r="BV249" s="267"/>
      <c r="BW249" s="267"/>
      <c r="BX249" s="267"/>
      <c r="BY249" s="267"/>
      <c r="BZ249" s="267"/>
      <c r="CA249" s="267"/>
      <c r="CB249" s="267"/>
      <c r="CC249" s="267"/>
      <c r="CD249" s="267"/>
      <c r="CE249" s="267"/>
      <c r="CF249" s="267"/>
      <c r="CG249" s="267"/>
      <c r="CH249" s="267"/>
      <c r="CI249" s="267"/>
    </row>
    <row r="250" spans="1:87" ht="16.5" outlineLevel="1">
      <c r="A250" s="260" t="str">
        <f>E250&amp;G250</f>
        <v>PROPERTY_ENERGY_CERTIFICATEEPC</v>
      </c>
      <c r="B250" s="141" t="s">
        <v>26</v>
      </c>
      <c r="C250" s="137" t="s">
        <v>54</v>
      </c>
      <c r="D250" s="222" t="s">
        <v>40</v>
      </c>
      <c r="E250" s="223" t="s">
        <v>123</v>
      </c>
      <c r="F250" s="223"/>
      <c r="G250" s="315" t="s">
        <v>47</v>
      </c>
      <c r="H250" s="222" t="str">
        <f>VLOOKUP(A250,'2. Status Detalhe Campos FY24'!$A$7:$G$731,7,0)</f>
        <v>1. Concluído</v>
      </c>
      <c r="I250" s="262" t="s">
        <v>38</v>
      </c>
      <c r="J250" s="271">
        <v>45638</v>
      </c>
      <c r="K250" s="271">
        <v>45639</v>
      </c>
      <c r="L250" s="276">
        <f t="array" ref="L250">MIN(IF(W250:CI250&gt;0,$W$16:$CI$16))</f>
        <v>45639</v>
      </c>
      <c r="M250" s="277">
        <f t="array" ref="M250">MAX(IF(W250:CI250&gt;0,$W$16:$CI$16))</f>
        <v>45639</v>
      </c>
      <c r="N250" s="277"/>
      <c r="O250" s="235">
        <f>VLOOKUP(H250,Auxiliar!$B$16:$E$24,4,0)</f>
        <v>1</v>
      </c>
      <c r="P250" s="301">
        <f ca="1">IF(TODAY()&lt;=L250,0,MIN((TODAY()-L250)/(M250-L250+1),100%))</f>
        <v>1</v>
      </c>
      <c r="Q250" s="234">
        <f t="shared" ca="1" si="60"/>
        <v>0</v>
      </c>
      <c r="R250" s="328"/>
      <c r="S250" s="278" t="s">
        <v>1855</v>
      </c>
      <c r="T250" s="256">
        <v>4.0999999999999996</v>
      </c>
      <c r="U250" s="256">
        <f>ROUND(T250/8,1)</f>
        <v>0.5</v>
      </c>
      <c r="V250" s="256">
        <f>SUM(W250:CI250)-U250</f>
        <v>-0.5</v>
      </c>
      <c r="W250" s="267"/>
      <c r="X250" s="267"/>
      <c r="Y250" s="267"/>
      <c r="Z250" s="274"/>
      <c r="AA250" s="267"/>
      <c r="AB250" s="267"/>
      <c r="AC250" s="267"/>
      <c r="AD250" s="268"/>
      <c r="AE250" s="274"/>
      <c r="AF250" s="267"/>
      <c r="AG250" s="267"/>
      <c r="AH250" s="267"/>
      <c r="AI250" s="275"/>
      <c r="AJ250" s="267"/>
      <c r="AK250" s="267"/>
      <c r="AL250" s="267"/>
      <c r="AM250" s="267"/>
      <c r="AN250" s="267"/>
      <c r="AO250" s="267"/>
      <c r="AP250" s="267"/>
      <c r="AQ250" s="275"/>
      <c r="AR250" s="267"/>
      <c r="AS250" s="267"/>
      <c r="AT250" s="267"/>
      <c r="AU250" s="267"/>
      <c r="AV250" s="267"/>
      <c r="AW250" s="267"/>
      <c r="AX250" s="267"/>
      <c r="AY250" s="267"/>
      <c r="AZ250" s="267"/>
      <c r="BA250" s="267"/>
      <c r="BB250" s="267"/>
      <c r="BC250" s="267"/>
      <c r="BD250" s="267"/>
      <c r="BE250" s="267"/>
      <c r="BF250" s="267"/>
      <c r="BG250" s="269"/>
      <c r="BH250" s="274" t="s">
        <v>443</v>
      </c>
      <c r="BI250" s="267"/>
      <c r="BJ250" s="267"/>
      <c r="BK250" s="267"/>
      <c r="BL250" s="267"/>
      <c r="BM250" s="267"/>
      <c r="BN250" s="267"/>
      <c r="BO250" s="268"/>
      <c r="BP250" s="268"/>
      <c r="BQ250" s="268"/>
      <c r="BR250" s="268"/>
      <c r="BS250" s="268"/>
      <c r="BT250" s="268"/>
      <c r="BU250" s="268"/>
      <c r="BV250" s="267"/>
      <c r="BW250" s="267"/>
      <c r="BX250" s="267"/>
      <c r="BY250" s="267"/>
      <c r="BZ250" s="267"/>
      <c r="CA250" s="267"/>
      <c r="CB250" s="267"/>
      <c r="CC250" s="267"/>
      <c r="CD250" s="267"/>
      <c r="CE250" s="267"/>
      <c r="CF250" s="267"/>
      <c r="CG250" s="267"/>
      <c r="CH250" s="267"/>
      <c r="CI250" s="267"/>
    </row>
    <row r="251" spans="1:87" ht="16.5" outlineLevel="1">
      <c r="A251" s="260" t="str">
        <f>E251&amp;G251</f>
        <v>PROPERTY_ENERGY_CERTIFICATEEP_SCORE</v>
      </c>
      <c r="B251" s="141" t="s">
        <v>26</v>
      </c>
      <c r="C251" s="137" t="s">
        <v>54</v>
      </c>
      <c r="D251" s="222" t="s">
        <v>40</v>
      </c>
      <c r="E251" s="223" t="s">
        <v>123</v>
      </c>
      <c r="F251" s="223"/>
      <c r="G251" s="315" t="s">
        <v>135</v>
      </c>
      <c r="H251" s="222" t="str">
        <f>VLOOKUP(A251,'2. Status Detalhe Campos FY24'!$A$7:$G$731,7,0)</f>
        <v>1. Concluído</v>
      </c>
      <c r="I251" s="262"/>
      <c r="J251" s="271"/>
      <c r="K251" s="271"/>
      <c r="L251" s="276"/>
      <c r="M251" s="277"/>
      <c r="N251" s="277"/>
      <c r="O251" s="235">
        <f>VLOOKUP(H251,Auxiliar!$B$16:$E$24,4,0)</f>
        <v>1</v>
      </c>
      <c r="P251" s="301">
        <f ca="1">IF(TODAY()&lt;=L251,0,MIN((TODAY()-L251)/(M251-L251+1),100%))</f>
        <v>1</v>
      </c>
      <c r="Q251" s="234">
        <f t="shared" ca="1" si="60"/>
        <v>0</v>
      </c>
      <c r="R251" s="328"/>
      <c r="S251" s="278"/>
      <c r="T251" s="256"/>
      <c r="U251" s="256"/>
      <c r="V251" s="256"/>
      <c r="W251" s="267"/>
      <c r="X251" s="267"/>
      <c r="Y251" s="267"/>
      <c r="Z251" s="274"/>
      <c r="AA251" s="267"/>
      <c r="AB251" s="267"/>
      <c r="AC251" s="267"/>
      <c r="AD251" s="268"/>
      <c r="AE251" s="274"/>
      <c r="AF251" s="267"/>
      <c r="AG251" s="267"/>
      <c r="AH251" s="267"/>
      <c r="AI251" s="275"/>
      <c r="AJ251" s="267"/>
      <c r="AK251" s="267"/>
      <c r="AL251" s="267"/>
      <c r="AM251" s="267"/>
      <c r="AN251" s="267"/>
      <c r="AO251" s="267"/>
      <c r="AP251" s="267"/>
      <c r="AQ251" s="275"/>
      <c r="AR251" s="267"/>
      <c r="AS251" s="267"/>
      <c r="AT251" s="267"/>
      <c r="AU251" s="267"/>
      <c r="AV251" s="267"/>
      <c r="AW251" s="267"/>
      <c r="AX251" s="267"/>
      <c r="AY251" s="267"/>
      <c r="AZ251" s="267"/>
      <c r="BA251" s="267"/>
      <c r="BB251" s="267"/>
      <c r="BC251" s="267"/>
      <c r="BD251" s="267"/>
      <c r="BE251" s="267"/>
      <c r="BF251" s="267"/>
      <c r="BG251" s="269"/>
      <c r="BH251" s="274"/>
      <c r="BI251" s="267"/>
      <c r="BJ251" s="267"/>
      <c r="BK251" s="267"/>
      <c r="BL251" s="267"/>
      <c r="BM251" s="267"/>
      <c r="BN251" s="267"/>
      <c r="BO251" s="268"/>
      <c r="BP251" s="268"/>
      <c r="BQ251" s="268"/>
      <c r="BR251" s="268"/>
      <c r="BS251" s="268"/>
      <c r="BT251" s="268"/>
      <c r="BU251" s="268"/>
      <c r="BV251" s="267"/>
      <c r="BW251" s="267"/>
      <c r="BX251" s="267"/>
      <c r="BY251" s="267"/>
      <c r="BZ251" s="267"/>
      <c r="CA251" s="267"/>
      <c r="CB251" s="267"/>
      <c r="CC251" s="267"/>
      <c r="CD251" s="267"/>
      <c r="CE251" s="267"/>
      <c r="CF251" s="267"/>
      <c r="CG251" s="267"/>
      <c r="CH251" s="267"/>
      <c r="CI251" s="267"/>
    </row>
    <row r="252" spans="1:87" ht="16.5" outlineLevel="1">
      <c r="A252" s="260" t="str">
        <f>E252&amp;G252</f>
        <v>PROPERTY_ENERGY_CERTIFICATEENERGY_CONSUMPTION_VALUE_YEAR</v>
      </c>
      <c r="B252" s="141" t="s">
        <v>26</v>
      </c>
      <c r="C252" s="137" t="s">
        <v>54</v>
      </c>
      <c r="D252" s="222" t="s">
        <v>40</v>
      </c>
      <c r="E252" s="223" t="s">
        <v>123</v>
      </c>
      <c r="F252" s="223"/>
      <c r="G252" s="315" t="s">
        <v>51</v>
      </c>
      <c r="H252" s="222" t="str">
        <f>VLOOKUP(A252,'2. Status Detalhe Campos FY24'!$A$7:$G$731,7,0)</f>
        <v>1. Concluído</v>
      </c>
      <c r="I252" s="262" t="s">
        <v>38</v>
      </c>
      <c r="J252" s="271">
        <v>45638</v>
      </c>
      <c r="K252" s="271">
        <v>45639</v>
      </c>
      <c r="L252" s="276">
        <f t="array" ref="L252">MIN(IF(W252:CI252&gt;0,$W$16:$CI$16))</f>
        <v>45639</v>
      </c>
      <c r="M252" s="277">
        <f t="array" ref="M252">MAX(IF(W252:CI252&gt;0,$W$16:$CI$16))</f>
        <v>45639</v>
      </c>
      <c r="N252" s="277"/>
      <c r="O252" s="235">
        <f>VLOOKUP(H252,Auxiliar!$B$16:$E$24,4,0)</f>
        <v>1</v>
      </c>
      <c r="P252" s="301">
        <f ca="1">IF(TODAY()&lt;=L252,0,MIN((TODAY()-L252)/(M252-L252+1),100%))</f>
        <v>1</v>
      </c>
      <c r="Q252" s="234">
        <f t="shared" ca="1" si="60"/>
        <v>0</v>
      </c>
      <c r="R252" s="328"/>
      <c r="S252" s="278" t="s">
        <v>1855</v>
      </c>
      <c r="T252" s="256">
        <v>4.0999999999999996</v>
      </c>
      <c r="U252" s="256">
        <f>ROUND(T252/8,1)</f>
        <v>0.5</v>
      </c>
      <c r="V252" s="256">
        <f>SUM(W252:CI252)-U252</f>
        <v>-0.5</v>
      </c>
      <c r="W252" s="267"/>
      <c r="X252" s="267"/>
      <c r="Y252" s="267"/>
      <c r="Z252" s="274"/>
      <c r="AA252" s="267"/>
      <c r="AB252" s="267"/>
      <c r="AC252" s="267"/>
      <c r="AD252" s="268"/>
      <c r="AE252" s="274"/>
      <c r="AF252" s="267"/>
      <c r="AG252" s="267"/>
      <c r="AH252" s="267"/>
      <c r="AI252" s="275"/>
      <c r="AJ252" s="267"/>
      <c r="AK252" s="267"/>
      <c r="AL252" s="267"/>
      <c r="AM252" s="267"/>
      <c r="AN252" s="267"/>
      <c r="AO252" s="267"/>
      <c r="AP252" s="267"/>
      <c r="AQ252" s="275"/>
      <c r="AR252" s="267"/>
      <c r="AS252" s="267"/>
      <c r="AT252" s="267"/>
      <c r="AU252" s="267"/>
      <c r="AV252" s="267"/>
      <c r="AW252" s="267"/>
      <c r="AX252" s="267"/>
      <c r="AY252" s="267"/>
      <c r="AZ252" s="267"/>
      <c r="BA252" s="267"/>
      <c r="BB252" s="267"/>
      <c r="BC252" s="267"/>
      <c r="BD252" s="267"/>
      <c r="BE252" s="267"/>
      <c r="BF252" s="267"/>
      <c r="BG252" s="269"/>
      <c r="BH252" s="274" t="s">
        <v>443</v>
      </c>
      <c r="BI252" s="267"/>
      <c r="BJ252" s="267"/>
      <c r="BK252" s="267"/>
      <c r="BL252" s="267"/>
      <c r="BM252" s="267"/>
      <c r="BN252" s="267"/>
      <c r="BO252" s="268"/>
      <c r="BP252" s="268"/>
      <c r="BQ252" s="268"/>
      <c r="BR252" s="268"/>
      <c r="BS252" s="268"/>
      <c r="BT252" s="268"/>
      <c r="BU252" s="268"/>
      <c r="BV252" s="267"/>
      <c r="BW252" s="267"/>
      <c r="BX252" s="267"/>
      <c r="BY252" s="267"/>
      <c r="BZ252" s="267"/>
      <c r="CA252" s="267"/>
      <c r="CB252" s="267"/>
      <c r="CC252" s="267"/>
      <c r="CD252" s="267"/>
      <c r="CE252" s="267"/>
      <c r="CF252" s="267"/>
      <c r="CG252" s="267"/>
      <c r="CH252" s="267"/>
      <c r="CI252" s="267"/>
    </row>
    <row r="253" spans="1:87" ht="16.5" outlineLevel="1">
      <c r="A253" s="260" t="str">
        <f>E253&amp;G253</f>
        <v>PROPERTY_ENERGY_CERTIFICATECARBON_EMISSION_VALUE_YEAR</v>
      </c>
      <c r="B253" s="141" t="s">
        <v>26</v>
      </c>
      <c r="C253" s="137" t="s">
        <v>54</v>
      </c>
      <c r="D253" s="222" t="s">
        <v>40</v>
      </c>
      <c r="E253" s="223" t="s">
        <v>123</v>
      </c>
      <c r="F253" s="223"/>
      <c r="G253" s="315" t="s">
        <v>52</v>
      </c>
      <c r="H253" s="222" t="str">
        <f>VLOOKUP(A253,'2. Status Detalhe Campos FY24'!$A$7:$G$731,7,0)</f>
        <v>1. Concluído</v>
      </c>
      <c r="I253" s="262" t="s">
        <v>38</v>
      </c>
      <c r="J253" s="271">
        <v>45638</v>
      </c>
      <c r="K253" s="271">
        <v>45639</v>
      </c>
      <c r="L253" s="276">
        <f t="array" ref="L253">MIN(IF(W253:CI253&gt;0,$W$16:$CI$16))</f>
        <v>45639</v>
      </c>
      <c r="M253" s="277">
        <f t="array" ref="M253">MAX(IF(W253:CI253&gt;0,$W$16:$CI$16))</f>
        <v>45639</v>
      </c>
      <c r="N253" s="277"/>
      <c r="O253" s="235">
        <f>VLOOKUP(H253,Auxiliar!$B$16:$E$24,4,0)</f>
        <v>1</v>
      </c>
      <c r="P253" s="301">
        <f ca="1">IF(TODAY()&lt;=L253,0,MIN((TODAY()-L253)/(M253-L253+1),100%))</f>
        <v>1</v>
      </c>
      <c r="Q253" s="234">
        <f t="shared" ca="1" si="60"/>
        <v>0</v>
      </c>
      <c r="R253" s="328"/>
      <c r="S253" s="278" t="s">
        <v>1855</v>
      </c>
      <c r="T253" s="256">
        <v>4.0999999999999996</v>
      </c>
      <c r="U253" s="256">
        <f>ROUND(T253/8,1)</f>
        <v>0.5</v>
      </c>
      <c r="V253" s="256">
        <f>SUM(W253:CI253)-U253</f>
        <v>-0.5</v>
      </c>
      <c r="W253" s="267"/>
      <c r="X253" s="267"/>
      <c r="Y253" s="267"/>
      <c r="Z253" s="274"/>
      <c r="AA253" s="267"/>
      <c r="AB253" s="267"/>
      <c r="AC253" s="267"/>
      <c r="AD253" s="268"/>
      <c r="AE253" s="274"/>
      <c r="AF253" s="267"/>
      <c r="AG253" s="267"/>
      <c r="AH253" s="267"/>
      <c r="AI253" s="275"/>
      <c r="AJ253" s="267"/>
      <c r="AK253" s="267"/>
      <c r="AL253" s="267"/>
      <c r="AM253" s="267"/>
      <c r="AN253" s="267"/>
      <c r="AO253" s="267"/>
      <c r="AP253" s="267"/>
      <c r="AQ253" s="275"/>
      <c r="AR253" s="267"/>
      <c r="AS253" s="267"/>
      <c r="AT253" s="267"/>
      <c r="AU253" s="267"/>
      <c r="AV253" s="267"/>
      <c r="AW253" s="267"/>
      <c r="AX253" s="267"/>
      <c r="AY253" s="267"/>
      <c r="AZ253" s="267"/>
      <c r="BA253" s="267"/>
      <c r="BB253" s="267"/>
      <c r="BC253" s="267"/>
      <c r="BD253" s="267"/>
      <c r="BE253" s="267"/>
      <c r="BF253" s="267"/>
      <c r="BG253" s="269"/>
      <c r="BH253" s="274" t="s">
        <v>443</v>
      </c>
      <c r="BI253" s="267"/>
      <c r="BJ253" s="267"/>
      <c r="BK253" s="267"/>
      <c r="BL253" s="267"/>
      <c r="BM253" s="267"/>
      <c r="BN253" s="267"/>
      <c r="BO253" s="268"/>
      <c r="BP253" s="268"/>
      <c r="BQ253" s="268"/>
      <c r="BR253" s="268"/>
      <c r="BS253" s="268"/>
      <c r="BT253" s="268"/>
      <c r="BU253" s="268"/>
      <c r="BV253" s="267"/>
      <c r="BW253" s="267"/>
      <c r="BX253" s="267"/>
      <c r="BY253" s="267"/>
      <c r="BZ253" s="267"/>
      <c r="CA253" s="267"/>
      <c r="CB253" s="267"/>
      <c r="CC253" s="267"/>
      <c r="CD253" s="267"/>
      <c r="CE253" s="267"/>
      <c r="CF253" s="267"/>
      <c r="CG253" s="267"/>
      <c r="CH253" s="267"/>
      <c r="CI253" s="267"/>
    </row>
    <row r="254" spans="1:87" ht="16.5" outlineLevel="1">
      <c r="A254" s="260" t="str">
        <f>E254&amp;G254</f>
        <v>PROPERTY_ENERGY_CERTIFICATECURRENT_ENERGY_RATING_PERCENTAGE</v>
      </c>
      <c r="B254" s="141" t="s">
        <v>26</v>
      </c>
      <c r="C254" s="137" t="s">
        <v>54</v>
      </c>
      <c r="D254" s="222" t="s">
        <v>40</v>
      </c>
      <c r="E254" s="223" t="s">
        <v>123</v>
      </c>
      <c r="F254" s="223"/>
      <c r="G254" s="315" t="s">
        <v>1957</v>
      </c>
      <c r="H254" s="222" t="str">
        <f>VLOOKUP(A254,'2. Status Detalhe Campos FY24'!$A$7:$G$731,7,0)</f>
        <v>1. Concluído</v>
      </c>
      <c r="I254" s="262" t="s">
        <v>38</v>
      </c>
      <c r="J254" s="271">
        <v>45638</v>
      </c>
      <c r="K254" s="271">
        <v>45639</v>
      </c>
      <c r="L254" s="276">
        <f t="array" ref="L254">MIN(IF(W254:CI254&gt;0,$W$16:$CI$16))</f>
        <v>45674</v>
      </c>
      <c r="M254" s="277">
        <f t="array" ref="M254">MAX(IF(W254:CI254&gt;0,$W$16:$CI$16))</f>
        <v>45674</v>
      </c>
      <c r="N254" s="277"/>
      <c r="O254" s="235">
        <f>VLOOKUP(H254,Auxiliar!$B$16:$E$24,4,0)</f>
        <v>1</v>
      </c>
      <c r="P254" s="301">
        <f ca="1">IF(TODAY()&lt;=L254,0,MIN((TODAY()-L254)/(M254-L254+1),100%))</f>
        <v>1</v>
      </c>
      <c r="Q254" s="234">
        <f t="shared" ca="1" si="60"/>
        <v>0</v>
      </c>
      <c r="R254" s="328"/>
      <c r="S254" s="278" t="s">
        <v>1855</v>
      </c>
      <c r="T254" s="256">
        <v>4.0999999999999996</v>
      </c>
      <c r="U254" s="256">
        <f>ROUND(T254/8,1)</f>
        <v>0.5</v>
      </c>
      <c r="V254" s="256">
        <f>SUM(W254:CI254)-U254</f>
        <v>-0.5</v>
      </c>
      <c r="W254" s="267"/>
      <c r="X254" s="267"/>
      <c r="Y254" s="267"/>
      <c r="Z254" s="267"/>
      <c r="AA254" s="267"/>
      <c r="AB254" s="267"/>
      <c r="AC254" s="267"/>
      <c r="AD254" s="267"/>
      <c r="AE254" s="267"/>
      <c r="AF254" s="267"/>
      <c r="AG254" s="267"/>
      <c r="AH254" s="267"/>
      <c r="AI254" s="267"/>
      <c r="AJ254" s="267"/>
      <c r="AK254" s="267"/>
      <c r="AL254" s="267"/>
      <c r="AM254" s="267"/>
      <c r="AN254" s="267"/>
      <c r="AO254" s="267"/>
      <c r="AP254" s="267"/>
      <c r="AQ254" s="267"/>
      <c r="AR254" s="267"/>
      <c r="AS254" s="267"/>
      <c r="AT254" s="267"/>
      <c r="AU254" s="267"/>
      <c r="AV254" s="267"/>
      <c r="AW254" s="267"/>
      <c r="AX254" s="267"/>
      <c r="AY254" s="267"/>
      <c r="AZ254" s="267"/>
      <c r="BA254" s="267"/>
      <c r="BB254" s="267"/>
      <c r="BC254" s="267"/>
      <c r="BD254" s="267"/>
      <c r="BE254" s="267"/>
      <c r="BF254" s="267"/>
      <c r="BG254" s="267"/>
      <c r="BH254" s="267"/>
      <c r="BI254" s="267"/>
      <c r="BJ254" s="267"/>
      <c r="BK254" s="267"/>
      <c r="BL254" s="267"/>
      <c r="BM254" s="267"/>
      <c r="BN254" s="267"/>
      <c r="BO254" s="268"/>
      <c r="BP254" s="268"/>
      <c r="BQ254" s="268"/>
      <c r="BR254" s="268"/>
      <c r="BS254" s="268"/>
      <c r="BT254" s="268"/>
      <c r="BU254" s="268"/>
      <c r="BV254" s="267"/>
      <c r="BW254" s="267"/>
      <c r="BX254" s="267"/>
      <c r="BY254" s="267"/>
      <c r="BZ254" s="267"/>
      <c r="CA254" s="267"/>
      <c r="CB254" s="267"/>
      <c r="CC254" s="267"/>
      <c r="CD254" s="267"/>
      <c r="CE254" s="267"/>
      <c r="CF254" s="267"/>
      <c r="CG254" s="267" t="s">
        <v>443</v>
      </c>
      <c r="CH254" s="267"/>
      <c r="CI254" s="267"/>
    </row>
    <row r="255" spans="1:87" ht="15" customHeight="1" collapsed="1">
      <c r="A255" s="260"/>
      <c r="B255" s="141" t="s">
        <v>26</v>
      </c>
      <c r="C255" s="137" t="s">
        <v>34</v>
      </c>
      <c r="D255" s="133"/>
      <c r="E255" s="228" t="s">
        <v>1917</v>
      </c>
      <c r="F255" s="226" t="s">
        <v>1883</v>
      </c>
      <c r="G255" s="241" t="s">
        <v>1862</v>
      </c>
      <c r="H255" s="280" t="s">
        <v>1951</v>
      </c>
      <c r="I255" s="264" t="s">
        <v>38</v>
      </c>
      <c r="J255" s="264">
        <v>45645</v>
      </c>
      <c r="K255" s="262"/>
      <c r="L255" s="265">
        <f t="array" ref="L255">MIN(IF(W255:CI255&gt;0,$W$16:$CI$16))</f>
        <v>45671</v>
      </c>
      <c r="M255" s="296">
        <f t="array" ref="M255">MAX(IF(W255:CI255&gt;0,$W$16:$CI$16))</f>
        <v>45674</v>
      </c>
      <c r="N255" s="308" t="s">
        <v>1862</v>
      </c>
      <c r="O255" s="302">
        <v>0</v>
      </c>
      <c r="P255" s="302">
        <v>0</v>
      </c>
      <c r="Q255" s="234">
        <f t="shared" si="60"/>
        <v>0</v>
      </c>
      <c r="R255" s="327" t="s">
        <v>1956</v>
      </c>
      <c r="S255" s="266"/>
      <c r="T255" s="256"/>
      <c r="U255" s="256"/>
      <c r="V255" s="256"/>
      <c r="W255" s="267"/>
      <c r="X255" s="267"/>
      <c r="Y255" s="267"/>
      <c r="Z255" s="267"/>
      <c r="AA255" s="267"/>
      <c r="AB255" s="267"/>
      <c r="AC255" s="267"/>
      <c r="AD255" s="268"/>
      <c r="AE255" s="267"/>
      <c r="AF255" s="267"/>
      <c r="AG255" s="267"/>
      <c r="AH255" s="267"/>
      <c r="AI255" s="275"/>
      <c r="AJ255" s="267"/>
      <c r="AK255" s="267"/>
      <c r="AL255" s="267"/>
      <c r="AM255" s="267"/>
      <c r="AN255" s="267"/>
      <c r="AO255" s="267"/>
      <c r="AP255" s="267"/>
      <c r="AQ255" s="267"/>
      <c r="AR255" s="267"/>
      <c r="AS255" s="267"/>
      <c r="AT255" s="267"/>
      <c r="AU255" s="267"/>
      <c r="AV255" s="267"/>
      <c r="AW255" s="269"/>
      <c r="AX255" s="267"/>
      <c r="AY255" s="267"/>
      <c r="AZ255" s="267"/>
      <c r="BA255" s="269"/>
      <c r="BB255" s="267"/>
      <c r="BC255" s="267"/>
      <c r="BD255" s="267"/>
      <c r="BE255" s="267"/>
      <c r="BF255" s="267"/>
      <c r="BG255" s="267"/>
      <c r="BH255" s="267"/>
      <c r="BI255" s="267"/>
      <c r="BJ255" s="267"/>
      <c r="BK255" s="267"/>
      <c r="BL255" s="269"/>
      <c r="BM255" s="267"/>
      <c r="BN255" s="267"/>
      <c r="BO255" s="268"/>
      <c r="BP255" s="268"/>
      <c r="BQ255" s="268"/>
      <c r="BR255" s="268"/>
      <c r="BS255" s="268"/>
      <c r="BT255" s="268"/>
      <c r="BU255" s="268"/>
      <c r="BV255" s="267"/>
      <c r="BW255" s="267"/>
      <c r="BX255" s="267"/>
      <c r="BY255" s="267"/>
      <c r="BZ255" s="267"/>
      <c r="CA255" s="267"/>
      <c r="CB255" s="267"/>
      <c r="CC255" s="267"/>
      <c r="CD255" s="267">
        <v>1</v>
      </c>
      <c r="CE255" s="267">
        <v>1</v>
      </c>
      <c r="CF255" s="267"/>
      <c r="CG255" s="267" t="s">
        <v>443</v>
      </c>
      <c r="CH255" s="267"/>
      <c r="CI255" s="267"/>
    </row>
    <row r="256" spans="1:87" ht="15" customHeight="1">
      <c r="A256" s="260" t="str">
        <f>E256&amp;G256</f>
        <v>munichRetbd</v>
      </c>
      <c r="B256" s="141" t="s">
        <v>26</v>
      </c>
      <c r="C256" s="137" t="s">
        <v>181</v>
      </c>
      <c r="D256" s="133" t="s">
        <v>40</v>
      </c>
      <c r="E256" s="228" t="s">
        <v>1861</v>
      </c>
      <c r="F256" s="226" t="s">
        <v>1883</v>
      </c>
      <c r="G256" s="241" t="s">
        <v>1862</v>
      </c>
      <c r="H256" s="281" t="s">
        <v>1915</v>
      </c>
      <c r="I256" s="264">
        <v>45574</v>
      </c>
      <c r="J256" s="326">
        <v>45631</v>
      </c>
      <c r="K256" s="262"/>
      <c r="L256" s="265" t="e">
        <f t="array" ref="L256">MIN(IF(W256:CH256&gt;0,$W$16:$CI$16))</f>
        <v>#N/A</v>
      </c>
      <c r="M256" s="296" t="e">
        <f t="array" ref="M256">MAX(IF(W256:CH256&gt;0,$W$16:$CI$16))</f>
        <v>#N/A</v>
      </c>
      <c r="N256" s="308">
        <v>45674</v>
      </c>
      <c r="O256" s="307">
        <v>1</v>
      </c>
      <c r="P256" s="307">
        <v>1</v>
      </c>
      <c r="Q256" s="234">
        <f t="shared" si="60"/>
        <v>0</v>
      </c>
      <c r="R256" s="248"/>
      <c r="S256" s="266"/>
      <c r="T256" s="256"/>
      <c r="U256" s="256"/>
      <c r="V256" s="256"/>
      <c r="W256" s="267"/>
      <c r="X256" s="267"/>
      <c r="Y256" s="267"/>
      <c r="Z256" s="267"/>
      <c r="AA256" s="267"/>
      <c r="AB256" s="267"/>
      <c r="AC256" s="267"/>
      <c r="AD256" s="268"/>
      <c r="AE256" s="267"/>
      <c r="AF256" s="267"/>
      <c r="AG256" s="267"/>
      <c r="AH256" s="267"/>
      <c r="AI256" s="267"/>
      <c r="AJ256" s="267"/>
      <c r="AK256" s="267"/>
      <c r="AL256" s="267"/>
      <c r="AM256" s="267"/>
      <c r="AN256" s="267"/>
      <c r="AO256" s="267"/>
      <c r="AP256" s="267"/>
      <c r="AQ256" s="267"/>
      <c r="AR256" s="267"/>
      <c r="AS256" s="267"/>
      <c r="AT256" s="267"/>
      <c r="AU256" s="267"/>
      <c r="AV256" s="267"/>
      <c r="AW256" s="267"/>
      <c r="AX256" s="267"/>
      <c r="AY256" s="267"/>
      <c r="AZ256" s="267"/>
      <c r="BA256" s="283"/>
      <c r="BB256" s="269"/>
      <c r="BC256" s="267"/>
      <c r="BD256" s="267"/>
      <c r="BE256" s="267"/>
      <c r="BF256" s="267"/>
      <c r="BG256" s="267"/>
      <c r="BH256" s="267"/>
      <c r="BI256" s="267"/>
      <c r="BJ256" s="267"/>
      <c r="BK256" s="267"/>
      <c r="BL256" s="267"/>
      <c r="BM256" s="267"/>
      <c r="BN256" s="267"/>
      <c r="BO256" s="268"/>
      <c r="BP256" s="268"/>
      <c r="BQ256" s="268"/>
      <c r="BR256" s="268"/>
      <c r="BS256" s="268"/>
      <c r="BT256" s="268"/>
      <c r="BU256" s="268"/>
      <c r="BV256" s="267"/>
      <c r="BW256" s="267"/>
      <c r="BX256" s="267"/>
      <c r="BY256" s="267"/>
      <c r="BZ256" s="267"/>
      <c r="CA256" s="267"/>
      <c r="CB256" s="267"/>
      <c r="CC256" s="267"/>
      <c r="CD256" s="267"/>
      <c r="CE256" s="267"/>
      <c r="CF256" s="267"/>
      <c r="CG256" s="267">
        <v>1</v>
      </c>
      <c r="CH256" s="267">
        <v>1</v>
      </c>
    </row>
    <row r="257" spans="1:87" ht="15" customHeight="1">
      <c r="A257" s="260"/>
      <c r="B257" s="141" t="s">
        <v>26</v>
      </c>
      <c r="C257" s="137" t="s">
        <v>1881</v>
      </c>
      <c r="D257" s="133"/>
      <c r="E257" s="228" t="s">
        <v>1863</v>
      </c>
      <c r="F257" s="136"/>
      <c r="G257" s="317"/>
      <c r="H257" s="133"/>
      <c r="I257" s="262"/>
      <c r="J257" s="271"/>
      <c r="K257" s="262"/>
      <c r="L257" s="297"/>
      <c r="M257" s="297"/>
      <c r="N257" s="297"/>
      <c r="O257" s="234"/>
      <c r="P257" s="234"/>
      <c r="Q257" s="234"/>
      <c r="R257" s="247"/>
      <c r="S257" s="266"/>
      <c r="T257" s="256">
        <f>SUM(T206:T256)*0.3</f>
        <v>47.369999999999969</v>
      </c>
      <c r="U257" s="256">
        <f>ROUND(T257/8,1)</f>
        <v>5.9</v>
      </c>
      <c r="V257" s="256"/>
      <c r="W257" s="267"/>
      <c r="X257" s="267"/>
      <c r="Y257" s="267"/>
      <c r="Z257" s="267"/>
      <c r="AA257" s="267"/>
      <c r="AB257" s="267"/>
      <c r="AC257" s="267"/>
      <c r="AD257" s="268"/>
      <c r="AE257" s="267"/>
      <c r="AF257" s="267"/>
      <c r="AG257" s="267"/>
      <c r="AH257" s="267"/>
      <c r="AI257" s="267"/>
      <c r="AJ257" s="267"/>
      <c r="AK257" s="267"/>
      <c r="AL257" s="267"/>
      <c r="AM257" s="267"/>
      <c r="AN257" s="267"/>
      <c r="AO257" s="267"/>
      <c r="AP257" s="267"/>
      <c r="AQ257" s="267"/>
      <c r="AR257" s="267"/>
      <c r="AS257" s="267"/>
      <c r="AT257" s="267"/>
      <c r="AU257" s="267"/>
      <c r="AV257" s="267"/>
      <c r="AW257" s="267"/>
      <c r="AX257" s="267"/>
      <c r="AY257" s="267"/>
      <c r="AZ257" s="267"/>
      <c r="BA257" s="267"/>
      <c r="BB257" s="267"/>
      <c r="BC257" s="267"/>
      <c r="BD257" s="267"/>
      <c r="BE257" s="267"/>
      <c r="BF257" s="267"/>
      <c r="BG257" s="267"/>
      <c r="BH257" s="267"/>
      <c r="BI257" s="267"/>
      <c r="BJ257" s="267"/>
      <c r="BK257" s="267"/>
      <c r="BL257" s="267"/>
      <c r="BM257" s="267"/>
      <c r="BN257" s="267"/>
      <c r="BO257" s="268"/>
      <c r="BP257" s="268"/>
      <c r="BQ257" s="268"/>
      <c r="BR257" s="268"/>
      <c r="BS257" s="268"/>
      <c r="BT257" s="268"/>
      <c r="BU257" s="268"/>
      <c r="BV257" s="267"/>
      <c r="BW257" s="267"/>
      <c r="BX257" s="267"/>
      <c r="BY257" s="267"/>
      <c r="BZ257" s="267"/>
      <c r="CA257" s="267"/>
      <c r="CB257" s="267"/>
      <c r="CC257" s="267"/>
      <c r="CD257" s="267"/>
      <c r="CE257" s="267"/>
      <c r="CF257" s="267"/>
      <c r="CG257" s="267"/>
      <c r="CH257" s="267"/>
      <c r="CI257" s="267"/>
    </row>
  </sheetData>
  <autoFilter ref="A16:CO257"/>
  <conditionalFormatting sqref="V17:V257">
    <cfRule type="cellIs" dxfId="50" priority="2" operator="notEqual">
      <formula>0</formula>
    </cfRule>
  </conditionalFormatting>
  <conditionalFormatting sqref="W144:CA145 W146:CF146">
    <cfRule type="cellIs" dxfId="49" priority="24" operator="greaterThan">
      <formula>0</formula>
    </cfRule>
  </conditionalFormatting>
  <conditionalFormatting sqref="W148:CF151 W152:BG152 BJ152:BM152 BO152:CF152 BE153:CF153 W153:BC154 BE154:BK154 BL154:CF155 W155:BD155 BF155:BK155 W156:CF158 W159:BL159 BN159:CF159 W167:BL167 BN167:CI167 W188:BK188 BM188:CI188 W189:CI193 W194:BG197 BI194:CI197 W198:BM198 BO198:CI198 W199:CI224 W225:CF225 CH225:CI225 W256:CH256 W257:CI257">
    <cfRule type="cellIs" dxfId="48" priority="119" operator="greaterThan">
      <formula>0</formula>
    </cfRule>
  </conditionalFormatting>
  <conditionalFormatting sqref="W17:CI143">
    <cfRule type="cellIs" dxfId="47" priority="16" operator="greaterThan">
      <formula>0</formula>
    </cfRule>
  </conditionalFormatting>
  <conditionalFormatting sqref="W147:CI147">
    <cfRule type="cellIs" dxfId="46" priority="21" operator="greaterThan">
      <formula>0</formula>
    </cfRule>
  </conditionalFormatting>
  <conditionalFormatting sqref="W160:CI166">
    <cfRule type="cellIs" dxfId="45" priority="38" operator="greaterThan">
      <formula>0</formula>
    </cfRule>
  </conditionalFormatting>
  <conditionalFormatting sqref="W168:CI187">
    <cfRule type="cellIs" dxfId="44" priority="10" operator="greaterThan">
      <formula>0</formula>
    </cfRule>
  </conditionalFormatting>
  <conditionalFormatting sqref="W226:CI255">
    <cfRule type="cellIs" dxfId="43" priority="1" operator="greaterThan">
      <formula>0</formula>
    </cfRule>
  </conditionalFormatting>
  <conditionalFormatting sqref="Y6:CI6 Y9:CI10">
    <cfRule type="cellIs" dxfId="42" priority="131" operator="notEqual">
      <formula>0</formula>
    </cfRule>
  </conditionalFormatting>
  <conditionalFormatting sqref="AO50:BT50">
    <cfRule type="cellIs" dxfId="41" priority="121" operator="greaterThan">
      <formula>0</formula>
    </cfRule>
  </conditionalFormatting>
  <conditionalFormatting sqref="AO70:BT73 BU70:CI75 AP74:AT74">
    <cfRule type="cellIs" dxfId="40" priority="76" operator="greaterThan">
      <formula>0</formula>
    </cfRule>
  </conditionalFormatting>
  <conditionalFormatting sqref="AO88:CI88">
    <cfRule type="cellIs" dxfId="39" priority="118" operator="greaterThan">
      <formula>0</formula>
    </cfRule>
  </conditionalFormatting>
  <conditionalFormatting sqref="BB218">
    <cfRule type="cellIs" dxfId="38" priority="84" operator="greaterThan">
      <formula>0</formula>
    </cfRule>
  </conditionalFormatting>
  <conditionalFormatting sqref="BU89:CI90">
    <cfRule type="cellIs" dxfId="37" priority="130" operator="greaterThan">
      <formula>0</formula>
    </cfRule>
  </conditionalFormatting>
  <conditionalFormatting sqref="CB145:CF145">
    <cfRule type="cellIs" dxfId="36" priority="20" operator="greaterThan">
      <formula>0</formula>
    </cfRule>
  </conditionalFormatting>
  <conditionalFormatting sqref="CC144:CI144">
    <cfRule type="cellIs" dxfId="35" priority="29" operator="greaterThan">
      <formula>0</formula>
    </cfRule>
  </conditionalFormatting>
  <conditionalFormatting sqref="CG145:CI146">
    <cfRule type="cellIs" dxfId="34" priority="23" operator="greaterThan">
      <formula>0</formula>
    </cfRule>
  </conditionalFormatting>
  <conditionalFormatting sqref="CG148:CI159">
    <cfRule type="cellIs" dxfId="33" priority="34" operator="greaterThan">
      <formula>0</formula>
    </cfRule>
  </conditionalFormatting>
  <pageMargins left="0.7" right="0.7" top="0.75" bottom="0.75" header="0.3" footer="0.3"/>
  <pageSetup paperSize="9" orientation="portrait"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XFD779"/>
  <sheetViews>
    <sheetView showGridLines="0" zoomScale="90" zoomScaleNormal="90" workbookViewId="0">
      <pane xSplit="17" ySplit="13" topLeftCell="R586" activePane="bottomRight" state="frozen"/>
      <selection pane="topRight" activeCell="D136" sqref="D136"/>
      <selection pane="bottomLeft" activeCell="D136" sqref="D136"/>
      <selection pane="bottomRight" activeCell="G598" sqref="G598"/>
    </sheetView>
  </sheetViews>
  <sheetFormatPr defaultColWidth="0" defaultRowHeight="18" zeroHeight="1" outlineLevelRow="1"/>
  <cols>
    <col min="1" max="1" width="3.58203125" customWidth="1"/>
    <col min="2" max="2" width="8.58203125" bestFit="1" customWidth="1"/>
    <col min="3" max="3" width="19.58203125" bestFit="1" customWidth="1"/>
    <col min="4" max="4" width="14.58203125" customWidth="1"/>
    <col min="5" max="5" width="35.58203125" customWidth="1"/>
    <col min="6" max="6" width="33.58203125" customWidth="1"/>
    <col min="7" max="7" width="34" bestFit="1" customWidth="1"/>
    <col min="8" max="8" width="14.58203125" customWidth="1"/>
    <col min="9" max="9" width="16.58203125" style="25" customWidth="1"/>
    <col min="10" max="10" width="11" style="25" customWidth="1"/>
    <col min="11" max="11" width="15.58203125" style="25" customWidth="1"/>
    <col min="12" max="12" width="14.08203125" style="25" customWidth="1"/>
    <col min="13" max="13" width="17.08203125" style="117" bestFit="1" customWidth="1"/>
    <col min="14" max="14" width="13.08203125" style="117" bestFit="1" customWidth="1"/>
    <col min="15" max="15" width="13.08203125" style="117" customWidth="1"/>
    <col min="16" max="16" width="53.58203125" customWidth="1"/>
    <col min="17" max="17" width="10.08203125" hidden="1" customWidth="1"/>
    <col min="18" max="18" width="4.5" customWidth="1"/>
    <col min="19" max="149" width="5.58203125" customWidth="1"/>
    <col min="150" max="150" width="8.58203125" customWidth="1"/>
    <col min="151" max="175" width="0" hidden="1" customWidth="1"/>
    <col min="176" max="16384" width="8.58203125" hidden="1"/>
  </cols>
  <sheetData>
    <row r="1" spans="1:150" s="25" customFormat="1">
      <c r="AK1" s="117"/>
    </row>
    <row r="2" spans="1:150" s="25" customFormat="1"/>
    <row r="3" spans="1:150" s="25" customFormat="1"/>
    <row r="4" spans="1:150" s="25" customFormat="1" ht="5.15" customHeight="1">
      <c r="A4" s="114"/>
      <c r="B4" s="114"/>
      <c r="C4" s="114"/>
      <c r="D4" s="114"/>
      <c r="E4" s="114"/>
      <c r="F4" s="114"/>
      <c r="G4" s="114"/>
      <c r="H4" s="114"/>
      <c r="I4" s="114"/>
      <c r="J4" s="114"/>
      <c r="K4" s="114"/>
      <c r="L4" s="114"/>
      <c r="M4" s="114"/>
      <c r="N4" s="114"/>
      <c r="O4" s="114"/>
      <c r="P4" s="114"/>
      <c r="Q4" s="114"/>
      <c r="R4" s="114"/>
      <c r="S4" s="114"/>
      <c r="T4" s="114"/>
      <c r="U4" s="114"/>
      <c r="V4" s="114"/>
      <c r="W4" s="114"/>
      <c r="X4" s="114"/>
      <c r="Y4" s="114"/>
      <c r="Z4" s="114"/>
      <c r="AA4" s="114"/>
      <c r="AB4" s="114"/>
      <c r="AC4" s="114"/>
      <c r="AD4" s="114"/>
      <c r="AE4" s="114"/>
      <c r="AF4" s="114"/>
      <c r="AG4" s="114"/>
      <c r="AH4" s="114"/>
      <c r="AI4" s="114"/>
      <c r="AJ4" s="114"/>
      <c r="AK4" s="114"/>
      <c r="AL4" s="114"/>
      <c r="AM4" s="114"/>
      <c r="AN4" s="114"/>
      <c r="AO4" s="114"/>
      <c r="AP4" s="114"/>
      <c r="AQ4" s="114"/>
      <c r="AR4" s="114"/>
      <c r="AS4" s="114"/>
      <c r="AT4" s="114"/>
      <c r="AU4" s="114"/>
      <c r="AV4" s="114"/>
      <c r="AW4" s="114"/>
      <c r="AX4" s="114"/>
      <c r="AY4" s="114"/>
      <c r="AZ4" s="114"/>
      <c r="BA4" s="114"/>
      <c r="BB4" s="114"/>
      <c r="BC4" s="114"/>
      <c r="BD4" s="114"/>
      <c r="BE4" s="114"/>
      <c r="BF4" s="114"/>
      <c r="BG4" s="114"/>
      <c r="BH4" s="114"/>
      <c r="BI4" s="114"/>
      <c r="BJ4" s="114"/>
      <c r="BK4" s="114"/>
      <c r="BL4" s="114"/>
      <c r="BM4" s="114"/>
      <c r="BN4" s="114"/>
      <c r="BO4" s="114"/>
      <c r="BP4" s="114"/>
      <c r="BQ4" s="114"/>
      <c r="BR4" s="114"/>
      <c r="BS4" s="114"/>
      <c r="BT4" s="114"/>
      <c r="BU4" s="114"/>
      <c r="BV4" s="114"/>
      <c r="BW4" s="114"/>
      <c r="BX4" s="114"/>
      <c r="BY4" s="114"/>
      <c r="BZ4" s="114"/>
      <c r="CA4" s="114"/>
      <c r="CB4" s="114"/>
      <c r="CC4" s="114"/>
      <c r="CD4" s="114"/>
      <c r="CE4" s="114"/>
      <c r="CF4" s="114"/>
      <c r="CG4" s="114"/>
      <c r="CH4" s="114"/>
      <c r="CI4" s="114"/>
      <c r="CJ4" s="114"/>
      <c r="CK4" s="114"/>
      <c r="CL4" s="114"/>
      <c r="CM4" s="114"/>
      <c r="CN4" s="114"/>
      <c r="CO4" s="114"/>
      <c r="CP4" s="114"/>
      <c r="CQ4" s="114"/>
      <c r="CR4" s="114"/>
      <c r="CS4" s="114"/>
      <c r="CT4" s="114"/>
      <c r="CU4" s="114"/>
      <c r="CV4" s="114"/>
      <c r="CW4" s="114"/>
      <c r="CX4" s="114"/>
      <c r="CY4" s="114"/>
      <c r="CZ4" s="114"/>
      <c r="DA4" s="114"/>
      <c r="DB4" s="114"/>
      <c r="DC4" s="114"/>
      <c r="DD4" s="114"/>
      <c r="DE4" s="114"/>
      <c r="DF4" s="114"/>
      <c r="DG4" s="114"/>
      <c r="DH4" s="114"/>
      <c r="DI4" s="114"/>
      <c r="DJ4" s="114"/>
      <c r="DK4" s="114"/>
      <c r="DL4" s="114"/>
      <c r="DM4" s="114"/>
      <c r="DN4" s="114"/>
      <c r="DO4" s="114"/>
      <c r="DP4" s="114"/>
      <c r="DQ4" s="114"/>
      <c r="DR4" s="114"/>
      <c r="DS4" s="114"/>
      <c r="DT4" s="114"/>
      <c r="DU4" s="114"/>
      <c r="DV4" s="114"/>
      <c r="DW4" s="114"/>
      <c r="DX4" s="114"/>
      <c r="DY4" s="114"/>
      <c r="DZ4" s="114"/>
      <c r="EA4" s="114"/>
      <c r="EB4" s="114"/>
      <c r="EC4" s="114"/>
      <c r="ED4" s="114"/>
      <c r="EE4" s="114"/>
      <c r="EF4" s="114"/>
      <c r="EG4" s="114"/>
      <c r="EH4" s="114"/>
      <c r="EI4" s="114"/>
      <c r="EJ4" s="114"/>
      <c r="EK4" s="114"/>
      <c r="EL4" s="114"/>
      <c r="EM4" s="114"/>
      <c r="EN4" s="114"/>
      <c r="EO4" s="114"/>
      <c r="EP4" s="114"/>
      <c r="EQ4" s="114"/>
      <c r="ER4" s="114"/>
      <c r="ES4" s="114"/>
      <c r="ET4" s="114"/>
    </row>
    <row r="5" spans="1:150">
      <c r="M5" s="25"/>
      <c r="N5" s="25"/>
      <c r="O5" s="25"/>
      <c r="R5" s="90"/>
    </row>
    <row r="6" spans="1:150" hidden="1">
      <c r="B6" s="108" t="s">
        <v>0</v>
      </c>
      <c r="C6" s="108"/>
      <c r="D6" s="109">
        <v>0.2</v>
      </c>
      <c r="M6" s="25"/>
      <c r="N6" s="25"/>
      <c r="O6" s="25"/>
      <c r="R6" s="90" t="e">
        <f>R7-R10</f>
        <v>#REF!</v>
      </c>
      <c r="S6" s="90" t="e">
        <f t="shared" ref="S6:CD6" si="0">S7-S10</f>
        <v>#REF!</v>
      </c>
      <c r="T6" s="90" t="e">
        <f t="shared" si="0"/>
        <v>#REF!</v>
      </c>
      <c r="U6" s="90" t="e">
        <f t="shared" si="0"/>
        <v>#REF!</v>
      </c>
      <c r="V6" s="90" t="e">
        <f t="shared" si="0"/>
        <v>#REF!</v>
      </c>
      <c r="W6" s="90" t="e">
        <f t="shared" si="0"/>
        <v>#REF!</v>
      </c>
      <c r="X6" s="90" t="e">
        <f t="shared" si="0"/>
        <v>#REF!</v>
      </c>
      <c r="Y6" s="90" t="e">
        <f t="shared" si="0"/>
        <v>#REF!</v>
      </c>
      <c r="Z6" s="90" t="e">
        <f t="shared" si="0"/>
        <v>#REF!</v>
      </c>
      <c r="AA6" s="90" t="e">
        <f t="shared" si="0"/>
        <v>#REF!</v>
      </c>
      <c r="AB6" s="90" t="e">
        <f t="shared" si="0"/>
        <v>#REF!</v>
      </c>
      <c r="AC6" s="90" t="e">
        <f t="shared" si="0"/>
        <v>#REF!</v>
      </c>
      <c r="AD6" s="90" t="e">
        <f t="shared" si="0"/>
        <v>#REF!</v>
      </c>
      <c r="AE6" s="90" t="e">
        <f t="shared" si="0"/>
        <v>#REF!</v>
      </c>
      <c r="AF6" s="90" t="e">
        <f t="shared" si="0"/>
        <v>#REF!</v>
      </c>
      <c r="AG6" s="90" t="e">
        <f t="shared" si="0"/>
        <v>#REF!</v>
      </c>
      <c r="AH6" s="90" t="e">
        <f t="shared" si="0"/>
        <v>#REF!</v>
      </c>
      <c r="AI6" s="90" t="e">
        <f t="shared" si="0"/>
        <v>#REF!</v>
      </c>
      <c r="AJ6" s="90" t="e">
        <f t="shared" si="0"/>
        <v>#REF!</v>
      </c>
      <c r="AK6" s="90" t="e">
        <f t="shared" si="0"/>
        <v>#REF!</v>
      </c>
      <c r="AL6" s="90" t="e">
        <f t="shared" si="0"/>
        <v>#REF!</v>
      </c>
      <c r="AM6" s="90" t="e">
        <f t="shared" si="0"/>
        <v>#REF!</v>
      </c>
      <c r="AN6" s="90" t="e">
        <f t="shared" si="0"/>
        <v>#REF!</v>
      </c>
      <c r="AO6" s="90" t="e">
        <f t="shared" si="0"/>
        <v>#REF!</v>
      </c>
      <c r="AP6" s="90" t="e">
        <f t="shared" si="0"/>
        <v>#REF!</v>
      </c>
      <c r="AQ6" s="90" t="e">
        <f t="shared" si="0"/>
        <v>#REF!</v>
      </c>
      <c r="AR6" s="90" t="e">
        <f t="shared" si="0"/>
        <v>#REF!</v>
      </c>
      <c r="AS6" s="90" t="e">
        <f t="shared" si="0"/>
        <v>#REF!</v>
      </c>
      <c r="AT6" s="90" t="e">
        <f t="shared" si="0"/>
        <v>#REF!</v>
      </c>
      <c r="AU6" s="90" t="e">
        <f t="shared" si="0"/>
        <v>#REF!</v>
      </c>
      <c r="AV6" s="90" t="e">
        <f t="shared" si="0"/>
        <v>#REF!</v>
      </c>
      <c r="AW6" s="90" t="e">
        <f t="shared" si="0"/>
        <v>#REF!</v>
      </c>
      <c r="AX6" s="90" t="e">
        <f t="shared" si="0"/>
        <v>#REF!</v>
      </c>
      <c r="AY6" s="90" t="e">
        <f t="shared" si="0"/>
        <v>#REF!</v>
      </c>
      <c r="AZ6" s="90" t="e">
        <f t="shared" si="0"/>
        <v>#REF!</v>
      </c>
      <c r="BA6" s="90" t="e">
        <f t="shared" si="0"/>
        <v>#REF!</v>
      </c>
      <c r="BB6" s="90" t="e">
        <f t="shared" si="0"/>
        <v>#REF!</v>
      </c>
      <c r="BC6" s="90" t="e">
        <f t="shared" si="0"/>
        <v>#REF!</v>
      </c>
      <c r="BD6" s="90" t="e">
        <f t="shared" si="0"/>
        <v>#REF!</v>
      </c>
      <c r="BE6" s="90" t="e">
        <f t="shared" si="0"/>
        <v>#REF!</v>
      </c>
      <c r="BF6" s="90" t="e">
        <f t="shared" si="0"/>
        <v>#REF!</v>
      </c>
      <c r="BG6" s="90" t="e">
        <f t="shared" si="0"/>
        <v>#REF!</v>
      </c>
      <c r="BH6" s="90" t="e">
        <f t="shared" si="0"/>
        <v>#REF!</v>
      </c>
      <c r="BI6" s="90" t="e">
        <f t="shared" si="0"/>
        <v>#REF!</v>
      </c>
      <c r="BJ6" s="90" t="e">
        <f t="shared" si="0"/>
        <v>#REF!</v>
      </c>
      <c r="BK6" s="90" t="e">
        <f t="shared" si="0"/>
        <v>#REF!</v>
      </c>
      <c r="BL6" s="90" t="e">
        <f t="shared" si="0"/>
        <v>#REF!</v>
      </c>
      <c r="BM6" s="90" t="e">
        <f t="shared" si="0"/>
        <v>#REF!</v>
      </c>
      <c r="BN6" s="90" t="e">
        <f t="shared" si="0"/>
        <v>#REF!</v>
      </c>
      <c r="BO6" s="90" t="e">
        <f t="shared" si="0"/>
        <v>#REF!</v>
      </c>
      <c r="BP6" s="90" t="e">
        <f t="shared" si="0"/>
        <v>#REF!</v>
      </c>
      <c r="BQ6" s="90" t="e">
        <f t="shared" si="0"/>
        <v>#REF!</v>
      </c>
      <c r="BR6" s="90" t="e">
        <f t="shared" si="0"/>
        <v>#REF!</v>
      </c>
      <c r="BS6" s="90" t="e">
        <f t="shared" si="0"/>
        <v>#REF!</v>
      </c>
      <c r="BT6" s="90" t="e">
        <f t="shared" si="0"/>
        <v>#REF!</v>
      </c>
      <c r="BU6" s="90" t="e">
        <f t="shared" si="0"/>
        <v>#REF!</v>
      </c>
      <c r="BV6" s="90" t="e">
        <f t="shared" si="0"/>
        <v>#REF!</v>
      </c>
      <c r="BW6" s="90" t="e">
        <f t="shared" si="0"/>
        <v>#REF!</v>
      </c>
      <c r="BX6" s="90" t="e">
        <f t="shared" si="0"/>
        <v>#REF!</v>
      </c>
      <c r="BY6" s="90" t="e">
        <f t="shared" si="0"/>
        <v>#REF!</v>
      </c>
      <c r="BZ6" s="90" t="e">
        <f t="shared" si="0"/>
        <v>#REF!</v>
      </c>
      <c r="CA6" s="90" t="e">
        <f t="shared" si="0"/>
        <v>#REF!</v>
      </c>
      <c r="CB6" s="90" t="e">
        <f t="shared" si="0"/>
        <v>#REF!</v>
      </c>
      <c r="CC6" s="90" t="e">
        <f t="shared" si="0"/>
        <v>#REF!</v>
      </c>
      <c r="CD6" s="90" t="e">
        <f t="shared" si="0"/>
        <v>#REF!</v>
      </c>
      <c r="CE6" s="90" t="e">
        <f t="shared" ref="CE6:EP6" si="1">CE7-CE10</f>
        <v>#REF!</v>
      </c>
      <c r="CF6" s="90" t="e">
        <f t="shared" si="1"/>
        <v>#REF!</v>
      </c>
      <c r="CG6" s="90" t="e">
        <f t="shared" si="1"/>
        <v>#REF!</v>
      </c>
      <c r="CH6" s="90" t="e">
        <f t="shared" si="1"/>
        <v>#REF!</v>
      </c>
      <c r="CI6" s="90" t="e">
        <f t="shared" si="1"/>
        <v>#REF!</v>
      </c>
      <c r="CJ6" s="90" t="e">
        <f t="shared" si="1"/>
        <v>#REF!</v>
      </c>
      <c r="CK6" s="90" t="e">
        <f t="shared" si="1"/>
        <v>#REF!</v>
      </c>
      <c r="CL6" s="90" t="e">
        <f t="shared" si="1"/>
        <v>#REF!</v>
      </c>
      <c r="CM6" s="90" t="e">
        <f t="shared" si="1"/>
        <v>#REF!</v>
      </c>
      <c r="CN6" s="90" t="e">
        <f t="shared" si="1"/>
        <v>#REF!</v>
      </c>
      <c r="CO6" s="90" t="e">
        <f t="shared" si="1"/>
        <v>#REF!</v>
      </c>
      <c r="CP6" s="90" t="e">
        <f t="shared" si="1"/>
        <v>#REF!</v>
      </c>
      <c r="CQ6" s="90" t="e">
        <f t="shared" si="1"/>
        <v>#REF!</v>
      </c>
      <c r="CR6" s="90" t="e">
        <f t="shared" si="1"/>
        <v>#REF!</v>
      </c>
      <c r="CS6" s="90" t="e">
        <f t="shared" si="1"/>
        <v>#REF!</v>
      </c>
      <c r="CT6" s="90" t="e">
        <f t="shared" si="1"/>
        <v>#REF!</v>
      </c>
      <c r="CU6" s="90" t="e">
        <f t="shared" si="1"/>
        <v>#REF!</v>
      </c>
      <c r="CV6" s="90" t="e">
        <f t="shared" si="1"/>
        <v>#REF!</v>
      </c>
      <c r="CW6" s="90" t="e">
        <f t="shared" si="1"/>
        <v>#REF!</v>
      </c>
      <c r="CX6" s="90" t="e">
        <f t="shared" si="1"/>
        <v>#REF!</v>
      </c>
      <c r="CY6" s="90" t="e">
        <f t="shared" si="1"/>
        <v>#REF!</v>
      </c>
      <c r="CZ6" s="90" t="e">
        <f t="shared" si="1"/>
        <v>#REF!</v>
      </c>
      <c r="DA6" s="90" t="e">
        <f t="shared" si="1"/>
        <v>#REF!</v>
      </c>
      <c r="DB6" s="90" t="e">
        <f t="shared" si="1"/>
        <v>#REF!</v>
      </c>
      <c r="DC6" s="90" t="e">
        <f t="shared" si="1"/>
        <v>#REF!</v>
      </c>
      <c r="DD6" s="90" t="e">
        <f t="shared" si="1"/>
        <v>#REF!</v>
      </c>
      <c r="DE6" s="90" t="e">
        <f t="shared" si="1"/>
        <v>#REF!</v>
      </c>
      <c r="DF6" s="90" t="e">
        <f t="shared" si="1"/>
        <v>#REF!</v>
      </c>
      <c r="DG6" s="90" t="e">
        <f t="shared" si="1"/>
        <v>#REF!</v>
      </c>
      <c r="DH6" s="90" t="e">
        <f t="shared" si="1"/>
        <v>#REF!</v>
      </c>
      <c r="DI6" s="90" t="e">
        <f t="shared" si="1"/>
        <v>#REF!</v>
      </c>
      <c r="DJ6" s="90" t="e">
        <f t="shared" si="1"/>
        <v>#REF!</v>
      </c>
      <c r="DK6" s="90" t="e">
        <f t="shared" si="1"/>
        <v>#REF!</v>
      </c>
      <c r="DL6" s="90" t="e">
        <f t="shared" si="1"/>
        <v>#REF!</v>
      </c>
      <c r="DM6" s="90" t="e">
        <f t="shared" si="1"/>
        <v>#REF!</v>
      </c>
      <c r="DN6" s="90" t="e">
        <f t="shared" si="1"/>
        <v>#REF!</v>
      </c>
      <c r="DO6" s="90" t="e">
        <f t="shared" si="1"/>
        <v>#REF!</v>
      </c>
      <c r="DP6" s="90" t="e">
        <f t="shared" si="1"/>
        <v>#REF!</v>
      </c>
      <c r="DQ6" s="90" t="e">
        <f t="shared" si="1"/>
        <v>#REF!</v>
      </c>
      <c r="DR6" s="90" t="e">
        <f t="shared" si="1"/>
        <v>#REF!</v>
      </c>
      <c r="DS6" s="90" t="e">
        <f t="shared" si="1"/>
        <v>#REF!</v>
      </c>
      <c r="DT6" s="90" t="e">
        <f t="shared" si="1"/>
        <v>#REF!</v>
      </c>
      <c r="DU6" s="90" t="e">
        <f t="shared" si="1"/>
        <v>#REF!</v>
      </c>
      <c r="DV6" s="90" t="e">
        <f t="shared" si="1"/>
        <v>#REF!</v>
      </c>
      <c r="DW6" s="90" t="e">
        <f t="shared" si="1"/>
        <v>#REF!</v>
      </c>
      <c r="DX6" s="90" t="e">
        <f t="shared" si="1"/>
        <v>#REF!</v>
      </c>
      <c r="DY6" s="90" t="e">
        <f t="shared" si="1"/>
        <v>#REF!</v>
      </c>
      <c r="DZ6" s="90" t="e">
        <f t="shared" si="1"/>
        <v>#REF!</v>
      </c>
      <c r="EA6" s="90" t="e">
        <f t="shared" si="1"/>
        <v>#REF!</v>
      </c>
      <c r="EB6" s="90" t="e">
        <f t="shared" si="1"/>
        <v>#REF!</v>
      </c>
      <c r="EC6" s="90" t="e">
        <f t="shared" si="1"/>
        <v>#REF!</v>
      </c>
      <c r="ED6" s="90" t="e">
        <f t="shared" si="1"/>
        <v>#REF!</v>
      </c>
      <c r="EE6" s="90" t="e">
        <f t="shared" si="1"/>
        <v>#REF!</v>
      </c>
      <c r="EF6" s="90" t="e">
        <f t="shared" si="1"/>
        <v>#REF!</v>
      </c>
      <c r="EG6" s="90" t="e">
        <f t="shared" si="1"/>
        <v>#REF!</v>
      </c>
      <c r="EH6" s="90" t="e">
        <f t="shared" si="1"/>
        <v>#REF!</v>
      </c>
      <c r="EI6" s="90" t="e">
        <f t="shared" si="1"/>
        <v>#REF!</v>
      </c>
      <c r="EJ6" s="90" t="e">
        <f t="shared" si="1"/>
        <v>#REF!</v>
      </c>
      <c r="EK6" s="90" t="e">
        <f t="shared" si="1"/>
        <v>#REF!</v>
      </c>
      <c r="EL6" s="90" t="e">
        <f t="shared" si="1"/>
        <v>#REF!</v>
      </c>
      <c r="EM6" s="90" t="e">
        <f t="shared" si="1"/>
        <v>#REF!</v>
      </c>
      <c r="EN6" s="90" t="e">
        <f t="shared" si="1"/>
        <v>#REF!</v>
      </c>
      <c r="EO6" s="90" t="e">
        <f t="shared" si="1"/>
        <v>#REF!</v>
      </c>
      <c r="EP6" s="90" t="e">
        <f t="shared" si="1"/>
        <v>#REF!</v>
      </c>
      <c r="EQ6" s="90" t="e">
        <f>EQ7-EQ10</f>
        <v>#REF!</v>
      </c>
      <c r="ER6" s="90" t="e">
        <f>ER7-ER10</f>
        <v>#REF!</v>
      </c>
      <c r="ES6" s="90" t="e">
        <f>ES7-ES10</f>
        <v>#REF!</v>
      </c>
    </row>
    <row r="7" spans="1:150" hidden="1">
      <c r="B7" s="108" t="s">
        <v>1</v>
      </c>
      <c r="C7" s="108"/>
      <c r="D7" s="109">
        <f>50%*25%</f>
        <v>0.125</v>
      </c>
      <c r="E7" s="95"/>
      <c r="M7" s="25"/>
      <c r="N7" s="25"/>
      <c r="O7" s="25"/>
      <c r="Q7" s="106">
        <f>AVERAGE(R7:EQ7)</f>
        <v>2.4923076923076923</v>
      </c>
      <c r="R7" s="90">
        <v>3</v>
      </c>
      <c r="S7" s="90">
        <v>3</v>
      </c>
      <c r="T7" s="90">
        <v>3</v>
      </c>
      <c r="U7" s="90">
        <v>3</v>
      </c>
      <c r="V7" s="90">
        <v>3</v>
      </c>
      <c r="W7" s="90">
        <v>2</v>
      </c>
      <c r="X7" s="90">
        <v>2</v>
      </c>
      <c r="Y7" s="90">
        <v>2</v>
      </c>
      <c r="Z7" s="90">
        <v>2</v>
      </c>
      <c r="AA7" s="90">
        <v>2</v>
      </c>
      <c r="AB7" s="90">
        <v>2</v>
      </c>
      <c r="AC7" s="90">
        <v>2</v>
      </c>
      <c r="AD7" s="90">
        <v>2</v>
      </c>
      <c r="AE7" s="90">
        <v>2</v>
      </c>
      <c r="AF7" s="90">
        <v>2</v>
      </c>
      <c r="AG7" s="90">
        <v>2</v>
      </c>
      <c r="AH7" s="90">
        <v>2</v>
      </c>
      <c r="AI7" s="90">
        <v>1</v>
      </c>
      <c r="AJ7" s="90">
        <v>1</v>
      </c>
      <c r="AK7" s="90">
        <v>1</v>
      </c>
      <c r="AL7" s="90">
        <v>3</v>
      </c>
      <c r="AM7" s="90">
        <v>3</v>
      </c>
      <c r="AN7" s="90">
        <v>3</v>
      </c>
      <c r="AO7" s="90">
        <v>3</v>
      </c>
      <c r="AP7" s="90">
        <v>2</v>
      </c>
      <c r="AQ7" s="90">
        <v>3</v>
      </c>
      <c r="AR7" s="90">
        <v>3</v>
      </c>
      <c r="AS7" s="90">
        <v>3</v>
      </c>
      <c r="AT7" s="90">
        <v>3</v>
      </c>
      <c r="AU7" s="90">
        <v>3</v>
      </c>
      <c r="AV7" s="90">
        <v>2</v>
      </c>
      <c r="AW7" s="90">
        <v>2</v>
      </c>
      <c r="AX7" s="90">
        <v>2</v>
      </c>
      <c r="AY7" s="90">
        <v>0</v>
      </c>
      <c r="AZ7" s="90">
        <v>1</v>
      </c>
      <c r="BA7" s="90">
        <v>1</v>
      </c>
      <c r="BB7" s="90">
        <v>0</v>
      </c>
      <c r="BC7" s="90">
        <v>1</v>
      </c>
      <c r="BD7" s="90">
        <v>1</v>
      </c>
      <c r="BE7" s="90">
        <v>1</v>
      </c>
      <c r="BF7" s="90">
        <v>2</v>
      </c>
      <c r="BG7" s="90">
        <v>2</v>
      </c>
      <c r="BH7" s="90">
        <v>2</v>
      </c>
      <c r="BI7" s="90">
        <v>2</v>
      </c>
      <c r="BJ7" s="90">
        <v>2</v>
      </c>
      <c r="BK7" s="90">
        <v>2</v>
      </c>
      <c r="BL7" s="90">
        <v>2</v>
      </c>
      <c r="BM7" s="90">
        <v>2</v>
      </c>
      <c r="BN7" s="90">
        <v>2</v>
      </c>
      <c r="BO7" s="90">
        <v>2</v>
      </c>
      <c r="BP7" s="90">
        <v>2</v>
      </c>
      <c r="BQ7" s="90">
        <v>2</v>
      </c>
      <c r="BR7" s="90">
        <v>2</v>
      </c>
      <c r="BS7" s="90">
        <v>2</v>
      </c>
      <c r="BT7" s="90">
        <v>2</v>
      </c>
      <c r="BU7" s="90">
        <v>3</v>
      </c>
      <c r="BV7" s="90">
        <v>3</v>
      </c>
      <c r="BW7" s="90">
        <v>3</v>
      </c>
      <c r="BX7" s="90">
        <v>3</v>
      </c>
      <c r="BY7" s="90">
        <v>3</v>
      </c>
      <c r="BZ7" s="90">
        <v>3</v>
      </c>
      <c r="CA7" s="90">
        <v>3</v>
      </c>
      <c r="CB7" s="90">
        <v>3</v>
      </c>
      <c r="CC7" s="90">
        <v>3</v>
      </c>
      <c r="CD7" s="90">
        <v>3</v>
      </c>
      <c r="CE7" s="90">
        <v>3</v>
      </c>
      <c r="CF7" s="90">
        <v>3</v>
      </c>
      <c r="CG7" s="90">
        <v>3</v>
      </c>
      <c r="CH7" s="90">
        <v>3</v>
      </c>
      <c r="CI7" s="90">
        <v>3</v>
      </c>
      <c r="CJ7" s="90">
        <v>3</v>
      </c>
      <c r="CK7" s="90">
        <v>3</v>
      </c>
      <c r="CL7" s="90">
        <v>3</v>
      </c>
      <c r="CM7" s="90">
        <v>3</v>
      </c>
      <c r="CN7" s="90">
        <v>3</v>
      </c>
      <c r="CO7" s="90">
        <v>3</v>
      </c>
      <c r="CP7" s="90">
        <v>3</v>
      </c>
      <c r="CQ7" s="90">
        <v>3</v>
      </c>
      <c r="CR7" s="90">
        <v>3</v>
      </c>
      <c r="CS7" s="90">
        <v>3</v>
      </c>
      <c r="CT7" s="90">
        <v>3</v>
      </c>
      <c r="CU7" s="90">
        <v>3</v>
      </c>
      <c r="CV7" s="90">
        <v>3</v>
      </c>
      <c r="CW7" s="90">
        <v>3</v>
      </c>
      <c r="CX7" s="90">
        <v>3</v>
      </c>
      <c r="CY7" s="90">
        <v>3</v>
      </c>
      <c r="CZ7" s="90">
        <v>3</v>
      </c>
      <c r="DA7" s="90">
        <v>3</v>
      </c>
      <c r="DB7" s="90">
        <v>3</v>
      </c>
      <c r="DC7" s="90">
        <v>3</v>
      </c>
      <c r="DD7" s="90">
        <v>3</v>
      </c>
      <c r="DE7" s="90">
        <v>3</v>
      </c>
      <c r="DF7" s="90">
        <v>3</v>
      </c>
      <c r="DG7" s="90">
        <v>3</v>
      </c>
      <c r="DH7" s="90">
        <v>3</v>
      </c>
      <c r="DI7" s="90">
        <v>3</v>
      </c>
      <c r="DJ7" s="90">
        <v>3</v>
      </c>
      <c r="DK7" s="90">
        <v>3</v>
      </c>
      <c r="DL7" s="90">
        <v>3</v>
      </c>
      <c r="DM7" s="90">
        <v>3</v>
      </c>
      <c r="DN7" s="90">
        <v>3</v>
      </c>
      <c r="DO7" s="90">
        <v>3</v>
      </c>
      <c r="DP7" s="90">
        <v>3</v>
      </c>
      <c r="DQ7" s="90">
        <v>3</v>
      </c>
      <c r="DR7" s="90">
        <v>3</v>
      </c>
      <c r="DS7" s="90">
        <v>2</v>
      </c>
      <c r="DT7" s="90">
        <v>3</v>
      </c>
      <c r="DU7" s="90">
        <v>3</v>
      </c>
      <c r="DV7" s="90">
        <v>3</v>
      </c>
      <c r="DW7" s="90">
        <v>3</v>
      </c>
      <c r="DX7" s="90">
        <v>3</v>
      </c>
      <c r="DY7" s="90">
        <v>3</v>
      </c>
      <c r="DZ7" s="90">
        <v>3</v>
      </c>
      <c r="EA7" s="90">
        <v>3</v>
      </c>
      <c r="EB7" s="90">
        <v>3</v>
      </c>
      <c r="EC7" s="90">
        <v>3</v>
      </c>
      <c r="ED7" s="90">
        <v>3</v>
      </c>
      <c r="EE7" s="90">
        <v>3</v>
      </c>
      <c r="EF7" s="90">
        <v>3</v>
      </c>
      <c r="EG7" s="90">
        <v>3</v>
      </c>
      <c r="EH7" s="90">
        <v>3</v>
      </c>
      <c r="EI7" s="90">
        <v>3</v>
      </c>
      <c r="EJ7" s="90">
        <v>3</v>
      </c>
      <c r="EK7" s="90">
        <v>3</v>
      </c>
      <c r="EL7" s="90">
        <v>3</v>
      </c>
      <c r="EM7" s="90">
        <v>3</v>
      </c>
      <c r="EN7" s="90">
        <v>0</v>
      </c>
      <c r="EO7" s="90">
        <v>0</v>
      </c>
      <c r="EP7" s="90">
        <v>0</v>
      </c>
      <c r="EQ7" s="90">
        <v>0</v>
      </c>
      <c r="ER7" s="90">
        <v>0</v>
      </c>
      <c r="ES7" s="90">
        <v>0</v>
      </c>
    </row>
    <row r="8" spans="1:150" hidden="1">
      <c r="M8" s="25"/>
      <c r="N8" s="25"/>
      <c r="O8" s="25"/>
    </row>
    <row r="9" spans="1:150" hidden="1">
      <c r="M9" s="25"/>
      <c r="N9" s="25"/>
      <c r="O9" s="25"/>
      <c r="Q9" s="169">
        <v>45595</v>
      </c>
      <c r="R9" t="str">
        <f>IF(R13&lt;=$Q$9,"S","N")</f>
        <v>S</v>
      </c>
      <c r="S9" t="str">
        <f t="shared" ref="S9:CD9" si="2">IF(S13&lt;=$Q$9,"S","N")</f>
        <v>S</v>
      </c>
      <c r="T9" t="str">
        <f t="shared" si="2"/>
        <v>S</v>
      </c>
      <c r="U9" t="str">
        <f t="shared" si="2"/>
        <v>S</v>
      </c>
      <c r="V9" t="str">
        <f t="shared" si="2"/>
        <v>S</v>
      </c>
      <c r="W9" t="str">
        <f t="shared" si="2"/>
        <v>S</v>
      </c>
      <c r="X9" t="str">
        <f t="shared" si="2"/>
        <v>S</v>
      </c>
      <c r="Y9" t="str">
        <f t="shared" si="2"/>
        <v>S</v>
      </c>
      <c r="Z9" t="str">
        <f t="shared" si="2"/>
        <v>S</v>
      </c>
      <c r="AA9" t="str">
        <f t="shared" si="2"/>
        <v>S</v>
      </c>
      <c r="AB9" t="str">
        <f t="shared" si="2"/>
        <v>S</v>
      </c>
      <c r="AC9" t="str">
        <f t="shared" si="2"/>
        <v>S</v>
      </c>
      <c r="AD9" t="str">
        <f t="shared" si="2"/>
        <v>S</v>
      </c>
      <c r="AE9" t="str">
        <f t="shared" si="2"/>
        <v>S</v>
      </c>
      <c r="AF9" t="str">
        <f t="shared" si="2"/>
        <v>S</v>
      </c>
      <c r="AG9" t="str">
        <f t="shared" si="2"/>
        <v>S</v>
      </c>
      <c r="AH9" t="str">
        <f t="shared" si="2"/>
        <v>S</v>
      </c>
      <c r="AI9" t="str">
        <f t="shared" si="2"/>
        <v>S</v>
      </c>
      <c r="AJ9" t="str">
        <f t="shared" si="2"/>
        <v>S</v>
      </c>
      <c r="AK9" t="str">
        <f t="shared" si="2"/>
        <v>S</v>
      </c>
      <c r="AL9" t="str">
        <f t="shared" si="2"/>
        <v>S</v>
      </c>
      <c r="AM9" t="str">
        <f t="shared" si="2"/>
        <v>S</v>
      </c>
      <c r="AN9" t="str">
        <f t="shared" si="2"/>
        <v>S</v>
      </c>
      <c r="AO9" t="str">
        <f t="shared" si="2"/>
        <v>S</v>
      </c>
      <c r="AP9" t="str">
        <f t="shared" si="2"/>
        <v>S</v>
      </c>
      <c r="AQ9" t="str">
        <f t="shared" si="2"/>
        <v>S</v>
      </c>
      <c r="AR9" t="str">
        <f t="shared" si="2"/>
        <v>S</v>
      </c>
      <c r="AS9" t="str">
        <f t="shared" si="2"/>
        <v>S</v>
      </c>
      <c r="AT9" t="str">
        <f t="shared" si="2"/>
        <v>S</v>
      </c>
      <c r="AU9" t="str">
        <f t="shared" si="2"/>
        <v>S</v>
      </c>
      <c r="AV9" t="str">
        <f t="shared" si="2"/>
        <v>S</v>
      </c>
      <c r="AW9" t="str">
        <f t="shared" si="2"/>
        <v>S</v>
      </c>
      <c r="AX9" t="str">
        <f t="shared" si="2"/>
        <v>S</v>
      </c>
      <c r="AY9" t="str">
        <f t="shared" si="2"/>
        <v>S</v>
      </c>
      <c r="AZ9" t="str">
        <f t="shared" si="2"/>
        <v>S</v>
      </c>
      <c r="BA9" t="str">
        <f t="shared" si="2"/>
        <v>S</v>
      </c>
      <c r="BB9" t="str">
        <f t="shared" si="2"/>
        <v>S</v>
      </c>
      <c r="BC9" t="str">
        <f t="shared" si="2"/>
        <v>S</v>
      </c>
      <c r="BD9" t="str">
        <f t="shared" si="2"/>
        <v>S</v>
      </c>
      <c r="BE9" t="str">
        <f t="shared" si="2"/>
        <v>S</v>
      </c>
      <c r="BF9" t="str">
        <f t="shared" si="2"/>
        <v>S</v>
      </c>
      <c r="BG9" t="str">
        <f t="shared" si="2"/>
        <v>S</v>
      </c>
      <c r="BH9" t="str">
        <f t="shared" si="2"/>
        <v>S</v>
      </c>
      <c r="BI9" t="str">
        <f t="shared" si="2"/>
        <v>S</v>
      </c>
      <c r="BJ9" t="str">
        <f t="shared" si="2"/>
        <v>S</v>
      </c>
      <c r="BK9" t="str">
        <f t="shared" si="2"/>
        <v>S</v>
      </c>
      <c r="BL9" t="str">
        <f t="shared" si="2"/>
        <v>S</v>
      </c>
      <c r="BM9" t="str">
        <f t="shared" si="2"/>
        <v>S</v>
      </c>
      <c r="BN9" t="str">
        <f t="shared" si="2"/>
        <v>S</v>
      </c>
      <c r="BO9" t="str">
        <f t="shared" si="2"/>
        <v>S</v>
      </c>
      <c r="BP9" t="str">
        <f t="shared" si="2"/>
        <v>S</v>
      </c>
      <c r="BQ9" t="str">
        <f t="shared" si="2"/>
        <v>S</v>
      </c>
      <c r="BR9" t="str">
        <f t="shared" si="2"/>
        <v>S</v>
      </c>
      <c r="BS9" t="str">
        <f t="shared" si="2"/>
        <v>S</v>
      </c>
      <c r="BT9" t="str">
        <f t="shared" si="2"/>
        <v>S</v>
      </c>
      <c r="BU9" t="str">
        <f t="shared" si="2"/>
        <v>S</v>
      </c>
      <c r="BV9" t="str">
        <f t="shared" si="2"/>
        <v>S</v>
      </c>
      <c r="BW9" t="str">
        <f t="shared" si="2"/>
        <v>S</v>
      </c>
      <c r="BX9" t="str">
        <f t="shared" si="2"/>
        <v>S</v>
      </c>
      <c r="BY9" t="str">
        <f t="shared" si="2"/>
        <v>S</v>
      </c>
      <c r="BZ9" t="str">
        <f t="shared" si="2"/>
        <v>S</v>
      </c>
      <c r="CA9" t="str">
        <f t="shared" si="2"/>
        <v>S</v>
      </c>
      <c r="CB9" t="str">
        <f t="shared" si="2"/>
        <v>S</v>
      </c>
      <c r="CC9" t="str">
        <f t="shared" si="2"/>
        <v>S</v>
      </c>
      <c r="CD9" t="str">
        <f t="shared" si="2"/>
        <v>S</v>
      </c>
      <c r="CE9" t="str">
        <f t="shared" ref="CE9:EP9" si="3">IF(CE13&lt;=$Q$9,"S","N")</f>
        <v>S</v>
      </c>
      <c r="CF9" t="str">
        <f t="shared" si="3"/>
        <v>S</v>
      </c>
      <c r="CG9" t="str">
        <f t="shared" si="3"/>
        <v>S</v>
      </c>
      <c r="CH9" t="str">
        <f t="shared" si="3"/>
        <v>S</v>
      </c>
      <c r="CI9" t="str">
        <f t="shared" si="3"/>
        <v>S</v>
      </c>
      <c r="CJ9" t="str">
        <f t="shared" si="3"/>
        <v>S</v>
      </c>
      <c r="CK9" t="str">
        <f t="shared" si="3"/>
        <v>S</v>
      </c>
      <c r="CL9" t="str">
        <f t="shared" si="3"/>
        <v>S</v>
      </c>
      <c r="CM9" t="str">
        <f t="shared" si="3"/>
        <v>S</v>
      </c>
      <c r="CN9" t="str">
        <f t="shared" si="3"/>
        <v>S</v>
      </c>
      <c r="CO9" t="str">
        <f t="shared" si="3"/>
        <v>S</v>
      </c>
      <c r="CP9" t="str">
        <f t="shared" si="3"/>
        <v>S</v>
      </c>
      <c r="CQ9" t="str">
        <f t="shared" si="3"/>
        <v>S</v>
      </c>
      <c r="CR9" t="str">
        <f t="shared" si="3"/>
        <v>S</v>
      </c>
      <c r="CS9" t="str">
        <f t="shared" si="3"/>
        <v>S</v>
      </c>
      <c r="CT9" t="str">
        <f t="shared" si="3"/>
        <v>S</v>
      </c>
      <c r="CU9" t="str">
        <f t="shared" si="3"/>
        <v>S</v>
      </c>
      <c r="CV9" t="str">
        <f t="shared" si="3"/>
        <v>S</v>
      </c>
      <c r="CW9" t="str">
        <f t="shared" si="3"/>
        <v>S</v>
      </c>
      <c r="CX9" t="str">
        <f t="shared" si="3"/>
        <v>S</v>
      </c>
      <c r="CY9" t="str">
        <f t="shared" si="3"/>
        <v>S</v>
      </c>
      <c r="CZ9" t="str">
        <f t="shared" si="3"/>
        <v>S</v>
      </c>
      <c r="DA9" t="str">
        <f t="shared" si="3"/>
        <v>S</v>
      </c>
      <c r="DB9" t="str">
        <f t="shared" si="3"/>
        <v>N</v>
      </c>
      <c r="DC9" t="str">
        <f t="shared" si="3"/>
        <v>N</v>
      </c>
      <c r="DD9" t="str">
        <f t="shared" si="3"/>
        <v>N</v>
      </c>
      <c r="DE9" t="str">
        <f t="shared" si="3"/>
        <v>N</v>
      </c>
      <c r="DF9" t="str">
        <f t="shared" si="3"/>
        <v>N</v>
      </c>
      <c r="DG9" t="str">
        <f t="shared" si="3"/>
        <v>N</v>
      </c>
      <c r="DH9" t="str">
        <f t="shared" si="3"/>
        <v>N</v>
      </c>
      <c r="DI9" t="str">
        <f t="shared" si="3"/>
        <v>N</v>
      </c>
      <c r="DJ9" t="str">
        <f t="shared" si="3"/>
        <v>N</v>
      </c>
      <c r="DK9" t="str">
        <f t="shared" si="3"/>
        <v>N</v>
      </c>
      <c r="DL9" t="str">
        <f t="shared" si="3"/>
        <v>N</v>
      </c>
      <c r="DM9" t="str">
        <f t="shared" si="3"/>
        <v>N</v>
      </c>
      <c r="DN9" t="str">
        <f t="shared" si="3"/>
        <v>N</v>
      </c>
      <c r="DO9" t="str">
        <f t="shared" si="3"/>
        <v>N</v>
      </c>
      <c r="DP9" t="str">
        <f t="shared" si="3"/>
        <v>N</v>
      </c>
      <c r="DQ9" t="str">
        <f t="shared" si="3"/>
        <v>N</v>
      </c>
      <c r="DR9" t="str">
        <f t="shared" si="3"/>
        <v>N</v>
      </c>
      <c r="DS9" t="str">
        <f t="shared" si="3"/>
        <v>N</v>
      </c>
      <c r="DT9" t="str">
        <f t="shared" si="3"/>
        <v>N</v>
      </c>
      <c r="DU9" t="str">
        <f t="shared" si="3"/>
        <v>N</v>
      </c>
      <c r="DV9" t="str">
        <f t="shared" si="3"/>
        <v>N</v>
      </c>
      <c r="DW9" t="str">
        <f t="shared" si="3"/>
        <v>N</v>
      </c>
      <c r="DX9" t="str">
        <f t="shared" si="3"/>
        <v>N</v>
      </c>
      <c r="DY9" t="str">
        <f t="shared" si="3"/>
        <v>N</v>
      </c>
      <c r="DZ9" t="str">
        <f t="shared" si="3"/>
        <v>N</v>
      </c>
      <c r="EA9" t="str">
        <f t="shared" si="3"/>
        <v>N</v>
      </c>
      <c r="EB9" t="str">
        <f t="shared" si="3"/>
        <v>N</v>
      </c>
      <c r="EC9" t="str">
        <f t="shared" si="3"/>
        <v>N</v>
      </c>
      <c r="ED9" t="str">
        <f t="shared" si="3"/>
        <v>N</v>
      </c>
      <c r="EE9" t="str">
        <f t="shared" si="3"/>
        <v>N</v>
      </c>
      <c r="EF9" t="str">
        <f t="shared" si="3"/>
        <v>N</v>
      </c>
      <c r="EG9" t="str">
        <f t="shared" si="3"/>
        <v>N</v>
      </c>
      <c r="EH9" t="str">
        <f t="shared" si="3"/>
        <v>N</v>
      </c>
      <c r="EI9" t="str">
        <f t="shared" si="3"/>
        <v>N</v>
      </c>
      <c r="EJ9" t="str">
        <f t="shared" si="3"/>
        <v>N</v>
      </c>
      <c r="EK9" t="str">
        <f t="shared" si="3"/>
        <v>N</v>
      </c>
      <c r="EL9" t="str">
        <f t="shared" si="3"/>
        <v>N</v>
      </c>
      <c r="EM9" t="str">
        <f t="shared" si="3"/>
        <v>N</v>
      </c>
      <c r="EN9" t="str">
        <f t="shared" si="3"/>
        <v>N</v>
      </c>
      <c r="EO9" t="str">
        <f t="shared" si="3"/>
        <v>N</v>
      </c>
      <c r="EP9" t="str">
        <f t="shared" si="3"/>
        <v>N</v>
      </c>
      <c r="EQ9" t="str">
        <f>IF(EQ13&lt;=$Q$9,"S","N")</f>
        <v>N</v>
      </c>
      <c r="ER9" t="str">
        <f>IF(ER13&lt;=$Q$9,"S","N")</f>
        <v>N</v>
      </c>
      <c r="ES9" t="str">
        <f>IF(ES13&lt;=$Q$9,"S","N")</f>
        <v>N</v>
      </c>
    </row>
    <row r="10" spans="1:150" hidden="1">
      <c r="M10" s="25"/>
      <c r="N10" s="25"/>
      <c r="O10" s="25"/>
      <c r="R10" s="90" t="e">
        <f t="shared" ref="R10:AW10" si="4">SUBTOTAL(9,R14:R768)</f>
        <v>#REF!</v>
      </c>
      <c r="S10" s="90" t="e">
        <f t="shared" si="4"/>
        <v>#REF!</v>
      </c>
      <c r="T10" s="90" t="e">
        <f t="shared" si="4"/>
        <v>#REF!</v>
      </c>
      <c r="U10" s="90" t="e">
        <f t="shared" si="4"/>
        <v>#REF!</v>
      </c>
      <c r="V10" s="90" t="e">
        <f t="shared" si="4"/>
        <v>#REF!</v>
      </c>
      <c r="W10" s="90" t="e">
        <f t="shared" si="4"/>
        <v>#REF!</v>
      </c>
      <c r="X10" s="90" t="e">
        <f t="shared" si="4"/>
        <v>#REF!</v>
      </c>
      <c r="Y10" s="90" t="e">
        <f t="shared" si="4"/>
        <v>#REF!</v>
      </c>
      <c r="Z10" s="90" t="e">
        <f t="shared" si="4"/>
        <v>#REF!</v>
      </c>
      <c r="AA10" s="90" t="e">
        <f t="shared" si="4"/>
        <v>#REF!</v>
      </c>
      <c r="AB10" s="90" t="e">
        <f t="shared" si="4"/>
        <v>#REF!</v>
      </c>
      <c r="AC10" s="90" t="e">
        <f t="shared" si="4"/>
        <v>#REF!</v>
      </c>
      <c r="AD10" s="90" t="e">
        <f t="shared" si="4"/>
        <v>#REF!</v>
      </c>
      <c r="AE10" s="90" t="e">
        <f t="shared" si="4"/>
        <v>#REF!</v>
      </c>
      <c r="AF10" s="90" t="e">
        <f t="shared" si="4"/>
        <v>#REF!</v>
      </c>
      <c r="AG10" s="90" t="e">
        <f t="shared" si="4"/>
        <v>#REF!</v>
      </c>
      <c r="AH10" s="90" t="e">
        <f t="shared" si="4"/>
        <v>#REF!</v>
      </c>
      <c r="AI10" s="90" t="e">
        <f t="shared" si="4"/>
        <v>#REF!</v>
      </c>
      <c r="AJ10" s="90" t="e">
        <f t="shared" si="4"/>
        <v>#REF!</v>
      </c>
      <c r="AK10" s="90" t="e">
        <f t="shared" si="4"/>
        <v>#REF!</v>
      </c>
      <c r="AL10" s="90" t="e">
        <f t="shared" si="4"/>
        <v>#REF!</v>
      </c>
      <c r="AM10" s="90" t="e">
        <f t="shared" si="4"/>
        <v>#REF!</v>
      </c>
      <c r="AN10" s="90" t="e">
        <f t="shared" si="4"/>
        <v>#REF!</v>
      </c>
      <c r="AO10" s="90" t="e">
        <f t="shared" si="4"/>
        <v>#REF!</v>
      </c>
      <c r="AP10" s="90" t="e">
        <f t="shared" si="4"/>
        <v>#REF!</v>
      </c>
      <c r="AQ10" s="90" t="e">
        <f t="shared" si="4"/>
        <v>#REF!</v>
      </c>
      <c r="AR10" s="90" t="e">
        <f t="shared" si="4"/>
        <v>#REF!</v>
      </c>
      <c r="AS10" s="90" t="e">
        <f t="shared" si="4"/>
        <v>#REF!</v>
      </c>
      <c r="AT10" s="90" t="e">
        <f t="shared" si="4"/>
        <v>#REF!</v>
      </c>
      <c r="AU10" s="90" t="e">
        <f t="shared" si="4"/>
        <v>#REF!</v>
      </c>
      <c r="AV10" s="90" t="e">
        <f t="shared" si="4"/>
        <v>#REF!</v>
      </c>
      <c r="AW10" s="90" t="e">
        <f t="shared" si="4"/>
        <v>#REF!</v>
      </c>
      <c r="AX10" s="90" t="e">
        <f t="shared" ref="AX10:CC10" si="5">SUBTOTAL(9,AX14:AX768)</f>
        <v>#REF!</v>
      </c>
      <c r="AY10" s="90" t="e">
        <f t="shared" si="5"/>
        <v>#REF!</v>
      </c>
      <c r="AZ10" s="90" t="e">
        <f t="shared" si="5"/>
        <v>#REF!</v>
      </c>
      <c r="BA10" s="90" t="e">
        <f t="shared" si="5"/>
        <v>#REF!</v>
      </c>
      <c r="BB10" s="90" t="e">
        <f t="shared" si="5"/>
        <v>#REF!</v>
      </c>
      <c r="BC10" s="90" t="e">
        <f t="shared" si="5"/>
        <v>#REF!</v>
      </c>
      <c r="BD10" s="90" t="e">
        <f t="shared" si="5"/>
        <v>#REF!</v>
      </c>
      <c r="BE10" s="90" t="e">
        <f t="shared" si="5"/>
        <v>#REF!</v>
      </c>
      <c r="BF10" s="90" t="e">
        <f t="shared" si="5"/>
        <v>#REF!</v>
      </c>
      <c r="BG10" s="90" t="e">
        <f t="shared" si="5"/>
        <v>#REF!</v>
      </c>
      <c r="BH10" s="90" t="e">
        <f t="shared" si="5"/>
        <v>#REF!</v>
      </c>
      <c r="BI10" s="90" t="e">
        <f t="shared" si="5"/>
        <v>#REF!</v>
      </c>
      <c r="BJ10" s="90" t="e">
        <f t="shared" si="5"/>
        <v>#REF!</v>
      </c>
      <c r="BK10" s="90" t="e">
        <f t="shared" si="5"/>
        <v>#REF!</v>
      </c>
      <c r="BL10" s="90" t="e">
        <f t="shared" si="5"/>
        <v>#REF!</v>
      </c>
      <c r="BM10" s="90" t="e">
        <f t="shared" si="5"/>
        <v>#REF!</v>
      </c>
      <c r="BN10" s="90" t="e">
        <f t="shared" si="5"/>
        <v>#REF!</v>
      </c>
      <c r="BO10" s="90" t="e">
        <f t="shared" si="5"/>
        <v>#REF!</v>
      </c>
      <c r="BP10" s="90" t="e">
        <f t="shared" si="5"/>
        <v>#REF!</v>
      </c>
      <c r="BQ10" s="90" t="e">
        <f t="shared" si="5"/>
        <v>#REF!</v>
      </c>
      <c r="BR10" s="90" t="e">
        <f t="shared" si="5"/>
        <v>#REF!</v>
      </c>
      <c r="BS10" s="90" t="e">
        <f t="shared" si="5"/>
        <v>#REF!</v>
      </c>
      <c r="BT10" s="90" t="e">
        <f t="shared" si="5"/>
        <v>#REF!</v>
      </c>
      <c r="BU10" s="90" t="e">
        <f t="shared" si="5"/>
        <v>#REF!</v>
      </c>
      <c r="BV10" s="90" t="e">
        <f t="shared" si="5"/>
        <v>#REF!</v>
      </c>
      <c r="BW10" s="90" t="e">
        <f t="shared" si="5"/>
        <v>#REF!</v>
      </c>
      <c r="BX10" s="90" t="e">
        <f t="shared" si="5"/>
        <v>#REF!</v>
      </c>
      <c r="BY10" s="90" t="e">
        <f t="shared" si="5"/>
        <v>#REF!</v>
      </c>
      <c r="BZ10" s="90" t="e">
        <f t="shared" si="5"/>
        <v>#REF!</v>
      </c>
      <c r="CA10" s="90" t="e">
        <f t="shared" si="5"/>
        <v>#REF!</v>
      </c>
      <c r="CB10" s="90" t="e">
        <f t="shared" si="5"/>
        <v>#REF!</v>
      </c>
      <c r="CC10" s="90" t="e">
        <f t="shared" si="5"/>
        <v>#REF!</v>
      </c>
      <c r="CD10" s="90" t="e">
        <f t="shared" ref="CD10:DI10" si="6">SUBTOTAL(9,CD14:CD768)</f>
        <v>#REF!</v>
      </c>
      <c r="CE10" s="90" t="e">
        <f t="shared" si="6"/>
        <v>#REF!</v>
      </c>
      <c r="CF10" s="90" t="e">
        <f t="shared" si="6"/>
        <v>#REF!</v>
      </c>
      <c r="CG10" s="90" t="e">
        <f t="shared" si="6"/>
        <v>#REF!</v>
      </c>
      <c r="CH10" s="90" t="e">
        <f t="shared" si="6"/>
        <v>#REF!</v>
      </c>
      <c r="CI10" s="90" t="e">
        <f t="shared" si="6"/>
        <v>#REF!</v>
      </c>
      <c r="CJ10" s="90" t="e">
        <f t="shared" si="6"/>
        <v>#REF!</v>
      </c>
      <c r="CK10" s="90" t="e">
        <f t="shared" si="6"/>
        <v>#REF!</v>
      </c>
      <c r="CL10" s="90" t="e">
        <f t="shared" si="6"/>
        <v>#REF!</v>
      </c>
      <c r="CM10" s="90" t="e">
        <f t="shared" si="6"/>
        <v>#REF!</v>
      </c>
      <c r="CN10" s="90" t="e">
        <f t="shared" si="6"/>
        <v>#REF!</v>
      </c>
      <c r="CO10" s="90" t="e">
        <f t="shared" si="6"/>
        <v>#REF!</v>
      </c>
      <c r="CP10" s="90" t="e">
        <f t="shared" si="6"/>
        <v>#REF!</v>
      </c>
      <c r="CQ10" s="90" t="e">
        <f t="shared" si="6"/>
        <v>#REF!</v>
      </c>
      <c r="CR10" s="90" t="e">
        <f t="shared" si="6"/>
        <v>#REF!</v>
      </c>
      <c r="CS10" s="90" t="e">
        <f t="shared" si="6"/>
        <v>#REF!</v>
      </c>
      <c r="CT10" s="90" t="e">
        <f t="shared" si="6"/>
        <v>#REF!</v>
      </c>
      <c r="CU10" s="90" t="e">
        <f t="shared" si="6"/>
        <v>#REF!</v>
      </c>
      <c r="CV10" s="90" t="e">
        <f t="shared" si="6"/>
        <v>#REF!</v>
      </c>
      <c r="CW10" s="90" t="e">
        <f t="shared" si="6"/>
        <v>#REF!</v>
      </c>
      <c r="CX10" s="90" t="e">
        <f t="shared" si="6"/>
        <v>#REF!</v>
      </c>
      <c r="CY10" s="90" t="e">
        <f t="shared" si="6"/>
        <v>#REF!</v>
      </c>
      <c r="CZ10" s="90" t="e">
        <f t="shared" si="6"/>
        <v>#REF!</v>
      </c>
      <c r="DA10" s="90" t="e">
        <f t="shared" si="6"/>
        <v>#REF!</v>
      </c>
      <c r="DB10" s="90" t="e">
        <f t="shared" si="6"/>
        <v>#REF!</v>
      </c>
      <c r="DC10" s="90" t="e">
        <f t="shared" si="6"/>
        <v>#REF!</v>
      </c>
      <c r="DD10" s="90" t="e">
        <f t="shared" si="6"/>
        <v>#REF!</v>
      </c>
      <c r="DE10" s="90" t="e">
        <f t="shared" si="6"/>
        <v>#REF!</v>
      </c>
      <c r="DF10" s="90" t="e">
        <f t="shared" si="6"/>
        <v>#REF!</v>
      </c>
      <c r="DG10" s="90" t="e">
        <f t="shared" si="6"/>
        <v>#REF!</v>
      </c>
      <c r="DH10" s="90" t="e">
        <f t="shared" si="6"/>
        <v>#REF!</v>
      </c>
      <c r="DI10" s="90" t="e">
        <f t="shared" si="6"/>
        <v>#REF!</v>
      </c>
      <c r="DJ10" s="90" t="e">
        <f t="shared" ref="DJ10:ES10" si="7">SUBTOTAL(9,DJ14:DJ768)</f>
        <v>#REF!</v>
      </c>
      <c r="DK10" s="90" t="e">
        <f t="shared" si="7"/>
        <v>#REF!</v>
      </c>
      <c r="DL10" s="90" t="e">
        <f t="shared" si="7"/>
        <v>#REF!</v>
      </c>
      <c r="DM10" s="90" t="e">
        <f t="shared" si="7"/>
        <v>#REF!</v>
      </c>
      <c r="DN10" s="90" t="e">
        <f t="shared" si="7"/>
        <v>#REF!</v>
      </c>
      <c r="DO10" s="90" t="e">
        <f t="shared" si="7"/>
        <v>#REF!</v>
      </c>
      <c r="DP10" s="90" t="e">
        <f t="shared" si="7"/>
        <v>#REF!</v>
      </c>
      <c r="DQ10" s="90" t="e">
        <f t="shared" si="7"/>
        <v>#REF!</v>
      </c>
      <c r="DR10" s="90" t="e">
        <f t="shared" si="7"/>
        <v>#REF!</v>
      </c>
      <c r="DS10" s="90" t="e">
        <f t="shared" si="7"/>
        <v>#REF!</v>
      </c>
      <c r="DT10" s="90" t="e">
        <f t="shared" si="7"/>
        <v>#REF!</v>
      </c>
      <c r="DU10" s="90" t="e">
        <f t="shared" si="7"/>
        <v>#REF!</v>
      </c>
      <c r="DV10" s="90" t="e">
        <f t="shared" si="7"/>
        <v>#REF!</v>
      </c>
      <c r="DW10" s="90" t="e">
        <f t="shared" si="7"/>
        <v>#REF!</v>
      </c>
      <c r="DX10" s="90" t="e">
        <f t="shared" si="7"/>
        <v>#REF!</v>
      </c>
      <c r="DY10" s="90" t="e">
        <f t="shared" si="7"/>
        <v>#REF!</v>
      </c>
      <c r="DZ10" s="90" t="e">
        <f t="shared" si="7"/>
        <v>#REF!</v>
      </c>
      <c r="EA10" s="90" t="e">
        <f t="shared" si="7"/>
        <v>#REF!</v>
      </c>
      <c r="EB10" s="90" t="e">
        <f t="shared" si="7"/>
        <v>#REF!</v>
      </c>
      <c r="EC10" s="90" t="e">
        <f t="shared" si="7"/>
        <v>#REF!</v>
      </c>
      <c r="ED10" s="90" t="e">
        <f t="shared" si="7"/>
        <v>#REF!</v>
      </c>
      <c r="EE10" s="90" t="e">
        <f t="shared" si="7"/>
        <v>#REF!</v>
      </c>
      <c r="EF10" s="90" t="e">
        <f t="shared" si="7"/>
        <v>#REF!</v>
      </c>
      <c r="EG10" s="90" t="e">
        <f t="shared" si="7"/>
        <v>#REF!</v>
      </c>
      <c r="EH10" s="90" t="e">
        <f t="shared" si="7"/>
        <v>#REF!</v>
      </c>
      <c r="EI10" s="90" t="e">
        <f t="shared" si="7"/>
        <v>#REF!</v>
      </c>
      <c r="EJ10" s="90" t="e">
        <f t="shared" si="7"/>
        <v>#REF!</v>
      </c>
      <c r="EK10" s="90" t="e">
        <f t="shared" si="7"/>
        <v>#REF!</v>
      </c>
      <c r="EL10" s="90" t="e">
        <f t="shared" si="7"/>
        <v>#REF!</v>
      </c>
      <c r="EM10" s="90" t="e">
        <f t="shared" si="7"/>
        <v>#REF!</v>
      </c>
      <c r="EN10" s="90" t="e">
        <f t="shared" si="7"/>
        <v>#REF!</v>
      </c>
      <c r="EO10" s="90" t="e">
        <f t="shared" si="7"/>
        <v>#REF!</v>
      </c>
      <c r="EP10" s="90" t="e">
        <f t="shared" si="7"/>
        <v>#REF!</v>
      </c>
      <c r="EQ10" s="90" t="e">
        <f t="shared" si="7"/>
        <v>#REF!</v>
      </c>
      <c r="ER10" s="90" t="e">
        <f t="shared" si="7"/>
        <v>#REF!</v>
      </c>
      <c r="ES10" s="90" t="e">
        <f t="shared" si="7"/>
        <v>#REF!</v>
      </c>
    </row>
    <row r="11" spans="1:150">
      <c r="M11" s="25"/>
      <c r="N11" s="25"/>
      <c r="O11" s="25"/>
      <c r="R11" s="75" t="s">
        <v>2</v>
      </c>
      <c r="S11" s="75"/>
      <c r="T11" s="75"/>
      <c r="U11" s="75"/>
      <c r="V11" s="75"/>
      <c r="W11" s="75"/>
      <c r="X11" s="75"/>
      <c r="Y11" s="75"/>
      <c r="Z11" s="75"/>
      <c r="AA11" s="75"/>
      <c r="AB11" s="75"/>
      <c r="AC11" s="75"/>
      <c r="AD11" s="75"/>
      <c r="AE11" s="75"/>
      <c r="AF11" s="75"/>
      <c r="AG11" s="75"/>
      <c r="AH11" s="75"/>
      <c r="AI11" s="75"/>
      <c r="AJ11" s="75"/>
      <c r="AK11" s="75"/>
      <c r="AL11" s="75"/>
      <c r="AM11" s="75"/>
      <c r="AN11" s="75"/>
      <c r="AO11" s="75" t="s">
        <v>3</v>
      </c>
      <c r="AP11" s="75"/>
      <c r="AQ11" s="75"/>
      <c r="AR11" s="75"/>
      <c r="AS11" s="75"/>
      <c r="AT11" s="75"/>
      <c r="AU11" s="75"/>
      <c r="AV11" s="75"/>
      <c r="AW11" s="75"/>
      <c r="AX11" s="75"/>
      <c r="AY11" s="75"/>
      <c r="AZ11" s="75"/>
      <c r="BA11" s="75"/>
      <c r="BB11" s="75"/>
      <c r="BC11" s="75"/>
      <c r="BD11" s="75"/>
      <c r="BE11" s="75"/>
      <c r="BF11" s="75"/>
      <c r="BG11" s="75"/>
      <c r="BH11" s="75"/>
      <c r="BI11" s="75"/>
      <c r="BJ11" s="75"/>
      <c r="BK11" s="75" t="s">
        <v>4</v>
      </c>
      <c r="BL11" s="75"/>
      <c r="BM11" s="75"/>
      <c r="BN11" s="75"/>
      <c r="BO11" s="75"/>
      <c r="BP11" s="75"/>
      <c r="BQ11" s="75"/>
      <c r="BR11" s="75"/>
      <c r="BS11" s="75"/>
      <c r="BT11" s="75"/>
      <c r="BU11" s="75"/>
      <c r="BV11" s="75"/>
      <c r="BW11" s="75"/>
      <c r="BX11" s="75"/>
      <c r="BY11" s="75"/>
      <c r="BZ11" s="75"/>
      <c r="CA11" s="75"/>
      <c r="CB11" s="75"/>
      <c r="CC11" s="75"/>
      <c r="CD11" s="75"/>
      <c r="CE11" s="75"/>
      <c r="CF11" s="75" t="s">
        <v>5</v>
      </c>
      <c r="CG11" s="75"/>
      <c r="CH11" s="75"/>
      <c r="CI11" s="75"/>
      <c r="CJ11" s="75"/>
      <c r="CK11" s="75"/>
      <c r="CL11" s="75"/>
      <c r="CM11" s="75"/>
      <c r="CN11" s="75"/>
      <c r="CO11" s="75"/>
      <c r="CP11" s="75"/>
      <c r="CQ11" s="75"/>
      <c r="CR11" s="75"/>
      <c r="CS11" s="75"/>
      <c r="CT11" s="75"/>
      <c r="CU11" s="75"/>
      <c r="CV11" s="75"/>
      <c r="CW11" s="75"/>
      <c r="CX11" s="75"/>
      <c r="CY11" s="75"/>
      <c r="CZ11" s="75"/>
      <c r="DA11" s="75"/>
      <c r="DB11" s="75"/>
      <c r="DC11" s="75" t="s">
        <v>6</v>
      </c>
      <c r="DD11" s="75"/>
      <c r="DE11" s="75"/>
      <c r="DF11" s="75"/>
      <c r="DG11" s="75"/>
      <c r="DH11" s="75"/>
      <c r="DI11" s="75"/>
      <c r="DJ11" s="75"/>
      <c r="DK11" s="75"/>
      <c r="DL11" s="75"/>
      <c r="DM11" s="75"/>
      <c r="DN11" s="75"/>
      <c r="DO11" s="75"/>
      <c r="DP11" s="75"/>
      <c r="DQ11" s="75"/>
      <c r="DR11" s="75"/>
      <c r="DS11" s="75"/>
      <c r="DT11" s="75"/>
      <c r="DU11" s="75"/>
      <c r="DV11" s="75"/>
      <c r="DW11" s="75"/>
      <c r="DX11" s="75" t="s">
        <v>7</v>
      </c>
      <c r="DY11" s="75"/>
      <c r="DZ11" s="75"/>
      <c r="EA11" s="75"/>
      <c r="EB11" s="75"/>
      <c r="EC11" s="75"/>
      <c r="ED11" s="75"/>
      <c r="EE11" s="75"/>
      <c r="EF11" s="75"/>
      <c r="EG11" s="75"/>
      <c r="EH11" s="75"/>
      <c r="EI11" s="75"/>
      <c r="EJ11" s="75"/>
      <c r="EK11" s="75"/>
      <c r="EL11" s="75"/>
      <c r="EM11" s="75"/>
      <c r="EN11" s="75"/>
      <c r="EO11" s="75"/>
      <c r="EP11" s="75"/>
      <c r="EQ11" s="75"/>
      <c r="ER11" s="75"/>
      <c r="ES11" s="75"/>
    </row>
    <row r="12" spans="1:150">
      <c r="M12" s="25"/>
      <c r="N12" s="25"/>
      <c r="O12" s="25"/>
      <c r="R12" s="76">
        <f t="shared" ref="R12:CC12" si="8">R13</f>
        <v>45474</v>
      </c>
      <c r="S12" s="76">
        <f t="shared" si="8"/>
        <v>45475</v>
      </c>
      <c r="T12" s="76">
        <f t="shared" si="8"/>
        <v>45476</v>
      </c>
      <c r="U12" s="76">
        <f t="shared" si="8"/>
        <v>45477</v>
      </c>
      <c r="V12" s="76">
        <f t="shared" si="8"/>
        <v>45478</v>
      </c>
      <c r="W12" s="76">
        <f t="shared" si="8"/>
        <v>45481</v>
      </c>
      <c r="X12" s="76">
        <f t="shared" si="8"/>
        <v>45482</v>
      </c>
      <c r="Y12" s="76">
        <f t="shared" si="8"/>
        <v>45483</v>
      </c>
      <c r="Z12" s="76">
        <f t="shared" si="8"/>
        <v>45484</v>
      </c>
      <c r="AA12" s="76">
        <f t="shared" si="8"/>
        <v>45485</v>
      </c>
      <c r="AB12" s="76">
        <f t="shared" si="8"/>
        <v>45488</v>
      </c>
      <c r="AC12" s="76">
        <f t="shared" si="8"/>
        <v>45489</v>
      </c>
      <c r="AD12" s="76">
        <f t="shared" si="8"/>
        <v>45490</v>
      </c>
      <c r="AE12" s="76">
        <f t="shared" si="8"/>
        <v>45491</v>
      </c>
      <c r="AF12" s="76">
        <f t="shared" si="8"/>
        <v>45492</v>
      </c>
      <c r="AG12" s="76">
        <f t="shared" si="8"/>
        <v>45495</v>
      </c>
      <c r="AH12" s="76">
        <f t="shared" si="8"/>
        <v>45496</v>
      </c>
      <c r="AI12" s="76">
        <f t="shared" si="8"/>
        <v>45497</v>
      </c>
      <c r="AJ12" s="76">
        <f t="shared" si="8"/>
        <v>45498</v>
      </c>
      <c r="AK12" s="76">
        <f t="shared" si="8"/>
        <v>45499</v>
      </c>
      <c r="AL12" s="76">
        <f t="shared" si="8"/>
        <v>45502</v>
      </c>
      <c r="AM12" s="76">
        <f t="shared" si="8"/>
        <v>45503</v>
      </c>
      <c r="AN12" s="76">
        <f t="shared" si="8"/>
        <v>45504</v>
      </c>
      <c r="AO12" s="76">
        <f t="shared" si="8"/>
        <v>45505</v>
      </c>
      <c r="AP12" s="76">
        <f t="shared" si="8"/>
        <v>45506</v>
      </c>
      <c r="AQ12" s="76">
        <f t="shared" si="8"/>
        <v>45509</v>
      </c>
      <c r="AR12" s="76">
        <f t="shared" si="8"/>
        <v>45510</v>
      </c>
      <c r="AS12" s="76">
        <f t="shared" si="8"/>
        <v>45511</v>
      </c>
      <c r="AT12" s="76">
        <f t="shared" si="8"/>
        <v>45512</v>
      </c>
      <c r="AU12" s="76">
        <f t="shared" si="8"/>
        <v>45513</v>
      </c>
      <c r="AV12" s="76">
        <f t="shared" si="8"/>
        <v>45516</v>
      </c>
      <c r="AW12" s="76">
        <f t="shared" si="8"/>
        <v>45517</v>
      </c>
      <c r="AX12" s="76">
        <f t="shared" si="8"/>
        <v>45518</v>
      </c>
      <c r="AY12" s="76">
        <f t="shared" si="8"/>
        <v>45519</v>
      </c>
      <c r="AZ12" s="76">
        <f t="shared" si="8"/>
        <v>45520</v>
      </c>
      <c r="BA12" s="76">
        <f t="shared" si="8"/>
        <v>45523</v>
      </c>
      <c r="BB12" s="76">
        <f t="shared" si="8"/>
        <v>45524</v>
      </c>
      <c r="BC12" s="76">
        <f t="shared" si="8"/>
        <v>45525</v>
      </c>
      <c r="BD12" s="76">
        <f t="shared" si="8"/>
        <v>45526</v>
      </c>
      <c r="BE12" s="76">
        <f t="shared" si="8"/>
        <v>45527</v>
      </c>
      <c r="BF12" s="76">
        <f t="shared" si="8"/>
        <v>45530</v>
      </c>
      <c r="BG12" s="76">
        <f t="shared" si="8"/>
        <v>45531</v>
      </c>
      <c r="BH12" s="76">
        <f t="shared" si="8"/>
        <v>45532</v>
      </c>
      <c r="BI12" s="76">
        <f t="shared" si="8"/>
        <v>45533</v>
      </c>
      <c r="BJ12" s="76">
        <f t="shared" si="8"/>
        <v>45534</v>
      </c>
      <c r="BK12" s="76">
        <f t="shared" si="8"/>
        <v>45537</v>
      </c>
      <c r="BL12" s="76">
        <f t="shared" si="8"/>
        <v>45538</v>
      </c>
      <c r="BM12" s="76">
        <f t="shared" si="8"/>
        <v>45539</v>
      </c>
      <c r="BN12" s="76">
        <f t="shared" si="8"/>
        <v>45540</v>
      </c>
      <c r="BO12" s="76">
        <f t="shared" si="8"/>
        <v>45541</v>
      </c>
      <c r="BP12" s="76">
        <f t="shared" si="8"/>
        <v>45544</v>
      </c>
      <c r="BQ12" s="76">
        <f t="shared" si="8"/>
        <v>45545</v>
      </c>
      <c r="BR12" s="76">
        <f t="shared" si="8"/>
        <v>45546</v>
      </c>
      <c r="BS12" s="76">
        <f t="shared" si="8"/>
        <v>45547</v>
      </c>
      <c r="BT12" s="76">
        <f t="shared" si="8"/>
        <v>45548</v>
      </c>
      <c r="BU12" s="76">
        <f t="shared" si="8"/>
        <v>45551</v>
      </c>
      <c r="BV12" s="76">
        <f t="shared" si="8"/>
        <v>45552</v>
      </c>
      <c r="BW12" s="76">
        <f t="shared" si="8"/>
        <v>45553</v>
      </c>
      <c r="BX12" s="76">
        <f t="shared" si="8"/>
        <v>45554</v>
      </c>
      <c r="BY12" s="76">
        <f t="shared" si="8"/>
        <v>45555</v>
      </c>
      <c r="BZ12" s="76">
        <f t="shared" si="8"/>
        <v>45558</v>
      </c>
      <c r="CA12" s="76">
        <f t="shared" si="8"/>
        <v>45559</v>
      </c>
      <c r="CB12" s="76">
        <f t="shared" si="8"/>
        <v>45560</v>
      </c>
      <c r="CC12" s="76">
        <f t="shared" si="8"/>
        <v>45561</v>
      </c>
      <c r="CD12" s="76">
        <f t="shared" ref="CD12:EO12" si="9">CD13</f>
        <v>45562</v>
      </c>
      <c r="CE12" s="76">
        <f t="shared" si="9"/>
        <v>45565</v>
      </c>
      <c r="CF12" s="76">
        <f t="shared" si="9"/>
        <v>45566</v>
      </c>
      <c r="CG12" s="76">
        <f t="shared" si="9"/>
        <v>45567</v>
      </c>
      <c r="CH12" s="76">
        <f t="shared" si="9"/>
        <v>45568</v>
      </c>
      <c r="CI12" s="76">
        <f t="shared" si="9"/>
        <v>45569</v>
      </c>
      <c r="CJ12" s="76">
        <f t="shared" si="9"/>
        <v>45572</v>
      </c>
      <c r="CK12" s="76">
        <f t="shared" si="9"/>
        <v>45573</v>
      </c>
      <c r="CL12" s="76">
        <f t="shared" si="9"/>
        <v>45574</v>
      </c>
      <c r="CM12" s="76">
        <f t="shared" si="9"/>
        <v>45575</v>
      </c>
      <c r="CN12" s="76">
        <f t="shared" si="9"/>
        <v>45576</v>
      </c>
      <c r="CO12" s="76">
        <f t="shared" si="9"/>
        <v>45579</v>
      </c>
      <c r="CP12" s="76">
        <f t="shared" si="9"/>
        <v>45580</v>
      </c>
      <c r="CQ12" s="76">
        <f t="shared" si="9"/>
        <v>45581</v>
      </c>
      <c r="CR12" s="76">
        <f t="shared" si="9"/>
        <v>45582</v>
      </c>
      <c r="CS12" s="76">
        <f t="shared" si="9"/>
        <v>45583</v>
      </c>
      <c r="CT12" s="76">
        <f t="shared" si="9"/>
        <v>45586</v>
      </c>
      <c r="CU12" s="76">
        <f t="shared" si="9"/>
        <v>45587</v>
      </c>
      <c r="CV12" s="76">
        <f t="shared" si="9"/>
        <v>45588</v>
      </c>
      <c r="CW12" s="76">
        <f t="shared" si="9"/>
        <v>45589</v>
      </c>
      <c r="CX12" s="76">
        <f t="shared" si="9"/>
        <v>45590</v>
      </c>
      <c r="CY12" s="76">
        <f t="shared" si="9"/>
        <v>45593</v>
      </c>
      <c r="CZ12" s="76">
        <f t="shared" si="9"/>
        <v>45594</v>
      </c>
      <c r="DA12" s="76">
        <f t="shared" si="9"/>
        <v>45595</v>
      </c>
      <c r="DB12" s="76">
        <f t="shared" si="9"/>
        <v>45596</v>
      </c>
      <c r="DC12" s="76">
        <f t="shared" si="9"/>
        <v>45597</v>
      </c>
      <c r="DD12" s="76">
        <f t="shared" si="9"/>
        <v>45600</v>
      </c>
      <c r="DE12" s="76">
        <f t="shared" si="9"/>
        <v>45601</v>
      </c>
      <c r="DF12" s="76">
        <f t="shared" si="9"/>
        <v>45602</v>
      </c>
      <c r="DG12" s="76">
        <f t="shared" si="9"/>
        <v>45603</v>
      </c>
      <c r="DH12" s="76">
        <f t="shared" si="9"/>
        <v>45604</v>
      </c>
      <c r="DI12" s="76">
        <f t="shared" si="9"/>
        <v>45607</v>
      </c>
      <c r="DJ12" s="76">
        <f t="shared" si="9"/>
        <v>45608</v>
      </c>
      <c r="DK12" s="76">
        <f t="shared" si="9"/>
        <v>45609</v>
      </c>
      <c r="DL12" s="76">
        <f t="shared" si="9"/>
        <v>45610</v>
      </c>
      <c r="DM12" s="76">
        <f t="shared" si="9"/>
        <v>45611</v>
      </c>
      <c r="DN12" s="76">
        <f t="shared" si="9"/>
        <v>45614</v>
      </c>
      <c r="DO12" s="76">
        <f t="shared" si="9"/>
        <v>45615</v>
      </c>
      <c r="DP12" s="76">
        <f t="shared" si="9"/>
        <v>45616</v>
      </c>
      <c r="DQ12" s="76">
        <f t="shared" si="9"/>
        <v>45617</v>
      </c>
      <c r="DR12" s="76">
        <f t="shared" si="9"/>
        <v>45618</v>
      </c>
      <c r="DS12" s="76">
        <f t="shared" si="9"/>
        <v>45621</v>
      </c>
      <c r="DT12" s="76">
        <f t="shared" si="9"/>
        <v>45622</v>
      </c>
      <c r="DU12" s="76">
        <f t="shared" si="9"/>
        <v>45623</v>
      </c>
      <c r="DV12" s="76">
        <f t="shared" si="9"/>
        <v>45624</v>
      </c>
      <c r="DW12" s="76">
        <f t="shared" si="9"/>
        <v>45625</v>
      </c>
      <c r="DX12" s="76">
        <f t="shared" si="9"/>
        <v>45628</v>
      </c>
      <c r="DY12" s="76">
        <f t="shared" si="9"/>
        <v>45629</v>
      </c>
      <c r="DZ12" s="76">
        <f t="shared" si="9"/>
        <v>45630</v>
      </c>
      <c r="EA12" s="76">
        <f t="shared" si="9"/>
        <v>45631</v>
      </c>
      <c r="EB12" s="76">
        <f t="shared" si="9"/>
        <v>45632</v>
      </c>
      <c r="EC12" s="76">
        <f t="shared" si="9"/>
        <v>45635</v>
      </c>
      <c r="ED12" s="76">
        <f t="shared" si="9"/>
        <v>45636</v>
      </c>
      <c r="EE12" s="76">
        <f t="shared" si="9"/>
        <v>45637</v>
      </c>
      <c r="EF12" s="76">
        <f t="shared" si="9"/>
        <v>45638</v>
      </c>
      <c r="EG12" s="76">
        <f t="shared" si="9"/>
        <v>45639</v>
      </c>
      <c r="EH12" s="76">
        <f t="shared" si="9"/>
        <v>45642</v>
      </c>
      <c r="EI12" s="76">
        <f t="shared" si="9"/>
        <v>45643</v>
      </c>
      <c r="EJ12" s="76">
        <f t="shared" si="9"/>
        <v>45644</v>
      </c>
      <c r="EK12" s="76">
        <f t="shared" si="9"/>
        <v>45645</v>
      </c>
      <c r="EL12" s="76">
        <f t="shared" si="9"/>
        <v>45646</v>
      </c>
      <c r="EM12" s="76">
        <f t="shared" si="9"/>
        <v>45649</v>
      </c>
      <c r="EN12" s="76">
        <f t="shared" si="9"/>
        <v>45650</v>
      </c>
      <c r="EO12" s="76">
        <f t="shared" si="9"/>
        <v>45651</v>
      </c>
      <c r="EP12" s="76">
        <f>EP13</f>
        <v>45652</v>
      </c>
      <c r="EQ12" s="76">
        <f>EQ13</f>
        <v>45653</v>
      </c>
      <c r="ER12" s="76">
        <f>ER13</f>
        <v>45656</v>
      </c>
      <c r="ES12" s="76">
        <f>ES13</f>
        <v>45657</v>
      </c>
    </row>
    <row r="13" spans="1:150">
      <c r="B13" s="187" t="s">
        <v>8</v>
      </c>
      <c r="C13" s="175" t="s">
        <v>9</v>
      </c>
      <c r="D13" s="175" t="s">
        <v>10</v>
      </c>
      <c r="E13" s="175" t="s">
        <v>11</v>
      </c>
      <c r="F13" s="175" t="s">
        <v>12</v>
      </c>
      <c r="G13" s="175" t="s">
        <v>13</v>
      </c>
      <c r="H13" s="175" t="s">
        <v>14</v>
      </c>
      <c r="I13" s="175" t="s">
        <v>15</v>
      </c>
      <c r="J13" s="175" t="s">
        <v>16</v>
      </c>
      <c r="K13" s="175" t="s">
        <v>17</v>
      </c>
      <c r="L13" s="175" t="s">
        <v>18</v>
      </c>
      <c r="M13" s="175" t="s">
        <v>19</v>
      </c>
      <c r="N13" s="175" t="s">
        <v>20</v>
      </c>
      <c r="O13" s="175" t="s">
        <v>21</v>
      </c>
      <c r="P13" s="188" t="s">
        <v>22</v>
      </c>
      <c r="Q13" s="74" t="s">
        <v>23</v>
      </c>
      <c r="R13" s="77">
        <v>45474</v>
      </c>
      <c r="S13" s="77">
        <f t="shared" ref="S13:CD13" si="10">WORKDAY(R13,1)</f>
        <v>45475</v>
      </c>
      <c r="T13" s="77">
        <f t="shared" si="10"/>
        <v>45476</v>
      </c>
      <c r="U13" s="77">
        <f t="shared" si="10"/>
        <v>45477</v>
      </c>
      <c r="V13" s="77">
        <f t="shared" si="10"/>
        <v>45478</v>
      </c>
      <c r="W13" s="77">
        <f t="shared" si="10"/>
        <v>45481</v>
      </c>
      <c r="X13" s="77">
        <f t="shared" si="10"/>
        <v>45482</v>
      </c>
      <c r="Y13" s="77">
        <f t="shared" si="10"/>
        <v>45483</v>
      </c>
      <c r="Z13" s="77">
        <f t="shared" si="10"/>
        <v>45484</v>
      </c>
      <c r="AA13" s="77">
        <f t="shared" si="10"/>
        <v>45485</v>
      </c>
      <c r="AB13" s="77">
        <f t="shared" si="10"/>
        <v>45488</v>
      </c>
      <c r="AC13" s="77">
        <f t="shared" si="10"/>
        <v>45489</v>
      </c>
      <c r="AD13" s="77">
        <f t="shared" si="10"/>
        <v>45490</v>
      </c>
      <c r="AE13" s="77">
        <f t="shared" si="10"/>
        <v>45491</v>
      </c>
      <c r="AF13" s="77">
        <f t="shared" si="10"/>
        <v>45492</v>
      </c>
      <c r="AG13" s="77">
        <f t="shared" si="10"/>
        <v>45495</v>
      </c>
      <c r="AH13" s="77">
        <f t="shared" si="10"/>
        <v>45496</v>
      </c>
      <c r="AI13" s="77">
        <f t="shared" si="10"/>
        <v>45497</v>
      </c>
      <c r="AJ13" s="77">
        <f t="shared" si="10"/>
        <v>45498</v>
      </c>
      <c r="AK13" s="77">
        <f t="shared" si="10"/>
        <v>45499</v>
      </c>
      <c r="AL13" s="77">
        <f t="shared" si="10"/>
        <v>45502</v>
      </c>
      <c r="AM13" s="77">
        <f t="shared" si="10"/>
        <v>45503</v>
      </c>
      <c r="AN13" s="77">
        <f t="shared" si="10"/>
        <v>45504</v>
      </c>
      <c r="AO13" s="77">
        <f t="shared" si="10"/>
        <v>45505</v>
      </c>
      <c r="AP13" s="77">
        <f t="shared" si="10"/>
        <v>45506</v>
      </c>
      <c r="AQ13" s="77">
        <f t="shared" si="10"/>
        <v>45509</v>
      </c>
      <c r="AR13" s="77">
        <f t="shared" si="10"/>
        <v>45510</v>
      </c>
      <c r="AS13" s="77">
        <f t="shared" si="10"/>
        <v>45511</v>
      </c>
      <c r="AT13" s="77">
        <f t="shared" si="10"/>
        <v>45512</v>
      </c>
      <c r="AU13" s="77">
        <f t="shared" si="10"/>
        <v>45513</v>
      </c>
      <c r="AV13" s="77">
        <f t="shared" si="10"/>
        <v>45516</v>
      </c>
      <c r="AW13" s="77">
        <f t="shared" si="10"/>
        <v>45517</v>
      </c>
      <c r="AX13" s="77">
        <f t="shared" si="10"/>
        <v>45518</v>
      </c>
      <c r="AY13" s="77">
        <f t="shared" si="10"/>
        <v>45519</v>
      </c>
      <c r="AZ13" s="77">
        <f t="shared" si="10"/>
        <v>45520</v>
      </c>
      <c r="BA13" s="77">
        <f t="shared" si="10"/>
        <v>45523</v>
      </c>
      <c r="BB13" s="77">
        <f t="shared" si="10"/>
        <v>45524</v>
      </c>
      <c r="BC13" s="77">
        <f t="shared" si="10"/>
        <v>45525</v>
      </c>
      <c r="BD13" s="77">
        <f t="shared" si="10"/>
        <v>45526</v>
      </c>
      <c r="BE13" s="77">
        <f t="shared" si="10"/>
        <v>45527</v>
      </c>
      <c r="BF13" s="77">
        <f t="shared" si="10"/>
        <v>45530</v>
      </c>
      <c r="BG13" s="77">
        <f t="shared" si="10"/>
        <v>45531</v>
      </c>
      <c r="BH13" s="77">
        <f t="shared" si="10"/>
        <v>45532</v>
      </c>
      <c r="BI13" s="77">
        <f t="shared" si="10"/>
        <v>45533</v>
      </c>
      <c r="BJ13" s="77">
        <f t="shared" si="10"/>
        <v>45534</v>
      </c>
      <c r="BK13" s="77">
        <f t="shared" si="10"/>
        <v>45537</v>
      </c>
      <c r="BL13" s="77">
        <f t="shared" si="10"/>
        <v>45538</v>
      </c>
      <c r="BM13" s="77">
        <f t="shared" si="10"/>
        <v>45539</v>
      </c>
      <c r="BN13" s="77">
        <f t="shared" si="10"/>
        <v>45540</v>
      </c>
      <c r="BO13" s="77">
        <f t="shared" si="10"/>
        <v>45541</v>
      </c>
      <c r="BP13" s="77">
        <f t="shared" si="10"/>
        <v>45544</v>
      </c>
      <c r="BQ13" s="77">
        <f t="shared" si="10"/>
        <v>45545</v>
      </c>
      <c r="BR13" s="77">
        <f t="shared" si="10"/>
        <v>45546</v>
      </c>
      <c r="BS13" s="77">
        <f t="shared" si="10"/>
        <v>45547</v>
      </c>
      <c r="BT13" s="77">
        <f t="shared" si="10"/>
        <v>45548</v>
      </c>
      <c r="BU13" s="77">
        <f t="shared" si="10"/>
        <v>45551</v>
      </c>
      <c r="BV13" s="77">
        <f t="shared" si="10"/>
        <v>45552</v>
      </c>
      <c r="BW13" s="77">
        <f t="shared" si="10"/>
        <v>45553</v>
      </c>
      <c r="BX13" s="77">
        <f t="shared" si="10"/>
        <v>45554</v>
      </c>
      <c r="BY13" s="77">
        <f t="shared" si="10"/>
        <v>45555</v>
      </c>
      <c r="BZ13" s="77">
        <f t="shared" si="10"/>
        <v>45558</v>
      </c>
      <c r="CA13" s="77">
        <f t="shared" si="10"/>
        <v>45559</v>
      </c>
      <c r="CB13" s="77">
        <f t="shared" si="10"/>
        <v>45560</v>
      </c>
      <c r="CC13" s="77">
        <f t="shared" si="10"/>
        <v>45561</v>
      </c>
      <c r="CD13" s="77">
        <f t="shared" si="10"/>
        <v>45562</v>
      </c>
      <c r="CE13" s="77">
        <f t="shared" ref="CE13:EP13" si="11">WORKDAY(CD13,1)</f>
        <v>45565</v>
      </c>
      <c r="CF13" s="77">
        <f t="shared" si="11"/>
        <v>45566</v>
      </c>
      <c r="CG13" s="77">
        <f t="shared" si="11"/>
        <v>45567</v>
      </c>
      <c r="CH13" s="77">
        <f t="shared" si="11"/>
        <v>45568</v>
      </c>
      <c r="CI13" s="77">
        <f t="shared" si="11"/>
        <v>45569</v>
      </c>
      <c r="CJ13" s="77">
        <f t="shared" si="11"/>
        <v>45572</v>
      </c>
      <c r="CK13" s="77">
        <f t="shared" si="11"/>
        <v>45573</v>
      </c>
      <c r="CL13" s="77">
        <f t="shared" si="11"/>
        <v>45574</v>
      </c>
      <c r="CM13" s="77">
        <f t="shared" si="11"/>
        <v>45575</v>
      </c>
      <c r="CN13" s="77">
        <f t="shared" si="11"/>
        <v>45576</v>
      </c>
      <c r="CO13" s="77">
        <f t="shared" si="11"/>
        <v>45579</v>
      </c>
      <c r="CP13" s="77">
        <f t="shared" si="11"/>
        <v>45580</v>
      </c>
      <c r="CQ13" s="77">
        <f t="shared" si="11"/>
        <v>45581</v>
      </c>
      <c r="CR13" s="77">
        <f t="shared" si="11"/>
        <v>45582</v>
      </c>
      <c r="CS13" s="77">
        <f t="shared" si="11"/>
        <v>45583</v>
      </c>
      <c r="CT13" s="77">
        <f t="shared" si="11"/>
        <v>45586</v>
      </c>
      <c r="CU13" s="77">
        <f t="shared" si="11"/>
        <v>45587</v>
      </c>
      <c r="CV13" s="77">
        <f t="shared" si="11"/>
        <v>45588</v>
      </c>
      <c r="CW13" s="77">
        <f t="shared" si="11"/>
        <v>45589</v>
      </c>
      <c r="CX13" s="77">
        <f t="shared" si="11"/>
        <v>45590</v>
      </c>
      <c r="CY13" s="77">
        <f t="shared" si="11"/>
        <v>45593</v>
      </c>
      <c r="CZ13" s="77">
        <f t="shared" si="11"/>
        <v>45594</v>
      </c>
      <c r="DA13" s="77">
        <f t="shared" si="11"/>
        <v>45595</v>
      </c>
      <c r="DB13" s="77">
        <f t="shared" si="11"/>
        <v>45596</v>
      </c>
      <c r="DC13" s="77">
        <f t="shared" si="11"/>
        <v>45597</v>
      </c>
      <c r="DD13" s="77">
        <f t="shared" si="11"/>
        <v>45600</v>
      </c>
      <c r="DE13" s="77">
        <f t="shared" si="11"/>
        <v>45601</v>
      </c>
      <c r="DF13" s="77">
        <f t="shared" si="11"/>
        <v>45602</v>
      </c>
      <c r="DG13" s="77">
        <f t="shared" si="11"/>
        <v>45603</v>
      </c>
      <c r="DH13" s="77">
        <f t="shared" si="11"/>
        <v>45604</v>
      </c>
      <c r="DI13" s="77">
        <f t="shared" si="11"/>
        <v>45607</v>
      </c>
      <c r="DJ13" s="77">
        <f t="shared" si="11"/>
        <v>45608</v>
      </c>
      <c r="DK13" s="77">
        <f t="shared" si="11"/>
        <v>45609</v>
      </c>
      <c r="DL13" s="77">
        <f t="shared" si="11"/>
        <v>45610</v>
      </c>
      <c r="DM13" s="77">
        <f t="shared" si="11"/>
        <v>45611</v>
      </c>
      <c r="DN13" s="77">
        <f t="shared" si="11"/>
        <v>45614</v>
      </c>
      <c r="DO13" s="77">
        <f t="shared" si="11"/>
        <v>45615</v>
      </c>
      <c r="DP13" s="77">
        <f t="shared" si="11"/>
        <v>45616</v>
      </c>
      <c r="DQ13" s="77">
        <f t="shared" si="11"/>
        <v>45617</v>
      </c>
      <c r="DR13" s="77">
        <f t="shared" si="11"/>
        <v>45618</v>
      </c>
      <c r="DS13" s="77">
        <f t="shared" si="11"/>
        <v>45621</v>
      </c>
      <c r="DT13" s="77">
        <f t="shared" si="11"/>
        <v>45622</v>
      </c>
      <c r="DU13" s="77">
        <f t="shared" si="11"/>
        <v>45623</v>
      </c>
      <c r="DV13" s="77">
        <f t="shared" si="11"/>
        <v>45624</v>
      </c>
      <c r="DW13" s="77">
        <f t="shared" si="11"/>
        <v>45625</v>
      </c>
      <c r="DX13" s="77">
        <f t="shared" si="11"/>
        <v>45628</v>
      </c>
      <c r="DY13" s="77">
        <f t="shared" si="11"/>
        <v>45629</v>
      </c>
      <c r="DZ13" s="77">
        <f t="shared" si="11"/>
        <v>45630</v>
      </c>
      <c r="EA13" s="77">
        <f t="shared" si="11"/>
        <v>45631</v>
      </c>
      <c r="EB13" s="77">
        <f t="shared" si="11"/>
        <v>45632</v>
      </c>
      <c r="EC13" s="77">
        <f t="shared" si="11"/>
        <v>45635</v>
      </c>
      <c r="ED13" s="77">
        <f t="shared" si="11"/>
        <v>45636</v>
      </c>
      <c r="EE13" s="77">
        <f t="shared" si="11"/>
        <v>45637</v>
      </c>
      <c r="EF13" s="77">
        <f t="shared" si="11"/>
        <v>45638</v>
      </c>
      <c r="EG13" s="77">
        <f t="shared" si="11"/>
        <v>45639</v>
      </c>
      <c r="EH13" s="77">
        <f t="shared" si="11"/>
        <v>45642</v>
      </c>
      <c r="EI13" s="77">
        <f t="shared" si="11"/>
        <v>45643</v>
      </c>
      <c r="EJ13" s="77">
        <f t="shared" si="11"/>
        <v>45644</v>
      </c>
      <c r="EK13" s="77">
        <f t="shared" si="11"/>
        <v>45645</v>
      </c>
      <c r="EL13" s="77">
        <f t="shared" si="11"/>
        <v>45646</v>
      </c>
      <c r="EM13" s="77">
        <f t="shared" si="11"/>
        <v>45649</v>
      </c>
      <c r="EN13" s="77">
        <f t="shared" si="11"/>
        <v>45650</v>
      </c>
      <c r="EO13" s="77">
        <f t="shared" si="11"/>
        <v>45651</v>
      </c>
      <c r="EP13" s="77">
        <f t="shared" si="11"/>
        <v>45652</v>
      </c>
      <c r="EQ13" s="77">
        <f>WORKDAY(EP13,1)</f>
        <v>45653</v>
      </c>
      <c r="ER13" s="77">
        <f>WORKDAY(EQ13,1)</f>
        <v>45656</v>
      </c>
      <c r="ES13" s="77">
        <f>WORKDAY(ER13,1)</f>
        <v>45657</v>
      </c>
    </row>
    <row r="14" spans="1:150" ht="17.899999999999999" customHeight="1">
      <c r="B14" s="82" t="s">
        <v>24</v>
      </c>
      <c r="C14" s="83"/>
      <c r="D14" s="83"/>
      <c r="E14" s="83"/>
      <c r="F14" s="83"/>
      <c r="G14" s="83"/>
      <c r="H14" s="83"/>
      <c r="I14" s="170">
        <f>SUM(I15:I17)</f>
        <v>160</v>
      </c>
      <c r="J14" s="170">
        <f>SUM(J15:J17)</f>
        <v>20</v>
      </c>
      <c r="K14" s="170">
        <f>I14</f>
        <v>160</v>
      </c>
      <c r="L14" s="170">
        <f>J14</f>
        <v>20</v>
      </c>
      <c r="M14" s="171">
        <f>SUMPRODUCT(M15:M17,I15:I17)/I14</f>
        <v>1</v>
      </c>
      <c r="N14" s="171">
        <f>SUMPRODUCT(N15:N17,J15:J17)/J14</f>
        <v>1</v>
      </c>
      <c r="O14" s="171">
        <f>N14-M14</f>
        <v>0</v>
      </c>
      <c r="P14" s="173" t="s">
        <v>25</v>
      </c>
      <c r="R14" s="139"/>
      <c r="S14" s="139"/>
      <c r="T14" s="139"/>
      <c r="U14" s="139"/>
      <c r="V14" s="139"/>
      <c r="W14" s="139"/>
      <c r="X14" s="139"/>
      <c r="Y14" s="139"/>
      <c r="Z14" s="139"/>
      <c r="AA14" s="139"/>
      <c r="AB14" s="139"/>
      <c r="AC14" s="139"/>
      <c r="AD14" s="139"/>
      <c r="AE14" s="139"/>
      <c r="AF14" s="139"/>
      <c r="AG14" s="139"/>
      <c r="AH14" s="139"/>
      <c r="AI14" s="139"/>
      <c r="AJ14" s="139"/>
      <c r="AK14" s="139"/>
      <c r="AL14" s="139"/>
      <c r="AM14" s="78"/>
      <c r="AN14" s="78"/>
      <c r="AO14" s="78"/>
      <c r="AP14" s="78"/>
      <c r="AQ14" s="78"/>
      <c r="AR14" s="78"/>
      <c r="AS14" s="78"/>
      <c r="AT14" s="78"/>
      <c r="AU14" s="78"/>
      <c r="AV14" s="78"/>
      <c r="AW14" s="78"/>
      <c r="AX14" s="78"/>
      <c r="AY14" s="91"/>
      <c r="AZ14" s="78"/>
      <c r="BA14" s="78"/>
      <c r="BB14" s="78"/>
      <c r="BC14" s="78"/>
      <c r="BD14" s="78"/>
      <c r="BE14" s="78"/>
      <c r="BF14" s="78"/>
      <c r="BG14" s="78"/>
      <c r="BH14" s="78"/>
      <c r="BI14" s="78"/>
      <c r="BJ14" s="78"/>
      <c r="BK14" s="78"/>
      <c r="BL14" s="78"/>
      <c r="BM14" s="78"/>
      <c r="BN14" s="78"/>
      <c r="BO14" s="78"/>
      <c r="BP14" s="78"/>
      <c r="BQ14" s="78"/>
      <c r="BR14" s="78"/>
      <c r="BS14" s="78"/>
      <c r="BT14" s="78"/>
      <c r="BU14" s="78"/>
      <c r="BV14" s="78"/>
      <c r="BW14" s="78"/>
      <c r="BX14" s="78"/>
      <c r="BY14" s="78"/>
      <c r="BZ14" s="78"/>
      <c r="CA14" s="78"/>
      <c r="CB14" s="78"/>
      <c r="CC14" s="78"/>
      <c r="CD14" s="78"/>
      <c r="CE14" s="78"/>
      <c r="CF14" s="78"/>
      <c r="CG14" s="78"/>
      <c r="CH14" s="78"/>
      <c r="CI14" s="78"/>
      <c r="CJ14" s="78"/>
      <c r="CK14" s="78"/>
      <c r="CL14" s="78"/>
      <c r="CM14" s="78"/>
      <c r="CN14" s="78"/>
      <c r="CO14" s="78"/>
      <c r="CP14" s="78"/>
      <c r="CQ14" s="78"/>
      <c r="CR14" s="78"/>
      <c r="CS14" s="78"/>
      <c r="CT14" s="78"/>
      <c r="CU14" s="78"/>
      <c r="CV14" s="78"/>
      <c r="CW14" s="78"/>
      <c r="CX14" s="78"/>
      <c r="CY14" s="78"/>
      <c r="CZ14" s="78"/>
      <c r="DA14" s="78"/>
      <c r="DB14" s="78"/>
      <c r="DC14" s="78"/>
      <c r="DD14" s="78"/>
      <c r="DE14" s="78"/>
      <c r="DF14" s="78"/>
      <c r="DG14" s="78"/>
      <c r="DH14" s="78"/>
      <c r="DI14" s="78"/>
      <c r="DJ14" s="78"/>
      <c r="DK14" s="78"/>
      <c r="DL14" s="78"/>
      <c r="DM14" s="78"/>
      <c r="DN14" s="78"/>
      <c r="DO14" s="78"/>
      <c r="DP14" s="78"/>
      <c r="DQ14" s="78"/>
      <c r="DR14" s="78"/>
      <c r="DS14" s="78"/>
      <c r="DT14" s="78"/>
      <c r="DU14" s="78"/>
      <c r="DV14" s="78"/>
      <c r="DW14" s="78"/>
      <c r="DX14" s="78"/>
      <c r="DY14" s="78"/>
      <c r="DZ14" s="78"/>
      <c r="EA14" s="78"/>
      <c r="EB14" s="78"/>
      <c r="EC14" s="78"/>
      <c r="ED14" s="78"/>
      <c r="EE14" s="78"/>
      <c r="EF14" s="78"/>
      <c r="EG14" s="78"/>
      <c r="EH14" s="78"/>
      <c r="EI14" s="78"/>
      <c r="EJ14" s="78"/>
      <c r="EK14" s="78"/>
      <c r="EL14" s="78"/>
      <c r="EM14" s="78"/>
      <c r="EN14" s="91"/>
      <c r="EO14" s="91"/>
      <c r="EP14" s="91"/>
      <c r="EQ14" s="91"/>
      <c r="ER14" s="91"/>
      <c r="ES14" s="91"/>
    </row>
    <row r="15" spans="1:150">
      <c r="B15" s="63" t="s">
        <v>26</v>
      </c>
      <c r="C15" s="96" t="s">
        <v>27</v>
      </c>
      <c r="D15" s="96"/>
      <c r="E15" s="96"/>
      <c r="F15" s="96"/>
      <c r="G15" s="96" t="s">
        <v>28</v>
      </c>
      <c r="H15" s="96"/>
      <c r="I15" s="177">
        <f>J15*8</f>
        <v>40</v>
      </c>
      <c r="J15" s="177">
        <v>5</v>
      </c>
      <c r="K15" s="177"/>
      <c r="L15" s="177"/>
      <c r="M15" s="182">
        <f>100%</f>
        <v>1</v>
      </c>
      <c r="N15" s="182">
        <f>100%</f>
        <v>1</v>
      </c>
      <c r="O15" s="182">
        <f>N15-M15</f>
        <v>0</v>
      </c>
      <c r="P15" s="183" t="s">
        <v>25</v>
      </c>
      <c r="Q15" s="90">
        <f>J15-SUM(R15:ES15)</f>
        <v>0</v>
      </c>
      <c r="R15" s="78"/>
      <c r="S15" s="78"/>
      <c r="T15" s="78"/>
      <c r="U15" s="78"/>
      <c r="V15" s="78"/>
      <c r="W15" s="78"/>
      <c r="X15" s="78"/>
      <c r="Y15" s="78"/>
      <c r="Z15" s="78"/>
      <c r="AA15" s="78"/>
      <c r="AB15" s="78">
        <v>1</v>
      </c>
      <c r="AC15" s="78">
        <v>1</v>
      </c>
      <c r="AD15" s="78">
        <v>1</v>
      </c>
      <c r="AE15" s="78">
        <v>1</v>
      </c>
      <c r="AF15" s="78">
        <v>1</v>
      </c>
      <c r="AG15" s="78"/>
      <c r="AH15" s="78"/>
      <c r="AI15" s="78"/>
      <c r="AJ15" s="78"/>
      <c r="AK15" s="78"/>
      <c r="AL15" s="78"/>
      <c r="AM15" s="78"/>
      <c r="AN15" s="78"/>
      <c r="AO15" s="78"/>
      <c r="AP15" s="78"/>
      <c r="AQ15" s="78"/>
      <c r="AR15" s="78"/>
      <c r="AS15" s="78"/>
      <c r="AT15" s="78"/>
      <c r="AU15" s="78"/>
      <c r="AV15" s="78"/>
      <c r="AW15" s="78"/>
      <c r="AX15" s="78"/>
      <c r="AY15" s="91"/>
      <c r="AZ15" s="78"/>
      <c r="BA15" s="78"/>
      <c r="BB15" s="78"/>
      <c r="BC15" s="78"/>
      <c r="BD15" s="78"/>
      <c r="BE15" s="78"/>
      <c r="BF15" s="78"/>
      <c r="BG15" s="78"/>
      <c r="BH15" s="78"/>
      <c r="BI15" s="78"/>
      <c r="BJ15" s="78"/>
      <c r="BK15" s="78"/>
      <c r="BL15" s="78"/>
      <c r="BM15" s="78"/>
      <c r="BN15" s="78"/>
      <c r="BO15" s="78"/>
      <c r="BP15" s="78"/>
      <c r="BQ15" s="78"/>
      <c r="BR15" s="78"/>
      <c r="BS15" s="78"/>
      <c r="BT15" s="78"/>
      <c r="BU15" s="78"/>
      <c r="BV15" s="78"/>
      <c r="BW15" s="78"/>
      <c r="BX15" s="78"/>
      <c r="BY15" s="78"/>
      <c r="BZ15" s="78"/>
      <c r="CA15" s="78"/>
      <c r="CB15" s="78"/>
      <c r="CC15" s="78"/>
      <c r="CD15" s="78"/>
      <c r="CE15" s="78"/>
      <c r="CF15" s="78"/>
      <c r="CG15" s="78"/>
      <c r="CH15" s="78"/>
      <c r="CI15" s="78"/>
      <c r="CJ15" s="78"/>
      <c r="CK15" s="78"/>
      <c r="CL15" s="78"/>
      <c r="CM15" s="78"/>
      <c r="CN15" s="78"/>
      <c r="CO15" s="78"/>
      <c r="CP15" s="78"/>
      <c r="CQ15" s="78"/>
      <c r="CR15" s="78"/>
      <c r="CS15" s="78"/>
      <c r="CT15" s="78"/>
      <c r="CU15" s="78"/>
      <c r="CV15" s="78"/>
      <c r="CW15" s="78"/>
      <c r="CX15" s="78"/>
      <c r="CY15" s="78"/>
      <c r="CZ15" s="78"/>
      <c r="DA15" s="78"/>
      <c r="DB15" s="78"/>
      <c r="DC15" s="78"/>
      <c r="DD15" s="78"/>
      <c r="DE15" s="78"/>
      <c r="DF15" s="78"/>
      <c r="DG15" s="78"/>
      <c r="DH15" s="78"/>
      <c r="DI15" s="78"/>
      <c r="DJ15" s="78"/>
      <c r="DK15" s="78"/>
      <c r="DL15" s="78"/>
      <c r="DM15" s="78"/>
      <c r="DN15" s="78"/>
      <c r="DO15" s="78"/>
      <c r="DP15" s="78"/>
      <c r="DQ15" s="78"/>
      <c r="DR15" s="78"/>
      <c r="DS15" s="78"/>
      <c r="DT15" s="78"/>
      <c r="DU15" s="78"/>
      <c r="DV15" s="78"/>
      <c r="DW15" s="78"/>
      <c r="DX15" s="78"/>
      <c r="DY15" s="78"/>
      <c r="DZ15" s="78"/>
      <c r="EA15" s="78"/>
      <c r="EB15" s="78"/>
      <c r="EC15" s="78"/>
      <c r="ED15" s="78"/>
      <c r="EE15" s="78"/>
      <c r="EF15" s="78"/>
      <c r="EG15" s="78"/>
      <c r="EH15" s="78"/>
      <c r="EI15" s="78"/>
      <c r="EJ15" s="78"/>
      <c r="EK15" s="78"/>
      <c r="EL15" s="78"/>
      <c r="EM15" s="78"/>
      <c r="EN15" s="91"/>
      <c r="EO15" s="91"/>
      <c r="EP15" s="91"/>
      <c r="EQ15" s="91"/>
      <c r="ER15" s="91"/>
      <c r="ES15" s="91"/>
    </row>
    <row r="16" spans="1:150">
      <c r="B16" s="63" t="s">
        <v>26</v>
      </c>
      <c r="C16" s="96" t="s">
        <v>29</v>
      </c>
      <c r="D16" s="96"/>
      <c r="E16" s="103"/>
      <c r="F16" s="96"/>
      <c r="G16" s="96" t="s">
        <v>28</v>
      </c>
      <c r="H16" s="96"/>
      <c r="I16" s="177">
        <f>J16*8</f>
        <v>80</v>
      </c>
      <c r="J16" s="177">
        <v>10</v>
      </c>
      <c r="K16" s="177"/>
      <c r="L16" s="177"/>
      <c r="M16" s="182">
        <f>100%</f>
        <v>1</v>
      </c>
      <c r="N16" s="182">
        <f>100%</f>
        <v>1</v>
      </c>
      <c r="O16" s="182">
        <f>N16-M16</f>
        <v>0</v>
      </c>
      <c r="P16" s="183" t="s">
        <v>25</v>
      </c>
      <c r="Q16" s="90">
        <f>J16-SUM(R16:ES16)</f>
        <v>0</v>
      </c>
      <c r="R16" s="78"/>
      <c r="S16" s="78"/>
      <c r="T16" s="78"/>
      <c r="U16" s="78"/>
      <c r="V16" s="78"/>
      <c r="W16" s="78">
        <v>2</v>
      </c>
      <c r="X16" s="78">
        <v>2</v>
      </c>
      <c r="Y16" s="78">
        <v>2</v>
      </c>
      <c r="Z16" s="78">
        <v>2</v>
      </c>
      <c r="AA16" s="78">
        <v>2</v>
      </c>
      <c r="AB16" s="78"/>
      <c r="AC16" s="78"/>
      <c r="AD16" s="78"/>
      <c r="AE16" s="78"/>
      <c r="AF16" s="78"/>
      <c r="AG16" s="78"/>
      <c r="AH16" s="78"/>
      <c r="AI16" s="78"/>
      <c r="AJ16" s="78"/>
      <c r="AK16" s="78"/>
      <c r="AL16" s="78"/>
      <c r="AM16" s="78"/>
      <c r="AN16" s="78"/>
      <c r="AO16" s="78"/>
      <c r="AP16" s="78"/>
      <c r="AQ16" s="78"/>
      <c r="AR16" s="78"/>
      <c r="AS16" s="78"/>
      <c r="AT16" s="78"/>
      <c r="AU16" s="78"/>
      <c r="AV16" s="78"/>
      <c r="AW16" s="78"/>
      <c r="AX16" s="78"/>
      <c r="AY16" s="91"/>
      <c r="AZ16" s="78"/>
      <c r="BA16" s="78"/>
      <c r="BB16" s="78"/>
      <c r="BC16" s="78"/>
      <c r="BD16" s="78"/>
      <c r="BE16" s="78"/>
      <c r="BF16" s="78"/>
      <c r="BG16" s="78"/>
      <c r="BH16" s="78"/>
      <c r="BI16" s="78"/>
      <c r="BJ16" s="78"/>
      <c r="BK16" s="78"/>
      <c r="BL16" s="78"/>
      <c r="BM16" s="78"/>
      <c r="BN16" s="78"/>
      <c r="BO16" s="78"/>
      <c r="BP16" s="78"/>
      <c r="BQ16" s="78"/>
      <c r="BR16" s="78"/>
      <c r="BS16" s="78"/>
      <c r="BT16" s="78"/>
      <c r="BU16" s="78"/>
      <c r="BV16" s="78"/>
      <c r="BW16" s="78"/>
      <c r="BX16" s="78"/>
      <c r="BY16" s="78"/>
      <c r="BZ16" s="78"/>
      <c r="CA16" s="78"/>
      <c r="CB16" s="78"/>
      <c r="CC16" s="78"/>
      <c r="CD16" s="78"/>
      <c r="CE16" s="78"/>
      <c r="CF16" s="78"/>
      <c r="CG16" s="78"/>
      <c r="CH16" s="78"/>
      <c r="CI16" s="78"/>
      <c r="CJ16" s="78"/>
      <c r="CK16" s="78"/>
      <c r="CL16" s="78"/>
      <c r="CM16" s="78"/>
      <c r="CN16" s="78"/>
      <c r="CO16" s="78"/>
      <c r="CP16" s="78"/>
      <c r="CQ16" s="78"/>
      <c r="CR16" s="78"/>
      <c r="CS16" s="78"/>
      <c r="CT16" s="78"/>
      <c r="CU16" s="78"/>
      <c r="CV16" s="78"/>
      <c r="CW16" s="78"/>
      <c r="CX16" s="78"/>
      <c r="CY16" s="78"/>
      <c r="CZ16" s="78"/>
      <c r="DA16" s="78"/>
      <c r="DB16" s="78"/>
      <c r="DC16" s="78"/>
      <c r="DD16" s="78"/>
      <c r="DE16" s="78"/>
      <c r="DF16" s="78"/>
      <c r="DG16" s="78"/>
      <c r="DH16" s="78"/>
      <c r="DI16" s="78"/>
      <c r="DJ16" s="78"/>
      <c r="DK16" s="78"/>
      <c r="DL16" s="78"/>
      <c r="DM16" s="78"/>
      <c r="DN16" s="78"/>
      <c r="DO16" s="78"/>
      <c r="DP16" s="78"/>
      <c r="DQ16" s="78"/>
      <c r="DR16" s="78"/>
      <c r="DS16" s="78"/>
      <c r="DT16" s="78"/>
      <c r="DU16" s="78"/>
      <c r="DV16" s="78"/>
      <c r="DW16" s="78"/>
      <c r="DX16" s="78"/>
      <c r="DY16" s="78"/>
      <c r="DZ16" s="78"/>
      <c r="EA16" s="78"/>
      <c r="EB16" s="78"/>
      <c r="EC16" s="78"/>
      <c r="ED16" s="78"/>
      <c r="EE16" s="78"/>
      <c r="EF16" s="78"/>
      <c r="EG16" s="78"/>
      <c r="EH16" s="78"/>
      <c r="EI16" s="78"/>
      <c r="EJ16" s="78"/>
      <c r="EK16" s="78"/>
      <c r="EL16" s="78"/>
      <c r="EM16" s="78"/>
      <c r="EN16" s="91"/>
      <c r="EO16" s="91"/>
      <c r="EP16" s="91"/>
      <c r="EQ16" s="91"/>
      <c r="ER16" s="91"/>
      <c r="ES16" s="91"/>
    </row>
    <row r="17" spans="1:149">
      <c r="B17" s="63" t="s">
        <v>26</v>
      </c>
      <c r="C17" s="102" t="s">
        <v>30</v>
      </c>
      <c r="D17" s="96"/>
      <c r="E17" s="96"/>
      <c r="F17" s="96"/>
      <c r="G17" s="96" t="s">
        <v>28</v>
      </c>
      <c r="H17" s="96"/>
      <c r="I17" s="177">
        <f>J17*8</f>
        <v>40</v>
      </c>
      <c r="J17" s="177">
        <v>5</v>
      </c>
      <c r="K17" s="177"/>
      <c r="L17" s="177"/>
      <c r="M17" s="182">
        <f>100%</f>
        <v>1</v>
      </c>
      <c r="N17" s="182">
        <f>100%</f>
        <v>1</v>
      </c>
      <c r="O17" s="182">
        <f>N17-M17</f>
        <v>0</v>
      </c>
      <c r="P17" s="183" t="s">
        <v>25</v>
      </c>
      <c r="Q17" s="90">
        <f>J17-SUM(R17:ES17)</f>
        <v>0</v>
      </c>
      <c r="R17" s="78"/>
      <c r="S17" s="78"/>
      <c r="T17" s="78"/>
      <c r="U17" s="78"/>
      <c r="V17" s="78"/>
      <c r="W17" s="78"/>
      <c r="X17" s="78"/>
      <c r="Y17" s="78"/>
      <c r="Z17" s="78"/>
      <c r="AA17" s="78"/>
      <c r="AB17" s="78"/>
      <c r="AC17" s="78"/>
      <c r="AD17" s="78"/>
      <c r="AE17" s="78"/>
      <c r="AF17" s="78"/>
      <c r="AG17" s="78">
        <v>1</v>
      </c>
      <c r="AH17" s="78">
        <v>1</v>
      </c>
      <c r="AI17" s="78">
        <v>1</v>
      </c>
      <c r="AJ17" s="78">
        <v>1</v>
      </c>
      <c r="AK17" s="78">
        <v>0.5</v>
      </c>
      <c r="AL17" s="78">
        <v>0.5</v>
      </c>
      <c r="AM17" s="78"/>
      <c r="AN17" s="78"/>
      <c r="AO17" s="78"/>
      <c r="AP17" s="78"/>
      <c r="AQ17" s="78"/>
      <c r="AR17" s="78"/>
      <c r="AS17" s="78"/>
      <c r="AT17" s="78"/>
      <c r="AU17" s="78"/>
      <c r="AV17" s="78"/>
      <c r="AW17" s="78"/>
      <c r="AX17" s="78"/>
      <c r="AY17" s="91"/>
      <c r="AZ17" s="78"/>
      <c r="BA17" s="78"/>
      <c r="BB17" s="78"/>
      <c r="BC17" s="78"/>
      <c r="BD17" s="78"/>
      <c r="BE17" s="78"/>
      <c r="BF17" s="78"/>
      <c r="BG17" s="78"/>
      <c r="BH17" s="78"/>
      <c r="BI17" s="78"/>
      <c r="BJ17" s="78"/>
      <c r="BK17" s="78"/>
      <c r="BL17" s="78"/>
      <c r="BM17" s="78"/>
      <c r="BN17" s="78"/>
      <c r="BO17" s="78"/>
      <c r="BP17" s="78"/>
      <c r="BQ17" s="78"/>
      <c r="BR17" s="78"/>
      <c r="BS17" s="78"/>
      <c r="BT17" s="78"/>
      <c r="BU17" s="78"/>
      <c r="BV17" s="78"/>
      <c r="BW17" s="78"/>
      <c r="BX17" s="78"/>
      <c r="BY17" s="78"/>
      <c r="BZ17" s="78"/>
      <c r="CA17" s="78"/>
      <c r="CB17" s="78"/>
      <c r="CC17" s="78"/>
      <c r="CD17" s="78"/>
      <c r="CE17" s="78"/>
      <c r="CF17" s="78"/>
      <c r="CG17" s="78"/>
      <c r="CH17" s="78"/>
      <c r="CI17" s="78"/>
      <c r="CJ17" s="78"/>
      <c r="CK17" s="78"/>
      <c r="CL17" s="78"/>
      <c r="CM17" s="78"/>
      <c r="CN17" s="78"/>
      <c r="CO17" s="78"/>
      <c r="CP17" s="78"/>
      <c r="CQ17" s="78"/>
      <c r="CR17" s="78"/>
      <c r="CS17" s="78"/>
      <c r="CT17" s="78"/>
      <c r="CU17" s="78"/>
      <c r="CV17" s="78"/>
      <c r="CW17" s="78"/>
      <c r="CX17" s="78"/>
      <c r="CY17" s="78"/>
      <c r="CZ17" s="78"/>
      <c r="DA17" s="78"/>
      <c r="DB17" s="78"/>
      <c r="DC17" s="78"/>
      <c r="DD17" s="78"/>
      <c r="DE17" s="78"/>
      <c r="DF17" s="78"/>
      <c r="DG17" s="78"/>
      <c r="DH17" s="78"/>
      <c r="DI17" s="78"/>
      <c r="DJ17" s="78"/>
      <c r="DK17" s="78"/>
      <c r="DL17" s="78"/>
      <c r="DM17" s="78"/>
      <c r="DN17" s="78"/>
      <c r="DO17" s="78"/>
      <c r="DP17" s="78"/>
      <c r="DQ17" s="78"/>
      <c r="DR17" s="78"/>
      <c r="DS17" s="78"/>
      <c r="DT17" s="78"/>
      <c r="DU17" s="78"/>
      <c r="DV17" s="78"/>
      <c r="DW17" s="78"/>
      <c r="DX17" s="78"/>
      <c r="DY17" s="78"/>
      <c r="DZ17" s="78"/>
      <c r="EA17" s="78"/>
      <c r="EB17" s="78"/>
      <c r="EC17" s="78"/>
      <c r="ED17" s="78"/>
      <c r="EE17" s="78"/>
      <c r="EF17" s="78"/>
      <c r="EG17" s="78"/>
      <c r="EH17" s="78"/>
      <c r="EI17" s="78"/>
      <c r="EJ17" s="78"/>
      <c r="EK17" s="78"/>
      <c r="EL17" s="78"/>
      <c r="EM17" s="78"/>
      <c r="EN17" s="91"/>
      <c r="EO17" s="91"/>
      <c r="EP17" s="91"/>
      <c r="EQ17" s="91"/>
      <c r="ER17" s="91"/>
      <c r="ES17" s="91"/>
    </row>
    <row r="18" spans="1:149" ht="10.4" customHeight="1">
      <c r="B18" s="64"/>
      <c r="C18" s="64"/>
      <c r="D18" s="64"/>
      <c r="E18" s="64"/>
      <c r="F18" s="64"/>
      <c r="G18" s="64"/>
      <c r="H18" s="64"/>
      <c r="I18" s="84"/>
      <c r="J18" s="84"/>
      <c r="K18" s="84"/>
      <c r="L18" s="84"/>
      <c r="M18" s="84"/>
      <c r="N18" s="84"/>
      <c r="O18"/>
      <c r="P18" s="88"/>
      <c r="R18" s="79"/>
      <c r="S18" s="79"/>
      <c r="T18" s="79"/>
      <c r="U18" s="79"/>
      <c r="V18" s="79"/>
      <c r="W18" s="79"/>
      <c r="X18" s="79"/>
      <c r="Y18" s="79"/>
      <c r="Z18" s="79"/>
      <c r="AA18" s="79"/>
      <c r="AB18" s="79"/>
      <c r="AC18" s="79"/>
      <c r="AD18" s="79"/>
      <c r="AE18" s="79"/>
      <c r="AF18" s="79"/>
      <c r="AG18" s="79"/>
      <c r="AH18" s="79"/>
      <c r="AI18" s="79"/>
      <c r="AJ18" s="79"/>
      <c r="AK18" s="79"/>
      <c r="AL18" s="79"/>
      <c r="AM18" s="79"/>
      <c r="AN18" s="79"/>
      <c r="AO18" s="79"/>
      <c r="AP18" s="79"/>
      <c r="AQ18" s="79"/>
      <c r="AR18" s="79"/>
      <c r="AS18" s="79"/>
      <c r="AT18" s="79"/>
      <c r="AU18" s="79"/>
      <c r="AV18" s="79"/>
      <c r="AW18" s="79"/>
      <c r="AX18" s="79"/>
      <c r="AY18" s="93"/>
      <c r="AZ18" s="79"/>
      <c r="BA18" s="79"/>
      <c r="BB18" s="79"/>
      <c r="BC18" s="79"/>
      <c r="BD18" s="79"/>
      <c r="BE18" s="79"/>
      <c r="BF18" s="79"/>
      <c r="BG18" s="79"/>
      <c r="BH18" s="79"/>
      <c r="BI18" s="79"/>
      <c r="BJ18" s="79"/>
      <c r="BK18" s="79"/>
      <c r="BL18" s="79"/>
      <c r="BM18" s="79"/>
      <c r="BN18" s="79"/>
      <c r="BO18" s="79"/>
      <c r="BP18" s="79"/>
      <c r="BQ18" s="79"/>
      <c r="BR18" s="79"/>
      <c r="BS18" s="79"/>
      <c r="BT18" s="79"/>
      <c r="BU18" s="79"/>
      <c r="BV18" s="79"/>
      <c r="BW18" s="79"/>
      <c r="BX18" s="79"/>
      <c r="BY18" s="79"/>
      <c r="BZ18" s="79"/>
      <c r="CA18" s="79"/>
      <c r="CB18" s="79"/>
      <c r="CC18" s="79"/>
      <c r="CD18" s="79"/>
      <c r="CE18" s="79"/>
      <c r="CF18" s="79"/>
      <c r="CG18" s="79"/>
      <c r="CH18" s="79"/>
      <c r="CI18" s="79"/>
      <c r="CJ18" s="79"/>
      <c r="CK18" s="79"/>
      <c r="CL18" s="79"/>
      <c r="CM18" s="79"/>
      <c r="CN18" s="79"/>
      <c r="CO18" s="79"/>
      <c r="CP18" s="79"/>
      <c r="CQ18" s="79"/>
      <c r="CR18" s="79"/>
      <c r="CS18" s="79"/>
      <c r="CT18" s="79"/>
      <c r="CU18" s="79"/>
      <c r="CV18" s="79"/>
      <c r="CW18" s="79"/>
      <c r="CX18" s="79"/>
      <c r="CY18" s="79"/>
      <c r="CZ18" s="79"/>
      <c r="DA18" s="79"/>
      <c r="DB18" s="79"/>
      <c r="DC18" s="79"/>
      <c r="DD18" s="79"/>
      <c r="DE18" s="79"/>
      <c r="DF18" s="79"/>
      <c r="DG18" s="79"/>
      <c r="DH18" s="79"/>
      <c r="DI18" s="79"/>
      <c r="DJ18" s="79"/>
      <c r="DK18" s="79"/>
      <c r="DL18" s="79"/>
      <c r="DM18" s="79"/>
      <c r="DN18" s="79"/>
      <c r="DO18" s="79"/>
      <c r="DP18" s="79"/>
      <c r="DQ18" s="79"/>
      <c r="DR18" s="79"/>
      <c r="DS18" s="79"/>
      <c r="DT18" s="79"/>
      <c r="DU18" s="79"/>
      <c r="DV18" s="79"/>
      <c r="DW18" s="79"/>
      <c r="DX18" s="79"/>
      <c r="DY18" s="79"/>
      <c r="DZ18" s="79"/>
      <c r="EA18" s="79"/>
      <c r="EB18" s="79"/>
      <c r="EC18" s="79"/>
      <c r="ED18" s="79"/>
      <c r="EE18" s="79"/>
      <c r="EF18" s="79"/>
      <c r="EG18" s="79"/>
      <c r="EH18" s="79"/>
      <c r="EI18" s="79"/>
      <c r="EJ18" s="79"/>
      <c r="EK18" s="79"/>
      <c r="EL18" s="79"/>
      <c r="EM18" s="79"/>
      <c r="EN18" s="93"/>
      <c r="EO18" s="93"/>
      <c r="EP18" s="93"/>
      <c r="EQ18" s="93"/>
      <c r="ER18" s="93"/>
      <c r="ES18" s="93"/>
    </row>
    <row r="19" spans="1:149">
      <c r="B19" s="82" t="s">
        <v>32</v>
      </c>
      <c r="C19" s="83"/>
      <c r="D19" s="83"/>
      <c r="E19" s="83"/>
      <c r="F19" s="83"/>
      <c r="G19" s="83"/>
      <c r="H19" s="83"/>
      <c r="I19" s="170">
        <f>SUM(I20:I22)</f>
        <v>120</v>
      </c>
      <c r="J19" s="170">
        <f>SUM(J20:J22)</f>
        <v>15</v>
      </c>
      <c r="K19" s="176">
        <f>N19*I19</f>
        <v>118.8</v>
      </c>
      <c r="L19" s="176">
        <f>N19*J19</f>
        <v>14.85</v>
      </c>
      <c r="M19" s="171">
        <f>SUMPRODUCT(M20:M23,I20:I23)/I19</f>
        <v>0.93333333333333335</v>
      </c>
      <c r="N19" s="171">
        <f>SUMPRODUCT(N20:N22,J20:J22)/J19</f>
        <v>0.99</v>
      </c>
      <c r="O19" s="171">
        <f>N19-M19</f>
        <v>5.6666666666666643E-2</v>
      </c>
      <c r="P19" s="173" t="s">
        <v>25</v>
      </c>
      <c r="R19" s="81"/>
      <c r="S19" s="81"/>
      <c r="T19" s="81"/>
      <c r="U19" s="81"/>
      <c r="V19" s="81"/>
      <c r="W19" s="81"/>
      <c r="X19" s="81"/>
      <c r="Y19" s="81"/>
      <c r="Z19" s="81"/>
      <c r="AA19" s="81"/>
      <c r="AB19" s="140"/>
      <c r="AC19" s="81"/>
      <c r="AD19" s="81"/>
      <c r="AE19" s="81"/>
      <c r="AF19" s="81"/>
      <c r="AG19" s="140"/>
      <c r="AH19" s="81"/>
      <c r="AI19" s="81"/>
      <c r="AJ19" s="81"/>
      <c r="AK19" s="81"/>
      <c r="AL19" s="140"/>
      <c r="AM19" s="81"/>
      <c r="AN19" s="81"/>
      <c r="AO19" s="81"/>
      <c r="AP19" s="81"/>
      <c r="AQ19" s="140"/>
      <c r="AR19" s="81"/>
      <c r="AS19" s="81"/>
      <c r="AT19" s="81"/>
      <c r="AU19" s="81"/>
      <c r="AV19" s="140"/>
      <c r="AW19" s="81"/>
      <c r="AX19" s="81"/>
      <c r="AY19" s="94"/>
      <c r="AZ19" s="81"/>
      <c r="BA19" s="140"/>
      <c r="BB19" s="81"/>
      <c r="BC19" s="81"/>
      <c r="BD19" s="81"/>
      <c r="BE19" s="81"/>
      <c r="BF19" s="140"/>
      <c r="BG19" s="81"/>
      <c r="BH19" s="81"/>
      <c r="BI19" s="81"/>
      <c r="BJ19" s="81"/>
      <c r="BK19" s="140"/>
      <c r="BL19" s="81"/>
      <c r="BM19" s="81"/>
      <c r="BN19" s="81"/>
      <c r="BO19" s="81"/>
      <c r="BP19" s="140"/>
      <c r="BQ19" s="81"/>
      <c r="BR19" s="81"/>
      <c r="BS19" s="81"/>
      <c r="BT19" s="81"/>
      <c r="BU19" s="140"/>
      <c r="BV19" s="81"/>
      <c r="BW19" s="81"/>
      <c r="BX19" s="81"/>
      <c r="BY19" s="81"/>
      <c r="BZ19" s="140"/>
      <c r="CA19" s="81"/>
      <c r="CB19" s="81"/>
      <c r="CC19" s="81"/>
      <c r="CD19" s="81"/>
      <c r="CE19" s="140"/>
      <c r="CF19" s="81"/>
      <c r="CG19" s="81"/>
      <c r="CH19" s="81"/>
      <c r="CI19" s="81"/>
      <c r="CJ19" s="140"/>
      <c r="CK19" s="81"/>
      <c r="CL19" s="81"/>
      <c r="CM19" s="81"/>
      <c r="CN19" s="81"/>
      <c r="CO19" s="140"/>
      <c r="CP19" s="81"/>
      <c r="CQ19" s="81"/>
      <c r="CR19" s="81"/>
      <c r="CS19" s="81"/>
      <c r="CT19" s="140"/>
      <c r="CU19" s="81"/>
      <c r="CV19" s="81"/>
      <c r="CW19" s="81"/>
      <c r="CX19" s="81"/>
      <c r="CY19" s="140"/>
      <c r="CZ19" s="81"/>
      <c r="DA19" s="81"/>
      <c r="DB19" s="81"/>
      <c r="DC19" s="81"/>
      <c r="DD19" s="140"/>
      <c r="DE19" s="81"/>
      <c r="DF19" s="81"/>
      <c r="DG19" s="81"/>
      <c r="DH19" s="81"/>
      <c r="DI19" s="81"/>
      <c r="DJ19" s="81"/>
      <c r="DK19" s="81"/>
      <c r="DL19" s="81"/>
      <c r="DM19" s="81"/>
      <c r="DN19" s="81"/>
      <c r="DO19" s="81"/>
      <c r="DP19" s="81"/>
      <c r="DQ19" s="81"/>
      <c r="DR19" s="81"/>
      <c r="DS19" s="81"/>
      <c r="DT19" s="81"/>
      <c r="DU19" s="81"/>
      <c r="DV19" s="81"/>
      <c r="DW19" s="81"/>
      <c r="DX19" s="81"/>
      <c r="DY19" s="81"/>
      <c r="DZ19" s="81"/>
      <c r="EA19" s="81"/>
      <c r="EB19" s="81"/>
      <c r="EC19" s="81"/>
      <c r="ED19" s="81"/>
      <c r="EE19" s="81"/>
      <c r="EF19" s="81"/>
      <c r="EG19" s="81"/>
      <c r="EH19" s="81"/>
      <c r="EI19" s="81"/>
      <c r="EJ19" s="81"/>
      <c r="EK19" s="81"/>
      <c r="EL19" s="81"/>
      <c r="EM19" s="81"/>
      <c r="EN19" s="94"/>
      <c r="EO19" s="94"/>
      <c r="EP19" s="94"/>
      <c r="EQ19" s="94"/>
      <c r="ER19" s="94"/>
      <c r="ES19" s="94"/>
    </row>
    <row r="20" spans="1:149">
      <c r="B20" s="63" t="s">
        <v>26</v>
      </c>
      <c r="C20" s="96" t="s">
        <v>27</v>
      </c>
      <c r="D20" s="96"/>
      <c r="E20" s="96"/>
      <c r="F20" s="96"/>
      <c r="G20" s="96" t="s">
        <v>28</v>
      </c>
      <c r="H20" s="96"/>
      <c r="I20" s="177">
        <f>J20*8</f>
        <v>40</v>
      </c>
      <c r="J20" s="177">
        <v>5</v>
      </c>
      <c r="K20" s="177"/>
      <c r="L20" s="177"/>
      <c r="M20" s="182">
        <f>SUMIFS(R20:ES20,$R$9:$ES$9,"S")/J20</f>
        <v>1</v>
      </c>
      <c r="N20" s="182">
        <f>100%</f>
        <v>1</v>
      </c>
      <c r="O20" s="182">
        <f>N20-M20</f>
        <v>0</v>
      </c>
      <c r="P20" s="183" t="s">
        <v>25</v>
      </c>
      <c r="Q20" s="90">
        <f>J20-SUM(R20:ES20)</f>
        <v>0</v>
      </c>
      <c r="R20" s="78"/>
      <c r="S20" s="78"/>
      <c r="T20" s="78"/>
      <c r="U20" s="78"/>
      <c r="V20" s="78"/>
      <c r="W20" s="78"/>
      <c r="X20" s="78"/>
      <c r="Y20" s="78"/>
      <c r="Z20" s="78"/>
      <c r="AA20" s="78"/>
      <c r="AB20" s="78">
        <v>0.5</v>
      </c>
      <c r="AC20" s="78"/>
      <c r="AD20" s="78"/>
      <c r="AE20" s="78"/>
      <c r="AF20" s="78"/>
      <c r="AG20" s="78">
        <v>0.5</v>
      </c>
      <c r="AH20" s="78"/>
      <c r="AI20" s="78"/>
      <c r="AJ20" s="78"/>
      <c r="AK20" s="78"/>
      <c r="AL20" s="78">
        <v>0.5</v>
      </c>
      <c r="AM20" s="78"/>
      <c r="AN20" s="78"/>
      <c r="AO20" s="78"/>
      <c r="AP20" s="78"/>
      <c r="AQ20" s="78">
        <v>0.5</v>
      </c>
      <c r="AR20" s="78"/>
      <c r="AS20" s="78"/>
      <c r="AT20" s="78"/>
      <c r="AU20" s="78"/>
      <c r="AV20" s="78">
        <v>0.5</v>
      </c>
      <c r="AW20" s="78"/>
      <c r="AX20" s="78"/>
      <c r="AY20" s="91"/>
      <c r="AZ20" s="78"/>
      <c r="BA20" s="78">
        <v>0.5</v>
      </c>
      <c r="BB20" s="78"/>
      <c r="BC20" s="78"/>
      <c r="BD20" s="78"/>
      <c r="BE20" s="78"/>
      <c r="BF20" s="78">
        <v>0.5</v>
      </c>
      <c r="BG20" s="78"/>
      <c r="BH20" s="78"/>
      <c r="BI20" s="78"/>
      <c r="BJ20" s="78"/>
      <c r="BK20" s="78">
        <v>0.5</v>
      </c>
      <c r="BL20" s="78"/>
      <c r="BM20" s="78"/>
      <c r="BN20" s="78"/>
      <c r="BO20" s="78"/>
      <c r="BP20" s="78">
        <v>0.5</v>
      </c>
      <c r="BQ20" s="78"/>
      <c r="BR20" s="78"/>
      <c r="BS20" s="78"/>
      <c r="BT20" s="78"/>
      <c r="BU20" s="78">
        <v>0.5</v>
      </c>
      <c r="BV20" s="78"/>
      <c r="BW20" s="78"/>
      <c r="BX20" s="78"/>
      <c r="BY20" s="78"/>
      <c r="BZ20" s="78"/>
      <c r="CA20" s="78"/>
      <c r="CB20" s="78"/>
      <c r="CC20" s="78"/>
      <c r="CD20" s="78"/>
      <c r="CE20" s="78"/>
      <c r="CF20" s="78"/>
      <c r="CG20" s="78"/>
      <c r="CH20" s="78"/>
      <c r="CI20" s="78"/>
      <c r="CJ20" s="78"/>
      <c r="CK20" s="78"/>
      <c r="CL20" s="78"/>
      <c r="CM20" s="78"/>
      <c r="CN20" s="78"/>
      <c r="CO20" s="78"/>
      <c r="CP20" s="78"/>
      <c r="CQ20" s="78"/>
      <c r="CR20" s="78"/>
      <c r="CS20" s="78"/>
      <c r="CT20" s="78"/>
      <c r="CU20" s="78"/>
      <c r="CV20" s="78"/>
      <c r="CW20" s="78"/>
      <c r="CX20" s="78"/>
      <c r="CY20" s="78"/>
      <c r="CZ20" s="78"/>
      <c r="DA20" s="78"/>
      <c r="DB20" s="78"/>
      <c r="DC20" s="78"/>
      <c r="DD20" s="78"/>
      <c r="DE20" s="78"/>
      <c r="DF20" s="78"/>
      <c r="DG20" s="78"/>
      <c r="DH20" s="78"/>
      <c r="DI20" s="78"/>
      <c r="DJ20" s="78"/>
      <c r="DK20" s="78"/>
      <c r="DL20" s="78"/>
      <c r="DM20" s="78"/>
      <c r="DN20" s="78"/>
      <c r="DO20" s="78"/>
      <c r="DP20" s="78"/>
      <c r="DQ20" s="78"/>
      <c r="DR20" s="78"/>
      <c r="DS20" s="78"/>
      <c r="DT20" s="78"/>
      <c r="DU20" s="78"/>
      <c r="DV20" s="78"/>
      <c r="DW20" s="78"/>
      <c r="DX20" s="78"/>
      <c r="DY20" s="78"/>
      <c r="DZ20" s="78"/>
      <c r="EA20" s="78"/>
      <c r="EB20" s="78"/>
      <c r="EC20" s="78"/>
      <c r="ED20" s="78"/>
      <c r="EE20" s="78"/>
      <c r="EF20" s="78"/>
      <c r="EG20" s="78"/>
      <c r="EH20" s="78"/>
      <c r="EI20" s="78"/>
      <c r="EJ20" s="78"/>
      <c r="EK20" s="78"/>
      <c r="EL20" s="78"/>
      <c r="EM20" s="78"/>
      <c r="EN20" s="91"/>
      <c r="EO20" s="91"/>
      <c r="EP20" s="91"/>
      <c r="EQ20" s="91"/>
      <c r="ER20" s="91"/>
      <c r="ES20" s="91"/>
    </row>
    <row r="21" spans="1:149">
      <c r="B21" s="63" t="s">
        <v>26</v>
      </c>
      <c r="C21" s="96" t="s">
        <v>29</v>
      </c>
      <c r="D21" s="96"/>
      <c r="E21" s="96"/>
      <c r="F21" s="96"/>
      <c r="G21" s="96" t="s">
        <v>28</v>
      </c>
      <c r="H21" s="96"/>
      <c r="I21" s="177">
        <f>J21*8</f>
        <v>40</v>
      </c>
      <c r="J21" s="177">
        <v>5</v>
      </c>
      <c r="K21" s="177"/>
      <c r="L21" s="177"/>
      <c r="M21" s="182">
        <f>SUMIFS(R21:ES21,$R$9:$ES$9,"S")/J21</f>
        <v>1</v>
      </c>
      <c r="N21" s="182">
        <v>1</v>
      </c>
      <c r="O21" s="182">
        <f>N21-M21</f>
        <v>0</v>
      </c>
      <c r="P21" s="183" t="s">
        <v>25</v>
      </c>
      <c r="Q21" s="90">
        <f>J21-SUM(R21:ES21)</f>
        <v>0</v>
      </c>
      <c r="R21" s="78"/>
      <c r="S21" s="78"/>
      <c r="T21" s="78"/>
      <c r="U21" s="78"/>
      <c r="V21" s="78"/>
      <c r="W21" s="78"/>
      <c r="X21" s="78"/>
      <c r="Y21" s="78"/>
      <c r="Z21" s="78"/>
      <c r="AA21" s="78"/>
      <c r="AB21" s="78">
        <v>0.5</v>
      </c>
      <c r="AC21" s="78"/>
      <c r="AD21" s="78"/>
      <c r="AE21" s="78"/>
      <c r="AF21" s="78"/>
      <c r="AG21" s="78">
        <v>0.5</v>
      </c>
      <c r="AH21" s="78"/>
      <c r="AI21" s="78"/>
      <c r="AJ21" s="78"/>
      <c r="AK21" s="78"/>
      <c r="AL21" s="78">
        <v>0.5</v>
      </c>
      <c r="AM21" s="78"/>
      <c r="AN21" s="78"/>
      <c r="AO21" s="78"/>
      <c r="AP21" s="78"/>
      <c r="AQ21" s="78">
        <v>0.5</v>
      </c>
      <c r="AR21" s="78"/>
      <c r="AS21" s="78"/>
      <c r="AT21" s="78"/>
      <c r="AU21" s="78"/>
      <c r="AV21" s="78">
        <v>0.5</v>
      </c>
      <c r="AW21" s="78"/>
      <c r="AX21" s="78"/>
      <c r="AY21" s="91"/>
      <c r="AZ21" s="78"/>
      <c r="BA21" s="78">
        <v>0.5</v>
      </c>
      <c r="BB21" s="78"/>
      <c r="BC21" s="78"/>
      <c r="BD21" s="78"/>
      <c r="BE21" s="78"/>
      <c r="BF21" s="78">
        <v>0.5</v>
      </c>
      <c r="BG21" s="78"/>
      <c r="BH21" s="78"/>
      <c r="BI21" s="78"/>
      <c r="BJ21" s="78"/>
      <c r="BK21" s="78">
        <v>0.5</v>
      </c>
      <c r="BL21" s="78"/>
      <c r="BM21" s="78"/>
      <c r="BN21" s="78"/>
      <c r="BO21" s="78"/>
      <c r="BP21" s="78">
        <v>0.5</v>
      </c>
      <c r="BQ21" s="78"/>
      <c r="BR21" s="78"/>
      <c r="BS21" s="78"/>
      <c r="BT21" s="78"/>
      <c r="BU21" s="78">
        <v>0.5</v>
      </c>
      <c r="BV21" s="78"/>
      <c r="BW21" s="78"/>
      <c r="BX21" s="78"/>
      <c r="BY21" s="78"/>
      <c r="BZ21" s="78"/>
      <c r="CA21" s="78"/>
      <c r="CB21" s="78"/>
      <c r="CC21" s="78"/>
      <c r="CD21" s="78"/>
      <c r="CE21" s="78"/>
      <c r="CF21" s="78"/>
      <c r="CG21" s="78"/>
      <c r="CH21" s="78"/>
      <c r="CI21" s="78"/>
      <c r="CJ21" s="78"/>
      <c r="CK21" s="78"/>
      <c r="CL21" s="78"/>
      <c r="CM21" s="78"/>
      <c r="CN21" s="78"/>
      <c r="CO21" s="78"/>
      <c r="CP21" s="78"/>
      <c r="CQ21" s="78"/>
      <c r="CR21" s="78"/>
      <c r="CS21" s="78"/>
      <c r="CT21" s="78"/>
      <c r="CU21" s="78"/>
      <c r="CV21" s="78"/>
      <c r="CW21" s="78"/>
      <c r="CX21" s="78"/>
      <c r="CY21" s="78"/>
      <c r="CZ21" s="78"/>
      <c r="DA21" s="78"/>
      <c r="DB21" s="78"/>
      <c r="DC21" s="78"/>
      <c r="DD21" s="78"/>
      <c r="DE21" s="78"/>
      <c r="DF21" s="78"/>
      <c r="DG21" s="78"/>
      <c r="DH21" s="78"/>
      <c r="DI21" s="78"/>
      <c r="DJ21" s="78"/>
      <c r="DK21" s="78"/>
      <c r="DL21" s="78"/>
      <c r="DM21" s="78"/>
      <c r="DN21" s="78"/>
      <c r="DO21" s="78"/>
      <c r="DP21" s="78"/>
      <c r="DQ21" s="78"/>
      <c r="DR21" s="78"/>
      <c r="DS21" s="78"/>
      <c r="DT21" s="78"/>
      <c r="DU21" s="78"/>
      <c r="DV21" s="78"/>
      <c r="DW21" s="78"/>
      <c r="DX21" s="78"/>
      <c r="DY21" s="78"/>
      <c r="DZ21" s="78"/>
      <c r="EA21" s="78"/>
      <c r="EB21" s="78"/>
      <c r="EC21" s="78"/>
      <c r="ED21" s="78"/>
      <c r="EE21" s="78"/>
      <c r="EF21" s="78"/>
      <c r="EG21" s="78"/>
      <c r="EH21" s="78"/>
      <c r="EI21" s="78"/>
      <c r="EJ21" s="78"/>
      <c r="EK21" s="78"/>
      <c r="EL21" s="78"/>
      <c r="EM21" s="78"/>
      <c r="EN21" s="91"/>
      <c r="EO21" s="91"/>
      <c r="EP21" s="91"/>
      <c r="EQ21" s="91"/>
      <c r="ER21" s="91"/>
      <c r="ES21" s="91"/>
    </row>
    <row r="22" spans="1:149" ht="33">
      <c r="B22" s="63" t="s">
        <v>26</v>
      </c>
      <c r="C22" s="102" t="s">
        <v>30</v>
      </c>
      <c r="D22" s="96"/>
      <c r="E22" s="96"/>
      <c r="F22" s="96"/>
      <c r="G22" s="96" t="s">
        <v>28</v>
      </c>
      <c r="H22" s="96"/>
      <c r="I22" s="177">
        <f>J22*8</f>
        <v>40</v>
      </c>
      <c r="J22" s="177">
        <v>5</v>
      </c>
      <c r="K22" s="177"/>
      <c r="L22" s="177"/>
      <c r="M22" s="182">
        <f>SUMIFS(R22:ES22,$R$9:$ES$9,"S")/J22</f>
        <v>0.8</v>
      </c>
      <c r="N22" s="182">
        <v>0.97</v>
      </c>
      <c r="O22" s="182">
        <f>N22-M22</f>
        <v>0.16999999999999993</v>
      </c>
      <c r="P22" s="184" t="s">
        <v>1848</v>
      </c>
      <c r="Q22" s="90">
        <f>J22-SUM(R22:ES22)</f>
        <v>0.5</v>
      </c>
      <c r="R22" s="78"/>
      <c r="S22" s="78"/>
      <c r="T22" s="78"/>
      <c r="U22" s="78"/>
      <c r="V22" s="78"/>
      <c r="W22" s="78"/>
      <c r="X22" s="78"/>
      <c r="Y22" s="78"/>
      <c r="Z22" s="78"/>
      <c r="AA22" s="78"/>
      <c r="AB22" s="78"/>
      <c r="AC22" s="78"/>
      <c r="AD22" s="78"/>
      <c r="AE22" s="78"/>
      <c r="AF22" s="78"/>
      <c r="AG22" s="78"/>
      <c r="AH22" s="78"/>
      <c r="AI22" s="78"/>
      <c r="AJ22" s="78"/>
      <c r="AK22" s="78"/>
      <c r="AL22" s="78"/>
      <c r="AM22" s="78"/>
      <c r="AN22" s="78"/>
      <c r="AO22" s="78"/>
      <c r="AP22" s="78"/>
      <c r="AQ22" s="78"/>
      <c r="AR22" s="78"/>
      <c r="AS22" s="78"/>
      <c r="AT22" s="78"/>
      <c r="AU22" s="78"/>
      <c r="AV22" s="78"/>
      <c r="AW22" s="78"/>
      <c r="AX22" s="78"/>
      <c r="AY22" s="91"/>
      <c r="AZ22" s="78"/>
      <c r="BA22" s="78"/>
      <c r="BB22" s="78"/>
      <c r="BC22" s="78"/>
      <c r="BD22" s="78"/>
      <c r="BE22" s="78"/>
      <c r="BF22" s="78"/>
      <c r="BG22" s="78"/>
      <c r="BH22" s="78"/>
      <c r="BI22" s="78"/>
      <c r="BJ22" s="78"/>
      <c r="BK22" s="78"/>
      <c r="BL22" s="78"/>
      <c r="BM22" s="78"/>
      <c r="BN22" s="78"/>
      <c r="BO22" s="78"/>
      <c r="BP22" s="78">
        <v>0.5</v>
      </c>
      <c r="BQ22" s="78"/>
      <c r="BR22" s="78"/>
      <c r="BS22" s="78"/>
      <c r="BT22" s="78"/>
      <c r="BU22" s="78">
        <v>0.5</v>
      </c>
      <c r="BV22" s="78"/>
      <c r="BW22" s="78"/>
      <c r="BX22" s="78"/>
      <c r="BY22" s="78"/>
      <c r="BZ22" s="78">
        <v>0.5</v>
      </c>
      <c r="CA22" s="78"/>
      <c r="CB22" s="78"/>
      <c r="CC22" s="78"/>
      <c r="CD22" s="78"/>
      <c r="CE22" s="78">
        <v>0.5</v>
      </c>
      <c r="CF22" s="78"/>
      <c r="CG22" s="78"/>
      <c r="CH22" s="78"/>
      <c r="CI22" s="78"/>
      <c r="CJ22" s="78">
        <v>0.5</v>
      </c>
      <c r="CK22" s="78"/>
      <c r="CL22" s="78"/>
      <c r="CM22" s="78"/>
      <c r="CN22" s="78"/>
      <c r="CO22" s="78">
        <v>0.5</v>
      </c>
      <c r="CP22" s="78"/>
      <c r="CQ22" s="78"/>
      <c r="CR22" s="78"/>
      <c r="CS22" s="78"/>
      <c r="CT22" s="78">
        <v>0.5</v>
      </c>
      <c r="CU22" s="78"/>
      <c r="CV22" s="78"/>
      <c r="CW22" s="78"/>
      <c r="CX22" s="78"/>
      <c r="CY22" s="78">
        <v>0.5</v>
      </c>
      <c r="CZ22" s="78"/>
      <c r="DA22" s="78"/>
      <c r="DB22" s="78"/>
      <c r="DC22" s="78"/>
      <c r="DD22" s="78">
        <v>0.5</v>
      </c>
      <c r="DE22" s="78"/>
      <c r="DF22" s="78"/>
      <c r="DG22" s="78"/>
      <c r="DH22" s="78"/>
      <c r="DI22" s="78"/>
      <c r="DJ22" s="78"/>
      <c r="DK22" s="78"/>
      <c r="DL22" s="78"/>
      <c r="DM22" s="78"/>
      <c r="DN22" s="78"/>
      <c r="DO22" s="78"/>
      <c r="DP22" s="78"/>
      <c r="DQ22" s="78"/>
      <c r="DR22" s="78"/>
      <c r="DS22" s="78"/>
      <c r="DT22" s="78"/>
      <c r="DU22" s="78"/>
      <c r="DV22" s="78"/>
      <c r="DW22" s="78"/>
      <c r="DX22" s="78"/>
      <c r="DY22" s="78"/>
      <c r="DZ22" s="78"/>
      <c r="EA22" s="78"/>
      <c r="EB22" s="78"/>
      <c r="EC22" s="78"/>
      <c r="ED22" s="78"/>
      <c r="EE22" s="78"/>
      <c r="EF22" s="78"/>
      <c r="EG22" s="78"/>
      <c r="EH22" s="78"/>
      <c r="EI22" s="78"/>
      <c r="EJ22" s="78"/>
      <c r="EK22" s="78"/>
      <c r="EL22" s="78"/>
      <c r="EM22" s="78"/>
      <c r="EN22" s="91"/>
      <c r="EO22" s="91"/>
      <c r="EP22" s="91"/>
      <c r="EQ22" s="91"/>
      <c r="ER22" s="91"/>
      <c r="ES22" s="91"/>
    </row>
    <row r="23" spans="1:149" ht="10.4" customHeight="1">
      <c r="B23" s="64"/>
      <c r="C23" s="64"/>
      <c r="D23" s="64"/>
      <c r="E23" s="64"/>
      <c r="F23" s="64"/>
      <c r="G23" s="64"/>
      <c r="H23" s="64"/>
      <c r="I23" s="84"/>
      <c r="J23" s="84"/>
      <c r="K23" s="84"/>
      <c r="L23" s="84"/>
      <c r="M23" s="84"/>
      <c r="N23" s="84"/>
      <c r="O23"/>
      <c r="P23" s="88"/>
      <c r="R23" s="79"/>
      <c r="S23" s="79"/>
      <c r="T23" s="79"/>
      <c r="U23" s="79"/>
      <c r="V23" s="79"/>
      <c r="W23" s="79"/>
      <c r="X23" s="79"/>
      <c r="Y23" s="79"/>
      <c r="Z23" s="79"/>
      <c r="AA23" s="79"/>
      <c r="AB23" s="79"/>
      <c r="AC23" s="79"/>
      <c r="AD23" s="79"/>
      <c r="AE23" s="79"/>
      <c r="AF23" s="79"/>
      <c r="AG23" s="79"/>
      <c r="AH23" s="79"/>
      <c r="AI23" s="79"/>
      <c r="AJ23" s="79"/>
      <c r="AK23" s="79"/>
      <c r="AL23" s="79"/>
      <c r="AM23" s="79"/>
      <c r="AN23" s="79"/>
      <c r="AO23" s="79"/>
      <c r="AP23" s="79"/>
      <c r="AQ23" s="79"/>
      <c r="AR23" s="79"/>
      <c r="AS23" s="79"/>
      <c r="AT23" s="79"/>
      <c r="AU23" s="79"/>
      <c r="AV23" s="79"/>
      <c r="AW23" s="79"/>
      <c r="AX23" s="79"/>
      <c r="AY23" s="93"/>
      <c r="AZ23" s="79"/>
      <c r="BA23" s="79"/>
      <c r="BB23" s="79"/>
      <c r="BC23" s="79"/>
      <c r="BD23" s="79"/>
      <c r="BE23" s="79"/>
      <c r="BF23" s="79"/>
      <c r="BG23" s="79"/>
      <c r="BH23" s="79"/>
      <c r="BI23" s="79"/>
      <c r="BJ23" s="79"/>
      <c r="BK23" s="79"/>
      <c r="BL23" s="79"/>
      <c r="BM23" s="79"/>
      <c r="BN23" s="79"/>
      <c r="BO23" s="79"/>
      <c r="BP23" s="79"/>
      <c r="BQ23" s="79"/>
      <c r="BR23" s="79"/>
      <c r="BS23" s="79"/>
      <c r="BT23" s="79"/>
      <c r="BU23" s="79"/>
      <c r="BV23" s="79"/>
      <c r="BW23" s="79"/>
      <c r="BX23" s="79"/>
      <c r="BY23" s="79"/>
      <c r="BZ23" s="79"/>
      <c r="CA23" s="79"/>
      <c r="CB23" s="79"/>
      <c r="CC23" s="79"/>
      <c r="CD23" s="79"/>
      <c r="CE23" s="79"/>
      <c r="CF23" s="79"/>
      <c r="CG23" s="79"/>
      <c r="CH23" s="79"/>
      <c r="CI23" s="79"/>
      <c r="CJ23" s="79"/>
      <c r="CK23" s="79"/>
      <c r="CL23" s="79"/>
      <c r="CM23" s="79"/>
      <c r="CN23" s="79"/>
      <c r="CO23" s="79"/>
      <c r="CP23" s="79"/>
      <c r="CQ23" s="79"/>
      <c r="CR23" s="79"/>
      <c r="CS23" s="79"/>
      <c r="CT23" s="79"/>
      <c r="CU23" s="79"/>
      <c r="CV23" s="79"/>
      <c r="CW23" s="79"/>
      <c r="CX23" s="79"/>
      <c r="CY23" s="79"/>
      <c r="CZ23" s="79"/>
      <c r="DA23" s="79"/>
      <c r="DB23" s="79"/>
      <c r="DC23" s="79"/>
      <c r="DD23" s="79"/>
      <c r="DE23" s="79"/>
      <c r="DF23" s="79"/>
      <c r="DG23" s="79"/>
      <c r="DH23" s="79"/>
      <c r="DI23" s="79"/>
      <c r="DJ23" s="79"/>
      <c r="DK23" s="79"/>
      <c r="DL23" s="79"/>
      <c r="DM23" s="79"/>
      <c r="DN23" s="79"/>
      <c r="DO23" s="79"/>
      <c r="DP23" s="79"/>
      <c r="DQ23" s="79"/>
      <c r="DR23" s="79"/>
      <c r="DS23" s="79"/>
      <c r="DT23" s="79"/>
      <c r="DU23" s="79"/>
      <c r="DV23" s="79"/>
      <c r="DW23" s="79"/>
      <c r="DX23" s="79"/>
      <c r="DY23" s="79"/>
      <c r="DZ23" s="79"/>
      <c r="EA23" s="79"/>
      <c r="EB23" s="79"/>
      <c r="EC23" s="79"/>
      <c r="ED23" s="79"/>
      <c r="EE23" s="79"/>
      <c r="EF23" s="79"/>
      <c r="EG23" s="79"/>
      <c r="EH23" s="79"/>
      <c r="EI23" s="79"/>
      <c r="EJ23" s="79"/>
      <c r="EK23" s="79"/>
      <c r="EL23" s="79"/>
      <c r="EM23" s="79"/>
      <c r="EN23" s="93"/>
      <c r="EO23" s="93"/>
      <c r="EP23" s="93"/>
      <c r="EQ23" s="93"/>
      <c r="ER23" s="93"/>
      <c r="ES23" s="93"/>
    </row>
    <row r="24" spans="1:149">
      <c r="B24" s="82" t="s">
        <v>33</v>
      </c>
      <c r="C24" s="83"/>
      <c r="D24" s="83"/>
      <c r="E24" s="83"/>
      <c r="F24" s="83"/>
      <c r="G24" s="83"/>
      <c r="H24" s="83"/>
      <c r="I24" s="176" t="e">
        <f>I25+I74+I243+I452+I562</f>
        <v>#N/A</v>
      </c>
      <c r="J24" s="176" t="e">
        <f>J25+J74+J243+J452+J562</f>
        <v>#N/A</v>
      </c>
      <c r="K24" s="176" t="e">
        <f>K25+K74+K243+K452+K562</f>
        <v>#N/A</v>
      </c>
      <c r="L24" s="176" t="e">
        <f>L25+L74+L243+L452+L562</f>
        <v>#N/A</v>
      </c>
      <c r="M24" s="171" t="e">
        <f>((M25*J25)+(M74*J74)+(M243*J243)+(M452*J452)+(M562*J562))/J24</f>
        <v>#N/A</v>
      </c>
      <c r="N24" s="171" t="e">
        <f>((N25*L25)+(N74*L74)+(N243*L243)+(N452*L452)+(N562*L562))/L24</f>
        <v>#N/A</v>
      </c>
      <c r="O24" s="171" t="e">
        <f t="shared" ref="O24:O122" si="12">N24-M24</f>
        <v>#N/A</v>
      </c>
      <c r="P24" s="173" t="s">
        <v>25</v>
      </c>
      <c r="R24" s="81"/>
      <c r="S24" s="81"/>
      <c r="T24" s="81"/>
      <c r="U24" s="81"/>
      <c r="V24" s="81"/>
      <c r="W24" s="81"/>
      <c r="X24" s="81"/>
      <c r="Y24" s="81"/>
      <c r="Z24" s="81"/>
      <c r="AA24" s="81"/>
      <c r="AB24" s="81"/>
      <c r="AC24" s="140"/>
      <c r="AD24" s="140"/>
      <c r="AE24" s="140"/>
      <c r="AF24" s="140"/>
      <c r="AG24" s="140"/>
      <c r="AH24" s="140"/>
      <c r="AI24" s="140"/>
      <c r="AJ24" s="140"/>
      <c r="AK24" s="140"/>
      <c r="AL24" s="140"/>
      <c r="AM24" s="140"/>
      <c r="AN24" s="140"/>
      <c r="AO24" s="140"/>
      <c r="AP24" s="140"/>
      <c r="AQ24" s="140"/>
      <c r="AR24" s="140"/>
      <c r="AS24" s="140"/>
      <c r="AT24" s="140"/>
      <c r="AU24" s="140"/>
      <c r="AV24" s="140"/>
      <c r="AW24" s="140"/>
      <c r="AX24" s="140"/>
      <c r="AY24" s="94"/>
      <c r="AZ24" s="140"/>
      <c r="BA24" s="140"/>
      <c r="BB24" s="140"/>
      <c r="BC24" s="140"/>
      <c r="BD24" s="140"/>
      <c r="BE24" s="140"/>
      <c r="BF24" s="140"/>
      <c r="BG24" s="140"/>
      <c r="BH24" s="140"/>
      <c r="BI24" s="140"/>
      <c r="BJ24" s="140"/>
      <c r="BK24" s="140"/>
      <c r="BL24" s="140"/>
      <c r="BM24" s="140"/>
      <c r="BN24" s="140"/>
      <c r="BO24" s="140"/>
      <c r="BP24" s="140"/>
      <c r="BQ24" s="140"/>
      <c r="BR24" s="140"/>
      <c r="BS24" s="140"/>
      <c r="BT24" s="140"/>
      <c r="BU24" s="140"/>
      <c r="BV24" s="140"/>
      <c r="BW24" s="140"/>
      <c r="BX24" s="140"/>
      <c r="BY24" s="140"/>
      <c r="BZ24" s="140"/>
      <c r="CA24" s="140"/>
      <c r="CB24" s="140"/>
      <c r="CC24" s="140"/>
      <c r="CD24" s="140"/>
      <c r="CE24" s="140"/>
      <c r="CF24" s="140"/>
      <c r="CG24" s="140"/>
      <c r="CH24" s="140"/>
      <c r="CI24" s="140"/>
      <c r="CJ24" s="140"/>
      <c r="CK24" s="140"/>
      <c r="CL24" s="140"/>
      <c r="CM24" s="140"/>
      <c r="CN24" s="140"/>
      <c r="CO24" s="140"/>
      <c r="CP24" s="140"/>
      <c r="CQ24" s="140"/>
      <c r="CR24" s="140"/>
      <c r="CS24" s="140"/>
      <c r="CT24" s="140"/>
      <c r="CU24" s="140"/>
      <c r="CV24" s="140"/>
      <c r="CW24" s="140"/>
      <c r="CX24" s="140"/>
      <c r="CY24" s="140"/>
      <c r="CZ24" s="140"/>
      <c r="DA24" s="140"/>
      <c r="DB24" s="140"/>
      <c r="DC24" s="140"/>
      <c r="DD24" s="140"/>
      <c r="DE24" s="140"/>
      <c r="DF24" s="140"/>
      <c r="DG24" s="140"/>
      <c r="DH24" s="140"/>
      <c r="DI24" s="140"/>
      <c r="DJ24" s="140"/>
      <c r="DK24" s="140"/>
      <c r="DL24" s="140"/>
      <c r="DM24" s="140"/>
      <c r="DN24" s="140"/>
      <c r="DO24" s="140"/>
      <c r="DP24" s="140"/>
      <c r="DQ24" s="140"/>
      <c r="DR24" s="140"/>
      <c r="DS24" s="140"/>
      <c r="DT24" s="140"/>
      <c r="DU24" s="140"/>
      <c r="DV24" s="140"/>
      <c r="DW24" s="140"/>
      <c r="DX24" s="140"/>
      <c r="DY24" s="140"/>
      <c r="DZ24" s="140"/>
      <c r="EA24" s="140"/>
      <c r="EB24" s="140"/>
      <c r="EC24" s="140"/>
      <c r="ED24" s="140"/>
      <c r="EE24" s="140"/>
      <c r="EF24" s="140"/>
      <c r="EG24" s="140"/>
      <c r="EH24" s="140"/>
      <c r="EI24" s="140"/>
      <c r="EJ24" s="140"/>
      <c r="EK24" s="140"/>
      <c r="EL24" s="140"/>
      <c r="EM24" s="140"/>
      <c r="EN24" s="94"/>
      <c r="EO24" s="94"/>
      <c r="EP24" s="94"/>
      <c r="EQ24" s="94"/>
      <c r="ER24" s="94"/>
      <c r="ES24" s="94"/>
    </row>
    <row r="25" spans="1:149">
      <c r="B25" s="63" t="s">
        <v>26</v>
      </c>
      <c r="C25" s="96" t="s">
        <v>34</v>
      </c>
      <c r="D25" s="64"/>
      <c r="E25" s="64"/>
      <c r="F25" s="64"/>
      <c r="G25" s="64"/>
      <c r="H25" s="64"/>
      <c r="I25" s="179" t="e">
        <f>SUM(I26:I73)</f>
        <v>#N/A</v>
      </c>
      <c r="J25" s="179" t="e">
        <f>ROUNDUP(I25/8,0)</f>
        <v>#N/A</v>
      </c>
      <c r="K25" s="179" t="e">
        <f>SUM(K26:K73)</f>
        <v>#N/A</v>
      </c>
      <c r="L25" s="179" t="e">
        <f>ROUNDUP(K25/8,0)</f>
        <v>#N/A</v>
      </c>
      <c r="M25" s="178" t="e">
        <f>SUMIFS(R25:ES25,$R$9:$ES$9,"S")/J25</f>
        <v>#N/A</v>
      </c>
      <c r="N25" s="178">
        <f>IFERROR(L25/J25,0)</f>
        <v>0</v>
      </c>
      <c r="O25" s="178" t="e">
        <f t="shared" si="12"/>
        <v>#N/A</v>
      </c>
      <c r="P25" s="186" t="s">
        <v>35</v>
      </c>
      <c r="Q25" s="90" t="e">
        <f t="shared" ref="Q25:Q123" si="13">J25-SUM(R25:ES25)</f>
        <v>#N/A</v>
      </c>
      <c r="R25" s="78"/>
      <c r="S25" s="78"/>
      <c r="T25" s="78"/>
      <c r="U25" s="78"/>
      <c r="V25" s="78"/>
      <c r="W25" s="78"/>
      <c r="X25" s="78"/>
      <c r="Y25" s="78"/>
      <c r="Z25" s="78"/>
      <c r="AA25" s="78"/>
      <c r="AB25" s="78"/>
      <c r="AC25" s="78">
        <v>0.5</v>
      </c>
      <c r="AD25" s="78">
        <v>0.5</v>
      </c>
      <c r="AE25" s="189"/>
      <c r="AF25" s="189"/>
      <c r="AG25" s="189"/>
      <c r="AH25" s="189">
        <v>0.5</v>
      </c>
      <c r="AI25" s="189"/>
      <c r="AJ25" s="189"/>
      <c r="AK25" s="189"/>
      <c r="AL25" s="189"/>
      <c r="AM25" s="189"/>
      <c r="AN25" s="189"/>
      <c r="AO25" s="189">
        <v>0.5</v>
      </c>
      <c r="AP25" s="189">
        <v>0.5</v>
      </c>
      <c r="AQ25" s="189">
        <v>0.5</v>
      </c>
      <c r="AR25" s="78"/>
      <c r="AS25" s="78"/>
      <c r="AT25" s="78"/>
      <c r="AU25" s="78"/>
      <c r="AV25" s="78"/>
      <c r="AW25" s="78"/>
      <c r="AX25" s="78"/>
      <c r="AY25" s="91"/>
      <c r="AZ25" s="78"/>
      <c r="BA25" s="78"/>
      <c r="BB25" s="78"/>
      <c r="BC25" s="78"/>
      <c r="BD25" s="78"/>
      <c r="BE25" s="78"/>
      <c r="BF25" s="78"/>
      <c r="BG25" s="78"/>
      <c r="BH25" s="78"/>
      <c r="BI25" s="78"/>
      <c r="BJ25" s="78"/>
      <c r="BK25" s="78"/>
      <c r="BL25" s="78"/>
      <c r="BM25" s="78"/>
      <c r="BN25" s="78"/>
      <c r="BO25" s="78"/>
      <c r="BP25" s="78"/>
      <c r="BQ25" s="78"/>
      <c r="BR25" s="78"/>
      <c r="BS25" s="78"/>
      <c r="BT25" s="78"/>
      <c r="BU25" s="78"/>
      <c r="BV25" s="78"/>
      <c r="BW25" s="78"/>
      <c r="BX25" s="78"/>
      <c r="BY25" s="78"/>
      <c r="BZ25" s="78"/>
      <c r="CA25" s="78"/>
      <c r="CB25" s="78"/>
      <c r="CC25" s="78"/>
      <c r="CD25" s="78"/>
      <c r="CE25" s="78"/>
      <c r="CF25" s="78"/>
      <c r="CG25" s="78"/>
      <c r="CH25" s="78"/>
      <c r="CI25" s="78"/>
      <c r="CJ25" s="78"/>
      <c r="CK25" s="78"/>
      <c r="CL25" s="78"/>
      <c r="CM25" s="78"/>
      <c r="CN25" s="78"/>
      <c r="CO25" s="78"/>
      <c r="CP25" s="78"/>
      <c r="CQ25" s="78"/>
      <c r="CR25" s="78"/>
      <c r="CS25" s="78"/>
      <c r="CT25" s="78"/>
      <c r="CU25" s="78"/>
      <c r="CV25" s="78"/>
      <c r="CW25" s="78"/>
      <c r="CX25" s="78"/>
      <c r="CY25" s="78"/>
      <c r="CZ25" s="78"/>
      <c r="DA25" s="78"/>
      <c r="DB25" s="78"/>
      <c r="DC25" s="78"/>
      <c r="DD25" s="78"/>
      <c r="DE25" s="78"/>
      <c r="DF25" s="78"/>
      <c r="DG25" s="78"/>
      <c r="DH25" s="78"/>
      <c r="DI25" s="78"/>
      <c r="DJ25" s="78"/>
      <c r="DK25" s="78"/>
      <c r="DL25" s="78"/>
      <c r="DM25" s="78"/>
      <c r="DN25" s="78"/>
      <c r="DO25" s="78"/>
      <c r="DP25" s="78"/>
      <c r="DQ25" s="78"/>
      <c r="DR25" s="78"/>
      <c r="DS25" s="78"/>
      <c r="DT25" s="78"/>
      <c r="DU25" s="78"/>
      <c r="DV25" s="78"/>
      <c r="DW25" s="78"/>
      <c r="DX25" s="78"/>
      <c r="DY25" s="78"/>
      <c r="DZ25" s="78"/>
      <c r="EA25" s="78"/>
      <c r="EB25" s="78"/>
      <c r="EC25" s="78"/>
      <c r="ED25" s="78"/>
      <c r="EE25" s="78"/>
      <c r="EF25" s="78"/>
      <c r="EG25" s="78"/>
      <c r="EH25" s="78"/>
      <c r="EI25" s="78"/>
      <c r="EJ25" s="78"/>
      <c r="EK25" s="78"/>
      <c r="EL25" s="78"/>
      <c r="EM25" s="78"/>
      <c r="EN25" s="91"/>
      <c r="EO25" s="91"/>
      <c r="EP25" s="91"/>
      <c r="EQ25" s="91"/>
      <c r="ER25" s="91"/>
      <c r="ES25" s="91"/>
    </row>
    <row r="26" spans="1:149" outlineLevel="1">
      <c r="A26" s="29" t="str">
        <f>E26&amp;F26</f>
        <v>ENERGY_CERTIFICATE_EST_INPUTn.a.</v>
      </c>
      <c r="B26" s="67" t="s">
        <v>26</v>
      </c>
      <c r="C26" s="68" t="s">
        <v>34</v>
      </c>
      <c r="D26" s="64" t="s">
        <v>36</v>
      </c>
      <c r="E26" s="66" t="s">
        <v>37</v>
      </c>
      <c r="F26" s="64" t="s">
        <v>38</v>
      </c>
      <c r="G26" s="64" t="str">
        <f>INDEX(Auxiliar!$B$16:$B$24,MATCH(Plano_V3!H26,Auxiliar!$C$16:$C$24,0),1)</f>
        <v>1. Concluído</v>
      </c>
      <c r="H26" s="64">
        <f>VLOOKUP(A26,'Aux - pivots1'!$A:$B,2,0)</f>
        <v>1</v>
      </c>
      <c r="I26" s="180">
        <f>SUMIFS(Table1[Estimação (horas)],Table1[Tabela],Plano_V3!E26,Table1[Campo],Plano_V3!F26)</f>
        <v>8</v>
      </c>
      <c r="J26" s="180">
        <f>I26/8</f>
        <v>1</v>
      </c>
      <c r="K26" s="180">
        <f>SUMIFS(Table1[Horas efetivas],Table1[Tabela],Plano_V3!E26,Table1[Campo],Plano_V3!F26)</f>
        <v>8</v>
      </c>
      <c r="L26" s="180">
        <f>K26/8</f>
        <v>1</v>
      </c>
      <c r="M26" s="174"/>
      <c r="N26" s="174">
        <f>L26/J26</f>
        <v>1</v>
      </c>
      <c r="O26" s="174">
        <f t="shared" si="12"/>
        <v>1</v>
      </c>
      <c r="P26" s="89" t="s">
        <v>39</v>
      </c>
      <c r="Q26" s="90">
        <f t="shared" si="13"/>
        <v>1</v>
      </c>
      <c r="R26" s="78"/>
      <c r="S26" s="78"/>
      <c r="T26" s="78"/>
      <c r="U26" s="78"/>
      <c r="V26" s="78"/>
      <c r="W26" s="78"/>
      <c r="X26" s="78"/>
      <c r="Y26" s="78"/>
      <c r="Z26" s="78"/>
      <c r="AA26" s="78"/>
      <c r="AB26" s="78"/>
      <c r="AC26" s="78"/>
      <c r="AD26" s="78"/>
      <c r="AE26" s="78"/>
      <c r="AF26" s="78"/>
      <c r="AG26" s="78"/>
      <c r="AH26" s="78"/>
      <c r="AI26" s="78"/>
      <c r="AJ26" s="78"/>
      <c r="AK26" s="78"/>
      <c r="AL26" s="78"/>
      <c r="AM26" s="78"/>
      <c r="AN26" s="78"/>
      <c r="AO26" s="78"/>
      <c r="AP26" s="78"/>
      <c r="AQ26" s="78"/>
      <c r="AR26" s="78"/>
      <c r="AS26" s="78"/>
      <c r="AT26" s="78"/>
      <c r="AU26" s="78"/>
      <c r="AV26" s="78"/>
      <c r="AW26" s="78"/>
      <c r="AX26" s="78"/>
      <c r="AY26" s="91"/>
      <c r="AZ26" s="78"/>
      <c r="BA26" s="78"/>
      <c r="BB26" s="78"/>
      <c r="BC26" s="78"/>
      <c r="BD26" s="78"/>
      <c r="BE26" s="78"/>
      <c r="BF26" s="78"/>
      <c r="BG26" s="78"/>
      <c r="BH26" s="78"/>
      <c r="BI26" s="78"/>
      <c r="BJ26" s="78"/>
      <c r="BK26" s="78"/>
      <c r="BL26" s="78"/>
      <c r="BM26" s="78"/>
      <c r="BN26" s="78"/>
      <c r="BO26" s="78"/>
      <c r="BP26" s="78"/>
      <c r="BQ26" s="78"/>
      <c r="BR26" s="78"/>
      <c r="BS26" s="78"/>
      <c r="BT26" s="78"/>
      <c r="BU26" s="78"/>
      <c r="BV26" s="78"/>
      <c r="BW26" s="78"/>
      <c r="BX26" s="78"/>
      <c r="BY26" s="78"/>
      <c r="BZ26" s="78"/>
      <c r="CA26" s="78"/>
      <c r="CB26" s="78"/>
      <c r="CC26" s="78"/>
      <c r="CD26" s="78"/>
      <c r="CE26" s="78"/>
      <c r="CF26" s="78"/>
      <c r="CG26" s="78"/>
      <c r="CH26" s="78"/>
      <c r="CI26" s="78"/>
      <c r="CJ26" s="78"/>
      <c r="CK26" s="78"/>
      <c r="CL26" s="78"/>
      <c r="CM26" s="78"/>
      <c r="CN26" s="78"/>
      <c r="CO26" s="78"/>
      <c r="CP26" s="78"/>
      <c r="CQ26" s="78"/>
      <c r="CR26" s="78"/>
      <c r="CS26" s="78"/>
      <c r="CT26" s="78"/>
      <c r="CU26" s="78"/>
      <c r="CV26" s="78"/>
      <c r="CW26" s="78"/>
      <c r="CX26" s="78"/>
      <c r="CY26" s="78"/>
      <c r="CZ26" s="78"/>
      <c r="DA26" s="78"/>
      <c r="DB26" s="78"/>
      <c r="DC26" s="78"/>
      <c r="DD26" s="78"/>
      <c r="DE26" s="78"/>
      <c r="DF26" s="78"/>
      <c r="DG26" s="78"/>
      <c r="DH26" s="78"/>
      <c r="DI26" s="78"/>
      <c r="DJ26" s="78"/>
      <c r="DK26" s="78"/>
      <c r="DL26" s="78"/>
      <c r="DM26" s="78"/>
      <c r="DN26" s="78"/>
      <c r="DO26" s="78"/>
      <c r="DP26" s="78"/>
      <c r="DQ26" s="78"/>
      <c r="DR26" s="78"/>
      <c r="DS26" s="78"/>
      <c r="DT26" s="78"/>
      <c r="DU26" s="78"/>
      <c r="DV26" s="78"/>
      <c r="DW26" s="78"/>
      <c r="DX26" s="78"/>
      <c r="DY26" s="78"/>
      <c r="DZ26" s="78"/>
      <c r="EA26" s="78"/>
      <c r="EB26" s="78"/>
      <c r="EC26" s="78"/>
      <c r="ED26" s="78"/>
      <c r="EE26" s="78"/>
      <c r="EF26" s="78"/>
      <c r="EG26" s="78"/>
      <c r="EH26" s="78"/>
      <c r="EI26" s="78"/>
      <c r="EJ26" s="78"/>
      <c r="EK26" s="78"/>
      <c r="EL26" s="78"/>
      <c r="EM26" s="78"/>
      <c r="EN26" s="91"/>
      <c r="EO26" s="91"/>
      <c r="EP26" s="91"/>
      <c r="EQ26" s="91"/>
      <c r="ER26" s="91"/>
      <c r="ES26" s="91"/>
    </row>
    <row r="27" spans="1:149" outlineLevel="1">
      <c r="A27" s="29" t="str">
        <f t="shared" ref="A27:A73" si="14">E27&amp;F27</f>
        <v>ENERGY_CERTIFICATE_EST_INPUTDATA_PROVIDER</v>
      </c>
      <c r="B27" s="67"/>
      <c r="C27" s="68"/>
      <c r="D27" s="64" t="s">
        <v>40</v>
      </c>
      <c r="E27" s="66" t="s">
        <v>37</v>
      </c>
      <c r="F27" s="66" t="s">
        <v>48</v>
      </c>
      <c r="G27" s="64" t="str">
        <f>INDEX(Auxiliar!$B$16:$B$24,MATCH(Plano_V3!H27,Auxiliar!$C$16:$C$24,0),1)</f>
        <v>0. Cancelado</v>
      </c>
      <c r="H27" s="64">
        <f>VLOOKUP(A27,'Aux - pivots1'!$A:$B,2,0)</f>
        <v>0</v>
      </c>
      <c r="I27" s="180" t="e">
        <f>SUMIFS(Table1[Estimação (horas)],Table1[Tabela],Plano_V3!E27,Table1[Campo],Plano_V3!F27)</f>
        <v>#N/A</v>
      </c>
      <c r="J27" s="180" t="e">
        <f t="shared" ref="J27:J54" si="15">I27/8</f>
        <v>#N/A</v>
      </c>
      <c r="K27" s="180" t="e">
        <f>SUMIFS(Table1[Horas efetivas],Table1[Tabela],Plano_V3!E27,Table1[Campo],Plano_V3!F27)</f>
        <v>#N/A</v>
      </c>
      <c r="L27" s="180" t="e">
        <f t="shared" ref="L27:L54" si="16">K27/8</f>
        <v>#N/A</v>
      </c>
      <c r="M27" s="174"/>
      <c r="N27" s="174"/>
      <c r="O27" s="174"/>
      <c r="P27" s="89"/>
      <c r="Q27" s="90"/>
      <c r="R27" s="78"/>
      <c r="S27" s="78"/>
      <c r="T27" s="78"/>
      <c r="U27" s="78"/>
      <c r="V27" s="78"/>
      <c r="W27" s="78"/>
      <c r="X27" s="78"/>
      <c r="Y27" s="78"/>
      <c r="Z27" s="78"/>
      <c r="AA27" s="78"/>
      <c r="AB27" s="78"/>
      <c r="AC27" s="78"/>
      <c r="AD27" s="78"/>
      <c r="AE27" s="78"/>
      <c r="AF27" s="78"/>
      <c r="AG27" s="78"/>
      <c r="AH27" s="78"/>
      <c r="AI27" s="78"/>
      <c r="AJ27" s="78"/>
      <c r="AK27" s="78"/>
      <c r="AL27" s="78"/>
      <c r="AM27" s="78"/>
      <c r="AN27" s="78"/>
      <c r="AO27" s="78"/>
      <c r="AP27" s="78"/>
      <c r="AQ27" s="78"/>
      <c r="AR27" s="78"/>
      <c r="AS27" s="78"/>
      <c r="AT27" s="78"/>
      <c r="AU27" s="78"/>
      <c r="AV27" s="78"/>
      <c r="AW27" s="78"/>
      <c r="AX27" s="78"/>
      <c r="AY27" s="91"/>
      <c r="AZ27" s="78"/>
      <c r="BA27" s="78"/>
      <c r="BB27" s="78"/>
      <c r="BC27" s="78"/>
      <c r="BD27" s="78"/>
      <c r="BE27" s="78"/>
      <c r="BF27" s="78"/>
      <c r="BG27" s="78"/>
      <c r="BH27" s="78"/>
      <c r="BI27" s="78"/>
      <c r="BJ27" s="78"/>
      <c r="BK27" s="78"/>
      <c r="BL27" s="78"/>
      <c r="BM27" s="78"/>
      <c r="BN27" s="78"/>
      <c r="BO27" s="78"/>
      <c r="BP27" s="78"/>
      <c r="BQ27" s="78"/>
      <c r="BR27" s="78"/>
      <c r="BS27" s="78"/>
      <c r="BT27" s="78"/>
      <c r="BU27" s="78"/>
      <c r="BV27" s="78"/>
      <c r="BW27" s="78"/>
      <c r="BX27" s="78"/>
      <c r="BY27" s="78"/>
      <c r="BZ27" s="78"/>
      <c r="CA27" s="78"/>
      <c r="CB27" s="78"/>
      <c r="CC27" s="78"/>
      <c r="CD27" s="78"/>
      <c r="CE27" s="78"/>
      <c r="CF27" s="78"/>
      <c r="CG27" s="78"/>
      <c r="CH27" s="78"/>
      <c r="CI27" s="78"/>
      <c r="CJ27" s="78"/>
      <c r="CK27" s="78"/>
      <c r="CL27" s="78"/>
      <c r="CM27" s="78"/>
      <c r="CN27" s="78"/>
      <c r="CO27" s="78"/>
      <c r="CP27" s="78"/>
      <c r="CQ27" s="78"/>
      <c r="CR27" s="78"/>
      <c r="CS27" s="78"/>
      <c r="CT27" s="78"/>
      <c r="CU27" s="78"/>
      <c r="CV27" s="78"/>
      <c r="CW27" s="78"/>
      <c r="CX27" s="78"/>
      <c r="CY27" s="78"/>
      <c r="CZ27" s="78"/>
      <c r="DA27" s="78"/>
      <c r="DB27" s="78"/>
      <c r="DC27" s="78"/>
      <c r="DD27" s="78"/>
      <c r="DE27" s="78"/>
      <c r="DF27" s="78"/>
      <c r="DG27" s="78"/>
      <c r="DH27" s="78"/>
      <c r="DI27" s="78"/>
      <c r="DJ27" s="78"/>
      <c r="DK27" s="78"/>
      <c r="DL27" s="78"/>
      <c r="DM27" s="78"/>
      <c r="DN27" s="78"/>
      <c r="DO27" s="78"/>
      <c r="DP27" s="78"/>
      <c r="DQ27" s="78"/>
      <c r="DR27" s="78"/>
      <c r="DS27" s="78"/>
      <c r="DT27" s="78"/>
      <c r="DU27" s="78"/>
      <c r="DV27" s="78"/>
      <c r="DW27" s="78"/>
      <c r="DX27" s="78"/>
      <c r="DY27" s="78"/>
      <c r="DZ27" s="78"/>
      <c r="EA27" s="78"/>
      <c r="EB27" s="78"/>
      <c r="EC27" s="78"/>
      <c r="ED27" s="78"/>
      <c r="EE27" s="78"/>
      <c r="EF27" s="78"/>
      <c r="EG27" s="78"/>
      <c r="EH27" s="78"/>
      <c r="EI27" s="78"/>
      <c r="EJ27" s="78"/>
      <c r="EK27" s="78"/>
      <c r="EL27" s="78"/>
      <c r="EM27" s="78"/>
      <c r="EN27" s="91"/>
      <c r="EO27" s="91"/>
      <c r="EP27" s="91"/>
      <c r="EQ27" s="91"/>
      <c r="ER27" s="91"/>
      <c r="ES27" s="91"/>
    </row>
    <row r="28" spans="1:149" outlineLevel="1">
      <c r="A28" s="29" t="str">
        <f>E28&amp;F28</f>
        <v>ENERGY_CERTIFICATE_EST_INPUTACTUAL_VALUE_IND</v>
      </c>
      <c r="B28" s="67"/>
      <c r="C28" s="68"/>
      <c r="D28" s="64" t="s">
        <v>40</v>
      </c>
      <c r="E28" s="66" t="s">
        <v>37</v>
      </c>
      <c r="F28" s="66" t="s">
        <v>49</v>
      </c>
      <c r="G28" s="64" t="str">
        <f>INDEX(Auxiliar!$B$16:$B$24,MATCH(Plano_V3!H28,Auxiliar!$C$16:$C$24,0),1)</f>
        <v>0. Cancelado</v>
      </c>
      <c r="H28" s="64">
        <f>VLOOKUP(A28,'Aux - pivots1'!$A:$B,2,0)</f>
        <v>0</v>
      </c>
      <c r="I28" s="180"/>
      <c r="J28" s="180"/>
      <c r="K28" s="180"/>
      <c r="L28" s="180"/>
      <c r="M28" s="174"/>
      <c r="N28" s="174"/>
      <c r="O28" s="174"/>
      <c r="P28" s="89"/>
      <c r="Q28" s="90"/>
      <c r="R28" s="78"/>
      <c r="S28" s="78"/>
      <c r="T28" s="78"/>
      <c r="U28" s="78"/>
      <c r="V28" s="78"/>
      <c r="W28" s="78"/>
      <c r="X28" s="78"/>
      <c r="Y28" s="78"/>
      <c r="Z28" s="78"/>
      <c r="AA28" s="78"/>
      <c r="AB28" s="78"/>
      <c r="AC28" s="78"/>
      <c r="AD28" s="78"/>
      <c r="AE28" s="78"/>
      <c r="AF28" s="78"/>
      <c r="AG28" s="78"/>
      <c r="AH28" s="78"/>
      <c r="AI28" s="78"/>
      <c r="AJ28" s="78"/>
      <c r="AK28" s="78"/>
      <c r="AL28" s="78"/>
      <c r="AM28" s="78"/>
      <c r="AN28" s="78"/>
      <c r="AO28" s="78"/>
      <c r="AP28" s="78"/>
      <c r="AQ28" s="78"/>
      <c r="AR28" s="78"/>
      <c r="AS28" s="78"/>
      <c r="AT28" s="78"/>
      <c r="AU28" s="78"/>
      <c r="AV28" s="78"/>
      <c r="AW28" s="78"/>
      <c r="AX28" s="78"/>
      <c r="AY28" s="91"/>
      <c r="AZ28" s="78"/>
      <c r="BA28" s="78"/>
      <c r="BB28" s="78"/>
      <c r="BC28" s="78"/>
      <c r="BD28" s="78"/>
      <c r="BE28" s="78"/>
      <c r="BF28" s="78"/>
      <c r="BG28" s="78"/>
      <c r="BH28" s="78"/>
      <c r="BI28" s="78"/>
      <c r="BJ28" s="78"/>
      <c r="BK28" s="78"/>
      <c r="BL28" s="78"/>
      <c r="BM28" s="78"/>
      <c r="BN28" s="78"/>
      <c r="BO28" s="78"/>
      <c r="BP28" s="78"/>
      <c r="BQ28" s="78"/>
      <c r="BR28" s="78"/>
      <c r="BS28" s="78"/>
      <c r="BT28" s="78"/>
      <c r="BU28" s="78"/>
      <c r="BV28" s="78"/>
      <c r="BW28" s="78"/>
      <c r="BX28" s="78"/>
      <c r="BY28" s="78"/>
      <c r="BZ28" s="78"/>
      <c r="CA28" s="78"/>
      <c r="CB28" s="78"/>
      <c r="CC28" s="78"/>
      <c r="CD28" s="78"/>
      <c r="CE28" s="78"/>
      <c r="CF28" s="78"/>
      <c r="CG28" s="78"/>
      <c r="CH28" s="78"/>
      <c r="CI28" s="78"/>
      <c r="CJ28" s="78"/>
      <c r="CK28" s="78"/>
      <c r="CL28" s="78"/>
      <c r="CM28" s="78"/>
      <c r="CN28" s="78"/>
      <c r="CO28" s="78"/>
      <c r="CP28" s="78"/>
      <c r="CQ28" s="78"/>
      <c r="CR28" s="78"/>
      <c r="CS28" s="78"/>
      <c r="CT28" s="78"/>
      <c r="CU28" s="78"/>
      <c r="CV28" s="78"/>
      <c r="CW28" s="78"/>
      <c r="CX28" s="78"/>
      <c r="CY28" s="78"/>
      <c r="CZ28" s="78"/>
      <c r="DA28" s="78"/>
      <c r="DB28" s="78"/>
      <c r="DC28" s="78"/>
      <c r="DD28" s="78"/>
      <c r="DE28" s="78"/>
      <c r="DF28" s="78"/>
      <c r="DG28" s="78"/>
      <c r="DH28" s="78"/>
      <c r="DI28" s="78"/>
      <c r="DJ28" s="78"/>
      <c r="DK28" s="78"/>
      <c r="DL28" s="78"/>
      <c r="DM28" s="78"/>
      <c r="DN28" s="78"/>
      <c r="DO28" s="78"/>
      <c r="DP28" s="78"/>
      <c r="DQ28" s="78"/>
      <c r="DR28" s="78"/>
      <c r="DS28" s="78"/>
      <c r="DT28" s="78"/>
      <c r="DU28" s="78"/>
      <c r="DV28" s="78"/>
      <c r="DW28" s="78"/>
      <c r="DX28" s="78"/>
      <c r="DY28" s="78"/>
      <c r="DZ28" s="78"/>
      <c r="EA28" s="78"/>
      <c r="EB28" s="78"/>
      <c r="EC28" s="78"/>
      <c r="ED28" s="78"/>
      <c r="EE28" s="78"/>
      <c r="EF28" s="78"/>
      <c r="EG28" s="78"/>
      <c r="EH28" s="78"/>
      <c r="EI28" s="78"/>
      <c r="EJ28" s="78"/>
      <c r="EK28" s="78"/>
      <c r="EL28" s="78"/>
      <c r="EM28" s="78"/>
      <c r="EN28" s="91"/>
      <c r="EO28" s="91"/>
      <c r="EP28" s="91"/>
      <c r="EQ28" s="91"/>
      <c r="ER28" s="91"/>
      <c r="ES28" s="91"/>
    </row>
    <row r="29" spans="1:149" outlineLevel="1">
      <c r="A29" s="29" t="str">
        <f>E29&amp;F29</f>
        <v>ENERGY_CERTIFICATE_EST_INPUTCHAVE_GLOVAL</v>
      </c>
      <c r="B29" s="67"/>
      <c r="C29" s="68"/>
      <c r="D29" s="64" t="s">
        <v>40</v>
      </c>
      <c r="E29" s="66" t="s">
        <v>37</v>
      </c>
      <c r="F29" s="66" t="s">
        <v>1967</v>
      </c>
      <c r="G29" s="64" t="str">
        <f>INDEX(Auxiliar!$B$16:$B$24,MATCH(Plano_V3!H29,Auxiliar!$C$16:$C$24,0),1)</f>
        <v>1. Concluído</v>
      </c>
      <c r="H29" s="64">
        <f>VLOOKUP(A29,'Aux - pivots1'!$A:$B,2,0)</f>
        <v>1</v>
      </c>
      <c r="I29" s="180"/>
      <c r="J29" s="180"/>
      <c r="K29" s="180"/>
      <c r="L29" s="180"/>
      <c r="M29" s="174"/>
      <c r="N29" s="174"/>
      <c r="O29" s="174"/>
      <c r="P29" s="89"/>
      <c r="Q29" s="90"/>
      <c r="R29" s="78"/>
      <c r="S29" s="78"/>
      <c r="T29" s="78"/>
      <c r="U29" s="78"/>
      <c r="V29" s="78"/>
      <c r="W29" s="78"/>
      <c r="X29" s="78"/>
      <c r="Y29" s="78"/>
      <c r="Z29" s="78"/>
      <c r="AA29" s="78"/>
      <c r="AB29" s="78"/>
      <c r="AC29" s="78"/>
      <c r="AD29" s="78"/>
      <c r="AE29" s="78"/>
      <c r="AF29" s="78"/>
      <c r="AG29" s="78"/>
      <c r="AH29" s="78"/>
      <c r="AI29" s="78"/>
      <c r="AJ29" s="78"/>
      <c r="AK29" s="78"/>
      <c r="AL29" s="78"/>
      <c r="AM29" s="78"/>
      <c r="AN29" s="78"/>
      <c r="AO29" s="78"/>
      <c r="AP29" s="78"/>
      <c r="AQ29" s="78"/>
      <c r="AR29" s="78"/>
      <c r="AS29" s="78"/>
      <c r="AT29" s="78"/>
      <c r="AU29" s="78"/>
      <c r="AV29" s="78"/>
      <c r="AW29" s="78"/>
      <c r="AX29" s="78"/>
      <c r="AY29" s="91"/>
      <c r="AZ29" s="78"/>
      <c r="BA29" s="78"/>
      <c r="BB29" s="78"/>
      <c r="BC29" s="78"/>
      <c r="BD29" s="78"/>
      <c r="BE29" s="78"/>
      <c r="BF29" s="78"/>
      <c r="BG29" s="78"/>
      <c r="BH29" s="78"/>
      <c r="BI29" s="78"/>
      <c r="BJ29" s="78"/>
      <c r="BK29" s="78"/>
      <c r="BL29" s="78"/>
      <c r="BM29" s="78"/>
      <c r="BN29" s="78"/>
      <c r="BO29" s="78"/>
      <c r="BP29" s="78"/>
      <c r="BQ29" s="78"/>
      <c r="BR29" s="78"/>
      <c r="BS29" s="78"/>
      <c r="BT29" s="78"/>
      <c r="BU29" s="78"/>
      <c r="BV29" s="78"/>
      <c r="BW29" s="78"/>
      <c r="BX29" s="78"/>
      <c r="BY29" s="78"/>
      <c r="BZ29" s="78"/>
      <c r="CA29" s="78"/>
      <c r="CB29" s="78"/>
      <c r="CC29" s="78"/>
      <c r="CD29" s="78"/>
      <c r="CE29" s="78"/>
      <c r="CF29" s="78"/>
      <c r="CG29" s="78"/>
      <c r="CH29" s="78"/>
      <c r="CI29" s="78"/>
      <c r="CJ29" s="78"/>
      <c r="CK29" s="78"/>
      <c r="CL29" s="78"/>
      <c r="CM29" s="78"/>
      <c r="CN29" s="78"/>
      <c r="CO29" s="78"/>
      <c r="CP29" s="78"/>
      <c r="CQ29" s="78"/>
      <c r="CR29" s="78"/>
      <c r="CS29" s="78"/>
      <c r="CT29" s="78"/>
      <c r="CU29" s="78"/>
      <c r="CV29" s="78"/>
      <c r="CW29" s="78"/>
      <c r="CX29" s="78"/>
      <c r="CY29" s="78"/>
      <c r="CZ29" s="78"/>
      <c r="DA29" s="78"/>
      <c r="DB29" s="78"/>
      <c r="DC29" s="78"/>
      <c r="DD29" s="78"/>
      <c r="DE29" s="78"/>
      <c r="DF29" s="78"/>
      <c r="DG29" s="78"/>
      <c r="DH29" s="78"/>
      <c r="DI29" s="78"/>
      <c r="DJ29" s="78"/>
      <c r="DK29" s="78"/>
      <c r="DL29" s="78"/>
      <c r="DM29" s="78"/>
      <c r="DN29" s="78"/>
      <c r="DO29" s="78"/>
      <c r="DP29" s="78"/>
      <c r="DQ29" s="78"/>
      <c r="DR29" s="78"/>
      <c r="DS29" s="78"/>
      <c r="DT29" s="78"/>
      <c r="DU29" s="78"/>
      <c r="DV29" s="78"/>
      <c r="DW29" s="78"/>
      <c r="DX29" s="78"/>
      <c r="DY29" s="78"/>
      <c r="DZ29" s="78"/>
      <c r="EA29" s="78"/>
      <c r="EB29" s="78"/>
      <c r="EC29" s="78"/>
      <c r="ED29" s="78"/>
      <c r="EE29" s="78"/>
      <c r="EF29" s="78"/>
      <c r="EG29" s="78"/>
      <c r="EH29" s="78"/>
      <c r="EI29" s="78"/>
      <c r="EJ29" s="78"/>
      <c r="EK29" s="78"/>
      <c r="EL29" s="78"/>
      <c r="EM29" s="78"/>
      <c r="EN29" s="91"/>
      <c r="EO29" s="91"/>
      <c r="EP29" s="91"/>
      <c r="EQ29" s="91"/>
      <c r="ER29" s="91"/>
      <c r="ES29" s="91"/>
    </row>
    <row r="30" spans="1:149" outlineLevel="1">
      <c r="A30" s="29" t="str">
        <f t="shared" si="14"/>
        <v>ENERGY_CERTIFICATE_EST_INPUTPROPERTY_BANK_ID</v>
      </c>
      <c r="B30" s="67"/>
      <c r="C30" s="68"/>
      <c r="D30" s="64" t="s">
        <v>40</v>
      </c>
      <c r="E30" s="66" t="s">
        <v>37</v>
      </c>
      <c r="F30" s="66" t="s">
        <v>41</v>
      </c>
      <c r="G30" s="64" t="str">
        <f>INDEX(Auxiliar!$B$16:$B$24,MATCH(Plano_V3!H30,Auxiliar!$C$16:$C$24,0),1)</f>
        <v>1. Concluído</v>
      </c>
      <c r="H30" s="64">
        <f>VLOOKUP(A30,'Aux - pivots1'!$A:$B,2,0)</f>
        <v>1</v>
      </c>
      <c r="I30" s="180" t="e">
        <f>SUMIFS(Table1[Estimação (horas)],Table1[Tabela],Plano_V3!E30,Table1[Campo],Plano_V3!F30)</f>
        <v>#N/A</v>
      </c>
      <c r="J30" s="180" t="e">
        <f t="shared" si="15"/>
        <v>#N/A</v>
      </c>
      <c r="K30" s="180" t="e">
        <f>SUMIFS(Table1[Horas efetivas],Table1[Tabela],Plano_V3!E30,Table1[Campo],Plano_V3!F30)</f>
        <v>#N/A</v>
      </c>
      <c r="L30" s="180" t="e">
        <f t="shared" si="16"/>
        <v>#N/A</v>
      </c>
      <c r="M30" s="174"/>
      <c r="N30" s="174"/>
      <c r="O30" s="174"/>
      <c r="P30" s="89"/>
      <c r="Q30" s="90"/>
      <c r="R30" s="78"/>
      <c r="S30" s="78"/>
      <c r="T30" s="78"/>
      <c r="U30" s="78"/>
      <c r="V30" s="78"/>
      <c r="W30" s="78"/>
      <c r="X30" s="78"/>
      <c r="Y30" s="78"/>
      <c r="Z30" s="78"/>
      <c r="AA30" s="78"/>
      <c r="AB30" s="78"/>
      <c r="AC30" s="78"/>
      <c r="AD30" s="78"/>
      <c r="AE30" s="78"/>
      <c r="AF30" s="78"/>
      <c r="AG30" s="78"/>
      <c r="AH30" s="78"/>
      <c r="AI30" s="78"/>
      <c r="AJ30" s="78"/>
      <c r="AK30" s="78"/>
      <c r="AL30" s="78"/>
      <c r="AM30" s="78"/>
      <c r="AN30" s="78"/>
      <c r="AO30" s="78"/>
      <c r="AP30" s="78"/>
      <c r="AQ30" s="78"/>
      <c r="AR30" s="78"/>
      <c r="AS30" s="78"/>
      <c r="AT30" s="78"/>
      <c r="AU30" s="78"/>
      <c r="AV30" s="78"/>
      <c r="AW30" s="78"/>
      <c r="AX30" s="78"/>
      <c r="AY30" s="91"/>
      <c r="AZ30" s="78"/>
      <c r="BA30" s="78"/>
      <c r="BB30" s="78"/>
      <c r="BC30" s="78"/>
      <c r="BD30" s="78"/>
      <c r="BE30" s="78"/>
      <c r="BF30" s="78"/>
      <c r="BG30" s="78"/>
      <c r="BH30" s="78"/>
      <c r="BI30" s="78"/>
      <c r="BJ30" s="78"/>
      <c r="BK30" s="78"/>
      <c r="BL30" s="78"/>
      <c r="BM30" s="78"/>
      <c r="BN30" s="78"/>
      <c r="BO30" s="78"/>
      <c r="BP30" s="78"/>
      <c r="BQ30" s="78"/>
      <c r="BR30" s="78"/>
      <c r="BS30" s="78"/>
      <c r="BT30" s="78"/>
      <c r="BU30" s="78"/>
      <c r="BV30" s="78"/>
      <c r="BW30" s="78"/>
      <c r="BX30" s="78"/>
      <c r="BY30" s="78"/>
      <c r="BZ30" s="78"/>
      <c r="CA30" s="78"/>
      <c r="CB30" s="78"/>
      <c r="CC30" s="78"/>
      <c r="CD30" s="78"/>
      <c r="CE30" s="78"/>
      <c r="CF30" s="78"/>
      <c r="CG30" s="78"/>
      <c r="CH30" s="78"/>
      <c r="CI30" s="78"/>
      <c r="CJ30" s="78"/>
      <c r="CK30" s="78"/>
      <c r="CL30" s="78"/>
      <c r="CM30" s="78"/>
      <c r="CN30" s="78"/>
      <c r="CO30" s="78"/>
      <c r="CP30" s="78"/>
      <c r="CQ30" s="78"/>
      <c r="CR30" s="78"/>
      <c r="CS30" s="78"/>
      <c r="CT30" s="78"/>
      <c r="CU30" s="78"/>
      <c r="CV30" s="78"/>
      <c r="CW30" s="78"/>
      <c r="CX30" s="78"/>
      <c r="CY30" s="78"/>
      <c r="CZ30" s="78"/>
      <c r="DA30" s="78"/>
      <c r="DB30" s="78"/>
      <c r="DC30" s="78"/>
      <c r="DD30" s="78"/>
      <c r="DE30" s="78"/>
      <c r="DF30" s="78"/>
      <c r="DG30" s="78"/>
      <c r="DH30" s="78"/>
      <c r="DI30" s="78"/>
      <c r="DJ30" s="78"/>
      <c r="DK30" s="78"/>
      <c r="DL30" s="78"/>
      <c r="DM30" s="78"/>
      <c r="DN30" s="78"/>
      <c r="DO30" s="78"/>
      <c r="DP30" s="78"/>
      <c r="DQ30" s="78"/>
      <c r="DR30" s="78"/>
      <c r="DS30" s="78"/>
      <c r="DT30" s="78"/>
      <c r="DU30" s="78"/>
      <c r="DV30" s="78"/>
      <c r="DW30" s="78"/>
      <c r="DX30" s="78"/>
      <c r="DY30" s="78"/>
      <c r="DZ30" s="78"/>
      <c r="EA30" s="78"/>
      <c r="EB30" s="78"/>
      <c r="EC30" s="78"/>
      <c r="ED30" s="78"/>
      <c r="EE30" s="78"/>
      <c r="EF30" s="78"/>
      <c r="EG30" s="78"/>
      <c r="EH30" s="78"/>
      <c r="EI30" s="78"/>
      <c r="EJ30" s="78"/>
      <c r="EK30" s="78"/>
      <c r="EL30" s="78"/>
      <c r="EM30" s="78"/>
      <c r="EN30" s="91"/>
      <c r="EO30" s="91"/>
      <c r="EP30" s="91"/>
      <c r="EQ30" s="91"/>
      <c r="ER30" s="91"/>
      <c r="ES30" s="91"/>
    </row>
    <row r="31" spans="1:149" outlineLevel="1">
      <c r="A31" s="29" t="str">
        <f t="shared" si="14"/>
        <v>ENERGY_CERTIFICATE_EST_INPUTPROPERTY_BRANCH_CODE</v>
      </c>
      <c r="B31" s="67"/>
      <c r="C31" s="68"/>
      <c r="D31" s="64" t="s">
        <v>40</v>
      </c>
      <c r="E31" s="66" t="s">
        <v>37</v>
      </c>
      <c r="F31" s="66" t="s">
        <v>43</v>
      </c>
      <c r="G31" s="64" t="str">
        <f>INDEX(Auxiliar!$B$16:$B$24,MATCH(Plano_V3!H31,Auxiliar!$C$16:$C$24,0),1)</f>
        <v>1. Concluído</v>
      </c>
      <c r="H31" s="64">
        <f>VLOOKUP(A31,'Aux - pivots1'!$A:$B,2,0)</f>
        <v>1</v>
      </c>
      <c r="I31" s="180" t="e">
        <f>SUMIFS(Table1[Estimação (horas)],Table1[Tabela],Plano_V3!E31,Table1[Campo],Plano_V3!F31)</f>
        <v>#N/A</v>
      </c>
      <c r="J31" s="180" t="e">
        <f t="shared" si="15"/>
        <v>#N/A</v>
      </c>
      <c r="K31" s="180" t="e">
        <f>SUMIFS(Table1[Horas efetivas],Table1[Tabela],Plano_V3!E31,Table1[Campo],Plano_V3!F31)</f>
        <v>#N/A</v>
      </c>
      <c r="L31" s="180" t="e">
        <f t="shared" si="16"/>
        <v>#N/A</v>
      </c>
      <c r="M31" s="174"/>
      <c r="N31" s="174"/>
      <c r="O31" s="174"/>
      <c r="P31" s="89"/>
      <c r="Q31" s="90"/>
      <c r="R31" s="78"/>
      <c r="S31" s="78"/>
      <c r="T31" s="78"/>
      <c r="U31" s="78"/>
      <c r="V31" s="78"/>
      <c r="W31" s="78"/>
      <c r="X31" s="78"/>
      <c r="Y31" s="78"/>
      <c r="Z31" s="78"/>
      <c r="AA31" s="78"/>
      <c r="AB31" s="78"/>
      <c r="AC31" s="78"/>
      <c r="AD31" s="78"/>
      <c r="AE31" s="78"/>
      <c r="AF31" s="78"/>
      <c r="AG31" s="78"/>
      <c r="AH31" s="78"/>
      <c r="AI31" s="78"/>
      <c r="AJ31" s="78"/>
      <c r="AK31" s="78"/>
      <c r="AL31" s="78"/>
      <c r="AM31" s="78"/>
      <c r="AN31" s="78"/>
      <c r="AO31" s="78"/>
      <c r="AP31" s="78"/>
      <c r="AQ31" s="78"/>
      <c r="AR31" s="78"/>
      <c r="AS31" s="78"/>
      <c r="AT31" s="78"/>
      <c r="AU31" s="78"/>
      <c r="AV31" s="78"/>
      <c r="AW31" s="78"/>
      <c r="AX31" s="78"/>
      <c r="AY31" s="91"/>
      <c r="AZ31" s="78"/>
      <c r="BA31" s="78"/>
      <c r="BB31" s="78"/>
      <c r="BC31" s="78"/>
      <c r="BD31" s="78"/>
      <c r="BE31" s="78"/>
      <c r="BF31" s="78"/>
      <c r="BG31" s="78"/>
      <c r="BH31" s="78"/>
      <c r="BI31" s="78"/>
      <c r="BJ31" s="78"/>
      <c r="BK31" s="78"/>
      <c r="BL31" s="78"/>
      <c r="BM31" s="78"/>
      <c r="BN31" s="78"/>
      <c r="BO31" s="78"/>
      <c r="BP31" s="78"/>
      <c r="BQ31" s="78"/>
      <c r="BR31" s="78"/>
      <c r="BS31" s="78"/>
      <c r="BT31" s="78"/>
      <c r="BU31" s="78"/>
      <c r="BV31" s="78"/>
      <c r="BW31" s="78"/>
      <c r="BX31" s="78"/>
      <c r="BY31" s="78"/>
      <c r="BZ31" s="78"/>
      <c r="CA31" s="78"/>
      <c r="CB31" s="78"/>
      <c r="CC31" s="78"/>
      <c r="CD31" s="78"/>
      <c r="CE31" s="78"/>
      <c r="CF31" s="78"/>
      <c r="CG31" s="78"/>
      <c r="CH31" s="78"/>
      <c r="CI31" s="78"/>
      <c r="CJ31" s="78"/>
      <c r="CK31" s="78"/>
      <c r="CL31" s="78"/>
      <c r="CM31" s="78"/>
      <c r="CN31" s="78"/>
      <c r="CO31" s="78"/>
      <c r="CP31" s="78"/>
      <c r="CQ31" s="78"/>
      <c r="CR31" s="78"/>
      <c r="CS31" s="78"/>
      <c r="CT31" s="78"/>
      <c r="CU31" s="78"/>
      <c r="CV31" s="78"/>
      <c r="CW31" s="78"/>
      <c r="CX31" s="78"/>
      <c r="CY31" s="78"/>
      <c r="CZ31" s="78"/>
      <c r="DA31" s="78"/>
      <c r="DB31" s="78"/>
      <c r="DC31" s="78"/>
      <c r="DD31" s="78"/>
      <c r="DE31" s="78"/>
      <c r="DF31" s="78"/>
      <c r="DG31" s="78"/>
      <c r="DH31" s="78"/>
      <c r="DI31" s="78"/>
      <c r="DJ31" s="78"/>
      <c r="DK31" s="78"/>
      <c r="DL31" s="78"/>
      <c r="DM31" s="78"/>
      <c r="DN31" s="78"/>
      <c r="DO31" s="78"/>
      <c r="DP31" s="78"/>
      <c r="DQ31" s="78"/>
      <c r="DR31" s="78"/>
      <c r="DS31" s="78"/>
      <c r="DT31" s="78"/>
      <c r="DU31" s="78"/>
      <c r="DV31" s="78"/>
      <c r="DW31" s="78"/>
      <c r="DX31" s="78"/>
      <c r="DY31" s="78"/>
      <c r="DZ31" s="78"/>
      <c r="EA31" s="78"/>
      <c r="EB31" s="78"/>
      <c r="EC31" s="78"/>
      <c r="ED31" s="78"/>
      <c r="EE31" s="78"/>
      <c r="EF31" s="78"/>
      <c r="EG31" s="78"/>
      <c r="EH31" s="78"/>
      <c r="EI31" s="78"/>
      <c r="EJ31" s="78"/>
      <c r="EK31" s="78"/>
      <c r="EL31" s="78"/>
      <c r="EM31" s="78"/>
      <c r="EN31" s="91"/>
      <c r="EO31" s="91"/>
      <c r="EP31" s="91"/>
      <c r="EQ31" s="91"/>
      <c r="ER31" s="91"/>
      <c r="ES31" s="91"/>
    </row>
    <row r="32" spans="1:149" outlineLevel="1">
      <c r="A32" s="29" t="str">
        <f t="shared" si="14"/>
        <v>ENERGY_CERTIFICATE_EST_INPUTPROPERTY_CONTRACT_ID</v>
      </c>
      <c r="B32" s="67"/>
      <c r="C32" s="68"/>
      <c r="D32" s="64" t="s">
        <v>40</v>
      </c>
      <c r="E32" s="66" t="s">
        <v>37</v>
      </c>
      <c r="F32" s="66" t="s">
        <v>44</v>
      </c>
      <c r="G32" s="64" t="str">
        <f>INDEX(Auxiliar!$B$16:$B$24,MATCH(Plano_V3!H32,Auxiliar!$C$16:$C$24,0),1)</f>
        <v>1. Concluído</v>
      </c>
      <c r="H32" s="64">
        <f>VLOOKUP(A32,'Aux - pivots1'!$A:$B,2,0)</f>
        <v>1</v>
      </c>
      <c r="I32" s="180" t="e">
        <f>SUMIFS(Table1[Estimação (horas)],Table1[Tabela],Plano_V3!E32,Table1[Campo],Plano_V3!F32)</f>
        <v>#N/A</v>
      </c>
      <c r="J32" s="180" t="e">
        <f t="shared" si="15"/>
        <v>#N/A</v>
      </c>
      <c r="K32" s="180" t="e">
        <f>SUMIFS(Table1[Horas efetivas],Table1[Tabela],Plano_V3!E32,Table1[Campo],Plano_V3!F32)</f>
        <v>#N/A</v>
      </c>
      <c r="L32" s="180" t="e">
        <f t="shared" si="16"/>
        <v>#N/A</v>
      </c>
      <c r="M32" s="174"/>
      <c r="N32" s="174"/>
      <c r="O32" s="174"/>
      <c r="P32" s="89"/>
      <c r="Q32" s="90"/>
      <c r="R32" s="78"/>
      <c r="S32" s="78"/>
      <c r="T32" s="78"/>
      <c r="U32" s="78"/>
      <c r="V32" s="78"/>
      <c r="W32" s="78"/>
      <c r="X32" s="78"/>
      <c r="Y32" s="78"/>
      <c r="Z32" s="78"/>
      <c r="AA32" s="78"/>
      <c r="AB32" s="78"/>
      <c r="AC32" s="78"/>
      <c r="AD32" s="78"/>
      <c r="AE32" s="78"/>
      <c r="AF32" s="78"/>
      <c r="AG32" s="78"/>
      <c r="AH32" s="78"/>
      <c r="AI32" s="78"/>
      <c r="AJ32" s="78"/>
      <c r="AK32" s="78"/>
      <c r="AL32" s="78"/>
      <c r="AM32" s="78"/>
      <c r="AN32" s="78"/>
      <c r="AO32" s="78"/>
      <c r="AP32" s="78"/>
      <c r="AQ32" s="78"/>
      <c r="AR32" s="78"/>
      <c r="AS32" s="78"/>
      <c r="AT32" s="78"/>
      <c r="AU32" s="78"/>
      <c r="AV32" s="78"/>
      <c r="AW32" s="78"/>
      <c r="AX32" s="78"/>
      <c r="AY32" s="91"/>
      <c r="AZ32" s="78"/>
      <c r="BA32" s="78"/>
      <c r="BB32" s="78"/>
      <c r="BC32" s="78"/>
      <c r="BD32" s="78"/>
      <c r="BE32" s="78"/>
      <c r="BF32" s="78"/>
      <c r="BG32" s="78"/>
      <c r="BH32" s="78"/>
      <c r="BI32" s="78"/>
      <c r="BJ32" s="78"/>
      <c r="BK32" s="78"/>
      <c r="BL32" s="78"/>
      <c r="BM32" s="78"/>
      <c r="BN32" s="78"/>
      <c r="BO32" s="78"/>
      <c r="BP32" s="78"/>
      <c r="BQ32" s="78"/>
      <c r="BR32" s="78"/>
      <c r="BS32" s="78"/>
      <c r="BT32" s="78"/>
      <c r="BU32" s="78"/>
      <c r="BV32" s="78"/>
      <c r="BW32" s="78"/>
      <c r="BX32" s="78"/>
      <c r="BY32" s="78"/>
      <c r="BZ32" s="78"/>
      <c r="CA32" s="78"/>
      <c r="CB32" s="78"/>
      <c r="CC32" s="78"/>
      <c r="CD32" s="78"/>
      <c r="CE32" s="78"/>
      <c r="CF32" s="78"/>
      <c r="CG32" s="78"/>
      <c r="CH32" s="78"/>
      <c r="CI32" s="78"/>
      <c r="CJ32" s="78"/>
      <c r="CK32" s="78"/>
      <c r="CL32" s="78"/>
      <c r="CM32" s="78"/>
      <c r="CN32" s="78"/>
      <c r="CO32" s="78"/>
      <c r="CP32" s="78"/>
      <c r="CQ32" s="78"/>
      <c r="CR32" s="78"/>
      <c r="CS32" s="78"/>
      <c r="CT32" s="78"/>
      <c r="CU32" s="78"/>
      <c r="CV32" s="78"/>
      <c r="CW32" s="78"/>
      <c r="CX32" s="78"/>
      <c r="CY32" s="78"/>
      <c r="CZ32" s="78"/>
      <c r="DA32" s="78"/>
      <c r="DB32" s="78"/>
      <c r="DC32" s="78"/>
      <c r="DD32" s="78"/>
      <c r="DE32" s="78"/>
      <c r="DF32" s="78"/>
      <c r="DG32" s="78"/>
      <c r="DH32" s="78"/>
      <c r="DI32" s="78"/>
      <c r="DJ32" s="78"/>
      <c r="DK32" s="78"/>
      <c r="DL32" s="78"/>
      <c r="DM32" s="78"/>
      <c r="DN32" s="78"/>
      <c r="DO32" s="78"/>
      <c r="DP32" s="78"/>
      <c r="DQ32" s="78"/>
      <c r="DR32" s="78"/>
      <c r="DS32" s="78"/>
      <c r="DT32" s="78"/>
      <c r="DU32" s="78"/>
      <c r="DV32" s="78"/>
      <c r="DW32" s="78"/>
      <c r="DX32" s="78"/>
      <c r="DY32" s="78"/>
      <c r="DZ32" s="78"/>
      <c r="EA32" s="78"/>
      <c r="EB32" s="78"/>
      <c r="EC32" s="78"/>
      <c r="ED32" s="78"/>
      <c r="EE32" s="78"/>
      <c r="EF32" s="78"/>
      <c r="EG32" s="78"/>
      <c r="EH32" s="78"/>
      <c r="EI32" s="78"/>
      <c r="EJ32" s="78"/>
      <c r="EK32" s="78"/>
      <c r="EL32" s="78"/>
      <c r="EM32" s="78"/>
      <c r="EN32" s="91"/>
      <c r="EO32" s="91"/>
      <c r="EP32" s="91"/>
      <c r="EQ32" s="91"/>
      <c r="ER32" s="91"/>
      <c r="ES32" s="91"/>
    </row>
    <row r="33" spans="1:149" outlineLevel="1">
      <c r="A33" s="29" t="str">
        <f t="shared" si="14"/>
        <v>ENERGY_CERTIFICATE_EST_INPUTPROPERTY_REFERENCE_CODE</v>
      </c>
      <c r="B33" s="67"/>
      <c r="C33" s="68"/>
      <c r="D33" s="64" t="s">
        <v>40</v>
      </c>
      <c r="E33" s="66" t="s">
        <v>37</v>
      </c>
      <c r="F33" s="66" t="s">
        <v>45</v>
      </c>
      <c r="G33" s="64" t="str">
        <f>INDEX(Auxiliar!$B$16:$B$24,MATCH(Plano_V3!H33,Auxiliar!$C$16:$C$24,0),1)</f>
        <v>1. Concluído</v>
      </c>
      <c r="H33" s="64">
        <f>VLOOKUP(A33,'Aux - pivots1'!$A:$B,2,0)</f>
        <v>1</v>
      </c>
      <c r="I33" s="180" t="e">
        <f>SUMIFS(Table1[Estimação (horas)],Table1[Tabela],Plano_V3!E33,Table1[Campo],Plano_V3!F33)</f>
        <v>#N/A</v>
      </c>
      <c r="J33" s="180" t="e">
        <f t="shared" si="15"/>
        <v>#N/A</v>
      </c>
      <c r="K33" s="180" t="e">
        <f>SUMIFS(Table1[Horas efetivas],Table1[Tabela],Plano_V3!E33,Table1[Campo],Plano_V3!F33)</f>
        <v>#N/A</v>
      </c>
      <c r="L33" s="180" t="e">
        <f t="shared" si="16"/>
        <v>#N/A</v>
      </c>
      <c r="M33" s="174"/>
      <c r="N33" s="174"/>
      <c r="O33" s="174"/>
      <c r="P33" s="89"/>
      <c r="Q33" s="90"/>
      <c r="R33" s="78"/>
      <c r="S33" s="78"/>
      <c r="T33" s="78"/>
      <c r="U33" s="78"/>
      <c r="V33" s="78"/>
      <c r="W33" s="78"/>
      <c r="X33" s="78"/>
      <c r="Y33" s="78"/>
      <c r="Z33" s="78"/>
      <c r="AA33" s="78"/>
      <c r="AB33" s="78"/>
      <c r="AC33" s="78"/>
      <c r="AD33" s="78"/>
      <c r="AE33" s="78"/>
      <c r="AF33" s="78"/>
      <c r="AG33" s="78"/>
      <c r="AH33" s="78"/>
      <c r="AI33" s="78"/>
      <c r="AJ33" s="78"/>
      <c r="AK33" s="78"/>
      <c r="AL33" s="78"/>
      <c r="AM33" s="78"/>
      <c r="AN33" s="78"/>
      <c r="AO33" s="78"/>
      <c r="AP33" s="78"/>
      <c r="AQ33" s="78"/>
      <c r="AR33" s="78"/>
      <c r="AS33" s="78"/>
      <c r="AT33" s="78"/>
      <c r="AU33" s="78"/>
      <c r="AV33" s="78"/>
      <c r="AW33" s="78"/>
      <c r="AX33" s="78"/>
      <c r="AY33" s="91"/>
      <c r="AZ33" s="78"/>
      <c r="BA33" s="78"/>
      <c r="BB33" s="78"/>
      <c r="BC33" s="78"/>
      <c r="BD33" s="78"/>
      <c r="BE33" s="78"/>
      <c r="BF33" s="78"/>
      <c r="BG33" s="78"/>
      <c r="BH33" s="78"/>
      <c r="BI33" s="78"/>
      <c r="BJ33" s="78"/>
      <c r="BK33" s="78"/>
      <c r="BL33" s="78"/>
      <c r="BM33" s="78"/>
      <c r="BN33" s="78"/>
      <c r="BO33" s="78"/>
      <c r="BP33" s="78"/>
      <c r="BQ33" s="78"/>
      <c r="BR33" s="78"/>
      <c r="BS33" s="78"/>
      <c r="BT33" s="78"/>
      <c r="BU33" s="78"/>
      <c r="BV33" s="78"/>
      <c r="BW33" s="78"/>
      <c r="BX33" s="78"/>
      <c r="BY33" s="78"/>
      <c r="BZ33" s="78"/>
      <c r="CA33" s="78"/>
      <c r="CB33" s="78"/>
      <c r="CC33" s="78"/>
      <c r="CD33" s="78"/>
      <c r="CE33" s="78"/>
      <c r="CF33" s="78"/>
      <c r="CG33" s="78"/>
      <c r="CH33" s="78"/>
      <c r="CI33" s="78"/>
      <c r="CJ33" s="78"/>
      <c r="CK33" s="78"/>
      <c r="CL33" s="78"/>
      <c r="CM33" s="78"/>
      <c r="CN33" s="78"/>
      <c r="CO33" s="78"/>
      <c r="CP33" s="78"/>
      <c r="CQ33" s="78"/>
      <c r="CR33" s="78"/>
      <c r="CS33" s="78"/>
      <c r="CT33" s="78"/>
      <c r="CU33" s="78"/>
      <c r="CV33" s="78"/>
      <c r="CW33" s="78"/>
      <c r="CX33" s="78"/>
      <c r="CY33" s="78"/>
      <c r="CZ33" s="78"/>
      <c r="DA33" s="78"/>
      <c r="DB33" s="78"/>
      <c r="DC33" s="78"/>
      <c r="DD33" s="78"/>
      <c r="DE33" s="78"/>
      <c r="DF33" s="78"/>
      <c r="DG33" s="78"/>
      <c r="DH33" s="78"/>
      <c r="DI33" s="78"/>
      <c r="DJ33" s="78"/>
      <c r="DK33" s="78"/>
      <c r="DL33" s="78"/>
      <c r="DM33" s="78"/>
      <c r="DN33" s="78"/>
      <c r="DO33" s="78"/>
      <c r="DP33" s="78"/>
      <c r="DQ33" s="78"/>
      <c r="DR33" s="78"/>
      <c r="DS33" s="78"/>
      <c r="DT33" s="78"/>
      <c r="DU33" s="78"/>
      <c r="DV33" s="78"/>
      <c r="DW33" s="78"/>
      <c r="DX33" s="78"/>
      <c r="DY33" s="78"/>
      <c r="DZ33" s="78"/>
      <c r="EA33" s="78"/>
      <c r="EB33" s="78"/>
      <c r="EC33" s="78"/>
      <c r="ED33" s="78"/>
      <c r="EE33" s="78"/>
      <c r="EF33" s="78"/>
      <c r="EG33" s="78"/>
      <c r="EH33" s="78"/>
      <c r="EI33" s="78"/>
      <c r="EJ33" s="78"/>
      <c r="EK33" s="78"/>
      <c r="EL33" s="78"/>
      <c r="EM33" s="78"/>
      <c r="EN33" s="91"/>
      <c r="EO33" s="91"/>
      <c r="EP33" s="91"/>
      <c r="EQ33" s="91"/>
      <c r="ER33" s="91"/>
      <c r="ES33" s="91"/>
    </row>
    <row r="34" spans="1:149" outlineLevel="1">
      <c r="A34" s="29" t="str">
        <f t="shared" si="14"/>
        <v>ENERGY_CERTIFICATE_EST_INPUTCÓDIGO_DISTRITO</v>
      </c>
      <c r="B34" s="67"/>
      <c r="C34" s="68"/>
      <c r="D34" s="64" t="s">
        <v>40</v>
      </c>
      <c r="E34" s="66" t="s">
        <v>37</v>
      </c>
      <c r="F34" s="66" t="s">
        <v>1968</v>
      </c>
      <c r="G34" s="64" t="str">
        <f>INDEX(Auxiliar!$B$16:$B$24,MATCH(Plano_V3!H34,Auxiliar!$C$16:$C$24,0),1)</f>
        <v>1. Concluído</v>
      </c>
      <c r="H34" s="64">
        <f>VLOOKUP(A34,'Aux - pivots1'!$A:$B,2,0)</f>
        <v>1</v>
      </c>
      <c r="I34" s="180" t="e">
        <f>SUMIFS(Table1[Estimação (horas)],Table1[Tabela],Plano_V3!E34,Table1[Campo],Plano_V3!F34)</f>
        <v>#N/A</v>
      </c>
      <c r="J34" s="180" t="e">
        <f t="shared" si="15"/>
        <v>#N/A</v>
      </c>
      <c r="K34" s="180" t="e">
        <f>SUMIFS(Table1[Horas efetivas],Table1[Tabela],Plano_V3!E34,Table1[Campo],Plano_V3!F34)</f>
        <v>#N/A</v>
      </c>
      <c r="L34" s="180" t="e">
        <f t="shared" si="16"/>
        <v>#N/A</v>
      </c>
      <c r="M34" s="174"/>
      <c r="N34" s="174"/>
      <c r="O34" s="174"/>
      <c r="P34" s="89"/>
      <c r="Q34" s="90"/>
      <c r="R34" s="78"/>
      <c r="S34" s="78"/>
      <c r="T34" s="78"/>
      <c r="U34" s="78"/>
      <c r="V34" s="78"/>
      <c r="W34" s="78"/>
      <c r="X34" s="78"/>
      <c r="Y34" s="78"/>
      <c r="Z34" s="78"/>
      <c r="AA34" s="78"/>
      <c r="AB34" s="78"/>
      <c r="AC34" s="78"/>
      <c r="AD34" s="78"/>
      <c r="AE34" s="78"/>
      <c r="AF34" s="78"/>
      <c r="AG34" s="78"/>
      <c r="AH34" s="78"/>
      <c r="AI34" s="78"/>
      <c r="AJ34" s="78"/>
      <c r="AK34" s="78"/>
      <c r="AL34" s="78"/>
      <c r="AM34" s="78"/>
      <c r="AN34" s="78"/>
      <c r="AO34" s="78"/>
      <c r="AP34" s="78"/>
      <c r="AQ34" s="78"/>
      <c r="AR34" s="78"/>
      <c r="AS34" s="78"/>
      <c r="AT34" s="78"/>
      <c r="AU34" s="78"/>
      <c r="AV34" s="78"/>
      <c r="AW34" s="78"/>
      <c r="AX34" s="78"/>
      <c r="AY34" s="91"/>
      <c r="AZ34" s="78"/>
      <c r="BA34" s="78"/>
      <c r="BB34" s="78"/>
      <c r="BC34" s="78"/>
      <c r="BD34" s="78"/>
      <c r="BE34" s="78"/>
      <c r="BF34" s="78"/>
      <c r="BG34" s="78"/>
      <c r="BH34" s="78"/>
      <c r="BI34" s="78"/>
      <c r="BJ34" s="78"/>
      <c r="BK34" s="78"/>
      <c r="BL34" s="78"/>
      <c r="BM34" s="78"/>
      <c r="BN34" s="78"/>
      <c r="BO34" s="78"/>
      <c r="BP34" s="78"/>
      <c r="BQ34" s="78"/>
      <c r="BR34" s="78"/>
      <c r="BS34" s="78"/>
      <c r="BT34" s="78"/>
      <c r="BU34" s="78"/>
      <c r="BV34" s="78"/>
      <c r="BW34" s="78"/>
      <c r="BX34" s="78"/>
      <c r="BY34" s="78"/>
      <c r="BZ34" s="78"/>
      <c r="CA34" s="78"/>
      <c r="CB34" s="78"/>
      <c r="CC34" s="78"/>
      <c r="CD34" s="78"/>
      <c r="CE34" s="78"/>
      <c r="CF34" s="78"/>
      <c r="CG34" s="78"/>
      <c r="CH34" s="78"/>
      <c r="CI34" s="78"/>
      <c r="CJ34" s="78"/>
      <c r="CK34" s="78"/>
      <c r="CL34" s="78"/>
      <c r="CM34" s="78"/>
      <c r="CN34" s="78"/>
      <c r="CO34" s="78"/>
      <c r="CP34" s="78"/>
      <c r="CQ34" s="78"/>
      <c r="CR34" s="78"/>
      <c r="CS34" s="78"/>
      <c r="CT34" s="78"/>
      <c r="CU34" s="78"/>
      <c r="CV34" s="78"/>
      <c r="CW34" s="78"/>
      <c r="CX34" s="78"/>
      <c r="CY34" s="78"/>
      <c r="CZ34" s="78"/>
      <c r="DA34" s="78"/>
      <c r="DB34" s="78"/>
      <c r="DC34" s="78"/>
      <c r="DD34" s="78"/>
      <c r="DE34" s="78"/>
      <c r="DF34" s="78"/>
      <c r="DG34" s="78"/>
      <c r="DH34" s="78"/>
      <c r="DI34" s="78"/>
      <c r="DJ34" s="78"/>
      <c r="DK34" s="78"/>
      <c r="DL34" s="78"/>
      <c r="DM34" s="78"/>
      <c r="DN34" s="78"/>
      <c r="DO34" s="78"/>
      <c r="DP34" s="78"/>
      <c r="DQ34" s="78"/>
      <c r="DR34" s="78"/>
      <c r="DS34" s="78"/>
      <c r="DT34" s="78"/>
      <c r="DU34" s="78"/>
      <c r="DV34" s="78"/>
      <c r="DW34" s="78"/>
      <c r="DX34" s="78"/>
      <c r="DY34" s="78"/>
      <c r="DZ34" s="78"/>
      <c r="EA34" s="78"/>
      <c r="EB34" s="78"/>
      <c r="EC34" s="78"/>
      <c r="ED34" s="78"/>
      <c r="EE34" s="78"/>
      <c r="EF34" s="78"/>
      <c r="EG34" s="78"/>
      <c r="EH34" s="78"/>
      <c r="EI34" s="78"/>
      <c r="EJ34" s="78"/>
      <c r="EK34" s="78"/>
      <c r="EL34" s="78"/>
      <c r="EM34" s="78"/>
      <c r="EN34" s="91"/>
      <c r="EO34" s="91"/>
      <c r="EP34" s="91"/>
      <c r="EQ34" s="91"/>
      <c r="ER34" s="91"/>
      <c r="ES34" s="91"/>
    </row>
    <row r="35" spans="1:149" outlineLevel="1">
      <c r="A35" s="29" t="str">
        <f t="shared" si="14"/>
        <v>ENERGY_CERTIFICATE_EST_INPUTNOMBRE_DISTRITO</v>
      </c>
      <c r="B35" s="67"/>
      <c r="C35" s="68"/>
      <c r="D35" s="64" t="s">
        <v>40</v>
      </c>
      <c r="E35" s="66" t="s">
        <v>37</v>
      </c>
      <c r="F35" s="66" t="s">
        <v>1969</v>
      </c>
      <c r="G35" s="64" t="str">
        <f>INDEX(Auxiliar!$B$16:$B$24,MATCH(Plano_V3!H35,Auxiliar!$C$16:$C$24,0),1)</f>
        <v>1. Concluído</v>
      </c>
      <c r="H35" s="64">
        <f>VLOOKUP(A35,'Aux - pivots1'!$A:$B,2,0)</f>
        <v>1</v>
      </c>
      <c r="I35" s="180" t="e">
        <f>SUMIFS(Table1[Estimação (horas)],Table1[Tabela],Plano_V3!E35,Table1[Campo],Plano_V3!F35)</f>
        <v>#N/A</v>
      </c>
      <c r="J35" s="180" t="e">
        <f t="shared" si="15"/>
        <v>#N/A</v>
      </c>
      <c r="K35" s="180" t="e">
        <f>SUMIFS(Table1[Horas efetivas],Table1[Tabela],Plano_V3!E35,Table1[Campo],Plano_V3!F35)</f>
        <v>#N/A</v>
      </c>
      <c r="L35" s="180" t="e">
        <f t="shared" si="16"/>
        <v>#N/A</v>
      </c>
      <c r="M35" s="174"/>
      <c r="N35" s="174"/>
      <c r="O35" s="174"/>
      <c r="P35" s="89"/>
      <c r="Q35" s="90"/>
      <c r="R35" s="78"/>
      <c r="S35" s="78"/>
      <c r="T35" s="78"/>
      <c r="U35" s="78"/>
      <c r="V35" s="78"/>
      <c r="W35" s="78"/>
      <c r="X35" s="78"/>
      <c r="Y35" s="78"/>
      <c r="Z35" s="78"/>
      <c r="AA35" s="78"/>
      <c r="AB35" s="78"/>
      <c r="AC35" s="78"/>
      <c r="AD35" s="78"/>
      <c r="AE35" s="78"/>
      <c r="AF35" s="78"/>
      <c r="AG35" s="78"/>
      <c r="AH35" s="78"/>
      <c r="AI35" s="78"/>
      <c r="AJ35" s="78"/>
      <c r="AK35" s="78"/>
      <c r="AL35" s="78"/>
      <c r="AM35" s="78"/>
      <c r="AN35" s="78"/>
      <c r="AO35" s="78"/>
      <c r="AP35" s="78"/>
      <c r="AQ35" s="78"/>
      <c r="AR35" s="78"/>
      <c r="AS35" s="78"/>
      <c r="AT35" s="78"/>
      <c r="AU35" s="78"/>
      <c r="AV35" s="78"/>
      <c r="AW35" s="78"/>
      <c r="AX35" s="78"/>
      <c r="AY35" s="91"/>
      <c r="AZ35" s="78"/>
      <c r="BA35" s="78"/>
      <c r="BB35" s="78"/>
      <c r="BC35" s="78"/>
      <c r="BD35" s="78"/>
      <c r="BE35" s="78"/>
      <c r="BF35" s="78"/>
      <c r="BG35" s="78"/>
      <c r="BH35" s="78"/>
      <c r="BI35" s="78"/>
      <c r="BJ35" s="78"/>
      <c r="BK35" s="78"/>
      <c r="BL35" s="78"/>
      <c r="BM35" s="78"/>
      <c r="BN35" s="78"/>
      <c r="BO35" s="78"/>
      <c r="BP35" s="78"/>
      <c r="BQ35" s="78"/>
      <c r="BR35" s="78"/>
      <c r="BS35" s="78"/>
      <c r="BT35" s="78"/>
      <c r="BU35" s="78"/>
      <c r="BV35" s="78"/>
      <c r="BW35" s="78"/>
      <c r="BX35" s="78"/>
      <c r="BY35" s="78"/>
      <c r="BZ35" s="78"/>
      <c r="CA35" s="78"/>
      <c r="CB35" s="78"/>
      <c r="CC35" s="78"/>
      <c r="CD35" s="78"/>
      <c r="CE35" s="78"/>
      <c r="CF35" s="78"/>
      <c r="CG35" s="78"/>
      <c r="CH35" s="78"/>
      <c r="CI35" s="78"/>
      <c r="CJ35" s="78"/>
      <c r="CK35" s="78"/>
      <c r="CL35" s="78"/>
      <c r="CM35" s="78"/>
      <c r="CN35" s="78"/>
      <c r="CO35" s="78"/>
      <c r="CP35" s="78"/>
      <c r="CQ35" s="78"/>
      <c r="CR35" s="78"/>
      <c r="CS35" s="78"/>
      <c r="CT35" s="78"/>
      <c r="CU35" s="78"/>
      <c r="CV35" s="78"/>
      <c r="CW35" s="78"/>
      <c r="CX35" s="78"/>
      <c r="CY35" s="78"/>
      <c r="CZ35" s="78"/>
      <c r="DA35" s="78"/>
      <c r="DB35" s="78"/>
      <c r="DC35" s="78"/>
      <c r="DD35" s="78"/>
      <c r="DE35" s="78"/>
      <c r="DF35" s="78"/>
      <c r="DG35" s="78"/>
      <c r="DH35" s="78"/>
      <c r="DI35" s="78"/>
      <c r="DJ35" s="78"/>
      <c r="DK35" s="78"/>
      <c r="DL35" s="78"/>
      <c r="DM35" s="78"/>
      <c r="DN35" s="78"/>
      <c r="DO35" s="78"/>
      <c r="DP35" s="78"/>
      <c r="DQ35" s="78"/>
      <c r="DR35" s="78"/>
      <c r="DS35" s="78"/>
      <c r="DT35" s="78"/>
      <c r="DU35" s="78"/>
      <c r="DV35" s="78"/>
      <c r="DW35" s="78"/>
      <c r="DX35" s="78"/>
      <c r="DY35" s="78"/>
      <c r="DZ35" s="78"/>
      <c r="EA35" s="78"/>
      <c r="EB35" s="78"/>
      <c r="EC35" s="78"/>
      <c r="ED35" s="78"/>
      <c r="EE35" s="78"/>
      <c r="EF35" s="78"/>
      <c r="EG35" s="78"/>
      <c r="EH35" s="78"/>
      <c r="EI35" s="78"/>
      <c r="EJ35" s="78"/>
      <c r="EK35" s="78"/>
      <c r="EL35" s="78"/>
      <c r="EM35" s="78"/>
      <c r="EN35" s="91"/>
      <c r="EO35" s="91"/>
      <c r="EP35" s="91"/>
      <c r="EQ35" s="91"/>
      <c r="ER35" s="91"/>
      <c r="ES35" s="91"/>
    </row>
    <row r="36" spans="1:149" outlineLevel="1">
      <c r="A36" s="29" t="str">
        <f t="shared" si="14"/>
        <v>ENERGY_CERTIFICATE_EST_INPUTCÓDIGO_CONCEJO</v>
      </c>
      <c r="B36" s="67"/>
      <c r="C36" s="68"/>
      <c r="D36" s="64" t="s">
        <v>40</v>
      </c>
      <c r="E36" s="66" t="s">
        <v>37</v>
      </c>
      <c r="F36" s="66" t="s">
        <v>1970</v>
      </c>
      <c r="G36" s="64" t="str">
        <f>INDEX(Auxiliar!$B$16:$B$24,MATCH(Plano_V3!H36,Auxiliar!$C$16:$C$24,0),1)</f>
        <v>1. Concluído</v>
      </c>
      <c r="H36" s="64">
        <f>VLOOKUP(A36,'Aux - pivots1'!$A:$B,2,0)</f>
        <v>1</v>
      </c>
      <c r="I36" s="180" t="e">
        <f>SUMIFS(Table1[Estimação (horas)],Table1[Tabela],Plano_V3!E36,Table1[Campo],Plano_V3!F36)</f>
        <v>#N/A</v>
      </c>
      <c r="J36" s="180" t="e">
        <f t="shared" si="15"/>
        <v>#N/A</v>
      </c>
      <c r="K36" s="180" t="e">
        <f>SUMIFS(Table1[Horas efetivas],Table1[Tabela],Plano_V3!E36,Table1[Campo],Plano_V3!F36)</f>
        <v>#N/A</v>
      </c>
      <c r="L36" s="180" t="e">
        <f t="shared" si="16"/>
        <v>#N/A</v>
      </c>
      <c r="M36" s="174"/>
      <c r="N36" s="174"/>
      <c r="O36" s="174"/>
      <c r="P36" s="89"/>
      <c r="Q36" s="90"/>
      <c r="R36" s="78"/>
      <c r="S36" s="78"/>
      <c r="T36" s="78"/>
      <c r="U36" s="78"/>
      <c r="V36" s="78"/>
      <c r="W36" s="78"/>
      <c r="X36" s="78"/>
      <c r="Y36" s="78"/>
      <c r="Z36" s="78"/>
      <c r="AA36" s="78"/>
      <c r="AB36" s="78"/>
      <c r="AC36" s="78"/>
      <c r="AD36" s="78"/>
      <c r="AE36" s="78"/>
      <c r="AF36" s="78"/>
      <c r="AG36" s="78"/>
      <c r="AH36" s="78"/>
      <c r="AI36" s="78"/>
      <c r="AJ36" s="78"/>
      <c r="AK36" s="78"/>
      <c r="AL36" s="78"/>
      <c r="AM36" s="78"/>
      <c r="AN36" s="78"/>
      <c r="AO36" s="78"/>
      <c r="AP36" s="78"/>
      <c r="AQ36" s="78"/>
      <c r="AR36" s="78"/>
      <c r="AS36" s="78"/>
      <c r="AT36" s="78"/>
      <c r="AU36" s="78"/>
      <c r="AV36" s="78"/>
      <c r="AW36" s="78"/>
      <c r="AX36" s="78"/>
      <c r="AY36" s="91"/>
      <c r="AZ36" s="78"/>
      <c r="BA36" s="78"/>
      <c r="BB36" s="78"/>
      <c r="BC36" s="78"/>
      <c r="BD36" s="78"/>
      <c r="BE36" s="78"/>
      <c r="BF36" s="78"/>
      <c r="BG36" s="78"/>
      <c r="BH36" s="78"/>
      <c r="BI36" s="78"/>
      <c r="BJ36" s="78"/>
      <c r="BK36" s="78"/>
      <c r="BL36" s="78"/>
      <c r="BM36" s="78"/>
      <c r="BN36" s="78"/>
      <c r="BO36" s="78"/>
      <c r="BP36" s="78"/>
      <c r="BQ36" s="78"/>
      <c r="BR36" s="78"/>
      <c r="BS36" s="78"/>
      <c r="BT36" s="78"/>
      <c r="BU36" s="78"/>
      <c r="BV36" s="78"/>
      <c r="BW36" s="78"/>
      <c r="BX36" s="78"/>
      <c r="BY36" s="78"/>
      <c r="BZ36" s="78"/>
      <c r="CA36" s="78"/>
      <c r="CB36" s="78"/>
      <c r="CC36" s="78"/>
      <c r="CD36" s="78"/>
      <c r="CE36" s="78"/>
      <c r="CF36" s="78"/>
      <c r="CG36" s="78"/>
      <c r="CH36" s="78"/>
      <c r="CI36" s="78"/>
      <c r="CJ36" s="78"/>
      <c r="CK36" s="78"/>
      <c r="CL36" s="78"/>
      <c r="CM36" s="78"/>
      <c r="CN36" s="78"/>
      <c r="CO36" s="78"/>
      <c r="CP36" s="78"/>
      <c r="CQ36" s="78"/>
      <c r="CR36" s="78"/>
      <c r="CS36" s="78"/>
      <c r="CT36" s="78"/>
      <c r="CU36" s="78"/>
      <c r="CV36" s="78"/>
      <c r="CW36" s="78"/>
      <c r="CX36" s="78"/>
      <c r="CY36" s="78"/>
      <c r="CZ36" s="78"/>
      <c r="DA36" s="78"/>
      <c r="DB36" s="78"/>
      <c r="DC36" s="78"/>
      <c r="DD36" s="78"/>
      <c r="DE36" s="78"/>
      <c r="DF36" s="78"/>
      <c r="DG36" s="78"/>
      <c r="DH36" s="78"/>
      <c r="DI36" s="78"/>
      <c r="DJ36" s="78"/>
      <c r="DK36" s="78"/>
      <c r="DL36" s="78"/>
      <c r="DM36" s="78"/>
      <c r="DN36" s="78"/>
      <c r="DO36" s="78"/>
      <c r="DP36" s="78"/>
      <c r="DQ36" s="78"/>
      <c r="DR36" s="78"/>
      <c r="DS36" s="78"/>
      <c r="DT36" s="78"/>
      <c r="DU36" s="78"/>
      <c r="DV36" s="78"/>
      <c r="DW36" s="78"/>
      <c r="DX36" s="78"/>
      <c r="DY36" s="78"/>
      <c r="DZ36" s="78"/>
      <c r="EA36" s="78"/>
      <c r="EB36" s="78"/>
      <c r="EC36" s="78"/>
      <c r="ED36" s="78"/>
      <c r="EE36" s="78"/>
      <c r="EF36" s="78"/>
      <c r="EG36" s="78"/>
      <c r="EH36" s="78"/>
      <c r="EI36" s="78"/>
      <c r="EJ36" s="78"/>
      <c r="EK36" s="78"/>
      <c r="EL36" s="78"/>
      <c r="EM36" s="78"/>
      <c r="EN36" s="91"/>
      <c r="EO36" s="91"/>
      <c r="EP36" s="91"/>
      <c r="EQ36" s="91"/>
      <c r="ER36" s="91"/>
      <c r="ES36" s="91"/>
    </row>
    <row r="37" spans="1:149" outlineLevel="1">
      <c r="A37" s="29" t="str">
        <f t="shared" si="14"/>
        <v>ENERGY_CERTIFICATE_EST_INPUTNOMBRE_CONCEJO</v>
      </c>
      <c r="B37" s="67"/>
      <c r="C37" s="68"/>
      <c r="D37" s="64" t="s">
        <v>40</v>
      </c>
      <c r="E37" s="66" t="s">
        <v>37</v>
      </c>
      <c r="F37" s="66" t="s">
        <v>1971</v>
      </c>
      <c r="G37" s="64" t="str">
        <f>INDEX(Auxiliar!$B$16:$B$24,MATCH(Plano_V3!H37,Auxiliar!$C$16:$C$24,0),1)</f>
        <v>1. Concluído</v>
      </c>
      <c r="H37" s="64">
        <f>VLOOKUP(A37,'Aux - pivots1'!$A:$B,2,0)</f>
        <v>1</v>
      </c>
      <c r="I37" s="180" t="e">
        <f>SUMIFS(Table1[Estimação (horas)],Table1[Tabela],Plano_V3!E37,Table1[Campo],Plano_V3!F37)</f>
        <v>#N/A</v>
      </c>
      <c r="J37" s="180" t="e">
        <f t="shared" si="15"/>
        <v>#N/A</v>
      </c>
      <c r="K37" s="180" t="e">
        <f>SUMIFS(Table1[Horas efetivas],Table1[Tabela],Plano_V3!E37,Table1[Campo],Plano_V3!F37)</f>
        <v>#N/A</v>
      </c>
      <c r="L37" s="180" t="e">
        <f t="shared" si="16"/>
        <v>#N/A</v>
      </c>
      <c r="M37" s="174"/>
      <c r="N37" s="174"/>
      <c r="O37" s="174"/>
      <c r="P37" s="89"/>
      <c r="Q37" s="90"/>
      <c r="R37" s="78"/>
      <c r="S37" s="78"/>
      <c r="T37" s="78"/>
      <c r="U37" s="78"/>
      <c r="V37" s="78"/>
      <c r="W37" s="78"/>
      <c r="X37" s="78"/>
      <c r="Y37" s="78"/>
      <c r="Z37" s="78"/>
      <c r="AA37" s="78"/>
      <c r="AB37" s="78"/>
      <c r="AC37" s="78"/>
      <c r="AD37" s="78"/>
      <c r="AE37" s="78"/>
      <c r="AF37" s="78"/>
      <c r="AG37" s="78"/>
      <c r="AH37" s="78"/>
      <c r="AI37" s="78"/>
      <c r="AJ37" s="78"/>
      <c r="AK37" s="78"/>
      <c r="AL37" s="78"/>
      <c r="AM37" s="78"/>
      <c r="AN37" s="78"/>
      <c r="AO37" s="78"/>
      <c r="AP37" s="78"/>
      <c r="AQ37" s="78"/>
      <c r="AR37" s="78"/>
      <c r="AS37" s="78"/>
      <c r="AT37" s="78"/>
      <c r="AU37" s="78"/>
      <c r="AV37" s="78"/>
      <c r="AW37" s="78"/>
      <c r="AX37" s="78"/>
      <c r="AY37" s="91"/>
      <c r="AZ37" s="78"/>
      <c r="BA37" s="78"/>
      <c r="BB37" s="78"/>
      <c r="BC37" s="78"/>
      <c r="BD37" s="78"/>
      <c r="BE37" s="78"/>
      <c r="BF37" s="78"/>
      <c r="BG37" s="78"/>
      <c r="BH37" s="78"/>
      <c r="BI37" s="78"/>
      <c r="BJ37" s="78"/>
      <c r="BK37" s="78"/>
      <c r="BL37" s="78"/>
      <c r="BM37" s="78"/>
      <c r="BN37" s="78"/>
      <c r="BO37" s="78"/>
      <c r="BP37" s="78"/>
      <c r="BQ37" s="78"/>
      <c r="BR37" s="78"/>
      <c r="BS37" s="78"/>
      <c r="BT37" s="78"/>
      <c r="BU37" s="78"/>
      <c r="BV37" s="78"/>
      <c r="BW37" s="78"/>
      <c r="BX37" s="78"/>
      <c r="BY37" s="78"/>
      <c r="BZ37" s="78"/>
      <c r="CA37" s="78"/>
      <c r="CB37" s="78"/>
      <c r="CC37" s="78"/>
      <c r="CD37" s="78"/>
      <c r="CE37" s="78"/>
      <c r="CF37" s="78"/>
      <c r="CG37" s="78"/>
      <c r="CH37" s="78"/>
      <c r="CI37" s="78"/>
      <c r="CJ37" s="78"/>
      <c r="CK37" s="78"/>
      <c r="CL37" s="78"/>
      <c r="CM37" s="78"/>
      <c r="CN37" s="78"/>
      <c r="CO37" s="78"/>
      <c r="CP37" s="78"/>
      <c r="CQ37" s="78"/>
      <c r="CR37" s="78"/>
      <c r="CS37" s="78"/>
      <c r="CT37" s="78"/>
      <c r="CU37" s="78"/>
      <c r="CV37" s="78"/>
      <c r="CW37" s="78"/>
      <c r="CX37" s="78"/>
      <c r="CY37" s="78"/>
      <c r="CZ37" s="78"/>
      <c r="DA37" s="78"/>
      <c r="DB37" s="78"/>
      <c r="DC37" s="78"/>
      <c r="DD37" s="78"/>
      <c r="DE37" s="78"/>
      <c r="DF37" s="78"/>
      <c r="DG37" s="78"/>
      <c r="DH37" s="78"/>
      <c r="DI37" s="78"/>
      <c r="DJ37" s="78"/>
      <c r="DK37" s="78"/>
      <c r="DL37" s="78"/>
      <c r="DM37" s="78"/>
      <c r="DN37" s="78"/>
      <c r="DO37" s="78"/>
      <c r="DP37" s="78"/>
      <c r="DQ37" s="78"/>
      <c r="DR37" s="78"/>
      <c r="DS37" s="78"/>
      <c r="DT37" s="78"/>
      <c r="DU37" s="78"/>
      <c r="DV37" s="78"/>
      <c r="DW37" s="78"/>
      <c r="DX37" s="78"/>
      <c r="DY37" s="78"/>
      <c r="DZ37" s="78"/>
      <c r="EA37" s="78"/>
      <c r="EB37" s="78"/>
      <c r="EC37" s="78"/>
      <c r="ED37" s="78"/>
      <c r="EE37" s="78"/>
      <c r="EF37" s="78"/>
      <c r="EG37" s="78"/>
      <c r="EH37" s="78"/>
      <c r="EI37" s="78"/>
      <c r="EJ37" s="78"/>
      <c r="EK37" s="78"/>
      <c r="EL37" s="78"/>
      <c r="EM37" s="78"/>
      <c r="EN37" s="91"/>
      <c r="EO37" s="91"/>
      <c r="EP37" s="91"/>
      <c r="EQ37" s="91"/>
      <c r="ER37" s="91"/>
      <c r="ES37" s="91"/>
    </row>
    <row r="38" spans="1:149" outlineLevel="1">
      <c r="A38" s="29" t="str">
        <f t="shared" si="14"/>
        <v>ENERGY_CERTIFICATE_EST_INPUTCÓDIGO_FREGUESIA</v>
      </c>
      <c r="B38" s="67"/>
      <c r="C38" s="68"/>
      <c r="D38" s="64" t="s">
        <v>40</v>
      </c>
      <c r="E38" s="66" t="s">
        <v>37</v>
      </c>
      <c r="F38" s="66" t="s">
        <v>1972</v>
      </c>
      <c r="G38" s="64" t="str">
        <f>INDEX(Auxiliar!$B$16:$B$24,MATCH(Plano_V3!H38,Auxiliar!$C$16:$C$24,0),1)</f>
        <v>1. Concluído</v>
      </c>
      <c r="H38" s="64">
        <f>VLOOKUP(A38,'Aux - pivots1'!$A:$B,2,0)</f>
        <v>1</v>
      </c>
      <c r="I38" s="180" t="e">
        <f>SUMIFS(Table1[Estimação (horas)],Table1[Tabela],Plano_V3!E38,Table1[Campo],Plano_V3!F38)</f>
        <v>#N/A</v>
      </c>
      <c r="J38" s="180" t="e">
        <f t="shared" si="15"/>
        <v>#N/A</v>
      </c>
      <c r="K38" s="180" t="e">
        <f>SUMIFS(Table1[Horas efetivas],Table1[Tabela],Plano_V3!E38,Table1[Campo],Plano_V3!F38)</f>
        <v>#N/A</v>
      </c>
      <c r="L38" s="180" t="e">
        <f t="shared" si="16"/>
        <v>#N/A</v>
      </c>
      <c r="M38" s="174"/>
      <c r="N38" s="174"/>
      <c r="O38" s="174"/>
      <c r="P38" s="89"/>
      <c r="Q38" s="90"/>
      <c r="R38" s="78"/>
      <c r="S38" s="78"/>
      <c r="T38" s="78"/>
      <c r="U38" s="78"/>
      <c r="V38" s="78"/>
      <c r="W38" s="78"/>
      <c r="X38" s="78"/>
      <c r="Y38" s="78"/>
      <c r="Z38" s="78"/>
      <c r="AA38" s="78"/>
      <c r="AB38" s="78"/>
      <c r="AC38" s="78"/>
      <c r="AD38" s="78"/>
      <c r="AE38" s="78"/>
      <c r="AF38" s="78"/>
      <c r="AG38" s="78"/>
      <c r="AH38" s="78"/>
      <c r="AI38" s="78"/>
      <c r="AJ38" s="78"/>
      <c r="AK38" s="78"/>
      <c r="AL38" s="78"/>
      <c r="AM38" s="78"/>
      <c r="AN38" s="78"/>
      <c r="AO38" s="78"/>
      <c r="AP38" s="78"/>
      <c r="AQ38" s="78"/>
      <c r="AR38" s="78"/>
      <c r="AS38" s="78"/>
      <c r="AT38" s="78"/>
      <c r="AU38" s="78"/>
      <c r="AV38" s="78"/>
      <c r="AW38" s="78"/>
      <c r="AX38" s="78"/>
      <c r="AY38" s="91"/>
      <c r="AZ38" s="78"/>
      <c r="BA38" s="78"/>
      <c r="BB38" s="78"/>
      <c r="BC38" s="78"/>
      <c r="BD38" s="78"/>
      <c r="BE38" s="78"/>
      <c r="BF38" s="78"/>
      <c r="BG38" s="78"/>
      <c r="BH38" s="78"/>
      <c r="BI38" s="78"/>
      <c r="BJ38" s="78"/>
      <c r="BK38" s="78"/>
      <c r="BL38" s="78"/>
      <c r="BM38" s="78"/>
      <c r="BN38" s="78"/>
      <c r="BO38" s="78"/>
      <c r="BP38" s="78"/>
      <c r="BQ38" s="78"/>
      <c r="BR38" s="78"/>
      <c r="BS38" s="78"/>
      <c r="BT38" s="78"/>
      <c r="BU38" s="78"/>
      <c r="BV38" s="78"/>
      <c r="BW38" s="78"/>
      <c r="BX38" s="78"/>
      <c r="BY38" s="78"/>
      <c r="BZ38" s="78"/>
      <c r="CA38" s="78"/>
      <c r="CB38" s="78"/>
      <c r="CC38" s="78"/>
      <c r="CD38" s="78"/>
      <c r="CE38" s="78"/>
      <c r="CF38" s="78"/>
      <c r="CG38" s="78"/>
      <c r="CH38" s="78"/>
      <c r="CI38" s="78"/>
      <c r="CJ38" s="78"/>
      <c r="CK38" s="78"/>
      <c r="CL38" s="78"/>
      <c r="CM38" s="78"/>
      <c r="CN38" s="78"/>
      <c r="CO38" s="78"/>
      <c r="CP38" s="78"/>
      <c r="CQ38" s="78"/>
      <c r="CR38" s="78"/>
      <c r="CS38" s="78"/>
      <c r="CT38" s="78"/>
      <c r="CU38" s="78"/>
      <c r="CV38" s="78"/>
      <c r="CW38" s="78"/>
      <c r="CX38" s="78"/>
      <c r="CY38" s="78"/>
      <c r="CZ38" s="78"/>
      <c r="DA38" s="78"/>
      <c r="DB38" s="78"/>
      <c r="DC38" s="78"/>
      <c r="DD38" s="78"/>
      <c r="DE38" s="78"/>
      <c r="DF38" s="78"/>
      <c r="DG38" s="78"/>
      <c r="DH38" s="78"/>
      <c r="DI38" s="78"/>
      <c r="DJ38" s="78"/>
      <c r="DK38" s="78"/>
      <c r="DL38" s="78"/>
      <c r="DM38" s="78"/>
      <c r="DN38" s="78"/>
      <c r="DO38" s="78"/>
      <c r="DP38" s="78"/>
      <c r="DQ38" s="78"/>
      <c r="DR38" s="78"/>
      <c r="DS38" s="78"/>
      <c r="DT38" s="78"/>
      <c r="DU38" s="78"/>
      <c r="DV38" s="78"/>
      <c r="DW38" s="78"/>
      <c r="DX38" s="78"/>
      <c r="DY38" s="78"/>
      <c r="DZ38" s="78"/>
      <c r="EA38" s="78"/>
      <c r="EB38" s="78"/>
      <c r="EC38" s="78"/>
      <c r="ED38" s="78"/>
      <c r="EE38" s="78"/>
      <c r="EF38" s="78"/>
      <c r="EG38" s="78"/>
      <c r="EH38" s="78"/>
      <c r="EI38" s="78"/>
      <c r="EJ38" s="78"/>
      <c r="EK38" s="78"/>
      <c r="EL38" s="78"/>
      <c r="EM38" s="78"/>
      <c r="EN38" s="91"/>
      <c r="EO38" s="91"/>
      <c r="EP38" s="91"/>
      <c r="EQ38" s="91"/>
      <c r="ER38" s="91"/>
      <c r="ES38" s="91"/>
    </row>
    <row r="39" spans="1:149" outlineLevel="1">
      <c r="A39" s="29" t="str">
        <f t="shared" si="14"/>
        <v>ENERGY_CERTIFICATE_EST_INPUTNOMBRE_FREGUESIA</v>
      </c>
      <c r="B39" s="67"/>
      <c r="C39" s="68"/>
      <c r="D39" s="64" t="s">
        <v>40</v>
      </c>
      <c r="E39" s="66" t="s">
        <v>37</v>
      </c>
      <c r="F39" s="66" t="s">
        <v>1973</v>
      </c>
      <c r="G39" s="64" t="str">
        <f>INDEX(Auxiliar!$B$16:$B$24,MATCH(Plano_V3!H39,Auxiliar!$C$16:$C$24,0),1)</f>
        <v>1. Concluído</v>
      </c>
      <c r="H39" s="64">
        <f>VLOOKUP(A39,'Aux - pivots1'!$A:$B,2,0)</f>
        <v>1</v>
      </c>
      <c r="I39" s="180" t="e">
        <f>SUMIFS(Table1[Estimação (horas)],Table1[Tabela],Plano_V3!E39,Table1[Campo],Plano_V3!F39)</f>
        <v>#N/A</v>
      </c>
      <c r="J39" s="180" t="e">
        <f t="shared" si="15"/>
        <v>#N/A</v>
      </c>
      <c r="K39" s="180" t="e">
        <f>SUMIFS(Table1[Horas efetivas],Table1[Tabela],Plano_V3!E39,Table1[Campo],Plano_V3!F39)</f>
        <v>#N/A</v>
      </c>
      <c r="L39" s="180" t="e">
        <f t="shared" si="16"/>
        <v>#N/A</v>
      </c>
      <c r="M39" s="174"/>
      <c r="N39" s="174"/>
      <c r="O39" s="174"/>
      <c r="P39" s="89"/>
      <c r="Q39" s="90"/>
      <c r="R39" s="78"/>
      <c r="S39" s="78"/>
      <c r="T39" s="78"/>
      <c r="U39" s="78"/>
      <c r="V39" s="78"/>
      <c r="W39" s="78"/>
      <c r="X39" s="78"/>
      <c r="Y39" s="78"/>
      <c r="Z39" s="78"/>
      <c r="AA39" s="78"/>
      <c r="AB39" s="78"/>
      <c r="AC39" s="78"/>
      <c r="AD39" s="78"/>
      <c r="AE39" s="78"/>
      <c r="AF39" s="78"/>
      <c r="AG39" s="78"/>
      <c r="AH39" s="78"/>
      <c r="AI39" s="78"/>
      <c r="AJ39" s="78"/>
      <c r="AK39" s="78"/>
      <c r="AL39" s="78"/>
      <c r="AM39" s="78"/>
      <c r="AN39" s="78"/>
      <c r="AO39" s="78"/>
      <c r="AP39" s="78"/>
      <c r="AQ39" s="78"/>
      <c r="AR39" s="78"/>
      <c r="AS39" s="78"/>
      <c r="AT39" s="78"/>
      <c r="AU39" s="78"/>
      <c r="AV39" s="78"/>
      <c r="AW39" s="78"/>
      <c r="AX39" s="78"/>
      <c r="AY39" s="91"/>
      <c r="AZ39" s="78"/>
      <c r="BA39" s="78"/>
      <c r="BB39" s="78"/>
      <c r="BC39" s="78"/>
      <c r="BD39" s="78"/>
      <c r="BE39" s="78"/>
      <c r="BF39" s="78"/>
      <c r="BG39" s="78"/>
      <c r="BH39" s="78"/>
      <c r="BI39" s="78"/>
      <c r="BJ39" s="78"/>
      <c r="BK39" s="78"/>
      <c r="BL39" s="78"/>
      <c r="BM39" s="78"/>
      <c r="BN39" s="78"/>
      <c r="BO39" s="78"/>
      <c r="BP39" s="78"/>
      <c r="BQ39" s="78"/>
      <c r="BR39" s="78"/>
      <c r="BS39" s="78"/>
      <c r="BT39" s="78"/>
      <c r="BU39" s="78"/>
      <c r="BV39" s="78"/>
      <c r="BW39" s="78"/>
      <c r="BX39" s="78"/>
      <c r="BY39" s="78"/>
      <c r="BZ39" s="78"/>
      <c r="CA39" s="78"/>
      <c r="CB39" s="78"/>
      <c r="CC39" s="78"/>
      <c r="CD39" s="78"/>
      <c r="CE39" s="78"/>
      <c r="CF39" s="78"/>
      <c r="CG39" s="78"/>
      <c r="CH39" s="78"/>
      <c r="CI39" s="78"/>
      <c r="CJ39" s="78"/>
      <c r="CK39" s="78"/>
      <c r="CL39" s="78"/>
      <c r="CM39" s="78"/>
      <c r="CN39" s="78"/>
      <c r="CO39" s="78"/>
      <c r="CP39" s="78"/>
      <c r="CQ39" s="78"/>
      <c r="CR39" s="78"/>
      <c r="CS39" s="78"/>
      <c r="CT39" s="78"/>
      <c r="CU39" s="78"/>
      <c r="CV39" s="78"/>
      <c r="CW39" s="78"/>
      <c r="CX39" s="78"/>
      <c r="CY39" s="78"/>
      <c r="CZ39" s="78"/>
      <c r="DA39" s="78"/>
      <c r="DB39" s="78"/>
      <c r="DC39" s="78"/>
      <c r="DD39" s="78"/>
      <c r="DE39" s="78"/>
      <c r="DF39" s="78"/>
      <c r="DG39" s="78"/>
      <c r="DH39" s="78"/>
      <c r="DI39" s="78"/>
      <c r="DJ39" s="78"/>
      <c r="DK39" s="78"/>
      <c r="DL39" s="78"/>
      <c r="DM39" s="78"/>
      <c r="DN39" s="78"/>
      <c r="DO39" s="78"/>
      <c r="DP39" s="78"/>
      <c r="DQ39" s="78"/>
      <c r="DR39" s="78"/>
      <c r="DS39" s="78"/>
      <c r="DT39" s="78"/>
      <c r="DU39" s="78"/>
      <c r="DV39" s="78"/>
      <c r="DW39" s="78"/>
      <c r="DX39" s="78"/>
      <c r="DY39" s="78"/>
      <c r="DZ39" s="78"/>
      <c r="EA39" s="78"/>
      <c r="EB39" s="78"/>
      <c r="EC39" s="78"/>
      <c r="ED39" s="78"/>
      <c r="EE39" s="78"/>
      <c r="EF39" s="78"/>
      <c r="EG39" s="78"/>
      <c r="EH39" s="78"/>
      <c r="EI39" s="78"/>
      <c r="EJ39" s="78"/>
      <c r="EK39" s="78"/>
      <c r="EL39" s="78"/>
      <c r="EM39" s="78"/>
      <c r="EN39" s="91"/>
      <c r="EO39" s="91"/>
      <c r="EP39" s="91"/>
      <c r="EQ39" s="91"/>
      <c r="ER39" s="91"/>
      <c r="ES39" s="91"/>
    </row>
    <row r="40" spans="1:149" outlineLevel="1">
      <c r="A40" s="29" t="str">
        <f t="shared" si="14"/>
        <v>ENERGY_CERTIFICATE_EST_INPUTLOCALIDADE</v>
      </c>
      <c r="B40" s="67"/>
      <c r="C40" s="68"/>
      <c r="D40" s="64" t="s">
        <v>40</v>
      </c>
      <c r="E40" s="66" t="s">
        <v>37</v>
      </c>
      <c r="F40" s="66" t="s">
        <v>1974</v>
      </c>
      <c r="G40" s="64" t="str">
        <f>INDEX(Auxiliar!$B$16:$B$24,MATCH(Plano_V3!H40,Auxiliar!$C$16:$C$24,0),1)</f>
        <v>1. Concluído</v>
      </c>
      <c r="H40" s="64">
        <f>VLOOKUP(A40,'Aux - pivots1'!$A:$B,2,0)</f>
        <v>1</v>
      </c>
      <c r="I40" s="180" t="e">
        <f>SUMIFS(Table1[Estimação (horas)],Table1[Tabela],Plano_V3!E40,Table1[Campo],Plano_V3!F40)</f>
        <v>#N/A</v>
      </c>
      <c r="J40" s="180" t="e">
        <f t="shared" si="15"/>
        <v>#N/A</v>
      </c>
      <c r="K40" s="180" t="e">
        <f>SUMIFS(Table1[Horas efetivas],Table1[Tabela],Plano_V3!E40,Table1[Campo],Plano_V3!F40)</f>
        <v>#N/A</v>
      </c>
      <c r="L40" s="180" t="e">
        <f t="shared" si="16"/>
        <v>#N/A</v>
      </c>
      <c r="M40" s="174"/>
      <c r="N40" s="174"/>
      <c r="O40" s="174"/>
      <c r="P40" s="89"/>
      <c r="Q40" s="90"/>
      <c r="R40" s="78"/>
      <c r="S40" s="78"/>
      <c r="T40" s="78"/>
      <c r="U40" s="78"/>
      <c r="V40" s="78"/>
      <c r="W40" s="78"/>
      <c r="X40" s="78"/>
      <c r="Y40" s="78"/>
      <c r="Z40" s="78"/>
      <c r="AA40" s="78"/>
      <c r="AB40" s="78"/>
      <c r="AC40" s="78"/>
      <c r="AD40" s="78"/>
      <c r="AE40" s="78"/>
      <c r="AF40" s="78"/>
      <c r="AG40" s="78"/>
      <c r="AH40" s="78"/>
      <c r="AI40" s="78"/>
      <c r="AJ40" s="78"/>
      <c r="AK40" s="78"/>
      <c r="AL40" s="78"/>
      <c r="AM40" s="78"/>
      <c r="AN40" s="78"/>
      <c r="AO40" s="78"/>
      <c r="AP40" s="78"/>
      <c r="AQ40" s="78"/>
      <c r="AR40" s="78"/>
      <c r="AS40" s="78"/>
      <c r="AT40" s="78"/>
      <c r="AU40" s="78"/>
      <c r="AV40" s="78"/>
      <c r="AW40" s="78"/>
      <c r="AX40" s="78"/>
      <c r="AY40" s="91"/>
      <c r="AZ40" s="78"/>
      <c r="BA40" s="78"/>
      <c r="BB40" s="78"/>
      <c r="BC40" s="78"/>
      <c r="BD40" s="78"/>
      <c r="BE40" s="78"/>
      <c r="BF40" s="78"/>
      <c r="BG40" s="78"/>
      <c r="BH40" s="78"/>
      <c r="BI40" s="78"/>
      <c r="BJ40" s="78"/>
      <c r="BK40" s="78"/>
      <c r="BL40" s="78"/>
      <c r="BM40" s="78"/>
      <c r="BN40" s="78"/>
      <c r="BO40" s="78"/>
      <c r="BP40" s="78"/>
      <c r="BQ40" s="78"/>
      <c r="BR40" s="78"/>
      <c r="BS40" s="78"/>
      <c r="BT40" s="78"/>
      <c r="BU40" s="78"/>
      <c r="BV40" s="78"/>
      <c r="BW40" s="78"/>
      <c r="BX40" s="78"/>
      <c r="BY40" s="78"/>
      <c r="BZ40" s="78"/>
      <c r="CA40" s="78"/>
      <c r="CB40" s="78"/>
      <c r="CC40" s="78"/>
      <c r="CD40" s="78"/>
      <c r="CE40" s="78"/>
      <c r="CF40" s="78"/>
      <c r="CG40" s="78"/>
      <c r="CH40" s="78"/>
      <c r="CI40" s="78"/>
      <c r="CJ40" s="78"/>
      <c r="CK40" s="78"/>
      <c r="CL40" s="78"/>
      <c r="CM40" s="78"/>
      <c r="CN40" s="78"/>
      <c r="CO40" s="78"/>
      <c r="CP40" s="78"/>
      <c r="CQ40" s="78"/>
      <c r="CR40" s="78"/>
      <c r="CS40" s="78"/>
      <c r="CT40" s="78"/>
      <c r="CU40" s="78"/>
      <c r="CV40" s="78"/>
      <c r="CW40" s="78"/>
      <c r="CX40" s="78"/>
      <c r="CY40" s="78"/>
      <c r="CZ40" s="78"/>
      <c r="DA40" s="78"/>
      <c r="DB40" s="78"/>
      <c r="DC40" s="78"/>
      <c r="DD40" s="78"/>
      <c r="DE40" s="78"/>
      <c r="DF40" s="78"/>
      <c r="DG40" s="78"/>
      <c r="DH40" s="78"/>
      <c r="DI40" s="78"/>
      <c r="DJ40" s="78"/>
      <c r="DK40" s="78"/>
      <c r="DL40" s="78"/>
      <c r="DM40" s="78"/>
      <c r="DN40" s="78"/>
      <c r="DO40" s="78"/>
      <c r="DP40" s="78"/>
      <c r="DQ40" s="78"/>
      <c r="DR40" s="78"/>
      <c r="DS40" s="78"/>
      <c r="DT40" s="78"/>
      <c r="DU40" s="78"/>
      <c r="DV40" s="78"/>
      <c r="DW40" s="78"/>
      <c r="DX40" s="78"/>
      <c r="DY40" s="78"/>
      <c r="DZ40" s="78"/>
      <c r="EA40" s="78"/>
      <c r="EB40" s="78"/>
      <c r="EC40" s="78"/>
      <c r="ED40" s="78"/>
      <c r="EE40" s="78"/>
      <c r="EF40" s="78"/>
      <c r="EG40" s="78"/>
      <c r="EH40" s="78"/>
      <c r="EI40" s="78"/>
      <c r="EJ40" s="78"/>
      <c r="EK40" s="78"/>
      <c r="EL40" s="78"/>
      <c r="EM40" s="78"/>
      <c r="EN40" s="91"/>
      <c r="EO40" s="91"/>
      <c r="EP40" s="91"/>
      <c r="EQ40" s="91"/>
      <c r="ER40" s="91"/>
      <c r="ES40" s="91"/>
    </row>
    <row r="41" spans="1:149" outlineLevel="1">
      <c r="A41" s="29" t="str">
        <f t="shared" si="14"/>
        <v>ENERGY_CERTIFICATE_EST_INPUTTIPO_VIA</v>
      </c>
      <c r="B41" s="67"/>
      <c r="C41" s="68"/>
      <c r="D41" s="64" t="s">
        <v>40</v>
      </c>
      <c r="E41" s="66" t="s">
        <v>37</v>
      </c>
      <c r="F41" s="66" t="s">
        <v>1975</v>
      </c>
      <c r="G41" s="64" t="str">
        <f>INDEX(Auxiliar!$B$16:$B$24,MATCH(Plano_V3!H41,Auxiliar!$C$16:$C$24,0),1)</f>
        <v>1. Concluído</v>
      </c>
      <c r="H41" s="64">
        <f>VLOOKUP(A41,'Aux - pivots1'!$A:$B,2,0)</f>
        <v>1</v>
      </c>
      <c r="I41" s="180" t="e">
        <f>SUMIFS(Table1[Estimação (horas)],Table1[Tabela],Plano_V3!E41,Table1[Campo],Plano_V3!F41)</f>
        <v>#N/A</v>
      </c>
      <c r="J41" s="180" t="e">
        <f t="shared" si="15"/>
        <v>#N/A</v>
      </c>
      <c r="K41" s="180" t="e">
        <f>SUMIFS(Table1[Horas efetivas],Table1[Tabela],Plano_V3!E41,Table1[Campo],Plano_V3!F41)</f>
        <v>#N/A</v>
      </c>
      <c r="L41" s="180" t="e">
        <f t="shared" si="16"/>
        <v>#N/A</v>
      </c>
      <c r="M41" s="174"/>
      <c r="N41" s="174"/>
      <c r="O41" s="174"/>
      <c r="P41" s="89"/>
      <c r="Q41" s="90"/>
      <c r="R41" s="78"/>
      <c r="S41" s="78"/>
      <c r="T41" s="78"/>
      <c r="U41" s="78"/>
      <c r="V41" s="78"/>
      <c r="W41" s="78"/>
      <c r="X41" s="78"/>
      <c r="Y41" s="78"/>
      <c r="Z41" s="78"/>
      <c r="AA41" s="78"/>
      <c r="AB41" s="78"/>
      <c r="AC41" s="78"/>
      <c r="AD41" s="78"/>
      <c r="AE41" s="78"/>
      <c r="AF41" s="78"/>
      <c r="AG41" s="78"/>
      <c r="AH41" s="78"/>
      <c r="AI41" s="78"/>
      <c r="AJ41" s="78"/>
      <c r="AK41" s="78"/>
      <c r="AL41" s="78"/>
      <c r="AM41" s="78"/>
      <c r="AN41" s="78"/>
      <c r="AO41" s="78"/>
      <c r="AP41" s="78"/>
      <c r="AQ41" s="78"/>
      <c r="AR41" s="78"/>
      <c r="AS41" s="78"/>
      <c r="AT41" s="78"/>
      <c r="AU41" s="78"/>
      <c r="AV41" s="78"/>
      <c r="AW41" s="78"/>
      <c r="AX41" s="78"/>
      <c r="AY41" s="91"/>
      <c r="AZ41" s="78"/>
      <c r="BA41" s="78"/>
      <c r="BB41" s="78"/>
      <c r="BC41" s="78"/>
      <c r="BD41" s="78"/>
      <c r="BE41" s="78"/>
      <c r="BF41" s="78"/>
      <c r="BG41" s="78"/>
      <c r="BH41" s="78"/>
      <c r="BI41" s="78"/>
      <c r="BJ41" s="78"/>
      <c r="BK41" s="78"/>
      <c r="BL41" s="78"/>
      <c r="BM41" s="78"/>
      <c r="BN41" s="78"/>
      <c r="BO41" s="78"/>
      <c r="BP41" s="78"/>
      <c r="BQ41" s="78"/>
      <c r="BR41" s="78"/>
      <c r="BS41" s="78"/>
      <c r="BT41" s="78"/>
      <c r="BU41" s="78"/>
      <c r="BV41" s="78"/>
      <c r="BW41" s="78"/>
      <c r="BX41" s="78"/>
      <c r="BY41" s="78"/>
      <c r="BZ41" s="78"/>
      <c r="CA41" s="78"/>
      <c r="CB41" s="78"/>
      <c r="CC41" s="78"/>
      <c r="CD41" s="78"/>
      <c r="CE41" s="78"/>
      <c r="CF41" s="78"/>
      <c r="CG41" s="78"/>
      <c r="CH41" s="78"/>
      <c r="CI41" s="78"/>
      <c r="CJ41" s="78"/>
      <c r="CK41" s="78"/>
      <c r="CL41" s="78"/>
      <c r="CM41" s="78"/>
      <c r="CN41" s="78"/>
      <c r="CO41" s="78"/>
      <c r="CP41" s="78"/>
      <c r="CQ41" s="78"/>
      <c r="CR41" s="78"/>
      <c r="CS41" s="78"/>
      <c r="CT41" s="78"/>
      <c r="CU41" s="78"/>
      <c r="CV41" s="78"/>
      <c r="CW41" s="78"/>
      <c r="CX41" s="78"/>
      <c r="CY41" s="78"/>
      <c r="CZ41" s="78"/>
      <c r="DA41" s="78"/>
      <c r="DB41" s="78"/>
      <c r="DC41" s="78"/>
      <c r="DD41" s="78"/>
      <c r="DE41" s="78"/>
      <c r="DF41" s="78"/>
      <c r="DG41" s="78"/>
      <c r="DH41" s="78"/>
      <c r="DI41" s="78"/>
      <c r="DJ41" s="78"/>
      <c r="DK41" s="78"/>
      <c r="DL41" s="78"/>
      <c r="DM41" s="78"/>
      <c r="DN41" s="78"/>
      <c r="DO41" s="78"/>
      <c r="DP41" s="78"/>
      <c r="DQ41" s="78"/>
      <c r="DR41" s="78"/>
      <c r="DS41" s="78"/>
      <c r="DT41" s="78"/>
      <c r="DU41" s="78"/>
      <c r="DV41" s="78"/>
      <c r="DW41" s="78"/>
      <c r="DX41" s="78"/>
      <c r="DY41" s="78"/>
      <c r="DZ41" s="78"/>
      <c r="EA41" s="78"/>
      <c r="EB41" s="78"/>
      <c r="EC41" s="78"/>
      <c r="ED41" s="78"/>
      <c r="EE41" s="78"/>
      <c r="EF41" s="78"/>
      <c r="EG41" s="78"/>
      <c r="EH41" s="78"/>
      <c r="EI41" s="78"/>
      <c r="EJ41" s="78"/>
      <c r="EK41" s="78"/>
      <c r="EL41" s="78"/>
      <c r="EM41" s="78"/>
      <c r="EN41" s="91"/>
      <c r="EO41" s="91"/>
      <c r="EP41" s="91"/>
      <c r="EQ41" s="91"/>
      <c r="ER41" s="91"/>
      <c r="ES41" s="91"/>
    </row>
    <row r="42" spans="1:149" outlineLevel="1">
      <c r="A42" s="29" t="str">
        <f t="shared" si="14"/>
        <v>ENERGY_CERTIFICATE_EST_INPUTNOMBRE_TIPO_VIA</v>
      </c>
      <c r="B42" s="67"/>
      <c r="C42" s="68"/>
      <c r="D42" s="64" t="s">
        <v>40</v>
      </c>
      <c r="E42" s="66" t="s">
        <v>37</v>
      </c>
      <c r="F42" s="66" t="s">
        <v>1976</v>
      </c>
      <c r="G42" s="64" t="str">
        <f>INDEX(Auxiliar!$B$16:$B$24,MATCH(Plano_V3!H42,Auxiliar!$C$16:$C$24,0),1)</f>
        <v>1. Concluído</v>
      </c>
      <c r="H42" s="64">
        <f>VLOOKUP(A42,'Aux - pivots1'!$A:$B,2,0)</f>
        <v>1</v>
      </c>
      <c r="I42" s="180" t="e">
        <f>SUMIFS(Table1[Estimação (horas)],Table1[Tabela],Plano_V3!E42,Table1[Campo],Plano_V3!F42)</f>
        <v>#N/A</v>
      </c>
      <c r="J42" s="180" t="e">
        <f t="shared" si="15"/>
        <v>#N/A</v>
      </c>
      <c r="K42" s="180" t="e">
        <f>SUMIFS(Table1[Horas efetivas],Table1[Tabela],Plano_V3!E42,Table1[Campo],Plano_V3!F42)</f>
        <v>#N/A</v>
      </c>
      <c r="L42" s="180" t="e">
        <f t="shared" si="16"/>
        <v>#N/A</v>
      </c>
      <c r="M42" s="174"/>
      <c r="N42" s="174"/>
      <c r="O42" s="174"/>
      <c r="P42" s="89"/>
      <c r="Q42" s="90"/>
      <c r="R42" s="78"/>
      <c r="S42" s="78"/>
      <c r="T42" s="78"/>
      <c r="U42" s="78"/>
      <c r="V42" s="78"/>
      <c r="W42" s="78"/>
      <c r="X42" s="78"/>
      <c r="Y42" s="78"/>
      <c r="Z42" s="78"/>
      <c r="AA42" s="78"/>
      <c r="AB42" s="78"/>
      <c r="AC42" s="78"/>
      <c r="AD42" s="78"/>
      <c r="AE42" s="78"/>
      <c r="AF42" s="78"/>
      <c r="AG42" s="78"/>
      <c r="AH42" s="78"/>
      <c r="AI42" s="78"/>
      <c r="AJ42" s="78"/>
      <c r="AK42" s="78"/>
      <c r="AL42" s="78"/>
      <c r="AM42" s="78"/>
      <c r="AN42" s="78"/>
      <c r="AO42" s="78"/>
      <c r="AP42" s="78"/>
      <c r="AQ42" s="78"/>
      <c r="AR42" s="78"/>
      <c r="AS42" s="78"/>
      <c r="AT42" s="78"/>
      <c r="AU42" s="78"/>
      <c r="AV42" s="78"/>
      <c r="AW42" s="78"/>
      <c r="AX42" s="78"/>
      <c r="AY42" s="91"/>
      <c r="AZ42" s="78"/>
      <c r="BA42" s="78"/>
      <c r="BB42" s="78"/>
      <c r="BC42" s="78"/>
      <c r="BD42" s="78"/>
      <c r="BE42" s="78"/>
      <c r="BF42" s="78"/>
      <c r="BG42" s="78"/>
      <c r="BH42" s="78"/>
      <c r="BI42" s="78"/>
      <c r="BJ42" s="78"/>
      <c r="BK42" s="78"/>
      <c r="BL42" s="78"/>
      <c r="BM42" s="78"/>
      <c r="BN42" s="78"/>
      <c r="BO42" s="78"/>
      <c r="BP42" s="78"/>
      <c r="BQ42" s="78"/>
      <c r="BR42" s="78"/>
      <c r="BS42" s="78"/>
      <c r="BT42" s="78"/>
      <c r="BU42" s="78"/>
      <c r="BV42" s="78"/>
      <c r="BW42" s="78"/>
      <c r="BX42" s="78"/>
      <c r="BY42" s="78"/>
      <c r="BZ42" s="78"/>
      <c r="CA42" s="78"/>
      <c r="CB42" s="78"/>
      <c r="CC42" s="78"/>
      <c r="CD42" s="78"/>
      <c r="CE42" s="78"/>
      <c r="CF42" s="78"/>
      <c r="CG42" s="78"/>
      <c r="CH42" s="78"/>
      <c r="CI42" s="78"/>
      <c r="CJ42" s="78"/>
      <c r="CK42" s="78"/>
      <c r="CL42" s="78"/>
      <c r="CM42" s="78"/>
      <c r="CN42" s="78"/>
      <c r="CO42" s="78"/>
      <c r="CP42" s="78"/>
      <c r="CQ42" s="78"/>
      <c r="CR42" s="78"/>
      <c r="CS42" s="78"/>
      <c r="CT42" s="78"/>
      <c r="CU42" s="78"/>
      <c r="CV42" s="78"/>
      <c r="CW42" s="78"/>
      <c r="CX42" s="78"/>
      <c r="CY42" s="78"/>
      <c r="CZ42" s="78"/>
      <c r="DA42" s="78"/>
      <c r="DB42" s="78"/>
      <c r="DC42" s="78"/>
      <c r="DD42" s="78"/>
      <c r="DE42" s="78"/>
      <c r="DF42" s="78"/>
      <c r="DG42" s="78"/>
      <c r="DH42" s="78"/>
      <c r="DI42" s="78"/>
      <c r="DJ42" s="78"/>
      <c r="DK42" s="78"/>
      <c r="DL42" s="78"/>
      <c r="DM42" s="78"/>
      <c r="DN42" s="78"/>
      <c r="DO42" s="78"/>
      <c r="DP42" s="78"/>
      <c r="DQ42" s="78"/>
      <c r="DR42" s="78"/>
      <c r="DS42" s="78"/>
      <c r="DT42" s="78"/>
      <c r="DU42" s="78"/>
      <c r="DV42" s="78"/>
      <c r="DW42" s="78"/>
      <c r="DX42" s="78"/>
      <c r="DY42" s="78"/>
      <c r="DZ42" s="78"/>
      <c r="EA42" s="78"/>
      <c r="EB42" s="78"/>
      <c r="EC42" s="78"/>
      <c r="ED42" s="78"/>
      <c r="EE42" s="78"/>
      <c r="EF42" s="78"/>
      <c r="EG42" s="78"/>
      <c r="EH42" s="78"/>
      <c r="EI42" s="78"/>
      <c r="EJ42" s="78"/>
      <c r="EK42" s="78"/>
      <c r="EL42" s="78"/>
      <c r="EM42" s="78"/>
      <c r="EN42" s="91"/>
      <c r="EO42" s="91"/>
      <c r="EP42" s="91"/>
      <c r="EQ42" s="91"/>
      <c r="ER42" s="91"/>
      <c r="ES42" s="91"/>
    </row>
    <row r="43" spans="1:149" outlineLevel="1">
      <c r="A43" s="29" t="str">
        <f t="shared" si="14"/>
        <v>ENERGY_CERTIFICATE_EST_INPUTNOMBRE_VIA</v>
      </c>
      <c r="B43" s="67"/>
      <c r="C43" s="68"/>
      <c r="D43" s="64" t="s">
        <v>40</v>
      </c>
      <c r="E43" s="66" t="s">
        <v>37</v>
      </c>
      <c r="F43" s="66" t="s">
        <v>1977</v>
      </c>
      <c r="G43" s="64" t="str">
        <f>INDEX(Auxiliar!$B$16:$B$24,MATCH(Plano_V3!H43,Auxiliar!$C$16:$C$24,0),1)</f>
        <v>1. Concluído</v>
      </c>
      <c r="H43" s="64">
        <f>VLOOKUP(A43,'Aux - pivots1'!$A:$B,2,0)</f>
        <v>1</v>
      </c>
      <c r="I43" s="180" t="e">
        <f>SUMIFS(Table1[Estimação (horas)],Table1[Tabela],Plano_V3!E43,Table1[Campo],Plano_V3!F43)</f>
        <v>#N/A</v>
      </c>
      <c r="J43" s="180" t="e">
        <f t="shared" si="15"/>
        <v>#N/A</v>
      </c>
      <c r="K43" s="180" t="e">
        <f>SUMIFS(Table1[Horas efetivas],Table1[Tabela],Plano_V3!E43,Table1[Campo],Plano_V3!F43)</f>
        <v>#N/A</v>
      </c>
      <c r="L43" s="180" t="e">
        <f t="shared" si="16"/>
        <v>#N/A</v>
      </c>
      <c r="M43" s="174"/>
      <c r="N43" s="174"/>
      <c r="O43" s="174"/>
      <c r="P43" s="89"/>
      <c r="Q43" s="90"/>
      <c r="R43" s="78"/>
      <c r="S43" s="78"/>
      <c r="T43" s="78"/>
      <c r="U43" s="78"/>
      <c r="V43" s="78"/>
      <c r="W43" s="78"/>
      <c r="X43" s="78"/>
      <c r="Y43" s="78"/>
      <c r="Z43" s="78"/>
      <c r="AA43" s="78"/>
      <c r="AB43" s="78"/>
      <c r="AC43" s="78"/>
      <c r="AD43" s="78"/>
      <c r="AE43" s="78"/>
      <c r="AF43" s="78"/>
      <c r="AG43" s="78"/>
      <c r="AH43" s="78"/>
      <c r="AI43" s="78"/>
      <c r="AJ43" s="78"/>
      <c r="AK43" s="78"/>
      <c r="AL43" s="78"/>
      <c r="AM43" s="78"/>
      <c r="AN43" s="78"/>
      <c r="AO43" s="78"/>
      <c r="AP43" s="78"/>
      <c r="AQ43" s="78"/>
      <c r="AR43" s="78"/>
      <c r="AS43" s="78"/>
      <c r="AT43" s="78"/>
      <c r="AU43" s="78"/>
      <c r="AV43" s="78"/>
      <c r="AW43" s="78"/>
      <c r="AX43" s="78"/>
      <c r="AY43" s="91"/>
      <c r="AZ43" s="78"/>
      <c r="BA43" s="78"/>
      <c r="BB43" s="78"/>
      <c r="BC43" s="78"/>
      <c r="BD43" s="78"/>
      <c r="BE43" s="78"/>
      <c r="BF43" s="78"/>
      <c r="BG43" s="78"/>
      <c r="BH43" s="78"/>
      <c r="BI43" s="78"/>
      <c r="BJ43" s="78"/>
      <c r="BK43" s="78"/>
      <c r="BL43" s="78"/>
      <c r="BM43" s="78"/>
      <c r="BN43" s="78"/>
      <c r="BO43" s="78"/>
      <c r="BP43" s="78"/>
      <c r="BQ43" s="78"/>
      <c r="BR43" s="78"/>
      <c r="BS43" s="78"/>
      <c r="BT43" s="78"/>
      <c r="BU43" s="78"/>
      <c r="BV43" s="78"/>
      <c r="BW43" s="78"/>
      <c r="BX43" s="78"/>
      <c r="BY43" s="78"/>
      <c r="BZ43" s="78"/>
      <c r="CA43" s="78"/>
      <c r="CB43" s="78"/>
      <c r="CC43" s="78"/>
      <c r="CD43" s="78"/>
      <c r="CE43" s="78"/>
      <c r="CF43" s="78"/>
      <c r="CG43" s="78"/>
      <c r="CH43" s="78"/>
      <c r="CI43" s="78"/>
      <c r="CJ43" s="78"/>
      <c r="CK43" s="78"/>
      <c r="CL43" s="78"/>
      <c r="CM43" s="78"/>
      <c r="CN43" s="78"/>
      <c r="CO43" s="78"/>
      <c r="CP43" s="78"/>
      <c r="CQ43" s="78"/>
      <c r="CR43" s="78"/>
      <c r="CS43" s="78"/>
      <c r="CT43" s="78"/>
      <c r="CU43" s="78"/>
      <c r="CV43" s="78"/>
      <c r="CW43" s="78"/>
      <c r="CX43" s="78"/>
      <c r="CY43" s="78"/>
      <c r="CZ43" s="78"/>
      <c r="DA43" s="78"/>
      <c r="DB43" s="78"/>
      <c r="DC43" s="78"/>
      <c r="DD43" s="78"/>
      <c r="DE43" s="78"/>
      <c r="DF43" s="78"/>
      <c r="DG43" s="78"/>
      <c r="DH43" s="78"/>
      <c r="DI43" s="78"/>
      <c r="DJ43" s="78"/>
      <c r="DK43" s="78"/>
      <c r="DL43" s="78"/>
      <c r="DM43" s="78"/>
      <c r="DN43" s="78"/>
      <c r="DO43" s="78"/>
      <c r="DP43" s="78"/>
      <c r="DQ43" s="78"/>
      <c r="DR43" s="78"/>
      <c r="DS43" s="78"/>
      <c r="DT43" s="78"/>
      <c r="DU43" s="78"/>
      <c r="DV43" s="78"/>
      <c r="DW43" s="78"/>
      <c r="DX43" s="78"/>
      <c r="DY43" s="78"/>
      <c r="DZ43" s="78"/>
      <c r="EA43" s="78"/>
      <c r="EB43" s="78"/>
      <c r="EC43" s="78"/>
      <c r="ED43" s="78"/>
      <c r="EE43" s="78"/>
      <c r="EF43" s="78"/>
      <c r="EG43" s="78"/>
      <c r="EH43" s="78"/>
      <c r="EI43" s="78"/>
      <c r="EJ43" s="78"/>
      <c r="EK43" s="78"/>
      <c r="EL43" s="78"/>
      <c r="EM43" s="78"/>
      <c r="EN43" s="91"/>
      <c r="EO43" s="91"/>
      <c r="EP43" s="91"/>
      <c r="EQ43" s="91"/>
      <c r="ER43" s="91"/>
      <c r="ES43" s="91"/>
    </row>
    <row r="44" spans="1:149" outlineLevel="1">
      <c r="A44" s="29" t="str">
        <f t="shared" si="14"/>
        <v>ENERGY_CERTIFICATE_EST_INPUTNUMERO_VIA</v>
      </c>
      <c r="B44" s="67"/>
      <c r="C44" s="68"/>
      <c r="D44" s="64" t="s">
        <v>40</v>
      </c>
      <c r="E44" s="66" t="s">
        <v>37</v>
      </c>
      <c r="F44" s="66" t="s">
        <v>1978</v>
      </c>
      <c r="G44" s="64" t="str">
        <f>INDEX(Auxiliar!$B$16:$B$24,MATCH(Plano_V3!H44,Auxiliar!$C$16:$C$24,0),1)</f>
        <v>1. Concluído</v>
      </c>
      <c r="H44" s="64">
        <f>VLOOKUP(A44,'Aux - pivots1'!$A:$B,2,0)</f>
        <v>1</v>
      </c>
      <c r="I44" s="180" t="e">
        <f>SUMIFS(Table1[Estimação (horas)],Table1[Tabela],Plano_V3!E44,Table1[Campo],Plano_V3!F44)</f>
        <v>#N/A</v>
      </c>
      <c r="J44" s="180" t="e">
        <f t="shared" si="15"/>
        <v>#N/A</v>
      </c>
      <c r="K44" s="180" t="e">
        <f>SUMIFS(Table1[Horas efetivas],Table1[Tabela],Plano_V3!E44,Table1[Campo],Plano_V3!F44)</f>
        <v>#N/A</v>
      </c>
      <c r="L44" s="180" t="e">
        <f t="shared" si="16"/>
        <v>#N/A</v>
      </c>
      <c r="M44" s="174"/>
      <c r="N44" s="174"/>
      <c r="O44" s="174"/>
      <c r="P44" s="89"/>
      <c r="Q44" s="90"/>
      <c r="R44" s="78"/>
      <c r="S44" s="78"/>
      <c r="T44" s="78"/>
      <c r="U44" s="78"/>
      <c r="V44" s="78"/>
      <c r="W44" s="78"/>
      <c r="X44" s="78"/>
      <c r="Y44" s="78"/>
      <c r="Z44" s="78"/>
      <c r="AA44" s="78"/>
      <c r="AB44" s="78"/>
      <c r="AC44" s="78"/>
      <c r="AD44" s="78"/>
      <c r="AE44" s="78"/>
      <c r="AF44" s="78"/>
      <c r="AG44" s="78"/>
      <c r="AH44" s="78"/>
      <c r="AI44" s="78"/>
      <c r="AJ44" s="78"/>
      <c r="AK44" s="78"/>
      <c r="AL44" s="78"/>
      <c r="AM44" s="78"/>
      <c r="AN44" s="78"/>
      <c r="AO44" s="78"/>
      <c r="AP44" s="78"/>
      <c r="AQ44" s="78"/>
      <c r="AR44" s="78"/>
      <c r="AS44" s="78"/>
      <c r="AT44" s="78"/>
      <c r="AU44" s="78"/>
      <c r="AV44" s="78"/>
      <c r="AW44" s="78"/>
      <c r="AX44" s="78"/>
      <c r="AY44" s="91"/>
      <c r="AZ44" s="78"/>
      <c r="BA44" s="78"/>
      <c r="BB44" s="78"/>
      <c r="BC44" s="78"/>
      <c r="BD44" s="78"/>
      <c r="BE44" s="78"/>
      <c r="BF44" s="78"/>
      <c r="BG44" s="78"/>
      <c r="BH44" s="78"/>
      <c r="BI44" s="78"/>
      <c r="BJ44" s="78"/>
      <c r="BK44" s="78"/>
      <c r="BL44" s="78"/>
      <c r="BM44" s="78"/>
      <c r="BN44" s="78"/>
      <c r="BO44" s="78"/>
      <c r="BP44" s="78"/>
      <c r="BQ44" s="78"/>
      <c r="BR44" s="78"/>
      <c r="BS44" s="78"/>
      <c r="BT44" s="78"/>
      <c r="BU44" s="78"/>
      <c r="BV44" s="78"/>
      <c r="BW44" s="78"/>
      <c r="BX44" s="78"/>
      <c r="BY44" s="78"/>
      <c r="BZ44" s="78"/>
      <c r="CA44" s="78"/>
      <c r="CB44" s="78"/>
      <c r="CC44" s="78"/>
      <c r="CD44" s="78"/>
      <c r="CE44" s="78"/>
      <c r="CF44" s="78"/>
      <c r="CG44" s="78"/>
      <c r="CH44" s="78"/>
      <c r="CI44" s="78"/>
      <c r="CJ44" s="78"/>
      <c r="CK44" s="78"/>
      <c r="CL44" s="78"/>
      <c r="CM44" s="78"/>
      <c r="CN44" s="78"/>
      <c r="CO44" s="78"/>
      <c r="CP44" s="78"/>
      <c r="CQ44" s="78"/>
      <c r="CR44" s="78"/>
      <c r="CS44" s="78"/>
      <c r="CT44" s="78"/>
      <c r="CU44" s="78"/>
      <c r="CV44" s="78"/>
      <c r="CW44" s="78"/>
      <c r="CX44" s="78"/>
      <c r="CY44" s="78"/>
      <c r="CZ44" s="78"/>
      <c r="DA44" s="78"/>
      <c r="DB44" s="78"/>
      <c r="DC44" s="78"/>
      <c r="DD44" s="78"/>
      <c r="DE44" s="78"/>
      <c r="DF44" s="78"/>
      <c r="DG44" s="78"/>
      <c r="DH44" s="78"/>
      <c r="DI44" s="78"/>
      <c r="DJ44" s="78"/>
      <c r="DK44" s="78"/>
      <c r="DL44" s="78"/>
      <c r="DM44" s="78"/>
      <c r="DN44" s="78"/>
      <c r="DO44" s="78"/>
      <c r="DP44" s="78"/>
      <c r="DQ44" s="78"/>
      <c r="DR44" s="78"/>
      <c r="DS44" s="78"/>
      <c r="DT44" s="78"/>
      <c r="DU44" s="78"/>
      <c r="DV44" s="78"/>
      <c r="DW44" s="78"/>
      <c r="DX44" s="78"/>
      <c r="DY44" s="78"/>
      <c r="DZ44" s="78"/>
      <c r="EA44" s="78"/>
      <c r="EB44" s="78"/>
      <c r="EC44" s="78"/>
      <c r="ED44" s="78"/>
      <c r="EE44" s="78"/>
      <c r="EF44" s="78"/>
      <c r="EG44" s="78"/>
      <c r="EH44" s="78"/>
      <c r="EI44" s="78"/>
      <c r="EJ44" s="78"/>
      <c r="EK44" s="78"/>
      <c r="EL44" s="78"/>
      <c r="EM44" s="78"/>
      <c r="EN44" s="91"/>
      <c r="EO44" s="91"/>
      <c r="EP44" s="91"/>
      <c r="EQ44" s="91"/>
      <c r="ER44" s="91"/>
      <c r="ES44" s="91"/>
    </row>
    <row r="45" spans="1:149" outlineLevel="1">
      <c r="A45" s="29" t="str">
        <f t="shared" si="14"/>
        <v>ENERGY_CERTIFICATE_EST_INPUTLOTE</v>
      </c>
      <c r="B45" s="67"/>
      <c r="C45" s="68"/>
      <c r="D45" s="64" t="s">
        <v>40</v>
      </c>
      <c r="E45" s="66" t="s">
        <v>37</v>
      </c>
      <c r="F45" s="66" t="s">
        <v>1979</v>
      </c>
      <c r="G45" s="64" t="str">
        <f>INDEX(Auxiliar!$B$16:$B$24,MATCH(Plano_V3!H45,Auxiliar!$C$16:$C$24,0),1)</f>
        <v>1. Concluído</v>
      </c>
      <c r="H45" s="64">
        <f>VLOOKUP(A45,'Aux - pivots1'!$A:$B,2,0)</f>
        <v>1</v>
      </c>
      <c r="I45" s="180" t="e">
        <f>SUMIFS(Table1[Estimação (horas)],Table1[Tabela],Plano_V3!E45,Table1[Campo],Plano_V3!F45)</f>
        <v>#N/A</v>
      </c>
      <c r="J45" s="180" t="e">
        <f t="shared" si="15"/>
        <v>#N/A</v>
      </c>
      <c r="K45" s="180" t="e">
        <f>SUMIFS(Table1[Horas efetivas],Table1[Tabela],Plano_V3!E45,Table1[Campo],Plano_V3!F45)</f>
        <v>#N/A</v>
      </c>
      <c r="L45" s="180" t="e">
        <f t="shared" si="16"/>
        <v>#N/A</v>
      </c>
      <c r="M45" s="174"/>
      <c r="N45" s="174"/>
      <c r="O45" s="174"/>
      <c r="P45" s="89"/>
      <c r="Q45" s="90"/>
      <c r="R45" s="78"/>
      <c r="S45" s="78"/>
      <c r="T45" s="78"/>
      <c r="U45" s="78"/>
      <c r="V45" s="78"/>
      <c r="W45" s="78"/>
      <c r="X45" s="78"/>
      <c r="Y45" s="78"/>
      <c r="Z45" s="78"/>
      <c r="AA45" s="78"/>
      <c r="AB45" s="78"/>
      <c r="AC45" s="78"/>
      <c r="AD45" s="78"/>
      <c r="AE45" s="78"/>
      <c r="AF45" s="78"/>
      <c r="AG45" s="78"/>
      <c r="AH45" s="78"/>
      <c r="AI45" s="78"/>
      <c r="AJ45" s="78"/>
      <c r="AK45" s="78"/>
      <c r="AL45" s="78"/>
      <c r="AM45" s="78"/>
      <c r="AN45" s="78"/>
      <c r="AO45" s="78"/>
      <c r="AP45" s="78"/>
      <c r="AQ45" s="78"/>
      <c r="AR45" s="78"/>
      <c r="AS45" s="78"/>
      <c r="AT45" s="78"/>
      <c r="AU45" s="78"/>
      <c r="AV45" s="78"/>
      <c r="AW45" s="78"/>
      <c r="AX45" s="78"/>
      <c r="AY45" s="91"/>
      <c r="AZ45" s="78"/>
      <c r="BA45" s="78"/>
      <c r="BB45" s="78"/>
      <c r="BC45" s="78"/>
      <c r="BD45" s="78"/>
      <c r="BE45" s="78"/>
      <c r="BF45" s="78"/>
      <c r="BG45" s="78"/>
      <c r="BH45" s="78"/>
      <c r="BI45" s="78"/>
      <c r="BJ45" s="78"/>
      <c r="BK45" s="78"/>
      <c r="BL45" s="78"/>
      <c r="BM45" s="78"/>
      <c r="BN45" s="78"/>
      <c r="BO45" s="78"/>
      <c r="BP45" s="78"/>
      <c r="BQ45" s="78"/>
      <c r="BR45" s="78"/>
      <c r="BS45" s="78"/>
      <c r="BT45" s="78"/>
      <c r="BU45" s="78"/>
      <c r="BV45" s="78"/>
      <c r="BW45" s="78"/>
      <c r="BX45" s="78"/>
      <c r="BY45" s="78"/>
      <c r="BZ45" s="78"/>
      <c r="CA45" s="78"/>
      <c r="CB45" s="78"/>
      <c r="CC45" s="78"/>
      <c r="CD45" s="78"/>
      <c r="CE45" s="78"/>
      <c r="CF45" s="78"/>
      <c r="CG45" s="78"/>
      <c r="CH45" s="78"/>
      <c r="CI45" s="78"/>
      <c r="CJ45" s="78"/>
      <c r="CK45" s="78"/>
      <c r="CL45" s="78"/>
      <c r="CM45" s="78"/>
      <c r="CN45" s="78"/>
      <c r="CO45" s="78"/>
      <c r="CP45" s="78"/>
      <c r="CQ45" s="78"/>
      <c r="CR45" s="78"/>
      <c r="CS45" s="78"/>
      <c r="CT45" s="78"/>
      <c r="CU45" s="78"/>
      <c r="CV45" s="78"/>
      <c r="CW45" s="78"/>
      <c r="CX45" s="78"/>
      <c r="CY45" s="78"/>
      <c r="CZ45" s="78"/>
      <c r="DA45" s="78"/>
      <c r="DB45" s="78"/>
      <c r="DC45" s="78"/>
      <c r="DD45" s="78"/>
      <c r="DE45" s="78"/>
      <c r="DF45" s="78"/>
      <c r="DG45" s="78"/>
      <c r="DH45" s="78"/>
      <c r="DI45" s="78"/>
      <c r="DJ45" s="78"/>
      <c r="DK45" s="78"/>
      <c r="DL45" s="78"/>
      <c r="DM45" s="78"/>
      <c r="DN45" s="78"/>
      <c r="DO45" s="78"/>
      <c r="DP45" s="78"/>
      <c r="DQ45" s="78"/>
      <c r="DR45" s="78"/>
      <c r="DS45" s="78"/>
      <c r="DT45" s="78"/>
      <c r="DU45" s="78"/>
      <c r="DV45" s="78"/>
      <c r="DW45" s="78"/>
      <c r="DX45" s="78"/>
      <c r="DY45" s="78"/>
      <c r="DZ45" s="78"/>
      <c r="EA45" s="78"/>
      <c r="EB45" s="78"/>
      <c r="EC45" s="78"/>
      <c r="ED45" s="78"/>
      <c r="EE45" s="78"/>
      <c r="EF45" s="78"/>
      <c r="EG45" s="78"/>
      <c r="EH45" s="78"/>
      <c r="EI45" s="78"/>
      <c r="EJ45" s="78"/>
      <c r="EK45" s="78"/>
      <c r="EL45" s="78"/>
      <c r="EM45" s="78"/>
      <c r="EN45" s="91"/>
      <c r="EO45" s="91"/>
      <c r="EP45" s="91"/>
      <c r="EQ45" s="91"/>
      <c r="ER45" s="91"/>
      <c r="ES45" s="91"/>
    </row>
    <row r="46" spans="1:149" outlineLevel="1">
      <c r="A46" s="29" t="str">
        <f t="shared" si="14"/>
        <v>ENERGY_CERTIFICATE_EST_INPUTURBANIZACION</v>
      </c>
      <c r="B46" s="67"/>
      <c r="C46" s="68"/>
      <c r="D46" s="64" t="s">
        <v>40</v>
      </c>
      <c r="E46" s="66" t="s">
        <v>37</v>
      </c>
      <c r="F46" s="66" t="s">
        <v>1980</v>
      </c>
      <c r="G46" s="64" t="str">
        <f>INDEX(Auxiliar!$B$16:$B$24,MATCH(Plano_V3!H46,Auxiliar!$C$16:$C$24,0),1)</f>
        <v>1. Concluído</v>
      </c>
      <c r="H46" s="64">
        <f>VLOOKUP(A46,'Aux - pivots1'!$A:$B,2,0)</f>
        <v>1</v>
      </c>
      <c r="I46" s="180" t="e">
        <f>SUMIFS(Table1[Estimação (horas)],Table1[Tabela],Plano_V3!E46,Table1[Campo],Plano_V3!F46)</f>
        <v>#N/A</v>
      </c>
      <c r="J46" s="180" t="e">
        <f t="shared" si="15"/>
        <v>#N/A</v>
      </c>
      <c r="K46" s="180" t="e">
        <f>SUMIFS(Table1[Horas efetivas],Table1[Tabela],Plano_V3!E46,Table1[Campo],Plano_V3!F46)</f>
        <v>#N/A</v>
      </c>
      <c r="L46" s="180" t="e">
        <f t="shared" si="16"/>
        <v>#N/A</v>
      </c>
      <c r="M46" s="174"/>
      <c r="N46" s="174"/>
      <c r="O46" s="174"/>
      <c r="P46" s="89"/>
      <c r="Q46" s="90"/>
      <c r="R46" s="78"/>
      <c r="S46" s="78"/>
      <c r="T46" s="78"/>
      <c r="U46" s="78"/>
      <c r="V46" s="78"/>
      <c r="W46" s="78"/>
      <c r="X46" s="78"/>
      <c r="Y46" s="78"/>
      <c r="Z46" s="78"/>
      <c r="AA46" s="78"/>
      <c r="AB46" s="78"/>
      <c r="AC46" s="78"/>
      <c r="AD46" s="78"/>
      <c r="AE46" s="78"/>
      <c r="AF46" s="78"/>
      <c r="AG46" s="78"/>
      <c r="AH46" s="78"/>
      <c r="AI46" s="78"/>
      <c r="AJ46" s="78"/>
      <c r="AK46" s="78"/>
      <c r="AL46" s="78"/>
      <c r="AM46" s="78"/>
      <c r="AN46" s="78"/>
      <c r="AO46" s="78"/>
      <c r="AP46" s="78"/>
      <c r="AQ46" s="78"/>
      <c r="AR46" s="78"/>
      <c r="AS46" s="78"/>
      <c r="AT46" s="78"/>
      <c r="AU46" s="78"/>
      <c r="AV46" s="78"/>
      <c r="AW46" s="78"/>
      <c r="AX46" s="78"/>
      <c r="AY46" s="91"/>
      <c r="AZ46" s="78"/>
      <c r="BA46" s="78"/>
      <c r="BB46" s="78"/>
      <c r="BC46" s="78"/>
      <c r="BD46" s="78"/>
      <c r="BE46" s="78"/>
      <c r="BF46" s="78"/>
      <c r="BG46" s="78"/>
      <c r="BH46" s="78"/>
      <c r="BI46" s="78"/>
      <c r="BJ46" s="78"/>
      <c r="BK46" s="78"/>
      <c r="BL46" s="78"/>
      <c r="BM46" s="78"/>
      <c r="BN46" s="78"/>
      <c r="BO46" s="78"/>
      <c r="BP46" s="78"/>
      <c r="BQ46" s="78"/>
      <c r="BR46" s="78"/>
      <c r="BS46" s="78"/>
      <c r="BT46" s="78"/>
      <c r="BU46" s="78"/>
      <c r="BV46" s="78"/>
      <c r="BW46" s="78"/>
      <c r="BX46" s="78"/>
      <c r="BY46" s="78"/>
      <c r="BZ46" s="78"/>
      <c r="CA46" s="78"/>
      <c r="CB46" s="78"/>
      <c r="CC46" s="78"/>
      <c r="CD46" s="78"/>
      <c r="CE46" s="78"/>
      <c r="CF46" s="78"/>
      <c r="CG46" s="78"/>
      <c r="CH46" s="78"/>
      <c r="CI46" s="78"/>
      <c r="CJ46" s="78"/>
      <c r="CK46" s="78"/>
      <c r="CL46" s="78"/>
      <c r="CM46" s="78"/>
      <c r="CN46" s="78"/>
      <c r="CO46" s="78"/>
      <c r="CP46" s="78"/>
      <c r="CQ46" s="78"/>
      <c r="CR46" s="78"/>
      <c r="CS46" s="78"/>
      <c r="CT46" s="78"/>
      <c r="CU46" s="78"/>
      <c r="CV46" s="78"/>
      <c r="CW46" s="78"/>
      <c r="CX46" s="78"/>
      <c r="CY46" s="78"/>
      <c r="CZ46" s="78"/>
      <c r="DA46" s="78"/>
      <c r="DB46" s="78"/>
      <c r="DC46" s="78"/>
      <c r="DD46" s="78"/>
      <c r="DE46" s="78"/>
      <c r="DF46" s="78"/>
      <c r="DG46" s="78"/>
      <c r="DH46" s="78"/>
      <c r="DI46" s="78"/>
      <c r="DJ46" s="78"/>
      <c r="DK46" s="78"/>
      <c r="DL46" s="78"/>
      <c r="DM46" s="78"/>
      <c r="DN46" s="78"/>
      <c r="DO46" s="78"/>
      <c r="DP46" s="78"/>
      <c r="DQ46" s="78"/>
      <c r="DR46" s="78"/>
      <c r="DS46" s="78"/>
      <c r="DT46" s="78"/>
      <c r="DU46" s="78"/>
      <c r="DV46" s="78"/>
      <c r="DW46" s="78"/>
      <c r="DX46" s="78"/>
      <c r="DY46" s="78"/>
      <c r="DZ46" s="78"/>
      <c r="EA46" s="78"/>
      <c r="EB46" s="78"/>
      <c r="EC46" s="78"/>
      <c r="ED46" s="78"/>
      <c r="EE46" s="78"/>
      <c r="EF46" s="78"/>
      <c r="EG46" s="78"/>
      <c r="EH46" s="78"/>
      <c r="EI46" s="78"/>
      <c r="EJ46" s="78"/>
      <c r="EK46" s="78"/>
      <c r="EL46" s="78"/>
      <c r="EM46" s="78"/>
      <c r="EN46" s="91"/>
      <c r="EO46" s="91"/>
      <c r="EP46" s="91"/>
      <c r="EQ46" s="91"/>
      <c r="ER46" s="91"/>
      <c r="ES46" s="91"/>
    </row>
    <row r="47" spans="1:149" outlineLevel="1">
      <c r="A47" s="29" t="str">
        <f t="shared" si="14"/>
        <v>ENERGY_CERTIFICATE_EST_INPUTCAGLURB</v>
      </c>
      <c r="B47" s="67"/>
      <c r="C47" s="68"/>
      <c r="D47" s="64" t="s">
        <v>40</v>
      </c>
      <c r="E47" s="66" t="s">
        <v>37</v>
      </c>
      <c r="F47" s="66" t="s">
        <v>1981</v>
      </c>
      <c r="G47" s="64" t="str">
        <f>INDEX(Auxiliar!$B$16:$B$24,MATCH(Plano_V3!H47,Auxiliar!$C$16:$C$24,0),1)</f>
        <v>1. Concluído</v>
      </c>
      <c r="H47" s="64">
        <f>VLOOKUP(A47,'Aux - pivots1'!$A:$B,2,0)</f>
        <v>1</v>
      </c>
      <c r="I47" s="180" t="e">
        <f>SUMIFS(Table1[Estimação (horas)],Table1[Tabela],Plano_V3!E47,Table1[Campo],Plano_V3!F47)</f>
        <v>#N/A</v>
      </c>
      <c r="J47" s="180" t="e">
        <f t="shared" si="15"/>
        <v>#N/A</v>
      </c>
      <c r="K47" s="180" t="e">
        <f>SUMIFS(Table1[Horas efetivas],Table1[Tabela],Plano_V3!E47,Table1[Campo],Plano_V3!F47)</f>
        <v>#N/A</v>
      </c>
      <c r="L47" s="180" t="e">
        <f t="shared" si="16"/>
        <v>#N/A</v>
      </c>
      <c r="M47" s="174"/>
      <c r="N47" s="174"/>
      <c r="O47" s="174"/>
      <c r="P47" s="89"/>
      <c r="Q47" s="90"/>
      <c r="R47" s="78"/>
      <c r="S47" s="78"/>
      <c r="T47" s="78"/>
      <c r="U47" s="78"/>
      <c r="V47" s="78"/>
      <c r="W47" s="78"/>
      <c r="X47" s="78"/>
      <c r="Y47" s="78"/>
      <c r="Z47" s="78"/>
      <c r="AA47" s="78"/>
      <c r="AB47" s="78"/>
      <c r="AC47" s="78"/>
      <c r="AD47" s="78"/>
      <c r="AE47" s="78"/>
      <c r="AF47" s="78"/>
      <c r="AG47" s="78"/>
      <c r="AH47" s="78"/>
      <c r="AI47" s="78"/>
      <c r="AJ47" s="78"/>
      <c r="AK47" s="78"/>
      <c r="AL47" s="78"/>
      <c r="AM47" s="78"/>
      <c r="AN47" s="78"/>
      <c r="AO47" s="78"/>
      <c r="AP47" s="78"/>
      <c r="AQ47" s="78"/>
      <c r="AR47" s="78"/>
      <c r="AS47" s="78"/>
      <c r="AT47" s="78"/>
      <c r="AU47" s="78"/>
      <c r="AV47" s="78"/>
      <c r="AW47" s="78"/>
      <c r="AX47" s="78"/>
      <c r="AY47" s="91"/>
      <c r="AZ47" s="78"/>
      <c r="BA47" s="78"/>
      <c r="BB47" s="78"/>
      <c r="BC47" s="78"/>
      <c r="BD47" s="78"/>
      <c r="BE47" s="78"/>
      <c r="BF47" s="78"/>
      <c r="BG47" s="78"/>
      <c r="BH47" s="78"/>
      <c r="BI47" s="78"/>
      <c r="BJ47" s="78"/>
      <c r="BK47" s="78"/>
      <c r="BL47" s="78"/>
      <c r="BM47" s="78"/>
      <c r="BN47" s="78"/>
      <c r="BO47" s="78"/>
      <c r="BP47" s="78"/>
      <c r="BQ47" s="78"/>
      <c r="BR47" s="78"/>
      <c r="BS47" s="78"/>
      <c r="BT47" s="78"/>
      <c r="BU47" s="78"/>
      <c r="BV47" s="78"/>
      <c r="BW47" s="78"/>
      <c r="BX47" s="78"/>
      <c r="BY47" s="78"/>
      <c r="BZ47" s="78"/>
      <c r="CA47" s="78"/>
      <c r="CB47" s="78"/>
      <c r="CC47" s="78"/>
      <c r="CD47" s="78"/>
      <c r="CE47" s="78"/>
      <c r="CF47" s="78"/>
      <c r="CG47" s="78"/>
      <c r="CH47" s="78"/>
      <c r="CI47" s="78"/>
      <c r="CJ47" s="78"/>
      <c r="CK47" s="78"/>
      <c r="CL47" s="78"/>
      <c r="CM47" s="78"/>
      <c r="CN47" s="78"/>
      <c r="CO47" s="78"/>
      <c r="CP47" s="78"/>
      <c r="CQ47" s="78"/>
      <c r="CR47" s="78"/>
      <c r="CS47" s="78"/>
      <c r="CT47" s="78"/>
      <c r="CU47" s="78"/>
      <c r="CV47" s="78"/>
      <c r="CW47" s="78"/>
      <c r="CX47" s="78"/>
      <c r="CY47" s="78"/>
      <c r="CZ47" s="78"/>
      <c r="DA47" s="78"/>
      <c r="DB47" s="78"/>
      <c r="DC47" s="78"/>
      <c r="DD47" s="78"/>
      <c r="DE47" s="78"/>
      <c r="DF47" s="78"/>
      <c r="DG47" s="78"/>
      <c r="DH47" s="78"/>
      <c r="DI47" s="78"/>
      <c r="DJ47" s="78"/>
      <c r="DK47" s="78"/>
      <c r="DL47" s="78"/>
      <c r="DM47" s="78"/>
      <c r="DN47" s="78"/>
      <c r="DO47" s="78"/>
      <c r="DP47" s="78"/>
      <c r="DQ47" s="78"/>
      <c r="DR47" s="78"/>
      <c r="DS47" s="78"/>
      <c r="DT47" s="78"/>
      <c r="DU47" s="78"/>
      <c r="DV47" s="78"/>
      <c r="DW47" s="78"/>
      <c r="DX47" s="78"/>
      <c r="DY47" s="78"/>
      <c r="DZ47" s="78"/>
      <c r="EA47" s="78"/>
      <c r="EB47" s="78"/>
      <c r="EC47" s="78"/>
      <c r="ED47" s="78"/>
      <c r="EE47" s="78"/>
      <c r="EF47" s="78"/>
      <c r="EG47" s="78"/>
      <c r="EH47" s="78"/>
      <c r="EI47" s="78"/>
      <c r="EJ47" s="78"/>
      <c r="EK47" s="78"/>
      <c r="EL47" s="78"/>
      <c r="EM47" s="78"/>
      <c r="EN47" s="91"/>
      <c r="EO47" s="91"/>
      <c r="EP47" s="91"/>
      <c r="EQ47" s="91"/>
      <c r="ER47" s="91"/>
      <c r="ES47" s="91"/>
    </row>
    <row r="48" spans="1:149" outlineLevel="1">
      <c r="A48" s="29" t="str">
        <f t="shared" si="14"/>
        <v>ENERGY_CERTIFICATE_EST_INPUTRESTO_DIRECCION</v>
      </c>
      <c r="B48" s="67"/>
      <c r="C48" s="68"/>
      <c r="D48" s="64" t="s">
        <v>40</v>
      </c>
      <c r="E48" s="66" t="s">
        <v>37</v>
      </c>
      <c r="F48" s="66" t="s">
        <v>1982</v>
      </c>
      <c r="G48" s="64" t="str">
        <f>INDEX(Auxiliar!$B$16:$B$24,MATCH(Plano_V3!H48,Auxiliar!$C$16:$C$24,0),1)</f>
        <v>1. Concluído</v>
      </c>
      <c r="H48" s="64">
        <f>VLOOKUP(A48,'Aux - pivots1'!$A:$B,2,0)</f>
        <v>1</v>
      </c>
      <c r="I48" s="180" t="e">
        <f>SUMIFS(Table1[Estimação (horas)],Table1[Tabela],Plano_V3!E48,Table1[Campo],Plano_V3!F48)</f>
        <v>#N/A</v>
      </c>
      <c r="J48" s="180" t="e">
        <f t="shared" si="15"/>
        <v>#N/A</v>
      </c>
      <c r="K48" s="180" t="e">
        <f>SUMIFS(Table1[Horas efetivas],Table1[Tabela],Plano_V3!E48,Table1[Campo],Plano_V3!F48)</f>
        <v>#N/A</v>
      </c>
      <c r="L48" s="180" t="e">
        <f t="shared" si="16"/>
        <v>#N/A</v>
      </c>
      <c r="M48" s="174"/>
      <c r="N48" s="174"/>
      <c r="O48" s="174"/>
      <c r="P48" s="89"/>
      <c r="Q48" s="90"/>
      <c r="R48" s="78"/>
      <c r="S48" s="78"/>
      <c r="T48" s="78"/>
      <c r="U48" s="78"/>
      <c r="V48" s="78"/>
      <c r="W48" s="78"/>
      <c r="X48" s="78"/>
      <c r="Y48" s="78"/>
      <c r="Z48" s="78"/>
      <c r="AA48" s="78"/>
      <c r="AB48" s="78"/>
      <c r="AC48" s="78"/>
      <c r="AD48" s="78"/>
      <c r="AE48" s="78"/>
      <c r="AF48" s="78"/>
      <c r="AG48" s="78"/>
      <c r="AH48" s="78"/>
      <c r="AI48" s="78"/>
      <c r="AJ48" s="78"/>
      <c r="AK48" s="78"/>
      <c r="AL48" s="78"/>
      <c r="AM48" s="78"/>
      <c r="AN48" s="78"/>
      <c r="AO48" s="78"/>
      <c r="AP48" s="78"/>
      <c r="AQ48" s="78"/>
      <c r="AR48" s="78"/>
      <c r="AS48" s="78"/>
      <c r="AT48" s="78"/>
      <c r="AU48" s="78"/>
      <c r="AV48" s="78"/>
      <c r="AW48" s="78"/>
      <c r="AX48" s="78"/>
      <c r="AY48" s="91"/>
      <c r="AZ48" s="78"/>
      <c r="BA48" s="78"/>
      <c r="BB48" s="78"/>
      <c r="BC48" s="78"/>
      <c r="BD48" s="78"/>
      <c r="BE48" s="78"/>
      <c r="BF48" s="78"/>
      <c r="BG48" s="78"/>
      <c r="BH48" s="78"/>
      <c r="BI48" s="78"/>
      <c r="BJ48" s="78"/>
      <c r="BK48" s="78"/>
      <c r="BL48" s="78"/>
      <c r="BM48" s="78"/>
      <c r="BN48" s="78"/>
      <c r="BO48" s="78"/>
      <c r="BP48" s="78"/>
      <c r="BQ48" s="78"/>
      <c r="BR48" s="78"/>
      <c r="BS48" s="78"/>
      <c r="BT48" s="78"/>
      <c r="BU48" s="78"/>
      <c r="BV48" s="78"/>
      <c r="BW48" s="78"/>
      <c r="BX48" s="78"/>
      <c r="BY48" s="78"/>
      <c r="BZ48" s="78"/>
      <c r="CA48" s="78"/>
      <c r="CB48" s="78"/>
      <c r="CC48" s="78"/>
      <c r="CD48" s="78"/>
      <c r="CE48" s="78"/>
      <c r="CF48" s="78"/>
      <c r="CG48" s="78"/>
      <c r="CH48" s="78"/>
      <c r="CI48" s="78"/>
      <c r="CJ48" s="78"/>
      <c r="CK48" s="78"/>
      <c r="CL48" s="78"/>
      <c r="CM48" s="78"/>
      <c r="CN48" s="78"/>
      <c r="CO48" s="78"/>
      <c r="CP48" s="78"/>
      <c r="CQ48" s="78"/>
      <c r="CR48" s="78"/>
      <c r="CS48" s="78"/>
      <c r="CT48" s="78"/>
      <c r="CU48" s="78"/>
      <c r="CV48" s="78"/>
      <c r="CW48" s="78"/>
      <c r="CX48" s="78"/>
      <c r="CY48" s="78"/>
      <c r="CZ48" s="78"/>
      <c r="DA48" s="78"/>
      <c r="DB48" s="78"/>
      <c r="DC48" s="78"/>
      <c r="DD48" s="78"/>
      <c r="DE48" s="78"/>
      <c r="DF48" s="78"/>
      <c r="DG48" s="78"/>
      <c r="DH48" s="78"/>
      <c r="DI48" s="78"/>
      <c r="DJ48" s="78"/>
      <c r="DK48" s="78"/>
      <c r="DL48" s="78"/>
      <c r="DM48" s="78"/>
      <c r="DN48" s="78"/>
      <c r="DO48" s="78"/>
      <c r="DP48" s="78"/>
      <c r="DQ48" s="78"/>
      <c r="DR48" s="78"/>
      <c r="DS48" s="78"/>
      <c r="DT48" s="78"/>
      <c r="DU48" s="78"/>
      <c r="DV48" s="78"/>
      <c r="DW48" s="78"/>
      <c r="DX48" s="78"/>
      <c r="DY48" s="78"/>
      <c r="DZ48" s="78"/>
      <c r="EA48" s="78"/>
      <c r="EB48" s="78"/>
      <c r="EC48" s="78"/>
      <c r="ED48" s="78"/>
      <c r="EE48" s="78"/>
      <c r="EF48" s="78"/>
      <c r="EG48" s="78"/>
      <c r="EH48" s="78"/>
      <c r="EI48" s="78"/>
      <c r="EJ48" s="78"/>
      <c r="EK48" s="78"/>
      <c r="EL48" s="78"/>
      <c r="EM48" s="78"/>
      <c r="EN48" s="91"/>
      <c r="EO48" s="91"/>
      <c r="EP48" s="91"/>
      <c r="EQ48" s="91"/>
      <c r="ER48" s="91"/>
      <c r="ES48" s="91"/>
    </row>
    <row r="49" spans="1:149" outlineLevel="1">
      <c r="A49" s="29" t="str">
        <f t="shared" si="14"/>
        <v>ENERGY_CERTIFICATE_EST_INPUTLATITUDE</v>
      </c>
      <c r="B49" s="67"/>
      <c r="C49" s="68"/>
      <c r="D49" s="64" t="s">
        <v>40</v>
      </c>
      <c r="E49" s="66" t="s">
        <v>37</v>
      </c>
      <c r="F49" s="66" t="s">
        <v>1983</v>
      </c>
      <c r="G49" s="64" t="str">
        <f>INDEX(Auxiliar!$B$16:$B$24,MATCH(Plano_V3!H49,Auxiliar!$C$16:$C$24,0),1)</f>
        <v>1. Concluído</v>
      </c>
      <c r="H49" s="64">
        <f>VLOOKUP(A49,'Aux - pivots1'!$A:$B,2,0)</f>
        <v>1</v>
      </c>
      <c r="I49" s="180" t="e">
        <f>SUMIFS(Table1[Estimação (horas)],Table1[Tabela],Plano_V3!E49,Table1[Campo],Plano_V3!F49)</f>
        <v>#N/A</v>
      </c>
      <c r="J49" s="180" t="e">
        <f t="shared" si="15"/>
        <v>#N/A</v>
      </c>
      <c r="K49" s="180" t="e">
        <f>SUMIFS(Table1[Horas efetivas],Table1[Tabela],Plano_V3!E49,Table1[Campo],Plano_V3!F49)</f>
        <v>#N/A</v>
      </c>
      <c r="L49" s="180" t="e">
        <f t="shared" si="16"/>
        <v>#N/A</v>
      </c>
      <c r="M49" s="174"/>
      <c r="N49" s="174"/>
      <c r="O49" s="174"/>
      <c r="P49" s="89"/>
      <c r="Q49" s="90"/>
      <c r="R49" s="78"/>
      <c r="S49" s="78"/>
      <c r="T49" s="78"/>
      <c r="U49" s="78"/>
      <c r="V49" s="78"/>
      <c r="W49" s="78"/>
      <c r="X49" s="78"/>
      <c r="Y49" s="78"/>
      <c r="Z49" s="78"/>
      <c r="AA49" s="78"/>
      <c r="AB49" s="78"/>
      <c r="AC49" s="78"/>
      <c r="AD49" s="78"/>
      <c r="AE49" s="78"/>
      <c r="AF49" s="78"/>
      <c r="AG49" s="78"/>
      <c r="AH49" s="78"/>
      <c r="AI49" s="78"/>
      <c r="AJ49" s="78"/>
      <c r="AK49" s="78"/>
      <c r="AL49" s="78"/>
      <c r="AM49" s="78"/>
      <c r="AN49" s="78"/>
      <c r="AO49" s="78"/>
      <c r="AP49" s="78"/>
      <c r="AQ49" s="78"/>
      <c r="AR49" s="78"/>
      <c r="AS49" s="78"/>
      <c r="AT49" s="78"/>
      <c r="AU49" s="78"/>
      <c r="AV49" s="78"/>
      <c r="AW49" s="78"/>
      <c r="AX49" s="78"/>
      <c r="AY49" s="91"/>
      <c r="AZ49" s="78"/>
      <c r="BA49" s="78"/>
      <c r="BB49" s="78"/>
      <c r="BC49" s="78"/>
      <c r="BD49" s="78"/>
      <c r="BE49" s="78"/>
      <c r="BF49" s="78"/>
      <c r="BG49" s="78"/>
      <c r="BH49" s="78"/>
      <c r="BI49" s="78"/>
      <c r="BJ49" s="78"/>
      <c r="BK49" s="78"/>
      <c r="BL49" s="78"/>
      <c r="BM49" s="78"/>
      <c r="BN49" s="78"/>
      <c r="BO49" s="78"/>
      <c r="BP49" s="78"/>
      <c r="BQ49" s="78"/>
      <c r="BR49" s="78"/>
      <c r="BS49" s="78"/>
      <c r="BT49" s="78"/>
      <c r="BU49" s="78"/>
      <c r="BV49" s="78"/>
      <c r="BW49" s="78"/>
      <c r="BX49" s="78"/>
      <c r="BY49" s="78"/>
      <c r="BZ49" s="78"/>
      <c r="CA49" s="78"/>
      <c r="CB49" s="78"/>
      <c r="CC49" s="78"/>
      <c r="CD49" s="78"/>
      <c r="CE49" s="78"/>
      <c r="CF49" s="78"/>
      <c r="CG49" s="78"/>
      <c r="CH49" s="78"/>
      <c r="CI49" s="78"/>
      <c r="CJ49" s="78"/>
      <c r="CK49" s="78"/>
      <c r="CL49" s="78"/>
      <c r="CM49" s="78"/>
      <c r="CN49" s="78"/>
      <c r="CO49" s="78"/>
      <c r="CP49" s="78"/>
      <c r="CQ49" s="78"/>
      <c r="CR49" s="78"/>
      <c r="CS49" s="78"/>
      <c r="CT49" s="78"/>
      <c r="CU49" s="78"/>
      <c r="CV49" s="78"/>
      <c r="CW49" s="78"/>
      <c r="CX49" s="78"/>
      <c r="CY49" s="78"/>
      <c r="CZ49" s="78"/>
      <c r="DA49" s="78"/>
      <c r="DB49" s="78"/>
      <c r="DC49" s="78"/>
      <c r="DD49" s="78"/>
      <c r="DE49" s="78"/>
      <c r="DF49" s="78"/>
      <c r="DG49" s="78"/>
      <c r="DH49" s="78"/>
      <c r="DI49" s="78"/>
      <c r="DJ49" s="78"/>
      <c r="DK49" s="78"/>
      <c r="DL49" s="78"/>
      <c r="DM49" s="78"/>
      <c r="DN49" s="78"/>
      <c r="DO49" s="78"/>
      <c r="DP49" s="78"/>
      <c r="DQ49" s="78"/>
      <c r="DR49" s="78"/>
      <c r="DS49" s="78"/>
      <c r="DT49" s="78"/>
      <c r="DU49" s="78"/>
      <c r="DV49" s="78"/>
      <c r="DW49" s="78"/>
      <c r="DX49" s="78"/>
      <c r="DY49" s="78"/>
      <c r="DZ49" s="78"/>
      <c r="EA49" s="78"/>
      <c r="EB49" s="78"/>
      <c r="EC49" s="78"/>
      <c r="ED49" s="78"/>
      <c r="EE49" s="78"/>
      <c r="EF49" s="78"/>
      <c r="EG49" s="78"/>
      <c r="EH49" s="78"/>
      <c r="EI49" s="78"/>
      <c r="EJ49" s="78"/>
      <c r="EK49" s="78"/>
      <c r="EL49" s="78"/>
      <c r="EM49" s="78"/>
      <c r="EN49" s="91"/>
      <c r="EO49" s="91"/>
      <c r="EP49" s="91"/>
      <c r="EQ49" s="91"/>
      <c r="ER49" s="91"/>
      <c r="ES49" s="91"/>
    </row>
    <row r="50" spans="1:149" outlineLevel="1">
      <c r="A50" s="29" t="str">
        <f t="shared" si="14"/>
        <v>ENERGY_CERTIFICATE_EST_INPUTLONGITUDE</v>
      </c>
      <c r="B50" s="67"/>
      <c r="C50" s="68"/>
      <c r="D50" s="64" t="s">
        <v>40</v>
      </c>
      <c r="E50" s="66" t="s">
        <v>37</v>
      </c>
      <c r="F50" s="66" t="s">
        <v>1984</v>
      </c>
      <c r="G50" s="64" t="str">
        <f>INDEX(Auxiliar!$B$16:$B$24,MATCH(Plano_V3!H50,Auxiliar!$C$16:$C$24,0),1)</f>
        <v>1. Concluído</v>
      </c>
      <c r="H50" s="64">
        <f>VLOOKUP(A50,'Aux - pivots1'!$A:$B,2,0)</f>
        <v>1</v>
      </c>
      <c r="I50" s="180" t="e">
        <f>SUMIFS(Table1[Estimação (horas)],Table1[Tabela],Plano_V3!E50,Table1[Campo],Plano_V3!F50)</f>
        <v>#N/A</v>
      </c>
      <c r="J50" s="180" t="e">
        <f t="shared" si="15"/>
        <v>#N/A</v>
      </c>
      <c r="K50" s="180" t="e">
        <f>SUMIFS(Table1[Horas efetivas],Table1[Tabela],Plano_V3!E50,Table1[Campo],Plano_V3!F50)</f>
        <v>#N/A</v>
      </c>
      <c r="L50" s="180" t="e">
        <f t="shared" si="16"/>
        <v>#N/A</v>
      </c>
      <c r="M50" s="174"/>
      <c r="N50" s="174"/>
      <c r="O50" s="174"/>
      <c r="P50" s="89"/>
      <c r="Q50" s="90"/>
      <c r="R50" s="78"/>
      <c r="S50" s="78"/>
      <c r="T50" s="78"/>
      <c r="U50" s="78"/>
      <c r="V50" s="78"/>
      <c r="W50" s="78"/>
      <c r="X50" s="78"/>
      <c r="Y50" s="78"/>
      <c r="Z50" s="78"/>
      <c r="AA50" s="78"/>
      <c r="AB50" s="78"/>
      <c r="AC50" s="78"/>
      <c r="AD50" s="78"/>
      <c r="AE50" s="78"/>
      <c r="AF50" s="78"/>
      <c r="AG50" s="78"/>
      <c r="AH50" s="78"/>
      <c r="AI50" s="78"/>
      <c r="AJ50" s="78"/>
      <c r="AK50" s="78"/>
      <c r="AL50" s="78"/>
      <c r="AM50" s="78"/>
      <c r="AN50" s="78"/>
      <c r="AO50" s="78"/>
      <c r="AP50" s="78"/>
      <c r="AQ50" s="78"/>
      <c r="AR50" s="78"/>
      <c r="AS50" s="78"/>
      <c r="AT50" s="78"/>
      <c r="AU50" s="78"/>
      <c r="AV50" s="78"/>
      <c r="AW50" s="78"/>
      <c r="AX50" s="78"/>
      <c r="AY50" s="91"/>
      <c r="AZ50" s="78"/>
      <c r="BA50" s="78"/>
      <c r="BB50" s="78"/>
      <c r="BC50" s="78"/>
      <c r="BD50" s="78"/>
      <c r="BE50" s="78"/>
      <c r="BF50" s="78"/>
      <c r="BG50" s="78"/>
      <c r="BH50" s="78"/>
      <c r="BI50" s="78"/>
      <c r="BJ50" s="78"/>
      <c r="BK50" s="78"/>
      <c r="BL50" s="78"/>
      <c r="BM50" s="78"/>
      <c r="BN50" s="78"/>
      <c r="BO50" s="78"/>
      <c r="BP50" s="78"/>
      <c r="BQ50" s="78"/>
      <c r="BR50" s="78"/>
      <c r="BS50" s="78"/>
      <c r="BT50" s="78"/>
      <c r="BU50" s="78"/>
      <c r="BV50" s="78"/>
      <c r="BW50" s="78"/>
      <c r="BX50" s="78"/>
      <c r="BY50" s="78"/>
      <c r="BZ50" s="78"/>
      <c r="CA50" s="78"/>
      <c r="CB50" s="78"/>
      <c r="CC50" s="78"/>
      <c r="CD50" s="78"/>
      <c r="CE50" s="78"/>
      <c r="CF50" s="78"/>
      <c r="CG50" s="78"/>
      <c r="CH50" s="78"/>
      <c r="CI50" s="78"/>
      <c r="CJ50" s="78"/>
      <c r="CK50" s="78"/>
      <c r="CL50" s="78"/>
      <c r="CM50" s="78"/>
      <c r="CN50" s="78"/>
      <c r="CO50" s="78"/>
      <c r="CP50" s="78"/>
      <c r="CQ50" s="78"/>
      <c r="CR50" s="78"/>
      <c r="CS50" s="78"/>
      <c r="CT50" s="78"/>
      <c r="CU50" s="78"/>
      <c r="CV50" s="78"/>
      <c r="CW50" s="78"/>
      <c r="CX50" s="78"/>
      <c r="CY50" s="78"/>
      <c r="CZ50" s="78"/>
      <c r="DA50" s="78"/>
      <c r="DB50" s="78"/>
      <c r="DC50" s="78"/>
      <c r="DD50" s="78"/>
      <c r="DE50" s="78"/>
      <c r="DF50" s="78"/>
      <c r="DG50" s="78"/>
      <c r="DH50" s="78"/>
      <c r="DI50" s="78"/>
      <c r="DJ50" s="78"/>
      <c r="DK50" s="78"/>
      <c r="DL50" s="78"/>
      <c r="DM50" s="78"/>
      <c r="DN50" s="78"/>
      <c r="DO50" s="78"/>
      <c r="DP50" s="78"/>
      <c r="DQ50" s="78"/>
      <c r="DR50" s="78"/>
      <c r="DS50" s="78"/>
      <c r="DT50" s="78"/>
      <c r="DU50" s="78"/>
      <c r="DV50" s="78"/>
      <c r="DW50" s="78"/>
      <c r="DX50" s="78"/>
      <c r="DY50" s="78"/>
      <c r="DZ50" s="78"/>
      <c r="EA50" s="78"/>
      <c r="EB50" s="78"/>
      <c r="EC50" s="78"/>
      <c r="ED50" s="78"/>
      <c r="EE50" s="78"/>
      <c r="EF50" s="78"/>
      <c r="EG50" s="78"/>
      <c r="EH50" s="78"/>
      <c r="EI50" s="78"/>
      <c r="EJ50" s="78"/>
      <c r="EK50" s="78"/>
      <c r="EL50" s="78"/>
      <c r="EM50" s="78"/>
      <c r="EN50" s="91"/>
      <c r="EO50" s="91"/>
      <c r="EP50" s="91"/>
      <c r="EQ50" s="91"/>
      <c r="ER50" s="91"/>
      <c r="ES50" s="91"/>
    </row>
    <row r="51" spans="1:149" outlineLevel="1">
      <c r="A51" s="29" t="str">
        <f t="shared" si="14"/>
        <v>ENERGY_CERTIFICATE_EST_INPUTCODIGO_POSTAL</v>
      </c>
      <c r="B51" s="67"/>
      <c r="C51" s="68"/>
      <c r="D51" s="64" t="s">
        <v>40</v>
      </c>
      <c r="E51" s="66" t="s">
        <v>37</v>
      </c>
      <c r="F51" s="66" t="s">
        <v>1985</v>
      </c>
      <c r="G51" s="64" t="str">
        <f>INDEX(Auxiliar!$B$16:$B$24,MATCH(Plano_V3!H51,Auxiliar!$C$16:$C$24,0),1)</f>
        <v>1. Concluído</v>
      </c>
      <c r="H51" s="64">
        <f>VLOOKUP(A51,'Aux - pivots1'!$A:$B,2,0)</f>
        <v>1</v>
      </c>
      <c r="I51" s="180" t="e">
        <f>SUMIFS(Table1[Estimação (horas)],Table1[Tabela],Plano_V3!E51,Table1[Campo],Plano_V3!F51)</f>
        <v>#N/A</v>
      </c>
      <c r="J51" s="180" t="e">
        <f t="shared" si="15"/>
        <v>#N/A</v>
      </c>
      <c r="K51" s="180" t="e">
        <f>SUMIFS(Table1[Horas efetivas],Table1[Tabela],Plano_V3!E51,Table1[Campo],Plano_V3!F51)</f>
        <v>#N/A</v>
      </c>
      <c r="L51" s="180" t="e">
        <f t="shared" si="16"/>
        <v>#N/A</v>
      </c>
      <c r="M51" s="174"/>
      <c r="N51" s="174"/>
      <c r="O51" s="174"/>
      <c r="P51" s="89"/>
      <c r="Q51" s="90"/>
      <c r="R51" s="78"/>
      <c r="S51" s="78"/>
      <c r="T51" s="78"/>
      <c r="U51" s="78"/>
      <c r="V51" s="78"/>
      <c r="W51" s="78"/>
      <c r="X51" s="78"/>
      <c r="Y51" s="78"/>
      <c r="Z51" s="78"/>
      <c r="AA51" s="78"/>
      <c r="AB51" s="78"/>
      <c r="AC51" s="78"/>
      <c r="AD51" s="78"/>
      <c r="AE51" s="78"/>
      <c r="AF51" s="78"/>
      <c r="AG51" s="78"/>
      <c r="AH51" s="78"/>
      <c r="AI51" s="78"/>
      <c r="AJ51" s="78"/>
      <c r="AK51" s="78"/>
      <c r="AL51" s="78"/>
      <c r="AM51" s="78"/>
      <c r="AN51" s="78"/>
      <c r="AO51" s="78"/>
      <c r="AP51" s="78"/>
      <c r="AQ51" s="78"/>
      <c r="AR51" s="78"/>
      <c r="AS51" s="78"/>
      <c r="AT51" s="78"/>
      <c r="AU51" s="78"/>
      <c r="AV51" s="78"/>
      <c r="AW51" s="78"/>
      <c r="AX51" s="78"/>
      <c r="AY51" s="91"/>
      <c r="AZ51" s="78"/>
      <c r="BA51" s="78"/>
      <c r="BB51" s="78"/>
      <c r="BC51" s="78"/>
      <c r="BD51" s="78"/>
      <c r="BE51" s="78"/>
      <c r="BF51" s="78"/>
      <c r="BG51" s="78"/>
      <c r="BH51" s="78"/>
      <c r="BI51" s="78"/>
      <c r="BJ51" s="78"/>
      <c r="BK51" s="78"/>
      <c r="BL51" s="78"/>
      <c r="BM51" s="78"/>
      <c r="BN51" s="78"/>
      <c r="BO51" s="78"/>
      <c r="BP51" s="78"/>
      <c r="BQ51" s="78"/>
      <c r="BR51" s="78"/>
      <c r="BS51" s="78"/>
      <c r="BT51" s="78"/>
      <c r="BU51" s="78"/>
      <c r="BV51" s="78"/>
      <c r="BW51" s="78"/>
      <c r="BX51" s="78"/>
      <c r="BY51" s="78"/>
      <c r="BZ51" s="78"/>
      <c r="CA51" s="78"/>
      <c r="CB51" s="78"/>
      <c r="CC51" s="78"/>
      <c r="CD51" s="78"/>
      <c r="CE51" s="78"/>
      <c r="CF51" s="78"/>
      <c r="CG51" s="78"/>
      <c r="CH51" s="78"/>
      <c r="CI51" s="78"/>
      <c r="CJ51" s="78"/>
      <c r="CK51" s="78"/>
      <c r="CL51" s="78"/>
      <c r="CM51" s="78"/>
      <c r="CN51" s="78"/>
      <c r="CO51" s="78"/>
      <c r="CP51" s="78"/>
      <c r="CQ51" s="78"/>
      <c r="CR51" s="78"/>
      <c r="CS51" s="78"/>
      <c r="CT51" s="78"/>
      <c r="CU51" s="78"/>
      <c r="CV51" s="78"/>
      <c r="CW51" s="78"/>
      <c r="CX51" s="78"/>
      <c r="CY51" s="78"/>
      <c r="CZ51" s="78"/>
      <c r="DA51" s="78"/>
      <c r="DB51" s="78"/>
      <c r="DC51" s="78"/>
      <c r="DD51" s="78"/>
      <c r="DE51" s="78"/>
      <c r="DF51" s="78"/>
      <c r="DG51" s="78"/>
      <c r="DH51" s="78"/>
      <c r="DI51" s="78"/>
      <c r="DJ51" s="78"/>
      <c r="DK51" s="78"/>
      <c r="DL51" s="78"/>
      <c r="DM51" s="78"/>
      <c r="DN51" s="78"/>
      <c r="DO51" s="78"/>
      <c r="DP51" s="78"/>
      <c r="DQ51" s="78"/>
      <c r="DR51" s="78"/>
      <c r="DS51" s="78"/>
      <c r="DT51" s="78"/>
      <c r="DU51" s="78"/>
      <c r="DV51" s="78"/>
      <c r="DW51" s="78"/>
      <c r="DX51" s="78"/>
      <c r="DY51" s="78"/>
      <c r="DZ51" s="78"/>
      <c r="EA51" s="78"/>
      <c r="EB51" s="78"/>
      <c r="EC51" s="78"/>
      <c r="ED51" s="78"/>
      <c r="EE51" s="78"/>
      <c r="EF51" s="78"/>
      <c r="EG51" s="78"/>
      <c r="EH51" s="78"/>
      <c r="EI51" s="78"/>
      <c r="EJ51" s="78"/>
      <c r="EK51" s="78"/>
      <c r="EL51" s="78"/>
      <c r="EM51" s="78"/>
      <c r="EN51" s="91"/>
      <c r="EO51" s="91"/>
      <c r="EP51" s="91"/>
      <c r="EQ51" s="91"/>
      <c r="ER51" s="91"/>
      <c r="ES51" s="91"/>
    </row>
    <row r="52" spans="1:149" outlineLevel="1">
      <c r="A52" s="29" t="str">
        <f t="shared" si="14"/>
        <v>ENERGY_CERTIFICATE_EST_INPUTSUBCODIGO_POSTAL</v>
      </c>
      <c r="B52" s="67"/>
      <c r="C52" s="68"/>
      <c r="D52" s="64" t="s">
        <v>40</v>
      </c>
      <c r="E52" s="66" t="s">
        <v>37</v>
      </c>
      <c r="F52" s="66" t="s">
        <v>1986</v>
      </c>
      <c r="G52" s="64" t="str">
        <f>INDEX(Auxiliar!$B$16:$B$24,MATCH(Plano_V3!H52,Auxiliar!$C$16:$C$24,0),1)</f>
        <v>1. Concluído</v>
      </c>
      <c r="H52" s="64">
        <f>VLOOKUP(A52,'Aux - pivots1'!$A:$B,2,0)</f>
        <v>1</v>
      </c>
      <c r="I52" s="180" t="e">
        <f>SUMIFS(Table1[Estimação (horas)],Table1[Tabela],Plano_V3!E52,Table1[Campo],Plano_V3!F52)</f>
        <v>#N/A</v>
      </c>
      <c r="J52" s="180" t="e">
        <f t="shared" si="15"/>
        <v>#N/A</v>
      </c>
      <c r="K52" s="180" t="e">
        <f>SUMIFS(Table1[Horas efetivas],Table1[Tabela],Plano_V3!E52,Table1[Campo],Plano_V3!F52)</f>
        <v>#N/A</v>
      </c>
      <c r="L52" s="180" t="e">
        <f t="shared" si="16"/>
        <v>#N/A</v>
      </c>
      <c r="M52" s="174"/>
      <c r="N52" s="174"/>
      <c r="O52" s="174"/>
      <c r="P52" s="89"/>
      <c r="Q52" s="90"/>
      <c r="R52" s="78"/>
      <c r="S52" s="78"/>
      <c r="T52" s="78"/>
      <c r="U52" s="78"/>
      <c r="V52" s="78"/>
      <c r="W52" s="78"/>
      <c r="X52" s="78"/>
      <c r="Y52" s="78"/>
      <c r="Z52" s="78"/>
      <c r="AA52" s="78"/>
      <c r="AB52" s="78"/>
      <c r="AC52" s="78"/>
      <c r="AD52" s="78"/>
      <c r="AE52" s="78"/>
      <c r="AF52" s="78"/>
      <c r="AG52" s="78"/>
      <c r="AH52" s="78"/>
      <c r="AI52" s="78"/>
      <c r="AJ52" s="78"/>
      <c r="AK52" s="78"/>
      <c r="AL52" s="78"/>
      <c r="AM52" s="78"/>
      <c r="AN52" s="78"/>
      <c r="AO52" s="78"/>
      <c r="AP52" s="78"/>
      <c r="AQ52" s="78"/>
      <c r="AR52" s="78"/>
      <c r="AS52" s="78"/>
      <c r="AT52" s="78"/>
      <c r="AU52" s="78"/>
      <c r="AV52" s="78"/>
      <c r="AW52" s="78"/>
      <c r="AX52" s="78"/>
      <c r="AY52" s="91"/>
      <c r="AZ52" s="78"/>
      <c r="BA52" s="78"/>
      <c r="BB52" s="78"/>
      <c r="BC52" s="78"/>
      <c r="BD52" s="78"/>
      <c r="BE52" s="78"/>
      <c r="BF52" s="78"/>
      <c r="BG52" s="78"/>
      <c r="BH52" s="78"/>
      <c r="BI52" s="78"/>
      <c r="BJ52" s="78"/>
      <c r="BK52" s="78"/>
      <c r="BL52" s="78"/>
      <c r="BM52" s="78"/>
      <c r="BN52" s="78"/>
      <c r="BO52" s="78"/>
      <c r="BP52" s="78"/>
      <c r="BQ52" s="78"/>
      <c r="BR52" s="78"/>
      <c r="BS52" s="78"/>
      <c r="BT52" s="78"/>
      <c r="BU52" s="78"/>
      <c r="BV52" s="78"/>
      <c r="BW52" s="78"/>
      <c r="BX52" s="78"/>
      <c r="BY52" s="78"/>
      <c r="BZ52" s="78"/>
      <c r="CA52" s="78"/>
      <c r="CB52" s="78"/>
      <c r="CC52" s="78"/>
      <c r="CD52" s="78"/>
      <c r="CE52" s="78"/>
      <c r="CF52" s="78"/>
      <c r="CG52" s="78"/>
      <c r="CH52" s="78"/>
      <c r="CI52" s="78"/>
      <c r="CJ52" s="78"/>
      <c r="CK52" s="78"/>
      <c r="CL52" s="78"/>
      <c r="CM52" s="78"/>
      <c r="CN52" s="78"/>
      <c r="CO52" s="78"/>
      <c r="CP52" s="78"/>
      <c r="CQ52" s="78"/>
      <c r="CR52" s="78"/>
      <c r="CS52" s="78"/>
      <c r="CT52" s="78"/>
      <c r="CU52" s="78"/>
      <c r="CV52" s="78"/>
      <c r="CW52" s="78"/>
      <c r="CX52" s="78"/>
      <c r="CY52" s="78"/>
      <c r="CZ52" s="78"/>
      <c r="DA52" s="78"/>
      <c r="DB52" s="78"/>
      <c r="DC52" s="78"/>
      <c r="DD52" s="78"/>
      <c r="DE52" s="78"/>
      <c r="DF52" s="78"/>
      <c r="DG52" s="78"/>
      <c r="DH52" s="78"/>
      <c r="DI52" s="78"/>
      <c r="DJ52" s="78"/>
      <c r="DK52" s="78"/>
      <c r="DL52" s="78"/>
      <c r="DM52" s="78"/>
      <c r="DN52" s="78"/>
      <c r="DO52" s="78"/>
      <c r="DP52" s="78"/>
      <c r="DQ52" s="78"/>
      <c r="DR52" s="78"/>
      <c r="DS52" s="78"/>
      <c r="DT52" s="78"/>
      <c r="DU52" s="78"/>
      <c r="DV52" s="78"/>
      <c r="DW52" s="78"/>
      <c r="DX52" s="78"/>
      <c r="DY52" s="78"/>
      <c r="DZ52" s="78"/>
      <c r="EA52" s="78"/>
      <c r="EB52" s="78"/>
      <c r="EC52" s="78"/>
      <c r="ED52" s="78"/>
      <c r="EE52" s="78"/>
      <c r="EF52" s="78"/>
      <c r="EG52" s="78"/>
      <c r="EH52" s="78"/>
      <c r="EI52" s="78"/>
      <c r="EJ52" s="78"/>
      <c r="EK52" s="78"/>
      <c r="EL52" s="78"/>
      <c r="EM52" s="78"/>
      <c r="EN52" s="91"/>
      <c r="EO52" s="91"/>
      <c r="EP52" s="91"/>
      <c r="EQ52" s="91"/>
      <c r="ER52" s="91"/>
      <c r="ES52" s="91"/>
    </row>
    <row r="53" spans="1:149" outlineLevel="1">
      <c r="A53" s="29" t="str">
        <f t="shared" si="14"/>
        <v>ENERGY_CERTIFICATE_EST_INPUTASSUPERFICIE_UTIL</v>
      </c>
      <c r="B53" s="67"/>
      <c r="C53" s="68"/>
      <c r="D53" s="64" t="s">
        <v>40</v>
      </c>
      <c r="E53" s="66" t="s">
        <v>37</v>
      </c>
      <c r="F53" s="66" t="s">
        <v>1987</v>
      </c>
      <c r="G53" s="64" t="str">
        <f>INDEX(Auxiliar!$B$16:$B$24,MATCH(Plano_V3!H53,Auxiliar!$C$16:$C$24,0),1)</f>
        <v>1. Concluído</v>
      </c>
      <c r="H53" s="64">
        <f>VLOOKUP(A53,'Aux - pivots1'!$A:$B,2,0)</f>
        <v>1</v>
      </c>
      <c r="I53" s="180" t="e">
        <f>SUMIFS(Table1[Estimação (horas)],Table1[Tabela],Plano_V3!E53,Table1[Campo],Plano_V3!F53)</f>
        <v>#N/A</v>
      </c>
      <c r="J53" s="180" t="e">
        <f t="shared" si="15"/>
        <v>#N/A</v>
      </c>
      <c r="K53" s="180" t="e">
        <f>SUMIFS(Table1[Horas efetivas],Table1[Tabela],Plano_V3!E53,Table1[Campo],Plano_V3!F53)</f>
        <v>#N/A</v>
      </c>
      <c r="L53" s="180" t="e">
        <f t="shared" si="16"/>
        <v>#N/A</v>
      </c>
      <c r="M53" s="174"/>
      <c r="N53" s="174"/>
      <c r="O53" s="174"/>
      <c r="P53" s="89"/>
      <c r="Q53" s="90"/>
      <c r="R53" s="78"/>
      <c r="S53" s="78"/>
      <c r="T53" s="78"/>
      <c r="U53" s="78"/>
      <c r="V53" s="78"/>
      <c r="W53" s="78"/>
      <c r="X53" s="78"/>
      <c r="Y53" s="78"/>
      <c r="Z53" s="78"/>
      <c r="AA53" s="78"/>
      <c r="AB53" s="78"/>
      <c r="AC53" s="78"/>
      <c r="AD53" s="78"/>
      <c r="AE53" s="78"/>
      <c r="AF53" s="78"/>
      <c r="AG53" s="78"/>
      <c r="AH53" s="78"/>
      <c r="AI53" s="78"/>
      <c r="AJ53" s="78"/>
      <c r="AK53" s="78"/>
      <c r="AL53" s="78"/>
      <c r="AM53" s="78"/>
      <c r="AN53" s="78"/>
      <c r="AO53" s="78"/>
      <c r="AP53" s="78"/>
      <c r="AQ53" s="78"/>
      <c r="AR53" s="78"/>
      <c r="AS53" s="78"/>
      <c r="AT53" s="78"/>
      <c r="AU53" s="78"/>
      <c r="AV53" s="78"/>
      <c r="AW53" s="78"/>
      <c r="AX53" s="78"/>
      <c r="AY53" s="91"/>
      <c r="AZ53" s="78"/>
      <c r="BA53" s="78"/>
      <c r="BB53" s="78"/>
      <c r="BC53" s="78"/>
      <c r="BD53" s="78"/>
      <c r="BE53" s="78"/>
      <c r="BF53" s="78"/>
      <c r="BG53" s="78"/>
      <c r="BH53" s="78"/>
      <c r="BI53" s="78"/>
      <c r="BJ53" s="78"/>
      <c r="BK53" s="78"/>
      <c r="BL53" s="78"/>
      <c r="BM53" s="78"/>
      <c r="BN53" s="78"/>
      <c r="BO53" s="78"/>
      <c r="BP53" s="78"/>
      <c r="BQ53" s="78"/>
      <c r="BR53" s="78"/>
      <c r="BS53" s="78"/>
      <c r="BT53" s="78"/>
      <c r="BU53" s="78"/>
      <c r="BV53" s="78"/>
      <c r="BW53" s="78"/>
      <c r="BX53" s="78"/>
      <c r="BY53" s="78"/>
      <c r="BZ53" s="78"/>
      <c r="CA53" s="78"/>
      <c r="CB53" s="78"/>
      <c r="CC53" s="78"/>
      <c r="CD53" s="78"/>
      <c r="CE53" s="78"/>
      <c r="CF53" s="78"/>
      <c r="CG53" s="78"/>
      <c r="CH53" s="78"/>
      <c r="CI53" s="78"/>
      <c r="CJ53" s="78"/>
      <c r="CK53" s="78"/>
      <c r="CL53" s="78"/>
      <c r="CM53" s="78"/>
      <c r="CN53" s="78"/>
      <c r="CO53" s="78"/>
      <c r="CP53" s="78"/>
      <c r="CQ53" s="78"/>
      <c r="CR53" s="78"/>
      <c r="CS53" s="78"/>
      <c r="CT53" s="78"/>
      <c r="CU53" s="78"/>
      <c r="CV53" s="78"/>
      <c r="CW53" s="78"/>
      <c r="CX53" s="78"/>
      <c r="CY53" s="78"/>
      <c r="CZ53" s="78"/>
      <c r="DA53" s="78"/>
      <c r="DB53" s="78"/>
      <c r="DC53" s="78"/>
      <c r="DD53" s="78"/>
      <c r="DE53" s="78"/>
      <c r="DF53" s="78"/>
      <c r="DG53" s="78"/>
      <c r="DH53" s="78"/>
      <c r="DI53" s="78"/>
      <c r="DJ53" s="78"/>
      <c r="DK53" s="78"/>
      <c r="DL53" s="78"/>
      <c r="DM53" s="78"/>
      <c r="DN53" s="78"/>
      <c r="DO53" s="78"/>
      <c r="DP53" s="78"/>
      <c r="DQ53" s="78"/>
      <c r="DR53" s="78"/>
      <c r="DS53" s="78"/>
      <c r="DT53" s="78"/>
      <c r="DU53" s="78"/>
      <c r="DV53" s="78"/>
      <c r="DW53" s="78"/>
      <c r="DX53" s="78"/>
      <c r="DY53" s="78"/>
      <c r="DZ53" s="78"/>
      <c r="EA53" s="78"/>
      <c r="EB53" s="78"/>
      <c r="EC53" s="78"/>
      <c r="ED53" s="78"/>
      <c r="EE53" s="78"/>
      <c r="EF53" s="78"/>
      <c r="EG53" s="78"/>
      <c r="EH53" s="78"/>
      <c r="EI53" s="78"/>
      <c r="EJ53" s="78"/>
      <c r="EK53" s="78"/>
      <c r="EL53" s="78"/>
      <c r="EM53" s="78"/>
      <c r="EN53" s="91"/>
      <c r="EO53" s="91"/>
      <c r="EP53" s="91"/>
      <c r="EQ53" s="91"/>
      <c r="ER53" s="91"/>
      <c r="ES53" s="91"/>
    </row>
    <row r="54" spans="1:149" outlineLevel="1">
      <c r="A54" s="29" t="str">
        <f t="shared" si="14"/>
        <v>ENERGY_CERTIFICATE_EST_INPUTANIO_CONSTRUCCION</v>
      </c>
      <c r="B54" s="67"/>
      <c r="C54" s="68"/>
      <c r="D54" s="64" t="s">
        <v>40</v>
      </c>
      <c r="E54" s="66" t="s">
        <v>37</v>
      </c>
      <c r="F54" s="66" t="s">
        <v>1988</v>
      </c>
      <c r="G54" s="64" t="str">
        <f>INDEX(Auxiliar!$B$16:$B$24,MATCH(Plano_V3!H54,Auxiliar!$C$16:$C$24,0),1)</f>
        <v>1. Concluído</v>
      </c>
      <c r="H54" s="64">
        <f>VLOOKUP(A54,'Aux - pivots1'!$A:$B,2,0)</f>
        <v>1</v>
      </c>
      <c r="I54" s="180" t="e">
        <f>SUMIFS(Table1[Estimação (horas)],Table1[Tabela],Plano_V3!E54,Table1[Campo],Plano_V3!F54)</f>
        <v>#N/A</v>
      </c>
      <c r="J54" s="180" t="e">
        <f t="shared" si="15"/>
        <v>#N/A</v>
      </c>
      <c r="K54" s="180" t="e">
        <f>SUMIFS(Table1[Horas efetivas],Table1[Tabela],Plano_V3!E54,Table1[Campo],Plano_V3!F54)</f>
        <v>#N/A</v>
      </c>
      <c r="L54" s="180" t="e">
        <f t="shared" si="16"/>
        <v>#N/A</v>
      </c>
      <c r="M54" s="174"/>
      <c r="N54" s="174"/>
      <c r="O54" s="174"/>
      <c r="P54" s="89"/>
      <c r="Q54" s="90"/>
      <c r="R54" s="78"/>
      <c r="S54" s="78"/>
      <c r="T54" s="78"/>
      <c r="U54" s="78"/>
      <c r="V54" s="78"/>
      <c r="W54" s="78"/>
      <c r="X54" s="78"/>
      <c r="Y54" s="78"/>
      <c r="Z54" s="78"/>
      <c r="AA54" s="78"/>
      <c r="AB54" s="78"/>
      <c r="AC54" s="78"/>
      <c r="AD54" s="78"/>
      <c r="AE54" s="78"/>
      <c r="AF54" s="78"/>
      <c r="AG54" s="78"/>
      <c r="AH54" s="78"/>
      <c r="AI54" s="78"/>
      <c r="AJ54" s="78"/>
      <c r="AK54" s="78"/>
      <c r="AL54" s="78"/>
      <c r="AM54" s="78"/>
      <c r="AN54" s="78"/>
      <c r="AO54" s="78"/>
      <c r="AP54" s="78"/>
      <c r="AQ54" s="78"/>
      <c r="AR54" s="78"/>
      <c r="AS54" s="78"/>
      <c r="AT54" s="78"/>
      <c r="AU54" s="78"/>
      <c r="AV54" s="78"/>
      <c r="AW54" s="78"/>
      <c r="AX54" s="78"/>
      <c r="AY54" s="91"/>
      <c r="AZ54" s="78"/>
      <c r="BA54" s="78"/>
      <c r="BB54" s="78"/>
      <c r="BC54" s="78"/>
      <c r="BD54" s="78"/>
      <c r="BE54" s="78"/>
      <c r="BF54" s="78"/>
      <c r="BG54" s="78"/>
      <c r="BH54" s="78"/>
      <c r="BI54" s="78"/>
      <c r="BJ54" s="78"/>
      <c r="BK54" s="78"/>
      <c r="BL54" s="78"/>
      <c r="BM54" s="78"/>
      <c r="BN54" s="78"/>
      <c r="BO54" s="78"/>
      <c r="BP54" s="78"/>
      <c r="BQ54" s="78"/>
      <c r="BR54" s="78"/>
      <c r="BS54" s="78"/>
      <c r="BT54" s="78"/>
      <c r="BU54" s="78"/>
      <c r="BV54" s="78"/>
      <c r="BW54" s="78"/>
      <c r="BX54" s="78"/>
      <c r="BY54" s="78"/>
      <c r="BZ54" s="78"/>
      <c r="CA54" s="78"/>
      <c r="CB54" s="78"/>
      <c r="CC54" s="78"/>
      <c r="CD54" s="78"/>
      <c r="CE54" s="78"/>
      <c r="CF54" s="78"/>
      <c r="CG54" s="78"/>
      <c r="CH54" s="78"/>
      <c r="CI54" s="78"/>
      <c r="CJ54" s="78"/>
      <c r="CK54" s="78"/>
      <c r="CL54" s="78"/>
      <c r="CM54" s="78"/>
      <c r="CN54" s="78"/>
      <c r="CO54" s="78"/>
      <c r="CP54" s="78"/>
      <c r="CQ54" s="78"/>
      <c r="CR54" s="78"/>
      <c r="CS54" s="78"/>
      <c r="CT54" s="78"/>
      <c r="CU54" s="78"/>
      <c r="CV54" s="78"/>
      <c r="CW54" s="78"/>
      <c r="CX54" s="78"/>
      <c r="CY54" s="78"/>
      <c r="CZ54" s="78"/>
      <c r="DA54" s="78"/>
      <c r="DB54" s="78"/>
      <c r="DC54" s="78"/>
      <c r="DD54" s="78"/>
      <c r="DE54" s="78"/>
      <c r="DF54" s="78"/>
      <c r="DG54" s="78"/>
      <c r="DH54" s="78"/>
      <c r="DI54" s="78"/>
      <c r="DJ54" s="78"/>
      <c r="DK54" s="78"/>
      <c r="DL54" s="78"/>
      <c r="DM54" s="78"/>
      <c r="DN54" s="78"/>
      <c r="DO54" s="78"/>
      <c r="DP54" s="78"/>
      <c r="DQ54" s="78"/>
      <c r="DR54" s="78"/>
      <c r="DS54" s="78"/>
      <c r="DT54" s="78"/>
      <c r="DU54" s="78"/>
      <c r="DV54" s="78"/>
      <c r="DW54" s="78"/>
      <c r="DX54" s="78"/>
      <c r="DY54" s="78"/>
      <c r="DZ54" s="78"/>
      <c r="EA54" s="78"/>
      <c r="EB54" s="78"/>
      <c r="EC54" s="78"/>
      <c r="ED54" s="78"/>
      <c r="EE54" s="78"/>
      <c r="EF54" s="78"/>
      <c r="EG54" s="78"/>
      <c r="EH54" s="78"/>
      <c r="EI54" s="78"/>
      <c r="EJ54" s="78"/>
      <c r="EK54" s="78"/>
      <c r="EL54" s="78"/>
      <c r="EM54" s="78"/>
      <c r="EN54" s="91"/>
      <c r="EO54" s="91"/>
      <c r="EP54" s="91"/>
      <c r="EQ54" s="91"/>
      <c r="ER54" s="91"/>
      <c r="ES54" s="91"/>
    </row>
    <row r="55" spans="1:149" outlineLevel="1">
      <c r="A55" s="29" t="str">
        <f t="shared" si="14"/>
        <v>ENERGY_CERTIFICATE_EST_INPUTTIPO_INMUEBLE_HABITACAO</v>
      </c>
      <c r="B55" s="67" t="s">
        <v>26</v>
      </c>
      <c r="C55" s="68" t="s">
        <v>34</v>
      </c>
      <c r="D55" s="64" t="s">
        <v>40</v>
      </c>
      <c r="E55" s="66" t="s">
        <v>37</v>
      </c>
      <c r="F55" s="66" t="s">
        <v>1989</v>
      </c>
      <c r="G55" s="64" t="str">
        <f>INDEX(Auxiliar!$B$16:$B$24,MATCH(Plano_V3!H55,Auxiliar!$C$16:$C$24,0),1)</f>
        <v>1. Concluído</v>
      </c>
      <c r="H55" s="64">
        <f>VLOOKUP(A55,'Aux - pivots1'!$A:$B,2,0)</f>
        <v>1</v>
      </c>
      <c r="I55" s="180" t="e">
        <f>SUMIFS(Table1[Estimação (horas)],Table1[Tabela],Plano_V3!E55,Table1[Campo],Plano_V3!F55)</f>
        <v>#N/A</v>
      </c>
      <c r="J55" s="180" t="e">
        <f t="shared" ref="J55:J73" si="17">I55/8</f>
        <v>#N/A</v>
      </c>
      <c r="K55" s="180" t="e">
        <f>SUMIFS(Table1[Horas efetivas],Table1[Tabela],Plano_V3!E55,Table1[Campo],Plano_V3!F55)</f>
        <v>#N/A</v>
      </c>
      <c r="L55" s="180" t="e">
        <f t="shared" ref="L55:L73" si="18">K55/8</f>
        <v>#N/A</v>
      </c>
      <c r="M55" s="174"/>
      <c r="N55" s="174" t="e">
        <f t="shared" ref="N55:N73" si="19">L55/J55</f>
        <v>#N/A</v>
      </c>
      <c r="O55" s="174" t="e">
        <f t="shared" si="12"/>
        <v>#N/A</v>
      </c>
      <c r="P55" s="89" t="s">
        <v>39</v>
      </c>
      <c r="Q55" s="90" t="e">
        <f t="shared" si="13"/>
        <v>#N/A</v>
      </c>
      <c r="R55" s="78"/>
      <c r="S55" s="78"/>
      <c r="T55" s="78"/>
      <c r="U55" s="78"/>
      <c r="V55" s="78"/>
      <c r="W55" s="78"/>
      <c r="X55" s="78"/>
      <c r="Y55" s="78"/>
      <c r="Z55" s="78"/>
      <c r="AA55" s="78"/>
      <c r="AB55" s="78"/>
      <c r="AC55" s="78"/>
      <c r="AD55" s="78"/>
      <c r="AE55" s="78"/>
      <c r="AF55" s="78"/>
      <c r="AG55" s="78"/>
      <c r="AH55" s="78"/>
      <c r="AI55" s="78"/>
      <c r="AJ55" s="78"/>
      <c r="AK55" s="78"/>
      <c r="AL55" s="78"/>
      <c r="AM55" s="78"/>
      <c r="AN55" s="78"/>
      <c r="AO55" s="78"/>
      <c r="AP55" s="78"/>
      <c r="AQ55" s="78"/>
      <c r="AR55" s="78"/>
      <c r="AS55" s="78"/>
      <c r="AT55" s="78"/>
      <c r="AU55" s="78"/>
      <c r="AV55" s="78"/>
      <c r="AW55" s="78"/>
      <c r="AX55" s="78"/>
      <c r="AY55" s="91"/>
      <c r="AZ55" s="78"/>
      <c r="BA55" s="78"/>
      <c r="BB55" s="78"/>
      <c r="BC55" s="78"/>
      <c r="BD55" s="78"/>
      <c r="BE55" s="78"/>
      <c r="BF55" s="78"/>
      <c r="BG55" s="78"/>
      <c r="BH55" s="78"/>
      <c r="BI55" s="78"/>
      <c r="BJ55" s="78"/>
      <c r="BK55" s="78"/>
      <c r="BL55" s="78"/>
      <c r="BM55" s="78"/>
      <c r="BN55" s="78"/>
      <c r="BO55" s="78"/>
      <c r="BP55" s="78"/>
      <c r="BQ55" s="78"/>
      <c r="BR55" s="78"/>
      <c r="BS55" s="78"/>
      <c r="BT55" s="78"/>
      <c r="BU55" s="78"/>
      <c r="BV55" s="78"/>
      <c r="BW55" s="78"/>
      <c r="BX55" s="78"/>
      <c r="BY55" s="78"/>
      <c r="BZ55" s="78"/>
      <c r="CA55" s="78"/>
      <c r="CB55" s="78"/>
      <c r="CC55" s="78"/>
      <c r="CD55" s="78"/>
      <c r="CE55" s="78"/>
      <c r="CF55" s="78"/>
      <c r="CG55" s="78"/>
      <c r="CH55" s="78"/>
      <c r="CI55" s="78"/>
      <c r="CJ55" s="78"/>
      <c r="CK55" s="78"/>
      <c r="CL55" s="78"/>
      <c r="CM55" s="78"/>
      <c r="CN55" s="78"/>
      <c r="CO55" s="78"/>
      <c r="CP55" s="78"/>
      <c r="CQ55" s="78"/>
      <c r="CR55" s="78"/>
      <c r="CS55" s="78"/>
      <c r="CT55" s="78"/>
      <c r="CU55" s="78"/>
      <c r="CV55" s="78"/>
      <c r="CW55" s="78"/>
      <c r="CX55" s="78"/>
      <c r="CY55" s="78"/>
      <c r="CZ55" s="78"/>
      <c r="DA55" s="78"/>
      <c r="DB55" s="78"/>
      <c r="DC55" s="78"/>
      <c r="DD55" s="78"/>
      <c r="DE55" s="78"/>
      <c r="DF55" s="78"/>
      <c r="DG55" s="78"/>
      <c r="DH55" s="78"/>
      <c r="DI55" s="78"/>
      <c r="DJ55" s="78"/>
      <c r="DK55" s="78"/>
      <c r="DL55" s="78"/>
      <c r="DM55" s="78"/>
      <c r="DN55" s="78"/>
      <c r="DO55" s="78"/>
      <c r="DP55" s="78"/>
      <c r="DQ55" s="78"/>
      <c r="DR55" s="78"/>
      <c r="DS55" s="78"/>
      <c r="DT55" s="78"/>
      <c r="DU55" s="78"/>
      <c r="DV55" s="78"/>
      <c r="DW55" s="78"/>
      <c r="DX55" s="78"/>
      <c r="DY55" s="78"/>
      <c r="DZ55" s="78"/>
      <c r="EA55" s="78"/>
      <c r="EB55" s="78"/>
      <c r="EC55" s="78"/>
      <c r="ED55" s="78"/>
      <c r="EE55" s="78"/>
      <c r="EF55" s="78"/>
      <c r="EG55" s="78"/>
      <c r="EH55" s="78"/>
      <c r="EI55" s="78"/>
      <c r="EJ55" s="78"/>
      <c r="EK55" s="78"/>
      <c r="EL55" s="78"/>
      <c r="EM55" s="78"/>
      <c r="EN55" s="91"/>
      <c r="EO55" s="91"/>
      <c r="EP55" s="91"/>
      <c r="EQ55" s="91"/>
      <c r="ER55" s="91"/>
      <c r="ES55" s="91"/>
    </row>
    <row r="56" spans="1:149" outlineLevel="1">
      <c r="A56" s="29" t="str">
        <f t="shared" si="14"/>
        <v>ENERGY_CERTIFICATE_EST_INPUTPISO_APARTAMENTO</v>
      </c>
      <c r="B56" s="67" t="s">
        <v>26</v>
      </c>
      <c r="C56" s="68" t="s">
        <v>34</v>
      </c>
      <c r="D56" s="64" t="s">
        <v>40</v>
      </c>
      <c r="E56" s="66" t="s">
        <v>37</v>
      </c>
      <c r="F56" s="66" t="s">
        <v>1990</v>
      </c>
      <c r="G56" s="64" t="str">
        <f>INDEX(Auxiliar!$B$16:$B$24,MATCH(Plano_V3!H56,Auxiliar!$C$16:$C$24,0),1)</f>
        <v>1. Concluído</v>
      </c>
      <c r="H56" s="64">
        <f>VLOOKUP(A56,'Aux - pivots1'!$A:$B,2,0)</f>
        <v>1</v>
      </c>
      <c r="I56" s="180" t="e">
        <f>SUMIFS(Table1[Estimação (horas)],Table1[Tabela],Plano_V3!E56,Table1[Campo],Plano_V3!F56)</f>
        <v>#N/A</v>
      </c>
      <c r="J56" s="180" t="e">
        <f t="shared" si="17"/>
        <v>#N/A</v>
      </c>
      <c r="K56" s="180" t="e">
        <f>SUMIFS(Table1[Horas efetivas],Table1[Tabela],Plano_V3!E56,Table1[Campo],Plano_V3!F56)</f>
        <v>#N/A</v>
      </c>
      <c r="L56" s="180" t="e">
        <f t="shared" si="18"/>
        <v>#N/A</v>
      </c>
      <c r="M56" s="174"/>
      <c r="N56" s="174" t="e">
        <f t="shared" si="19"/>
        <v>#N/A</v>
      </c>
      <c r="O56" s="174" t="e">
        <f t="shared" si="12"/>
        <v>#N/A</v>
      </c>
      <c r="P56" s="89" t="s">
        <v>39</v>
      </c>
      <c r="Q56" s="90" t="e">
        <f t="shared" si="13"/>
        <v>#N/A</v>
      </c>
      <c r="R56" s="78"/>
      <c r="S56" s="78"/>
      <c r="T56" s="78"/>
      <c r="U56" s="78"/>
      <c r="V56" s="78"/>
      <c r="W56" s="78"/>
      <c r="X56" s="78"/>
      <c r="Y56" s="78"/>
      <c r="Z56" s="78"/>
      <c r="AA56" s="78"/>
      <c r="AB56" s="78"/>
      <c r="AC56" s="78"/>
      <c r="AD56" s="78"/>
      <c r="AE56" s="78"/>
      <c r="AF56" s="78"/>
      <c r="AG56" s="78"/>
      <c r="AH56" s="78"/>
      <c r="AI56" s="78"/>
      <c r="AJ56" s="78"/>
      <c r="AK56" s="78"/>
      <c r="AL56" s="78"/>
      <c r="AM56" s="78"/>
      <c r="AN56" s="78"/>
      <c r="AO56" s="78"/>
      <c r="AP56" s="78"/>
      <c r="AQ56" s="78"/>
      <c r="AR56" s="78"/>
      <c r="AS56" s="78"/>
      <c r="AT56" s="78"/>
      <c r="AU56" s="78"/>
      <c r="AV56" s="78"/>
      <c r="AW56" s="78"/>
      <c r="AX56" s="78"/>
      <c r="AY56" s="91"/>
      <c r="AZ56" s="78"/>
      <c r="BA56" s="78"/>
      <c r="BB56" s="78"/>
      <c r="BC56" s="78"/>
      <c r="BD56" s="78"/>
      <c r="BE56" s="78"/>
      <c r="BF56" s="78"/>
      <c r="BG56" s="78"/>
      <c r="BH56" s="78"/>
      <c r="BI56" s="78"/>
      <c r="BJ56" s="78"/>
      <c r="BK56" s="78"/>
      <c r="BL56" s="78"/>
      <c r="BM56" s="78"/>
      <c r="BN56" s="78"/>
      <c r="BO56" s="78"/>
      <c r="BP56" s="78"/>
      <c r="BQ56" s="78"/>
      <c r="BR56" s="78"/>
      <c r="BS56" s="78"/>
      <c r="BT56" s="78"/>
      <c r="BU56" s="78"/>
      <c r="BV56" s="78"/>
      <c r="BW56" s="78"/>
      <c r="BX56" s="78"/>
      <c r="BY56" s="78"/>
      <c r="BZ56" s="78"/>
      <c r="CA56" s="78"/>
      <c r="CB56" s="78"/>
      <c r="CC56" s="78"/>
      <c r="CD56" s="78"/>
      <c r="CE56" s="78"/>
      <c r="CF56" s="78"/>
      <c r="CG56" s="78"/>
      <c r="CH56" s="78"/>
      <c r="CI56" s="78"/>
      <c r="CJ56" s="78"/>
      <c r="CK56" s="78"/>
      <c r="CL56" s="78"/>
      <c r="CM56" s="78"/>
      <c r="CN56" s="78"/>
      <c r="CO56" s="78"/>
      <c r="CP56" s="78"/>
      <c r="CQ56" s="78"/>
      <c r="CR56" s="78"/>
      <c r="CS56" s="78"/>
      <c r="CT56" s="78"/>
      <c r="CU56" s="78"/>
      <c r="CV56" s="78"/>
      <c r="CW56" s="78"/>
      <c r="CX56" s="78"/>
      <c r="CY56" s="78"/>
      <c r="CZ56" s="78"/>
      <c r="DA56" s="78"/>
      <c r="DB56" s="78"/>
      <c r="DC56" s="78"/>
      <c r="DD56" s="78"/>
      <c r="DE56" s="78"/>
      <c r="DF56" s="78"/>
      <c r="DG56" s="78"/>
      <c r="DH56" s="78"/>
      <c r="DI56" s="78"/>
      <c r="DJ56" s="78"/>
      <c r="DK56" s="78"/>
      <c r="DL56" s="78"/>
      <c r="DM56" s="78"/>
      <c r="DN56" s="78"/>
      <c r="DO56" s="78"/>
      <c r="DP56" s="78"/>
      <c r="DQ56" s="78"/>
      <c r="DR56" s="78"/>
      <c r="DS56" s="78"/>
      <c r="DT56" s="78"/>
      <c r="DU56" s="78"/>
      <c r="DV56" s="78"/>
      <c r="DW56" s="78"/>
      <c r="DX56" s="78"/>
      <c r="DY56" s="78"/>
      <c r="DZ56" s="78"/>
      <c r="EA56" s="78"/>
      <c r="EB56" s="78"/>
      <c r="EC56" s="78"/>
      <c r="ED56" s="78"/>
      <c r="EE56" s="78"/>
      <c r="EF56" s="78"/>
      <c r="EG56" s="78"/>
      <c r="EH56" s="78"/>
      <c r="EI56" s="78"/>
      <c r="EJ56" s="78"/>
      <c r="EK56" s="78"/>
      <c r="EL56" s="78"/>
      <c r="EM56" s="78"/>
      <c r="EN56" s="91"/>
      <c r="EO56" s="91"/>
      <c r="EP56" s="91"/>
      <c r="EQ56" s="91"/>
      <c r="ER56" s="91"/>
      <c r="ES56" s="91"/>
    </row>
    <row r="57" spans="1:149" outlineLevel="1">
      <c r="A57" s="29" t="str">
        <f t="shared" si="14"/>
        <v>ENERGY_CERTIFICATE_EST_INPUTCASA_UNIFAMILIAR</v>
      </c>
      <c r="B57" s="67" t="s">
        <v>26</v>
      </c>
      <c r="C57" s="68" t="s">
        <v>34</v>
      </c>
      <c r="D57" s="64" t="s">
        <v>40</v>
      </c>
      <c r="E57" s="66" t="s">
        <v>37</v>
      </c>
      <c r="F57" s="66" t="s">
        <v>1991</v>
      </c>
      <c r="G57" s="64" t="str">
        <f>INDEX(Auxiliar!$B$16:$B$24,MATCH(Plano_V3!H57,Auxiliar!$C$16:$C$24,0),1)</f>
        <v>1. Concluído</v>
      </c>
      <c r="H57" s="64">
        <f>VLOOKUP(A57,'Aux - pivots1'!$A:$B,2,0)</f>
        <v>1</v>
      </c>
      <c r="I57" s="180" t="e">
        <f>SUMIFS(Table1[Estimação (horas)],Table1[Tabela],Plano_V3!E57,Table1[Campo],Plano_V3!F57)</f>
        <v>#N/A</v>
      </c>
      <c r="J57" s="180" t="e">
        <f t="shared" si="17"/>
        <v>#N/A</v>
      </c>
      <c r="K57" s="180" t="e">
        <f>SUMIFS(Table1[Horas efetivas],Table1[Tabela],Plano_V3!E57,Table1[Campo],Plano_V3!F57)</f>
        <v>#N/A</v>
      </c>
      <c r="L57" s="180" t="e">
        <f t="shared" si="18"/>
        <v>#N/A</v>
      </c>
      <c r="M57" s="174"/>
      <c r="N57" s="174" t="e">
        <f t="shared" si="19"/>
        <v>#N/A</v>
      </c>
      <c r="O57" s="174" t="e">
        <f t="shared" si="12"/>
        <v>#N/A</v>
      </c>
      <c r="P57" s="89" t="s">
        <v>39</v>
      </c>
      <c r="Q57" s="90" t="e">
        <f t="shared" si="13"/>
        <v>#N/A</v>
      </c>
      <c r="R57" s="78"/>
      <c r="S57" s="78"/>
      <c r="T57" s="78"/>
      <c r="U57" s="78"/>
      <c r="V57" s="78"/>
      <c r="W57" s="78"/>
      <c r="X57" s="78"/>
      <c r="Y57" s="78"/>
      <c r="Z57" s="78"/>
      <c r="AA57" s="78"/>
      <c r="AB57" s="78"/>
      <c r="AC57" s="78"/>
      <c r="AD57" s="78"/>
      <c r="AE57" s="78"/>
      <c r="AF57" s="78"/>
      <c r="AG57" s="78"/>
      <c r="AH57" s="78"/>
      <c r="AI57" s="78"/>
      <c r="AJ57" s="78"/>
      <c r="AK57" s="78"/>
      <c r="AL57" s="78"/>
      <c r="AM57" s="78"/>
      <c r="AN57" s="78"/>
      <c r="AO57" s="78"/>
      <c r="AP57" s="78"/>
      <c r="AQ57" s="78"/>
      <c r="AR57" s="78"/>
      <c r="AS57" s="78"/>
      <c r="AT57" s="78"/>
      <c r="AU57" s="78"/>
      <c r="AV57" s="78"/>
      <c r="AW57" s="78"/>
      <c r="AX57" s="78"/>
      <c r="AY57" s="91"/>
      <c r="AZ57" s="78"/>
      <c r="BA57" s="78"/>
      <c r="BB57" s="78"/>
      <c r="BC57" s="78"/>
      <c r="BD57" s="78"/>
      <c r="BE57" s="78"/>
      <c r="BF57" s="78"/>
      <c r="BG57" s="78"/>
      <c r="BH57" s="78"/>
      <c r="BI57" s="78"/>
      <c r="BJ57" s="78"/>
      <c r="BK57" s="78"/>
      <c r="BL57" s="78"/>
      <c r="BM57" s="78"/>
      <c r="BN57" s="78"/>
      <c r="BO57" s="78"/>
      <c r="BP57" s="78"/>
      <c r="BQ57" s="78"/>
      <c r="BR57" s="78"/>
      <c r="BS57" s="78"/>
      <c r="BT57" s="78"/>
      <c r="BU57" s="78"/>
      <c r="BV57" s="78"/>
      <c r="BW57" s="78"/>
      <c r="BX57" s="78"/>
      <c r="BY57" s="78"/>
      <c r="BZ57" s="78"/>
      <c r="CA57" s="78"/>
      <c r="CB57" s="78"/>
      <c r="CC57" s="78"/>
      <c r="CD57" s="78"/>
      <c r="CE57" s="78"/>
      <c r="CF57" s="78"/>
      <c r="CG57" s="78"/>
      <c r="CH57" s="78"/>
      <c r="CI57" s="78"/>
      <c r="CJ57" s="78"/>
      <c r="CK57" s="78"/>
      <c r="CL57" s="78"/>
      <c r="CM57" s="78"/>
      <c r="CN57" s="78"/>
      <c r="CO57" s="78"/>
      <c r="CP57" s="78"/>
      <c r="CQ57" s="78"/>
      <c r="CR57" s="78"/>
      <c r="CS57" s="78"/>
      <c r="CT57" s="78"/>
      <c r="CU57" s="78"/>
      <c r="CV57" s="78"/>
      <c r="CW57" s="78"/>
      <c r="CX57" s="78"/>
      <c r="CY57" s="78"/>
      <c r="CZ57" s="78"/>
      <c r="DA57" s="78"/>
      <c r="DB57" s="78"/>
      <c r="DC57" s="78"/>
      <c r="DD57" s="78"/>
      <c r="DE57" s="78"/>
      <c r="DF57" s="78"/>
      <c r="DG57" s="78"/>
      <c r="DH57" s="78"/>
      <c r="DI57" s="78"/>
      <c r="DJ57" s="78"/>
      <c r="DK57" s="78"/>
      <c r="DL57" s="78"/>
      <c r="DM57" s="78"/>
      <c r="DN57" s="78"/>
      <c r="DO57" s="78"/>
      <c r="DP57" s="78"/>
      <c r="DQ57" s="78"/>
      <c r="DR57" s="78"/>
      <c r="DS57" s="78"/>
      <c r="DT57" s="78"/>
      <c r="DU57" s="78"/>
      <c r="DV57" s="78"/>
      <c r="DW57" s="78"/>
      <c r="DX57" s="78"/>
      <c r="DY57" s="78"/>
      <c r="DZ57" s="78"/>
      <c r="EA57" s="78"/>
      <c r="EB57" s="78"/>
      <c r="EC57" s="78"/>
      <c r="ED57" s="78"/>
      <c r="EE57" s="78"/>
      <c r="EF57" s="78"/>
      <c r="EG57" s="78"/>
      <c r="EH57" s="78"/>
      <c r="EI57" s="78"/>
      <c r="EJ57" s="78"/>
      <c r="EK57" s="78"/>
      <c r="EL57" s="78"/>
      <c r="EM57" s="78"/>
      <c r="EN57" s="91"/>
      <c r="EO57" s="91"/>
      <c r="EP57" s="91"/>
      <c r="EQ57" s="91"/>
      <c r="ER57" s="91"/>
      <c r="ES57" s="91"/>
    </row>
    <row r="58" spans="1:149" outlineLevel="1">
      <c r="A58" s="29" t="str">
        <f t="shared" si="14"/>
        <v>ENERGY_CERTIFICATE_EST_INPUTTIPO_INMUEBLE_COMERCIO_SERVICOS</v>
      </c>
      <c r="B58" s="67" t="s">
        <v>26</v>
      </c>
      <c r="C58" s="68" t="s">
        <v>34</v>
      </c>
      <c r="D58" s="64" t="s">
        <v>40</v>
      </c>
      <c r="E58" s="66" t="s">
        <v>37</v>
      </c>
      <c r="F58" s="66" t="s">
        <v>1992</v>
      </c>
      <c r="G58" s="64" t="str">
        <f>INDEX(Auxiliar!$B$16:$B$24,MATCH(Plano_V3!H58,Auxiliar!$C$16:$C$24,0),1)</f>
        <v>1. Concluído</v>
      </c>
      <c r="H58" s="64">
        <f>VLOOKUP(A58,'Aux - pivots1'!$A:$B,2,0)</f>
        <v>1</v>
      </c>
      <c r="I58" s="180" t="e">
        <f>SUMIFS(Table1[Estimação (horas)],Table1[Tabela],Plano_V3!E58,Table1[Campo],Plano_V3!F58)</f>
        <v>#N/A</v>
      </c>
      <c r="J58" s="180" t="e">
        <f t="shared" si="17"/>
        <v>#N/A</v>
      </c>
      <c r="K58" s="180" t="e">
        <f>SUMIFS(Table1[Horas efetivas],Table1[Tabela],Plano_V3!E58,Table1[Campo],Plano_V3!F58)</f>
        <v>#N/A</v>
      </c>
      <c r="L58" s="180" t="e">
        <f t="shared" si="18"/>
        <v>#N/A</v>
      </c>
      <c r="M58" s="174"/>
      <c r="N58" s="174" t="e">
        <f t="shared" si="19"/>
        <v>#N/A</v>
      </c>
      <c r="O58" s="174" t="e">
        <f t="shared" si="12"/>
        <v>#N/A</v>
      </c>
      <c r="P58" s="89" t="s">
        <v>39</v>
      </c>
      <c r="Q58" s="90" t="e">
        <f t="shared" si="13"/>
        <v>#N/A</v>
      </c>
      <c r="R58" s="78"/>
      <c r="S58" s="78"/>
      <c r="T58" s="78"/>
      <c r="U58" s="78"/>
      <c r="V58" s="78"/>
      <c r="W58" s="78"/>
      <c r="X58" s="78"/>
      <c r="Y58" s="78"/>
      <c r="Z58" s="78"/>
      <c r="AA58" s="78"/>
      <c r="AB58" s="78"/>
      <c r="AC58" s="78"/>
      <c r="AD58" s="78"/>
      <c r="AE58" s="78"/>
      <c r="AF58" s="78"/>
      <c r="AG58" s="78"/>
      <c r="AH58" s="78"/>
      <c r="AI58" s="78"/>
      <c r="AJ58" s="78"/>
      <c r="AK58" s="78"/>
      <c r="AL58" s="78"/>
      <c r="AM58" s="78"/>
      <c r="AN58" s="78"/>
      <c r="AO58" s="78"/>
      <c r="AP58" s="78"/>
      <c r="AQ58" s="78"/>
      <c r="AR58" s="78"/>
      <c r="AS58" s="78"/>
      <c r="AT58" s="78"/>
      <c r="AU58" s="78"/>
      <c r="AV58" s="78"/>
      <c r="AW58" s="78"/>
      <c r="AX58" s="78"/>
      <c r="AY58" s="91"/>
      <c r="AZ58" s="78"/>
      <c r="BA58" s="78"/>
      <c r="BB58" s="78"/>
      <c r="BC58" s="78"/>
      <c r="BD58" s="78"/>
      <c r="BE58" s="78"/>
      <c r="BF58" s="78"/>
      <c r="BG58" s="78"/>
      <c r="BH58" s="78"/>
      <c r="BI58" s="78"/>
      <c r="BJ58" s="78"/>
      <c r="BK58" s="78"/>
      <c r="BL58" s="78"/>
      <c r="BM58" s="78"/>
      <c r="BN58" s="78"/>
      <c r="BO58" s="78"/>
      <c r="BP58" s="78"/>
      <c r="BQ58" s="78"/>
      <c r="BR58" s="78"/>
      <c r="BS58" s="78"/>
      <c r="BT58" s="78"/>
      <c r="BU58" s="78"/>
      <c r="BV58" s="78"/>
      <c r="BW58" s="78"/>
      <c r="BX58" s="78"/>
      <c r="BY58" s="78"/>
      <c r="BZ58" s="78"/>
      <c r="CA58" s="78"/>
      <c r="CB58" s="78"/>
      <c r="CC58" s="78"/>
      <c r="CD58" s="78"/>
      <c r="CE58" s="78"/>
      <c r="CF58" s="78"/>
      <c r="CG58" s="78"/>
      <c r="CH58" s="78"/>
      <c r="CI58" s="78"/>
      <c r="CJ58" s="78"/>
      <c r="CK58" s="78"/>
      <c r="CL58" s="78"/>
      <c r="CM58" s="78"/>
      <c r="CN58" s="78"/>
      <c r="CO58" s="78"/>
      <c r="CP58" s="78"/>
      <c r="CQ58" s="78"/>
      <c r="CR58" s="78"/>
      <c r="CS58" s="78"/>
      <c r="CT58" s="78"/>
      <c r="CU58" s="78"/>
      <c r="CV58" s="78"/>
      <c r="CW58" s="78"/>
      <c r="CX58" s="78"/>
      <c r="CY58" s="78"/>
      <c r="CZ58" s="78"/>
      <c r="DA58" s="78"/>
      <c r="DB58" s="78"/>
      <c r="DC58" s="78"/>
      <c r="DD58" s="78"/>
      <c r="DE58" s="78"/>
      <c r="DF58" s="78"/>
      <c r="DG58" s="78"/>
      <c r="DH58" s="78"/>
      <c r="DI58" s="78"/>
      <c r="DJ58" s="78"/>
      <c r="DK58" s="78"/>
      <c r="DL58" s="78"/>
      <c r="DM58" s="78"/>
      <c r="DN58" s="78"/>
      <c r="DO58" s="78"/>
      <c r="DP58" s="78"/>
      <c r="DQ58" s="78"/>
      <c r="DR58" s="78"/>
      <c r="DS58" s="78"/>
      <c r="DT58" s="78"/>
      <c r="DU58" s="78"/>
      <c r="DV58" s="78"/>
      <c r="DW58" s="78"/>
      <c r="DX58" s="78"/>
      <c r="DY58" s="78"/>
      <c r="DZ58" s="78"/>
      <c r="EA58" s="78"/>
      <c r="EB58" s="78"/>
      <c r="EC58" s="78"/>
      <c r="ED58" s="78"/>
      <c r="EE58" s="78"/>
      <c r="EF58" s="78"/>
      <c r="EG58" s="78"/>
      <c r="EH58" s="78"/>
      <c r="EI58" s="78"/>
      <c r="EJ58" s="78"/>
      <c r="EK58" s="78"/>
      <c r="EL58" s="78"/>
      <c r="EM58" s="78"/>
      <c r="EN58" s="91"/>
      <c r="EO58" s="91"/>
      <c r="EP58" s="91"/>
      <c r="EQ58" s="91"/>
      <c r="ER58" s="91"/>
      <c r="ES58" s="91"/>
    </row>
    <row r="59" spans="1:149" outlineLevel="1">
      <c r="A59" s="29" t="str">
        <f t="shared" si="14"/>
        <v>ENERGY_CERTIFICATE_EST_INPUTNOME_CONSERVATORIA</v>
      </c>
      <c r="B59" s="67" t="s">
        <v>26</v>
      </c>
      <c r="C59" s="68" t="s">
        <v>34</v>
      </c>
      <c r="D59" s="64" t="s">
        <v>40</v>
      </c>
      <c r="E59" s="66" t="s">
        <v>37</v>
      </c>
      <c r="F59" s="66" t="s">
        <v>1993</v>
      </c>
      <c r="G59" s="64" t="str">
        <f>INDEX(Auxiliar!$B$16:$B$24,MATCH(Plano_V3!H59,Auxiliar!$C$16:$C$24,0),1)</f>
        <v>1. Concluído</v>
      </c>
      <c r="H59" s="64">
        <f>VLOOKUP(A59,'Aux - pivots1'!$A:$B,2,0)</f>
        <v>1</v>
      </c>
      <c r="I59" s="180" t="e">
        <f>SUMIFS(Table1[Estimação (horas)],Table1[Tabela],Plano_V3!E59,Table1[Campo],Plano_V3!F59)</f>
        <v>#N/A</v>
      </c>
      <c r="J59" s="180" t="e">
        <f t="shared" si="17"/>
        <v>#N/A</v>
      </c>
      <c r="K59" s="180" t="e">
        <f>SUMIFS(Table1[Horas efetivas],Table1[Tabela],Plano_V3!E59,Table1[Campo],Plano_V3!F59)</f>
        <v>#N/A</v>
      </c>
      <c r="L59" s="180" t="e">
        <f t="shared" si="18"/>
        <v>#N/A</v>
      </c>
      <c r="M59" s="174"/>
      <c r="N59" s="174" t="e">
        <f t="shared" si="19"/>
        <v>#N/A</v>
      </c>
      <c r="O59" s="174" t="e">
        <f t="shared" si="12"/>
        <v>#N/A</v>
      </c>
      <c r="P59" s="89" t="s">
        <v>39</v>
      </c>
      <c r="Q59" s="90" t="e">
        <f t="shared" si="13"/>
        <v>#N/A</v>
      </c>
      <c r="R59" s="78"/>
      <c r="S59" s="78"/>
      <c r="T59" s="78"/>
      <c r="U59" s="78"/>
      <c r="V59" s="78"/>
      <c r="W59" s="78"/>
      <c r="X59" s="78"/>
      <c r="Y59" s="78"/>
      <c r="Z59" s="78"/>
      <c r="AA59" s="78"/>
      <c r="AB59" s="78"/>
      <c r="AC59" s="78"/>
      <c r="AD59" s="78"/>
      <c r="AE59" s="78"/>
      <c r="AF59" s="78"/>
      <c r="AG59" s="78"/>
      <c r="AH59" s="78"/>
      <c r="AI59" s="78"/>
      <c r="AJ59" s="78"/>
      <c r="AK59" s="78"/>
      <c r="AL59" s="78"/>
      <c r="AM59" s="78"/>
      <c r="AN59" s="78"/>
      <c r="AO59" s="78"/>
      <c r="AP59" s="78"/>
      <c r="AQ59" s="78"/>
      <c r="AR59" s="78"/>
      <c r="AS59" s="78"/>
      <c r="AT59" s="78"/>
      <c r="AU59" s="78"/>
      <c r="AV59" s="78"/>
      <c r="AW59" s="78"/>
      <c r="AX59" s="78"/>
      <c r="AY59" s="91"/>
      <c r="AZ59" s="78"/>
      <c r="BA59" s="78"/>
      <c r="BB59" s="78"/>
      <c r="BC59" s="78"/>
      <c r="BD59" s="78"/>
      <c r="BE59" s="78"/>
      <c r="BF59" s="78"/>
      <c r="BG59" s="78"/>
      <c r="BH59" s="78"/>
      <c r="BI59" s="78"/>
      <c r="BJ59" s="78"/>
      <c r="BK59" s="78"/>
      <c r="BL59" s="78"/>
      <c r="BM59" s="78"/>
      <c r="BN59" s="78"/>
      <c r="BO59" s="78"/>
      <c r="BP59" s="78"/>
      <c r="BQ59" s="78"/>
      <c r="BR59" s="78"/>
      <c r="BS59" s="78"/>
      <c r="BT59" s="78"/>
      <c r="BU59" s="78"/>
      <c r="BV59" s="78"/>
      <c r="BW59" s="78"/>
      <c r="BX59" s="78"/>
      <c r="BY59" s="78"/>
      <c r="BZ59" s="78"/>
      <c r="CA59" s="78"/>
      <c r="CB59" s="78"/>
      <c r="CC59" s="78"/>
      <c r="CD59" s="78"/>
      <c r="CE59" s="78"/>
      <c r="CF59" s="78"/>
      <c r="CG59" s="78"/>
      <c r="CH59" s="78"/>
      <c r="CI59" s="78"/>
      <c r="CJ59" s="78"/>
      <c r="CK59" s="78"/>
      <c r="CL59" s="78"/>
      <c r="CM59" s="78"/>
      <c r="CN59" s="78"/>
      <c r="CO59" s="78"/>
      <c r="CP59" s="78"/>
      <c r="CQ59" s="78"/>
      <c r="CR59" s="78"/>
      <c r="CS59" s="78"/>
      <c r="CT59" s="78"/>
      <c r="CU59" s="78"/>
      <c r="CV59" s="78"/>
      <c r="CW59" s="78"/>
      <c r="CX59" s="78"/>
      <c r="CY59" s="78"/>
      <c r="CZ59" s="78"/>
      <c r="DA59" s="78"/>
      <c r="DB59" s="78"/>
      <c r="DC59" s="78"/>
      <c r="DD59" s="78"/>
      <c r="DE59" s="78"/>
      <c r="DF59" s="78"/>
      <c r="DG59" s="78"/>
      <c r="DH59" s="78"/>
      <c r="DI59" s="78"/>
      <c r="DJ59" s="78"/>
      <c r="DK59" s="78"/>
      <c r="DL59" s="78"/>
      <c r="DM59" s="78"/>
      <c r="DN59" s="78"/>
      <c r="DO59" s="78"/>
      <c r="DP59" s="78"/>
      <c r="DQ59" s="78"/>
      <c r="DR59" s="78"/>
      <c r="DS59" s="78"/>
      <c r="DT59" s="78"/>
      <c r="DU59" s="78"/>
      <c r="DV59" s="78"/>
      <c r="DW59" s="78"/>
      <c r="DX59" s="78"/>
      <c r="DY59" s="78"/>
      <c r="DZ59" s="78"/>
      <c r="EA59" s="78"/>
      <c r="EB59" s="78"/>
      <c r="EC59" s="78"/>
      <c r="ED59" s="78"/>
      <c r="EE59" s="78"/>
      <c r="EF59" s="78"/>
      <c r="EG59" s="78"/>
      <c r="EH59" s="78"/>
      <c r="EI59" s="78"/>
      <c r="EJ59" s="78"/>
      <c r="EK59" s="78"/>
      <c r="EL59" s="78"/>
      <c r="EM59" s="78"/>
      <c r="EN59" s="91"/>
      <c r="EO59" s="91"/>
      <c r="EP59" s="91"/>
      <c r="EQ59" s="91"/>
      <c r="ER59" s="91"/>
      <c r="ES59" s="91"/>
    </row>
    <row r="60" spans="1:149" outlineLevel="1">
      <c r="A60" s="29" t="str">
        <f t="shared" si="14"/>
        <v>ENERGY_CERTIFICATE_EST_INPUTCOD_CONSERVATORIA</v>
      </c>
      <c r="B60" s="67" t="s">
        <v>26</v>
      </c>
      <c r="C60" s="68" t="s">
        <v>34</v>
      </c>
      <c r="D60" s="64" t="s">
        <v>40</v>
      </c>
      <c r="E60" s="66" t="s">
        <v>37</v>
      </c>
      <c r="F60" s="66" t="s">
        <v>1994</v>
      </c>
      <c r="G60" s="64" t="str">
        <f>INDEX(Auxiliar!$B$16:$B$24,MATCH(Plano_V3!H60,Auxiliar!$C$16:$C$24,0),1)</f>
        <v>1. Concluído</v>
      </c>
      <c r="H60" s="64">
        <f>VLOOKUP(A60,'Aux - pivots1'!$A:$B,2,0)</f>
        <v>1</v>
      </c>
      <c r="I60" s="180" t="e">
        <f>SUMIFS(Table1[Estimação (horas)],Table1[Tabela],Plano_V3!E60,Table1[Campo],Plano_V3!F60)</f>
        <v>#N/A</v>
      </c>
      <c r="J60" s="180" t="e">
        <f t="shared" si="17"/>
        <v>#N/A</v>
      </c>
      <c r="K60" s="180" t="e">
        <f>SUMIFS(Table1[Horas efetivas],Table1[Tabela],Plano_V3!E60,Table1[Campo],Plano_V3!F60)</f>
        <v>#N/A</v>
      </c>
      <c r="L60" s="180" t="e">
        <f t="shared" si="18"/>
        <v>#N/A</v>
      </c>
      <c r="M60" s="174"/>
      <c r="N60" s="174" t="e">
        <f t="shared" si="19"/>
        <v>#N/A</v>
      </c>
      <c r="O60" s="174" t="e">
        <f t="shared" si="12"/>
        <v>#N/A</v>
      </c>
      <c r="P60" s="89" t="s">
        <v>39</v>
      </c>
      <c r="Q60" s="90" t="e">
        <f t="shared" si="13"/>
        <v>#N/A</v>
      </c>
      <c r="R60" s="78"/>
      <c r="S60" s="78"/>
      <c r="T60" s="78"/>
      <c r="U60" s="78"/>
      <c r="V60" s="78"/>
      <c r="W60" s="78"/>
      <c r="X60" s="78"/>
      <c r="Y60" s="78"/>
      <c r="Z60" s="78"/>
      <c r="AA60" s="78"/>
      <c r="AB60" s="78"/>
      <c r="AC60" s="78"/>
      <c r="AD60" s="78"/>
      <c r="AE60" s="78"/>
      <c r="AF60" s="78"/>
      <c r="AG60" s="78"/>
      <c r="AH60" s="78"/>
      <c r="AI60" s="78"/>
      <c r="AJ60" s="78"/>
      <c r="AK60" s="78"/>
      <c r="AL60" s="78"/>
      <c r="AM60" s="78"/>
      <c r="AN60" s="78"/>
      <c r="AO60" s="78"/>
      <c r="AP60" s="78"/>
      <c r="AQ60" s="78"/>
      <c r="AR60" s="78"/>
      <c r="AS60" s="78"/>
      <c r="AT60" s="78"/>
      <c r="AU60" s="78"/>
      <c r="AV60" s="78"/>
      <c r="AW60" s="78"/>
      <c r="AX60" s="78"/>
      <c r="AY60" s="91"/>
      <c r="AZ60" s="78"/>
      <c r="BA60" s="78"/>
      <c r="BB60" s="78"/>
      <c r="BC60" s="78"/>
      <c r="BD60" s="78"/>
      <c r="BE60" s="78"/>
      <c r="BF60" s="78"/>
      <c r="BG60" s="78"/>
      <c r="BH60" s="78"/>
      <c r="BI60" s="78"/>
      <c r="BJ60" s="78"/>
      <c r="BK60" s="78"/>
      <c r="BL60" s="78"/>
      <c r="BM60" s="78"/>
      <c r="BN60" s="78"/>
      <c r="BO60" s="78"/>
      <c r="BP60" s="78"/>
      <c r="BQ60" s="78"/>
      <c r="BR60" s="78"/>
      <c r="BS60" s="78"/>
      <c r="BT60" s="78"/>
      <c r="BU60" s="78"/>
      <c r="BV60" s="78"/>
      <c r="BW60" s="78"/>
      <c r="BX60" s="78"/>
      <c r="BY60" s="78"/>
      <c r="BZ60" s="78"/>
      <c r="CA60" s="78"/>
      <c r="CB60" s="78"/>
      <c r="CC60" s="78"/>
      <c r="CD60" s="78"/>
      <c r="CE60" s="78"/>
      <c r="CF60" s="78"/>
      <c r="CG60" s="78"/>
      <c r="CH60" s="78"/>
      <c r="CI60" s="78"/>
      <c r="CJ60" s="78"/>
      <c r="CK60" s="78"/>
      <c r="CL60" s="78"/>
      <c r="CM60" s="78"/>
      <c r="CN60" s="78"/>
      <c r="CO60" s="78"/>
      <c r="CP60" s="78"/>
      <c r="CQ60" s="78"/>
      <c r="CR60" s="78"/>
      <c r="CS60" s="78"/>
      <c r="CT60" s="78"/>
      <c r="CU60" s="78"/>
      <c r="CV60" s="78"/>
      <c r="CW60" s="78"/>
      <c r="CX60" s="78"/>
      <c r="CY60" s="78"/>
      <c r="CZ60" s="78"/>
      <c r="DA60" s="78"/>
      <c r="DB60" s="78"/>
      <c r="DC60" s="78"/>
      <c r="DD60" s="78"/>
      <c r="DE60" s="78"/>
      <c r="DF60" s="78"/>
      <c r="DG60" s="78"/>
      <c r="DH60" s="78"/>
      <c r="DI60" s="78"/>
      <c r="DJ60" s="78"/>
      <c r="DK60" s="78"/>
      <c r="DL60" s="78"/>
      <c r="DM60" s="78"/>
      <c r="DN60" s="78"/>
      <c r="DO60" s="78"/>
      <c r="DP60" s="78"/>
      <c r="DQ60" s="78"/>
      <c r="DR60" s="78"/>
      <c r="DS60" s="78"/>
      <c r="DT60" s="78"/>
      <c r="DU60" s="78"/>
      <c r="DV60" s="78"/>
      <c r="DW60" s="78"/>
      <c r="DX60" s="78"/>
      <c r="DY60" s="78"/>
      <c r="DZ60" s="78"/>
      <c r="EA60" s="78"/>
      <c r="EB60" s="78"/>
      <c r="EC60" s="78"/>
      <c r="ED60" s="78"/>
      <c r="EE60" s="78"/>
      <c r="EF60" s="78"/>
      <c r="EG60" s="78"/>
      <c r="EH60" s="78"/>
      <c r="EI60" s="78"/>
      <c r="EJ60" s="78"/>
      <c r="EK60" s="78"/>
      <c r="EL60" s="78"/>
      <c r="EM60" s="78"/>
      <c r="EN60" s="91"/>
      <c r="EO60" s="91"/>
      <c r="EP60" s="91"/>
      <c r="EQ60" s="91"/>
      <c r="ER60" s="91"/>
      <c r="ES60" s="91"/>
    </row>
    <row r="61" spans="1:149" outlineLevel="1">
      <c r="A61" s="29" t="str">
        <f t="shared" si="14"/>
        <v>ENERGY_CERTIFICATE_EST_INPUTREGISTRO_CONSERVATORIA</v>
      </c>
      <c r="B61" s="67" t="s">
        <v>26</v>
      </c>
      <c r="C61" s="68" t="s">
        <v>34</v>
      </c>
      <c r="D61" s="64" t="s">
        <v>40</v>
      </c>
      <c r="E61" s="66" t="s">
        <v>37</v>
      </c>
      <c r="F61" s="66" t="s">
        <v>1995</v>
      </c>
      <c r="G61" s="64" t="str">
        <f>INDEX(Auxiliar!$B$16:$B$24,MATCH(Plano_V3!H61,Auxiliar!$C$16:$C$24,0),1)</f>
        <v>1. Concluído</v>
      </c>
      <c r="H61" s="64">
        <f>VLOOKUP(A61,'Aux - pivots1'!$A:$B,2,0)</f>
        <v>1</v>
      </c>
      <c r="I61" s="180" t="e">
        <f>SUMIFS(Table1[Estimação (horas)],Table1[Tabela],Plano_V3!E61,Table1[Campo],Plano_V3!F61)</f>
        <v>#N/A</v>
      </c>
      <c r="J61" s="180" t="e">
        <f t="shared" si="17"/>
        <v>#N/A</v>
      </c>
      <c r="K61" s="180" t="e">
        <f>SUMIFS(Table1[Horas efetivas],Table1[Tabela],Plano_V3!E61,Table1[Campo],Plano_V3!F61)</f>
        <v>#N/A</v>
      </c>
      <c r="L61" s="180" t="e">
        <f t="shared" si="18"/>
        <v>#N/A</v>
      </c>
      <c r="M61" s="174"/>
      <c r="N61" s="174" t="e">
        <f t="shared" si="19"/>
        <v>#N/A</v>
      </c>
      <c r="O61" s="174" t="e">
        <f t="shared" si="12"/>
        <v>#N/A</v>
      </c>
      <c r="P61" s="89" t="s">
        <v>39</v>
      </c>
      <c r="Q61" s="90" t="e">
        <f t="shared" si="13"/>
        <v>#N/A</v>
      </c>
      <c r="R61" s="78"/>
      <c r="S61" s="78"/>
      <c r="T61" s="78"/>
      <c r="U61" s="78"/>
      <c r="V61" s="78"/>
      <c r="W61" s="78"/>
      <c r="X61" s="78"/>
      <c r="Y61" s="78"/>
      <c r="Z61" s="78"/>
      <c r="AA61" s="78"/>
      <c r="AB61" s="78"/>
      <c r="AC61" s="78"/>
      <c r="AD61" s="78"/>
      <c r="AE61" s="78"/>
      <c r="AF61" s="78"/>
      <c r="AG61" s="78"/>
      <c r="AH61" s="78"/>
      <c r="AI61" s="78"/>
      <c r="AJ61" s="78"/>
      <c r="AK61" s="78"/>
      <c r="AL61" s="78"/>
      <c r="AM61" s="78"/>
      <c r="AN61" s="78"/>
      <c r="AO61" s="78"/>
      <c r="AP61" s="78"/>
      <c r="AQ61" s="78"/>
      <c r="AR61" s="78"/>
      <c r="AS61" s="78"/>
      <c r="AT61" s="78"/>
      <c r="AU61" s="78"/>
      <c r="AV61" s="78"/>
      <c r="AW61" s="78"/>
      <c r="AX61" s="78"/>
      <c r="AY61" s="91"/>
      <c r="AZ61" s="78"/>
      <c r="BA61" s="78"/>
      <c r="BB61" s="78"/>
      <c r="BC61" s="78"/>
      <c r="BD61" s="78"/>
      <c r="BE61" s="78"/>
      <c r="BF61" s="78"/>
      <c r="BG61" s="78"/>
      <c r="BH61" s="78"/>
      <c r="BI61" s="78"/>
      <c r="BJ61" s="78"/>
      <c r="BK61" s="78"/>
      <c r="BL61" s="78"/>
      <c r="BM61" s="78"/>
      <c r="BN61" s="78"/>
      <c r="BO61" s="78"/>
      <c r="BP61" s="78"/>
      <c r="BQ61" s="78"/>
      <c r="BR61" s="78"/>
      <c r="BS61" s="78"/>
      <c r="BT61" s="78"/>
      <c r="BU61" s="78"/>
      <c r="BV61" s="78"/>
      <c r="BW61" s="78"/>
      <c r="BX61" s="78"/>
      <c r="BY61" s="78"/>
      <c r="BZ61" s="78"/>
      <c r="CA61" s="78"/>
      <c r="CB61" s="78"/>
      <c r="CC61" s="78"/>
      <c r="CD61" s="78"/>
      <c r="CE61" s="78"/>
      <c r="CF61" s="78"/>
      <c r="CG61" s="78"/>
      <c r="CH61" s="78"/>
      <c r="CI61" s="78"/>
      <c r="CJ61" s="78"/>
      <c r="CK61" s="78"/>
      <c r="CL61" s="78"/>
      <c r="CM61" s="78"/>
      <c r="CN61" s="78"/>
      <c r="CO61" s="78"/>
      <c r="CP61" s="78"/>
      <c r="CQ61" s="78"/>
      <c r="CR61" s="78"/>
      <c r="CS61" s="78"/>
      <c r="CT61" s="78"/>
      <c r="CU61" s="78"/>
      <c r="CV61" s="78"/>
      <c r="CW61" s="78"/>
      <c r="CX61" s="78"/>
      <c r="CY61" s="78"/>
      <c r="CZ61" s="78"/>
      <c r="DA61" s="78"/>
      <c r="DB61" s="78"/>
      <c r="DC61" s="78"/>
      <c r="DD61" s="78"/>
      <c r="DE61" s="78"/>
      <c r="DF61" s="78"/>
      <c r="DG61" s="78"/>
      <c r="DH61" s="78"/>
      <c r="DI61" s="78"/>
      <c r="DJ61" s="78"/>
      <c r="DK61" s="78"/>
      <c r="DL61" s="78"/>
      <c r="DM61" s="78"/>
      <c r="DN61" s="78"/>
      <c r="DO61" s="78"/>
      <c r="DP61" s="78"/>
      <c r="DQ61" s="78"/>
      <c r="DR61" s="78"/>
      <c r="DS61" s="78"/>
      <c r="DT61" s="78"/>
      <c r="DU61" s="78"/>
      <c r="DV61" s="78"/>
      <c r="DW61" s="78"/>
      <c r="DX61" s="78"/>
      <c r="DY61" s="78"/>
      <c r="DZ61" s="78"/>
      <c r="EA61" s="78"/>
      <c r="EB61" s="78"/>
      <c r="EC61" s="78"/>
      <c r="ED61" s="78"/>
      <c r="EE61" s="78"/>
      <c r="EF61" s="78"/>
      <c r="EG61" s="78"/>
      <c r="EH61" s="78"/>
      <c r="EI61" s="78"/>
      <c r="EJ61" s="78"/>
      <c r="EK61" s="78"/>
      <c r="EL61" s="78"/>
      <c r="EM61" s="78"/>
      <c r="EN61" s="91"/>
      <c r="EO61" s="91"/>
      <c r="EP61" s="91"/>
      <c r="EQ61" s="91"/>
      <c r="ER61" s="91"/>
      <c r="ES61" s="91"/>
    </row>
    <row r="62" spans="1:149" outlineLevel="1">
      <c r="A62" s="29" t="str">
        <f t="shared" si="14"/>
        <v>ENERGY_CERTIFICATE_EST_INPUTART_MATRICIAIS</v>
      </c>
      <c r="B62" s="67" t="s">
        <v>26</v>
      </c>
      <c r="C62" s="68" t="s">
        <v>34</v>
      </c>
      <c r="D62" s="64" t="s">
        <v>40</v>
      </c>
      <c r="E62" s="66" t="s">
        <v>37</v>
      </c>
      <c r="F62" s="66" t="s">
        <v>1996</v>
      </c>
      <c r="G62" s="64" t="str">
        <f>INDEX(Auxiliar!$B$16:$B$24,MATCH(Plano_V3!H62,Auxiliar!$C$16:$C$24,0),1)</f>
        <v>1. Concluído</v>
      </c>
      <c r="H62" s="64">
        <f>VLOOKUP(A62,'Aux - pivots1'!$A:$B,2,0)</f>
        <v>1</v>
      </c>
      <c r="I62" s="180" t="e">
        <f>SUMIFS(Table1[Estimação (horas)],Table1[Tabela],Plano_V3!E62,Table1[Campo],Plano_V3!F62)</f>
        <v>#N/A</v>
      </c>
      <c r="J62" s="180" t="e">
        <f t="shared" si="17"/>
        <v>#N/A</v>
      </c>
      <c r="K62" s="180" t="e">
        <f>SUMIFS(Table1[Horas efetivas],Table1[Tabela],Plano_V3!E62,Table1[Campo],Plano_V3!F62)</f>
        <v>#N/A</v>
      </c>
      <c r="L62" s="180" t="e">
        <f t="shared" si="18"/>
        <v>#N/A</v>
      </c>
      <c r="M62" s="174"/>
      <c r="N62" s="174" t="e">
        <f t="shared" si="19"/>
        <v>#N/A</v>
      </c>
      <c r="O62" s="174" t="e">
        <f t="shared" si="12"/>
        <v>#N/A</v>
      </c>
      <c r="P62" s="89" t="s">
        <v>39</v>
      </c>
      <c r="Q62" s="90" t="e">
        <f t="shared" si="13"/>
        <v>#N/A</v>
      </c>
      <c r="R62" s="78"/>
      <c r="S62" s="78"/>
      <c r="T62" s="78"/>
      <c r="U62" s="78"/>
      <c r="V62" s="78"/>
      <c r="W62" s="78"/>
      <c r="X62" s="78"/>
      <c r="Y62" s="78"/>
      <c r="Z62" s="78"/>
      <c r="AA62" s="78"/>
      <c r="AB62" s="78"/>
      <c r="AC62" s="78"/>
      <c r="AD62" s="78"/>
      <c r="AE62" s="78"/>
      <c r="AF62" s="78"/>
      <c r="AG62" s="78"/>
      <c r="AH62" s="78"/>
      <c r="AI62" s="78"/>
      <c r="AJ62" s="78"/>
      <c r="AK62" s="78"/>
      <c r="AL62" s="78"/>
      <c r="AM62" s="78"/>
      <c r="AN62" s="78"/>
      <c r="AO62" s="78"/>
      <c r="AP62" s="78"/>
      <c r="AQ62" s="78"/>
      <c r="AR62" s="78"/>
      <c r="AS62" s="78"/>
      <c r="AT62" s="78"/>
      <c r="AU62" s="78"/>
      <c r="AV62" s="78"/>
      <c r="AW62" s="78"/>
      <c r="AX62" s="78"/>
      <c r="AY62" s="91"/>
      <c r="AZ62" s="78"/>
      <c r="BA62" s="78"/>
      <c r="BB62" s="78"/>
      <c r="BC62" s="78"/>
      <c r="BD62" s="78"/>
      <c r="BE62" s="78"/>
      <c r="BF62" s="78"/>
      <c r="BG62" s="78"/>
      <c r="BH62" s="78"/>
      <c r="BI62" s="78"/>
      <c r="BJ62" s="78"/>
      <c r="BK62" s="78"/>
      <c r="BL62" s="78"/>
      <c r="BM62" s="78"/>
      <c r="BN62" s="78"/>
      <c r="BO62" s="78"/>
      <c r="BP62" s="78"/>
      <c r="BQ62" s="78"/>
      <c r="BR62" s="78"/>
      <c r="BS62" s="78"/>
      <c r="BT62" s="78"/>
      <c r="BU62" s="78"/>
      <c r="BV62" s="78"/>
      <c r="BW62" s="78"/>
      <c r="BX62" s="78"/>
      <c r="BY62" s="78"/>
      <c r="BZ62" s="78"/>
      <c r="CA62" s="78"/>
      <c r="CB62" s="78"/>
      <c r="CC62" s="78"/>
      <c r="CD62" s="78"/>
      <c r="CE62" s="78"/>
      <c r="CF62" s="78"/>
      <c r="CG62" s="78"/>
      <c r="CH62" s="78"/>
      <c r="CI62" s="78"/>
      <c r="CJ62" s="78"/>
      <c r="CK62" s="78"/>
      <c r="CL62" s="78"/>
      <c r="CM62" s="78"/>
      <c r="CN62" s="78"/>
      <c r="CO62" s="78"/>
      <c r="CP62" s="78"/>
      <c r="CQ62" s="78"/>
      <c r="CR62" s="78"/>
      <c r="CS62" s="78"/>
      <c r="CT62" s="78"/>
      <c r="CU62" s="78"/>
      <c r="CV62" s="78"/>
      <c r="CW62" s="78"/>
      <c r="CX62" s="78"/>
      <c r="CY62" s="78"/>
      <c r="CZ62" s="78"/>
      <c r="DA62" s="78"/>
      <c r="DB62" s="78"/>
      <c r="DC62" s="78"/>
      <c r="DD62" s="78"/>
      <c r="DE62" s="78"/>
      <c r="DF62" s="78"/>
      <c r="DG62" s="78"/>
      <c r="DH62" s="78"/>
      <c r="DI62" s="78"/>
      <c r="DJ62" s="78"/>
      <c r="DK62" s="78"/>
      <c r="DL62" s="78"/>
      <c r="DM62" s="78"/>
      <c r="DN62" s="78"/>
      <c r="DO62" s="78"/>
      <c r="DP62" s="78"/>
      <c r="DQ62" s="78"/>
      <c r="DR62" s="78"/>
      <c r="DS62" s="78"/>
      <c r="DT62" s="78"/>
      <c r="DU62" s="78"/>
      <c r="DV62" s="78"/>
      <c r="DW62" s="78"/>
      <c r="DX62" s="78"/>
      <c r="DY62" s="78"/>
      <c r="DZ62" s="78"/>
      <c r="EA62" s="78"/>
      <c r="EB62" s="78"/>
      <c r="EC62" s="78"/>
      <c r="ED62" s="78"/>
      <c r="EE62" s="78"/>
      <c r="EF62" s="78"/>
      <c r="EG62" s="78"/>
      <c r="EH62" s="78"/>
      <c r="EI62" s="78"/>
      <c r="EJ62" s="78"/>
      <c r="EK62" s="78"/>
      <c r="EL62" s="78"/>
      <c r="EM62" s="78"/>
      <c r="EN62" s="91"/>
      <c r="EO62" s="91"/>
      <c r="EP62" s="91"/>
      <c r="EQ62" s="91"/>
      <c r="ER62" s="91"/>
      <c r="ES62" s="91"/>
    </row>
    <row r="63" spans="1:149" outlineLevel="1">
      <c r="A63" s="29" t="str">
        <f t="shared" si="14"/>
        <v>ENERGY_CERTIFICATE_EST_INPUTFRACCAO_AUTONOMA</v>
      </c>
      <c r="B63" s="67" t="s">
        <v>26</v>
      </c>
      <c r="C63" s="68" t="s">
        <v>34</v>
      </c>
      <c r="D63" s="64" t="s">
        <v>40</v>
      </c>
      <c r="E63" s="66" t="s">
        <v>37</v>
      </c>
      <c r="F63" s="66" t="s">
        <v>1997</v>
      </c>
      <c r="G63" s="64" t="str">
        <f>INDEX(Auxiliar!$B$16:$B$24,MATCH(Plano_V3!H63,Auxiliar!$C$16:$C$24,0),1)</f>
        <v>1. Concluído</v>
      </c>
      <c r="H63" s="64">
        <f>VLOOKUP(A63,'Aux - pivots1'!$A:$B,2,0)</f>
        <v>1</v>
      </c>
      <c r="I63" s="180" t="e">
        <f>SUMIFS(Table1[Estimação (horas)],Table1[Tabela],Plano_V3!E63,Table1[Campo],Plano_V3!F63)</f>
        <v>#N/A</v>
      </c>
      <c r="J63" s="180" t="e">
        <f t="shared" si="17"/>
        <v>#N/A</v>
      </c>
      <c r="K63" s="180" t="e">
        <f>SUMIFS(Table1[Horas efetivas],Table1[Tabela],Plano_V3!E63,Table1[Campo],Plano_V3!F63)</f>
        <v>#N/A</v>
      </c>
      <c r="L63" s="180" t="e">
        <f t="shared" si="18"/>
        <v>#N/A</v>
      </c>
      <c r="M63" s="174"/>
      <c r="N63" s="174" t="e">
        <f t="shared" si="19"/>
        <v>#N/A</v>
      </c>
      <c r="O63" s="174" t="e">
        <f t="shared" si="12"/>
        <v>#N/A</v>
      </c>
      <c r="P63" s="89" t="s">
        <v>39</v>
      </c>
      <c r="Q63" s="90" t="e">
        <f t="shared" si="13"/>
        <v>#N/A</v>
      </c>
      <c r="R63" s="78"/>
      <c r="S63" s="78"/>
      <c r="T63" s="78"/>
      <c r="U63" s="78"/>
      <c r="V63" s="78"/>
      <c r="W63" s="78"/>
      <c r="X63" s="78"/>
      <c r="Y63" s="78"/>
      <c r="Z63" s="78"/>
      <c r="AA63" s="78"/>
      <c r="AB63" s="78"/>
      <c r="AC63" s="78"/>
      <c r="AD63" s="78"/>
      <c r="AE63" s="78"/>
      <c r="AF63" s="78"/>
      <c r="AG63" s="78"/>
      <c r="AH63" s="78"/>
      <c r="AI63" s="78"/>
      <c r="AJ63" s="78"/>
      <c r="AK63" s="78"/>
      <c r="AL63" s="78"/>
      <c r="AM63" s="78"/>
      <c r="AN63" s="78"/>
      <c r="AO63" s="78"/>
      <c r="AP63" s="78"/>
      <c r="AQ63" s="78"/>
      <c r="AR63" s="78"/>
      <c r="AS63" s="78"/>
      <c r="AT63" s="78"/>
      <c r="AU63" s="78"/>
      <c r="AV63" s="78"/>
      <c r="AW63" s="78"/>
      <c r="AX63" s="78"/>
      <c r="AY63" s="91"/>
      <c r="AZ63" s="78"/>
      <c r="BA63" s="78"/>
      <c r="BB63" s="78"/>
      <c r="BC63" s="78"/>
      <c r="BD63" s="78"/>
      <c r="BE63" s="78"/>
      <c r="BF63" s="78"/>
      <c r="BG63" s="78"/>
      <c r="BH63" s="78"/>
      <c r="BI63" s="78"/>
      <c r="BJ63" s="78"/>
      <c r="BK63" s="78"/>
      <c r="BL63" s="78"/>
      <c r="BM63" s="78"/>
      <c r="BN63" s="78"/>
      <c r="BO63" s="78"/>
      <c r="BP63" s="78"/>
      <c r="BQ63" s="78"/>
      <c r="BR63" s="78"/>
      <c r="BS63" s="78"/>
      <c r="BT63" s="78"/>
      <c r="BU63" s="78"/>
      <c r="BV63" s="78"/>
      <c r="BW63" s="78"/>
      <c r="BX63" s="78"/>
      <c r="BY63" s="78"/>
      <c r="BZ63" s="78"/>
      <c r="CA63" s="78"/>
      <c r="CB63" s="78"/>
      <c r="CC63" s="78"/>
      <c r="CD63" s="78"/>
      <c r="CE63" s="78"/>
      <c r="CF63" s="78"/>
      <c r="CG63" s="78"/>
      <c r="CH63" s="78"/>
      <c r="CI63" s="78"/>
      <c r="CJ63" s="78"/>
      <c r="CK63" s="78"/>
      <c r="CL63" s="78"/>
      <c r="CM63" s="78"/>
      <c r="CN63" s="78"/>
      <c r="CO63" s="78"/>
      <c r="CP63" s="78"/>
      <c r="CQ63" s="78"/>
      <c r="CR63" s="78"/>
      <c r="CS63" s="78"/>
      <c r="CT63" s="78"/>
      <c r="CU63" s="78"/>
      <c r="CV63" s="78"/>
      <c r="CW63" s="78"/>
      <c r="CX63" s="78"/>
      <c r="CY63" s="78"/>
      <c r="CZ63" s="78"/>
      <c r="DA63" s="78"/>
      <c r="DB63" s="78"/>
      <c r="DC63" s="78"/>
      <c r="DD63" s="78"/>
      <c r="DE63" s="78"/>
      <c r="DF63" s="78"/>
      <c r="DG63" s="78"/>
      <c r="DH63" s="78"/>
      <c r="DI63" s="78"/>
      <c r="DJ63" s="78"/>
      <c r="DK63" s="78"/>
      <c r="DL63" s="78"/>
      <c r="DM63" s="78"/>
      <c r="DN63" s="78"/>
      <c r="DO63" s="78"/>
      <c r="DP63" s="78"/>
      <c r="DQ63" s="78"/>
      <c r="DR63" s="78"/>
      <c r="DS63" s="78"/>
      <c r="DT63" s="78"/>
      <c r="DU63" s="78"/>
      <c r="DV63" s="78"/>
      <c r="DW63" s="78"/>
      <c r="DX63" s="78"/>
      <c r="DY63" s="78"/>
      <c r="DZ63" s="78"/>
      <c r="EA63" s="78"/>
      <c r="EB63" s="78"/>
      <c r="EC63" s="78"/>
      <c r="ED63" s="78"/>
      <c r="EE63" s="78"/>
      <c r="EF63" s="78"/>
      <c r="EG63" s="78"/>
      <c r="EH63" s="78"/>
      <c r="EI63" s="78"/>
      <c r="EJ63" s="78"/>
      <c r="EK63" s="78"/>
      <c r="EL63" s="78"/>
      <c r="EM63" s="78"/>
      <c r="EN63" s="91"/>
      <c r="EO63" s="91"/>
      <c r="EP63" s="91"/>
      <c r="EQ63" s="91"/>
      <c r="ER63" s="91"/>
      <c r="ES63" s="91"/>
    </row>
    <row r="64" spans="1:149" outlineLevel="1">
      <c r="A64" s="29" t="str">
        <f t="shared" si="14"/>
        <v>ENERGY_CERTIFICATE_EST_INPUTFINALIDADE_BEM</v>
      </c>
      <c r="B64" s="67" t="s">
        <v>26</v>
      </c>
      <c r="C64" s="68" t="s">
        <v>34</v>
      </c>
      <c r="D64" s="64" t="s">
        <v>40</v>
      </c>
      <c r="E64" s="66" t="s">
        <v>37</v>
      </c>
      <c r="F64" s="66" t="s">
        <v>1998</v>
      </c>
      <c r="G64" s="64" t="str">
        <f>INDEX(Auxiliar!$B$16:$B$24,MATCH(Plano_V3!H64,Auxiliar!$C$16:$C$24,0),1)</f>
        <v>1. Concluído</v>
      </c>
      <c r="H64" s="64">
        <f>VLOOKUP(A64,'Aux - pivots1'!$A:$B,2,0)</f>
        <v>1</v>
      </c>
      <c r="I64" s="180" t="e">
        <f>SUMIFS(Table1[Estimação (horas)],Table1[Tabela],Plano_V3!E64,Table1[Campo],Plano_V3!F64)</f>
        <v>#N/A</v>
      </c>
      <c r="J64" s="180" t="e">
        <f t="shared" si="17"/>
        <v>#N/A</v>
      </c>
      <c r="K64" s="180" t="e">
        <f>SUMIFS(Table1[Horas efetivas],Table1[Tabela],Plano_V3!E64,Table1[Campo],Plano_V3!F64)</f>
        <v>#N/A</v>
      </c>
      <c r="L64" s="180" t="e">
        <f t="shared" si="18"/>
        <v>#N/A</v>
      </c>
      <c r="M64" s="174"/>
      <c r="N64" s="174" t="e">
        <f t="shared" si="19"/>
        <v>#N/A</v>
      </c>
      <c r="O64" s="174" t="e">
        <f t="shared" si="12"/>
        <v>#N/A</v>
      </c>
      <c r="P64" s="89" t="s">
        <v>39</v>
      </c>
      <c r="Q64" s="90" t="e">
        <f t="shared" si="13"/>
        <v>#N/A</v>
      </c>
      <c r="R64" s="78"/>
      <c r="S64" s="78"/>
      <c r="T64" s="78"/>
      <c r="U64" s="78"/>
      <c r="V64" s="78"/>
      <c r="W64" s="78"/>
      <c r="X64" s="78"/>
      <c r="Y64" s="78"/>
      <c r="Z64" s="78"/>
      <c r="AA64" s="78"/>
      <c r="AB64" s="78"/>
      <c r="AC64" s="78"/>
      <c r="AD64" s="78"/>
      <c r="AE64" s="78"/>
      <c r="AF64" s="78"/>
      <c r="AG64" s="78"/>
      <c r="AH64" s="78"/>
      <c r="AI64" s="78"/>
      <c r="AJ64" s="78"/>
      <c r="AK64" s="78"/>
      <c r="AL64" s="78"/>
      <c r="AM64" s="78"/>
      <c r="AN64" s="78"/>
      <c r="AO64" s="78"/>
      <c r="AP64" s="78"/>
      <c r="AQ64" s="78"/>
      <c r="AR64" s="78"/>
      <c r="AS64" s="78"/>
      <c r="AT64" s="78"/>
      <c r="AU64" s="78"/>
      <c r="AV64" s="78"/>
      <c r="AW64" s="78"/>
      <c r="AX64" s="78"/>
      <c r="AY64" s="91"/>
      <c r="AZ64" s="78"/>
      <c r="BA64" s="78"/>
      <c r="BB64" s="78"/>
      <c r="BC64" s="78"/>
      <c r="BD64" s="78"/>
      <c r="BE64" s="78"/>
      <c r="BF64" s="78"/>
      <c r="BG64" s="78"/>
      <c r="BH64" s="78"/>
      <c r="BI64" s="78"/>
      <c r="BJ64" s="78"/>
      <c r="BK64" s="78"/>
      <c r="BL64" s="78"/>
      <c r="BM64" s="78"/>
      <c r="BN64" s="78"/>
      <c r="BO64" s="78"/>
      <c r="BP64" s="78"/>
      <c r="BQ64" s="78"/>
      <c r="BR64" s="78"/>
      <c r="BS64" s="78"/>
      <c r="BT64" s="78"/>
      <c r="BU64" s="78"/>
      <c r="BV64" s="78"/>
      <c r="BW64" s="78"/>
      <c r="BX64" s="78"/>
      <c r="BY64" s="78"/>
      <c r="BZ64" s="78"/>
      <c r="CA64" s="78"/>
      <c r="CB64" s="78"/>
      <c r="CC64" s="78"/>
      <c r="CD64" s="78"/>
      <c r="CE64" s="78"/>
      <c r="CF64" s="78"/>
      <c r="CG64" s="78"/>
      <c r="CH64" s="78"/>
      <c r="CI64" s="78"/>
      <c r="CJ64" s="78"/>
      <c r="CK64" s="78"/>
      <c r="CL64" s="78"/>
      <c r="CM64" s="78"/>
      <c r="CN64" s="78"/>
      <c r="CO64" s="78"/>
      <c r="CP64" s="78"/>
      <c r="CQ64" s="78"/>
      <c r="CR64" s="78"/>
      <c r="CS64" s="78"/>
      <c r="CT64" s="78"/>
      <c r="CU64" s="78"/>
      <c r="CV64" s="78"/>
      <c r="CW64" s="78"/>
      <c r="CX64" s="78"/>
      <c r="CY64" s="78"/>
      <c r="CZ64" s="78"/>
      <c r="DA64" s="78"/>
      <c r="DB64" s="78"/>
      <c r="DC64" s="78"/>
      <c r="DD64" s="78"/>
      <c r="DE64" s="78"/>
      <c r="DF64" s="78"/>
      <c r="DG64" s="78"/>
      <c r="DH64" s="78"/>
      <c r="DI64" s="78"/>
      <c r="DJ64" s="78"/>
      <c r="DK64" s="78"/>
      <c r="DL64" s="78"/>
      <c r="DM64" s="78"/>
      <c r="DN64" s="78"/>
      <c r="DO64" s="78"/>
      <c r="DP64" s="78"/>
      <c r="DQ64" s="78"/>
      <c r="DR64" s="78"/>
      <c r="DS64" s="78"/>
      <c r="DT64" s="78"/>
      <c r="DU64" s="78"/>
      <c r="DV64" s="78"/>
      <c r="DW64" s="78"/>
      <c r="DX64" s="78"/>
      <c r="DY64" s="78"/>
      <c r="DZ64" s="78"/>
      <c r="EA64" s="78"/>
      <c r="EB64" s="78"/>
      <c r="EC64" s="78"/>
      <c r="ED64" s="78"/>
      <c r="EE64" s="78"/>
      <c r="EF64" s="78"/>
      <c r="EG64" s="78"/>
      <c r="EH64" s="78"/>
      <c r="EI64" s="78"/>
      <c r="EJ64" s="78"/>
      <c r="EK64" s="78"/>
      <c r="EL64" s="78"/>
      <c r="EM64" s="78"/>
      <c r="EN64" s="91"/>
      <c r="EO64" s="91"/>
      <c r="EP64" s="91"/>
      <c r="EQ64" s="91"/>
      <c r="ER64" s="91"/>
      <c r="ES64" s="91"/>
    </row>
    <row r="65" spans="1:149" outlineLevel="1">
      <c r="A65" s="29" t="str">
        <f t="shared" si="14"/>
        <v>ENERGY_CERTIFICATE_EST_INPUTCLASS_GPT31</v>
      </c>
      <c r="B65" s="67" t="s">
        <v>26</v>
      </c>
      <c r="C65" s="68" t="s">
        <v>34</v>
      </c>
      <c r="D65" s="64" t="s">
        <v>40</v>
      </c>
      <c r="E65" s="66" t="s">
        <v>37</v>
      </c>
      <c r="F65" s="66" t="s">
        <v>1999</v>
      </c>
      <c r="G65" s="64" t="str">
        <f>INDEX(Auxiliar!$B$16:$B$24,MATCH(Plano_V3!H65,Auxiliar!$C$16:$C$24,0),1)</f>
        <v>1. Concluído</v>
      </c>
      <c r="H65" s="64">
        <f>VLOOKUP(A65,'Aux - pivots1'!$A:$B,2,0)</f>
        <v>1</v>
      </c>
      <c r="I65" s="180" t="e">
        <f>SUMIFS(Table1[Estimação (horas)],Table1[Tabela],Plano_V3!E65,Table1[Campo],Plano_V3!F65)</f>
        <v>#N/A</v>
      </c>
      <c r="J65" s="180" t="e">
        <f t="shared" si="17"/>
        <v>#N/A</v>
      </c>
      <c r="K65" s="180" t="e">
        <f>SUMIFS(Table1[Horas efetivas],Table1[Tabela],Plano_V3!E65,Table1[Campo],Plano_V3!F65)</f>
        <v>#N/A</v>
      </c>
      <c r="L65" s="180" t="e">
        <f t="shared" si="18"/>
        <v>#N/A</v>
      </c>
      <c r="M65" s="174"/>
      <c r="N65" s="174" t="e">
        <f t="shared" si="19"/>
        <v>#N/A</v>
      </c>
      <c r="O65" s="174" t="e">
        <f t="shared" si="12"/>
        <v>#N/A</v>
      </c>
      <c r="P65" s="89" t="s">
        <v>39</v>
      </c>
      <c r="Q65" s="90" t="e">
        <f t="shared" si="13"/>
        <v>#N/A</v>
      </c>
      <c r="R65" s="78"/>
      <c r="S65" s="78"/>
      <c r="T65" s="78"/>
      <c r="U65" s="78"/>
      <c r="V65" s="78"/>
      <c r="W65" s="78"/>
      <c r="X65" s="78"/>
      <c r="Y65" s="78"/>
      <c r="Z65" s="78"/>
      <c r="AA65" s="78"/>
      <c r="AB65" s="78"/>
      <c r="AC65" s="78"/>
      <c r="AD65" s="78"/>
      <c r="AE65" s="78"/>
      <c r="AF65" s="78"/>
      <c r="AG65" s="78"/>
      <c r="AH65" s="78"/>
      <c r="AI65" s="78"/>
      <c r="AJ65" s="78"/>
      <c r="AK65" s="78"/>
      <c r="AL65" s="78"/>
      <c r="AM65" s="78"/>
      <c r="AN65" s="78"/>
      <c r="AO65" s="78"/>
      <c r="AP65" s="78"/>
      <c r="AQ65" s="78"/>
      <c r="AR65" s="78"/>
      <c r="AS65" s="78"/>
      <c r="AT65" s="78"/>
      <c r="AU65" s="78"/>
      <c r="AV65" s="78"/>
      <c r="AW65" s="78"/>
      <c r="AX65" s="78"/>
      <c r="AY65" s="91"/>
      <c r="AZ65" s="78"/>
      <c r="BA65" s="78"/>
      <c r="BB65" s="78"/>
      <c r="BC65" s="78"/>
      <c r="BD65" s="78"/>
      <c r="BE65" s="78"/>
      <c r="BF65" s="78"/>
      <c r="BG65" s="78"/>
      <c r="BH65" s="78"/>
      <c r="BI65" s="78"/>
      <c r="BJ65" s="78"/>
      <c r="BK65" s="78"/>
      <c r="BL65" s="78"/>
      <c r="BM65" s="78"/>
      <c r="BN65" s="78"/>
      <c r="BO65" s="78"/>
      <c r="BP65" s="78"/>
      <c r="BQ65" s="78"/>
      <c r="BR65" s="78"/>
      <c r="BS65" s="78"/>
      <c r="BT65" s="78"/>
      <c r="BU65" s="78"/>
      <c r="BV65" s="78"/>
      <c r="BW65" s="78"/>
      <c r="BX65" s="78"/>
      <c r="BY65" s="78"/>
      <c r="BZ65" s="78"/>
      <c r="CA65" s="78"/>
      <c r="CB65" s="78"/>
      <c r="CC65" s="78"/>
      <c r="CD65" s="78"/>
      <c r="CE65" s="78"/>
      <c r="CF65" s="78"/>
      <c r="CG65" s="78"/>
      <c r="CH65" s="78"/>
      <c r="CI65" s="78"/>
      <c r="CJ65" s="78"/>
      <c r="CK65" s="78"/>
      <c r="CL65" s="78"/>
      <c r="CM65" s="78"/>
      <c r="CN65" s="78"/>
      <c r="CO65" s="78"/>
      <c r="CP65" s="78"/>
      <c r="CQ65" s="78"/>
      <c r="CR65" s="78"/>
      <c r="CS65" s="78"/>
      <c r="CT65" s="78"/>
      <c r="CU65" s="78"/>
      <c r="CV65" s="78"/>
      <c r="CW65" s="78"/>
      <c r="CX65" s="78"/>
      <c r="CY65" s="78"/>
      <c r="CZ65" s="78"/>
      <c r="DA65" s="78"/>
      <c r="DB65" s="78"/>
      <c r="DC65" s="78"/>
      <c r="DD65" s="78"/>
      <c r="DE65" s="78"/>
      <c r="DF65" s="78"/>
      <c r="DG65" s="78"/>
      <c r="DH65" s="78"/>
      <c r="DI65" s="78"/>
      <c r="DJ65" s="78"/>
      <c r="DK65" s="78"/>
      <c r="DL65" s="78"/>
      <c r="DM65" s="78"/>
      <c r="DN65" s="78"/>
      <c r="DO65" s="78"/>
      <c r="DP65" s="78"/>
      <c r="DQ65" s="78"/>
      <c r="DR65" s="78"/>
      <c r="DS65" s="78"/>
      <c r="DT65" s="78"/>
      <c r="DU65" s="78"/>
      <c r="DV65" s="78"/>
      <c r="DW65" s="78"/>
      <c r="DX65" s="78"/>
      <c r="DY65" s="78"/>
      <c r="DZ65" s="78"/>
      <c r="EA65" s="78"/>
      <c r="EB65" s="78"/>
      <c r="EC65" s="78"/>
      <c r="ED65" s="78"/>
      <c r="EE65" s="78"/>
      <c r="EF65" s="78"/>
      <c r="EG65" s="78"/>
      <c r="EH65" s="78"/>
      <c r="EI65" s="78"/>
      <c r="EJ65" s="78"/>
      <c r="EK65" s="78"/>
      <c r="EL65" s="78"/>
      <c r="EM65" s="78"/>
      <c r="EN65" s="91"/>
      <c r="EO65" s="91"/>
      <c r="EP65" s="91"/>
      <c r="EQ65" s="91"/>
      <c r="ER65" s="91"/>
      <c r="ES65" s="91"/>
    </row>
    <row r="66" spans="1:149" outlineLevel="1">
      <c r="A66" s="29" t="str">
        <f t="shared" si="14"/>
        <v>ENERGY_CERTIFICATE_EST_INPUTCLASS_STCLIM</v>
      </c>
      <c r="B66" s="67" t="s">
        <v>26</v>
      </c>
      <c r="C66" s="68" t="s">
        <v>34</v>
      </c>
      <c r="D66" s="64" t="s">
        <v>40</v>
      </c>
      <c r="E66" s="66" t="s">
        <v>37</v>
      </c>
      <c r="F66" s="66" t="s">
        <v>2000</v>
      </c>
      <c r="G66" s="64" t="str">
        <f>INDEX(Auxiliar!$B$16:$B$24,MATCH(Plano_V3!H66,Auxiliar!$C$16:$C$24,0),1)</f>
        <v>1. Concluído</v>
      </c>
      <c r="H66" s="64">
        <f>VLOOKUP(A66,'Aux - pivots1'!$A:$B,2,0)</f>
        <v>1</v>
      </c>
      <c r="I66" s="180" t="e">
        <f>SUMIFS(Table1[Estimação (horas)],Table1[Tabela],Plano_V3!E66,Table1[Campo],Plano_V3!F66)</f>
        <v>#N/A</v>
      </c>
      <c r="J66" s="180" t="e">
        <f t="shared" si="17"/>
        <v>#N/A</v>
      </c>
      <c r="K66" s="180" t="e">
        <f>SUMIFS(Table1[Horas efetivas],Table1[Tabela],Plano_V3!E66,Table1[Campo],Plano_V3!F66)</f>
        <v>#N/A</v>
      </c>
      <c r="L66" s="180" t="e">
        <f t="shared" si="18"/>
        <v>#N/A</v>
      </c>
      <c r="M66" s="174"/>
      <c r="N66" s="174" t="e">
        <f t="shared" si="19"/>
        <v>#N/A</v>
      </c>
      <c r="O66" s="174" t="e">
        <f t="shared" si="12"/>
        <v>#N/A</v>
      </c>
      <c r="P66" s="89" t="s">
        <v>39</v>
      </c>
      <c r="Q66" s="90" t="e">
        <f t="shared" si="13"/>
        <v>#N/A</v>
      </c>
      <c r="R66" s="78"/>
      <c r="S66" s="78"/>
      <c r="T66" s="78"/>
      <c r="U66" s="78"/>
      <c r="V66" s="78"/>
      <c r="W66" s="78"/>
      <c r="X66" s="78"/>
      <c r="Y66" s="78"/>
      <c r="Z66" s="78"/>
      <c r="AA66" s="78"/>
      <c r="AB66" s="78"/>
      <c r="AC66" s="78"/>
      <c r="AD66" s="78"/>
      <c r="AE66" s="78"/>
      <c r="AF66" s="78"/>
      <c r="AG66" s="78"/>
      <c r="AH66" s="78"/>
      <c r="AI66" s="78"/>
      <c r="AJ66" s="78"/>
      <c r="AK66" s="78"/>
      <c r="AL66" s="78"/>
      <c r="AM66" s="78"/>
      <c r="AN66" s="78"/>
      <c r="AO66" s="78"/>
      <c r="AP66" s="78"/>
      <c r="AQ66" s="78"/>
      <c r="AR66" s="78"/>
      <c r="AS66" s="78"/>
      <c r="AT66" s="78"/>
      <c r="AU66" s="78"/>
      <c r="AV66" s="78"/>
      <c r="AW66" s="78"/>
      <c r="AX66" s="78"/>
      <c r="AY66" s="91"/>
      <c r="AZ66" s="78"/>
      <c r="BA66" s="78"/>
      <c r="BB66" s="78"/>
      <c r="BC66" s="78"/>
      <c r="BD66" s="78"/>
      <c r="BE66" s="78"/>
      <c r="BF66" s="78"/>
      <c r="BG66" s="78"/>
      <c r="BH66" s="78"/>
      <c r="BI66" s="78"/>
      <c r="BJ66" s="78"/>
      <c r="BK66" s="78"/>
      <c r="BL66" s="78"/>
      <c r="BM66" s="78"/>
      <c r="BN66" s="78"/>
      <c r="BO66" s="78"/>
      <c r="BP66" s="78"/>
      <c r="BQ66" s="78"/>
      <c r="BR66" s="78"/>
      <c r="BS66" s="78"/>
      <c r="BT66" s="78"/>
      <c r="BU66" s="78"/>
      <c r="BV66" s="78"/>
      <c r="BW66" s="78"/>
      <c r="BX66" s="78"/>
      <c r="BY66" s="78"/>
      <c r="BZ66" s="78"/>
      <c r="CA66" s="78"/>
      <c r="CB66" s="78"/>
      <c r="CC66" s="78"/>
      <c r="CD66" s="78"/>
      <c r="CE66" s="78"/>
      <c r="CF66" s="78"/>
      <c r="CG66" s="78"/>
      <c r="CH66" s="78"/>
      <c r="CI66" s="78"/>
      <c r="CJ66" s="78"/>
      <c r="CK66" s="78"/>
      <c r="CL66" s="78"/>
      <c r="CM66" s="78"/>
      <c r="CN66" s="78"/>
      <c r="CO66" s="78"/>
      <c r="CP66" s="78"/>
      <c r="CQ66" s="78"/>
      <c r="CR66" s="78"/>
      <c r="CS66" s="78"/>
      <c r="CT66" s="78"/>
      <c r="CU66" s="78"/>
      <c r="CV66" s="78"/>
      <c r="CW66" s="78"/>
      <c r="CX66" s="78"/>
      <c r="CY66" s="78"/>
      <c r="CZ66" s="78"/>
      <c r="DA66" s="78"/>
      <c r="DB66" s="78"/>
      <c r="DC66" s="78"/>
      <c r="DD66" s="78"/>
      <c r="DE66" s="78"/>
      <c r="DF66" s="78"/>
      <c r="DG66" s="78"/>
      <c r="DH66" s="78"/>
      <c r="DI66" s="78"/>
      <c r="DJ66" s="78"/>
      <c r="DK66" s="78"/>
      <c r="DL66" s="78"/>
      <c r="DM66" s="78"/>
      <c r="DN66" s="78"/>
      <c r="DO66" s="78"/>
      <c r="DP66" s="78"/>
      <c r="DQ66" s="78"/>
      <c r="DR66" s="78"/>
      <c r="DS66" s="78"/>
      <c r="DT66" s="78"/>
      <c r="DU66" s="78"/>
      <c r="DV66" s="78"/>
      <c r="DW66" s="78"/>
      <c r="DX66" s="78"/>
      <c r="DY66" s="78"/>
      <c r="DZ66" s="78"/>
      <c r="EA66" s="78"/>
      <c r="EB66" s="78"/>
      <c r="EC66" s="78"/>
      <c r="ED66" s="78"/>
      <c r="EE66" s="78"/>
      <c r="EF66" s="78"/>
      <c r="EG66" s="78"/>
      <c r="EH66" s="78"/>
      <c r="EI66" s="78"/>
      <c r="EJ66" s="78"/>
      <c r="EK66" s="78"/>
      <c r="EL66" s="78"/>
      <c r="EM66" s="78"/>
      <c r="EN66" s="91"/>
      <c r="EO66" s="91"/>
      <c r="EP66" s="91"/>
      <c r="EQ66" s="91"/>
      <c r="ER66" s="91"/>
      <c r="ES66" s="91"/>
    </row>
    <row r="67" spans="1:149" outlineLevel="1">
      <c r="A67" s="29" t="str">
        <f t="shared" si="14"/>
        <v>ENERGY_CERTIFICATE_EST_INPUTCONF_STCLIM</v>
      </c>
      <c r="B67" s="67"/>
      <c r="C67" s="68"/>
      <c r="D67" s="64" t="s">
        <v>40</v>
      </c>
      <c r="E67" s="66" t="s">
        <v>37</v>
      </c>
      <c r="F67" s="66" t="s">
        <v>2001</v>
      </c>
      <c r="G67" s="64" t="str">
        <f>INDEX(Auxiliar!$B$16:$B$24,MATCH(Plano_V3!H67,Auxiliar!$C$16:$C$24,0),1)</f>
        <v>1. Concluído</v>
      </c>
      <c r="H67" s="64">
        <f>VLOOKUP(A67,'Aux - pivots1'!$A:$B,2,0)</f>
        <v>1</v>
      </c>
      <c r="I67" s="180" t="e">
        <f>SUMIFS(Table1[Estimação (horas)],Table1[Tabela],Plano_V3!E67,Table1[Campo],Plano_V3!F67)</f>
        <v>#N/A</v>
      </c>
      <c r="J67" s="180" t="e">
        <f t="shared" si="17"/>
        <v>#N/A</v>
      </c>
      <c r="K67" s="180" t="e">
        <f>SUMIFS(Table1[Horas efetivas],Table1[Tabela],Plano_V3!E67,Table1[Campo],Plano_V3!F67)</f>
        <v>#N/A</v>
      </c>
      <c r="L67" s="180" t="e">
        <f t="shared" si="18"/>
        <v>#N/A</v>
      </c>
      <c r="M67" s="174"/>
      <c r="N67" s="174"/>
      <c r="O67" s="174"/>
      <c r="P67" s="89"/>
      <c r="Q67" s="90"/>
      <c r="R67" s="78"/>
      <c r="S67" s="78"/>
      <c r="T67" s="78"/>
      <c r="U67" s="78"/>
      <c r="V67" s="78"/>
      <c r="W67" s="78"/>
      <c r="X67" s="78"/>
      <c r="Y67" s="78"/>
      <c r="Z67" s="78"/>
      <c r="AA67" s="78"/>
      <c r="AB67" s="78"/>
      <c r="AC67" s="78"/>
      <c r="AD67" s="78"/>
      <c r="AE67" s="78"/>
      <c r="AF67" s="78"/>
      <c r="AG67" s="78"/>
      <c r="AH67" s="78"/>
      <c r="AI67" s="78"/>
      <c r="AJ67" s="78"/>
      <c r="AK67" s="78"/>
      <c r="AL67" s="78"/>
      <c r="AM67" s="78"/>
      <c r="AN67" s="78"/>
      <c r="AO67" s="78"/>
      <c r="AP67" s="78"/>
      <c r="AQ67" s="78"/>
      <c r="AR67" s="78"/>
      <c r="AS67" s="78"/>
      <c r="AT67" s="78"/>
      <c r="AU67" s="78"/>
      <c r="AV67" s="78"/>
      <c r="AW67" s="78"/>
      <c r="AX67" s="78"/>
      <c r="AY67" s="91"/>
      <c r="AZ67" s="78"/>
      <c r="BA67" s="78"/>
      <c r="BB67" s="78"/>
      <c r="BC67" s="78"/>
      <c r="BD67" s="78"/>
      <c r="BE67" s="78"/>
      <c r="BF67" s="78"/>
      <c r="BG67" s="78"/>
      <c r="BH67" s="78"/>
      <c r="BI67" s="78"/>
      <c r="BJ67" s="78"/>
      <c r="BK67" s="78"/>
      <c r="BL67" s="78"/>
      <c r="BM67" s="78"/>
      <c r="BN67" s="78"/>
      <c r="BO67" s="78"/>
      <c r="BP67" s="78"/>
      <c r="BQ67" s="78"/>
      <c r="BR67" s="78"/>
      <c r="BS67" s="78"/>
      <c r="BT67" s="78"/>
      <c r="BU67" s="78"/>
      <c r="BV67" s="78"/>
      <c r="BW67" s="78"/>
      <c r="BX67" s="78"/>
      <c r="BY67" s="78"/>
      <c r="BZ67" s="78"/>
      <c r="CA67" s="78"/>
      <c r="CB67" s="78"/>
      <c r="CC67" s="78"/>
      <c r="CD67" s="78"/>
      <c r="CE67" s="78"/>
      <c r="CF67" s="78"/>
      <c r="CG67" s="78"/>
      <c r="CH67" s="78"/>
      <c r="CI67" s="78"/>
      <c r="CJ67" s="78"/>
      <c r="CK67" s="78"/>
      <c r="CL67" s="78"/>
      <c r="CM67" s="78"/>
      <c r="CN67" s="78"/>
      <c r="CO67" s="78"/>
      <c r="CP67" s="78"/>
      <c r="CQ67" s="78"/>
      <c r="CR67" s="78"/>
      <c r="CS67" s="78"/>
      <c r="CT67" s="78"/>
      <c r="CU67" s="78"/>
      <c r="CV67" s="78"/>
      <c r="CW67" s="78"/>
      <c r="CX67" s="78"/>
      <c r="CY67" s="78"/>
      <c r="CZ67" s="78"/>
      <c r="DA67" s="78"/>
      <c r="DB67" s="78"/>
      <c r="DC67" s="78"/>
      <c r="DD67" s="78"/>
      <c r="DE67" s="78"/>
      <c r="DF67" s="78"/>
      <c r="DG67" s="78"/>
      <c r="DH67" s="78"/>
      <c r="DI67" s="78"/>
      <c r="DJ67" s="78"/>
      <c r="DK67" s="78"/>
      <c r="DL67" s="78"/>
      <c r="DM67" s="78"/>
      <c r="DN67" s="78"/>
      <c r="DO67" s="78"/>
      <c r="DP67" s="78"/>
      <c r="DQ67" s="78"/>
      <c r="DR67" s="78"/>
      <c r="DS67" s="78"/>
      <c r="DT67" s="78"/>
      <c r="DU67" s="78"/>
      <c r="DV67" s="78"/>
      <c r="DW67" s="78"/>
      <c r="DX67" s="78"/>
      <c r="DY67" s="78"/>
      <c r="DZ67" s="78"/>
      <c r="EA67" s="78"/>
      <c r="EB67" s="78"/>
      <c r="EC67" s="78"/>
      <c r="ED67" s="78"/>
      <c r="EE67" s="78"/>
      <c r="EF67" s="78"/>
      <c r="EG67" s="78"/>
      <c r="EH67" s="78"/>
      <c r="EI67" s="78"/>
      <c r="EJ67" s="78"/>
      <c r="EK67" s="78"/>
      <c r="EL67" s="78"/>
      <c r="EM67" s="78"/>
      <c r="EN67" s="91"/>
      <c r="EO67" s="91"/>
      <c r="EP67" s="91"/>
      <c r="EQ67" s="91"/>
      <c r="ER67" s="91"/>
      <c r="ES67" s="91"/>
    </row>
    <row r="68" spans="1:149" outlineLevel="1">
      <c r="A68" s="29" t="str">
        <f t="shared" si="14"/>
        <v>ENERGY_CERTIFICATE_EST_INPUTCLASSE_ENERGETICA</v>
      </c>
      <c r="B68" s="67"/>
      <c r="C68" s="68"/>
      <c r="D68" s="64" t="s">
        <v>40</v>
      </c>
      <c r="E68" s="66" t="s">
        <v>37</v>
      </c>
      <c r="F68" s="66" t="s">
        <v>2002</v>
      </c>
      <c r="G68" s="64" t="str">
        <f>INDEX(Auxiliar!$B$16:$B$24,MATCH(Plano_V3!H68,Auxiliar!$C$16:$C$24,0),1)</f>
        <v>1. Concluído</v>
      </c>
      <c r="H68" s="64">
        <f>VLOOKUP(A68,'Aux - pivots1'!$A:$B,2,0)</f>
        <v>1</v>
      </c>
      <c r="I68" s="180" t="e">
        <f>SUMIFS(Table1[Estimação (horas)],Table1[Tabela],Plano_V3!E68,Table1[Campo],Plano_V3!F68)</f>
        <v>#N/A</v>
      </c>
      <c r="J68" s="180" t="e">
        <f t="shared" si="17"/>
        <v>#N/A</v>
      </c>
      <c r="K68" s="180" t="e">
        <f>SUMIFS(Table1[Horas efetivas],Table1[Tabela],Plano_V3!E68,Table1[Campo],Plano_V3!F68)</f>
        <v>#N/A</v>
      </c>
      <c r="L68" s="180" t="e">
        <f t="shared" si="18"/>
        <v>#N/A</v>
      </c>
      <c r="M68" s="174"/>
      <c r="N68" s="174"/>
      <c r="O68" s="174"/>
      <c r="P68" s="89"/>
      <c r="Q68" s="90"/>
      <c r="R68" s="78"/>
      <c r="S68" s="78"/>
      <c r="T68" s="78"/>
      <c r="U68" s="78"/>
      <c r="V68" s="78"/>
      <c r="W68" s="78"/>
      <c r="X68" s="78"/>
      <c r="Y68" s="78"/>
      <c r="Z68" s="78"/>
      <c r="AA68" s="78"/>
      <c r="AB68" s="78"/>
      <c r="AC68" s="78"/>
      <c r="AD68" s="78"/>
      <c r="AE68" s="78"/>
      <c r="AF68" s="78"/>
      <c r="AG68" s="78"/>
      <c r="AH68" s="78"/>
      <c r="AI68" s="78"/>
      <c r="AJ68" s="78"/>
      <c r="AK68" s="78"/>
      <c r="AL68" s="78"/>
      <c r="AM68" s="78"/>
      <c r="AN68" s="78"/>
      <c r="AO68" s="78"/>
      <c r="AP68" s="78"/>
      <c r="AQ68" s="78"/>
      <c r="AR68" s="78"/>
      <c r="AS68" s="78"/>
      <c r="AT68" s="78"/>
      <c r="AU68" s="78"/>
      <c r="AV68" s="78"/>
      <c r="AW68" s="78"/>
      <c r="AX68" s="78"/>
      <c r="AY68" s="91"/>
      <c r="AZ68" s="78"/>
      <c r="BA68" s="78"/>
      <c r="BB68" s="78"/>
      <c r="BC68" s="78"/>
      <c r="BD68" s="78"/>
      <c r="BE68" s="78"/>
      <c r="BF68" s="78"/>
      <c r="BG68" s="78"/>
      <c r="BH68" s="78"/>
      <c r="BI68" s="78"/>
      <c r="BJ68" s="78"/>
      <c r="BK68" s="78"/>
      <c r="BL68" s="78"/>
      <c r="BM68" s="78"/>
      <c r="BN68" s="78"/>
      <c r="BO68" s="78"/>
      <c r="BP68" s="78"/>
      <c r="BQ68" s="78"/>
      <c r="BR68" s="78"/>
      <c r="BS68" s="78"/>
      <c r="BT68" s="78"/>
      <c r="BU68" s="78"/>
      <c r="BV68" s="78"/>
      <c r="BW68" s="78"/>
      <c r="BX68" s="78"/>
      <c r="BY68" s="78"/>
      <c r="BZ68" s="78"/>
      <c r="CA68" s="78"/>
      <c r="CB68" s="78"/>
      <c r="CC68" s="78"/>
      <c r="CD68" s="78"/>
      <c r="CE68" s="78"/>
      <c r="CF68" s="78"/>
      <c r="CG68" s="78"/>
      <c r="CH68" s="78"/>
      <c r="CI68" s="78"/>
      <c r="CJ68" s="78"/>
      <c r="CK68" s="78"/>
      <c r="CL68" s="78"/>
      <c r="CM68" s="78"/>
      <c r="CN68" s="78"/>
      <c r="CO68" s="78"/>
      <c r="CP68" s="78"/>
      <c r="CQ68" s="78"/>
      <c r="CR68" s="78"/>
      <c r="CS68" s="78"/>
      <c r="CT68" s="78"/>
      <c r="CU68" s="78"/>
      <c r="CV68" s="78"/>
      <c r="CW68" s="78"/>
      <c r="CX68" s="78"/>
      <c r="CY68" s="78"/>
      <c r="CZ68" s="78"/>
      <c r="DA68" s="78"/>
      <c r="DB68" s="78"/>
      <c r="DC68" s="78"/>
      <c r="DD68" s="78"/>
      <c r="DE68" s="78"/>
      <c r="DF68" s="78"/>
      <c r="DG68" s="78"/>
      <c r="DH68" s="78"/>
      <c r="DI68" s="78"/>
      <c r="DJ68" s="78"/>
      <c r="DK68" s="78"/>
      <c r="DL68" s="78"/>
      <c r="DM68" s="78"/>
      <c r="DN68" s="78"/>
      <c r="DO68" s="78"/>
      <c r="DP68" s="78"/>
      <c r="DQ68" s="78"/>
      <c r="DR68" s="78"/>
      <c r="DS68" s="78"/>
      <c r="DT68" s="78"/>
      <c r="DU68" s="78"/>
      <c r="DV68" s="78"/>
      <c r="DW68" s="78"/>
      <c r="DX68" s="78"/>
      <c r="DY68" s="78"/>
      <c r="DZ68" s="78"/>
      <c r="EA68" s="78"/>
      <c r="EB68" s="78"/>
      <c r="EC68" s="78"/>
      <c r="ED68" s="78"/>
      <c r="EE68" s="78"/>
      <c r="EF68" s="78"/>
      <c r="EG68" s="78"/>
      <c r="EH68" s="78"/>
      <c r="EI68" s="78"/>
      <c r="EJ68" s="78"/>
      <c r="EK68" s="78"/>
      <c r="EL68" s="78"/>
      <c r="EM68" s="78"/>
      <c r="EN68" s="91"/>
      <c r="EO68" s="91"/>
      <c r="EP68" s="91"/>
      <c r="EQ68" s="91"/>
      <c r="ER68" s="91"/>
      <c r="ES68" s="91"/>
    </row>
    <row r="69" spans="1:149" outlineLevel="1">
      <c r="A69" s="29" t="str">
        <f t="shared" si="14"/>
        <v>ENERGY_CERTIFICATE_EST_INPUTFIABILIDAD</v>
      </c>
      <c r="B69" s="67"/>
      <c r="C69" s="68"/>
      <c r="D69" s="64" t="s">
        <v>40</v>
      </c>
      <c r="E69" s="66" t="s">
        <v>37</v>
      </c>
      <c r="F69" s="66" t="s">
        <v>2003</v>
      </c>
      <c r="G69" s="64" t="str">
        <f>INDEX(Auxiliar!$B$16:$B$24,MATCH(Plano_V3!H69,Auxiliar!$C$16:$C$24,0),1)</f>
        <v>1. Concluído</v>
      </c>
      <c r="H69" s="64">
        <f>VLOOKUP(A69,'Aux - pivots1'!$A:$B,2,0)</f>
        <v>1</v>
      </c>
      <c r="I69" s="180" t="e">
        <f>SUMIFS(Table1[Estimação (horas)],Table1[Tabela],Plano_V3!E69,Table1[Campo],Plano_V3!F69)</f>
        <v>#N/A</v>
      </c>
      <c r="J69" s="180" t="e">
        <f t="shared" si="17"/>
        <v>#N/A</v>
      </c>
      <c r="K69" s="180" t="e">
        <f>SUMIFS(Table1[Horas efetivas],Table1[Tabela],Plano_V3!E69,Table1[Campo],Plano_V3!F69)</f>
        <v>#N/A</v>
      </c>
      <c r="L69" s="180" t="e">
        <f t="shared" si="18"/>
        <v>#N/A</v>
      </c>
      <c r="M69" s="174"/>
      <c r="N69" s="174"/>
      <c r="O69" s="174"/>
      <c r="P69" s="89"/>
      <c r="Q69" s="90"/>
      <c r="R69" s="78"/>
      <c r="S69" s="78"/>
      <c r="T69" s="78"/>
      <c r="U69" s="78"/>
      <c r="V69" s="78"/>
      <c r="W69" s="78"/>
      <c r="X69" s="78"/>
      <c r="Y69" s="78"/>
      <c r="Z69" s="78"/>
      <c r="AA69" s="78"/>
      <c r="AB69" s="78"/>
      <c r="AC69" s="78"/>
      <c r="AD69" s="78"/>
      <c r="AE69" s="78"/>
      <c r="AF69" s="78"/>
      <c r="AG69" s="78"/>
      <c r="AH69" s="78"/>
      <c r="AI69" s="78"/>
      <c r="AJ69" s="78"/>
      <c r="AK69" s="78"/>
      <c r="AL69" s="78"/>
      <c r="AM69" s="78"/>
      <c r="AN69" s="78"/>
      <c r="AO69" s="78"/>
      <c r="AP69" s="78"/>
      <c r="AQ69" s="78"/>
      <c r="AR69" s="78"/>
      <c r="AS69" s="78"/>
      <c r="AT69" s="78"/>
      <c r="AU69" s="78"/>
      <c r="AV69" s="78"/>
      <c r="AW69" s="78"/>
      <c r="AX69" s="78"/>
      <c r="AY69" s="91"/>
      <c r="AZ69" s="78"/>
      <c r="BA69" s="78"/>
      <c r="BB69" s="78"/>
      <c r="BC69" s="78"/>
      <c r="BD69" s="78"/>
      <c r="BE69" s="78"/>
      <c r="BF69" s="78"/>
      <c r="BG69" s="78"/>
      <c r="BH69" s="78"/>
      <c r="BI69" s="78"/>
      <c r="BJ69" s="78"/>
      <c r="BK69" s="78"/>
      <c r="BL69" s="78"/>
      <c r="BM69" s="78"/>
      <c r="BN69" s="78"/>
      <c r="BO69" s="78"/>
      <c r="BP69" s="78"/>
      <c r="BQ69" s="78"/>
      <c r="BR69" s="78"/>
      <c r="BS69" s="78"/>
      <c r="BT69" s="78"/>
      <c r="BU69" s="78"/>
      <c r="BV69" s="78"/>
      <c r="BW69" s="78"/>
      <c r="BX69" s="78"/>
      <c r="BY69" s="78"/>
      <c r="BZ69" s="78"/>
      <c r="CA69" s="78"/>
      <c r="CB69" s="78"/>
      <c r="CC69" s="78"/>
      <c r="CD69" s="78"/>
      <c r="CE69" s="78"/>
      <c r="CF69" s="78"/>
      <c r="CG69" s="78"/>
      <c r="CH69" s="78"/>
      <c r="CI69" s="78"/>
      <c r="CJ69" s="78"/>
      <c r="CK69" s="78"/>
      <c r="CL69" s="78"/>
      <c r="CM69" s="78"/>
      <c r="CN69" s="78"/>
      <c r="CO69" s="78"/>
      <c r="CP69" s="78"/>
      <c r="CQ69" s="78"/>
      <c r="CR69" s="78"/>
      <c r="CS69" s="78"/>
      <c r="CT69" s="78"/>
      <c r="CU69" s="78"/>
      <c r="CV69" s="78"/>
      <c r="CW69" s="78"/>
      <c r="CX69" s="78"/>
      <c r="CY69" s="78"/>
      <c r="CZ69" s="78"/>
      <c r="DA69" s="78"/>
      <c r="DB69" s="78"/>
      <c r="DC69" s="78"/>
      <c r="DD69" s="78"/>
      <c r="DE69" s="78"/>
      <c r="DF69" s="78"/>
      <c r="DG69" s="78"/>
      <c r="DH69" s="78"/>
      <c r="DI69" s="78"/>
      <c r="DJ69" s="78"/>
      <c r="DK69" s="78"/>
      <c r="DL69" s="78"/>
      <c r="DM69" s="78"/>
      <c r="DN69" s="78"/>
      <c r="DO69" s="78"/>
      <c r="DP69" s="78"/>
      <c r="DQ69" s="78"/>
      <c r="DR69" s="78"/>
      <c r="DS69" s="78"/>
      <c r="DT69" s="78"/>
      <c r="DU69" s="78"/>
      <c r="DV69" s="78"/>
      <c r="DW69" s="78"/>
      <c r="DX69" s="78"/>
      <c r="DY69" s="78"/>
      <c r="DZ69" s="78"/>
      <c r="EA69" s="78"/>
      <c r="EB69" s="78"/>
      <c r="EC69" s="78"/>
      <c r="ED69" s="78"/>
      <c r="EE69" s="78"/>
      <c r="EF69" s="78"/>
      <c r="EG69" s="78"/>
      <c r="EH69" s="78"/>
      <c r="EI69" s="78"/>
      <c r="EJ69" s="78"/>
      <c r="EK69" s="78"/>
      <c r="EL69" s="78"/>
      <c r="EM69" s="78"/>
      <c r="EN69" s="91"/>
      <c r="EO69" s="91"/>
      <c r="EP69" s="91"/>
      <c r="EQ69" s="91"/>
      <c r="ER69" s="91"/>
      <c r="ES69" s="91"/>
    </row>
    <row r="70" spans="1:149" outlineLevel="1">
      <c r="A70" s="29" t="str">
        <f t="shared" si="14"/>
        <v>ENERGY_CERTIFICATE_EST_INPUTEMISSIONES</v>
      </c>
      <c r="B70" s="67"/>
      <c r="C70" s="68"/>
      <c r="D70" s="64" t="s">
        <v>40</v>
      </c>
      <c r="E70" s="66" t="s">
        <v>37</v>
      </c>
      <c r="F70" s="66" t="s">
        <v>2004</v>
      </c>
      <c r="G70" s="64" t="str">
        <f>INDEX(Auxiliar!$B$16:$B$24,MATCH(Plano_V3!H70,Auxiliar!$C$16:$C$24,0),1)</f>
        <v>1. Concluído</v>
      </c>
      <c r="H70" s="64">
        <f>VLOOKUP(A70,'Aux - pivots1'!$A:$B,2,0)</f>
        <v>1</v>
      </c>
      <c r="I70" s="180" t="e">
        <f>SUMIFS(Table1[Estimação (horas)],Table1[Tabela],Plano_V3!E70,Table1[Campo],Plano_V3!F70)</f>
        <v>#N/A</v>
      </c>
      <c r="J70" s="180" t="e">
        <f t="shared" si="17"/>
        <v>#N/A</v>
      </c>
      <c r="K70" s="180" t="e">
        <f>SUMIFS(Table1[Horas efetivas],Table1[Tabela],Plano_V3!E70,Table1[Campo],Plano_V3!F70)</f>
        <v>#N/A</v>
      </c>
      <c r="L70" s="180" t="e">
        <f t="shared" si="18"/>
        <v>#N/A</v>
      </c>
      <c r="M70" s="174"/>
      <c r="N70" s="174"/>
      <c r="O70" s="174"/>
      <c r="P70" s="89"/>
      <c r="Q70" s="90"/>
      <c r="R70" s="78"/>
      <c r="S70" s="78"/>
      <c r="T70" s="78"/>
      <c r="U70" s="78"/>
      <c r="V70" s="78"/>
      <c r="W70" s="78"/>
      <c r="X70" s="78"/>
      <c r="Y70" s="78"/>
      <c r="Z70" s="78"/>
      <c r="AA70" s="78"/>
      <c r="AB70" s="78"/>
      <c r="AC70" s="78"/>
      <c r="AD70" s="78"/>
      <c r="AE70" s="78"/>
      <c r="AF70" s="78"/>
      <c r="AG70" s="78"/>
      <c r="AH70" s="78"/>
      <c r="AI70" s="78"/>
      <c r="AJ70" s="78"/>
      <c r="AK70" s="78"/>
      <c r="AL70" s="78"/>
      <c r="AM70" s="78"/>
      <c r="AN70" s="78"/>
      <c r="AO70" s="78"/>
      <c r="AP70" s="78"/>
      <c r="AQ70" s="78"/>
      <c r="AR70" s="78"/>
      <c r="AS70" s="78"/>
      <c r="AT70" s="78"/>
      <c r="AU70" s="78"/>
      <c r="AV70" s="78"/>
      <c r="AW70" s="78"/>
      <c r="AX70" s="78"/>
      <c r="AY70" s="91"/>
      <c r="AZ70" s="78"/>
      <c r="BA70" s="78"/>
      <c r="BB70" s="78"/>
      <c r="BC70" s="78"/>
      <c r="BD70" s="78"/>
      <c r="BE70" s="78"/>
      <c r="BF70" s="78"/>
      <c r="BG70" s="78"/>
      <c r="BH70" s="78"/>
      <c r="BI70" s="78"/>
      <c r="BJ70" s="78"/>
      <c r="BK70" s="78"/>
      <c r="BL70" s="78"/>
      <c r="BM70" s="78"/>
      <c r="BN70" s="78"/>
      <c r="BO70" s="78"/>
      <c r="BP70" s="78"/>
      <c r="BQ70" s="78"/>
      <c r="BR70" s="78"/>
      <c r="BS70" s="78"/>
      <c r="BT70" s="78"/>
      <c r="BU70" s="78"/>
      <c r="BV70" s="78"/>
      <c r="BW70" s="78"/>
      <c r="BX70" s="78"/>
      <c r="BY70" s="78"/>
      <c r="BZ70" s="78"/>
      <c r="CA70" s="78"/>
      <c r="CB70" s="78"/>
      <c r="CC70" s="78"/>
      <c r="CD70" s="78"/>
      <c r="CE70" s="78"/>
      <c r="CF70" s="78"/>
      <c r="CG70" s="78"/>
      <c r="CH70" s="78"/>
      <c r="CI70" s="78"/>
      <c r="CJ70" s="78"/>
      <c r="CK70" s="78"/>
      <c r="CL70" s="78"/>
      <c r="CM70" s="78"/>
      <c r="CN70" s="78"/>
      <c r="CO70" s="78"/>
      <c r="CP70" s="78"/>
      <c r="CQ70" s="78"/>
      <c r="CR70" s="78"/>
      <c r="CS70" s="78"/>
      <c r="CT70" s="78"/>
      <c r="CU70" s="78"/>
      <c r="CV70" s="78"/>
      <c r="CW70" s="78"/>
      <c r="CX70" s="78"/>
      <c r="CY70" s="78"/>
      <c r="CZ70" s="78"/>
      <c r="DA70" s="78"/>
      <c r="DB70" s="78"/>
      <c r="DC70" s="78"/>
      <c r="DD70" s="78"/>
      <c r="DE70" s="78"/>
      <c r="DF70" s="78"/>
      <c r="DG70" s="78"/>
      <c r="DH70" s="78"/>
      <c r="DI70" s="78"/>
      <c r="DJ70" s="78"/>
      <c r="DK70" s="78"/>
      <c r="DL70" s="78"/>
      <c r="DM70" s="78"/>
      <c r="DN70" s="78"/>
      <c r="DO70" s="78"/>
      <c r="DP70" s="78"/>
      <c r="DQ70" s="78"/>
      <c r="DR70" s="78"/>
      <c r="DS70" s="78"/>
      <c r="DT70" s="78"/>
      <c r="DU70" s="78"/>
      <c r="DV70" s="78"/>
      <c r="DW70" s="78"/>
      <c r="DX70" s="78"/>
      <c r="DY70" s="78"/>
      <c r="DZ70" s="78"/>
      <c r="EA70" s="78"/>
      <c r="EB70" s="78"/>
      <c r="EC70" s="78"/>
      <c r="ED70" s="78"/>
      <c r="EE70" s="78"/>
      <c r="EF70" s="78"/>
      <c r="EG70" s="78"/>
      <c r="EH70" s="78"/>
      <c r="EI70" s="78"/>
      <c r="EJ70" s="78"/>
      <c r="EK70" s="78"/>
      <c r="EL70" s="78"/>
      <c r="EM70" s="78"/>
      <c r="EN70" s="91"/>
      <c r="EO70" s="91"/>
      <c r="EP70" s="91"/>
      <c r="EQ70" s="91"/>
      <c r="ER70" s="91"/>
      <c r="ES70" s="91"/>
    </row>
    <row r="71" spans="1:149" outlineLevel="1">
      <c r="A71" s="29" t="str">
        <f t="shared" si="14"/>
        <v>ENERGY_CERTIFICATE_EST_INPUTCONSUMOS</v>
      </c>
      <c r="B71" s="67"/>
      <c r="C71" s="68"/>
      <c r="D71" s="64" t="s">
        <v>40</v>
      </c>
      <c r="E71" s="66" t="s">
        <v>37</v>
      </c>
      <c r="F71" s="66" t="s">
        <v>2005</v>
      </c>
      <c r="G71" s="64" t="str">
        <f>INDEX(Auxiliar!$B$16:$B$24,MATCH(Plano_V3!H71,Auxiliar!$C$16:$C$24,0),1)</f>
        <v>1. Concluído</v>
      </c>
      <c r="H71" s="64">
        <f>VLOOKUP(A71,'Aux - pivots1'!$A:$B,2,0)</f>
        <v>1</v>
      </c>
      <c r="I71" s="180" t="e">
        <f>SUMIFS(Table1[Estimação (horas)],Table1[Tabela],Plano_V3!E71,Table1[Campo],Plano_V3!F71)</f>
        <v>#N/A</v>
      </c>
      <c r="J71" s="180" t="e">
        <f t="shared" si="17"/>
        <v>#N/A</v>
      </c>
      <c r="K71" s="180" t="e">
        <f>SUMIFS(Table1[Horas efetivas],Table1[Tabela],Plano_V3!E71,Table1[Campo],Plano_V3!F71)</f>
        <v>#N/A</v>
      </c>
      <c r="L71" s="180" t="e">
        <f t="shared" si="18"/>
        <v>#N/A</v>
      </c>
      <c r="M71" s="174"/>
      <c r="N71" s="174"/>
      <c r="O71" s="174"/>
      <c r="P71" s="89"/>
      <c r="Q71" s="90"/>
      <c r="R71" s="78"/>
      <c r="S71" s="78"/>
      <c r="T71" s="78"/>
      <c r="U71" s="78"/>
      <c r="V71" s="78"/>
      <c r="W71" s="78"/>
      <c r="X71" s="78"/>
      <c r="Y71" s="78"/>
      <c r="Z71" s="78"/>
      <c r="AA71" s="78"/>
      <c r="AB71" s="78"/>
      <c r="AC71" s="78"/>
      <c r="AD71" s="78"/>
      <c r="AE71" s="78"/>
      <c r="AF71" s="78"/>
      <c r="AG71" s="78"/>
      <c r="AH71" s="78"/>
      <c r="AI71" s="78"/>
      <c r="AJ71" s="78"/>
      <c r="AK71" s="78"/>
      <c r="AL71" s="78"/>
      <c r="AM71" s="78"/>
      <c r="AN71" s="78"/>
      <c r="AO71" s="78"/>
      <c r="AP71" s="78"/>
      <c r="AQ71" s="78"/>
      <c r="AR71" s="78"/>
      <c r="AS71" s="78"/>
      <c r="AT71" s="78"/>
      <c r="AU71" s="78"/>
      <c r="AV71" s="78"/>
      <c r="AW71" s="78"/>
      <c r="AX71" s="78"/>
      <c r="AY71" s="91"/>
      <c r="AZ71" s="78"/>
      <c r="BA71" s="78"/>
      <c r="BB71" s="78"/>
      <c r="BC71" s="78"/>
      <c r="BD71" s="78"/>
      <c r="BE71" s="78"/>
      <c r="BF71" s="78"/>
      <c r="BG71" s="78"/>
      <c r="BH71" s="78"/>
      <c r="BI71" s="78"/>
      <c r="BJ71" s="78"/>
      <c r="BK71" s="78"/>
      <c r="BL71" s="78"/>
      <c r="BM71" s="78"/>
      <c r="BN71" s="78"/>
      <c r="BO71" s="78"/>
      <c r="BP71" s="78"/>
      <c r="BQ71" s="78"/>
      <c r="BR71" s="78"/>
      <c r="BS71" s="78"/>
      <c r="BT71" s="78"/>
      <c r="BU71" s="78"/>
      <c r="BV71" s="78"/>
      <c r="BW71" s="78"/>
      <c r="BX71" s="78"/>
      <c r="BY71" s="78"/>
      <c r="BZ71" s="78"/>
      <c r="CA71" s="78"/>
      <c r="CB71" s="78"/>
      <c r="CC71" s="78"/>
      <c r="CD71" s="78"/>
      <c r="CE71" s="78"/>
      <c r="CF71" s="78"/>
      <c r="CG71" s="78"/>
      <c r="CH71" s="78"/>
      <c r="CI71" s="78"/>
      <c r="CJ71" s="78"/>
      <c r="CK71" s="78"/>
      <c r="CL71" s="78"/>
      <c r="CM71" s="78"/>
      <c r="CN71" s="78"/>
      <c r="CO71" s="78"/>
      <c r="CP71" s="78"/>
      <c r="CQ71" s="78"/>
      <c r="CR71" s="78"/>
      <c r="CS71" s="78"/>
      <c r="CT71" s="78"/>
      <c r="CU71" s="78"/>
      <c r="CV71" s="78"/>
      <c r="CW71" s="78"/>
      <c r="CX71" s="78"/>
      <c r="CY71" s="78"/>
      <c r="CZ71" s="78"/>
      <c r="DA71" s="78"/>
      <c r="DB71" s="78"/>
      <c r="DC71" s="78"/>
      <c r="DD71" s="78"/>
      <c r="DE71" s="78"/>
      <c r="DF71" s="78"/>
      <c r="DG71" s="78"/>
      <c r="DH71" s="78"/>
      <c r="DI71" s="78"/>
      <c r="DJ71" s="78"/>
      <c r="DK71" s="78"/>
      <c r="DL71" s="78"/>
      <c r="DM71" s="78"/>
      <c r="DN71" s="78"/>
      <c r="DO71" s="78"/>
      <c r="DP71" s="78"/>
      <c r="DQ71" s="78"/>
      <c r="DR71" s="78"/>
      <c r="DS71" s="78"/>
      <c r="DT71" s="78"/>
      <c r="DU71" s="78"/>
      <c r="DV71" s="78"/>
      <c r="DW71" s="78"/>
      <c r="DX71" s="78"/>
      <c r="DY71" s="78"/>
      <c r="DZ71" s="78"/>
      <c r="EA71" s="78"/>
      <c r="EB71" s="78"/>
      <c r="EC71" s="78"/>
      <c r="ED71" s="78"/>
      <c r="EE71" s="78"/>
      <c r="EF71" s="78"/>
      <c r="EG71" s="78"/>
      <c r="EH71" s="78"/>
      <c r="EI71" s="78"/>
      <c r="EJ71" s="78"/>
      <c r="EK71" s="78"/>
      <c r="EL71" s="78"/>
      <c r="EM71" s="78"/>
      <c r="EN71" s="91"/>
      <c r="EO71" s="91"/>
      <c r="EP71" s="91"/>
      <c r="EQ71" s="91"/>
      <c r="ER71" s="91"/>
      <c r="ES71" s="91"/>
    </row>
    <row r="72" spans="1:149" outlineLevel="1">
      <c r="A72" s="29" t="str">
        <f t="shared" si="14"/>
        <v>ENERGY_CERTIFICATE_EST_INPUTDATA_ENVIO</v>
      </c>
      <c r="B72" s="67"/>
      <c r="C72" s="68"/>
      <c r="D72" s="64" t="s">
        <v>40</v>
      </c>
      <c r="E72" s="66" t="s">
        <v>37</v>
      </c>
      <c r="F72" s="66" t="s">
        <v>2006</v>
      </c>
      <c r="G72" s="64" t="str">
        <f>INDEX(Auxiliar!$B$16:$B$24,MATCH(Plano_V3!H72,Auxiliar!$C$16:$C$24,0),1)</f>
        <v>1. Concluído</v>
      </c>
      <c r="H72" s="64">
        <f>VLOOKUP(A72,'Aux - pivots1'!$A:$B,2,0)</f>
        <v>1</v>
      </c>
      <c r="I72" s="180" t="e">
        <f>SUMIFS(Table1[Estimação (horas)],Table1[Tabela],Plano_V3!E72,Table1[Campo],Plano_V3!F72)</f>
        <v>#N/A</v>
      </c>
      <c r="J72" s="180" t="e">
        <f t="shared" si="17"/>
        <v>#N/A</v>
      </c>
      <c r="K72" s="180" t="e">
        <f>SUMIFS(Table1[Horas efetivas],Table1[Tabela],Plano_V3!E72,Table1[Campo],Plano_V3!F72)</f>
        <v>#N/A</v>
      </c>
      <c r="L72" s="180" t="e">
        <f t="shared" si="18"/>
        <v>#N/A</v>
      </c>
      <c r="M72" s="174"/>
      <c r="N72" s="174"/>
      <c r="O72" s="174"/>
      <c r="P72" s="89"/>
      <c r="Q72" s="90"/>
      <c r="R72" s="78"/>
      <c r="S72" s="78"/>
      <c r="T72" s="78"/>
      <c r="U72" s="78"/>
      <c r="V72" s="78"/>
      <c r="W72" s="78"/>
      <c r="X72" s="78"/>
      <c r="Y72" s="78"/>
      <c r="Z72" s="78"/>
      <c r="AA72" s="78"/>
      <c r="AB72" s="78"/>
      <c r="AC72" s="78"/>
      <c r="AD72" s="78"/>
      <c r="AE72" s="78"/>
      <c r="AF72" s="78"/>
      <c r="AG72" s="78"/>
      <c r="AH72" s="78"/>
      <c r="AI72" s="78"/>
      <c r="AJ72" s="78"/>
      <c r="AK72" s="78"/>
      <c r="AL72" s="78"/>
      <c r="AM72" s="78"/>
      <c r="AN72" s="78"/>
      <c r="AO72" s="78"/>
      <c r="AP72" s="78"/>
      <c r="AQ72" s="78"/>
      <c r="AR72" s="78"/>
      <c r="AS72" s="78"/>
      <c r="AT72" s="78"/>
      <c r="AU72" s="78"/>
      <c r="AV72" s="78"/>
      <c r="AW72" s="78"/>
      <c r="AX72" s="78"/>
      <c r="AY72" s="91"/>
      <c r="AZ72" s="78"/>
      <c r="BA72" s="78"/>
      <c r="BB72" s="78"/>
      <c r="BC72" s="78"/>
      <c r="BD72" s="78"/>
      <c r="BE72" s="78"/>
      <c r="BF72" s="78"/>
      <c r="BG72" s="78"/>
      <c r="BH72" s="78"/>
      <c r="BI72" s="78"/>
      <c r="BJ72" s="78"/>
      <c r="BK72" s="78"/>
      <c r="BL72" s="78"/>
      <c r="BM72" s="78"/>
      <c r="BN72" s="78"/>
      <c r="BO72" s="78"/>
      <c r="BP72" s="78"/>
      <c r="BQ72" s="78"/>
      <c r="BR72" s="78"/>
      <c r="BS72" s="78"/>
      <c r="BT72" s="78"/>
      <c r="BU72" s="78"/>
      <c r="BV72" s="78"/>
      <c r="BW72" s="78"/>
      <c r="BX72" s="78"/>
      <c r="BY72" s="78"/>
      <c r="BZ72" s="78"/>
      <c r="CA72" s="78"/>
      <c r="CB72" s="78"/>
      <c r="CC72" s="78"/>
      <c r="CD72" s="78"/>
      <c r="CE72" s="78"/>
      <c r="CF72" s="78"/>
      <c r="CG72" s="78"/>
      <c r="CH72" s="78"/>
      <c r="CI72" s="78"/>
      <c r="CJ72" s="78"/>
      <c r="CK72" s="78"/>
      <c r="CL72" s="78"/>
      <c r="CM72" s="78"/>
      <c r="CN72" s="78"/>
      <c r="CO72" s="78"/>
      <c r="CP72" s="78"/>
      <c r="CQ72" s="78"/>
      <c r="CR72" s="78"/>
      <c r="CS72" s="78"/>
      <c r="CT72" s="78"/>
      <c r="CU72" s="78"/>
      <c r="CV72" s="78"/>
      <c r="CW72" s="78"/>
      <c r="CX72" s="78"/>
      <c r="CY72" s="78"/>
      <c r="CZ72" s="78"/>
      <c r="DA72" s="78"/>
      <c r="DB72" s="78"/>
      <c r="DC72" s="78"/>
      <c r="DD72" s="78"/>
      <c r="DE72" s="78"/>
      <c r="DF72" s="78"/>
      <c r="DG72" s="78"/>
      <c r="DH72" s="78"/>
      <c r="DI72" s="78"/>
      <c r="DJ72" s="78"/>
      <c r="DK72" s="78"/>
      <c r="DL72" s="78"/>
      <c r="DM72" s="78"/>
      <c r="DN72" s="78"/>
      <c r="DO72" s="78"/>
      <c r="DP72" s="78"/>
      <c r="DQ72" s="78"/>
      <c r="DR72" s="78"/>
      <c r="DS72" s="78"/>
      <c r="DT72" s="78"/>
      <c r="DU72" s="78"/>
      <c r="DV72" s="78"/>
      <c r="DW72" s="78"/>
      <c r="DX72" s="78"/>
      <c r="DY72" s="78"/>
      <c r="DZ72" s="78"/>
      <c r="EA72" s="78"/>
      <c r="EB72" s="78"/>
      <c r="EC72" s="78"/>
      <c r="ED72" s="78"/>
      <c r="EE72" s="78"/>
      <c r="EF72" s="78"/>
      <c r="EG72" s="78"/>
      <c r="EH72" s="78"/>
      <c r="EI72" s="78"/>
      <c r="EJ72" s="78"/>
      <c r="EK72" s="78"/>
      <c r="EL72" s="78"/>
      <c r="EM72" s="78"/>
      <c r="EN72" s="91"/>
      <c r="EO72" s="91"/>
      <c r="EP72" s="91"/>
      <c r="EQ72" s="91"/>
      <c r="ER72" s="91"/>
      <c r="ES72" s="91"/>
    </row>
    <row r="73" spans="1:149" outlineLevel="1">
      <c r="A73" s="29" t="str">
        <f t="shared" si="14"/>
        <v>Re-testesn.a.</v>
      </c>
      <c r="B73" s="67" t="s">
        <v>26</v>
      </c>
      <c r="C73" s="68" t="s">
        <v>34</v>
      </c>
      <c r="D73" s="64" t="s">
        <v>40</v>
      </c>
      <c r="E73" s="66" t="s">
        <v>53</v>
      </c>
      <c r="F73" s="66" t="s">
        <v>38</v>
      </c>
      <c r="G73" s="64" t="str">
        <f>INDEX(Auxiliar!$B$16:$B$24,MATCH(Plano_V3!H73,Auxiliar!$C$16:$C$24,0),1)</f>
        <v>0. Cancelado</v>
      </c>
      <c r="H73" s="64"/>
      <c r="I73" s="180" t="e">
        <f>SUM(I26:I66)*$D$6</f>
        <v>#N/A</v>
      </c>
      <c r="J73" s="180" t="e">
        <f t="shared" si="17"/>
        <v>#N/A</v>
      </c>
      <c r="K73" s="180" t="e">
        <f>SUM(K26:K66)*$D$6</f>
        <v>#N/A</v>
      </c>
      <c r="L73" s="180" t="e">
        <f t="shared" si="18"/>
        <v>#N/A</v>
      </c>
      <c r="M73" s="174"/>
      <c r="N73" s="174" t="e">
        <f t="shared" si="19"/>
        <v>#N/A</v>
      </c>
      <c r="O73" s="174" t="e">
        <f t="shared" si="12"/>
        <v>#N/A</v>
      </c>
      <c r="P73" s="89" t="s">
        <v>39</v>
      </c>
      <c r="Q73" s="90" t="e">
        <f t="shared" si="13"/>
        <v>#N/A</v>
      </c>
      <c r="R73" s="78"/>
      <c r="S73" s="78"/>
      <c r="T73" s="78"/>
      <c r="U73" s="78"/>
      <c r="V73" s="78"/>
      <c r="W73" s="78"/>
      <c r="X73" s="78"/>
      <c r="Y73" s="78"/>
      <c r="Z73" s="78"/>
      <c r="AA73" s="78"/>
      <c r="AB73" s="78"/>
      <c r="AC73" s="78"/>
      <c r="AD73" s="78"/>
      <c r="AE73" s="78"/>
      <c r="AF73" s="78"/>
      <c r="AG73" s="78"/>
      <c r="AH73" s="78"/>
      <c r="AI73" s="78"/>
      <c r="AJ73" s="78"/>
      <c r="AK73" s="78"/>
      <c r="AL73" s="78"/>
      <c r="AM73" s="78"/>
      <c r="AN73" s="78"/>
      <c r="AO73" s="78"/>
      <c r="AP73" s="78"/>
      <c r="AQ73" s="78"/>
      <c r="AR73" s="78"/>
      <c r="AS73" s="78"/>
      <c r="AT73" s="78"/>
      <c r="AU73" s="78"/>
      <c r="AV73" s="78"/>
      <c r="AW73" s="78"/>
      <c r="AX73" s="78"/>
      <c r="AY73" s="91"/>
      <c r="AZ73" s="78"/>
      <c r="BA73" s="78"/>
      <c r="BB73" s="78"/>
      <c r="BC73" s="78"/>
      <c r="BD73" s="78"/>
      <c r="BE73" s="78"/>
      <c r="BF73" s="78"/>
      <c r="BG73" s="78"/>
      <c r="BH73" s="78"/>
      <c r="BI73" s="78"/>
      <c r="BJ73" s="78"/>
      <c r="BK73" s="78"/>
      <c r="BL73" s="78"/>
      <c r="BM73" s="78"/>
      <c r="BN73" s="78"/>
      <c r="BO73" s="78"/>
      <c r="BP73" s="78"/>
      <c r="BQ73" s="78"/>
      <c r="BR73" s="78"/>
      <c r="BS73" s="78"/>
      <c r="BT73" s="78"/>
      <c r="BU73" s="78"/>
      <c r="BV73" s="78"/>
      <c r="BW73" s="78"/>
      <c r="BX73" s="78"/>
      <c r="BY73" s="78"/>
      <c r="BZ73" s="78"/>
      <c r="CA73" s="78"/>
      <c r="CB73" s="78"/>
      <c r="CC73" s="78"/>
      <c r="CD73" s="78"/>
      <c r="CE73" s="78"/>
      <c r="CF73" s="78"/>
      <c r="CG73" s="78"/>
      <c r="CH73" s="78"/>
      <c r="CI73" s="78"/>
      <c r="CJ73" s="78"/>
      <c r="CK73" s="78"/>
      <c r="CL73" s="78"/>
      <c r="CM73" s="78"/>
      <c r="CN73" s="78"/>
      <c r="CO73" s="78"/>
      <c r="CP73" s="78"/>
      <c r="CQ73" s="78"/>
      <c r="CR73" s="78"/>
      <c r="CS73" s="78"/>
      <c r="CT73" s="78"/>
      <c r="CU73" s="78"/>
      <c r="CV73" s="78"/>
      <c r="CW73" s="78"/>
      <c r="CX73" s="78"/>
      <c r="CY73" s="78"/>
      <c r="CZ73" s="78"/>
      <c r="DA73" s="78"/>
      <c r="DB73" s="78"/>
      <c r="DC73" s="78"/>
      <c r="DD73" s="78"/>
      <c r="DE73" s="78"/>
      <c r="DF73" s="78"/>
      <c r="DG73" s="78"/>
      <c r="DH73" s="78"/>
      <c r="DI73" s="78"/>
      <c r="DJ73" s="78"/>
      <c r="DK73" s="78"/>
      <c r="DL73" s="78"/>
      <c r="DM73" s="78"/>
      <c r="DN73" s="78"/>
      <c r="DO73" s="78"/>
      <c r="DP73" s="78"/>
      <c r="DQ73" s="78"/>
      <c r="DR73" s="78"/>
      <c r="DS73" s="78"/>
      <c r="DT73" s="78"/>
      <c r="DU73" s="78"/>
      <c r="DV73" s="78"/>
      <c r="DW73" s="78"/>
      <c r="DX73" s="78"/>
      <c r="DY73" s="78"/>
      <c r="DZ73" s="78"/>
      <c r="EA73" s="78"/>
      <c r="EB73" s="78"/>
      <c r="EC73" s="78"/>
      <c r="ED73" s="78"/>
      <c r="EE73" s="78"/>
      <c r="EF73" s="78"/>
      <c r="EG73" s="78"/>
      <c r="EH73" s="78"/>
      <c r="EI73" s="78"/>
      <c r="EJ73" s="78"/>
      <c r="EK73" s="78"/>
      <c r="EL73" s="78"/>
      <c r="EM73" s="78"/>
      <c r="EN73" s="91"/>
      <c r="EO73" s="91"/>
      <c r="EP73" s="91"/>
      <c r="EQ73" s="91"/>
      <c r="ER73" s="91"/>
      <c r="ES73" s="91"/>
    </row>
    <row r="74" spans="1:149" ht="33">
      <c r="A74" s="29" t="str">
        <f t="shared" ref="A74:A138" si="20">E74&amp;F74</f>
        <v/>
      </c>
      <c r="B74" s="63" t="s">
        <v>26</v>
      </c>
      <c r="C74" s="96" t="s">
        <v>54</v>
      </c>
      <c r="D74" s="96"/>
      <c r="E74" s="103"/>
      <c r="F74" s="96"/>
      <c r="G74" s="96"/>
      <c r="H74" s="96"/>
      <c r="I74" s="179" t="e">
        <f>SUM(I75:I242)</f>
        <v>#N/A</v>
      </c>
      <c r="J74" s="179" t="e">
        <f>ROUNDUP(I74/8,0)</f>
        <v>#N/A</v>
      </c>
      <c r="K74" s="179" t="e">
        <f>SUM(K75:K242)</f>
        <v>#N/A</v>
      </c>
      <c r="L74" s="179" t="e">
        <f>ROUNDUP(K74/8,0)</f>
        <v>#N/A</v>
      </c>
      <c r="M74" s="178" t="e">
        <f>SUMIFS(R74:ES74,$R$9:$ES$9,"S")/J74</f>
        <v>#N/A</v>
      </c>
      <c r="N74" s="178">
        <f>IFERROR(L74/J74,0)</f>
        <v>0</v>
      </c>
      <c r="O74" s="178" t="e">
        <f t="shared" si="12"/>
        <v>#N/A</v>
      </c>
      <c r="P74" s="197" t="s">
        <v>1847</v>
      </c>
      <c r="Q74" s="90" t="e">
        <f t="shared" si="13"/>
        <v>#N/A</v>
      </c>
      <c r="R74" s="78"/>
      <c r="S74" s="78"/>
      <c r="T74" s="78"/>
      <c r="U74" s="78"/>
      <c r="V74" s="78"/>
      <c r="W74" s="78"/>
      <c r="X74" s="78"/>
      <c r="Y74" s="78"/>
      <c r="Z74" s="78"/>
      <c r="AA74" s="78"/>
      <c r="AB74" s="78"/>
      <c r="AC74" s="78"/>
      <c r="AD74" s="78"/>
      <c r="AE74" s="78"/>
      <c r="AF74" s="78"/>
      <c r="AG74" s="78"/>
      <c r="AH74" s="78"/>
      <c r="AI74" s="78"/>
      <c r="AJ74" s="78"/>
      <c r="AK74" s="78"/>
      <c r="AL74" s="78">
        <v>1</v>
      </c>
      <c r="AM74" s="78">
        <v>1</v>
      </c>
      <c r="AN74" s="78">
        <v>1</v>
      </c>
      <c r="AO74" s="78">
        <v>1</v>
      </c>
      <c r="AP74" s="189"/>
      <c r="AQ74" s="189"/>
      <c r="AR74" s="78">
        <v>1</v>
      </c>
      <c r="AS74" s="78">
        <v>1</v>
      </c>
      <c r="AT74" s="78">
        <v>1</v>
      </c>
      <c r="AU74" s="78">
        <v>1</v>
      </c>
      <c r="AV74" s="189"/>
      <c r="AW74" s="78">
        <v>1</v>
      </c>
      <c r="AX74" s="78">
        <v>2</v>
      </c>
      <c r="AY74" s="91"/>
      <c r="AZ74" s="78">
        <v>1</v>
      </c>
      <c r="BA74" s="189"/>
      <c r="BB74" s="189"/>
      <c r="BC74" s="78">
        <v>1</v>
      </c>
      <c r="BD74" s="78">
        <v>1</v>
      </c>
      <c r="BE74" s="78">
        <v>1</v>
      </c>
      <c r="BF74" s="78">
        <v>1</v>
      </c>
      <c r="BG74" s="78">
        <v>2</v>
      </c>
      <c r="BH74" s="78">
        <v>2</v>
      </c>
      <c r="BI74" s="78">
        <v>2</v>
      </c>
      <c r="BJ74" s="78">
        <v>2</v>
      </c>
      <c r="BK74" s="78">
        <v>0.5</v>
      </c>
      <c r="BL74" s="78">
        <v>2</v>
      </c>
      <c r="BM74" s="78">
        <v>2</v>
      </c>
      <c r="BN74" s="78">
        <v>2</v>
      </c>
      <c r="BO74" s="78">
        <v>2</v>
      </c>
      <c r="BP74" s="78">
        <v>0.5</v>
      </c>
      <c r="BQ74" s="78">
        <v>2</v>
      </c>
      <c r="BR74" s="78">
        <v>2</v>
      </c>
      <c r="BS74" s="78">
        <v>2</v>
      </c>
      <c r="BT74" s="78">
        <v>2</v>
      </c>
      <c r="BU74" s="78">
        <v>1.5</v>
      </c>
      <c r="BV74" s="78">
        <v>2</v>
      </c>
      <c r="BW74" s="78">
        <v>2</v>
      </c>
      <c r="BX74" s="78">
        <v>2</v>
      </c>
      <c r="BY74" s="78">
        <v>2</v>
      </c>
      <c r="BZ74" s="78">
        <v>2</v>
      </c>
      <c r="CA74" s="78">
        <v>2</v>
      </c>
      <c r="CB74" s="78">
        <v>2</v>
      </c>
      <c r="CC74" s="78">
        <v>2</v>
      </c>
      <c r="CD74" s="78">
        <v>2</v>
      </c>
      <c r="CE74" s="78">
        <v>2</v>
      </c>
      <c r="CF74" s="78">
        <v>2</v>
      </c>
      <c r="CG74" s="78">
        <v>2</v>
      </c>
      <c r="CH74" s="78">
        <v>2</v>
      </c>
      <c r="CI74" s="78">
        <v>2</v>
      </c>
      <c r="CJ74" s="78">
        <v>2</v>
      </c>
      <c r="CK74" s="78">
        <v>2</v>
      </c>
      <c r="CL74" s="78">
        <v>2</v>
      </c>
      <c r="CM74" s="78">
        <v>2</v>
      </c>
      <c r="CN74" s="78">
        <v>2</v>
      </c>
      <c r="CO74" s="78">
        <v>2</v>
      </c>
      <c r="CP74" s="78">
        <v>2</v>
      </c>
      <c r="CQ74" s="78">
        <v>2</v>
      </c>
      <c r="CR74" s="78">
        <v>2</v>
      </c>
      <c r="CS74" s="78">
        <v>2</v>
      </c>
      <c r="CT74" s="78">
        <v>2</v>
      </c>
      <c r="CU74" s="78">
        <v>2</v>
      </c>
      <c r="CV74" s="78">
        <v>2</v>
      </c>
      <c r="CW74" s="78">
        <v>2</v>
      </c>
      <c r="CX74" s="78">
        <v>1.5</v>
      </c>
      <c r="CY74" s="78"/>
      <c r="CZ74" s="78"/>
      <c r="DA74" s="78"/>
      <c r="DB74" s="78"/>
      <c r="DC74" s="78"/>
      <c r="DD74" s="78"/>
      <c r="DE74" s="78"/>
      <c r="DF74" s="78"/>
      <c r="DG74" s="78"/>
      <c r="DH74" s="78"/>
      <c r="DI74" s="78"/>
      <c r="DJ74" s="78"/>
      <c r="DK74" s="78"/>
      <c r="DL74" s="78"/>
      <c r="DM74" s="78"/>
      <c r="DN74" s="78"/>
      <c r="DO74" s="78"/>
      <c r="DP74" s="78"/>
      <c r="DQ74" s="78"/>
      <c r="DR74" s="78"/>
      <c r="DS74" s="78"/>
      <c r="DT74" s="78"/>
      <c r="DU74" s="78"/>
      <c r="DV74" s="78"/>
      <c r="DW74" s="78"/>
      <c r="DX74" s="78"/>
      <c r="DY74" s="78"/>
      <c r="DZ74" s="78"/>
      <c r="EA74" s="78"/>
      <c r="EB74" s="78"/>
      <c r="EC74" s="78"/>
      <c r="ED74" s="78"/>
      <c r="EE74" s="78"/>
      <c r="EF74" s="78"/>
      <c r="EG74" s="78"/>
      <c r="EH74" s="78"/>
      <c r="EI74" s="78"/>
      <c r="EJ74" s="78"/>
      <c r="EK74" s="78"/>
      <c r="EL74" s="78"/>
      <c r="EM74" s="78"/>
      <c r="EN74" s="91"/>
      <c r="EO74" s="91"/>
      <c r="EP74" s="91"/>
      <c r="EQ74" s="91"/>
      <c r="ER74" s="91"/>
      <c r="ES74" s="91"/>
    </row>
    <row r="75" spans="1:149" outlineLevel="1">
      <c r="A75" s="29" t="str">
        <f t="shared" si="20"/>
        <v>PROCESSn.a.</v>
      </c>
      <c r="B75" s="67" t="s">
        <v>26</v>
      </c>
      <c r="C75" s="68" t="s">
        <v>54</v>
      </c>
      <c r="D75" s="64" t="s">
        <v>36</v>
      </c>
      <c r="E75" s="66" t="s">
        <v>55</v>
      </c>
      <c r="F75" s="64" t="s">
        <v>38</v>
      </c>
      <c r="G75" s="64" t="str">
        <f>INDEX(Auxiliar!$B$16:$B$24,MATCH(Plano_V3!H75,Auxiliar!$C$16:$C$24,0),1)</f>
        <v>1. Concluído</v>
      </c>
      <c r="H75" s="64">
        <f>VLOOKUP(A75,'Aux - pivots1'!$A:$B,2,0)</f>
        <v>1</v>
      </c>
      <c r="I75" s="180">
        <f>SUMIFS(Table1[Estimação (horas)],Table1[Tabela],Plano_V3!E75,Table1[Campo],Plano_V3!F75)</f>
        <v>8</v>
      </c>
      <c r="J75" s="180">
        <f t="shared" ref="J75:J139" si="21">I75/8</f>
        <v>1</v>
      </c>
      <c r="K75" s="180">
        <f>SUMIFS(Table1[Horas efetivas],Table1[Tabela],Plano_V3!E75,Table1[Campo],Plano_V3!F75)</f>
        <v>8</v>
      </c>
      <c r="L75" s="180">
        <f t="shared" ref="L75:L139" si="22">K75/8</f>
        <v>1</v>
      </c>
      <c r="M75" s="174"/>
      <c r="N75" s="174">
        <f t="shared" ref="N75:N139" si="23">L75/J75</f>
        <v>1</v>
      </c>
      <c r="O75" s="174">
        <f t="shared" si="12"/>
        <v>1</v>
      </c>
      <c r="P75" s="89" t="s">
        <v>56</v>
      </c>
      <c r="Q75" s="90">
        <f t="shared" si="13"/>
        <v>1</v>
      </c>
      <c r="R75" s="78"/>
      <c r="S75" s="78"/>
      <c r="T75" s="78"/>
      <c r="U75" s="78"/>
      <c r="V75" s="78"/>
      <c r="W75" s="78"/>
      <c r="X75" s="78"/>
      <c r="Y75" s="78"/>
      <c r="Z75" s="78"/>
      <c r="AA75" s="78"/>
      <c r="AB75" s="78"/>
      <c r="AC75" s="78"/>
      <c r="AD75" s="78"/>
      <c r="AE75" s="78"/>
      <c r="AF75" s="78"/>
      <c r="AG75" s="78"/>
      <c r="AH75" s="78"/>
      <c r="AI75" s="78"/>
      <c r="AJ75" s="78"/>
      <c r="AK75" s="78"/>
      <c r="AL75" s="78"/>
      <c r="AM75" s="78"/>
      <c r="AN75" s="78"/>
      <c r="AO75" s="78"/>
      <c r="AP75" s="78"/>
      <c r="AQ75" s="78"/>
      <c r="AR75" s="78"/>
      <c r="AS75" s="78"/>
      <c r="AT75" s="78"/>
      <c r="AU75" s="78"/>
      <c r="AV75" s="78"/>
      <c r="AW75" s="78"/>
      <c r="AX75" s="78"/>
      <c r="AY75" s="91"/>
      <c r="AZ75" s="78"/>
      <c r="BA75" s="78"/>
      <c r="BB75" s="78"/>
      <c r="BC75" s="78"/>
      <c r="BD75" s="78"/>
      <c r="BE75" s="78"/>
      <c r="BF75" s="78"/>
      <c r="BG75" s="78"/>
      <c r="BH75" s="78"/>
      <c r="BI75" s="78"/>
      <c r="BJ75" s="78"/>
      <c r="BK75" s="78"/>
      <c r="BL75" s="78"/>
      <c r="BM75" s="78"/>
      <c r="BN75" s="78"/>
      <c r="BO75" s="78"/>
      <c r="BP75" s="78"/>
      <c r="BQ75" s="78"/>
      <c r="BR75" s="78"/>
      <c r="BS75" s="78"/>
      <c r="BT75" s="78"/>
      <c r="BU75" s="78"/>
      <c r="BV75" s="78"/>
      <c r="BW75" s="78"/>
      <c r="BX75" s="78"/>
      <c r="BY75" s="78"/>
      <c r="BZ75" s="78"/>
      <c r="CA75" s="78"/>
      <c r="CB75" s="78"/>
      <c r="CC75" s="78"/>
      <c r="CD75" s="78"/>
      <c r="CE75" s="78"/>
      <c r="CF75" s="78"/>
      <c r="CG75" s="78"/>
      <c r="CH75" s="78"/>
      <c r="CI75" s="78"/>
      <c r="CJ75" s="78"/>
      <c r="CK75" s="78"/>
      <c r="CL75" s="78"/>
      <c r="CM75" s="78"/>
      <c r="CN75" s="78"/>
      <c r="CO75" s="78"/>
      <c r="CP75" s="78"/>
      <c r="CQ75" s="78"/>
      <c r="CR75" s="78"/>
      <c r="CS75" s="78"/>
      <c r="CT75" s="78"/>
      <c r="CU75" s="78"/>
      <c r="CV75" s="78"/>
      <c r="CW75" s="78"/>
      <c r="CX75" s="78"/>
      <c r="CY75" s="78"/>
      <c r="CZ75" s="78"/>
      <c r="DA75" s="78"/>
      <c r="DB75" s="78"/>
      <c r="DC75" s="78"/>
      <c r="DD75" s="78"/>
      <c r="DE75" s="78"/>
      <c r="DF75" s="78"/>
      <c r="DG75" s="78"/>
      <c r="DH75" s="78"/>
      <c r="DI75" s="78"/>
      <c r="DJ75" s="78"/>
      <c r="DK75" s="78"/>
      <c r="DL75" s="78"/>
      <c r="DM75" s="78"/>
      <c r="DN75" s="78"/>
      <c r="DO75" s="78"/>
      <c r="DP75" s="78"/>
      <c r="DQ75" s="78"/>
      <c r="DR75" s="78"/>
      <c r="DS75" s="78"/>
      <c r="DT75" s="78"/>
      <c r="DU75" s="78"/>
      <c r="DV75" s="78"/>
      <c r="DW75" s="78"/>
      <c r="DX75" s="78"/>
      <c r="DY75" s="78"/>
      <c r="DZ75" s="78"/>
      <c r="EA75" s="78"/>
      <c r="EB75" s="78"/>
      <c r="EC75" s="78"/>
      <c r="ED75" s="78"/>
      <c r="EE75" s="78"/>
      <c r="EF75" s="78"/>
      <c r="EG75" s="78"/>
      <c r="EH75" s="78"/>
      <c r="EI75" s="78"/>
      <c r="EJ75" s="78"/>
      <c r="EK75" s="78"/>
      <c r="EL75" s="78"/>
      <c r="EM75" s="78"/>
      <c r="EN75" s="91"/>
      <c r="EO75" s="91"/>
      <c r="EP75" s="91"/>
      <c r="EQ75" s="91"/>
      <c r="ER75" s="91"/>
      <c r="ES75" s="91"/>
    </row>
    <row r="76" spans="1:149" outlineLevel="1">
      <c r="A76" s="29" t="str">
        <f t="shared" si="20"/>
        <v>PROCESSPROCESS_BANK_ID</v>
      </c>
      <c r="B76" s="67" t="s">
        <v>26</v>
      </c>
      <c r="C76" s="68" t="s">
        <v>54</v>
      </c>
      <c r="D76" s="64" t="s">
        <v>40</v>
      </c>
      <c r="E76" s="66" t="s">
        <v>55</v>
      </c>
      <c r="F76" s="66" t="s">
        <v>57</v>
      </c>
      <c r="G76" s="64" t="str">
        <f>INDEX(Auxiliar!$B$16:$B$24,MATCH(Plano_V3!H76,Auxiliar!$C$16:$C$24,0),1)</f>
        <v>1. Concluído</v>
      </c>
      <c r="H76" s="64">
        <f>VLOOKUP(A76,'Aux - pivots1'!$A:$B,2,0)</f>
        <v>1</v>
      </c>
      <c r="I76" s="180">
        <f>SUMIFS(Table1[Estimação (horas)],Table1[Tabela],Plano_V3!E76,Table1[Campo],Plano_V3!F76)</f>
        <v>4.0999999999999996</v>
      </c>
      <c r="J76" s="180">
        <f t="shared" si="21"/>
        <v>0.51249999999999996</v>
      </c>
      <c r="K76" s="180">
        <f>SUMIFS(Table1[Horas efetivas],Table1[Tabela],Plano_V3!E76,Table1[Campo],Plano_V3!F76)</f>
        <v>4.0999999999999996</v>
      </c>
      <c r="L76" s="180">
        <f t="shared" si="22"/>
        <v>0.51249999999999996</v>
      </c>
      <c r="M76" s="174"/>
      <c r="N76" s="174">
        <f t="shared" si="23"/>
        <v>1</v>
      </c>
      <c r="O76" s="174">
        <f t="shared" si="12"/>
        <v>1</v>
      </c>
      <c r="P76" s="89" t="s">
        <v>56</v>
      </c>
      <c r="Q76" s="90">
        <f t="shared" si="13"/>
        <v>0.51249999999999996</v>
      </c>
      <c r="R76" s="78"/>
      <c r="S76" s="78"/>
      <c r="T76" s="78"/>
      <c r="U76" s="78"/>
      <c r="V76" s="78"/>
      <c r="W76" s="78"/>
      <c r="X76" s="78"/>
      <c r="Y76" s="78"/>
      <c r="Z76" s="78"/>
      <c r="AA76" s="78"/>
      <c r="AB76" s="78"/>
      <c r="AC76" s="78"/>
      <c r="AD76" s="78"/>
      <c r="AE76" s="78"/>
      <c r="AF76" s="78"/>
      <c r="AG76" s="78"/>
      <c r="AH76" s="78"/>
      <c r="AI76" s="78"/>
      <c r="AJ76" s="78"/>
      <c r="AK76" s="78"/>
      <c r="AL76" s="78"/>
      <c r="AM76" s="78"/>
      <c r="AN76" s="78"/>
      <c r="AO76" s="78"/>
      <c r="AP76" s="78"/>
      <c r="AQ76" s="78"/>
      <c r="AR76" s="78"/>
      <c r="AS76" s="78"/>
      <c r="AT76" s="78"/>
      <c r="AU76" s="78"/>
      <c r="AV76" s="78"/>
      <c r="AW76" s="78"/>
      <c r="AX76" s="78"/>
      <c r="AY76" s="91"/>
      <c r="AZ76" s="78"/>
      <c r="BA76" s="78"/>
      <c r="BB76" s="78"/>
      <c r="BC76" s="78"/>
      <c r="BD76" s="78"/>
      <c r="BE76" s="78"/>
      <c r="BF76" s="78"/>
      <c r="BG76" s="78"/>
      <c r="BH76" s="78"/>
      <c r="BI76" s="78"/>
      <c r="BJ76" s="78"/>
      <c r="BK76" s="78"/>
      <c r="BL76" s="78"/>
      <c r="BM76" s="78"/>
      <c r="BN76" s="78"/>
      <c r="BO76" s="78"/>
      <c r="BP76" s="78"/>
      <c r="BQ76" s="78"/>
      <c r="BR76" s="78"/>
      <c r="BS76" s="78"/>
      <c r="BT76" s="78"/>
      <c r="BU76" s="78"/>
      <c r="BV76" s="78"/>
      <c r="BW76" s="78"/>
      <c r="BX76" s="78"/>
      <c r="BY76" s="78"/>
      <c r="BZ76" s="78"/>
      <c r="CA76" s="78"/>
      <c r="CB76" s="78"/>
      <c r="CC76" s="78"/>
      <c r="CD76" s="78"/>
      <c r="CE76" s="78"/>
      <c r="CF76" s="78"/>
      <c r="CG76" s="78"/>
      <c r="CH76" s="78"/>
      <c r="CI76" s="78"/>
      <c r="CJ76" s="78"/>
      <c r="CK76" s="78"/>
      <c r="CL76" s="78"/>
      <c r="CM76" s="78"/>
      <c r="CN76" s="78"/>
      <c r="CO76" s="78"/>
      <c r="CP76" s="78"/>
      <c r="CQ76" s="78"/>
      <c r="CR76" s="78"/>
      <c r="CS76" s="78"/>
      <c r="CT76" s="78"/>
      <c r="CU76" s="78"/>
      <c r="CV76" s="78"/>
      <c r="CW76" s="78"/>
      <c r="CX76" s="78"/>
      <c r="CY76" s="78"/>
      <c r="CZ76" s="78"/>
      <c r="DA76" s="78"/>
      <c r="DB76" s="78"/>
      <c r="DC76" s="78"/>
      <c r="DD76" s="78"/>
      <c r="DE76" s="78"/>
      <c r="DF76" s="78"/>
      <c r="DG76" s="78"/>
      <c r="DH76" s="78"/>
      <c r="DI76" s="78"/>
      <c r="DJ76" s="78"/>
      <c r="DK76" s="78"/>
      <c r="DL76" s="78"/>
      <c r="DM76" s="78"/>
      <c r="DN76" s="78"/>
      <c r="DO76" s="78"/>
      <c r="DP76" s="78"/>
      <c r="DQ76" s="78"/>
      <c r="DR76" s="78"/>
      <c r="DS76" s="78"/>
      <c r="DT76" s="78"/>
      <c r="DU76" s="78"/>
      <c r="DV76" s="78"/>
      <c r="DW76" s="78"/>
      <c r="DX76" s="78"/>
      <c r="DY76" s="78"/>
      <c r="DZ76" s="78"/>
      <c r="EA76" s="78"/>
      <c r="EB76" s="78"/>
      <c r="EC76" s="78"/>
      <c r="ED76" s="78"/>
      <c r="EE76" s="78"/>
      <c r="EF76" s="78"/>
      <c r="EG76" s="78"/>
      <c r="EH76" s="78"/>
      <c r="EI76" s="78"/>
      <c r="EJ76" s="78"/>
      <c r="EK76" s="78"/>
      <c r="EL76" s="78"/>
      <c r="EM76" s="78"/>
      <c r="EN76" s="91"/>
      <c r="EO76" s="91"/>
      <c r="EP76" s="91"/>
      <c r="EQ76" s="91"/>
      <c r="ER76" s="91"/>
      <c r="ES76" s="91"/>
    </row>
    <row r="77" spans="1:149" outlineLevel="1">
      <c r="A77" s="29" t="str">
        <f t="shared" si="20"/>
        <v>PROCESSPROCESS_BRANCH_CODE</v>
      </c>
      <c r="B77" s="67" t="s">
        <v>26</v>
      </c>
      <c r="C77" s="68" t="s">
        <v>54</v>
      </c>
      <c r="D77" s="64" t="s">
        <v>40</v>
      </c>
      <c r="E77" s="66" t="s">
        <v>55</v>
      </c>
      <c r="F77" s="66" t="s">
        <v>58</v>
      </c>
      <c r="G77" s="64" t="str">
        <f>INDEX(Auxiliar!$B$16:$B$24,MATCH(Plano_V3!H77,Auxiliar!$C$16:$C$24,0),1)</f>
        <v>1. Concluído</v>
      </c>
      <c r="H77" s="64">
        <f>VLOOKUP(A77,'Aux - pivots1'!$A:$B,2,0)</f>
        <v>1</v>
      </c>
      <c r="I77" s="180">
        <f>SUMIFS(Table1[Estimação (horas)],Table1[Tabela],Plano_V3!E77,Table1[Campo],Plano_V3!F77)</f>
        <v>4.0999999999999996</v>
      </c>
      <c r="J77" s="180">
        <f t="shared" si="21"/>
        <v>0.51249999999999996</v>
      </c>
      <c r="K77" s="180">
        <f>SUMIFS(Table1[Horas efetivas],Table1[Tabela],Plano_V3!E77,Table1[Campo],Plano_V3!F77)</f>
        <v>4.0999999999999996</v>
      </c>
      <c r="L77" s="180">
        <f t="shared" si="22"/>
        <v>0.51249999999999996</v>
      </c>
      <c r="M77" s="174"/>
      <c r="N77" s="174">
        <f t="shared" si="23"/>
        <v>1</v>
      </c>
      <c r="O77" s="174">
        <f t="shared" si="12"/>
        <v>1</v>
      </c>
      <c r="P77" s="89" t="s">
        <v>56</v>
      </c>
      <c r="Q77" s="90">
        <f t="shared" si="13"/>
        <v>0.51249999999999996</v>
      </c>
      <c r="R77" s="78"/>
      <c r="S77" s="78"/>
      <c r="T77" s="78"/>
      <c r="U77" s="78"/>
      <c r="V77" s="78"/>
      <c r="W77" s="78"/>
      <c r="X77" s="78"/>
      <c r="Y77" s="78"/>
      <c r="Z77" s="78"/>
      <c r="AA77" s="78"/>
      <c r="AB77" s="78"/>
      <c r="AC77" s="78"/>
      <c r="AD77" s="78"/>
      <c r="AE77" s="78"/>
      <c r="AF77" s="78"/>
      <c r="AG77" s="78"/>
      <c r="AH77" s="78"/>
      <c r="AI77" s="78"/>
      <c r="AJ77" s="78"/>
      <c r="AK77" s="78"/>
      <c r="AL77" s="78"/>
      <c r="AM77" s="78"/>
      <c r="AN77" s="78"/>
      <c r="AO77" s="78"/>
      <c r="AP77" s="78"/>
      <c r="AQ77" s="78"/>
      <c r="AR77" s="78"/>
      <c r="AS77" s="78"/>
      <c r="AT77" s="78"/>
      <c r="AU77" s="78"/>
      <c r="AV77" s="78"/>
      <c r="AW77" s="78"/>
      <c r="AX77" s="78"/>
      <c r="AY77" s="91"/>
      <c r="AZ77" s="78"/>
      <c r="BA77" s="78"/>
      <c r="BB77" s="78"/>
      <c r="BC77" s="78"/>
      <c r="BD77" s="78"/>
      <c r="BE77" s="78"/>
      <c r="BF77" s="78"/>
      <c r="BG77" s="78"/>
      <c r="BH77" s="78"/>
      <c r="BI77" s="78"/>
      <c r="BJ77" s="78"/>
      <c r="BK77" s="78"/>
      <c r="BL77" s="78"/>
      <c r="BM77" s="78"/>
      <c r="BN77" s="78"/>
      <c r="BO77" s="78"/>
      <c r="BP77" s="78"/>
      <c r="BQ77" s="78"/>
      <c r="BR77" s="78"/>
      <c r="BS77" s="78"/>
      <c r="BT77" s="78"/>
      <c r="BU77" s="78"/>
      <c r="BV77" s="78"/>
      <c r="BW77" s="78"/>
      <c r="BX77" s="78"/>
      <c r="BY77" s="78"/>
      <c r="BZ77" s="78"/>
      <c r="CA77" s="78"/>
      <c r="CB77" s="78"/>
      <c r="CC77" s="78"/>
      <c r="CD77" s="78"/>
      <c r="CE77" s="78"/>
      <c r="CF77" s="78"/>
      <c r="CG77" s="78"/>
      <c r="CH77" s="78"/>
      <c r="CI77" s="78"/>
      <c r="CJ77" s="78"/>
      <c r="CK77" s="78"/>
      <c r="CL77" s="78"/>
      <c r="CM77" s="78"/>
      <c r="CN77" s="78"/>
      <c r="CO77" s="78"/>
      <c r="CP77" s="78"/>
      <c r="CQ77" s="78"/>
      <c r="CR77" s="78"/>
      <c r="CS77" s="78"/>
      <c r="CT77" s="78"/>
      <c r="CU77" s="78"/>
      <c r="CV77" s="78"/>
      <c r="CW77" s="78"/>
      <c r="CX77" s="78"/>
      <c r="CY77" s="78"/>
      <c r="CZ77" s="78"/>
      <c r="DA77" s="78"/>
      <c r="DB77" s="78"/>
      <c r="DC77" s="78"/>
      <c r="DD77" s="78"/>
      <c r="DE77" s="78"/>
      <c r="DF77" s="78"/>
      <c r="DG77" s="78"/>
      <c r="DH77" s="78"/>
      <c r="DI77" s="78"/>
      <c r="DJ77" s="78"/>
      <c r="DK77" s="78"/>
      <c r="DL77" s="78"/>
      <c r="DM77" s="78"/>
      <c r="DN77" s="78"/>
      <c r="DO77" s="78"/>
      <c r="DP77" s="78"/>
      <c r="DQ77" s="78"/>
      <c r="DR77" s="78"/>
      <c r="DS77" s="78"/>
      <c r="DT77" s="78"/>
      <c r="DU77" s="78"/>
      <c r="DV77" s="78"/>
      <c r="DW77" s="78"/>
      <c r="DX77" s="78"/>
      <c r="DY77" s="78"/>
      <c r="DZ77" s="78"/>
      <c r="EA77" s="78"/>
      <c r="EB77" s="78"/>
      <c r="EC77" s="78"/>
      <c r="ED77" s="78"/>
      <c r="EE77" s="78"/>
      <c r="EF77" s="78"/>
      <c r="EG77" s="78"/>
      <c r="EH77" s="78"/>
      <c r="EI77" s="78"/>
      <c r="EJ77" s="78"/>
      <c r="EK77" s="78"/>
      <c r="EL77" s="78"/>
      <c r="EM77" s="78"/>
      <c r="EN77" s="91"/>
      <c r="EO77" s="91"/>
      <c r="EP77" s="91"/>
      <c r="EQ77" s="91"/>
      <c r="ER77" s="91"/>
      <c r="ES77" s="91"/>
    </row>
    <row r="78" spans="1:149" outlineLevel="1">
      <c r="A78" s="29" t="str">
        <f t="shared" si="20"/>
        <v>PROCESSPROCESS_ACCOUNT_ID</v>
      </c>
      <c r="B78" s="67" t="s">
        <v>26</v>
      </c>
      <c r="C78" s="68" t="s">
        <v>54</v>
      </c>
      <c r="D78" s="64" t="s">
        <v>40</v>
      </c>
      <c r="E78" s="66" t="s">
        <v>55</v>
      </c>
      <c r="F78" s="66" t="s">
        <v>59</v>
      </c>
      <c r="G78" s="64" t="str">
        <f>INDEX(Auxiliar!$B$16:$B$24,MATCH(Plano_V3!H78,Auxiliar!$C$16:$C$24,0),1)</f>
        <v>1. Concluído</v>
      </c>
      <c r="H78" s="64">
        <f>VLOOKUP(A78,'Aux - pivots1'!$A:$B,2,0)</f>
        <v>1</v>
      </c>
      <c r="I78" s="180">
        <f>SUMIFS(Table1[Estimação (horas)],Table1[Tabela],Plano_V3!E78,Table1[Campo],Plano_V3!F78)</f>
        <v>4.0999999999999996</v>
      </c>
      <c r="J78" s="180">
        <f t="shared" si="21"/>
        <v>0.51249999999999996</v>
      </c>
      <c r="K78" s="180">
        <f>SUMIFS(Table1[Horas efetivas],Table1[Tabela],Plano_V3!E78,Table1[Campo],Plano_V3!F78)</f>
        <v>4.0999999999999996</v>
      </c>
      <c r="L78" s="180">
        <f t="shared" si="22"/>
        <v>0.51249999999999996</v>
      </c>
      <c r="M78" s="174"/>
      <c r="N78" s="174">
        <f t="shared" si="23"/>
        <v>1</v>
      </c>
      <c r="O78" s="174">
        <f t="shared" si="12"/>
        <v>1</v>
      </c>
      <c r="P78" s="89" t="s">
        <v>56</v>
      </c>
      <c r="Q78" s="90">
        <f t="shared" si="13"/>
        <v>0.51249999999999996</v>
      </c>
      <c r="R78" s="78"/>
      <c r="S78" s="78"/>
      <c r="T78" s="78"/>
      <c r="U78" s="78"/>
      <c r="V78" s="78"/>
      <c r="W78" s="78"/>
      <c r="X78" s="78"/>
      <c r="Y78" s="78"/>
      <c r="Z78" s="78"/>
      <c r="AA78" s="78"/>
      <c r="AB78" s="78"/>
      <c r="AC78" s="78"/>
      <c r="AD78" s="78"/>
      <c r="AE78" s="78"/>
      <c r="AF78" s="78"/>
      <c r="AG78" s="78"/>
      <c r="AH78" s="78"/>
      <c r="AI78" s="78"/>
      <c r="AJ78" s="78"/>
      <c r="AK78" s="78"/>
      <c r="AL78" s="78"/>
      <c r="AM78" s="78"/>
      <c r="AN78" s="78"/>
      <c r="AO78" s="78"/>
      <c r="AP78" s="78"/>
      <c r="AQ78" s="78"/>
      <c r="AR78" s="78"/>
      <c r="AS78" s="78"/>
      <c r="AT78" s="78"/>
      <c r="AU78" s="78"/>
      <c r="AV78" s="78"/>
      <c r="AW78" s="78"/>
      <c r="AX78" s="78"/>
      <c r="AY78" s="91"/>
      <c r="AZ78" s="78"/>
      <c r="BA78" s="78"/>
      <c r="BB78" s="78"/>
      <c r="BC78" s="78"/>
      <c r="BD78" s="78"/>
      <c r="BE78" s="78"/>
      <c r="BF78" s="78"/>
      <c r="BG78" s="78"/>
      <c r="BH78" s="78"/>
      <c r="BI78" s="78"/>
      <c r="BJ78" s="78"/>
      <c r="BK78" s="78"/>
      <c r="BL78" s="78"/>
      <c r="BM78" s="78"/>
      <c r="BN78" s="78"/>
      <c r="BO78" s="78"/>
      <c r="BP78" s="78"/>
      <c r="BQ78" s="78"/>
      <c r="BR78" s="78"/>
      <c r="BS78" s="78"/>
      <c r="BT78" s="78"/>
      <c r="BU78" s="78"/>
      <c r="BV78" s="78"/>
      <c r="BW78" s="78"/>
      <c r="BX78" s="78"/>
      <c r="BY78" s="78"/>
      <c r="BZ78" s="78"/>
      <c r="CA78" s="78"/>
      <c r="CB78" s="78"/>
      <c r="CC78" s="78"/>
      <c r="CD78" s="78"/>
      <c r="CE78" s="78"/>
      <c r="CF78" s="78"/>
      <c r="CG78" s="78"/>
      <c r="CH78" s="78"/>
      <c r="CI78" s="78"/>
      <c r="CJ78" s="78"/>
      <c r="CK78" s="78"/>
      <c r="CL78" s="78"/>
      <c r="CM78" s="78"/>
      <c r="CN78" s="78"/>
      <c r="CO78" s="78"/>
      <c r="CP78" s="78"/>
      <c r="CQ78" s="78"/>
      <c r="CR78" s="78"/>
      <c r="CS78" s="78"/>
      <c r="CT78" s="78"/>
      <c r="CU78" s="78"/>
      <c r="CV78" s="78"/>
      <c r="CW78" s="78"/>
      <c r="CX78" s="78"/>
      <c r="CY78" s="78"/>
      <c r="CZ78" s="78"/>
      <c r="DA78" s="78"/>
      <c r="DB78" s="78"/>
      <c r="DC78" s="78"/>
      <c r="DD78" s="78"/>
      <c r="DE78" s="78"/>
      <c r="DF78" s="78"/>
      <c r="DG78" s="78"/>
      <c r="DH78" s="78"/>
      <c r="DI78" s="78"/>
      <c r="DJ78" s="78"/>
      <c r="DK78" s="78"/>
      <c r="DL78" s="78"/>
      <c r="DM78" s="78"/>
      <c r="DN78" s="78"/>
      <c r="DO78" s="78"/>
      <c r="DP78" s="78"/>
      <c r="DQ78" s="78"/>
      <c r="DR78" s="78"/>
      <c r="DS78" s="78"/>
      <c r="DT78" s="78"/>
      <c r="DU78" s="78"/>
      <c r="DV78" s="78"/>
      <c r="DW78" s="78"/>
      <c r="DX78" s="78"/>
      <c r="DY78" s="78"/>
      <c r="DZ78" s="78"/>
      <c r="EA78" s="78"/>
      <c r="EB78" s="78"/>
      <c r="EC78" s="78"/>
      <c r="ED78" s="78"/>
      <c r="EE78" s="78"/>
      <c r="EF78" s="78"/>
      <c r="EG78" s="78"/>
      <c r="EH78" s="78"/>
      <c r="EI78" s="78"/>
      <c r="EJ78" s="78"/>
      <c r="EK78" s="78"/>
      <c r="EL78" s="78"/>
      <c r="EM78" s="78"/>
      <c r="EN78" s="91"/>
      <c r="EO78" s="91"/>
      <c r="EP78" s="91"/>
      <c r="EQ78" s="91"/>
      <c r="ER78" s="91"/>
      <c r="ES78" s="91"/>
    </row>
    <row r="79" spans="1:149" outlineLevel="1">
      <c r="A79" s="29" t="str">
        <f t="shared" si="20"/>
        <v>PROCESScod_estd_prcs</v>
      </c>
      <c r="B79" s="67" t="s">
        <v>26</v>
      </c>
      <c r="C79" s="68" t="s">
        <v>54</v>
      </c>
      <c r="D79" s="64" t="s">
        <v>40</v>
      </c>
      <c r="E79" s="66" t="s">
        <v>55</v>
      </c>
      <c r="F79" s="167" t="s">
        <v>60</v>
      </c>
      <c r="G79" s="64" t="str">
        <f>INDEX(Auxiliar!$B$16:$B$24,MATCH(Plano_V3!H79,Auxiliar!$C$16:$C$24,0),1)</f>
        <v>0. Cancelado</v>
      </c>
      <c r="H79" s="64">
        <f>VLOOKUP(A79,'Aux - pivots1'!$A:$B,2,0)</f>
        <v>0</v>
      </c>
      <c r="I79" s="181">
        <v>0</v>
      </c>
      <c r="J79" s="180">
        <f t="shared" si="21"/>
        <v>0</v>
      </c>
      <c r="K79" s="180">
        <f>SUMIFS(Table1[Horas efetivas],Table1[Tabela],Plano_V3!E79,Table1[Campo],Plano_V3!F79)</f>
        <v>0</v>
      </c>
      <c r="L79" s="180">
        <f t="shared" si="22"/>
        <v>0</v>
      </c>
      <c r="M79" s="174"/>
      <c r="N79" s="174" t="e">
        <f t="shared" si="23"/>
        <v>#DIV/0!</v>
      </c>
      <c r="O79" s="174" t="e">
        <f t="shared" si="12"/>
        <v>#DIV/0!</v>
      </c>
      <c r="P79" s="89" t="s">
        <v>56</v>
      </c>
      <c r="Q79" s="90">
        <f t="shared" si="13"/>
        <v>0</v>
      </c>
      <c r="R79" s="78"/>
      <c r="S79" s="78"/>
      <c r="T79" s="78"/>
      <c r="U79" s="78"/>
      <c r="V79" s="78"/>
      <c r="W79" s="78"/>
      <c r="X79" s="78"/>
      <c r="Y79" s="78"/>
      <c r="Z79" s="78"/>
      <c r="AA79" s="78"/>
      <c r="AB79" s="78"/>
      <c r="AC79" s="78"/>
      <c r="AD79" s="78"/>
      <c r="AE79" s="78"/>
      <c r="AF79" s="78"/>
      <c r="AG79" s="78"/>
      <c r="AH79" s="78"/>
      <c r="AI79" s="78"/>
      <c r="AJ79" s="78"/>
      <c r="AK79" s="78"/>
      <c r="AL79" s="78"/>
      <c r="AM79" s="78"/>
      <c r="AN79" s="78"/>
      <c r="AO79" s="78"/>
      <c r="AP79" s="78"/>
      <c r="AQ79" s="78"/>
      <c r="AR79" s="78"/>
      <c r="AS79" s="78"/>
      <c r="AT79" s="78"/>
      <c r="AU79" s="78"/>
      <c r="AV79" s="78"/>
      <c r="AW79" s="78"/>
      <c r="AX79" s="78"/>
      <c r="AY79" s="91"/>
      <c r="AZ79" s="78"/>
      <c r="BA79" s="78"/>
      <c r="BB79" s="78"/>
      <c r="BC79" s="78"/>
      <c r="BD79" s="78"/>
      <c r="BE79" s="78"/>
      <c r="BF79" s="78"/>
      <c r="BG79" s="78"/>
      <c r="BH79" s="78"/>
      <c r="BI79" s="78"/>
      <c r="BJ79" s="78"/>
      <c r="BK79" s="78"/>
      <c r="BL79" s="78"/>
      <c r="BM79" s="78"/>
      <c r="BN79" s="78"/>
      <c r="BO79" s="78"/>
      <c r="BP79" s="78"/>
      <c r="BQ79" s="78"/>
      <c r="BR79" s="78"/>
      <c r="BS79" s="78"/>
      <c r="BT79" s="78"/>
      <c r="BU79" s="78"/>
      <c r="BV79" s="78"/>
      <c r="BW79" s="78"/>
      <c r="BX79" s="78"/>
      <c r="BY79" s="78"/>
      <c r="BZ79" s="78"/>
      <c r="CA79" s="78"/>
      <c r="CB79" s="78"/>
      <c r="CC79" s="78"/>
      <c r="CD79" s="78"/>
      <c r="CE79" s="78"/>
      <c r="CF79" s="78"/>
      <c r="CG79" s="78"/>
      <c r="CH79" s="78"/>
      <c r="CI79" s="78"/>
      <c r="CJ79" s="78"/>
      <c r="CK79" s="78"/>
      <c r="CL79" s="78"/>
      <c r="CM79" s="78"/>
      <c r="CN79" s="78"/>
      <c r="CO79" s="78"/>
      <c r="CP79" s="78"/>
      <c r="CQ79" s="78"/>
      <c r="CR79" s="78"/>
      <c r="CS79" s="78"/>
      <c r="CT79" s="78"/>
      <c r="CU79" s="78"/>
      <c r="CV79" s="78"/>
      <c r="CW79" s="78"/>
      <c r="CX79" s="78"/>
      <c r="CY79" s="78"/>
      <c r="CZ79" s="78"/>
      <c r="DA79" s="78"/>
      <c r="DB79" s="78"/>
      <c r="DC79" s="78"/>
      <c r="DD79" s="78"/>
      <c r="DE79" s="78"/>
      <c r="DF79" s="78"/>
      <c r="DG79" s="78"/>
      <c r="DH79" s="78"/>
      <c r="DI79" s="78"/>
      <c r="DJ79" s="78"/>
      <c r="DK79" s="78"/>
      <c r="DL79" s="78"/>
      <c r="DM79" s="78"/>
      <c r="DN79" s="78"/>
      <c r="DO79" s="78"/>
      <c r="DP79" s="78"/>
      <c r="DQ79" s="78"/>
      <c r="DR79" s="78"/>
      <c r="DS79" s="78"/>
      <c r="DT79" s="78"/>
      <c r="DU79" s="78"/>
      <c r="DV79" s="78"/>
      <c r="DW79" s="78"/>
      <c r="DX79" s="78"/>
      <c r="DY79" s="78"/>
      <c r="DZ79" s="78"/>
      <c r="EA79" s="78"/>
      <c r="EB79" s="78"/>
      <c r="EC79" s="78"/>
      <c r="ED79" s="78"/>
      <c r="EE79" s="78"/>
      <c r="EF79" s="78"/>
      <c r="EG79" s="78"/>
      <c r="EH79" s="78"/>
      <c r="EI79" s="78"/>
      <c r="EJ79" s="78"/>
      <c r="EK79" s="78"/>
      <c r="EL79" s="78"/>
      <c r="EM79" s="78"/>
      <c r="EN79" s="91"/>
      <c r="EO79" s="91"/>
      <c r="EP79" s="91"/>
      <c r="EQ79" s="91"/>
      <c r="ER79" s="91"/>
      <c r="ES79" s="91"/>
    </row>
    <row r="80" spans="1:149" outlineLevel="1">
      <c r="A80" s="29" t="str">
        <f t="shared" si="20"/>
        <v>PROCESSGUARANTEE_CODE</v>
      </c>
      <c r="B80" s="67" t="s">
        <v>26</v>
      </c>
      <c r="C80" s="68" t="s">
        <v>54</v>
      </c>
      <c r="D80" s="64" t="s">
        <v>40</v>
      </c>
      <c r="E80" s="66" t="s">
        <v>55</v>
      </c>
      <c r="F80" s="66" t="s">
        <v>61</v>
      </c>
      <c r="G80" s="64" t="str">
        <f>INDEX(Auxiliar!$B$16:$B$24,MATCH(Plano_V3!H80,Auxiliar!$C$16:$C$24,0),1)</f>
        <v>1. Concluído</v>
      </c>
      <c r="H80" s="64">
        <f>VLOOKUP(A80,'Aux - pivots1'!$A:$B,2,0)</f>
        <v>1</v>
      </c>
      <c r="I80" s="180">
        <f>SUMIFS(Table1[Estimação (horas)],Table1[Tabela],Plano_V3!E80,Table1[Campo],Plano_V3!F80)</f>
        <v>4.0999999999999996</v>
      </c>
      <c r="J80" s="180">
        <f t="shared" si="21"/>
        <v>0.51249999999999996</v>
      </c>
      <c r="K80" s="180">
        <f>SUMIFS(Table1[Horas efetivas],Table1[Tabela],Plano_V3!E80,Table1[Campo],Plano_V3!F80)</f>
        <v>4.0999999999999996</v>
      </c>
      <c r="L80" s="180">
        <f t="shared" si="22"/>
        <v>0.51249999999999996</v>
      </c>
      <c r="M80" s="174"/>
      <c r="N80" s="174">
        <f t="shared" si="23"/>
        <v>1</v>
      </c>
      <c r="O80" s="174">
        <f t="shared" si="12"/>
        <v>1</v>
      </c>
      <c r="P80" s="89" t="s">
        <v>56</v>
      </c>
      <c r="Q80" s="90">
        <f t="shared" si="13"/>
        <v>0.51249999999999996</v>
      </c>
      <c r="R80" s="78"/>
      <c r="S80" s="78"/>
      <c r="T80" s="78"/>
      <c r="U80" s="78"/>
      <c r="V80" s="78"/>
      <c r="W80" s="78"/>
      <c r="X80" s="78"/>
      <c r="Y80" s="78"/>
      <c r="Z80" s="78"/>
      <c r="AA80" s="78"/>
      <c r="AB80" s="78"/>
      <c r="AC80" s="78"/>
      <c r="AD80" s="78"/>
      <c r="AE80" s="78"/>
      <c r="AF80" s="78"/>
      <c r="AG80" s="78"/>
      <c r="AH80" s="78"/>
      <c r="AI80" s="78"/>
      <c r="AJ80" s="78"/>
      <c r="AK80" s="78"/>
      <c r="AL80" s="78"/>
      <c r="AM80" s="78"/>
      <c r="AN80" s="78"/>
      <c r="AO80" s="78"/>
      <c r="AP80" s="78"/>
      <c r="AQ80" s="78"/>
      <c r="AR80" s="78"/>
      <c r="AS80" s="78"/>
      <c r="AT80" s="78"/>
      <c r="AU80" s="78"/>
      <c r="AV80" s="78"/>
      <c r="AW80" s="78"/>
      <c r="AX80" s="78"/>
      <c r="AY80" s="91"/>
      <c r="AZ80" s="78"/>
      <c r="BA80" s="78"/>
      <c r="BB80" s="78"/>
      <c r="BC80" s="78"/>
      <c r="BD80" s="78"/>
      <c r="BE80" s="78"/>
      <c r="BF80" s="78"/>
      <c r="BG80" s="78"/>
      <c r="BH80" s="78"/>
      <c r="BI80" s="78"/>
      <c r="BJ80" s="78"/>
      <c r="BK80" s="78"/>
      <c r="BL80" s="78"/>
      <c r="BM80" s="78"/>
      <c r="BN80" s="78"/>
      <c r="BO80" s="78"/>
      <c r="BP80" s="78"/>
      <c r="BQ80" s="78"/>
      <c r="BR80" s="78"/>
      <c r="BS80" s="78"/>
      <c r="BT80" s="78"/>
      <c r="BU80" s="78"/>
      <c r="BV80" s="78"/>
      <c r="BW80" s="78"/>
      <c r="BX80" s="78"/>
      <c r="BY80" s="78"/>
      <c r="BZ80" s="78"/>
      <c r="CA80" s="78"/>
      <c r="CB80" s="78"/>
      <c r="CC80" s="78"/>
      <c r="CD80" s="78"/>
      <c r="CE80" s="78"/>
      <c r="CF80" s="78"/>
      <c r="CG80" s="78"/>
      <c r="CH80" s="78"/>
      <c r="CI80" s="78"/>
      <c r="CJ80" s="78"/>
      <c r="CK80" s="78"/>
      <c r="CL80" s="78"/>
      <c r="CM80" s="78"/>
      <c r="CN80" s="78"/>
      <c r="CO80" s="78"/>
      <c r="CP80" s="78"/>
      <c r="CQ80" s="78"/>
      <c r="CR80" s="78"/>
      <c r="CS80" s="78"/>
      <c r="CT80" s="78"/>
      <c r="CU80" s="78"/>
      <c r="CV80" s="78"/>
      <c r="CW80" s="78"/>
      <c r="CX80" s="78"/>
      <c r="CY80" s="78"/>
      <c r="CZ80" s="78"/>
      <c r="DA80" s="78"/>
      <c r="DB80" s="78"/>
      <c r="DC80" s="78"/>
      <c r="DD80" s="78"/>
      <c r="DE80" s="78"/>
      <c r="DF80" s="78"/>
      <c r="DG80" s="78"/>
      <c r="DH80" s="78"/>
      <c r="DI80" s="78"/>
      <c r="DJ80" s="78"/>
      <c r="DK80" s="78"/>
      <c r="DL80" s="78"/>
      <c r="DM80" s="78"/>
      <c r="DN80" s="78"/>
      <c r="DO80" s="78"/>
      <c r="DP80" s="78"/>
      <c r="DQ80" s="78"/>
      <c r="DR80" s="78"/>
      <c r="DS80" s="78"/>
      <c r="DT80" s="78"/>
      <c r="DU80" s="78"/>
      <c r="DV80" s="78"/>
      <c r="DW80" s="78"/>
      <c r="DX80" s="78"/>
      <c r="DY80" s="78"/>
      <c r="DZ80" s="78"/>
      <c r="EA80" s="78"/>
      <c r="EB80" s="78"/>
      <c r="EC80" s="78"/>
      <c r="ED80" s="78"/>
      <c r="EE80" s="78"/>
      <c r="EF80" s="78"/>
      <c r="EG80" s="78"/>
      <c r="EH80" s="78"/>
      <c r="EI80" s="78"/>
      <c r="EJ80" s="78"/>
      <c r="EK80" s="78"/>
      <c r="EL80" s="78"/>
      <c r="EM80" s="78"/>
      <c r="EN80" s="91"/>
      <c r="EO80" s="91"/>
      <c r="EP80" s="91"/>
      <c r="EQ80" s="91"/>
      <c r="ER80" s="91"/>
      <c r="ES80" s="91"/>
    </row>
    <row r="81" spans="1:149" outlineLevel="1">
      <c r="A81" s="29" t="str">
        <f t="shared" si="20"/>
        <v>PROCESSCURRENCY_CODE</v>
      </c>
      <c r="B81" s="67" t="s">
        <v>26</v>
      </c>
      <c r="C81" s="68" t="s">
        <v>54</v>
      </c>
      <c r="D81" s="64" t="s">
        <v>40</v>
      </c>
      <c r="E81" s="66" t="s">
        <v>55</v>
      </c>
      <c r="F81" s="66" t="s">
        <v>62</v>
      </c>
      <c r="G81" s="64" t="str">
        <f>INDEX(Auxiliar!$B$16:$B$24,MATCH(Plano_V3!H81,Auxiliar!$C$16:$C$24,0),1)</f>
        <v>1. Concluído</v>
      </c>
      <c r="H81" s="64">
        <f>VLOOKUP(A81,'Aux - pivots1'!$A:$B,2,0)</f>
        <v>1</v>
      </c>
      <c r="I81" s="180">
        <f>SUMIFS(Table1[Estimação (horas)],Table1[Tabela],Plano_V3!E81,Table1[Campo],Plano_V3!F81)</f>
        <v>4.0999999999999996</v>
      </c>
      <c r="J81" s="180">
        <f t="shared" si="21"/>
        <v>0.51249999999999996</v>
      </c>
      <c r="K81" s="180">
        <f>SUMIFS(Table1[Horas efetivas],Table1[Tabela],Plano_V3!E81,Table1[Campo],Plano_V3!F81)</f>
        <v>4.0999999999999996</v>
      </c>
      <c r="L81" s="180">
        <f t="shared" si="22"/>
        <v>0.51249999999999996</v>
      </c>
      <c r="M81" s="174"/>
      <c r="N81" s="174">
        <f t="shared" si="23"/>
        <v>1</v>
      </c>
      <c r="O81" s="174">
        <f t="shared" si="12"/>
        <v>1</v>
      </c>
      <c r="P81" s="89" t="s">
        <v>56</v>
      </c>
      <c r="Q81" s="90">
        <f t="shared" si="13"/>
        <v>0.51249999999999996</v>
      </c>
      <c r="R81" s="78"/>
      <c r="S81" s="78"/>
      <c r="T81" s="78"/>
      <c r="U81" s="78"/>
      <c r="V81" s="78"/>
      <c r="W81" s="78"/>
      <c r="X81" s="78"/>
      <c r="Y81" s="78"/>
      <c r="Z81" s="78"/>
      <c r="AA81" s="78"/>
      <c r="AB81" s="78"/>
      <c r="AC81" s="78"/>
      <c r="AD81" s="78"/>
      <c r="AE81" s="78"/>
      <c r="AF81" s="78"/>
      <c r="AG81" s="78"/>
      <c r="AH81" s="78"/>
      <c r="AI81" s="78"/>
      <c r="AJ81" s="78"/>
      <c r="AK81" s="78"/>
      <c r="AL81" s="78"/>
      <c r="AM81" s="78"/>
      <c r="AN81" s="78"/>
      <c r="AO81" s="78"/>
      <c r="AP81" s="78"/>
      <c r="AQ81" s="78"/>
      <c r="AR81" s="78"/>
      <c r="AS81" s="78"/>
      <c r="AT81" s="78"/>
      <c r="AU81" s="78"/>
      <c r="AV81" s="78"/>
      <c r="AW81" s="78"/>
      <c r="AX81" s="78"/>
      <c r="AY81" s="91"/>
      <c r="AZ81" s="78"/>
      <c r="BA81" s="78"/>
      <c r="BB81" s="78"/>
      <c r="BC81" s="78"/>
      <c r="BD81" s="78"/>
      <c r="BE81" s="78"/>
      <c r="BF81" s="78"/>
      <c r="BG81" s="78"/>
      <c r="BH81" s="78"/>
      <c r="BI81" s="78"/>
      <c r="BJ81" s="78"/>
      <c r="BK81" s="78"/>
      <c r="BL81" s="78"/>
      <c r="BM81" s="78"/>
      <c r="BN81" s="78"/>
      <c r="BO81" s="78"/>
      <c r="BP81" s="78"/>
      <c r="BQ81" s="78"/>
      <c r="BR81" s="78"/>
      <c r="BS81" s="78"/>
      <c r="BT81" s="78"/>
      <c r="BU81" s="78"/>
      <c r="BV81" s="78"/>
      <c r="BW81" s="78"/>
      <c r="BX81" s="78"/>
      <c r="BY81" s="78"/>
      <c r="BZ81" s="78"/>
      <c r="CA81" s="78"/>
      <c r="CB81" s="78"/>
      <c r="CC81" s="78"/>
      <c r="CD81" s="78"/>
      <c r="CE81" s="78"/>
      <c r="CF81" s="78"/>
      <c r="CG81" s="78"/>
      <c r="CH81" s="78"/>
      <c r="CI81" s="78"/>
      <c r="CJ81" s="78"/>
      <c r="CK81" s="78"/>
      <c r="CL81" s="78"/>
      <c r="CM81" s="78"/>
      <c r="CN81" s="78"/>
      <c r="CO81" s="78"/>
      <c r="CP81" s="78"/>
      <c r="CQ81" s="78"/>
      <c r="CR81" s="78"/>
      <c r="CS81" s="78"/>
      <c r="CT81" s="78"/>
      <c r="CU81" s="78"/>
      <c r="CV81" s="78"/>
      <c r="CW81" s="78"/>
      <c r="CX81" s="78"/>
      <c r="CY81" s="78"/>
      <c r="CZ81" s="78"/>
      <c r="DA81" s="78"/>
      <c r="DB81" s="78"/>
      <c r="DC81" s="78"/>
      <c r="DD81" s="78"/>
      <c r="DE81" s="78"/>
      <c r="DF81" s="78"/>
      <c r="DG81" s="78"/>
      <c r="DH81" s="78"/>
      <c r="DI81" s="78"/>
      <c r="DJ81" s="78"/>
      <c r="DK81" s="78"/>
      <c r="DL81" s="78"/>
      <c r="DM81" s="78"/>
      <c r="DN81" s="78"/>
      <c r="DO81" s="78"/>
      <c r="DP81" s="78"/>
      <c r="DQ81" s="78"/>
      <c r="DR81" s="78"/>
      <c r="DS81" s="78"/>
      <c r="DT81" s="78"/>
      <c r="DU81" s="78"/>
      <c r="DV81" s="78"/>
      <c r="DW81" s="78"/>
      <c r="DX81" s="78"/>
      <c r="DY81" s="78"/>
      <c r="DZ81" s="78"/>
      <c r="EA81" s="78"/>
      <c r="EB81" s="78"/>
      <c r="EC81" s="78"/>
      <c r="ED81" s="78"/>
      <c r="EE81" s="78"/>
      <c r="EF81" s="78"/>
      <c r="EG81" s="78"/>
      <c r="EH81" s="78"/>
      <c r="EI81" s="78"/>
      <c r="EJ81" s="78"/>
      <c r="EK81" s="78"/>
      <c r="EL81" s="78"/>
      <c r="EM81" s="78"/>
      <c r="EN81" s="91"/>
      <c r="EO81" s="91"/>
      <c r="EP81" s="91"/>
      <c r="EQ81" s="91"/>
      <c r="ER81" s="91"/>
      <c r="ES81" s="91"/>
    </row>
    <row r="82" spans="1:149" outlineLevel="1">
      <c r="A82" s="29" t="str">
        <f t="shared" si="20"/>
        <v>PROCESSPROCESS_CAMPAIGN_CODE</v>
      </c>
      <c r="B82" s="67" t="s">
        <v>26</v>
      </c>
      <c r="C82" s="68" t="s">
        <v>54</v>
      </c>
      <c r="D82" s="64" t="s">
        <v>40</v>
      </c>
      <c r="E82" s="66" t="s">
        <v>55</v>
      </c>
      <c r="F82" s="66" t="s">
        <v>63</v>
      </c>
      <c r="G82" s="64" t="str">
        <f>INDEX(Auxiliar!$B$16:$B$24,MATCH(Plano_V3!H82,Auxiliar!$C$16:$C$24,0),1)</f>
        <v>1. Concluído</v>
      </c>
      <c r="H82" s="64">
        <f>VLOOKUP(A82,'Aux - pivots1'!$A:$B,2,0)</f>
        <v>1</v>
      </c>
      <c r="I82" s="180">
        <f>SUMIFS(Table1[Estimação (horas)],Table1[Tabela],Plano_V3!E82,Table1[Campo],Plano_V3!F82)</f>
        <v>4.0999999999999996</v>
      </c>
      <c r="J82" s="180">
        <f t="shared" si="21"/>
        <v>0.51249999999999996</v>
      </c>
      <c r="K82" s="180">
        <f>SUMIFS(Table1[Horas efetivas],Table1[Tabela],Plano_V3!E82,Table1[Campo],Plano_V3!F82)</f>
        <v>4.0999999999999996</v>
      </c>
      <c r="L82" s="180">
        <f t="shared" si="22"/>
        <v>0.51249999999999996</v>
      </c>
      <c r="M82" s="174"/>
      <c r="N82" s="174">
        <f t="shared" si="23"/>
        <v>1</v>
      </c>
      <c r="O82" s="174">
        <f t="shared" si="12"/>
        <v>1</v>
      </c>
      <c r="P82" s="89" t="s">
        <v>56</v>
      </c>
      <c r="Q82" s="90">
        <f t="shared" si="13"/>
        <v>0.51249999999999996</v>
      </c>
      <c r="R82" s="78"/>
      <c r="S82" s="78"/>
      <c r="T82" s="78"/>
      <c r="U82" s="78"/>
      <c r="V82" s="78"/>
      <c r="W82" s="78"/>
      <c r="X82" s="78"/>
      <c r="Y82" s="78"/>
      <c r="Z82" s="78"/>
      <c r="AA82" s="78"/>
      <c r="AB82" s="78"/>
      <c r="AC82" s="78"/>
      <c r="AD82" s="78"/>
      <c r="AE82" s="78"/>
      <c r="AF82" s="78"/>
      <c r="AG82" s="78"/>
      <c r="AH82" s="78"/>
      <c r="AI82" s="78"/>
      <c r="AJ82" s="78"/>
      <c r="AK82" s="78"/>
      <c r="AL82" s="78"/>
      <c r="AM82" s="78"/>
      <c r="AN82" s="78"/>
      <c r="AO82" s="78"/>
      <c r="AP82" s="78"/>
      <c r="AQ82" s="78"/>
      <c r="AR82" s="78"/>
      <c r="AS82" s="78"/>
      <c r="AT82" s="78"/>
      <c r="AU82" s="78"/>
      <c r="AV82" s="78"/>
      <c r="AW82" s="78"/>
      <c r="AX82" s="78"/>
      <c r="AY82" s="91"/>
      <c r="AZ82" s="78"/>
      <c r="BA82" s="78"/>
      <c r="BB82" s="78"/>
      <c r="BC82" s="78"/>
      <c r="BD82" s="78"/>
      <c r="BE82" s="78"/>
      <c r="BF82" s="78"/>
      <c r="BG82" s="78"/>
      <c r="BH82" s="78"/>
      <c r="BI82" s="78"/>
      <c r="BJ82" s="78"/>
      <c r="BK82" s="78"/>
      <c r="BL82" s="78"/>
      <c r="BM82" s="78"/>
      <c r="BN82" s="78"/>
      <c r="BO82" s="78"/>
      <c r="BP82" s="78"/>
      <c r="BQ82" s="78"/>
      <c r="BR82" s="78"/>
      <c r="BS82" s="78"/>
      <c r="BT82" s="78"/>
      <c r="BU82" s="78"/>
      <c r="BV82" s="78"/>
      <c r="BW82" s="78"/>
      <c r="BX82" s="78"/>
      <c r="BY82" s="78"/>
      <c r="BZ82" s="78"/>
      <c r="CA82" s="78"/>
      <c r="CB82" s="78"/>
      <c r="CC82" s="78"/>
      <c r="CD82" s="78"/>
      <c r="CE82" s="78"/>
      <c r="CF82" s="78"/>
      <c r="CG82" s="78"/>
      <c r="CH82" s="78"/>
      <c r="CI82" s="78"/>
      <c r="CJ82" s="78"/>
      <c r="CK82" s="78"/>
      <c r="CL82" s="78"/>
      <c r="CM82" s="78"/>
      <c r="CN82" s="78"/>
      <c r="CO82" s="78"/>
      <c r="CP82" s="78"/>
      <c r="CQ82" s="78"/>
      <c r="CR82" s="78"/>
      <c r="CS82" s="78"/>
      <c r="CT82" s="78"/>
      <c r="CU82" s="78"/>
      <c r="CV82" s="78"/>
      <c r="CW82" s="78"/>
      <c r="CX82" s="78"/>
      <c r="CY82" s="78"/>
      <c r="CZ82" s="78"/>
      <c r="DA82" s="78"/>
      <c r="DB82" s="78"/>
      <c r="DC82" s="78"/>
      <c r="DD82" s="78"/>
      <c r="DE82" s="78"/>
      <c r="DF82" s="78"/>
      <c r="DG82" s="78"/>
      <c r="DH82" s="78"/>
      <c r="DI82" s="78"/>
      <c r="DJ82" s="78"/>
      <c r="DK82" s="78"/>
      <c r="DL82" s="78"/>
      <c r="DM82" s="78"/>
      <c r="DN82" s="78"/>
      <c r="DO82" s="78"/>
      <c r="DP82" s="78"/>
      <c r="DQ82" s="78"/>
      <c r="DR82" s="78"/>
      <c r="DS82" s="78"/>
      <c r="DT82" s="78"/>
      <c r="DU82" s="78"/>
      <c r="DV82" s="78"/>
      <c r="DW82" s="78"/>
      <c r="DX82" s="78"/>
      <c r="DY82" s="78"/>
      <c r="DZ82" s="78"/>
      <c r="EA82" s="78"/>
      <c r="EB82" s="78"/>
      <c r="EC82" s="78"/>
      <c r="ED82" s="78"/>
      <c r="EE82" s="78"/>
      <c r="EF82" s="78"/>
      <c r="EG82" s="78"/>
      <c r="EH82" s="78"/>
      <c r="EI82" s="78"/>
      <c r="EJ82" s="78"/>
      <c r="EK82" s="78"/>
      <c r="EL82" s="78"/>
      <c r="EM82" s="78"/>
      <c r="EN82" s="91"/>
      <c r="EO82" s="91"/>
      <c r="EP82" s="91"/>
      <c r="EQ82" s="91"/>
      <c r="ER82" s="91"/>
      <c r="ES82" s="91"/>
    </row>
    <row r="83" spans="1:149" outlineLevel="1">
      <c r="A83" s="29" t="str">
        <f t="shared" si="20"/>
        <v>PROCESSPROCESS_PRODUCT_ID</v>
      </c>
      <c r="B83" s="67" t="s">
        <v>26</v>
      </c>
      <c r="C83" s="68" t="s">
        <v>54</v>
      </c>
      <c r="D83" s="64" t="s">
        <v>40</v>
      </c>
      <c r="E83" s="66" t="s">
        <v>55</v>
      </c>
      <c r="F83" s="66" t="s">
        <v>64</v>
      </c>
      <c r="G83" s="64" t="str">
        <f>INDEX(Auxiliar!$B$16:$B$24,MATCH(Plano_V3!H83,Auxiliar!$C$16:$C$24,0),1)</f>
        <v>1. Concluído</v>
      </c>
      <c r="H83" s="64">
        <f>VLOOKUP(A83,'Aux - pivots1'!$A:$B,2,0)</f>
        <v>1</v>
      </c>
      <c r="I83" s="180">
        <f>SUMIFS(Table1[Estimação (horas)],Table1[Tabela],Plano_V3!E83,Table1[Campo],Plano_V3!F83)</f>
        <v>4.0999999999999996</v>
      </c>
      <c r="J83" s="180">
        <f t="shared" si="21"/>
        <v>0.51249999999999996</v>
      </c>
      <c r="K83" s="180">
        <f>SUMIFS(Table1[Horas efetivas],Table1[Tabela],Plano_V3!E83,Table1[Campo],Plano_V3!F83)</f>
        <v>4.0999999999999996</v>
      </c>
      <c r="L83" s="180">
        <f t="shared" si="22"/>
        <v>0.51249999999999996</v>
      </c>
      <c r="M83" s="174"/>
      <c r="N83" s="174">
        <f t="shared" si="23"/>
        <v>1</v>
      </c>
      <c r="O83" s="174">
        <f t="shared" si="12"/>
        <v>1</v>
      </c>
      <c r="P83" s="89" t="s">
        <v>56</v>
      </c>
      <c r="Q83" s="90">
        <f t="shared" si="13"/>
        <v>0.51249999999999996</v>
      </c>
      <c r="R83" s="78"/>
      <c r="S83" s="78"/>
      <c r="T83" s="78"/>
      <c r="U83" s="78"/>
      <c r="V83" s="78"/>
      <c r="W83" s="78"/>
      <c r="X83" s="78"/>
      <c r="Y83" s="78"/>
      <c r="Z83" s="78"/>
      <c r="AA83" s="78"/>
      <c r="AB83" s="78"/>
      <c r="AC83" s="78"/>
      <c r="AD83" s="78"/>
      <c r="AE83" s="78"/>
      <c r="AF83" s="78"/>
      <c r="AG83" s="78"/>
      <c r="AH83" s="78"/>
      <c r="AI83" s="78"/>
      <c r="AJ83" s="78"/>
      <c r="AK83" s="78"/>
      <c r="AL83" s="78"/>
      <c r="AM83" s="78"/>
      <c r="AN83" s="78"/>
      <c r="AO83" s="78"/>
      <c r="AP83" s="78"/>
      <c r="AQ83" s="78"/>
      <c r="AR83" s="78"/>
      <c r="AS83" s="78"/>
      <c r="AT83" s="78"/>
      <c r="AU83" s="78"/>
      <c r="AV83" s="78"/>
      <c r="AW83" s="78"/>
      <c r="AX83" s="78"/>
      <c r="AY83" s="91"/>
      <c r="AZ83" s="78"/>
      <c r="BA83" s="78"/>
      <c r="BB83" s="78"/>
      <c r="BC83" s="78"/>
      <c r="BD83" s="78"/>
      <c r="BE83" s="78"/>
      <c r="BF83" s="78"/>
      <c r="BG83" s="78"/>
      <c r="BH83" s="78"/>
      <c r="BI83" s="78"/>
      <c r="BJ83" s="78"/>
      <c r="BK83" s="78"/>
      <c r="BL83" s="78"/>
      <c r="BM83" s="78"/>
      <c r="BN83" s="78"/>
      <c r="BO83" s="78"/>
      <c r="BP83" s="78"/>
      <c r="BQ83" s="78"/>
      <c r="BR83" s="78"/>
      <c r="BS83" s="78"/>
      <c r="BT83" s="78"/>
      <c r="BU83" s="78"/>
      <c r="BV83" s="78"/>
      <c r="BW83" s="78"/>
      <c r="BX83" s="78"/>
      <c r="BY83" s="78"/>
      <c r="BZ83" s="78"/>
      <c r="CA83" s="78"/>
      <c r="CB83" s="78"/>
      <c r="CC83" s="78"/>
      <c r="CD83" s="78"/>
      <c r="CE83" s="78"/>
      <c r="CF83" s="78"/>
      <c r="CG83" s="78"/>
      <c r="CH83" s="78"/>
      <c r="CI83" s="78"/>
      <c r="CJ83" s="78"/>
      <c r="CK83" s="78"/>
      <c r="CL83" s="78"/>
      <c r="CM83" s="78"/>
      <c r="CN83" s="78"/>
      <c r="CO83" s="78"/>
      <c r="CP83" s="78"/>
      <c r="CQ83" s="78"/>
      <c r="CR83" s="78"/>
      <c r="CS83" s="78"/>
      <c r="CT83" s="78"/>
      <c r="CU83" s="78"/>
      <c r="CV83" s="78"/>
      <c r="CW83" s="78"/>
      <c r="CX83" s="78"/>
      <c r="CY83" s="78"/>
      <c r="CZ83" s="78"/>
      <c r="DA83" s="78"/>
      <c r="DB83" s="78"/>
      <c r="DC83" s="78"/>
      <c r="DD83" s="78"/>
      <c r="DE83" s="78"/>
      <c r="DF83" s="78"/>
      <c r="DG83" s="78"/>
      <c r="DH83" s="78"/>
      <c r="DI83" s="78"/>
      <c r="DJ83" s="78"/>
      <c r="DK83" s="78"/>
      <c r="DL83" s="78"/>
      <c r="DM83" s="78"/>
      <c r="DN83" s="78"/>
      <c r="DO83" s="78"/>
      <c r="DP83" s="78"/>
      <c r="DQ83" s="78"/>
      <c r="DR83" s="78"/>
      <c r="DS83" s="78"/>
      <c r="DT83" s="78"/>
      <c r="DU83" s="78"/>
      <c r="DV83" s="78"/>
      <c r="DW83" s="78"/>
      <c r="DX83" s="78"/>
      <c r="DY83" s="78"/>
      <c r="DZ83" s="78"/>
      <c r="EA83" s="78"/>
      <c r="EB83" s="78"/>
      <c r="EC83" s="78"/>
      <c r="ED83" s="78"/>
      <c r="EE83" s="78"/>
      <c r="EF83" s="78"/>
      <c r="EG83" s="78"/>
      <c r="EH83" s="78"/>
      <c r="EI83" s="78"/>
      <c r="EJ83" s="78"/>
      <c r="EK83" s="78"/>
      <c r="EL83" s="78"/>
      <c r="EM83" s="78"/>
      <c r="EN83" s="91"/>
      <c r="EO83" s="91"/>
      <c r="EP83" s="91"/>
      <c r="EQ83" s="91"/>
      <c r="ER83" s="91"/>
      <c r="ES83" s="91"/>
    </row>
    <row r="84" spans="1:149" outlineLevel="1">
      <c r="A84" s="29" t="str">
        <f t="shared" si="20"/>
        <v>PROCESSPROCESS_SUBPRODUCT_ID</v>
      </c>
      <c r="B84" s="67" t="s">
        <v>26</v>
      </c>
      <c r="C84" s="68" t="s">
        <v>54</v>
      </c>
      <c r="D84" s="64" t="s">
        <v>40</v>
      </c>
      <c r="E84" s="66" t="s">
        <v>55</v>
      </c>
      <c r="F84" s="66" t="s">
        <v>65</v>
      </c>
      <c r="G84" s="64" t="str">
        <f>INDEX(Auxiliar!$B$16:$B$24,MATCH(Plano_V3!H84,Auxiliar!$C$16:$C$24,0),1)</f>
        <v>1. Concluído</v>
      </c>
      <c r="H84" s="64">
        <f>VLOOKUP(A84,'Aux - pivots1'!$A:$B,2,0)</f>
        <v>1</v>
      </c>
      <c r="I84" s="180">
        <f>SUMIFS(Table1[Estimação (horas)],Table1[Tabela],Plano_V3!E84,Table1[Campo],Plano_V3!F84)</f>
        <v>4.0999999999999996</v>
      </c>
      <c r="J84" s="180">
        <f t="shared" si="21"/>
        <v>0.51249999999999996</v>
      </c>
      <c r="K84" s="180">
        <f>SUMIFS(Table1[Horas efetivas],Table1[Tabela],Plano_V3!E84,Table1[Campo],Plano_V3!F84)</f>
        <v>4.0999999999999996</v>
      </c>
      <c r="L84" s="180">
        <f t="shared" si="22"/>
        <v>0.51249999999999996</v>
      </c>
      <c r="M84" s="174"/>
      <c r="N84" s="174">
        <f t="shared" si="23"/>
        <v>1</v>
      </c>
      <c r="O84" s="174">
        <f t="shared" si="12"/>
        <v>1</v>
      </c>
      <c r="P84" s="89" t="s">
        <v>56</v>
      </c>
      <c r="Q84" s="90">
        <f t="shared" si="13"/>
        <v>0.51249999999999996</v>
      </c>
      <c r="R84" s="78"/>
      <c r="S84" s="78"/>
      <c r="T84" s="78"/>
      <c r="U84" s="78"/>
      <c r="V84" s="78"/>
      <c r="W84" s="78"/>
      <c r="X84" s="78"/>
      <c r="Y84" s="78"/>
      <c r="Z84" s="78"/>
      <c r="AA84" s="78"/>
      <c r="AB84" s="78"/>
      <c r="AC84" s="78"/>
      <c r="AD84" s="78"/>
      <c r="AE84" s="78"/>
      <c r="AF84" s="78"/>
      <c r="AG84" s="78"/>
      <c r="AH84" s="78"/>
      <c r="AI84" s="78"/>
      <c r="AJ84" s="78"/>
      <c r="AK84" s="78"/>
      <c r="AL84" s="78"/>
      <c r="AM84" s="78"/>
      <c r="AN84" s="78"/>
      <c r="AO84" s="78"/>
      <c r="AP84" s="78"/>
      <c r="AQ84" s="78"/>
      <c r="AR84" s="78"/>
      <c r="AS84" s="78"/>
      <c r="AT84" s="78"/>
      <c r="AU84" s="78"/>
      <c r="AV84" s="78"/>
      <c r="AW84" s="78"/>
      <c r="AX84" s="78"/>
      <c r="AY84" s="91"/>
      <c r="AZ84" s="78"/>
      <c r="BA84" s="78"/>
      <c r="BB84" s="78"/>
      <c r="BC84" s="78"/>
      <c r="BD84" s="78"/>
      <c r="BE84" s="78"/>
      <c r="BF84" s="78"/>
      <c r="BG84" s="78"/>
      <c r="BH84" s="78"/>
      <c r="BI84" s="78"/>
      <c r="BJ84" s="78"/>
      <c r="BK84" s="78"/>
      <c r="BL84" s="78"/>
      <c r="BM84" s="78"/>
      <c r="BN84" s="78"/>
      <c r="BO84" s="78"/>
      <c r="BP84" s="78"/>
      <c r="BQ84" s="78"/>
      <c r="BR84" s="78"/>
      <c r="BS84" s="78"/>
      <c r="BT84" s="78"/>
      <c r="BU84" s="78"/>
      <c r="BV84" s="78"/>
      <c r="BW84" s="78"/>
      <c r="BX84" s="78"/>
      <c r="BY84" s="78"/>
      <c r="BZ84" s="78"/>
      <c r="CA84" s="78"/>
      <c r="CB84" s="78"/>
      <c r="CC84" s="78"/>
      <c r="CD84" s="78"/>
      <c r="CE84" s="78"/>
      <c r="CF84" s="78"/>
      <c r="CG84" s="78"/>
      <c r="CH84" s="78"/>
      <c r="CI84" s="78"/>
      <c r="CJ84" s="78"/>
      <c r="CK84" s="78"/>
      <c r="CL84" s="78"/>
      <c r="CM84" s="78"/>
      <c r="CN84" s="78"/>
      <c r="CO84" s="78"/>
      <c r="CP84" s="78"/>
      <c r="CQ84" s="78"/>
      <c r="CR84" s="78"/>
      <c r="CS84" s="78"/>
      <c r="CT84" s="78"/>
      <c r="CU84" s="78"/>
      <c r="CV84" s="78"/>
      <c r="CW84" s="78"/>
      <c r="CX84" s="78"/>
      <c r="CY84" s="78"/>
      <c r="CZ84" s="78"/>
      <c r="DA84" s="78"/>
      <c r="DB84" s="78"/>
      <c r="DC84" s="78"/>
      <c r="DD84" s="78"/>
      <c r="DE84" s="78"/>
      <c r="DF84" s="78"/>
      <c r="DG84" s="78"/>
      <c r="DH84" s="78"/>
      <c r="DI84" s="78"/>
      <c r="DJ84" s="78"/>
      <c r="DK84" s="78"/>
      <c r="DL84" s="78"/>
      <c r="DM84" s="78"/>
      <c r="DN84" s="78"/>
      <c r="DO84" s="78"/>
      <c r="DP84" s="78"/>
      <c r="DQ84" s="78"/>
      <c r="DR84" s="78"/>
      <c r="DS84" s="78"/>
      <c r="DT84" s="78"/>
      <c r="DU84" s="78"/>
      <c r="DV84" s="78"/>
      <c r="DW84" s="78"/>
      <c r="DX84" s="78"/>
      <c r="DY84" s="78"/>
      <c r="DZ84" s="78"/>
      <c r="EA84" s="78"/>
      <c r="EB84" s="78"/>
      <c r="EC84" s="78"/>
      <c r="ED84" s="78"/>
      <c r="EE84" s="78"/>
      <c r="EF84" s="78"/>
      <c r="EG84" s="78"/>
      <c r="EH84" s="78"/>
      <c r="EI84" s="78"/>
      <c r="EJ84" s="78"/>
      <c r="EK84" s="78"/>
      <c r="EL84" s="78"/>
      <c r="EM84" s="78"/>
      <c r="EN84" s="91"/>
      <c r="EO84" s="91"/>
      <c r="EP84" s="91"/>
      <c r="EQ84" s="91"/>
      <c r="ER84" s="91"/>
      <c r="ES84" s="91"/>
    </row>
    <row r="85" spans="1:149" outlineLevel="1">
      <c r="A85" s="29" t="str">
        <f t="shared" si="20"/>
        <v>PROCESSGUARANTEE_TYPE_CODE</v>
      </c>
      <c r="B85" s="67" t="s">
        <v>26</v>
      </c>
      <c r="C85" s="68" t="s">
        <v>54</v>
      </c>
      <c r="D85" s="64" t="s">
        <v>40</v>
      </c>
      <c r="E85" s="66" t="s">
        <v>55</v>
      </c>
      <c r="F85" s="66" t="s">
        <v>66</v>
      </c>
      <c r="G85" s="64" t="str">
        <f>INDEX(Auxiliar!$B$16:$B$24,MATCH(Plano_V3!H85,Auxiliar!$C$16:$C$24,0),1)</f>
        <v>1. Concluído</v>
      </c>
      <c r="H85" s="64">
        <f>VLOOKUP(A85,'Aux - pivots1'!$A:$B,2,0)</f>
        <v>1</v>
      </c>
      <c r="I85" s="180">
        <f>SUMIFS(Table1[Estimação (horas)],Table1[Tabela],Plano_V3!E85,Table1[Campo],Plano_V3!F85)</f>
        <v>4.0999999999999996</v>
      </c>
      <c r="J85" s="180">
        <f t="shared" si="21"/>
        <v>0.51249999999999996</v>
      </c>
      <c r="K85" s="180">
        <f>SUMIFS(Table1[Horas efetivas],Table1[Tabela],Plano_V3!E85,Table1[Campo],Plano_V3!F85)</f>
        <v>4.0999999999999996</v>
      </c>
      <c r="L85" s="180">
        <f t="shared" si="22"/>
        <v>0.51249999999999996</v>
      </c>
      <c r="M85" s="174"/>
      <c r="N85" s="174">
        <f t="shared" si="23"/>
        <v>1</v>
      </c>
      <c r="O85" s="174">
        <f t="shared" si="12"/>
        <v>1</v>
      </c>
      <c r="P85" s="89" t="s">
        <v>56</v>
      </c>
      <c r="Q85" s="90">
        <f t="shared" si="13"/>
        <v>0.51249999999999996</v>
      </c>
      <c r="R85" s="78"/>
      <c r="S85" s="78"/>
      <c r="T85" s="78"/>
      <c r="U85" s="78"/>
      <c r="V85" s="78"/>
      <c r="W85" s="78"/>
      <c r="X85" s="78"/>
      <c r="Y85" s="78"/>
      <c r="Z85" s="78"/>
      <c r="AA85" s="78"/>
      <c r="AB85" s="78"/>
      <c r="AC85" s="78"/>
      <c r="AD85" s="78"/>
      <c r="AE85" s="78"/>
      <c r="AF85" s="78"/>
      <c r="AG85" s="78"/>
      <c r="AH85" s="78"/>
      <c r="AI85" s="78"/>
      <c r="AJ85" s="78"/>
      <c r="AK85" s="78"/>
      <c r="AL85" s="78"/>
      <c r="AM85" s="78"/>
      <c r="AN85" s="78"/>
      <c r="AO85" s="78"/>
      <c r="AP85" s="78"/>
      <c r="AQ85" s="78"/>
      <c r="AR85" s="78"/>
      <c r="AS85" s="78"/>
      <c r="AT85" s="78"/>
      <c r="AU85" s="78"/>
      <c r="AV85" s="78"/>
      <c r="AW85" s="78"/>
      <c r="AX85" s="78"/>
      <c r="AY85" s="91"/>
      <c r="AZ85" s="78"/>
      <c r="BA85" s="78"/>
      <c r="BB85" s="78"/>
      <c r="BC85" s="78"/>
      <c r="BD85" s="78"/>
      <c r="BE85" s="78"/>
      <c r="BF85" s="78"/>
      <c r="BG85" s="78"/>
      <c r="BH85" s="78"/>
      <c r="BI85" s="78"/>
      <c r="BJ85" s="78"/>
      <c r="BK85" s="78"/>
      <c r="BL85" s="78"/>
      <c r="BM85" s="78"/>
      <c r="BN85" s="78"/>
      <c r="BO85" s="78"/>
      <c r="BP85" s="78"/>
      <c r="BQ85" s="78"/>
      <c r="BR85" s="78"/>
      <c r="BS85" s="78"/>
      <c r="BT85" s="78"/>
      <c r="BU85" s="78"/>
      <c r="BV85" s="78"/>
      <c r="BW85" s="78"/>
      <c r="BX85" s="78"/>
      <c r="BY85" s="78"/>
      <c r="BZ85" s="78"/>
      <c r="CA85" s="78"/>
      <c r="CB85" s="78"/>
      <c r="CC85" s="78"/>
      <c r="CD85" s="78"/>
      <c r="CE85" s="78"/>
      <c r="CF85" s="78"/>
      <c r="CG85" s="78"/>
      <c r="CH85" s="78"/>
      <c r="CI85" s="78"/>
      <c r="CJ85" s="78"/>
      <c r="CK85" s="78"/>
      <c r="CL85" s="78"/>
      <c r="CM85" s="78"/>
      <c r="CN85" s="78"/>
      <c r="CO85" s="78"/>
      <c r="CP85" s="78"/>
      <c r="CQ85" s="78"/>
      <c r="CR85" s="78"/>
      <c r="CS85" s="78"/>
      <c r="CT85" s="78"/>
      <c r="CU85" s="78"/>
      <c r="CV85" s="78"/>
      <c r="CW85" s="78"/>
      <c r="CX85" s="78"/>
      <c r="CY85" s="78"/>
      <c r="CZ85" s="78"/>
      <c r="DA85" s="78"/>
      <c r="DB85" s="78"/>
      <c r="DC85" s="78"/>
      <c r="DD85" s="78"/>
      <c r="DE85" s="78"/>
      <c r="DF85" s="78"/>
      <c r="DG85" s="78"/>
      <c r="DH85" s="78"/>
      <c r="DI85" s="78"/>
      <c r="DJ85" s="78"/>
      <c r="DK85" s="78"/>
      <c r="DL85" s="78"/>
      <c r="DM85" s="78"/>
      <c r="DN85" s="78"/>
      <c r="DO85" s="78"/>
      <c r="DP85" s="78"/>
      <c r="DQ85" s="78"/>
      <c r="DR85" s="78"/>
      <c r="DS85" s="78"/>
      <c r="DT85" s="78"/>
      <c r="DU85" s="78"/>
      <c r="DV85" s="78"/>
      <c r="DW85" s="78"/>
      <c r="DX85" s="78"/>
      <c r="DY85" s="78"/>
      <c r="DZ85" s="78"/>
      <c r="EA85" s="78"/>
      <c r="EB85" s="78"/>
      <c r="EC85" s="78"/>
      <c r="ED85" s="78"/>
      <c r="EE85" s="78"/>
      <c r="EF85" s="78"/>
      <c r="EG85" s="78"/>
      <c r="EH85" s="78"/>
      <c r="EI85" s="78"/>
      <c r="EJ85" s="78"/>
      <c r="EK85" s="78"/>
      <c r="EL85" s="78"/>
      <c r="EM85" s="78"/>
      <c r="EN85" s="91"/>
      <c r="EO85" s="91"/>
      <c r="EP85" s="91"/>
      <c r="EQ85" s="91"/>
      <c r="ER85" s="91"/>
      <c r="ES85" s="91"/>
    </row>
    <row r="86" spans="1:149" outlineLevel="1">
      <c r="A86" s="29" t="str">
        <f t="shared" si="20"/>
        <v>PROCESSPROCESS_REFERENCE_CODE</v>
      </c>
      <c r="B86" s="67" t="s">
        <v>26</v>
      </c>
      <c r="C86" s="68" t="s">
        <v>54</v>
      </c>
      <c r="D86" s="64" t="s">
        <v>40</v>
      </c>
      <c r="E86" s="66" t="s">
        <v>55</v>
      </c>
      <c r="F86" s="66" t="s">
        <v>67</v>
      </c>
      <c r="G86" s="64" t="str">
        <f>INDEX(Auxiliar!$B$16:$B$24,MATCH(Plano_V3!H86,Auxiliar!$C$16:$C$24,0),1)</f>
        <v>1. Concluído</v>
      </c>
      <c r="H86" s="64">
        <f>VLOOKUP(A86,'Aux - pivots1'!$A:$B,2,0)</f>
        <v>1</v>
      </c>
      <c r="I86" s="180">
        <f>SUMIFS(Table1[Estimação (horas)],Table1[Tabela],Plano_V3!E86,Table1[Campo],Plano_V3!F86)</f>
        <v>4.0999999999999996</v>
      </c>
      <c r="J86" s="180">
        <f t="shared" si="21"/>
        <v>0.51249999999999996</v>
      </c>
      <c r="K86" s="180">
        <f>SUMIFS(Table1[Horas efetivas],Table1[Tabela],Plano_V3!E86,Table1[Campo],Plano_V3!F86)</f>
        <v>4.0999999999999996</v>
      </c>
      <c r="L86" s="180">
        <f t="shared" si="22"/>
        <v>0.51249999999999996</v>
      </c>
      <c r="M86" s="174"/>
      <c r="N86" s="174">
        <f t="shared" si="23"/>
        <v>1</v>
      </c>
      <c r="O86" s="174">
        <f t="shared" si="12"/>
        <v>1</v>
      </c>
      <c r="P86" s="89" t="s">
        <v>56</v>
      </c>
      <c r="Q86" s="90">
        <f t="shared" si="13"/>
        <v>0.51249999999999996</v>
      </c>
      <c r="R86" s="78"/>
      <c r="S86" s="78"/>
      <c r="T86" s="78"/>
      <c r="U86" s="78"/>
      <c r="V86" s="78"/>
      <c r="W86" s="78"/>
      <c r="X86" s="78"/>
      <c r="Y86" s="78"/>
      <c r="Z86" s="78"/>
      <c r="AA86" s="78"/>
      <c r="AB86" s="78"/>
      <c r="AC86" s="78"/>
      <c r="AD86" s="78"/>
      <c r="AE86" s="78"/>
      <c r="AF86" s="78"/>
      <c r="AG86" s="78"/>
      <c r="AH86" s="78"/>
      <c r="AI86" s="78"/>
      <c r="AJ86" s="78"/>
      <c r="AK86" s="78"/>
      <c r="AL86" s="78"/>
      <c r="AM86" s="78"/>
      <c r="AN86" s="78"/>
      <c r="AO86" s="78"/>
      <c r="AP86" s="78"/>
      <c r="AQ86" s="78"/>
      <c r="AR86" s="78"/>
      <c r="AS86" s="78"/>
      <c r="AT86" s="78"/>
      <c r="AU86" s="78"/>
      <c r="AV86" s="78"/>
      <c r="AW86" s="78"/>
      <c r="AX86" s="78"/>
      <c r="AY86" s="91"/>
      <c r="AZ86" s="78"/>
      <c r="BA86" s="78"/>
      <c r="BB86" s="78"/>
      <c r="BC86" s="78"/>
      <c r="BD86" s="78"/>
      <c r="BE86" s="78"/>
      <c r="BF86" s="78"/>
      <c r="BG86" s="78"/>
      <c r="BH86" s="78"/>
      <c r="BI86" s="78"/>
      <c r="BJ86" s="78"/>
      <c r="BK86" s="78"/>
      <c r="BL86" s="78"/>
      <c r="BM86" s="78"/>
      <c r="BN86" s="78"/>
      <c r="BO86" s="78"/>
      <c r="BP86" s="78"/>
      <c r="BQ86" s="78"/>
      <c r="BR86" s="78"/>
      <c r="BS86" s="78"/>
      <c r="BT86" s="78"/>
      <c r="BU86" s="78"/>
      <c r="BV86" s="78"/>
      <c r="BW86" s="78"/>
      <c r="BX86" s="78"/>
      <c r="BY86" s="78"/>
      <c r="BZ86" s="78"/>
      <c r="CA86" s="78"/>
      <c r="CB86" s="78"/>
      <c r="CC86" s="78"/>
      <c r="CD86" s="78"/>
      <c r="CE86" s="78"/>
      <c r="CF86" s="78"/>
      <c r="CG86" s="78"/>
      <c r="CH86" s="78"/>
      <c r="CI86" s="78"/>
      <c r="CJ86" s="78"/>
      <c r="CK86" s="78"/>
      <c r="CL86" s="78"/>
      <c r="CM86" s="78"/>
      <c r="CN86" s="78"/>
      <c r="CO86" s="78"/>
      <c r="CP86" s="78"/>
      <c r="CQ86" s="78"/>
      <c r="CR86" s="78"/>
      <c r="CS86" s="78"/>
      <c r="CT86" s="78"/>
      <c r="CU86" s="78"/>
      <c r="CV86" s="78"/>
      <c r="CW86" s="78"/>
      <c r="CX86" s="78"/>
      <c r="CY86" s="78"/>
      <c r="CZ86" s="78"/>
      <c r="DA86" s="78"/>
      <c r="DB86" s="78"/>
      <c r="DC86" s="78"/>
      <c r="DD86" s="78"/>
      <c r="DE86" s="78"/>
      <c r="DF86" s="78"/>
      <c r="DG86" s="78"/>
      <c r="DH86" s="78"/>
      <c r="DI86" s="78"/>
      <c r="DJ86" s="78"/>
      <c r="DK86" s="78"/>
      <c r="DL86" s="78"/>
      <c r="DM86" s="78"/>
      <c r="DN86" s="78"/>
      <c r="DO86" s="78"/>
      <c r="DP86" s="78"/>
      <c r="DQ86" s="78"/>
      <c r="DR86" s="78"/>
      <c r="DS86" s="78"/>
      <c r="DT86" s="78"/>
      <c r="DU86" s="78"/>
      <c r="DV86" s="78"/>
      <c r="DW86" s="78"/>
      <c r="DX86" s="78"/>
      <c r="DY86" s="78"/>
      <c r="DZ86" s="78"/>
      <c r="EA86" s="78"/>
      <c r="EB86" s="78"/>
      <c r="EC86" s="78"/>
      <c r="ED86" s="78"/>
      <c r="EE86" s="78"/>
      <c r="EF86" s="78"/>
      <c r="EG86" s="78"/>
      <c r="EH86" s="78"/>
      <c r="EI86" s="78"/>
      <c r="EJ86" s="78"/>
      <c r="EK86" s="78"/>
      <c r="EL86" s="78"/>
      <c r="EM86" s="78"/>
      <c r="EN86" s="91"/>
      <c r="EO86" s="91"/>
      <c r="EP86" s="91"/>
      <c r="EQ86" s="91"/>
      <c r="ER86" s="91"/>
      <c r="ES86" s="91"/>
    </row>
    <row r="87" spans="1:149" outlineLevel="1">
      <c r="A87" s="29" t="str">
        <f t="shared" si="20"/>
        <v>PROCESSPROCESS_START_DATE</v>
      </c>
      <c r="B87" s="67" t="s">
        <v>26</v>
      </c>
      <c r="C87" s="68" t="s">
        <v>54</v>
      </c>
      <c r="D87" s="64" t="s">
        <v>40</v>
      </c>
      <c r="E87" s="66" t="s">
        <v>55</v>
      </c>
      <c r="F87" s="66" t="s">
        <v>68</v>
      </c>
      <c r="G87" s="64" t="str">
        <f>INDEX(Auxiliar!$B$16:$B$24,MATCH(Plano_V3!H87,Auxiliar!$C$16:$C$24,0),1)</f>
        <v>1. Concluído</v>
      </c>
      <c r="H87" s="64">
        <f>VLOOKUP(A87,'Aux - pivots1'!$A:$B,2,0)</f>
        <v>1</v>
      </c>
      <c r="I87" s="180">
        <f>SUMIFS(Table1[Estimação (horas)],Table1[Tabela],Plano_V3!E87,Table1[Campo],Plano_V3!F87)</f>
        <v>4.0999999999999996</v>
      </c>
      <c r="J87" s="180">
        <f t="shared" si="21"/>
        <v>0.51249999999999996</v>
      </c>
      <c r="K87" s="180">
        <f>SUMIFS(Table1[Horas efetivas],Table1[Tabela],Plano_V3!E87,Table1[Campo],Plano_V3!F87)</f>
        <v>4.0999999999999996</v>
      </c>
      <c r="L87" s="180">
        <f t="shared" si="22"/>
        <v>0.51249999999999996</v>
      </c>
      <c r="M87" s="174"/>
      <c r="N87" s="174">
        <f t="shared" si="23"/>
        <v>1</v>
      </c>
      <c r="O87" s="174">
        <f t="shared" si="12"/>
        <v>1</v>
      </c>
      <c r="P87" s="89" t="s">
        <v>56</v>
      </c>
      <c r="Q87" s="90">
        <f t="shared" si="13"/>
        <v>0.51249999999999996</v>
      </c>
      <c r="R87" s="78"/>
      <c r="S87" s="78"/>
      <c r="T87" s="78"/>
      <c r="U87" s="78"/>
      <c r="V87" s="78"/>
      <c r="W87" s="78"/>
      <c r="X87" s="78"/>
      <c r="Y87" s="78"/>
      <c r="Z87" s="78"/>
      <c r="AA87" s="78"/>
      <c r="AB87" s="78"/>
      <c r="AC87" s="78"/>
      <c r="AD87" s="78"/>
      <c r="AE87" s="78"/>
      <c r="AF87" s="78"/>
      <c r="AG87" s="78"/>
      <c r="AH87" s="78"/>
      <c r="AI87" s="78"/>
      <c r="AJ87" s="78"/>
      <c r="AK87" s="78"/>
      <c r="AL87" s="78"/>
      <c r="AM87" s="78"/>
      <c r="AN87" s="78"/>
      <c r="AO87" s="78"/>
      <c r="AP87" s="78"/>
      <c r="AQ87" s="78"/>
      <c r="AR87" s="78"/>
      <c r="AS87" s="78"/>
      <c r="AT87" s="78"/>
      <c r="AU87" s="78"/>
      <c r="AV87" s="78"/>
      <c r="AW87" s="78"/>
      <c r="AX87" s="78"/>
      <c r="AY87" s="91"/>
      <c r="AZ87" s="78"/>
      <c r="BA87" s="78"/>
      <c r="BB87" s="78"/>
      <c r="BC87" s="78"/>
      <c r="BD87" s="78"/>
      <c r="BE87" s="78"/>
      <c r="BF87" s="78"/>
      <c r="BG87" s="78"/>
      <c r="BH87" s="78"/>
      <c r="BI87" s="78"/>
      <c r="BJ87" s="78"/>
      <c r="BK87" s="78"/>
      <c r="BL87" s="78"/>
      <c r="BM87" s="78"/>
      <c r="BN87" s="78"/>
      <c r="BO87" s="78"/>
      <c r="BP87" s="78"/>
      <c r="BQ87" s="78"/>
      <c r="BR87" s="78"/>
      <c r="BS87" s="78"/>
      <c r="BT87" s="78"/>
      <c r="BU87" s="78"/>
      <c r="BV87" s="78"/>
      <c r="BW87" s="78"/>
      <c r="BX87" s="78"/>
      <c r="BY87" s="78"/>
      <c r="BZ87" s="78"/>
      <c r="CA87" s="78"/>
      <c r="CB87" s="78"/>
      <c r="CC87" s="78"/>
      <c r="CD87" s="78"/>
      <c r="CE87" s="78"/>
      <c r="CF87" s="78"/>
      <c r="CG87" s="78"/>
      <c r="CH87" s="78"/>
      <c r="CI87" s="78"/>
      <c r="CJ87" s="78"/>
      <c r="CK87" s="78"/>
      <c r="CL87" s="78"/>
      <c r="CM87" s="78"/>
      <c r="CN87" s="78"/>
      <c r="CO87" s="78"/>
      <c r="CP87" s="78"/>
      <c r="CQ87" s="78"/>
      <c r="CR87" s="78"/>
      <c r="CS87" s="78"/>
      <c r="CT87" s="78"/>
      <c r="CU87" s="78"/>
      <c r="CV87" s="78"/>
      <c r="CW87" s="78"/>
      <c r="CX87" s="78"/>
      <c r="CY87" s="78"/>
      <c r="CZ87" s="78"/>
      <c r="DA87" s="78"/>
      <c r="DB87" s="78"/>
      <c r="DC87" s="78"/>
      <c r="DD87" s="78"/>
      <c r="DE87" s="78"/>
      <c r="DF87" s="78"/>
      <c r="DG87" s="78"/>
      <c r="DH87" s="78"/>
      <c r="DI87" s="78"/>
      <c r="DJ87" s="78"/>
      <c r="DK87" s="78"/>
      <c r="DL87" s="78"/>
      <c r="DM87" s="78"/>
      <c r="DN87" s="78"/>
      <c r="DO87" s="78"/>
      <c r="DP87" s="78"/>
      <c r="DQ87" s="78"/>
      <c r="DR87" s="78"/>
      <c r="DS87" s="78"/>
      <c r="DT87" s="78"/>
      <c r="DU87" s="78"/>
      <c r="DV87" s="78"/>
      <c r="DW87" s="78"/>
      <c r="DX87" s="78"/>
      <c r="DY87" s="78"/>
      <c r="DZ87" s="78"/>
      <c r="EA87" s="78"/>
      <c r="EB87" s="78"/>
      <c r="EC87" s="78"/>
      <c r="ED87" s="78"/>
      <c r="EE87" s="78"/>
      <c r="EF87" s="78"/>
      <c r="EG87" s="78"/>
      <c r="EH87" s="78"/>
      <c r="EI87" s="78"/>
      <c r="EJ87" s="78"/>
      <c r="EK87" s="78"/>
      <c r="EL87" s="78"/>
      <c r="EM87" s="78"/>
      <c r="EN87" s="91"/>
      <c r="EO87" s="91"/>
      <c r="EP87" s="91"/>
      <c r="EQ87" s="91"/>
      <c r="ER87" s="91"/>
      <c r="ES87" s="91"/>
    </row>
    <row r="88" spans="1:149" outlineLevel="1">
      <c r="A88" s="29" t="str">
        <f t="shared" si="20"/>
        <v>PROCESSPROCESS_DUE_DATE</v>
      </c>
      <c r="B88" s="67" t="s">
        <v>26</v>
      </c>
      <c r="C88" s="68" t="s">
        <v>54</v>
      </c>
      <c r="D88" s="64" t="s">
        <v>40</v>
      </c>
      <c r="E88" s="66" t="s">
        <v>55</v>
      </c>
      <c r="F88" s="66" t="s">
        <v>69</v>
      </c>
      <c r="G88" s="64" t="str">
        <f>INDEX(Auxiliar!$B$16:$B$24,MATCH(Plano_V3!H88,Auxiliar!$C$16:$C$24,0),1)</f>
        <v>1. Concluído</v>
      </c>
      <c r="H88" s="64">
        <f>VLOOKUP(A88,'Aux - pivots1'!$A:$B,2,0)</f>
        <v>1</v>
      </c>
      <c r="I88" s="180">
        <f>SUMIFS(Table1[Estimação (horas)],Table1[Tabela],Plano_V3!E88,Table1[Campo],Plano_V3!F88)</f>
        <v>4.0999999999999996</v>
      </c>
      <c r="J88" s="180">
        <f t="shared" si="21"/>
        <v>0.51249999999999996</v>
      </c>
      <c r="K88" s="180">
        <f>SUMIFS(Table1[Horas efetivas],Table1[Tabela],Plano_V3!E88,Table1[Campo],Plano_V3!F88)</f>
        <v>4.0999999999999996</v>
      </c>
      <c r="L88" s="180">
        <f t="shared" si="22"/>
        <v>0.51249999999999996</v>
      </c>
      <c r="M88" s="174"/>
      <c r="N88" s="174">
        <f t="shared" si="23"/>
        <v>1</v>
      </c>
      <c r="O88" s="174">
        <f t="shared" si="12"/>
        <v>1</v>
      </c>
      <c r="P88" s="89" t="s">
        <v>56</v>
      </c>
      <c r="Q88" s="90">
        <f t="shared" si="13"/>
        <v>0.51249999999999996</v>
      </c>
      <c r="R88" s="78"/>
      <c r="S88" s="78"/>
      <c r="T88" s="78"/>
      <c r="U88" s="78"/>
      <c r="V88" s="78"/>
      <c r="W88" s="78"/>
      <c r="X88" s="78"/>
      <c r="Y88" s="78"/>
      <c r="Z88" s="78"/>
      <c r="AA88" s="78"/>
      <c r="AB88" s="78"/>
      <c r="AC88" s="78"/>
      <c r="AD88" s="78"/>
      <c r="AE88" s="78"/>
      <c r="AF88" s="78"/>
      <c r="AG88" s="78"/>
      <c r="AH88" s="78"/>
      <c r="AI88" s="78"/>
      <c r="AJ88" s="78"/>
      <c r="AK88" s="78"/>
      <c r="AL88" s="78"/>
      <c r="AM88" s="78"/>
      <c r="AN88" s="78"/>
      <c r="AO88" s="78"/>
      <c r="AP88" s="78"/>
      <c r="AQ88" s="78"/>
      <c r="AR88" s="78"/>
      <c r="AS88" s="78"/>
      <c r="AT88" s="78"/>
      <c r="AU88" s="78"/>
      <c r="AV88" s="78"/>
      <c r="AW88" s="78"/>
      <c r="AX88" s="78"/>
      <c r="AY88" s="91"/>
      <c r="AZ88" s="78"/>
      <c r="BA88" s="78"/>
      <c r="BB88" s="78"/>
      <c r="BC88" s="78"/>
      <c r="BD88" s="78"/>
      <c r="BE88" s="78"/>
      <c r="BF88" s="78"/>
      <c r="BG88" s="78"/>
      <c r="BH88" s="78"/>
      <c r="BI88" s="78"/>
      <c r="BJ88" s="78"/>
      <c r="BK88" s="78"/>
      <c r="BL88" s="78"/>
      <c r="BM88" s="78"/>
      <c r="BN88" s="78"/>
      <c r="BO88" s="78"/>
      <c r="BP88" s="78"/>
      <c r="BQ88" s="78"/>
      <c r="BR88" s="78"/>
      <c r="BS88" s="78"/>
      <c r="BT88" s="78"/>
      <c r="BU88" s="78"/>
      <c r="BV88" s="78"/>
      <c r="BW88" s="78"/>
      <c r="BX88" s="78"/>
      <c r="BY88" s="78"/>
      <c r="BZ88" s="78"/>
      <c r="CA88" s="78"/>
      <c r="CB88" s="78"/>
      <c r="CC88" s="78"/>
      <c r="CD88" s="78"/>
      <c r="CE88" s="78"/>
      <c r="CF88" s="78"/>
      <c r="CG88" s="78"/>
      <c r="CH88" s="78"/>
      <c r="CI88" s="78"/>
      <c r="CJ88" s="78"/>
      <c r="CK88" s="78"/>
      <c r="CL88" s="78"/>
      <c r="CM88" s="78"/>
      <c r="CN88" s="78"/>
      <c r="CO88" s="78"/>
      <c r="CP88" s="78"/>
      <c r="CQ88" s="78"/>
      <c r="CR88" s="78"/>
      <c r="CS88" s="78"/>
      <c r="CT88" s="78"/>
      <c r="CU88" s="78"/>
      <c r="CV88" s="78"/>
      <c r="CW88" s="78"/>
      <c r="CX88" s="78"/>
      <c r="CY88" s="78"/>
      <c r="CZ88" s="78"/>
      <c r="DA88" s="78"/>
      <c r="DB88" s="78"/>
      <c r="DC88" s="78"/>
      <c r="DD88" s="78"/>
      <c r="DE88" s="78"/>
      <c r="DF88" s="78"/>
      <c r="DG88" s="78"/>
      <c r="DH88" s="78"/>
      <c r="DI88" s="78"/>
      <c r="DJ88" s="78"/>
      <c r="DK88" s="78"/>
      <c r="DL88" s="78"/>
      <c r="DM88" s="78"/>
      <c r="DN88" s="78"/>
      <c r="DO88" s="78"/>
      <c r="DP88" s="78"/>
      <c r="DQ88" s="78"/>
      <c r="DR88" s="78"/>
      <c r="DS88" s="78"/>
      <c r="DT88" s="78"/>
      <c r="DU88" s="78"/>
      <c r="DV88" s="78"/>
      <c r="DW88" s="78"/>
      <c r="DX88" s="78"/>
      <c r="DY88" s="78"/>
      <c r="DZ88" s="78"/>
      <c r="EA88" s="78"/>
      <c r="EB88" s="78"/>
      <c r="EC88" s="78"/>
      <c r="ED88" s="78"/>
      <c r="EE88" s="78"/>
      <c r="EF88" s="78"/>
      <c r="EG88" s="78"/>
      <c r="EH88" s="78"/>
      <c r="EI88" s="78"/>
      <c r="EJ88" s="78"/>
      <c r="EK88" s="78"/>
      <c r="EL88" s="78"/>
      <c r="EM88" s="78"/>
      <c r="EN88" s="91"/>
      <c r="EO88" s="91"/>
      <c r="EP88" s="91"/>
      <c r="EQ88" s="91"/>
      <c r="ER88" s="91"/>
      <c r="ES88" s="91"/>
    </row>
    <row r="89" spans="1:149" outlineLevel="1">
      <c r="A89" s="29" t="str">
        <f t="shared" si="20"/>
        <v>PROCESSmontante_eur</v>
      </c>
      <c r="B89" s="67" t="s">
        <v>26</v>
      </c>
      <c r="C89" s="68" t="s">
        <v>54</v>
      </c>
      <c r="D89" s="64" t="s">
        <v>40</v>
      </c>
      <c r="E89" s="66" t="s">
        <v>55</v>
      </c>
      <c r="F89" s="167" t="s">
        <v>70</v>
      </c>
      <c r="G89" s="64" t="str">
        <f>INDEX(Auxiliar!$B$16:$B$24,MATCH(Plano_V3!H89,Auxiliar!$C$16:$C$24,0),1)</f>
        <v>0. Cancelado</v>
      </c>
      <c r="H89" s="64">
        <f>VLOOKUP(A89,'Aux - pivots1'!$A:$B,2,0)</f>
        <v>0</v>
      </c>
      <c r="I89" s="181">
        <v>0</v>
      </c>
      <c r="J89" s="180">
        <f t="shared" si="21"/>
        <v>0</v>
      </c>
      <c r="K89" s="180">
        <f>SUMIFS(Table1[Horas efetivas],Table1[Tabela],Plano_V3!E89,Table1[Campo],Plano_V3!F89)</f>
        <v>0</v>
      </c>
      <c r="L89" s="180">
        <f t="shared" si="22"/>
        <v>0</v>
      </c>
      <c r="M89" s="174"/>
      <c r="N89" s="174" t="e">
        <f t="shared" si="23"/>
        <v>#DIV/0!</v>
      </c>
      <c r="O89" s="174" t="e">
        <f t="shared" si="12"/>
        <v>#DIV/0!</v>
      </c>
      <c r="P89" s="89" t="s">
        <v>56</v>
      </c>
      <c r="Q89" s="90">
        <f t="shared" si="13"/>
        <v>0</v>
      </c>
      <c r="R89" s="78"/>
      <c r="S89" s="78"/>
      <c r="T89" s="78"/>
      <c r="U89" s="78"/>
      <c r="V89" s="78"/>
      <c r="W89" s="78"/>
      <c r="X89" s="78"/>
      <c r="Y89" s="78"/>
      <c r="Z89" s="78"/>
      <c r="AA89" s="78"/>
      <c r="AB89" s="78"/>
      <c r="AC89" s="78"/>
      <c r="AD89" s="78"/>
      <c r="AE89" s="78"/>
      <c r="AF89" s="78"/>
      <c r="AG89" s="78"/>
      <c r="AH89" s="78"/>
      <c r="AI89" s="78"/>
      <c r="AJ89" s="78"/>
      <c r="AK89" s="78"/>
      <c r="AL89" s="78"/>
      <c r="AM89" s="78"/>
      <c r="AN89" s="78"/>
      <c r="AO89" s="78"/>
      <c r="AP89" s="78"/>
      <c r="AQ89" s="78"/>
      <c r="AR89" s="78"/>
      <c r="AS89" s="78"/>
      <c r="AT89" s="78"/>
      <c r="AU89" s="78"/>
      <c r="AV89" s="78"/>
      <c r="AW89" s="78"/>
      <c r="AX89" s="78"/>
      <c r="AY89" s="91"/>
      <c r="AZ89" s="78"/>
      <c r="BA89" s="78"/>
      <c r="BB89" s="78"/>
      <c r="BC89" s="78"/>
      <c r="BD89" s="78"/>
      <c r="BE89" s="78"/>
      <c r="BF89" s="78"/>
      <c r="BG89" s="78"/>
      <c r="BH89" s="78"/>
      <c r="BI89" s="78"/>
      <c r="BJ89" s="78"/>
      <c r="BK89" s="78"/>
      <c r="BL89" s="78"/>
      <c r="BM89" s="78"/>
      <c r="BN89" s="78"/>
      <c r="BO89" s="78"/>
      <c r="BP89" s="78"/>
      <c r="BQ89" s="78"/>
      <c r="BR89" s="78"/>
      <c r="BS89" s="78"/>
      <c r="BT89" s="78"/>
      <c r="BU89" s="78"/>
      <c r="BV89" s="78"/>
      <c r="BW89" s="78"/>
      <c r="BX89" s="78"/>
      <c r="BY89" s="78"/>
      <c r="BZ89" s="78"/>
      <c r="CA89" s="78"/>
      <c r="CB89" s="78"/>
      <c r="CC89" s="78"/>
      <c r="CD89" s="78"/>
      <c r="CE89" s="78"/>
      <c r="CF89" s="78"/>
      <c r="CG89" s="78"/>
      <c r="CH89" s="78"/>
      <c r="CI89" s="78"/>
      <c r="CJ89" s="78"/>
      <c r="CK89" s="78"/>
      <c r="CL89" s="78"/>
      <c r="CM89" s="78"/>
      <c r="CN89" s="78"/>
      <c r="CO89" s="78"/>
      <c r="CP89" s="78"/>
      <c r="CQ89" s="78"/>
      <c r="CR89" s="78"/>
      <c r="CS89" s="78"/>
      <c r="CT89" s="78"/>
      <c r="CU89" s="78"/>
      <c r="CV89" s="78"/>
      <c r="CW89" s="78"/>
      <c r="CX89" s="78"/>
      <c r="CY89" s="78"/>
      <c r="CZ89" s="78"/>
      <c r="DA89" s="78"/>
      <c r="DB89" s="78"/>
      <c r="DC89" s="78"/>
      <c r="DD89" s="78"/>
      <c r="DE89" s="78"/>
      <c r="DF89" s="78"/>
      <c r="DG89" s="78"/>
      <c r="DH89" s="78"/>
      <c r="DI89" s="78"/>
      <c r="DJ89" s="78"/>
      <c r="DK89" s="78"/>
      <c r="DL89" s="78"/>
      <c r="DM89" s="78"/>
      <c r="DN89" s="78"/>
      <c r="DO89" s="78"/>
      <c r="DP89" s="78"/>
      <c r="DQ89" s="78"/>
      <c r="DR89" s="78"/>
      <c r="DS89" s="78"/>
      <c r="DT89" s="78"/>
      <c r="DU89" s="78"/>
      <c r="DV89" s="78"/>
      <c r="DW89" s="78"/>
      <c r="DX89" s="78"/>
      <c r="DY89" s="78"/>
      <c r="DZ89" s="78"/>
      <c r="EA89" s="78"/>
      <c r="EB89" s="78"/>
      <c r="EC89" s="78"/>
      <c r="ED89" s="78"/>
      <c r="EE89" s="78"/>
      <c r="EF89" s="78"/>
      <c r="EG89" s="78"/>
      <c r="EH89" s="78"/>
      <c r="EI89" s="78"/>
      <c r="EJ89" s="78"/>
      <c r="EK89" s="78"/>
      <c r="EL89" s="78"/>
      <c r="EM89" s="78"/>
      <c r="EN89" s="91"/>
      <c r="EO89" s="91"/>
      <c r="EP89" s="91"/>
      <c r="EQ89" s="91"/>
      <c r="ER89" s="91"/>
      <c r="ES89" s="91"/>
    </row>
    <row r="90" spans="1:149" outlineLevel="1">
      <c r="A90" s="29" t="str">
        <f t="shared" si="20"/>
        <v>PROCESSmontante_org</v>
      </c>
      <c r="B90" s="67" t="s">
        <v>26</v>
      </c>
      <c r="C90" s="68" t="s">
        <v>54</v>
      </c>
      <c r="D90" s="64" t="s">
        <v>40</v>
      </c>
      <c r="E90" s="66" t="s">
        <v>55</v>
      </c>
      <c r="F90" s="66" t="s">
        <v>71</v>
      </c>
      <c r="G90" s="64" t="str">
        <f>INDEX(Auxiliar!$B$16:$B$24,MATCH(Plano_V3!H90,Auxiliar!$C$16:$C$24,0),1)</f>
        <v>0. Cancelado</v>
      </c>
      <c r="H90" s="64">
        <f>VLOOKUP(A90,'Aux - pivots1'!$A:$B,2,0)</f>
        <v>0</v>
      </c>
      <c r="I90" s="181">
        <v>0</v>
      </c>
      <c r="J90" s="180">
        <f t="shared" si="21"/>
        <v>0</v>
      </c>
      <c r="K90" s="180">
        <f>SUMIFS(Table1[Horas efetivas],Table1[Tabela],Plano_V3!E90,Table1[Campo],Plano_V3!F90)</f>
        <v>0</v>
      </c>
      <c r="L90" s="180">
        <f t="shared" si="22"/>
        <v>0</v>
      </c>
      <c r="M90" s="174"/>
      <c r="N90" s="174" t="e">
        <f t="shared" si="23"/>
        <v>#DIV/0!</v>
      </c>
      <c r="O90" s="174" t="e">
        <f t="shared" si="12"/>
        <v>#DIV/0!</v>
      </c>
      <c r="P90" s="89" t="s">
        <v>56</v>
      </c>
      <c r="Q90" s="90">
        <f t="shared" si="13"/>
        <v>0</v>
      </c>
      <c r="R90" s="78"/>
      <c r="S90" s="78"/>
      <c r="T90" s="78"/>
      <c r="U90" s="78"/>
      <c r="V90" s="78"/>
      <c r="W90" s="78"/>
      <c r="X90" s="78"/>
      <c r="Y90" s="78"/>
      <c r="Z90" s="78"/>
      <c r="AA90" s="78"/>
      <c r="AB90" s="78"/>
      <c r="AC90" s="78"/>
      <c r="AD90" s="78"/>
      <c r="AE90" s="78"/>
      <c r="AF90" s="78"/>
      <c r="AG90" s="78"/>
      <c r="AH90" s="78"/>
      <c r="AI90" s="78"/>
      <c r="AJ90" s="78"/>
      <c r="AK90" s="78"/>
      <c r="AL90" s="78"/>
      <c r="AM90" s="78"/>
      <c r="AN90" s="78"/>
      <c r="AO90" s="78"/>
      <c r="AP90" s="78"/>
      <c r="AQ90" s="78"/>
      <c r="AR90" s="78"/>
      <c r="AS90" s="78"/>
      <c r="AT90" s="78"/>
      <c r="AU90" s="78"/>
      <c r="AV90" s="78"/>
      <c r="AW90" s="78"/>
      <c r="AX90" s="78"/>
      <c r="AY90" s="91"/>
      <c r="AZ90" s="78"/>
      <c r="BA90" s="78"/>
      <c r="BB90" s="78"/>
      <c r="BC90" s="78"/>
      <c r="BD90" s="78"/>
      <c r="BE90" s="78"/>
      <c r="BF90" s="78"/>
      <c r="BG90" s="78"/>
      <c r="BH90" s="78"/>
      <c r="BI90" s="78"/>
      <c r="BJ90" s="78"/>
      <c r="BK90" s="78"/>
      <c r="BL90" s="78"/>
      <c r="BM90" s="78"/>
      <c r="BN90" s="78"/>
      <c r="BO90" s="78"/>
      <c r="BP90" s="78"/>
      <c r="BQ90" s="78"/>
      <c r="BR90" s="78"/>
      <c r="BS90" s="78"/>
      <c r="BT90" s="78"/>
      <c r="BU90" s="78"/>
      <c r="BV90" s="78"/>
      <c r="BW90" s="78"/>
      <c r="BX90" s="78"/>
      <c r="BY90" s="78"/>
      <c r="BZ90" s="78"/>
      <c r="CA90" s="78"/>
      <c r="CB90" s="78"/>
      <c r="CC90" s="78"/>
      <c r="CD90" s="78"/>
      <c r="CE90" s="78"/>
      <c r="CF90" s="78"/>
      <c r="CG90" s="78"/>
      <c r="CH90" s="78"/>
      <c r="CI90" s="78"/>
      <c r="CJ90" s="78"/>
      <c r="CK90" s="78"/>
      <c r="CL90" s="78"/>
      <c r="CM90" s="78"/>
      <c r="CN90" s="78"/>
      <c r="CO90" s="78"/>
      <c r="CP90" s="78"/>
      <c r="CQ90" s="78"/>
      <c r="CR90" s="78"/>
      <c r="CS90" s="78"/>
      <c r="CT90" s="78"/>
      <c r="CU90" s="78"/>
      <c r="CV90" s="78"/>
      <c r="CW90" s="78"/>
      <c r="CX90" s="78"/>
      <c r="CY90" s="78"/>
      <c r="CZ90" s="78"/>
      <c r="DA90" s="78"/>
      <c r="DB90" s="78"/>
      <c r="DC90" s="78"/>
      <c r="DD90" s="78"/>
      <c r="DE90" s="78"/>
      <c r="DF90" s="78"/>
      <c r="DG90" s="78"/>
      <c r="DH90" s="78"/>
      <c r="DI90" s="78"/>
      <c r="DJ90" s="78"/>
      <c r="DK90" s="78"/>
      <c r="DL90" s="78"/>
      <c r="DM90" s="78"/>
      <c r="DN90" s="78"/>
      <c r="DO90" s="78"/>
      <c r="DP90" s="78"/>
      <c r="DQ90" s="78"/>
      <c r="DR90" s="78"/>
      <c r="DS90" s="78"/>
      <c r="DT90" s="78"/>
      <c r="DU90" s="78"/>
      <c r="DV90" s="78"/>
      <c r="DW90" s="78"/>
      <c r="DX90" s="78"/>
      <c r="DY90" s="78"/>
      <c r="DZ90" s="78"/>
      <c r="EA90" s="78"/>
      <c r="EB90" s="78"/>
      <c r="EC90" s="78"/>
      <c r="ED90" s="78"/>
      <c r="EE90" s="78"/>
      <c r="EF90" s="78"/>
      <c r="EG90" s="78"/>
      <c r="EH90" s="78"/>
      <c r="EI90" s="78"/>
      <c r="EJ90" s="78"/>
      <c r="EK90" s="78"/>
      <c r="EL90" s="78"/>
      <c r="EM90" s="78"/>
      <c r="EN90" s="91"/>
      <c r="EO90" s="91"/>
      <c r="EP90" s="91"/>
      <c r="EQ90" s="91"/>
      <c r="ER90" s="91"/>
      <c r="ES90" s="91"/>
    </row>
    <row r="91" spans="1:149" outlineLevel="1">
      <c r="A91" s="29" t="str">
        <f t="shared" si="20"/>
        <v>PROCESSorigem</v>
      </c>
      <c r="B91" s="67" t="s">
        <v>26</v>
      </c>
      <c r="C91" s="68" t="s">
        <v>54</v>
      </c>
      <c r="D91" s="64" t="s">
        <v>40</v>
      </c>
      <c r="E91" s="66" t="s">
        <v>55</v>
      </c>
      <c r="F91" s="66" t="s">
        <v>72</v>
      </c>
      <c r="G91" s="64" t="str">
        <f>INDEX(Auxiliar!$B$16:$B$24,MATCH(Plano_V3!H91,Auxiliar!$C$16:$C$24,0),1)</f>
        <v>0. Cancelado</v>
      </c>
      <c r="H91" s="64">
        <f>VLOOKUP(A91,'Aux - pivots1'!$A:$B,2,0)</f>
        <v>0</v>
      </c>
      <c r="I91" s="180">
        <f>SUMIFS(Table1[Estimação (horas)],Table1[Tabela],Plano_V3!E91,Table1[Campo],Plano_V3!F91)</f>
        <v>4.0999999999999996</v>
      </c>
      <c r="J91" s="180">
        <f t="shared" si="21"/>
        <v>0.51249999999999996</v>
      </c>
      <c r="K91" s="180">
        <f>SUMIFS(Table1[Horas efetivas],Table1[Tabela],Plano_V3!E91,Table1[Campo],Plano_V3!F91)</f>
        <v>0</v>
      </c>
      <c r="L91" s="180">
        <f t="shared" si="22"/>
        <v>0</v>
      </c>
      <c r="M91" s="174"/>
      <c r="N91" s="174">
        <f t="shared" si="23"/>
        <v>0</v>
      </c>
      <c r="O91" s="174">
        <f t="shared" si="12"/>
        <v>0</v>
      </c>
      <c r="P91" s="89" t="s">
        <v>56</v>
      </c>
      <c r="Q91" s="90">
        <f t="shared" si="13"/>
        <v>0.51249999999999996</v>
      </c>
      <c r="R91" s="78"/>
      <c r="S91" s="78"/>
      <c r="T91" s="78"/>
      <c r="U91" s="78"/>
      <c r="V91" s="78"/>
      <c r="W91" s="78"/>
      <c r="X91" s="78"/>
      <c r="Y91" s="78"/>
      <c r="Z91" s="78"/>
      <c r="AA91" s="78"/>
      <c r="AB91" s="78"/>
      <c r="AC91" s="78"/>
      <c r="AD91" s="78"/>
      <c r="AE91" s="78"/>
      <c r="AF91" s="78"/>
      <c r="AG91" s="78"/>
      <c r="AH91" s="78"/>
      <c r="AI91" s="78"/>
      <c r="AJ91" s="78"/>
      <c r="AK91" s="78"/>
      <c r="AL91" s="78"/>
      <c r="AM91" s="78"/>
      <c r="AN91" s="78"/>
      <c r="AO91" s="78"/>
      <c r="AP91" s="78"/>
      <c r="AQ91" s="78"/>
      <c r="AR91" s="78"/>
      <c r="AS91" s="78"/>
      <c r="AT91" s="78"/>
      <c r="AU91" s="78"/>
      <c r="AV91" s="78"/>
      <c r="AW91" s="78"/>
      <c r="AX91" s="78"/>
      <c r="AY91" s="91"/>
      <c r="AZ91" s="78"/>
      <c r="BA91" s="78"/>
      <c r="BB91" s="78"/>
      <c r="BC91" s="78"/>
      <c r="BD91" s="78"/>
      <c r="BE91" s="78"/>
      <c r="BF91" s="78"/>
      <c r="BG91" s="78"/>
      <c r="BH91" s="78"/>
      <c r="BI91" s="78"/>
      <c r="BJ91" s="78"/>
      <c r="BK91" s="78"/>
      <c r="BL91" s="78"/>
      <c r="BM91" s="78"/>
      <c r="BN91" s="78"/>
      <c r="BO91" s="78"/>
      <c r="BP91" s="78"/>
      <c r="BQ91" s="78"/>
      <c r="BR91" s="78"/>
      <c r="BS91" s="78"/>
      <c r="BT91" s="78"/>
      <c r="BU91" s="78"/>
      <c r="BV91" s="78"/>
      <c r="BW91" s="78"/>
      <c r="BX91" s="78"/>
      <c r="BY91" s="78"/>
      <c r="BZ91" s="78"/>
      <c r="CA91" s="78"/>
      <c r="CB91" s="78"/>
      <c r="CC91" s="78"/>
      <c r="CD91" s="78"/>
      <c r="CE91" s="78"/>
      <c r="CF91" s="78"/>
      <c r="CG91" s="78"/>
      <c r="CH91" s="78"/>
      <c r="CI91" s="78"/>
      <c r="CJ91" s="78"/>
      <c r="CK91" s="78"/>
      <c r="CL91" s="78"/>
      <c r="CM91" s="78"/>
      <c r="CN91" s="78"/>
      <c r="CO91" s="78"/>
      <c r="CP91" s="78"/>
      <c r="CQ91" s="78"/>
      <c r="CR91" s="78"/>
      <c r="CS91" s="78"/>
      <c r="CT91" s="78"/>
      <c r="CU91" s="78"/>
      <c r="CV91" s="78"/>
      <c r="CW91" s="78"/>
      <c r="CX91" s="78"/>
      <c r="CY91" s="78"/>
      <c r="CZ91" s="78"/>
      <c r="DA91" s="78"/>
      <c r="DB91" s="78"/>
      <c r="DC91" s="78"/>
      <c r="DD91" s="78"/>
      <c r="DE91" s="78"/>
      <c r="DF91" s="78"/>
      <c r="DG91" s="78"/>
      <c r="DH91" s="78"/>
      <c r="DI91" s="78"/>
      <c r="DJ91" s="78"/>
      <c r="DK91" s="78"/>
      <c r="DL91" s="78"/>
      <c r="DM91" s="78"/>
      <c r="DN91" s="78"/>
      <c r="DO91" s="78"/>
      <c r="DP91" s="78"/>
      <c r="DQ91" s="78"/>
      <c r="DR91" s="78"/>
      <c r="DS91" s="78"/>
      <c r="DT91" s="78"/>
      <c r="DU91" s="78"/>
      <c r="DV91" s="78"/>
      <c r="DW91" s="78"/>
      <c r="DX91" s="78"/>
      <c r="DY91" s="78"/>
      <c r="DZ91" s="78"/>
      <c r="EA91" s="78"/>
      <c r="EB91" s="78"/>
      <c r="EC91" s="78"/>
      <c r="ED91" s="78"/>
      <c r="EE91" s="78"/>
      <c r="EF91" s="78"/>
      <c r="EG91" s="78"/>
      <c r="EH91" s="78"/>
      <c r="EI91" s="78"/>
      <c r="EJ91" s="78"/>
      <c r="EK91" s="78"/>
      <c r="EL91" s="78"/>
      <c r="EM91" s="78"/>
      <c r="EN91" s="91"/>
      <c r="EO91" s="91"/>
      <c r="EP91" s="91"/>
      <c r="EQ91" s="91"/>
      <c r="ER91" s="91"/>
      <c r="ES91" s="91"/>
    </row>
    <row r="92" spans="1:149" outlineLevel="1">
      <c r="A92" s="29" t="str">
        <f t="shared" si="20"/>
        <v>PROCESSDATA_DATE_PART</v>
      </c>
      <c r="B92" s="67" t="s">
        <v>26</v>
      </c>
      <c r="C92" s="68" t="s">
        <v>54</v>
      </c>
      <c r="D92" s="64" t="s">
        <v>40</v>
      </c>
      <c r="E92" s="66" t="s">
        <v>55</v>
      </c>
      <c r="F92" s="66" t="s">
        <v>73</v>
      </c>
      <c r="G92" s="64" t="str">
        <f>INDEX(Auxiliar!$B$16:$B$24,MATCH(Plano_V3!H92,Auxiliar!$C$16:$C$24,0),1)</f>
        <v>1. Concluído</v>
      </c>
      <c r="H92" s="64">
        <f>VLOOKUP(A92,'Aux - pivots1'!$A:$B,2,0)</f>
        <v>1</v>
      </c>
      <c r="I92" s="180">
        <f>SUMIFS(Table1[Estimação (horas)],Table1[Tabela],Plano_V3!E92,Table1[Campo],Plano_V3!F92)</f>
        <v>4.0999999999999996</v>
      </c>
      <c r="J92" s="180">
        <f t="shared" si="21"/>
        <v>0.51249999999999996</v>
      </c>
      <c r="K92" s="180">
        <f>SUMIFS(Table1[Horas efetivas],Table1[Tabela],Plano_V3!E92,Table1[Campo],Plano_V3!F92)</f>
        <v>4.0999999999999996</v>
      </c>
      <c r="L92" s="180">
        <f t="shared" si="22"/>
        <v>0.51249999999999996</v>
      </c>
      <c r="M92" s="174"/>
      <c r="N92" s="174">
        <f t="shared" si="23"/>
        <v>1</v>
      </c>
      <c r="O92" s="174">
        <f t="shared" si="12"/>
        <v>1</v>
      </c>
      <c r="P92" s="89" t="s">
        <v>56</v>
      </c>
      <c r="Q92" s="90">
        <f t="shared" si="13"/>
        <v>0.51249999999999996</v>
      </c>
      <c r="R92" s="78"/>
      <c r="S92" s="78"/>
      <c r="T92" s="78"/>
      <c r="U92" s="78"/>
      <c r="V92" s="78"/>
      <c r="W92" s="78"/>
      <c r="X92" s="78"/>
      <c r="Y92" s="78"/>
      <c r="Z92" s="78"/>
      <c r="AA92" s="78"/>
      <c r="AB92" s="78"/>
      <c r="AC92" s="78"/>
      <c r="AD92" s="78"/>
      <c r="AE92" s="78"/>
      <c r="AF92" s="78"/>
      <c r="AG92" s="78"/>
      <c r="AH92" s="78"/>
      <c r="AI92" s="78"/>
      <c r="AJ92" s="78"/>
      <c r="AK92" s="78"/>
      <c r="AL92" s="78"/>
      <c r="AM92" s="78"/>
      <c r="AN92" s="78"/>
      <c r="AO92" s="78"/>
      <c r="AP92" s="78"/>
      <c r="AQ92" s="78"/>
      <c r="AR92" s="78"/>
      <c r="AS92" s="78"/>
      <c r="AT92" s="78"/>
      <c r="AU92" s="78"/>
      <c r="AV92" s="78"/>
      <c r="AW92" s="78"/>
      <c r="AX92" s="78"/>
      <c r="AY92" s="91"/>
      <c r="AZ92" s="78"/>
      <c r="BA92" s="78"/>
      <c r="BB92" s="78"/>
      <c r="BC92" s="78"/>
      <c r="BD92" s="78"/>
      <c r="BE92" s="78"/>
      <c r="BF92" s="78"/>
      <c r="BG92" s="78"/>
      <c r="BH92" s="78"/>
      <c r="BI92" s="78"/>
      <c r="BJ92" s="78"/>
      <c r="BK92" s="78"/>
      <c r="BL92" s="78"/>
      <c r="BM92" s="78"/>
      <c r="BN92" s="78"/>
      <c r="BO92" s="78"/>
      <c r="BP92" s="78"/>
      <c r="BQ92" s="78"/>
      <c r="BR92" s="78"/>
      <c r="BS92" s="78"/>
      <c r="BT92" s="78"/>
      <c r="BU92" s="78"/>
      <c r="BV92" s="78"/>
      <c r="BW92" s="78"/>
      <c r="BX92" s="78"/>
      <c r="BY92" s="78"/>
      <c r="BZ92" s="78"/>
      <c r="CA92" s="78"/>
      <c r="CB92" s="78"/>
      <c r="CC92" s="78"/>
      <c r="CD92" s="78"/>
      <c r="CE92" s="78"/>
      <c r="CF92" s="78"/>
      <c r="CG92" s="78"/>
      <c r="CH92" s="78"/>
      <c r="CI92" s="78"/>
      <c r="CJ92" s="78"/>
      <c r="CK92" s="78"/>
      <c r="CL92" s="78"/>
      <c r="CM92" s="78"/>
      <c r="CN92" s="78"/>
      <c r="CO92" s="78"/>
      <c r="CP92" s="78"/>
      <c r="CQ92" s="78"/>
      <c r="CR92" s="78"/>
      <c r="CS92" s="78"/>
      <c r="CT92" s="78"/>
      <c r="CU92" s="78"/>
      <c r="CV92" s="78"/>
      <c r="CW92" s="78"/>
      <c r="CX92" s="78"/>
      <c r="CY92" s="78"/>
      <c r="CZ92" s="78"/>
      <c r="DA92" s="78"/>
      <c r="DB92" s="78"/>
      <c r="DC92" s="78"/>
      <c r="DD92" s="78"/>
      <c r="DE92" s="78"/>
      <c r="DF92" s="78"/>
      <c r="DG92" s="78"/>
      <c r="DH92" s="78"/>
      <c r="DI92" s="78"/>
      <c r="DJ92" s="78"/>
      <c r="DK92" s="78"/>
      <c r="DL92" s="78"/>
      <c r="DM92" s="78"/>
      <c r="DN92" s="78"/>
      <c r="DO92" s="78"/>
      <c r="DP92" s="78"/>
      <c r="DQ92" s="78"/>
      <c r="DR92" s="78"/>
      <c r="DS92" s="78"/>
      <c r="DT92" s="78"/>
      <c r="DU92" s="78"/>
      <c r="DV92" s="78"/>
      <c r="DW92" s="78"/>
      <c r="DX92" s="78"/>
      <c r="DY92" s="78"/>
      <c r="DZ92" s="78"/>
      <c r="EA92" s="78"/>
      <c r="EB92" s="78"/>
      <c r="EC92" s="78"/>
      <c r="ED92" s="78"/>
      <c r="EE92" s="78"/>
      <c r="EF92" s="78"/>
      <c r="EG92" s="78"/>
      <c r="EH92" s="78"/>
      <c r="EI92" s="78"/>
      <c r="EJ92" s="78"/>
      <c r="EK92" s="78"/>
      <c r="EL92" s="78"/>
      <c r="EM92" s="78"/>
      <c r="EN92" s="91"/>
      <c r="EO92" s="91"/>
      <c r="EP92" s="91"/>
      <c r="EQ92" s="91"/>
      <c r="ER92" s="91"/>
      <c r="ES92" s="91"/>
    </row>
    <row r="93" spans="1:149" outlineLevel="1">
      <c r="A93" s="29" t="str">
        <f t="shared" si="20"/>
        <v>PROCESSSOURCE_CODE</v>
      </c>
      <c r="B93" s="67"/>
      <c r="C93" s="68"/>
      <c r="D93" s="64" t="s">
        <v>40</v>
      </c>
      <c r="E93" s="66" t="s">
        <v>55</v>
      </c>
      <c r="F93" s="66" t="s">
        <v>87</v>
      </c>
      <c r="G93" s="64" t="str">
        <f>INDEX(Auxiliar!$B$16:$B$24,MATCH(Plano_V3!H93,Auxiliar!$C$16:$C$24,0),1)</f>
        <v>1. Concluído</v>
      </c>
      <c r="H93" s="64">
        <f>VLOOKUP(A93,'Aux - pivots1'!$A:$B,2,0)</f>
        <v>1</v>
      </c>
      <c r="I93" s="180">
        <f>SUMIFS(Table1[Estimação (horas)],Table1[Tabela],Plano_V3!E93,Table1[Campo],Plano_V3!F93)</f>
        <v>2</v>
      </c>
      <c r="J93" s="180">
        <f>I93/8</f>
        <v>0.25</v>
      </c>
      <c r="K93" s="180">
        <f>SUMIFS(Table1[Horas efetivas],Table1[Tabela],Plano_V3!E93,Table1[Campo],Plano_V3!F93)</f>
        <v>2</v>
      </c>
      <c r="L93" s="180">
        <f>K93/8</f>
        <v>0.25</v>
      </c>
      <c r="M93" s="174"/>
      <c r="N93" s="174"/>
      <c r="O93" s="174"/>
      <c r="P93" s="89"/>
      <c r="Q93" s="90"/>
      <c r="R93" s="78"/>
      <c r="S93" s="78"/>
      <c r="T93" s="78"/>
      <c r="U93" s="78"/>
      <c r="V93" s="78"/>
      <c r="W93" s="78"/>
      <c r="X93" s="78"/>
      <c r="Y93" s="78"/>
      <c r="Z93" s="78"/>
      <c r="AA93" s="78"/>
      <c r="AB93" s="78"/>
      <c r="AC93" s="78"/>
      <c r="AD93" s="78"/>
      <c r="AE93" s="78"/>
      <c r="AF93" s="78"/>
      <c r="AG93" s="78"/>
      <c r="AH93" s="78"/>
      <c r="AI93" s="78"/>
      <c r="AJ93" s="78"/>
      <c r="AK93" s="78"/>
      <c r="AL93" s="78"/>
      <c r="AM93" s="78"/>
      <c r="AN93" s="78"/>
      <c r="AO93" s="78"/>
      <c r="AP93" s="78"/>
      <c r="AQ93" s="78"/>
      <c r="AR93" s="78"/>
      <c r="AS93" s="78"/>
      <c r="AT93" s="78"/>
      <c r="AU93" s="78"/>
      <c r="AV93" s="78"/>
      <c r="AW93" s="78"/>
      <c r="AX93" s="78"/>
      <c r="AY93" s="91"/>
      <c r="AZ93" s="78"/>
      <c r="BA93" s="78"/>
      <c r="BB93" s="78"/>
      <c r="BC93" s="78"/>
      <c r="BD93" s="78"/>
      <c r="BE93" s="78"/>
      <c r="BF93" s="78"/>
      <c r="BG93" s="78"/>
      <c r="BH93" s="78"/>
      <c r="BI93" s="78"/>
      <c r="BJ93" s="78"/>
      <c r="BK93" s="78"/>
      <c r="BL93" s="78"/>
      <c r="BM93" s="78"/>
      <c r="BN93" s="78"/>
      <c r="BO93" s="78"/>
      <c r="BP93" s="78"/>
      <c r="BQ93" s="78"/>
      <c r="BR93" s="78"/>
      <c r="BS93" s="78"/>
      <c r="BT93" s="78"/>
      <c r="BU93" s="78"/>
      <c r="BV93" s="78"/>
      <c r="BW93" s="78"/>
      <c r="BX93" s="78"/>
      <c r="BY93" s="78"/>
      <c r="BZ93" s="78"/>
      <c r="CA93" s="78"/>
      <c r="CB93" s="78"/>
      <c r="CC93" s="78"/>
      <c r="CD93" s="78"/>
      <c r="CE93" s="78"/>
      <c r="CF93" s="78"/>
      <c r="CG93" s="78"/>
      <c r="CH93" s="78"/>
      <c r="CI93" s="78"/>
      <c r="CJ93" s="78"/>
      <c r="CK93" s="78"/>
      <c r="CL93" s="78"/>
      <c r="CM93" s="78"/>
      <c r="CN93" s="78"/>
      <c r="CO93" s="78"/>
      <c r="CP93" s="78"/>
      <c r="CQ93" s="78"/>
      <c r="CR93" s="78"/>
      <c r="CS93" s="78"/>
      <c r="CT93" s="78"/>
      <c r="CU93" s="78"/>
      <c r="CV93" s="78"/>
      <c r="CW93" s="78"/>
      <c r="CX93" s="78"/>
      <c r="CY93" s="78"/>
      <c r="CZ93" s="78"/>
      <c r="DA93" s="78"/>
      <c r="DB93" s="78"/>
      <c r="DC93" s="78"/>
      <c r="DD93" s="78"/>
      <c r="DE93" s="78"/>
      <c r="DF93" s="78"/>
      <c r="DG93" s="78"/>
      <c r="DH93" s="78"/>
      <c r="DI93" s="78"/>
      <c r="DJ93" s="78"/>
      <c r="DK93" s="78"/>
      <c r="DL93" s="78"/>
      <c r="DM93" s="78"/>
      <c r="DN93" s="78"/>
      <c r="DO93" s="78"/>
      <c r="DP93" s="78"/>
      <c r="DQ93" s="78"/>
      <c r="DR93" s="78"/>
      <c r="DS93" s="78"/>
      <c r="DT93" s="78"/>
      <c r="DU93" s="78"/>
      <c r="DV93" s="78"/>
      <c r="DW93" s="78"/>
      <c r="DX93" s="78"/>
      <c r="DY93" s="78"/>
      <c r="DZ93" s="78"/>
      <c r="EA93" s="78"/>
      <c r="EB93" s="78"/>
      <c r="EC93" s="78"/>
      <c r="ED93" s="78"/>
      <c r="EE93" s="78"/>
      <c r="EF93" s="78"/>
      <c r="EG93" s="78"/>
      <c r="EH93" s="78"/>
      <c r="EI93" s="78"/>
      <c r="EJ93" s="78"/>
      <c r="EK93" s="78"/>
      <c r="EL93" s="78"/>
      <c r="EM93" s="78"/>
      <c r="EN93" s="91"/>
      <c r="EO93" s="91"/>
      <c r="EP93" s="91"/>
      <c r="EQ93" s="91"/>
      <c r="ER93" s="91"/>
      <c r="ES93" s="91"/>
    </row>
    <row r="94" spans="1:149" outlineLevel="1">
      <c r="A94" s="29" t="str">
        <f t="shared" si="20"/>
        <v>RESPONSIBILITY_PROCESS_RELn.a.</v>
      </c>
      <c r="B94" s="67" t="s">
        <v>26</v>
      </c>
      <c r="C94" s="68" t="s">
        <v>54</v>
      </c>
      <c r="D94" s="64" t="s">
        <v>36</v>
      </c>
      <c r="E94" s="66" t="s">
        <v>74</v>
      </c>
      <c r="F94" s="64" t="s">
        <v>38</v>
      </c>
      <c r="G94" s="64" t="str">
        <f>INDEX(Auxiliar!$B$16:$B$24,MATCH(Plano_V3!H94,Auxiliar!$C$16:$C$24,0),1)</f>
        <v>1. Concluído</v>
      </c>
      <c r="H94" s="64">
        <f>VLOOKUP(A94,'Aux - pivots1'!$A:$B,2,0)</f>
        <v>1</v>
      </c>
      <c r="I94" s="180">
        <f>SUMIFS(Table1[Estimação (horas)],Table1[Tabela],Plano_V3!E94,Table1[Campo],Plano_V3!F94)</f>
        <v>8</v>
      </c>
      <c r="J94" s="180">
        <f t="shared" si="21"/>
        <v>1</v>
      </c>
      <c r="K94" s="180">
        <f>SUMIFS(Table1[Horas efetivas],Table1[Tabela],Plano_V3!E94,Table1[Campo],Plano_V3!F94)</f>
        <v>8</v>
      </c>
      <c r="L94" s="180">
        <f t="shared" si="22"/>
        <v>1</v>
      </c>
      <c r="M94" s="174"/>
      <c r="N94" s="174">
        <f t="shared" si="23"/>
        <v>1</v>
      </c>
      <c r="O94" s="174">
        <f t="shared" si="12"/>
        <v>1</v>
      </c>
      <c r="P94" s="89" t="s">
        <v>39</v>
      </c>
      <c r="Q94" s="90">
        <f t="shared" si="13"/>
        <v>1</v>
      </c>
      <c r="R94" s="78"/>
      <c r="S94" s="78"/>
      <c r="T94" s="78"/>
      <c r="U94" s="78"/>
      <c r="V94" s="78"/>
      <c r="W94" s="78"/>
      <c r="X94" s="78"/>
      <c r="Y94" s="78"/>
      <c r="Z94" s="78"/>
      <c r="AA94" s="78"/>
      <c r="AB94" s="78"/>
      <c r="AC94" s="78"/>
      <c r="AD94" s="78"/>
      <c r="AE94" s="78"/>
      <c r="AF94" s="78"/>
      <c r="AG94" s="78"/>
      <c r="AH94" s="78"/>
      <c r="AI94" s="78"/>
      <c r="AJ94" s="78"/>
      <c r="AK94" s="78"/>
      <c r="AL94" s="78"/>
      <c r="AM94" s="78"/>
      <c r="AN94" s="78"/>
      <c r="AO94" s="78"/>
      <c r="AP94" s="78"/>
      <c r="AQ94" s="78"/>
      <c r="AR94" s="78"/>
      <c r="AS94" s="78"/>
      <c r="AT94" s="78"/>
      <c r="AU94" s="78"/>
      <c r="AV94" s="78"/>
      <c r="AW94" s="78"/>
      <c r="AX94" s="78"/>
      <c r="AY94" s="91"/>
      <c r="AZ94" s="78"/>
      <c r="BA94" s="78"/>
      <c r="BB94" s="78"/>
      <c r="BC94" s="78"/>
      <c r="BD94" s="78"/>
      <c r="BE94" s="78"/>
      <c r="BF94" s="78"/>
      <c r="BG94" s="78"/>
      <c r="BH94" s="78"/>
      <c r="BI94" s="78"/>
      <c r="BJ94" s="78"/>
      <c r="BK94" s="78"/>
      <c r="BL94" s="78"/>
      <c r="BM94" s="78"/>
      <c r="BN94" s="78"/>
      <c r="BO94" s="78"/>
      <c r="BP94" s="78"/>
      <c r="BQ94" s="78"/>
      <c r="BR94" s="78"/>
      <c r="BS94" s="78"/>
      <c r="BT94" s="78"/>
      <c r="BU94" s="78"/>
      <c r="BV94" s="78"/>
      <c r="BW94" s="78"/>
      <c r="BX94" s="78"/>
      <c r="BY94" s="78"/>
      <c r="BZ94" s="78"/>
      <c r="CA94" s="78"/>
      <c r="CB94" s="78"/>
      <c r="CC94" s="78"/>
      <c r="CD94" s="78"/>
      <c r="CE94" s="78"/>
      <c r="CF94" s="78"/>
      <c r="CG94" s="78"/>
      <c r="CH94" s="78"/>
      <c r="CI94" s="78"/>
      <c r="CJ94" s="78"/>
      <c r="CK94" s="78"/>
      <c r="CL94" s="78"/>
      <c r="CM94" s="78"/>
      <c r="CN94" s="78"/>
      <c r="CO94" s="78"/>
      <c r="CP94" s="78"/>
      <c r="CQ94" s="78"/>
      <c r="CR94" s="78"/>
      <c r="CS94" s="78"/>
      <c r="CT94" s="78"/>
      <c r="CU94" s="78"/>
      <c r="CV94" s="78"/>
      <c r="CW94" s="78"/>
      <c r="CX94" s="78"/>
      <c r="CY94" s="78"/>
      <c r="CZ94" s="78"/>
      <c r="DA94" s="78"/>
      <c r="DB94" s="78"/>
      <c r="DC94" s="78"/>
      <c r="DD94" s="78"/>
      <c r="DE94" s="78"/>
      <c r="DF94" s="78"/>
      <c r="DG94" s="78"/>
      <c r="DH94" s="78"/>
      <c r="DI94" s="78"/>
      <c r="DJ94" s="78"/>
      <c r="DK94" s="78"/>
      <c r="DL94" s="78"/>
      <c r="DM94" s="78"/>
      <c r="DN94" s="78"/>
      <c r="DO94" s="78"/>
      <c r="DP94" s="78"/>
      <c r="DQ94" s="78"/>
      <c r="DR94" s="78"/>
      <c r="DS94" s="78"/>
      <c r="DT94" s="78"/>
      <c r="DU94" s="78"/>
      <c r="DV94" s="78"/>
      <c r="DW94" s="78"/>
      <c r="DX94" s="78"/>
      <c r="DY94" s="78"/>
      <c r="DZ94" s="78"/>
      <c r="EA94" s="78"/>
      <c r="EB94" s="78"/>
      <c r="EC94" s="78"/>
      <c r="ED94" s="78"/>
      <c r="EE94" s="78"/>
      <c r="EF94" s="78"/>
      <c r="EG94" s="78"/>
      <c r="EH94" s="78"/>
      <c r="EI94" s="78"/>
      <c r="EJ94" s="78"/>
      <c r="EK94" s="78"/>
      <c r="EL94" s="78"/>
      <c r="EM94" s="78"/>
      <c r="EN94" s="91"/>
      <c r="EO94" s="91"/>
      <c r="EP94" s="91"/>
      <c r="EQ94" s="91"/>
      <c r="ER94" s="91"/>
      <c r="ES94" s="91"/>
    </row>
    <row r="95" spans="1:149" outlineLevel="1">
      <c r="A95" s="29" t="str">
        <f t="shared" si="20"/>
        <v>RESPONSIBILITY_PROCESS_RELPROCESS_BANK_ID</v>
      </c>
      <c r="B95" s="67" t="s">
        <v>26</v>
      </c>
      <c r="C95" s="68" t="s">
        <v>54</v>
      </c>
      <c r="D95" s="64" t="s">
        <v>40</v>
      </c>
      <c r="E95" s="66" t="s">
        <v>74</v>
      </c>
      <c r="F95" s="66" t="s">
        <v>57</v>
      </c>
      <c r="G95" s="64" t="str">
        <f>INDEX(Auxiliar!$B$16:$B$24,MATCH(Plano_V3!H95,Auxiliar!$C$16:$C$24,0),1)</f>
        <v>1. Concluído</v>
      </c>
      <c r="H95" s="64">
        <f>VLOOKUP(A95,'Aux - pivots1'!$A:$B,2,0)</f>
        <v>1</v>
      </c>
      <c r="I95" s="180">
        <f>SUMIFS(Table1[Estimação (horas)],Table1[Tabela],Plano_V3!E95,Table1[Campo],Plano_V3!F95)</f>
        <v>8.1</v>
      </c>
      <c r="J95" s="180">
        <f t="shared" si="21"/>
        <v>1.0125</v>
      </c>
      <c r="K95" s="180">
        <f>SUMIFS(Table1[Horas efetivas],Table1[Tabela],Plano_V3!E95,Table1[Campo],Plano_V3!F95)</f>
        <v>8.1</v>
      </c>
      <c r="L95" s="180">
        <f t="shared" si="22"/>
        <v>1.0125</v>
      </c>
      <c r="M95" s="174"/>
      <c r="N95" s="174">
        <f t="shared" si="23"/>
        <v>1</v>
      </c>
      <c r="O95" s="174">
        <f t="shared" si="12"/>
        <v>1</v>
      </c>
      <c r="P95" s="89" t="s">
        <v>39</v>
      </c>
      <c r="Q95" s="90">
        <f t="shared" si="13"/>
        <v>1.0125</v>
      </c>
      <c r="R95" s="78"/>
      <c r="S95" s="78"/>
      <c r="T95" s="78"/>
      <c r="U95" s="78"/>
      <c r="V95" s="78"/>
      <c r="W95" s="78"/>
      <c r="X95" s="78"/>
      <c r="Y95" s="78"/>
      <c r="Z95" s="78"/>
      <c r="AA95" s="78"/>
      <c r="AB95" s="78"/>
      <c r="AC95" s="78"/>
      <c r="AD95" s="78"/>
      <c r="AE95" s="78"/>
      <c r="AF95" s="78"/>
      <c r="AG95" s="78"/>
      <c r="AH95" s="78"/>
      <c r="AI95" s="78"/>
      <c r="AJ95" s="78"/>
      <c r="AK95" s="78"/>
      <c r="AL95" s="78"/>
      <c r="AM95" s="78"/>
      <c r="AN95" s="78"/>
      <c r="AO95" s="78"/>
      <c r="AP95" s="78"/>
      <c r="AQ95" s="78"/>
      <c r="AR95" s="78"/>
      <c r="AS95" s="78"/>
      <c r="AT95" s="78"/>
      <c r="AU95" s="78"/>
      <c r="AV95" s="78"/>
      <c r="AW95" s="78"/>
      <c r="AX95" s="78"/>
      <c r="AY95" s="91"/>
      <c r="AZ95" s="78"/>
      <c r="BA95" s="78"/>
      <c r="BB95" s="78"/>
      <c r="BC95" s="78"/>
      <c r="BD95" s="78"/>
      <c r="BE95" s="78"/>
      <c r="BF95" s="78"/>
      <c r="BG95" s="78"/>
      <c r="BH95" s="78"/>
      <c r="BI95" s="78"/>
      <c r="BJ95" s="78"/>
      <c r="BK95" s="78"/>
      <c r="BL95" s="78"/>
      <c r="BM95" s="78"/>
      <c r="BN95" s="78"/>
      <c r="BO95" s="78"/>
      <c r="BP95" s="78"/>
      <c r="BQ95" s="78"/>
      <c r="BR95" s="78"/>
      <c r="BS95" s="78"/>
      <c r="BT95" s="78"/>
      <c r="BU95" s="78"/>
      <c r="BV95" s="78"/>
      <c r="BW95" s="78"/>
      <c r="BX95" s="78"/>
      <c r="BY95" s="78"/>
      <c r="BZ95" s="78"/>
      <c r="CA95" s="78"/>
      <c r="CB95" s="78"/>
      <c r="CC95" s="78"/>
      <c r="CD95" s="78"/>
      <c r="CE95" s="78"/>
      <c r="CF95" s="78"/>
      <c r="CG95" s="78"/>
      <c r="CH95" s="78"/>
      <c r="CI95" s="78"/>
      <c r="CJ95" s="78"/>
      <c r="CK95" s="78"/>
      <c r="CL95" s="78"/>
      <c r="CM95" s="78"/>
      <c r="CN95" s="78"/>
      <c r="CO95" s="78"/>
      <c r="CP95" s="78"/>
      <c r="CQ95" s="78"/>
      <c r="CR95" s="78"/>
      <c r="CS95" s="78"/>
      <c r="CT95" s="78"/>
      <c r="CU95" s="78"/>
      <c r="CV95" s="78"/>
      <c r="CW95" s="78"/>
      <c r="CX95" s="78"/>
      <c r="CY95" s="78"/>
      <c r="CZ95" s="78"/>
      <c r="DA95" s="78"/>
      <c r="DB95" s="78"/>
      <c r="DC95" s="78"/>
      <c r="DD95" s="78"/>
      <c r="DE95" s="78"/>
      <c r="DF95" s="78"/>
      <c r="DG95" s="78"/>
      <c r="DH95" s="78"/>
      <c r="DI95" s="78"/>
      <c r="DJ95" s="78"/>
      <c r="DK95" s="78"/>
      <c r="DL95" s="78"/>
      <c r="DM95" s="78"/>
      <c r="DN95" s="78"/>
      <c r="DO95" s="78"/>
      <c r="DP95" s="78"/>
      <c r="DQ95" s="78"/>
      <c r="DR95" s="78"/>
      <c r="DS95" s="78"/>
      <c r="DT95" s="78"/>
      <c r="DU95" s="78"/>
      <c r="DV95" s="78"/>
      <c r="DW95" s="78"/>
      <c r="DX95" s="78"/>
      <c r="DY95" s="78"/>
      <c r="DZ95" s="78"/>
      <c r="EA95" s="78"/>
      <c r="EB95" s="78"/>
      <c r="EC95" s="78"/>
      <c r="ED95" s="78"/>
      <c r="EE95" s="78"/>
      <c r="EF95" s="78"/>
      <c r="EG95" s="78"/>
      <c r="EH95" s="78"/>
      <c r="EI95" s="78"/>
      <c r="EJ95" s="78"/>
      <c r="EK95" s="78"/>
      <c r="EL95" s="78"/>
      <c r="EM95" s="78"/>
      <c r="EN95" s="91"/>
      <c r="EO95" s="91"/>
      <c r="EP95" s="91"/>
      <c r="EQ95" s="91"/>
      <c r="ER95" s="91"/>
      <c r="ES95" s="91"/>
    </row>
    <row r="96" spans="1:149" outlineLevel="1">
      <c r="A96" s="29" t="str">
        <f t="shared" si="20"/>
        <v>RESPONSIBILITY_PROCESS_RELBANK_ID</v>
      </c>
      <c r="B96" s="67" t="s">
        <v>26</v>
      </c>
      <c r="C96" s="68" t="s">
        <v>54</v>
      </c>
      <c r="D96" s="64" t="s">
        <v>40</v>
      </c>
      <c r="E96" s="66" t="s">
        <v>74</v>
      </c>
      <c r="F96" s="66" t="s">
        <v>75</v>
      </c>
      <c r="G96" s="64" t="str">
        <f>INDEX(Auxiliar!$B$16:$B$24,MATCH(Plano_V3!H96,Auxiliar!$C$16:$C$24,0),1)</f>
        <v>1. Concluído</v>
      </c>
      <c r="H96" s="64">
        <f>VLOOKUP(A96,'Aux - pivots1'!$A:$B,2,0)</f>
        <v>1</v>
      </c>
      <c r="I96" s="180">
        <f>SUMIFS(Table1[Estimação (horas)],Table1[Tabela],Plano_V3!E96,Table1[Campo],Plano_V3!F96)</f>
        <v>8.1</v>
      </c>
      <c r="J96" s="180">
        <f t="shared" si="21"/>
        <v>1.0125</v>
      </c>
      <c r="K96" s="180">
        <f>SUMIFS(Table1[Horas efetivas],Table1[Tabela],Plano_V3!E96,Table1[Campo],Plano_V3!F96)</f>
        <v>8.1</v>
      </c>
      <c r="L96" s="180">
        <f t="shared" si="22"/>
        <v>1.0125</v>
      </c>
      <c r="M96" s="174"/>
      <c r="N96" s="174">
        <f t="shared" si="23"/>
        <v>1</v>
      </c>
      <c r="O96" s="174">
        <f t="shared" si="12"/>
        <v>1</v>
      </c>
      <c r="P96" s="89" t="s">
        <v>39</v>
      </c>
      <c r="Q96" s="90">
        <f t="shared" si="13"/>
        <v>1.0125</v>
      </c>
      <c r="R96" s="78"/>
      <c r="S96" s="78"/>
      <c r="T96" s="78"/>
      <c r="U96" s="78"/>
      <c r="V96" s="78"/>
      <c r="W96" s="78"/>
      <c r="X96" s="78"/>
      <c r="Y96" s="78"/>
      <c r="Z96" s="78"/>
      <c r="AA96" s="78"/>
      <c r="AB96" s="78"/>
      <c r="AC96" s="78"/>
      <c r="AD96" s="78"/>
      <c r="AE96" s="78"/>
      <c r="AF96" s="78"/>
      <c r="AG96" s="78"/>
      <c r="AH96" s="78"/>
      <c r="AI96" s="78"/>
      <c r="AJ96" s="78"/>
      <c r="AK96" s="78"/>
      <c r="AL96" s="78"/>
      <c r="AM96" s="78"/>
      <c r="AN96" s="78"/>
      <c r="AO96" s="78"/>
      <c r="AP96" s="78"/>
      <c r="AQ96" s="78"/>
      <c r="AR96" s="78"/>
      <c r="AS96" s="78"/>
      <c r="AT96" s="78"/>
      <c r="AU96" s="78"/>
      <c r="AV96" s="78"/>
      <c r="AW96" s="78"/>
      <c r="AX96" s="78"/>
      <c r="AY96" s="91"/>
      <c r="AZ96" s="78"/>
      <c r="BA96" s="78"/>
      <c r="BB96" s="78"/>
      <c r="BC96" s="78"/>
      <c r="BD96" s="78"/>
      <c r="BE96" s="78"/>
      <c r="BF96" s="78"/>
      <c r="BG96" s="78"/>
      <c r="BH96" s="78"/>
      <c r="BI96" s="78"/>
      <c r="BJ96" s="78"/>
      <c r="BK96" s="78"/>
      <c r="BL96" s="78"/>
      <c r="BM96" s="78"/>
      <c r="BN96" s="78"/>
      <c r="BO96" s="78"/>
      <c r="BP96" s="78"/>
      <c r="BQ96" s="78"/>
      <c r="BR96" s="78"/>
      <c r="BS96" s="78"/>
      <c r="BT96" s="78"/>
      <c r="BU96" s="78"/>
      <c r="BV96" s="78"/>
      <c r="BW96" s="78"/>
      <c r="BX96" s="78"/>
      <c r="BY96" s="78"/>
      <c r="BZ96" s="78"/>
      <c r="CA96" s="78"/>
      <c r="CB96" s="78"/>
      <c r="CC96" s="78"/>
      <c r="CD96" s="78"/>
      <c r="CE96" s="78"/>
      <c r="CF96" s="78"/>
      <c r="CG96" s="78"/>
      <c r="CH96" s="78"/>
      <c r="CI96" s="78"/>
      <c r="CJ96" s="78"/>
      <c r="CK96" s="78"/>
      <c r="CL96" s="78"/>
      <c r="CM96" s="78"/>
      <c r="CN96" s="78"/>
      <c r="CO96" s="78"/>
      <c r="CP96" s="78"/>
      <c r="CQ96" s="78"/>
      <c r="CR96" s="78"/>
      <c r="CS96" s="78"/>
      <c r="CT96" s="78"/>
      <c r="CU96" s="78"/>
      <c r="CV96" s="78"/>
      <c r="CW96" s="78"/>
      <c r="CX96" s="78"/>
      <c r="CY96" s="78"/>
      <c r="CZ96" s="78"/>
      <c r="DA96" s="78"/>
      <c r="DB96" s="78"/>
      <c r="DC96" s="78"/>
      <c r="DD96" s="78"/>
      <c r="DE96" s="78"/>
      <c r="DF96" s="78"/>
      <c r="DG96" s="78"/>
      <c r="DH96" s="78"/>
      <c r="DI96" s="78"/>
      <c r="DJ96" s="78"/>
      <c r="DK96" s="78"/>
      <c r="DL96" s="78"/>
      <c r="DM96" s="78"/>
      <c r="DN96" s="78"/>
      <c r="DO96" s="78"/>
      <c r="DP96" s="78"/>
      <c r="DQ96" s="78"/>
      <c r="DR96" s="78"/>
      <c r="DS96" s="78"/>
      <c r="DT96" s="78"/>
      <c r="DU96" s="78"/>
      <c r="DV96" s="78"/>
      <c r="DW96" s="78"/>
      <c r="DX96" s="78"/>
      <c r="DY96" s="78"/>
      <c r="DZ96" s="78"/>
      <c r="EA96" s="78"/>
      <c r="EB96" s="78"/>
      <c r="EC96" s="78"/>
      <c r="ED96" s="78"/>
      <c r="EE96" s="78"/>
      <c r="EF96" s="78"/>
      <c r="EG96" s="78"/>
      <c r="EH96" s="78"/>
      <c r="EI96" s="78"/>
      <c r="EJ96" s="78"/>
      <c r="EK96" s="78"/>
      <c r="EL96" s="78"/>
      <c r="EM96" s="78"/>
      <c r="EN96" s="91"/>
      <c r="EO96" s="91"/>
      <c r="EP96" s="91"/>
      <c r="EQ96" s="91"/>
      <c r="ER96" s="91"/>
      <c r="ES96" s="91"/>
    </row>
    <row r="97" spans="1:149" outlineLevel="1">
      <c r="A97" s="29" t="str">
        <f t="shared" si="20"/>
        <v>RESPONSIBILITY_PROCESS_RELPROCESS_BRANCH_CODE</v>
      </c>
      <c r="B97" s="67" t="s">
        <v>26</v>
      </c>
      <c r="C97" s="68" t="s">
        <v>54</v>
      </c>
      <c r="D97" s="64" t="s">
        <v>40</v>
      </c>
      <c r="E97" s="66" t="s">
        <v>74</v>
      </c>
      <c r="F97" s="66" t="s">
        <v>58</v>
      </c>
      <c r="G97" s="64" t="str">
        <f>INDEX(Auxiliar!$B$16:$B$24,MATCH(Plano_V3!H97,Auxiliar!$C$16:$C$24,0),1)</f>
        <v>1. Concluído</v>
      </c>
      <c r="H97" s="64">
        <f>VLOOKUP(A97,'Aux - pivots1'!$A:$B,2,0)</f>
        <v>1</v>
      </c>
      <c r="I97" s="180">
        <f>SUMIFS(Table1[Estimação (horas)],Table1[Tabela],Plano_V3!E97,Table1[Campo],Plano_V3!F97)</f>
        <v>8.1</v>
      </c>
      <c r="J97" s="180">
        <f t="shared" si="21"/>
        <v>1.0125</v>
      </c>
      <c r="K97" s="180">
        <f>SUMIFS(Table1[Horas efetivas],Table1[Tabela],Plano_V3!E97,Table1[Campo],Plano_V3!F97)</f>
        <v>8.1</v>
      </c>
      <c r="L97" s="180">
        <f t="shared" si="22"/>
        <v>1.0125</v>
      </c>
      <c r="M97" s="174"/>
      <c r="N97" s="174">
        <f t="shared" si="23"/>
        <v>1</v>
      </c>
      <c r="O97" s="174">
        <f t="shared" si="12"/>
        <v>1</v>
      </c>
      <c r="P97" s="89" t="s">
        <v>39</v>
      </c>
      <c r="Q97" s="90">
        <f t="shared" si="13"/>
        <v>1.0125</v>
      </c>
      <c r="R97" s="78"/>
      <c r="S97" s="78"/>
      <c r="T97" s="78"/>
      <c r="U97" s="78"/>
      <c r="V97" s="78"/>
      <c r="W97" s="78"/>
      <c r="X97" s="78"/>
      <c r="Y97" s="78"/>
      <c r="Z97" s="78"/>
      <c r="AA97" s="78"/>
      <c r="AB97" s="78"/>
      <c r="AC97" s="78"/>
      <c r="AD97" s="78"/>
      <c r="AE97" s="78"/>
      <c r="AF97" s="78"/>
      <c r="AG97" s="78"/>
      <c r="AH97" s="78"/>
      <c r="AI97" s="78"/>
      <c r="AJ97" s="78"/>
      <c r="AK97" s="78"/>
      <c r="AL97" s="78"/>
      <c r="AM97" s="78"/>
      <c r="AN97" s="78"/>
      <c r="AO97" s="78"/>
      <c r="AP97" s="78"/>
      <c r="AQ97" s="78"/>
      <c r="AR97" s="78"/>
      <c r="AS97" s="78"/>
      <c r="AT97" s="78"/>
      <c r="AU97" s="78"/>
      <c r="AV97" s="78"/>
      <c r="AW97" s="78"/>
      <c r="AX97" s="78"/>
      <c r="AY97" s="91"/>
      <c r="AZ97" s="78"/>
      <c r="BA97" s="78"/>
      <c r="BB97" s="78"/>
      <c r="BC97" s="78"/>
      <c r="BD97" s="78"/>
      <c r="BE97" s="78"/>
      <c r="BF97" s="78"/>
      <c r="BG97" s="78"/>
      <c r="BH97" s="78"/>
      <c r="BI97" s="78"/>
      <c r="BJ97" s="78"/>
      <c r="BK97" s="78"/>
      <c r="BL97" s="78"/>
      <c r="BM97" s="78"/>
      <c r="BN97" s="78"/>
      <c r="BO97" s="78"/>
      <c r="BP97" s="78"/>
      <c r="BQ97" s="78"/>
      <c r="BR97" s="78"/>
      <c r="BS97" s="78"/>
      <c r="BT97" s="78"/>
      <c r="BU97" s="78"/>
      <c r="BV97" s="78"/>
      <c r="BW97" s="78"/>
      <c r="BX97" s="78"/>
      <c r="BY97" s="78"/>
      <c r="BZ97" s="78"/>
      <c r="CA97" s="78"/>
      <c r="CB97" s="78"/>
      <c r="CC97" s="78"/>
      <c r="CD97" s="78"/>
      <c r="CE97" s="78"/>
      <c r="CF97" s="78"/>
      <c r="CG97" s="78"/>
      <c r="CH97" s="78"/>
      <c r="CI97" s="78"/>
      <c r="CJ97" s="78"/>
      <c r="CK97" s="78"/>
      <c r="CL97" s="78"/>
      <c r="CM97" s="78"/>
      <c r="CN97" s="78"/>
      <c r="CO97" s="78"/>
      <c r="CP97" s="78"/>
      <c r="CQ97" s="78"/>
      <c r="CR97" s="78"/>
      <c r="CS97" s="78"/>
      <c r="CT97" s="78"/>
      <c r="CU97" s="78"/>
      <c r="CV97" s="78"/>
      <c r="CW97" s="78"/>
      <c r="CX97" s="78"/>
      <c r="CY97" s="78"/>
      <c r="CZ97" s="78"/>
      <c r="DA97" s="78"/>
      <c r="DB97" s="78"/>
      <c r="DC97" s="78"/>
      <c r="DD97" s="78"/>
      <c r="DE97" s="78"/>
      <c r="DF97" s="78"/>
      <c r="DG97" s="78"/>
      <c r="DH97" s="78"/>
      <c r="DI97" s="78"/>
      <c r="DJ97" s="78"/>
      <c r="DK97" s="78"/>
      <c r="DL97" s="78"/>
      <c r="DM97" s="78"/>
      <c r="DN97" s="78"/>
      <c r="DO97" s="78"/>
      <c r="DP97" s="78"/>
      <c r="DQ97" s="78"/>
      <c r="DR97" s="78"/>
      <c r="DS97" s="78"/>
      <c r="DT97" s="78"/>
      <c r="DU97" s="78"/>
      <c r="DV97" s="78"/>
      <c r="DW97" s="78"/>
      <c r="DX97" s="78"/>
      <c r="DY97" s="78"/>
      <c r="DZ97" s="78"/>
      <c r="EA97" s="78"/>
      <c r="EB97" s="78"/>
      <c r="EC97" s="78"/>
      <c r="ED97" s="78"/>
      <c r="EE97" s="78"/>
      <c r="EF97" s="78"/>
      <c r="EG97" s="78"/>
      <c r="EH97" s="78"/>
      <c r="EI97" s="78"/>
      <c r="EJ97" s="78"/>
      <c r="EK97" s="78"/>
      <c r="EL97" s="78"/>
      <c r="EM97" s="78"/>
      <c r="EN97" s="91"/>
      <c r="EO97" s="91"/>
      <c r="EP97" s="91"/>
      <c r="EQ97" s="91"/>
      <c r="ER97" s="91"/>
      <c r="ES97" s="91"/>
    </row>
    <row r="98" spans="1:149" outlineLevel="1">
      <c r="A98" s="29" t="str">
        <f t="shared" si="20"/>
        <v>RESPONSIBILITY_PROCESS_RELBRANCH_CODE</v>
      </c>
      <c r="B98" s="67" t="s">
        <v>26</v>
      </c>
      <c r="C98" s="68" t="s">
        <v>54</v>
      </c>
      <c r="D98" s="64" t="s">
        <v>40</v>
      </c>
      <c r="E98" s="66" t="s">
        <v>74</v>
      </c>
      <c r="F98" s="66" t="s">
        <v>76</v>
      </c>
      <c r="G98" s="64" t="str">
        <f>INDEX(Auxiliar!$B$16:$B$24,MATCH(Plano_V3!H98,Auxiliar!$C$16:$C$24,0),1)</f>
        <v>1. Concluído</v>
      </c>
      <c r="H98" s="64">
        <f>VLOOKUP(A98,'Aux - pivots1'!$A:$B,2,0)</f>
        <v>1</v>
      </c>
      <c r="I98" s="180">
        <f>SUMIFS(Table1[Estimação (horas)],Table1[Tabela],Plano_V3!E98,Table1[Campo],Plano_V3!F98)</f>
        <v>8.1</v>
      </c>
      <c r="J98" s="180">
        <f t="shared" si="21"/>
        <v>1.0125</v>
      </c>
      <c r="K98" s="180">
        <f>SUMIFS(Table1[Horas efetivas],Table1[Tabela],Plano_V3!E98,Table1[Campo],Plano_V3!F98)</f>
        <v>8.1</v>
      </c>
      <c r="L98" s="180">
        <f t="shared" si="22"/>
        <v>1.0125</v>
      </c>
      <c r="M98" s="174"/>
      <c r="N98" s="174">
        <f t="shared" si="23"/>
        <v>1</v>
      </c>
      <c r="O98" s="174">
        <f t="shared" si="12"/>
        <v>1</v>
      </c>
      <c r="P98" s="89" t="s">
        <v>39</v>
      </c>
      <c r="Q98" s="90">
        <f t="shared" si="13"/>
        <v>1.0125</v>
      </c>
      <c r="R98" s="78"/>
      <c r="S98" s="78"/>
      <c r="T98" s="78"/>
      <c r="U98" s="78"/>
      <c r="V98" s="78"/>
      <c r="W98" s="78"/>
      <c r="X98" s="78"/>
      <c r="Y98" s="78"/>
      <c r="Z98" s="78"/>
      <c r="AA98" s="78"/>
      <c r="AB98" s="78"/>
      <c r="AC98" s="78"/>
      <c r="AD98" s="78"/>
      <c r="AE98" s="78"/>
      <c r="AF98" s="78"/>
      <c r="AG98" s="78"/>
      <c r="AH98" s="78"/>
      <c r="AI98" s="78"/>
      <c r="AJ98" s="78"/>
      <c r="AK98" s="78"/>
      <c r="AL98" s="78"/>
      <c r="AM98" s="78"/>
      <c r="AN98" s="78"/>
      <c r="AO98" s="78"/>
      <c r="AP98" s="78"/>
      <c r="AQ98" s="78"/>
      <c r="AR98" s="78"/>
      <c r="AS98" s="78"/>
      <c r="AT98" s="78"/>
      <c r="AU98" s="78"/>
      <c r="AV98" s="78"/>
      <c r="AW98" s="78"/>
      <c r="AX98" s="78"/>
      <c r="AY98" s="91"/>
      <c r="AZ98" s="78"/>
      <c r="BA98" s="78"/>
      <c r="BB98" s="78"/>
      <c r="BC98" s="78"/>
      <c r="BD98" s="78"/>
      <c r="BE98" s="78"/>
      <c r="BF98" s="78"/>
      <c r="BG98" s="78"/>
      <c r="BH98" s="78"/>
      <c r="BI98" s="78"/>
      <c r="BJ98" s="78"/>
      <c r="BK98" s="78"/>
      <c r="BL98" s="78"/>
      <c r="BM98" s="78"/>
      <c r="BN98" s="78"/>
      <c r="BO98" s="78"/>
      <c r="BP98" s="78"/>
      <c r="BQ98" s="78"/>
      <c r="BR98" s="78"/>
      <c r="BS98" s="78"/>
      <c r="BT98" s="78"/>
      <c r="BU98" s="78"/>
      <c r="BV98" s="78"/>
      <c r="BW98" s="78"/>
      <c r="BX98" s="78"/>
      <c r="BY98" s="78"/>
      <c r="BZ98" s="78"/>
      <c r="CA98" s="78"/>
      <c r="CB98" s="78"/>
      <c r="CC98" s="78"/>
      <c r="CD98" s="78"/>
      <c r="CE98" s="78"/>
      <c r="CF98" s="78"/>
      <c r="CG98" s="78"/>
      <c r="CH98" s="78"/>
      <c r="CI98" s="78"/>
      <c r="CJ98" s="78"/>
      <c r="CK98" s="78"/>
      <c r="CL98" s="78"/>
      <c r="CM98" s="78"/>
      <c r="CN98" s="78"/>
      <c r="CO98" s="78"/>
      <c r="CP98" s="78"/>
      <c r="CQ98" s="78"/>
      <c r="CR98" s="78"/>
      <c r="CS98" s="78"/>
      <c r="CT98" s="78"/>
      <c r="CU98" s="78"/>
      <c r="CV98" s="78"/>
      <c r="CW98" s="78"/>
      <c r="CX98" s="78"/>
      <c r="CY98" s="78"/>
      <c r="CZ98" s="78"/>
      <c r="DA98" s="78"/>
      <c r="DB98" s="78"/>
      <c r="DC98" s="78"/>
      <c r="DD98" s="78"/>
      <c r="DE98" s="78"/>
      <c r="DF98" s="78"/>
      <c r="DG98" s="78"/>
      <c r="DH98" s="78"/>
      <c r="DI98" s="78"/>
      <c r="DJ98" s="78"/>
      <c r="DK98" s="78"/>
      <c r="DL98" s="78"/>
      <c r="DM98" s="78"/>
      <c r="DN98" s="78"/>
      <c r="DO98" s="78"/>
      <c r="DP98" s="78"/>
      <c r="DQ98" s="78"/>
      <c r="DR98" s="78"/>
      <c r="DS98" s="78"/>
      <c r="DT98" s="78"/>
      <c r="DU98" s="78"/>
      <c r="DV98" s="78"/>
      <c r="DW98" s="78"/>
      <c r="DX98" s="78"/>
      <c r="DY98" s="78"/>
      <c r="DZ98" s="78"/>
      <c r="EA98" s="78"/>
      <c r="EB98" s="78"/>
      <c r="EC98" s="78"/>
      <c r="ED98" s="78"/>
      <c r="EE98" s="78"/>
      <c r="EF98" s="78"/>
      <c r="EG98" s="78"/>
      <c r="EH98" s="78"/>
      <c r="EI98" s="78"/>
      <c r="EJ98" s="78"/>
      <c r="EK98" s="78"/>
      <c r="EL98" s="78"/>
      <c r="EM98" s="78"/>
      <c r="EN98" s="91"/>
      <c r="EO98" s="91"/>
      <c r="EP98" s="91"/>
      <c r="EQ98" s="91"/>
      <c r="ER98" s="91"/>
      <c r="ES98" s="91"/>
    </row>
    <row r="99" spans="1:149" outlineLevel="1">
      <c r="A99" s="29" t="str">
        <f t="shared" si="20"/>
        <v>RESPONSIBILITY_PROCESS_RELCONTRACT_ID</v>
      </c>
      <c r="B99" s="67" t="s">
        <v>26</v>
      </c>
      <c r="C99" s="68" t="s">
        <v>54</v>
      </c>
      <c r="D99" s="64" t="s">
        <v>40</v>
      </c>
      <c r="E99" s="66" t="s">
        <v>74</v>
      </c>
      <c r="F99" s="66" t="s">
        <v>77</v>
      </c>
      <c r="G99" s="64" t="str">
        <f>INDEX(Auxiliar!$B$16:$B$24,MATCH(Plano_V3!H99,Auxiliar!$C$16:$C$24,0),1)</f>
        <v>1. Concluído</v>
      </c>
      <c r="H99" s="64">
        <f>VLOOKUP(A99,'Aux - pivots1'!$A:$B,2,0)</f>
        <v>1</v>
      </c>
      <c r="I99" s="180">
        <f>SUMIFS(Table1[Estimação (horas)],Table1[Tabela],Plano_V3!E99,Table1[Campo],Plano_V3!F99)</f>
        <v>8.1</v>
      </c>
      <c r="J99" s="180">
        <f t="shared" si="21"/>
        <v>1.0125</v>
      </c>
      <c r="K99" s="180">
        <f>SUMIFS(Table1[Horas efetivas],Table1[Tabela],Plano_V3!E99,Table1[Campo],Plano_V3!F99)</f>
        <v>8.1</v>
      </c>
      <c r="L99" s="180">
        <f t="shared" si="22"/>
        <v>1.0125</v>
      </c>
      <c r="M99" s="174"/>
      <c r="N99" s="174">
        <f t="shared" si="23"/>
        <v>1</v>
      </c>
      <c r="O99" s="174">
        <f t="shared" si="12"/>
        <v>1</v>
      </c>
      <c r="P99" s="89" t="s">
        <v>39</v>
      </c>
      <c r="Q99" s="90">
        <f t="shared" si="13"/>
        <v>1.0125</v>
      </c>
      <c r="R99" s="78"/>
      <c r="S99" s="78"/>
      <c r="T99" s="78"/>
      <c r="U99" s="78"/>
      <c r="V99" s="78"/>
      <c r="W99" s="78"/>
      <c r="X99" s="78"/>
      <c r="Y99" s="78"/>
      <c r="Z99" s="78"/>
      <c r="AA99" s="78"/>
      <c r="AB99" s="78"/>
      <c r="AC99" s="78"/>
      <c r="AD99" s="78"/>
      <c r="AE99" s="78"/>
      <c r="AF99" s="78"/>
      <c r="AG99" s="78"/>
      <c r="AH99" s="78"/>
      <c r="AI99" s="78"/>
      <c r="AJ99" s="78"/>
      <c r="AK99" s="78"/>
      <c r="AL99" s="78"/>
      <c r="AM99" s="78"/>
      <c r="AN99" s="78"/>
      <c r="AO99" s="78"/>
      <c r="AP99" s="78"/>
      <c r="AQ99" s="78"/>
      <c r="AR99" s="78"/>
      <c r="AS99" s="78"/>
      <c r="AT99" s="78"/>
      <c r="AU99" s="78"/>
      <c r="AV99" s="78"/>
      <c r="AW99" s="78"/>
      <c r="AX99" s="78"/>
      <c r="AY99" s="91"/>
      <c r="AZ99" s="78"/>
      <c r="BA99" s="78"/>
      <c r="BB99" s="78"/>
      <c r="BC99" s="78"/>
      <c r="BD99" s="78"/>
      <c r="BE99" s="78"/>
      <c r="BF99" s="78"/>
      <c r="BG99" s="78"/>
      <c r="BH99" s="78"/>
      <c r="BI99" s="78"/>
      <c r="BJ99" s="78"/>
      <c r="BK99" s="78"/>
      <c r="BL99" s="78"/>
      <c r="BM99" s="78"/>
      <c r="BN99" s="78"/>
      <c r="BO99" s="78"/>
      <c r="BP99" s="78"/>
      <c r="BQ99" s="78"/>
      <c r="BR99" s="78"/>
      <c r="BS99" s="78"/>
      <c r="BT99" s="78"/>
      <c r="BU99" s="78"/>
      <c r="BV99" s="78"/>
      <c r="BW99" s="78"/>
      <c r="BX99" s="78"/>
      <c r="BY99" s="78"/>
      <c r="BZ99" s="78"/>
      <c r="CA99" s="78"/>
      <c r="CB99" s="78"/>
      <c r="CC99" s="78"/>
      <c r="CD99" s="78"/>
      <c r="CE99" s="78"/>
      <c r="CF99" s="78"/>
      <c r="CG99" s="78"/>
      <c r="CH99" s="78"/>
      <c r="CI99" s="78"/>
      <c r="CJ99" s="78"/>
      <c r="CK99" s="78"/>
      <c r="CL99" s="78"/>
      <c r="CM99" s="78"/>
      <c r="CN99" s="78"/>
      <c r="CO99" s="78"/>
      <c r="CP99" s="78"/>
      <c r="CQ99" s="78"/>
      <c r="CR99" s="78"/>
      <c r="CS99" s="78"/>
      <c r="CT99" s="78"/>
      <c r="CU99" s="78"/>
      <c r="CV99" s="78"/>
      <c r="CW99" s="78"/>
      <c r="CX99" s="78"/>
      <c r="CY99" s="78"/>
      <c r="CZ99" s="78"/>
      <c r="DA99" s="78"/>
      <c r="DB99" s="78"/>
      <c r="DC99" s="78"/>
      <c r="DD99" s="78"/>
      <c r="DE99" s="78"/>
      <c r="DF99" s="78"/>
      <c r="DG99" s="78"/>
      <c r="DH99" s="78"/>
      <c r="DI99" s="78"/>
      <c r="DJ99" s="78"/>
      <c r="DK99" s="78"/>
      <c r="DL99" s="78"/>
      <c r="DM99" s="78"/>
      <c r="DN99" s="78"/>
      <c r="DO99" s="78"/>
      <c r="DP99" s="78"/>
      <c r="DQ99" s="78"/>
      <c r="DR99" s="78"/>
      <c r="DS99" s="78"/>
      <c r="DT99" s="78"/>
      <c r="DU99" s="78"/>
      <c r="DV99" s="78"/>
      <c r="DW99" s="78"/>
      <c r="DX99" s="78"/>
      <c r="DY99" s="78"/>
      <c r="DZ99" s="78"/>
      <c r="EA99" s="78"/>
      <c r="EB99" s="78"/>
      <c r="EC99" s="78"/>
      <c r="ED99" s="78"/>
      <c r="EE99" s="78"/>
      <c r="EF99" s="78"/>
      <c r="EG99" s="78"/>
      <c r="EH99" s="78"/>
      <c r="EI99" s="78"/>
      <c r="EJ99" s="78"/>
      <c r="EK99" s="78"/>
      <c r="EL99" s="78"/>
      <c r="EM99" s="78"/>
      <c r="EN99" s="91"/>
      <c r="EO99" s="91"/>
      <c r="EP99" s="91"/>
      <c r="EQ99" s="91"/>
      <c r="ER99" s="91"/>
      <c r="ES99" s="91"/>
    </row>
    <row r="100" spans="1:149" outlineLevel="1">
      <c r="A100" s="29" t="str">
        <f t="shared" si="20"/>
        <v>RESPONSIBILITY_PROCESS_RELPROCESS_ACCOUNT_ID</v>
      </c>
      <c r="B100" s="67" t="s">
        <v>26</v>
      </c>
      <c r="C100" s="68" t="s">
        <v>54</v>
      </c>
      <c r="D100" s="64" t="s">
        <v>40</v>
      </c>
      <c r="E100" s="66" t="s">
        <v>74</v>
      </c>
      <c r="F100" s="66" t="s">
        <v>59</v>
      </c>
      <c r="G100" s="64" t="str">
        <f>INDEX(Auxiliar!$B$16:$B$24,MATCH(Plano_V3!H100,Auxiliar!$C$16:$C$24,0),1)</f>
        <v>1. Concluído</v>
      </c>
      <c r="H100" s="64">
        <f>VLOOKUP(A100,'Aux - pivots1'!$A:$B,2,0)</f>
        <v>1</v>
      </c>
      <c r="I100" s="180">
        <f>SUMIFS(Table1[Estimação (horas)],Table1[Tabela],Plano_V3!E100,Table1[Campo],Plano_V3!F100)</f>
        <v>8.1</v>
      </c>
      <c r="J100" s="180">
        <f t="shared" si="21"/>
        <v>1.0125</v>
      </c>
      <c r="K100" s="180">
        <f>SUMIFS(Table1[Horas efetivas],Table1[Tabela],Plano_V3!E100,Table1[Campo],Plano_V3!F100)</f>
        <v>8.1</v>
      </c>
      <c r="L100" s="180">
        <f t="shared" si="22"/>
        <v>1.0125</v>
      </c>
      <c r="M100" s="174"/>
      <c r="N100" s="174">
        <f t="shared" si="23"/>
        <v>1</v>
      </c>
      <c r="O100" s="174">
        <f t="shared" si="12"/>
        <v>1</v>
      </c>
      <c r="P100" s="89" t="s">
        <v>39</v>
      </c>
      <c r="Q100" s="90">
        <f t="shared" si="13"/>
        <v>1.0125</v>
      </c>
      <c r="R100" s="78"/>
      <c r="S100" s="78"/>
      <c r="T100" s="78"/>
      <c r="U100" s="78"/>
      <c r="V100" s="78"/>
      <c r="W100" s="78"/>
      <c r="X100" s="78"/>
      <c r="Y100" s="78"/>
      <c r="Z100" s="78"/>
      <c r="AA100" s="78"/>
      <c r="AB100" s="78"/>
      <c r="AC100" s="78"/>
      <c r="AD100" s="78"/>
      <c r="AE100" s="78"/>
      <c r="AF100" s="78"/>
      <c r="AG100" s="78"/>
      <c r="AH100" s="78"/>
      <c r="AI100" s="78"/>
      <c r="AJ100" s="78"/>
      <c r="AK100" s="78"/>
      <c r="AL100" s="78"/>
      <c r="AM100" s="78"/>
      <c r="AN100" s="78"/>
      <c r="AO100" s="78"/>
      <c r="AP100" s="78"/>
      <c r="AQ100" s="78"/>
      <c r="AR100" s="78"/>
      <c r="AS100" s="78"/>
      <c r="AT100" s="78"/>
      <c r="AU100" s="78"/>
      <c r="AV100" s="78"/>
      <c r="AW100" s="78"/>
      <c r="AX100" s="78"/>
      <c r="AY100" s="91"/>
      <c r="AZ100" s="78"/>
      <c r="BA100" s="78"/>
      <c r="BB100" s="78"/>
      <c r="BC100" s="78"/>
      <c r="BD100" s="78"/>
      <c r="BE100" s="78"/>
      <c r="BF100" s="78"/>
      <c r="BG100" s="78"/>
      <c r="BH100" s="78"/>
      <c r="BI100" s="78"/>
      <c r="BJ100" s="78"/>
      <c r="BK100" s="78"/>
      <c r="BL100" s="78"/>
      <c r="BM100" s="78"/>
      <c r="BN100" s="78"/>
      <c r="BO100" s="78"/>
      <c r="BP100" s="78"/>
      <c r="BQ100" s="78"/>
      <c r="BR100" s="78"/>
      <c r="BS100" s="78"/>
      <c r="BT100" s="78"/>
      <c r="BU100" s="78"/>
      <c r="BV100" s="78"/>
      <c r="BW100" s="78"/>
      <c r="BX100" s="78"/>
      <c r="BY100" s="78"/>
      <c r="BZ100" s="78"/>
      <c r="CA100" s="78"/>
      <c r="CB100" s="78"/>
      <c r="CC100" s="78"/>
      <c r="CD100" s="78"/>
      <c r="CE100" s="78"/>
      <c r="CF100" s="78"/>
      <c r="CG100" s="78"/>
      <c r="CH100" s="78"/>
      <c r="CI100" s="78"/>
      <c r="CJ100" s="78"/>
      <c r="CK100" s="78"/>
      <c r="CL100" s="78"/>
      <c r="CM100" s="78"/>
      <c r="CN100" s="78"/>
      <c r="CO100" s="78"/>
      <c r="CP100" s="78"/>
      <c r="CQ100" s="78"/>
      <c r="CR100" s="78"/>
      <c r="CS100" s="78"/>
      <c r="CT100" s="78"/>
      <c r="CU100" s="78"/>
      <c r="CV100" s="78"/>
      <c r="CW100" s="78"/>
      <c r="CX100" s="78"/>
      <c r="CY100" s="78"/>
      <c r="CZ100" s="78"/>
      <c r="DA100" s="78"/>
      <c r="DB100" s="78"/>
      <c r="DC100" s="78"/>
      <c r="DD100" s="78"/>
      <c r="DE100" s="78"/>
      <c r="DF100" s="78"/>
      <c r="DG100" s="78"/>
      <c r="DH100" s="78"/>
      <c r="DI100" s="78"/>
      <c r="DJ100" s="78"/>
      <c r="DK100" s="78"/>
      <c r="DL100" s="78"/>
      <c r="DM100" s="78"/>
      <c r="DN100" s="78"/>
      <c r="DO100" s="78"/>
      <c r="DP100" s="78"/>
      <c r="DQ100" s="78"/>
      <c r="DR100" s="78"/>
      <c r="DS100" s="78"/>
      <c r="DT100" s="78"/>
      <c r="DU100" s="78"/>
      <c r="DV100" s="78"/>
      <c r="DW100" s="78"/>
      <c r="DX100" s="78"/>
      <c r="DY100" s="78"/>
      <c r="DZ100" s="78"/>
      <c r="EA100" s="78"/>
      <c r="EB100" s="78"/>
      <c r="EC100" s="78"/>
      <c r="ED100" s="78"/>
      <c r="EE100" s="78"/>
      <c r="EF100" s="78"/>
      <c r="EG100" s="78"/>
      <c r="EH100" s="78"/>
      <c r="EI100" s="78"/>
      <c r="EJ100" s="78"/>
      <c r="EK100" s="78"/>
      <c r="EL100" s="78"/>
      <c r="EM100" s="78"/>
      <c r="EN100" s="91"/>
      <c r="EO100" s="91"/>
      <c r="EP100" s="91"/>
      <c r="EQ100" s="91"/>
      <c r="ER100" s="91"/>
      <c r="ES100" s="91"/>
    </row>
    <row r="101" spans="1:149" outlineLevel="1">
      <c r="A101" s="29" t="str">
        <f t="shared" si="20"/>
        <v>RESPONSIBILITY_PROCESS_RELREFERENCE_CODE</v>
      </c>
      <c r="B101" s="67" t="s">
        <v>26</v>
      </c>
      <c r="C101" s="68" t="s">
        <v>54</v>
      </c>
      <c r="D101" s="64" t="s">
        <v>40</v>
      </c>
      <c r="E101" s="66" t="s">
        <v>74</v>
      </c>
      <c r="F101" s="66" t="s">
        <v>78</v>
      </c>
      <c r="G101" s="64" t="str">
        <f>INDEX(Auxiliar!$B$16:$B$24,MATCH(Plano_V3!H101,Auxiliar!$C$16:$C$24,0),1)</f>
        <v>1. Concluído</v>
      </c>
      <c r="H101" s="64">
        <f>VLOOKUP(A101,'Aux - pivots1'!$A:$B,2,0)</f>
        <v>1</v>
      </c>
      <c r="I101" s="180">
        <f>SUMIFS(Table1[Estimação (horas)],Table1[Tabela],Plano_V3!E101,Table1[Campo],Plano_V3!F101)</f>
        <v>8.1</v>
      </c>
      <c r="J101" s="180">
        <f t="shared" si="21"/>
        <v>1.0125</v>
      </c>
      <c r="K101" s="180">
        <f>SUMIFS(Table1[Horas efetivas],Table1[Tabela],Plano_V3!E101,Table1[Campo],Plano_V3!F101)</f>
        <v>8.1</v>
      </c>
      <c r="L101" s="180">
        <f t="shared" si="22"/>
        <v>1.0125</v>
      </c>
      <c r="M101" s="174"/>
      <c r="N101" s="174">
        <f t="shared" si="23"/>
        <v>1</v>
      </c>
      <c r="O101" s="174">
        <f t="shared" si="12"/>
        <v>1</v>
      </c>
      <c r="P101" s="89" t="s">
        <v>39</v>
      </c>
      <c r="Q101" s="90">
        <f t="shared" si="13"/>
        <v>1.0125</v>
      </c>
      <c r="R101" s="78"/>
      <c r="S101" s="78"/>
      <c r="T101" s="78"/>
      <c r="U101" s="78"/>
      <c r="V101" s="78"/>
      <c r="W101" s="78"/>
      <c r="X101" s="78"/>
      <c r="Y101" s="78"/>
      <c r="Z101" s="78"/>
      <c r="AA101" s="78"/>
      <c r="AB101" s="78"/>
      <c r="AC101" s="78"/>
      <c r="AD101" s="78"/>
      <c r="AE101" s="78"/>
      <c r="AF101" s="78"/>
      <c r="AG101" s="78"/>
      <c r="AH101" s="78"/>
      <c r="AI101" s="78"/>
      <c r="AJ101" s="78"/>
      <c r="AK101" s="78"/>
      <c r="AL101" s="78"/>
      <c r="AM101" s="78"/>
      <c r="AN101" s="78"/>
      <c r="AO101" s="78"/>
      <c r="AP101" s="78"/>
      <c r="AQ101" s="78"/>
      <c r="AR101" s="78"/>
      <c r="AS101" s="78"/>
      <c r="AT101" s="78"/>
      <c r="AU101" s="78"/>
      <c r="AV101" s="78"/>
      <c r="AW101" s="78"/>
      <c r="AX101" s="78"/>
      <c r="AY101" s="91"/>
      <c r="AZ101" s="78"/>
      <c r="BA101" s="78"/>
      <c r="BB101" s="78"/>
      <c r="BC101" s="78"/>
      <c r="BD101" s="78"/>
      <c r="BE101" s="78"/>
      <c r="BF101" s="78"/>
      <c r="BG101" s="78"/>
      <c r="BH101" s="78"/>
      <c r="BI101" s="78"/>
      <c r="BJ101" s="78"/>
      <c r="BK101" s="78"/>
      <c r="BL101" s="78"/>
      <c r="BM101" s="78"/>
      <c r="BN101" s="78"/>
      <c r="BO101" s="78"/>
      <c r="BP101" s="78"/>
      <c r="BQ101" s="78"/>
      <c r="BR101" s="78"/>
      <c r="BS101" s="78"/>
      <c r="BT101" s="78"/>
      <c r="BU101" s="78"/>
      <c r="BV101" s="78"/>
      <c r="BW101" s="78"/>
      <c r="BX101" s="78"/>
      <c r="BY101" s="78"/>
      <c r="BZ101" s="78"/>
      <c r="CA101" s="78"/>
      <c r="CB101" s="78"/>
      <c r="CC101" s="78"/>
      <c r="CD101" s="78"/>
      <c r="CE101" s="78"/>
      <c r="CF101" s="78"/>
      <c r="CG101" s="78"/>
      <c r="CH101" s="78"/>
      <c r="CI101" s="78"/>
      <c r="CJ101" s="78"/>
      <c r="CK101" s="78"/>
      <c r="CL101" s="78"/>
      <c r="CM101" s="78"/>
      <c r="CN101" s="78"/>
      <c r="CO101" s="78"/>
      <c r="CP101" s="78"/>
      <c r="CQ101" s="78"/>
      <c r="CR101" s="78"/>
      <c r="CS101" s="78"/>
      <c r="CT101" s="78"/>
      <c r="CU101" s="78"/>
      <c r="CV101" s="78"/>
      <c r="CW101" s="78"/>
      <c r="CX101" s="78"/>
      <c r="CY101" s="78"/>
      <c r="CZ101" s="78"/>
      <c r="DA101" s="78"/>
      <c r="DB101" s="78"/>
      <c r="DC101" s="78"/>
      <c r="DD101" s="78"/>
      <c r="DE101" s="78"/>
      <c r="DF101" s="78"/>
      <c r="DG101" s="78"/>
      <c r="DH101" s="78"/>
      <c r="DI101" s="78"/>
      <c r="DJ101" s="78"/>
      <c r="DK101" s="78"/>
      <c r="DL101" s="78"/>
      <c r="DM101" s="78"/>
      <c r="DN101" s="78"/>
      <c r="DO101" s="78"/>
      <c r="DP101" s="78"/>
      <c r="DQ101" s="78"/>
      <c r="DR101" s="78"/>
      <c r="DS101" s="78"/>
      <c r="DT101" s="78"/>
      <c r="DU101" s="78"/>
      <c r="DV101" s="78"/>
      <c r="DW101" s="78"/>
      <c r="DX101" s="78"/>
      <c r="DY101" s="78"/>
      <c r="DZ101" s="78"/>
      <c r="EA101" s="78"/>
      <c r="EB101" s="78"/>
      <c r="EC101" s="78"/>
      <c r="ED101" s="78"/>
      <c r="EE101" s="78"/>
      <c r="EF101" s="78"/>
      <c r="EG101" s="78"/>
      <c r="EH101" s="78"/>
      <c r="EI101" s="78"/>
      <c r="EJ101" s="78"/>
      <c r="EK101" s="78"/>
      <c r="EL101" s="78"/>
      <c r="EM101" s="78"/>
      <c r="EN101" s="91"/>
      <c r="EO101" s="91"/>
      <c r="EP101" s="91"/>
      <c r="EQ101" s="91"/>
      <c r="ER101" s="91"/>
      <c r="ES101" s="91"/>
    </row>
    <row r="102" spans="1:149" outlineLevel="1">
      <c r="A102" s="29" t="str">
        <f t="shared" si="20"/>
        <v>RESPONSIBILITY_PROCESS_RELPURPOSE_CODE</v>
      </c>
      <c r="B102" s="67" t="s">
        <v>26</v>
      </c>
      <c r="C102" s="68" t="s">
        <v>54</v>
      </c>
      <c r="D102" s="64" t="s">
        <v>40</v>
      </c>
      <c r="E102" s="66" t="s">
        <v>74</v>
      </c>
      <c r="F102" s="66" t="s">
        <v>79</v>
      </c>
      <c r="G102" s="64" t="str">
        <f>INDEX(Auxiliar!$B$16:$B$24,MATCH(Plano_V3!H102,Auxiliar!$C$16:$C$24,0),1)</f>
        <v>1. Concluído</v>
      </c>
      <c r="H102" s="64">
        <f>VLOOKUP(A102,'Aux - pivots1'!$A:$B,2,0)</f>
        <v>1</v>
      </c>
      <c r="I102" s="180">
        <f>SUMIFS(Table1[Estimação (horas)],Table1[Tabela],Plano_V3!E102,Table1[Campo],Plano_V3!F102)</f>
        <v>8.1</v>
      </c>
      <c r="J102" s="180">
        <f t="shared" si="21"/>
        <v>1.0125</v>
      </c>
      <c r="K102" s="180">
        <f>SUMIFS(Table1[Horas efetivas],Table1[Tabela],Plano_V3!E102,Table1[Campo],Plano_V3!F102)</f>
        <v>8.1</v>
      </c>
      <c r="L102" s="180">
        <f t="shared" si="22"/>
        <v>1.0125</v>
      </c>
      <c r="M102" s="174"/>
      <c r="N102" s="174">
        <f t="shared" si="23"/>
        <v>1</v>
      </c>
      <c r="O102" s="174">
        <f t="shared" si="12"/>
        <v>1</v>
      </c>
      <c r="P102" s="89" t="s">
        <v>39</v>
      </c>
      <c r="Q102" s="90">
        <f t="shared" si="13"/>
        <v>1.0125</v>
      </c>
      <c r="R102" s="78"/>
      <c r="S102" s="78"/>
      <c r="T102" s="78"/>
      <c r="U102" s="78"/>
      <c r="V102" s="78"/>
      <c r="W102" s="78"/>
      <c r="X102" s="78"/>
      <c r="Y102" s="78"/>
      <c r="Z102" s="78"/>
      <c r="AA102" s="78"/>
      <c r="AB102" s="78"/>
      <c r="AC102" s="78"/>
      <c r="AD102" s="78"/>
      <c r="AE102" s="78"/>
      <c r="AF102" s="78"/>
      <c r="AG102" s="78"/>
      <c r="AH102" s="78"/>
      <c r="AI102" s="78"/>
      <c r="AJ102" s="78"/>
      <c r="AK102" s="78"/>
      <c r="AL102" s="78"/>
      <c r="AM102" s="78"/>
      <c r="AN102" s="78"/>
      <c r="AO102" s="78"/>
      <c r="AP102" s="78"/>
      <c r="AQ102" s="78"/>
      <c r="AR102" s="78"/>
      <c r="AS102" s="78"/>
      <c r="AT102" s="78"/>
      <c r="AU102" s="78"/>
      <c r="AV102" s="78"/>
      <c r="AW102" s="78"/>
      <c r="AX102" s="78"/>
      <c r="AY102" s="91"/>
      <c r="AZ102" s="78"/>
      <c r="BA102" s="78"/>
      <c r="BB102" s="78"/>
      <c r="BC102" s="78"/>
      <c r="BD102" s="78"/>
      <c r="BE102" s="78"/>
      <c r="BF102" s="78"/>
      <c r="BG102" s="78"/>
      <c r="BH102" s="78"/>
      <c r="BI102" s="78"/>
      <c r="BJ102" s="78"/>
      <c r="BK102" s="78"/>
      <c r="BL102" s="78"/>
      <c r="BM102" s="78"/>
      <c r="BN102" s="78"/>
      <c r="BO102" s="78"/>
      <c r="BP102" s="78"/>
      <c r="BQ102" s="78"/>
      <c r="BR102" s="78"/>
      <c r="BS102" s="78"/>
      <c r="BT102" s="78"/>
      <c r="BU102" s="78"/>
      <c r="BV102" s="78"/>
      <c r="BW102" s="78"/>
      <c r="BX102" s="78"/>
      <c r="BY102" s="78"/>
      <c r="BZ102" s="78"/>
      <c r="CA102" s="78"/>
      <c r="CB102" s="78"/>
      <c r="CC102" s="78"/>
      <c r="CD102" s="78"/>
      <c r="CE102" s="78"/>
      <c r="CF102" s="78"/>
      <c r="CG102" s="78"/>
      <c r="CH102" s="78"/>
      <c r="CI102" s="78"/>
      <c r="CJ102" s="78"/>
      <c r="CK102" s="78"/>
      <c r="CL102" s="78"/>
      <c r="CM102" s="78"/>
      <c r="CN102" s="78"/>
      <c r="CO102" s="78"/>
      <c r="CP102" s="78"/>
      <c r="CQ102" s="78"/>
      <c r="CR102" s="78"/>
      <c r="CS102" s="78"/>
      <c r="CT102" s="78"/>
      <c r="CU102" s="78"/>
      <c r="CV102" s="78"/>
      <c r="CW102" s="78"/>
      <c r="CX102" s="78"/>
      <c r="CY102" s="78"/>
      <c r="CZ102" s="78"/>
      <c r="DA102" s="78"/>
      <c r="DB102" s="78"/>
      <c r="DC102" s="78"/>
      <c r="DD102" s="78"/>
      <c r="DE102" s="78"/>
      <c r="DF102" s="78"/>
      <c r="DG102" s="78"/>
      <c r="DH102" s="78"/>
      <c r="DI102" s="78"/>
      <c r="DJ102" s="78"/>
      <c r="DK102" s="78"/>
      <c r="DL102" s="78"/>
      <c r="DM102" s="78"/>
      <c r="DN102" s="78"/>
      <c r="DO102" s="78"/>
      <c r="DP102" s="78"/>
      <c r="DQ102" s="78"/>
      <c r="DR102" s="78"/>
      <c r="DS102" s="78"/>
      <c r="DT102" s="78"/>
      <c r="DU102" s="78"/>
      <c r="DV102" s="78"/>
      <c r="DW102" s="78"/>
      <c r="DX102" s="78"/>
      <c r="DY102" s="78"/>
      <c r="DZ102" s="78"/>
      <c r="EA102" s="78"/>
      <c r="EB102" s="78"/>
      <c r="EC102" s="78"/>
      <c r="ED102" s="78"/>
      <c r="EE102" s="78"/>
      <c r="EF102" s="78"/>
      <c r="EG102" s="78"/>
      <c r="EH102" s="78"/>
      <c r="EI102" s="78"/>
      <c r="EJ102" s="78"/>
      <c r="EK102" s="78"/>
      <c r="EL102" s="78"/>
      <c r="EM102" s="78"/>
      <c r="EN102" s="91"/>
      <c r="EO102" s="91"/>
      <c r="EP102" s="91"/>
      <c r="EQ102" s="91"/>
      <c r="ER102" s="91"/>
      <c r="ES102" s="91"/>
    </row>
    <row r="103" spans="1:149" outlineLevel="1">
      <c r="A103" s="29" t="str">
        <f t="shared" si="20"/>
        <v>RESPONSIBILITY_PROCESS_RELINDIVIDUAL_OCCUPATION_CODE</v>
      </c>
      <c r="B103" s="67" t="s">
        <v>26</v>
      </c>
      <c r="C103" s="68" t="s">
        <v>54</v>
      </c>
      <c r="D103" s="64" t="s">
        <v>40</v>
      </c>
      <c r="E103" s="66" t="s">
        <v>74</v>
      </c>
      <c r="F103" s="66" t="s">
        <v>80</v>
      </c>
      <c r="G103" s="64" t="str">
        <f>INDEX(Auxiliar!$B$16:$B$24,MATCH(Plano_V3!H103,Auxiliar!$C$16:$C$24,0),1)</f>
        <v>1. Concluído</v>
      </c>
      <c r="H103" s="64">
        <f>VLOOKUP(A103,'Aux - pivots1'!$A:$B,2,0)</f>
        <v>1</v>
      </c>
      <c r="I103" s="180">
        <f>SUMIFS(Table1[Estimação (horas)],Table1[Tabela],Plano_V3!E103,Table1[Campo],Plano_V3!F103)</f>
        <v>8.1</v>
      </c>
      <c r="J103" s="180">
        <f t="shared" si="21"/>
        <v>1.0125</v>
      </c>
      <c r="K103" s="180">
        <f>SUMIFS(Table1[Horas efetivas],Table1[Tabela],Plano_V3!E103,Table1[Campo],Plano_V3!F103)</f>
        <v>8.1</v>
      </c>
      <c r="L103" s="180">
        <f t="shared" si="22"/>
        <v>1.0125</v>
      </c>
      <c r="M103" s="174"/>
      <c r="N103" s="174">
        <f t="shared" si="23"/>
        <v>1</v>
      </c>
      <c r="O103" s="174">
        <f t="shared" si="12"/>
        <v>1</v>
      </c>
      <c r="P103" s="89" t="s">
        <v>39</v>
      </c>
      <c r="Q103" s="90">
        <f t="shared" si="13"/>
        <v>1.0125</v>
      </c>
      <c r="R103" s="78"/>
      <c r="S103" s="78"/>
      <c r="T103" s="78"/>
      <c r="U103" s="78"/>
      <c r="V103" s="78"/>
      <c r="W103" s="78"/>
      <c r="X103" s="78"/>
      <c r="Y103" s="78"/>
      <c r="Z103" s="78"/>
      <c r="AA103" s="78"/>
      <c r="AB103" s="78"/>
      <c r="AC103" s="78"/>
      <c r="AD103" s="78"/>
      <c r="AE103" s="78"/>
      <c r="AF103" s="78"/>
      <c r="AG103" s="78"/>
      <c r="AH103" s="78"/>
      <c r="AI103" s="78"/>
      <c r="AJ103" s="78"/>
      <c r="AK103" s="78"/>
      <c r="AL103" s="78"/>
      <c r="AM103" s="78"/>
      <c r="AN103" s="78"/>
      <c r="AO103" s="78"/>
      <c r="AP103" s="78"/>
      <c r="AQ103" s="78"/>
      <c r="AR103" s="78"/>
      <c r="AS103" s="78"/>
      <c r="AT103" s="78"/>
      <c r="AU103" s="78"/>
      <c r="AV103" s="78"/>
      <c r="AW103" s="78"/>
      <c r="AX103" s="78"/>
      <c r="AY103" s="91"/>
      <c r="AZ103" s="78"/>
      <c r="BA103" s="78"/>
      <c r="BB103" s="78"/>
      <c r="BC103" s="78"/>
      <c r="BD103" s="78"/>
      <c r="BE103" s="78"/>
      <c r="BF103" s="78"/>
      <c r="BG103" s="78"/>
      <c r="BH103" s="78"/>
      <c r="BI103" s="78"/>
      <c r="BJ103" s="78"/>
      <c r="BK103" s="78"/>
      <c r="BL103" s="78"/>
      <c r="BM103" s="78"/>
      <c r="BN103" s="78"/>
      <c r="BO103" s="78"/>
      <c r="BP103" s="78"/>
      <c r="BQ103" s="78"/>
      <c r="BR103" s="78"/>
      <c r="BS103" s="78"/>
      <c r="BT103" s="78"/>
      <c r="BU103" s="78"/>
      <c r="BV103" s="78"/>
      <c r="BW103" s="78"/>
      <c r="BX103" s="78"/>
      <c r="BY103" s="78"/>
      <c r="BZ103" s="78"/>
      <c r="CA103" s="78"/>
      <c r="CB103" s="78"/>
      <c r="CC103" s="78"/>
      <c r="CD103" s="78"/>
      <c r="CE103" s="78"/>
      <c r="CF103" s="78"/>
      <c r="CG103" s="78"/>
      <c r="CH103" s="78"/>
      <c r="CI103" s="78"/>
      <c r="CJ103" s="78"/>
      <c r="CK103" s="78"/>
      <c r="CL103" s="78"/>
      <c r="CM103" s="78"/>
      <c r="CN103" s="78"/>
      <c r="CO103" s="78"/>
      <c r="CP103" s="78"/>
      <c r="CQ103" s="78"/>
      <c r="CR103" s="78"/>
      <c r="CS103" s="78"/>
      <c r="CT103" s="78"/>
      <c r="CU103" s="78"/>
      <c r="CV103" s="78"/>
      <c r="CW103" s="78"/>
      <c r="CX103" s="78"/>
      <c r="CY103" s="78"/>
      <c r="CZ103" s="78"/>
      <c r="DA103" s="78"/>
      <c r="DB103" s="78"/>
      <c r="DC103" s="78"/>
      <c r="DD103" s="78"/>
      <c r="DE103" s="78"/>
      <c r="DF103" s="78"/>
      <c r="DG103" s="78"/>
      <c r="DH103" s="78"/>
      <c r="DI103" s="78"/>
      <c r="DJ103" s="78"/>
      <c r="DK103" s="78"/>
      <c r="DL103" s="78"/>
      <c r="DM103" s="78"/>
      <c r="DN103" s="78"/>
      <c r="DO103" s="78"/>
      <c r="DP103" s="78"/>
      <c r="DQ103" s="78"/>
      <c r="DR103" s="78"/>
      <c r="DS103" s="78"/>
      <c r="DT103" s="78"/>
      <c r="DU103" s="78"/>
      <c r="DV103" s="78"/>
      <c r="DW103" s="78"/>
      <c r="DX103" s="78"/>
      <c r="DY103" s="78"/>
      <c r="DZ103" s="78"/>
      <c r="EA103" s="78"/>
      <c r="EB103" s="78"/>
      <c r="EC103" s="78"/>
      <c r="ED103" s="78"/>
      <c r="EE103" s="78"/>
      <c r="EF103" s="78"/>
      <c r="EG103" s="78"/>
      <c r="EH103" s="78"/>
      <c r="EI103" s="78"/>
      <c r="EJ103" s="78"/>
      <c r="EK103" s="78"/>
      <c r="EL103" s="78"/>
      <c r="EM103" s="78"/>
      <c r="EN103" s="91"/>
      <c r="EO103" s="91"/>
      <c r="EP103" s="91"/>
      <c r="EQ103" s="91"/>
      <c r="ER103" s="91"/>
      <c r="ES103" s="91"/>
    </row>
    <row r="104" spans="1:149" outlineLevel="1">
      <c r="A104" s="29" t="str">
        <f t="shared" si="20"/>
        <v>RESPONSIBILITY_PROCESS_RELPRODUCT_ID</v>
      </c>
      <c r="B104" s="67" t="s">
        <v>26</v>
      </c>
      <c r="C104" s="68" t="s">
        <v>54</v>
      </c>
      <c r="D104" s="64" t="s">
        <v>40</v>
      </c>
      <c r="E104" s="66" t="s">
        <v>74</v>
      </c>
      <c r="F104" s="66" t="s">
        <v>81</v>
      </c>
      <c r="G104" s="64" t="str">
        <f>INDEX(Auxiliar!$B$16:$B$24,MATCH(Plano_V3!H104,Auxiliar!$C$16:$C$24,0),1)</f>
        <v>1. Concluído</v>
      </c>
      <c r="H104" s="64">
        <f>VLOOKUP(A104,'Aux - pivots1'!$A:$B,2,0)</f>
        <v>1</v>
      </c>
      <c r="I104" s="180">
        <f>SUMIFS(Table1[Estimação (horas)],Table1[Tabela],Plano_V3!E104,Table1[Campo],Plano_V3!F104)</f>
        <v>8.1</v>
      </c>
      <c r="J104" s="180">
        <f t="shared" si="21"/>
        <v>1.0125</v>
      </c>
      <c r="K104" s="180">
        <f>SUMIFS(Table1[Horas efetivas],Table1[Tabela],Plano_V3!E104,Table1[Campo],Plano_V3!F104)</f>
        <v>8.1</v>
      </c>
      <c r="L104" s="180">
        <f t="shared" si="22"/>
        <v>1.0125</v>
      </c>
      <c r="M104" s="174"/>
      <c r="N104" s="174">
        <f t="shared" si="23"/>
        <v>1</v>
      </c>
      <c r="O104" s="174">
        <f t="shared" si="12"/>
        <v>1</v>
      </c>
      <c r="P104" s="89" t="s">
        <v>39</v>
      </c>
      <c r="Q104" s="90">
        <f t="shared" si="13"/>
        <v>1.0125</v>
      </c>
      <c r="R104" s="78"/>
      <c r="S104" s="78"/>
      <c r="T104" s="78"/>
      <c r="U104" s="78"/>
      <c r="V104" s="78"/>
      <c r="W104" s="78"/>
      <c r="X104" s="78"/>
      <c r="Y104" s="78"/>
      <c r="Z104" s="78"/>
      <c r="AA104" s="78"/>
      <c r="AB104" s="78"/>
      <c r="AC104" s="78"/>
      <c r="AD104" s="78"/>
      <c r="AE104" s="78"/>
      <c r="AF104" s="78"/>
      <c r="AG104" s="78"/>
      <c r="AH104" s="78"/>
      <c r="AI104" s="78"/>
      <c r="AJ104" s="78"/>
      <c r="AK104" s="78"/>
      <c r="AL104" s="78"/>
      <c r="AM104" s="78"/>
      <c r="AN104" s="78"/>
      <c r="AO104" s="78"/>
      <c r="AP104" s="78"/>
      <c r="AQ104" s="78"/>
      <c r="AR104" s="78"/>
      <c r="AS104" s="78"/>
      <c r="AT104" s="78"/>
      <c r="AU104" s="78"/>
      <c r="AV104" s="78"/>
      <c r="AW104" s="78"/>
      <c r="AX104" s="78"/>
      <c r="AY104" s="91"/>
      <c r="AZ104" s="78"/>
      <c r="BA104" s="78"/>
      <c r="BB104" s="78"/>
      <c r="BC104" s="78"/>
      <c r="BD104" s="78"/>
      <c r="BE104" s="78"/>
      <c r="BF104" s="78"/>
      <c r="BG104" s="78"/>
      <c r="BH104" s="78"/>
      <c r="BI104" s="78"/>
      <c r="BJ104" s="78"/>
      <c r="BK104" s="78"/>
      <c r="BL104" s="78"/>
      <c r="BM104" s="78"/>
      <c r="BN104" s="78"/>
      <c r="BO104" s="78"/>
      <c r="BP104" s="78"/>
      <c r="BQ104" s="78"/>
      <c r="BR104" s="78"/>
      <c r="BS104" s="78"/>
      <c r="BT104" s="78"/>
      <c r="BU104" s="78"/>
      <c r="BV104" s="78"/>
      <c r="BW104" s="78"/>
      <c r="BX104" s="78"/>
      <c r="BY104" s="78"/>
      <c r="BZ104" s="78"/>
      <c r="CA104" s="78"/>
      <c r="CB104" s="78"/>
      <c r="CC104" s="78"/>
      <c r="CD104" s="78"/>
      <c r="CE104" s="78"/>
      <c r="CF104" s="78"/>
      <c r="CG104" s="78"/>
      <c r="CH104" s="78"/>
      <c r="CI104" s="78"/>
      <c r="CJ104" s="78"/>
      <c r="CK104" s="78"/>
      <c r="CL104" s="78"/>
      <c r="CM104" s="78"/>
      <c r="CN104" s="78"/>
      <c r="CO104" s="78"/>
      <c r="CP104" s="78"/>
      <c r="CQ104" s="78"/>
      <c r="CR104" s="78"/>
      <c r="CS104" s="78"/>
      <c r="CT104" s="78"/>
      <c r="CU104" s="78"/>
      <c r="CV104" s="78"/>
      <c r="CW104" s="78"/>
      <c r="CX104" s="78"/>
      <c r="CY104" s="78"/>
      <c r="CZ104" s="78"/>
      <c r="DA104" s="78"/>
      <c r="DB104" s="78"/>
      <c r="DC104" s="78"/>
      <c r="DD104" s="78"/>
      <c r="DE104" s="78"/>
      <c r="DF104" s="78"/>
      <c r="DG104" s="78"/>
      <c r="DH104" s="78"/>
      <c r="DI104" s="78"/>
      <c r="DJ104" s="78"/>
      <c r="DK104" s="78"/>
      <c r="DL104" s="78"/>
      <c r="DM104" s="78"/>
      <c r="DN104" s="78"/>
      <c r="DO104" s="78"/>
      <c r="DP104" s="78"/>
      <c r="DQ104" s="78"/>
      <c r="DR104" s="78"/>
      <c r="DS104" s="78"/>
      <c r="DT104" s="78"/>
      <c r="DU104" s="78"/>
      <c r="DV104" s="78"/>
      <c r="DW104" s="78"/>
      <c r="DX104" s="78"/>
      <c r="DY104" s="78"/>
      <c r="DZ104" s="78"/>
      <c r="EA104" s="78"/>
      <c r="EB104" s="78"/>
      <c r="EC104" s="78"/>
      <c r="ED104" s="78"/>
      <c r="EE104" s="78"/>
      <c r="EF104" s="78"/>
      <c r="EG104" s="78"/>
      <c r="EH104" s="78"/>
      <c r="EI104" s="78"/>
      <c r="EJ104" s="78"/>
      <c r="EK104" s="78"/>
      <c r="EL104" s="78"/>
      <c r="EM104" s="78"/>
      <c r="EN104" s="91"/>
      <c r="EO104" s="91"/>
      <c r="EP104" s="91"/>
      <c r="EQ104" s="91"/>
      <c r="ER104" s="91"/>
      <c r="ES104" s="91"/>
    </row>
    <row r="105" spans="1:149" outlineLevel="1">
      <c r="A105" s="29" t="str">
        <f t="shared" si="20"/>
        <v>RESPONSIBILITY_PROCESS_RELcod_sit</v>
      </c>
      <c r="B105" s="67" t="s">
        <v>26</v>
      </c>
      <c r="C105" s="68" t="s">
        <v>54</v>
      </c>
      <c r="D105" s="64" t="s">
        <v>40</v>
      </c>
      <c r="E105" s="66" t="s">
        <v>74</v>
      </c>
      <c r="F105" s="66" t="s">
        <v>82</v>
      </c>
      <c r="G105" s="64" t="str">
        <f>INDEX(Auxiliar!$B$16:$B$24,MATCH(Plano_V3!H105,Auxiliar!$C$16:$C$24,0),1)</f>
        <v>0. Cancelado</v>
      </c>
      <c r="H105" s="64">
        <f>VLOOKUP(A105,'Aux - pivots1'!$A:$B,2,0)</f>
        <v>0</v>
      </c>
      <c r="I105" s="181">
        <v>0</v>
      </c>
      <c r="J105" s="180">
        <f t="shared" si="21"/>
        <v>0</v>
      </c>
      <c r="K105" s="180">
        <f>SUMIFS(Table1[Horas efetivas],Table1[Tabela],Plano_V3!E105,Table1[Campo],Plano_V3!F105)</f>
        <v>0</v>
      </c>
      <c r="L105" s="180">
        <f t="shared" si="22"/>
        <v>0</v>
      </c>
      <c r="M105" s="174"/>
      <c r="N105" s="174" t="e">
        <f t="shared" si="23"/>
        <v>#DIV/0!</v>
      </c>
      <c r="O105" s="174" t="e">
        <f t="shared" si="12"/>
        <v>#DIV/0!</v>
      </c>
      <c r="P105" s="89" t="s">
        <v>39</v>
      </c>
      <c r="Q105" s="90">
        <f t="shared" si="13"/>
        <v>0</v>
      </c>
      <c r="R105" s="78"/>
      <c r="S105" s="78"/>
      <c r="T105" s="78"/>
      <c r="U105" s="78"/>
      <c r="V105" s="78"/>
      <c r="W105" s="78"/>
      <c r="X105" s="78"/>
      <c r="Y105" s="78"/>
      <c r="Z105" s="78"/>
      <c r="AA105" s="78"/>
      <c r="AB105" s="78"/>
      <c r="AC105" s="78"/>
      <c r="AD105" s="78"/>
      <c r="AE105" s="78"/>
      <c r="AF105" s="78"/>
      <c r="AG105" s="78"/>
      <c r="AH105" s="78"/>
      <c r="AI105" s="78"/>
      <c r="AJ105" s="78"/>
      <c r="AK105" s="78"/>
      <c r="AL105" s="78"/>
      <c r="AM105" s="78"/>
      <c r="AN105" s="78"/>
      <c r="AO105" s="78"/>
      <c r="AP105" s="78"/>
      <c r="AQ105" s="78"/>
      <c r="AR105" s="78"/>
      <c r="AS105" s="78"/>
      <c r="AT105" s="78"/>
      <c r="AU105" s="78"/>
      <c r="AV105" s="78"/>
      <c r="AW105" s="78"/>
      <c r="AX105" s="78"/>
      <c r="AY105" s="91"/>
      <c r="AZ105" s="78"/>
      <c r="BA105" s="78"/>
      <c r="BB105" s="78"/>
      <c r="BC105" s="78"/>
      <c r="BD105" s="78"/>
      <c r="BE105" s="78"/>
      <c r="BF105" s="78"/>
      <c r="BG105" s="78"/>
      <c r="BH105" s="78"/>
      <c r="BI105" s="78"/>
      <c r="BJ105" s="78"/>
      <c r="BK105" s="78"/>
      <c r="BL105" s="78"/>
      <c r="BM105" s="78"/>
      <c r="BN105" s="78"/>
      <c r="BO105" s="78"/>
      <c r="BP105" s="78"/>
      <c r="BQ105" s="78"/>
      <c r="BR105" s="78"/>
      <c r="BS105" s="78"/>
      <c r="BT105" s="78"/>
      <c r="BU105" s="78"/>
      <c r="BV105" s="78"/>
      <c r="BW105" s="78"/>
      <c r="BX105" s="78"/>
      <c r="BY105" s="78"/>
      <c r="BZ105" s="78"/>
      <c r="CA105" s="78"/>
      <c r="CB105" s="78"/>
      <c r="CC105" s="78"/>
      <c r="CD105" s="78"/>
      <c r="CE105" s="78"/>
      <c r="CF105" s="78"/>
      <c r="CG105" s="78"/>
      <c r="CH105" s="78"/>
      <c r="CI105" s="78"/>
      <c r="CJ105" s="78"/>
      <c r="CK105" s="78"/>
      <c r="CL105" s="78"/>
      <c r="CM105" s="78"/>
      <c r="CN105" s="78"/>
      <c r="CO105" s="78"/>
      <c r="CP105" s="78"/>
      <c r="CQ105" s="78"/>
      <c r="CR105" s="78"/>
      <c r="CS105" s="78"/>
      <c r="CT105" s="78"/>
      <c r="CU105" s="78"/>
      <c r="CV105" s="78"/>
      <c r="CW105" s="78"/>
      <c r="CX105" s="78"/>
      <c r="CY105" s="78"/>
      <c r="CZ105" s="78"/>
      <c r="DA105" s="78"/>
      <c r="DB105" s="78"/>
      <c r="DC105" s="78"/>
      <c r="DD105" s="78"/>
      <c r="DE105" s="78"/>
      <c r="DF105" s="78"/>
      <c r="DG105" s="78"/>
      <c r="DH105" s="78"/>
      <c r="DI105" s="78"/>
      <c r="DJ105" s="78"/>
      <c r="DK105" s="78"/>
      <c r="DL105" s="78"/>
      <c r="DM105" s="78"/>
      <c r="DN105" s="78"/>
      <c r="DO105" s="78"/>
      <c r="DP105" s="78"/>
      <c r="DQ105" s="78"/>
      <c r="DR105" s="78"/>
      <c r="DS105" s="78"/>
      <c r="DT105" s="78"/>
      <c r="DU105" s="78"/>
      <c r="DV105" s="78"/>
      <c r="DW105" s="78"/>
      <c r="DX105" s="78"/>
      <c r="DY105" s="78"/>
      <c r="DZ105" s="78"/>
      <c r="EA105" s="78"/>
      <c r="EB105" s="78"/>
      <c r="EC105" s="78"/>
      <c r="ED105" s="78"/>
      <c r="EE105" s="78"/>
      <c r="EF105" s="78"/>
      <c r="EG105" s="78"/>
      <c r="EH105" s="78"/>
      <c r="EI105" s="78"/>
      <c r="EJ105" s="78"/>
      <c r="EK105" s="78"/>
      <c r="EL105" s="78"/>
      <c r="EM105" s="78"/>
      <c r="EN105" s="91"/>
      <c r="EO105" s="91"/>
      <c r="EP105" s="91"/>
      <c r="EQ105" s="91"/>
      <c r="ER105" s="91"/>
      <c r="ES105" s="91"/>
    </row>
    <row r="106" spans="1:149" outlineLevel="1">
      <c r="A106" s="29" t="str">
        <f t="shared" si="20"/>
        <v>RESPONSIBILITY_PROCESS_RELSUBPRODUCT_ID</v>
      </c>
      <c r="B106" s="67" t="s">
        <v>26</v>
      </c>
      <c r="C106" s="68" t="s">
        <v>54</v>
      </c>
      <c r="D106" s="64" t="s">
        <v>40</v>
      </c>
      <c r="E106" s="66" t="s">
        <v>74</v>
      </c>
      <c r="F106" s="66" t="s">
        <v>83</v>
      </c>
      <c r="G106" s="64" t="str">
        <f>INDEX(Auxiliar!$B$16:$B$24,MATCH(Plano_V3!H106,Auxiliar!$C$16:$C$24,0),1)</f>
        <v>1. Concluído</v>
      </c>
      <c r="H106" s="64">
        <f>VLOOKUP(A106,'Aux - pivots1'!$A:$B,2,0)</f>
        <v>1</v>
      </c>
      <c r="I106" s="180">
        <f>SUMIFS(Table1[Estimação (horas)],Table1[Tabela],Plano_V3!E106,Table1[Campo],Plano_V3!F106)</f>
        <v>8.1</v>
      </c>
      <c r="J106" s="180">
        <f t="shared" si="21"/>
        <v>1.0125</v>
      </c>
      <c r="K106" s="180">
        <f>SUMIFS(Table1[Horas efetivas],Table1[Tabela],Plano_V3!E106,Table1[Campo],Plano_V3!F106)</f>
        <v>8.1</v>
      </c>
      <c r="L106" s="180">
        <f t="shared" si="22"/>
        <v>1.0125</v>
      </c>
      <c r="M106" s="174"/>
      <c r="N106" s="174">
        <f t="shared" si="23"/>
        <v>1</v>
      </c>
      <c r="O106" s="174">
        <f t="shared" si="12"/>
        <v>1</v>
      </c>
      <c r="P106" s="89" t="s">
        <v>39</v>
      </c>
      <c r="Q106" s="90">
        <f t="shared" si="13"/>
        <v>1.0125</v>
      </c>
      <c r="R106" s="78"/>
      <c r="S106" s="78"/>
      <c r="T106" s="78"/>
      <c r="U106" s="78"/>
      <c r="V106" s="78"/>
      <c r="W106" s="78"/>
      <c r="X106" s="78"/>
      <c r="Y106" s="78"/>
      <c r="Z106" s="78"/>
      <c r="AA106" s="78"/>
      <c r="AB106" s="78"/>
      <c r="AC106" s="78"/>
      <c r="AD106" s="78"/>
      <c r="AE106" s="78"/>
      <c r="AF106" s="78"/>
      <c r="AG106" s="78"/>
      <c r="AH106" s="78"/>
      <c r="AI106" s="78"/>
      <c r="AJ106" s="78"/>
      <c r="AK106" s="78"/>
      <c r="AL106" s="78"/>
      <c r="AM106" s="78"/>
      <c r="AN106" s="78"/>
      <c r="AO106" s="78"/>
      <c r="AP106" s="78"/>
      <c r="AQ106" s="78"/>
      <c r="AR106" s="78"/>
      <c r="AS106" s="78"/>
      <c r="AT106" s="78"/>
      <c r="AU106" s="78"/>
      <c r="AV106" s="78"/>
      <c r="AW106" s="78"/>
      <c r="AX106" s="78"/>
      <c r="AY106" s="91"/>
      <c r="AZ106" s="78"/>
      <c r="BA106" s="78"/>
      <c r="BB106" s="78"/>
      <c r="BC106" s="78"/>
      <c r="BD106" s="78"/>
      <c r="BE106" s="78"/>
      <c r="BF106" s="78"/>
      <c r="BG106" s="78"/>
      <c r="BH106" s="78"/>
      <c r="BI106" s="78"/>
      <c r="BJ106" s="78"/>
      <c r="BK106" s="78"/>
      <c r="BL106" s="78"/>
      <c r="BM106" s="78"/>
      <c r="BN106" s="78"/>
      <c r="BO106" s="78"/>
      <c r="BP106" s="78"/>
      <c r="BQ106" s="78"/>
      <c r="BR106" s="78"/>
      <c r="BS106" s="78"/>
      <c r="BT106" s="78"/>
      <c r="BU106" s="78"/>
      <c r="BV106" s="78"/>
      <c r="BW106" s="78"/>
      <c r="BX106" s="78"/>
      <c r="BY106" s="78"/>
      <c r="BZ106" s="78"/>
      <c r="CA106" s="78"/>
      <c r="CB106" s="78"/>
      <c r="CC106" s="78"/>
      <c r="CD106" s="78"/>
      <c r="CE106" s="78"/>
      <c r="CF106" s="78"/>
      <c r="CG106" s="78"/>
      <c r="CH106" s="78"/>
      <c r="CI106" s="78"/>
      <c r="CJ106" s="78"/>
      <c r="CK106" s="78"/>
      <c r="CL106" s="78"/>
      <c r="CM106" s="78"/>
      <c r="CN106" s="78"/>
      <c r="CO106" s="78"/>
      <c r="CP106" s="78"/>
      <c r="CQ106" s="78"/>
      <c r="CR106" s="78"/>
      <c r="CS106" s="78"/>
      <c r="CT106" s="78"/>
      <c r="CU106" s="78"/>
      <c r="CV106" s="78"/>
      <c r="CW106" s="78"/>
      <c r="CX106" s="78"/>
      <c r="CY106" s="78"/>
      <c r="CZ106" s="78"/>
      <c r="DA106" s="78"/>
      <c r="DB106" s="78"/>
      <c r="DC106" s="78"/>
      <c r="DD106" s="78"/>
      <c r="DE106" s="78"/>
      <c r="DF106" s="78"/>
      <c r="DG106" s="78"/>
      <c r="DH106" s="78"/>
      <c r="DI106" s="78"/>
      <c r="DJ106" s="78"/>
      <c r="DK106" s="78"/>
      <c r="DL106" s="78"/>
      <c r="DM106" s="78"/>
      <c r="DN106" s="78"/>
      <c r="DO106" s="78"/>
      <c r="DP106" s="78"/>
      <c r="DQ106" s="78"/>
      <c r="DR106" s="78"/>
      <c r="DS106" s="78"/>
      <c r="DT106" s="78"/>
      <c r="DU106" s="78"/>
      <c r="DV106" s="78"/>
      <c r="DW106" s="78"/>
      <c r="DX106" s="78"/>
      <c r="DY106" s="78"/>
      <c r="DZ106" s="78"/>
      <c r="EA106" s="78"/>
      <c r="EB106" s="78"/>
      <c r="EC106" s="78"/>
      <c r="ED106" s="78"/>
      <c r="EE106" s="78"/>
      <c r="EF106" s="78"/>
      <c r="EG106" s="78"/>
      <c r="EH106" s="78"/>
      <c r="EI106" s="78"/>
      <c r="EJ106" s="78"/>
      <c r="EK106" s="78"/>
      <c r="EL106" s="78"/>
      <c r="EM106" s="78"/>
      <c r="EN106" s="91"/>
      <c r="EO106" s="91"/>
      <c r="EP106" s="91"/>
      <c r="EQ106" s="91"/>
      <c r="ER106" s="91"/>
      <c r="ES106" s="91"/>
    </row>
    <row r="107" spans="1:149" outlineLevel="1">
      <c r="A107" s="29" t="str">
        <f t="shared" si="20"/>
        <v>RESPONSIBILITY_PROCESS_RELPROCESS_REFERENCE_CODE</v>
      </c>
      <c r="B107" s="67" t="s">
        <v>26</v>
      </c>
      <c r="C107" s="68" t="s">
        <v>54</v>
      </c>
      <c r="D107" s="64" t="s">
        <v>40</v>
      </c>
      <c r="E107" s="66" t="s">
        <v>74</v>
      </c>
      <c r="F107" s="66" t="s">
        <v>67</v>
      </c>
      <c r="G107" s="64" t="str">
        <f>INDEX(Auxiliar!$B$16:$B$24,MATCH(Plano_V3!H107,Auxiliar!$C$16:$C$24,0),1)</f>
        <v>1. Concluído</v>
      </c>
      <c r="H107" s="64">
        <f>VLOOKUP(A107,'Aux - pivots1'!$A:$B,2,0)</f>
        <v>1</v>
      </c>
      <c r="I107" s="180">
        <f>SUMIFS(Table1[Estimação (horas)],Table1[Tabela],Plano_V3!E107,Table1[Campo],Plano_V3!F107)</f>
        <v>8.1</v>
      </c>
      <c r="J107" s="180">
        <f t="shared" si="21"/>
        <v>1.0125</v>
      </c>
      <c r="K107" s="180">
        <f>SUMIFS(Table1[Horas efetivas],Table1[Tabela],Plano_V3!E107,Table1[Campo],Plano_V3!F107)</f>
        <v>8.1</v>
      </c>
      <c r="L107" s="180">
        <f t="shared" si="22"/>
        <v>1.0125</v>
      </c>
      <c r="M107" s="174"/>
      <c r="N107" s="174">
        <f t="shared" si="23"/>
        <v>1</v>
      </c>
      <c r="O107" s="174">
        <f t="shared" si="12"/>
        <v>1</v>
      </c>
      <c r="P107" s="89" t="s">
        <v>39</v>
      </c>
      <c r="Q107" s="90">
        <f t="shared" si="13"/>
        <v>1.0125</v>
      </c>
      <c r="R107" s="78"/>
      <c r="S107" s="78"/>
      <c r="T107" s="78"/>
      <c r="U107" s="78"/>
      <c r="V107" s="78"/>
      <c r="W107" s="78"/>
      <c r="X107" s="78"/>
      <c r="Y107" s="78"/>
      <c r="Z107" s="78"/>
      <c r="AA107" s="78"/>
      <c r="AB107" s="78"/>
      <c r="AC107" s="78"/>
      <c r="AD107" s="78"/>
      <c r="AE107" s="78"/>
      <c r="AF107" s="78"/>
      <c r="AG107" s="78"/>
      <c r="AH107" s="78"/>
      <c r="AI107" s="78"/>
      <c r="AJ107" s="78"/>
      <c r="AK107" s="78"/>
      <c r="AL107" s="78"/>
      <c r="AM107" s="78"/>
      <c r="AN107" s="78"/>
      <c r="AO107" s="78"/>
      <c r="AP107" s="78"/>
      <c r="AQ107" s="78"/>
      <c r="AR107" s="78"/>
      <c r="AS107" s="78"/>
      <c r="AT107" s="78"/>
      <c r="AU107" s="78"/>
      <c r="AV107" s="78"/>
      <c r="AW107" s="78"/>
      <c r="AX107" s="78"/>
      <c r="AY107" s="91"/>
      <c r="AZ107" s="78"/>
      <c r="BA107" s="78"/>
      <c r="BB107" s="78"/>
      <c r="BC107" s="78"/>
      <c r="BD107" s="78"/>
      <c r="BE107" s="78"/>
      <c r="BF107" s="78"/>
      <c r="BG107" s="78"/>
      <c r="BH107" s="78"/>
      <c r="BI107" s="78"/>
      <c r="BJ107" s="78"/>
      <c r="BK107" s="78"/>
      <c r="BL107" s="78"/>
      <c r="BM107" s="78"/>
      <c r="BN107" s="78"/>
      <c r="BO107" s="78"/>
      <c r="BP107" s="78"/>
      <c r="BQ107" s="78"/>
      <c r="BR107" s="78"/>
      <c r="BS107" s="78"/>
      <c r="BT107" s="78"/>
      <c r="BU107" s="78"/>
      <c r="BV107" s="78"/>
      <c r="BW107" s="78"/>
      <c r="BX107" s="78"/>
      <c r="BY107" s="78"/>
      <c r="BZ107" s="78"/>
      <c r="CA107" s="78"/>
      <c r="CB107" s="78"/>
      <c r="CC107" s="78"/>
      <c r="CD107" s="78"/>
      <c r="CE107" s="78"/>
      <c r="CF107" s="78"/>
      <c r="CG107" s="78"/>
      <c r="CH107" s="78"/>
      <c r="CI107" s="78"/>
      <c r="CJ107" s="78"/>
      <c r="CK107" s="78"/>
      <c r="CL107" s="78"/>
      <c r="CM107" s="78"/>
      <c r="CN107" s="78"/>
      <c r="CO107" s="78"/>
      <c r="CP107" s="78"/>
      <c r="CQ107" s="78"/>
      <c r="CR107" s="78"/>
      <c r="CS107" s="78"/>
      <c r="CT107" s="78"/>
      <c r="CU107" s="78"/>
      <c r="CV107" s="78"/>
      <c r="CW107" s="78"/>
      <c r="CX107" s="78"/>
      <c r="CY107" s="78"/>
      <c r="CZ107" s="78"/>
      <c r="DA107" s="78"/>
      <c r="DB107" s="78"/>
      <c r="DC107" s="78"/>
      <c r="DD107" s="78"/>
      <c r="DE107" s="78"/>
      <c r="DF107" s="78"/>
      <c r="DG107" s="78"/>
      <c r="DH107" s="78"/>
      <c r="DI107" s="78"/>
      <c r="DJ107" s="78"/>
      <c r="DK107" s="78"/>
      <c r="DL107" s="78"/>
      <c r="DM107" s="78"/>
      <c r="DN107" s="78"/>
      <c r="DO107" s="78"/>
      <c r="DP107" s="78"/>
      <c r="DQ107" s="78"/>
      <c r="DR107" s="78"/>
      <c r="DS107" s="78"/>
      <c r="DT107" s="78"/>
      <c r="DU107" s="78"/>
      <c r="DV107" s="78"/>
      <c r="DW107" s="78"/>
      <c r="DX107" s="78"/>
      <c r="DY107" s="78"/>
      <c r="DZ107" s="78"/>
      <c r="EA107" s="78"/>
      <c r="EB107" s="78"/>
      <c r="EC107" s="78"/>
      <c r="ED107" s="78"/>
      <c r="EE107" s="78"/>
      <c r="EF107" s="78"/>
      <c r="EG107" s="78"/>
      <c r="EH107" s="78"/>
      <c r="EI107" s="78"/>
      <c r="EJ107" s="78"/>
      <c r="EK107" s="78"/>
      <c r="EL107" s="78"/>
      <c r="EM107" s="78"/>
      <c r="EN107" s="91"/>
      <c r="EO107" s="91"/>
      <c r="EP107" s="91"/>
      <c r="EQ107" s="91"/>
      <c r="ER107" s="91"/>
      <c r="ES107" s="91"/>
    </row>
    <row r="108" spans="1:149" outlineLevel="1">
      <c r="A108" s="29" t="str">
        <f t="shared" si="20"/>
        <v>RESPONSIBILITY_PROCESS_RELEFFECTIVE_RELATION_END_DATE</v>
      </c>
      <c r="B108" s="67" t="s">
        <v>26</v>
      </c>
      <c r="C108" s="68" t="s">
        <v>54</v>
      </c>
      <c r="D108" s="64" t="s">
        <v>40</v>
      </c>
      <c r="E108" s="66" t="s">
        <v>74</v>
      </c>
      <c r="F108" s="66" t="s">
        <v>84</v>
      </c>
      <c r="G108" s="64" t="str">
        <f>INDEX(Auxiliar!$B$16:$B$24,MATCH(Plano_V3!H108,Auxiliar!$C$16:$C$24,0),1)</f>
        <v>1. Concluído</v>
      </c>
      <c r="H108" s="64">
        <f>VLOOKUP(A108,'Aux - pivots1'!$A:$B,2,0)</f>
        <v>1</v>
      </c>
      <c r="I108" s="180">
        <f>SUMIFS(Table1[Estimação (horas)],Table1[Tabela],Plano_V3!E108,Table1[Campo],Plano_V3!F108)</f>
        <v>8.1</v>
      </c>
      <c r="J108" s="180">
        <f t="shared" si="21"/>
        <v>1.0125</v>
      </c>
      <c r="K108" s="180">
        <f>SUMIFS(Table1[Horas efetivas],Table1[Tabela],Plano_V3!E108,Table1[Campo],Plano_V3!F108)</f>
        <v>8.1</v>
      </c>
      <c r="L108" s="180">
        <f t="shared" si="22"/>
        <v>1.0125</v>
      </c>
      <c r="M108" s="174"/>
      <c r="N108" s="174">
        <f t="shared" si="23"/>
        <v>1</v>
      </c>
      <c r="O108" s="174">
        <f t="shared" si="12"/>
        <v>1</v>
      </c>
      <c r="P108" s="89" t="s">
        <v>39</v>
      </c>
      <c r="Q108" s="90">
        <f t="shared" si="13"/>
        <v>1.0125</v>
      </c>
      <c r="R108" s="78"/>
      <c r="S108" s="78"/>
      <c r="T108" s="78"/>
      <c r="U108" s="78"/>
      <c r="V108" s="78"/>
      <c r="W108" s="78"/>
      <c r="X108" s="78"/>
      <c r="Y108" s="78"/>
      <c r="Z108" s="78"/>
      <c r="AA108" s="78"/>
      <c r="AB108" s="78"/>
      <c r="AC108" s="78"/>
      <c r="AD108" s="78"/>
      <c r="AE108" s="78"/>
      <c r="AF108" s="78"/>
      <c r="AG108" s="78"/>
      <c r="AH108" s="78"/>
      <c r="AI108" s="78"/>
      <c r="AJ108" s="78"/>
      <c r="AK108" s="78"/>
      <c r="AL108" s="78"/>
      <c r="AM108" s="78"/>
      <c r="AN108" s="78"/>
      <c r="AO108" s="78"/>
      <c r="AP108" s="78"/>
      <c r="AQ108" s="78"/>
      <c r="AR108" s="78"/>
      <c r="AS108" s="78"/>
      <c r="AT108" s="78"/>
      <c r="AU108" s="78"/>
      <c r="AV108" s="78"/>
      <c r="AW108" s="78"/>
      <c r="AX108" s="78"/>
      <c r="AY108" s="91"/>
      <c r="AZ108" s="78"/>
      <c r="BA108" s="78"/>
      <c r="BB108" s="78"/>
      <c r="BC108" s="78"/>
      <c r="BD108" s="78"/>
      <c r="BE108" s="78"/>
      <c r="BF108" s="78"/>
      <c r="BG108" s="78"/>
      <c r="BH108" s="78"/>
      <c r="BI108" s="78"/>
      <c r="BJ108" s="78"/>
      <c r="BK108" s="78"/>
      <c r="BL108" s="78"/>
      <c r="BM108" s="78"/>
      <c r="BN108" s="78"/>
      <c r="BO108" s="78"/>
      <c r="BP108" s="78"/>
      <c r="BQ108" s="78"/>
      <c r="BR108" s="78"/>
      <c r="BS108" s="78"/>
      <c r="BT108" s="78"/>
      <c r="BU108" s="78"/>
      <c r="BV108" s="78"/>
      <c r="BW108" s="78"/>
      <c r="BX108" s="78"/>
      <c r="BY108" s="78"/>
      <c r="BZ108" s="78"/>
      <c r="CA108" s="78"/>
      <c r="CB108" s="78"/>
      <c r="CC108" s="78"/>
      <c r="CD108" s="78"/>
      <c r="CE108" s="78"/>
      <c r="CF108" s="78"/>
      <c r="CG108" s="78"/>
      <c r="CH108" s="78"/>
      <c r="CI108" s="78"/>
      <c r="CJ108" s="78"/>
      <c r="CK108" s="78"/>
      <c r="CL108" s="78"/>
      <c r="CM108" s="78"/>
      <c r="CN108" s="78"/>
      <c r="CO108" s="78"/>
      <c r="CP108" s="78"/>
      <c r="CQ108" s="78"/>
      <c r="CR108" s="78"/>
      <c r="CS108" s="78"/>
      <c r="CT108" s="78"/>
      <c r="CU108" s="78"/>
      <c r="CV108" s="78"/>
      <c r="CW108" s="78"/>
      <c r="CX108" s="78"/>
      <c r="CY108" s="78"/>
      <c r="CZ108" s="78"/>
      <c r="DA108" s="78"/>
      <c r="DB108" s="78"/>
      <c r="DC108" s="78"/>
      <c r="DD108" s="78"/>
      <c r="DE108" s="78"/>
      <c r="DF108" s="78"/>
      <c r="DG108" s="78"/>
      <c r="DH108" s="78"/>
      <c r="DI108" s="78"/>
      <c r="DJ108" s="78"/>
      <c r="DK108" s="78"/>
      <c r="DL108" s="78"/>
      <c r="DM108" s="78"/>
      <c r="DN108" s="78"/>
      <c r="DO108" s="78"/>
      <c r="DP108" s="78"/>
      <c r="DQ108" s="78"/>
      <c r="DR108" s="78"/>
      <c r="DS108" s="78"/>
      <c r="DT108" s="78"/>
      <c r="DU108" s="78"/>
      <c r="DV108" s="78"/>
      <c r="DW108" s="78"/>
      <c r="DX108" s="78"/>
      <c r="DY108" s="78"/>
      <c r="DZ108" s="78"/>
      <c r="EA108" s="78"/>
      <c r="EB108" s="78"/>
      <c r="EC108" s="78"/>
      <c r="ED108" s="78"/>
      <c r="EE108" s="78"/>
      <c r="EF108" s="78"/>
      <c r="EG108" s="78"/>
      <c r="EH108" s="78"/>
      <c r="EI108" s="78"/>
      <c r="EJ108" s="78"/>
      <c r="EK108" s="78"/>
      <c r="EL108" s="78"/>
      <c r="EM108" s="78"/>
      <c r="EN108" s="91"/>
      <c r="EO108" s="91"/>
      <c r="EP108" s="91"/>
      <c r="EQ108" s="91"/>
      <c r="ER108" s="91"/>
      <c r="ES108" s="91"/>
    </row>
    <row r="109" spans="1:149" outlineLevel="1">
      <c r="A109" s="29" t="str">
        <f t="shared" si="20"/>
        <v>RESPONSIBILITY_PROCESS_RELRELATION_START_DATE</v>
      </c>
      <c r="B109" s="67" t="s">
        <v>26</v>
      </c>
      <c r="C109" s="68" t="s">
        <v>54</v>
      </c>
      <c r="D109" s="64" t="s">
        <v>40</v>
      </c>
      <c r="E109" s="66" t="s">
        <v>74</v>
      </c>
      <c r="F109" s="66" t="s">
        <v>2434</v>
      </c>
      <c r="G109" s="64" t="str">
        <f>INDEX(Auxiliar!$B$16:$B$24,MATCH(Plano_V3!H109,Auxiliar!$C$16:$C$24,0),1)</f>
        <v>1. Concluído</v>
      </c>
      <c r="H109" s="64">
        <f>VLOOKUP(A109,'Aux - pivots1'!$A:$B,2,0)</f>
        <v>1</v>
      </c>
      <c r="I109" s="180">
        <f>SUMIFS(Table1[Estimação (horas)],Table1[Tabela],Plano_V3!E109,Table1[Campo],Plano_V3!F109)</f>
        <v>8.1</v>
      </c>
      <c r="J109" s="180">
        <f t="shared" si="21"/>
        <v>1.0125</v>
      </c>
      <c r="K109" s="180">
        <f>SUMIFS(Table1[Horas efetivas],Table1[Tabela],Plano_V3!E109,Table1[Campo],Plano_V3!F109)</f>
        <v>8.1</v>
      </c>
      <c r="L109" s="180">
        <f t="shared" si="22"/>
        <v>1.0125</v>
      </c>
      <c r="M109" s="174"/>
      <c r="N109" s="174">
        <f t="shared" si="23"/>
        <v>1</v>
      </c>
      <c r="O109" s="174">
        <f t="shared" si="12"/>
        <v>1</v>
      </c>
      <c r="P109" s="89" t="s">
        <v>39</v>
      </c>
      <c r="Q109" s="90">
        <f t="shared" si="13"/>
        <v>1.0125</v>
      </c>
      <c r="R109" s="78"/>
      <c r="S109" s="78"/>
      <c r="T109" s="78"/>
      <c r="U109" s="78"/>
      <c r="V109" s="78"/>
      <c r="W109" s="78"/>
      <c r="X109" s="78"/>
      <c r="Y109" s="78"/>
      <c r="Z109" s="78"/>
      <c r="AA109" s="78"/>
      <c r="AB109" s="78"/>
      <c r="AC109" s="78"/>
      <c r="AD109" s="78"/>
      <c r="AE109" s="78"/>
      <c r="AF109" s="78"/>
      <c r="AG109" s="78"/>
      <c r="AH109" s="78"/>
      <c r="AI109" s="78"/>
      <c r="AJ109" s="78"/>
      <c r="AK109" s="78"/>
      <c r="AL109" s="78"/>
      <c r="AM109" s="78"/>
      <c r="AN109" s="78"/>
      <c r="AO109" s="78"/>
      <c r="AP109" s="78"/>
      <c r="AQ109" s="78"/>
      <c r="AR109" s="78"/>
      <c r="AS109" s="78"/>
      <c r="AT109" s="78"/>
      <c r="AU109" s="78"/>
      <c r="AV109" s="78"/>
      <c r="AW109" s="78"/>
      <c r="AX109" s="78"/>
      <c r="AY109" s="91"/>
      <c r="AZ109" s="78"/>
      <c r="BA109" s="78"/>
      <c r="BB109" s="78"/>
      <c r="BC109" s="78"/>
      <c r="BD109" s="78"/>
      <c r="BE109" s="78"/>
      <c r="BF109" s="78"/>
      <c r="BG109" s="78"/>
      <c r="BH109" s="78"/>
      <c r="BI109" s="78"/>
      <c r="BJ109" s="78"/>
      <c r="BK109" s="78"/>
      <c r="BL109" s="78"/>
      <c r="BM109" s="78"/>
      <c r="BN109" s="78"/>
      <c r="BO109" s="78"/>
      <c r="BP109" s="78"/>
      <c r="BQ109" s="78"/>
      <c r="BR109" s="78"/>
      <c r="BS109" s="78"/>
      <c r="BT109" s="78"/>
      <c r="BU109" s="78"/>
      <c r="BV109" s="78"/>
      <c r="BW109" s="78"/>
      <c r="BX109" s="78"/>
      <c r="BY109" s="78"/>
      <c r="BZ109" s="78"/>
      <c r="CA109" s="78"/>
      <c r="CB109" s="78"/>
      <c r="CC109" s="78"/>
      <c r="CD109" s="78"/>
      <c r="CE109" s="78"/>
      <c r="CF109" s="78"/>
      <c r="CG109" s="78"/>
      <c r="CH109" s="78"/>
      <c r="CI109" s="78"/>
      <c r="CJ109" s="78"/>
      <c r="CK109" s="78"/>
      <c r="CL109" s="78"/>
      <c r="CM109" s="78"/>
      <c r="CN109" s="78"/>
      <c r="CO109" s="78"/>
      <c r="CP109" s="78"/>
      <c r="CQ109" s="78"/>
      <c r="CR109" s="78"/>
      <c r="CS109" s="78"/>
      <c r="CT109" s="78"/>
      <c r="CU109" s="78"/>
      <c r="CV109" s="78"/>
      <c r="CW109" s="78"/>
      <c r="CX109" s="78"/>
      <c r="CY109" s="78"/>
      <c r="CZ109" s="78"/>
      <c r="DA109" s="78"/>
      <c r="DB109" s="78"/>
      <c r="DC109" s="78"/>
      <c r="DD109" s="78"/>
      <c r="DE109" s="78"/>
      <c r="DF109" s="78"/>
      <c r="DG109" s="78"/>
      <c r="DH109" s="78"/>
      <c r="DI109" s="78"/>
      <c r="DJ109" s="78"/>
      <c r="DK109" s="78"/>
      <c r="DL109" s="78"/>
      <c r="DM109" s="78"/>
      <c r="DN109" s="78"/>
      <c r="DO109" s="78"/>
      <c r="DP109" s="78"/>
      <c r="DQ109" s="78"/>
      <c r="DR109" s="78"/>
      <c r="DS109" s="78"/>
      <c r="DT109" s="78"/>
      <c r="DU109" s="78"/>
      <c r="DV109" s="78"/>
      <c r="DW109" s="78"/>
      <c r="DX109" s="78"/>
      <c r="DY109" s="78"/>
      <c r="DZ109" s="78"/>
      <c r="EA109" s="78"/>
      <c r="EB109" s="78"/>
      <c r="EC109" s="78"/>
      <c r="ED109" s="78"/>
      <c r="EE109" s="78"/>
      <c r="EF109" s="78"/>
      <c r="EG109" s="78"/>
      <c r="EH109" s="78"/>
      <c r="EI109" s="78"/>
      <c r="EJ109" s="78"/>
      <c r="EK109" s="78"/>
      <c r="EL109" s="78"/>
      <c r="EM109" s="78"/>
      <c r="EN109" s="91"/>
      <c r="EO109" s="91"/>
      <c r="EP109" s="91"/>
      <c r="EQ109" s="91"/>
      <c r="ER109" s="91"/>
      <c r="ES109" s="91"/>
    </row>
    <row r="110" spans="1:149" outlineLevel="1">
      <c r="A110" s="29" t="str">
        <f t="shared" si="20"/>
        <v>RESPONSIBILITY_PROCESS_RELESTABLISHED_RELATION_END_DATE</v>
      </c>
      <c r="B110" s="67" t="s">
        <v>26</v>
      </c>
      <c r="C110" s="68" t="s">
        <v>54</v>
      </c>
      <c r="D110" s="64" t="s">
        <v>40</v>
      </c>
      <c r="E110" s="66" t="s">
        <v>74</v>
      </c>
      <c r="F110" s="66" t="s">
        <v>2435</v>
      </c>
      <c r="G110" s="64" t="str">
        <f>INDEX(Auxiliar!$B$16:$B$24,MATCH(Plano_V3!H110,Auxiliar!$C$16:$C$24,0),1)</f>
        <v>1. Concluído</v>
      </c>
      <c r="H110" s="64">
        <f>VLOOKUP(A110,'Aux - pivots1'!$A:$B,2,0)</f>
        <v>1</v>
      </c>
      <c r="I110" s="180">
        <f>SUMIFS(Table1[Estimação (horas)],Table1[Tabela],Plano_V3!E110,Table1[Campo],Plano_V3!F110)</f>
        <v>8.1</v>
      </c>
      <c r="J110" s="180">
        <f t="shared" si="21"/>
        <v>1.0125</v>
      </c>
      <c r="K110" s="180">
        <f>SUMIFS(Table1[Horas efetivas],Table1[Tabela],Plano_V3!E110,Table1[Campo],Plano_V3!F110)</f>
        <v>8.1</v>
      </c>
      <c r="L110" s="180">
        <f t="shared" si="22"/>
        <v>1.0125</v>
      </c>
      <c r="M110" s="174"/>
      <c r="N110" s="174">
        <f t="shared" si="23"/>
        <v>1</v>
      </c>
      <c r="O110" s="174">
        <f t="shared" si="12"/>
        <v>1</v>
      </c>
      <c r="P110" s="89" t="s">
        <v>39</v>
      </c>
      <c r="Q110" s="90">
        <f t="shared" si="13"/>
        <v>1.0125</v>
      </c>
      <c r="R110" s="78"/>
      <c r="S110" s="78"/>
      <c r="T110" s="78"/>
      <c r="U110" s="78"/>
      <c r="V110" s="78"/>
      <c r="W110" s="78"/>
      <c r="X110" s="78"/>
      <c r="Y110" s="78"/>
      <c r="Z110" s="78"/>
      <c r="AA110" s="78"/>
      <c r="AB110" s="78"/>
      <c r="AC110" s="78"/>
      <c r="AD110" s="78"/>
      <c r="AE110" s="78"/>
      <c r="AF110" s="78"/>
      <c r="AG110" s="78"/>
      <c r="AH110" s="78"/>
      <c r="AI110" s="78"/>
      <c r="AJ110" s="78"/>
      <c r="AK110" s="78"/>
      <c r="AL110" s="78"/>
      <c r="AM110" s="78"/>
      <c r="AN110" s="78"/>
      <c r="AO110" s="78"/>
      <c r="AP110" s="78"/>
      <c r="AQ110" s="78"/>
      <c r="AR110" s="78"/>
      <c r="AS110" s="78"/>
      <c r="AT110" s="78"/>
      <c r="AU110" s="78"/>
      <c r="AV110" s="78"/>
      <c r="AW110" s="78"/>
      <c r="AX110" s="78"/>
      <c r="AY110" s="91"/>
      <c r="AZ110" s="78"/>
      <c r="BA110" s="78"/>
      <c r="BB110" s="78"/>
      <c r="BC110" s="78"/>
      <c r="BD110" s="78"/>
      <c r="BE110" s="78"/>
      <c r="BF110" s="78"/>
      <c r="BG110" s="78"/>
      <c r="BH110" s="78"/>
      <c r="BI110" s="78"/>
      <c r="BJ110" s="78"/>
      <c r="BK110" s="78"/>
      <c r="BL110" s="78"/>
      <c r="BM110" s="78"/>
      <c r="BN110" s="78"/>
      <c r="BO110" s="78"/>
      <c r="BP110" s="78"/>
      <c r="BQ110" s="78"/>
      <c r="BR110" s="78"/>
      <c r="BS110" s="78"/>
      <c r="BT110" s="78"/>
      <c r="BU110" s="78"/>
      <c r="BV110" s="78"/>
      <c r="BW110" s="78"/>
      <c r="BX110" s="78"/>
      <c r="BY110" s="78"/>
      <c r="BZ110" s="78"/>
      <c r="CA110" s="78"/>
      <c r="CB110" s="78"/>
      <c r="CC110" s="78"/>
      <c r="CD110" s="78"/>
      <c r="CE110" s="78"/>
      <c r="CF110" s="78"/>
      <c r="CG110" s="78"/>
      <c r="CH110" s="78"/>
      <c r="CI110" s="78"/>
      <c r="CJ110" s="78"/>
      <c r="CK110" s="78"/>
      <c r="CL110" s="78"/>
      <c r="CM110" s="78"/>
      <c r="CN110" s="78"/>
      <c r="CO110" s="78"/>
      <c r="CP110" s="78"/>
      <c r="CQ110" s="78"/>
      <c r="CR110" s="78"/>
      <c r="CS110" s="78"/>
      <c r="CT110" s="78"/>
      <c r="CU110" s="78"/>
      <c r="CV110" s="78"/>
      <c r="CW110" s="78"/>
      <c r="CX110" s="78"/>
      <c r="CY110" s="78"/>
      <c r="CZ110" s="78"/>
      <c r="DA110" s="78"/>
      <c r="DB110" s="78"/>
      <c r="DC110" s="78"/>
      <c r="DD110" s="78"/>
      <c r="DE110" s="78"/>
      <c r="DF110" s="78"/>
      <c r="DG110" s="78"/>
      <c r="DH110" s="78"/>
      <c r="DI110" s="78"/>
      <c r="DJ110" s="78"/>
      <c r="DK110" s="78"/>
      <c r="DL110" s="78"/>
      <c r="DM110" s="78"/>
      <c r="DN110" s="78"/>
      <c r="DO110" s="78"/>
      <c r="DP110" s="78"/>
      <c r="DQ110" s="78"/>
      <c r="DR110" s="78"/>
      <c r="DS110" s="78"/>
      <c r="DT110" s="78"/>
      <c r="DU110" s="78"/>
      <c r="DV110" s="78"/>
      <c r="DW110" s="78"/>
      <c r="DX110" s="78"/>
      <c r="DY110" s="78"/>
      <c r="DZ110" s="78"/>
      <c r="EA110" s="78"/>
      <c r="EB110" s="78"/>
      <c r="EC110" s="78"/>
      <c r="ED110" s="78"/>
      <c r="EE110" s="78"/>
      <c r="EF110" s="78"/>
      <c r="EG110" s="78"/>
      <c r="EH110" s="78"/>
      <c r="EI110" s="78"/>
      <c r="EJ110" s="78"/>
      <c r="EK110" s="78"/>
      <c r="EL110" s="78"/>
      <c r="EM110" s="78"/>
      <c r="EN110" s="91"/>
      <c r="EO110" s="91"/>
      <c r="EP110" s="91"/>
      <c r="EQ110" s="91"/>
      <c r="ER110" s="91"/>
      <c r="ES110" s="91"/>
    </row>
    <row r="111" spans="1:149" outlineLevel="1">
      <c r="A111" s="29" t="str">
        <f t="shared" si="20"/>
        <v>RESPONSIBILITY_PROCESS_RELidetgar</v>
      </c>
      <c r="B111" s="67" t="s">
        <v>26</v>
      </c>
      <c r="C111" s="68" t="s">
        <v>54</v>
      </c>
      <c r="D111" s="64" t="s">
        <v>40</v>
      </c>
      <c r="E111" s="66" t="s">
        <v>74</v>
      </c>
      <c r="F111" s="66" t="s">
        <v>85</v>
      </c>
      <c r="G111" s="64" t="str">
        <f>INDEX(Auxiliar!$B$16:$B$24,MATCH(Plano_V3!H111,Auxiliar!$C$16:$C$24,0),1)</f>
        <v>0. Cancelado</v>
      </c>
      <c r="H111" s="64">
        <f>VLOOKUP(A111,'Aux - pivots1'!$A:$B,2,0)</f>
        <v>0</v>
      </c>
      <c r="I111" s="181">
        <v>0</v>
      </c>
      <c r="J111" s="180">
        <f t="shared" si="21"/>
        <v>0</v>
      </c>
      <c r="K111" s="180">
        <f>SUMIFS(Table1[Horas efetivas],Table1[Tabela],Plano_V3!E111,Table1[Campo],Plano_V3!F111)</f>
        <v>0</v>
      </c>
      <c r="L111" s="180">
        <f t="shared" si="22"/>
        <v>0</v>
      </c>
      <c r="M111" s="174"/>
      <c r="N111" s="174" t="e">
        <f t="shared" si="23"/>
        <v>#DIV/0!</v>
      </c>
      <c r="O111" s="174" t="e">
        <f t="shared" si="12"/>
        <v>#DIV/0!</v>
      </c>
      <c r="P111" s="89" t="s">
        <v>39</v>
      </c>
      <c r="Q111" s="90">
        <f t="shared" si="13"/>
        <v>0</v>
      </c>
      <c r="R111" s="78"/>
      <c r="S111" s="78"/>
      <c r="T111" s="78"/>
      <c r="U111" s="78"/>
      <c r="V111" s="78"/>
      <c r="W111" s="78"/>
      <c r="X111" s="78"/>
      <c r="Y111" s="78"/>
      <c r="Z111" s="78"/>
      <c r="AA111" s="78"/>
      <c r="AB111" s="78"/>
      <c r="AC111" s="78"/>
      <c r="AD111" s="78"/>
      <c r="AE111" s="78"/>
      <c r="AF111" s="78"/>
      <c r="AG111" s="78"/>
      <c r="AH111" s="78"/>
      <c r="AI111" s="78"/>
      <c r="AJ111" s="78"/>
      <c r="AK111" s="78"/>
      <c r="AL111" s="78"/>
      <c r="AM111" s="78"/>
      <c r="AN111" s="78"/>
      <c r="AO111" s="78"/>
      <c r="AP111" s="78"/>
      <c r="AQ111" s="78"/>
      <c r="AR111" s="78"/>
      <c r="AS111" s="78"/>
      <c r="AT111" s="78"/>
      <c r="AU111" s="78"/>
      <c r="AV111" s="78"/>
      <c r="AW111" s="78"/>
      <c r="AX111" s="78"/>
      <c r="AY111" s="91"/>
      <c r="AZ111" s="78"/>
      <c r="BA111" s="78"/>
      <c r="BB111" s="78"/>
      <c r="BC111" s="78"/>
      <c r="BD111" s="78"/>
      <c r="BE111" s="78"/>
      <c r="BF111" s="78"/>
      <c r="BG111" s="78"/>
      <c r="BH111" s="78"/>
      <c r="BI111" s="78"/>
      <c r="BJ111" s="78"/>
      <c r="BK111" s="78"/>
      <c r="BL111" s="78"/>
      <c r="BM111" s="78"/>
      <c r="BN111" s="78"/>
      <c r="BO111" s="78"/>
      <c r="BP111" s="78"/>
      <c r="BQ111" s="78"/>
      <c r="BR111" s="78"/>
      <c r="BS111" s="78"/>
      <c r="BT111" s="78"/>
      <c r="BU111" s="78"/>
      <c r="BV111" s="78"/>
      <c r="BW111" s="78"/>
      <c r="BX111" s="78"/>
      <c r="BY111" s="78"/>
      <c r="BZ111" s="78"/>
      <c r="CA111" s="78"/>
      <c r="CB111" s="78"/>
      <c r="CC111" s="78"/>
      <c r="CD111" s="78"/>
      <c r="CE111" s="78"/>
      <c r="CF111" s="78"/>
      <c r="CG111" s="78"/>
      <c r="CH111" s="78"/>
      <c r="CI111" s="78"/>
      <c r="CJ111" s="78"/>
      <c r="CK111" s="78"/>
      <c r="CL111" s="78"/>
      <c r="CM111" s="78"/>
      <c r="CN111" s="78"/>
      <c r="CO111" s="78"/>
      <c r="CP111" s="78"/>
      <c r="CQ111" s="78"/>
      <c r="CR111" s="78"/>
      <c r="CS111" s="78"/>
      <c r="CT111" s="78"/>
      <c r="CU111" s="78"/>
      <c r="CV111" s="78"/>
      <c r="CW111" s="78"/>
      <c r="CX111" s="78"/>
      <c r="CY111" s="78"/>
      <c r="CZ111" s="78"/>
      <c r="DA111" s="78"/>
      <c r="DB111" s="78"/>
      <c r="DC111" s="78"/>
      <c r="DD111" s="78"/>
      <c r="DE111" s="78"/>
      <c r="DF111" s="78"/>
      <c r="DG111" s="78"/>
      <c r="DH111" s="78"/>
      <c r="DI111" s="78"/>
      <c r="DJ111" s="78"/>
      <c r="DK111" s="78"/>
      <c r="DL111" s="78"/>
      <c r="DM111" s="78"/>
      <c r="DN111" s="78"/>
      <c r="DO111" s="78"/>
      <c r="DP111" s="78"/>
      <c r="DQ111" s="78"/>
      <c r="DR111" s="78"/>
      <c r="DS111" s="78"/>
      <c r="DT111" s="78"/>
      <c r="DU111" s="78"/>
      <c r="DV111" s="78"/>
      <c r="DW111" s="78"/>
      <c r="DX111" s="78"/>
      <c r="DY111" s="78"/>
      <c r="DZ111" s="78"/>
      <c r="EA111" s="78"/>
      <c r="EB111" s="78"/>
      <c r="EC111" s="78"/>
      <c r="ED111" s="78"/>
      <c r="EE111" s="78"/>
      <c r="EF111" s="78"/>
      <c r="EG111" s="78"/>
      <c r="EH111" s="78"/>
      <c r="EI111" s="78"/>
      <c r="EJ111" s="78"/>
      <c r="EK111" s="78"/>
      <c r="EL111" s="78"/>
      <c r="EM111" s="78"/>
      <c r="EN111" s="91"/>
      <c r="EO111" s="91"/>
      <c r="EP111" s="91"/>
      <c r="EQ111" s="91"/>
      <c r="ER111" s="91"/>
      <c r="ES111" s="91"/>
    </row>
    <row r="112" spans="1:149" outlineLevel="1">
      <c r="A112" s="29" t="str">
        <f t="shared" si="20"/>
        <v>RESPONSIBILITY_PROCESS_RELnum_prop</v>
      </c>
      <c r="B112" s="67" t="s">
        <v>26</v>
      </c>
      <c r="C112" s="68" t="s">
        <v>54</v>
      </c>
      <c r="D112" s="64" t="s">
        <v>40</v>
      </c>
      <c r="E112" s="66" t="s">
        <v>74</v>
      </c>
      <c r="F112" s="66" t="s">
        <v>86</v>
      </c>
      <c r="G112" s="64" t="str">
        <f>INDEX(Auxiliar!$B$16:$B$24,MATCH(Plano_V3!H112,Auxiliar!$C$16:$C$24,0),1)</f>
        <v>0. Cancelado</v>
      </c>
      <c r="H112" s="64">
        <f>VLOOKUP(A112,'Aux - pivots1'!$A:$B,2,0)</f>
        <v>0</v>
      </c>
      <c r="I112" s="181">
        <v>0</v>
      </c>
      <c r="J112" s="180">
        <f t="shared" si="21"/>
        <v>0</v>
      </c>
      <c r="K112" s="180">
        <f>SUMIFS(Table1[Horas efetivas],Table1[Tabela],Plano_V3!E112,Table1[Campo],Plano_V3!F112)</f>
        <v>0</v>
      </c>
      <c r="L112" s="180">
        <f t="shared" si="22"/>
        <v>0</v>
      </c>
      <c r="M112" s="174"/>
      <c r="N112" s="174" t="e">
        <f t="shared" si="23"/>
        <v>#DIV/0!</v>
      </c>
      <c r="O112" s="174" t="e">
        <f t="shared" si="12"/>
        <v>#DIV/0!</v>
      </c>
      <c r="P112" s="89" t="s">
        <v>39</v>
      </c>
      <c r="Q112" s="90">
        <f t="shared" si="13"/>
        <v>0</v>
      </c>
      <c r="R112" s="78"/>
      <c r="S112" s="78"/>
      <c r="T112" s="78"/>
      <c r="U112" s="78"/>
      <c r="V112" s="78"/>
      <c r="W112" s="78"/>
      <c r="X112" s="78"/>
      <c r="Y112" s="78"/>
      <c r="Z112" s="78"/>
      <c r="AA112" s="78"/>
      <c r="AB112" s="78"/>
      <c r="AC112" s="78"/>
      <c r="AD112" s="78"/>
      <c r="AE112" s="78"/>
      <c r="AF112" s="78"/>
      <c r="AG112" s="78"/>
      <c r="AH112" s="78"/>
      <c r="AI112" s="78"/>
      <c r="AJ112" s="78"/>
      <c r="AK112" s="78"/>
      <c r="AL112" s="78"/>
      <c r="AM112" s="78"/>
      <c r="AN112" s="78"/>
      <c r="AO112" s="78"/>
      <c r="AP112" s="78"/>
      <c r="AQ112" s="78"/>
      <c r="AR112" s="78"/>
      <c r="AS112" s="78"/>
      <c r="AT112" s="78"/>
      <c r="AU112" s="78"/>
      <c r="AV112" s="78"/>
      <c r="AW112" s="78"/>
      <c r="AX112" s="78"/>
      <c r="AY112" s="91"/>
      <c r="AZ112" s="78"/>
      <c r="BA112" s="78"/>
      <c r="BB112" s="78"/>
      <c r="BC112" s="78"/>
      <c r="BD112" s="78"/>
      <c r="BE112" s="78"/>
      <c r="BF112" s="78"/>
      <c r="BG112" s="78"/>
      <c r="BH112" s="78"/>
      <c r="BI112" s="78"/>
      <c r="BJ112" s="78"/>
      <c r="BK112" s="78"/>
      <c r="BL112" s="78"/>
      <c r="BM112" s="78"/>
      <c r="BN112" s="78"/>
      <c r="BO112" s="78"/>
      <c r="BP112" s="78"/>
      <c r="BQ112" s="78"/>
      <c r="BR112" s="78"/>
      <c r="BS112" s="78"/>
      <c r="BT112" s="78"/>
      <c r="BU112" s="78"/>
      <c r="BV112" s="78"/>
      <c r="BW112" s="78"/>
      <c r="BX112" s="78"/>
      <c r="BY112" s="78"/>
      <c r="BZ112" s="78"/>
      <c r="CA112" s="78"/>
      <c r="CB112" s="78"/>
      <c r="CC112" s="78"/>
      <c r="CD112" s="78"/>
      <c r="CE112" s="78"/>
      <c r="CF112" s="78"/>
      <c r="CG112" s="78"/>
      <c r="CH112" s="78"/>
      <c r="CI112" s="78"/>
      <c r="CJ112" s="78"/>
      <c r="CK112" s="78"/>
      <c r="CL112" s="78"/>
      <c r="CM112" s="78"/>
      <c r="CN112" s="78"/>
      <c r="CO112" s="78"/>
      <c r="CP112" s="78"/>
      <c r="CQ112" s="78"/>
      <c r="CR112" s="78"/>
      <c r="CS112" s="78"/>
      <c r="CT112" s="78"/>
      <c r="CU112" s="78"/>
      <c r="CV112" s="78"/>
      <c r="CW112" s="78"/>
      <c r="CX112" s="78"/>
      <c r="CY112" s="78"/>
      <c r="CZ112" s="78"/>
      <c r="DA112" s="78"/>
      <c r="DB112" s="78"/>
      <c r="DC112" s="78"/>
      <c r="DD112" s="78"/>
      <c r="DE112" s="78"/>
      <c r="DF112" s="78"/>
      <c r="DG112" s="78"/>
      <c r="DH112" s="78"/>
      <c r="DI112" s="78"/>
      <c r="DJ112" s="78"/>
      <c r="DK112" s="78"/>
      <c r="DL112" s="78"/>
      <c r="DM112" s="78"/>
      <c r="DN112" s="78"/>
      <c r="DO112" s="78"/>
      <c r="DP112" s="78"/>
      <c r="DQ112" s="78"/>
      <c r="DR112" s="78"/>
      <c r="DS112" s="78"/>
      <c r="DT112" s="78"/>
      <c r="DU112" s="78"/>
      <c r="DV112" s="78"/>
      <c r="DW112" s="78"/>
      <c r="DX112" s="78"/>
      <c r="DY112" s="78"/>
      <c r="DZ112" s="78"/>
      <c r="EA112" s="78"/>
      <c r="EB112" s="78"/>
      <c r="EC112" s="78"/>
      <c r="ED112" s="78"/>
      <c r="EE112" s="78"/>
      <c r="EF112" s="78"/>
      <c r="EG112" s="78"/>
      <c r="EH112" s="78"/>
      <c r="EI112" s="78"/>
      <c r="EJ112" s="78"/>
      <c r="EK112" s="78"/>
      <c r="EL112" s="78"/>
      <c r="EM112" s="78"/>
      <c r="EN112" s="91"/>
      <c r="EO112" s="91"/>
      <c r="EP112" s="91"/>
      <c r="EQ112" s="91"/>
      <c r="ER112" s="91"/>
      <c r="ES112" s="91"/>
    </row>
    <row r="113" spans="1:149" outlineLevel="1">
      <c r="A113" s="29" t="str">
        <f t="shared" si="20"/>
        <v>RESPONSIBILITY_PROCESS_RELSOURCE_CODE</v>
      </c>
      <c r="B113" s="67" t="s">
        <v>26</v>
      </c>
      <c r="C113" s="68" t="s">
        <v>54</v>
      </c>
      <c r="D113" s="64" t="s">
        <v>40</v>
      </c>
      <c r="E113" s="66" t="s">
        <v>74</v>
      </c>
      <c r="F113" s="66" t="s">
        <v>87</v>
      </c>
      <c r="G113" s="64" t="str">
        <f>INDEX(Auxiliar!$B$16:$B$24,MATCH(Plano_V3!H113,Auxiliar!$C$16:$C$24,0),1)</f>
        <v>1. Concluído</v>
      </c>
      <c r="H113" s="64">
        <f>VLOOKUP(A113,'Aux - pivots1'!$A:$B,2,0)</f>
        <v>1</v>
      </c>
      <c r="I113" s="180">
        <f>SUMIFS(Table1[Estimação (horas)],Table1[Tabela],Plano_V3!E113,Table1[Campo],Plano_V3!F113)</f>
        <v>4.0999999999999996</v>
      </c>
      <c r="J113" s="180">
        <f t="shared" si="21"/>
        <v>0.51249999999999996</v>
      </c>
      <c r="K113" s="180">
        <f>SUMIFS(Table1[Horas efetivas],Table1[Tabela],Plano_V3!E113,Table1[Campo],Plano_V3!F113)</f>
        <v>4.0999999999999996</v>
      </c>
      <c r="L113" s="180">
        <f t="shared" si="22"/>
        <v>0.51249999999999996</v>
      </c>
      <c r="M113" s="174"/>
      <c r="N113" s="174">
        <f t="shared" si="23"/>
        <v>1</v>
      </c>
      <c r="O113" s="174">
        <f t="shared" si="12"/>
        <v>1</v>
      </c>
      <c r="P113" s="89" t="s">
        <v>39</v>
      </c>
      <c r="Q113" s="90">
        <f t="shared" si="13"/>
        <v>0.51249999999999996</v>
      </c>
      <c r="R113" s="78"/>
      <c r="S113" s="78"/>
      <c r="T113" s="78"/>
      <c r="U113" s="78"/>
      <c r="V113" s="78"/>
      <c r="W113" s="78"/>
      <c r="X113" s="78"/>
      <c r="Y113" s="78"/>
      <c r="Z113" s="78"/>
      <c r="AA113" s="78"/>
      <c r="AB113" s="78"/>
      <c r="AC113" s="78"/>
      <c r="AD113" s="78"/>
      <c r="AE113" s="78"/>
      <c r="AF113" s="78"/>
      <c r="AG113" s="78"/>
      <c r="AH113" s="78"/>
      <c r="AI113" s="78"/>
      <c r="AJ113" s="78"/>
      <c r="AK113" s="78"/>
      <c r="AL113" s="78"/>
      <c r="AM113" s="78"/>
      <c r="AN113" s="78"/>
      <c r="AO113" s="78"/>
      <c r="AP113" s="78"/>
      <c r="AQ113" s="78"/>
      <c r="AR113" s="78"/>
      <c r="AS113" s="78"/>
      <c r="AT113" s="78"/>
      <c r="AU113" s="78"/>
      <c r="AV113" s="78"/>
      <c r="AW113" s="78"/>
      <c r="AX113" s="78"/>
      <c r="AY113" s="91"/>
      <c r="AZ113" s="78"/>
      <c r="BA113" s="78"/>
      <c r="BB113" s="78"/>
      <c r="BC113" s="78"/>
      <c r="BD113" s="78"/>
      <c r="BE113" s="78"/>
      <c r="BF113" s="78"/>
      <c r="BG113" s="78"/>
      <c r="BH113" s="78"/>
      <c r="BI113" s="78"/>
      <c r="BJ113" s="78"/>
      <c r="BK113" s="78"/>
      <c r="BL113" s="78"/>
      <c r="BM113" s="78"/>
      <c r="BN113" s="78"/>
      <c r="BO113" s="78"/>
      <c r="BP113" s="78"/>
      <c r="BQ113" s="78"/>
      <c r="BR113" s="78"/>
      <c r="BS113" s="78"/>
      <c r="BT113" s="78"/>
      <c r="BU113" s="78"/>
      <c r="BV113" s="78"/>
      <c r="BW113" s="78"/>
      <c r="BX113" s="78"/>
      <c r="BY113" s="78"/>
      <c r="BZ113" s="78"/>
      <c r="CA113" s="78"/>
      <c r="CB113" s="78"/>
      <c r="CC113" s="78"/>
      <c r="CD113" s="78"/>
      <c r="CE113" s="78"/>
      <c r="CF113" s="78"/>
      <c r="CG113" s="78"/>
      <c r="CH113" s="78"/>
      <c r="CI113" s="78"/>
      <c r="CJ113" s="78"/>
      <c r="CK113" s="78"/>
      <c r="CL113" s="78"/>
      <c r="CM113" s="78"/>
      <c r="CN113" s="78"/>
      <c r="CO113" s="78"/>
      <c r="CP113" s="78"/>
      <c r="CQ113" s="78"/>
      <c r="CR113" s="78"/>
      <c r="CS113" s="78"/>
      <c r="CT113" s="78"/>
      <c r="CU113" s="78"/>
      <c r="CV113" s="78"/>
      <c r="CW113" s="78"/>
      <c r="CX113" s="78"/>
      <c r="CY113" s="78"/>
      <c r="CZ113" s="78"/>
      <c r="DA113" s="78"/>
      <c r="DB113" s="78"/>
      <c r="DC113" s="78"/>
      <c r="DD113" s="78"/>
      <c r="DE113" s="78"/>
      <c r="DF113" s="78"/>
      <c r="DG113" s="78"/>
      <c r="DH113" s="78"/>
      <c r="DI113" s="78"/>
      <c r="DJ113" s="78"/>
      <c r="DK113" s="78"/>
      <c r="DL113" s="78"/>
      <c r="DM113" s="78"/>
      <c r="DN113" s="78"/>
      <c r="DO113" s="78"/>
      <c r="DP113" s="78"/>
      <c r="DQ113" s="78"/>
      <c r="DR113" s="78"/>
      <c r="DS113" s="78"/>
      <c r="DT113" s="78"/>
      <c r="DU113" s="78"/>
      <c r="DV113" s="78"/>
      <c r="DW113" s="78"/>
      <c r="DX113" s="78"/>
      <c r="DY113" s="78"/>
      <c r="DZ113" s="78"/>
      <c r="EA113" s="78"/>
      <c r="EB113" s="78"/>
      <c r="EC113" s="78"/>
      <c r="ED113" s="78"/>
      <c r="EE113" s="78"/>
      <c r="EF113" s="78"/>
      <c r="EG113" s="78"/>
      <c r="EH113" s="78"/>
      <c r="EI113" s="78"/>
      <c r="EJ113" s="78"/>
      <c r="EK113" s="78"/>
      <c r="EL113" s="78"/>
      <c r="EM113" s="78"/>
      <c r="EN113" s="91"/>
      <c r="EO113" s="91"/>
      <c r="EP113" s="91"/>
      <c r="EQ113" s="91"/>
      <c r="ER113" s="91"/>
      <c r="ES113" s="91"/>
    </row>
    <row r="114" spans="1:149" outlineLevel="1">
      <c r="A114" s="29" t="str">
        <f t="shared" si="20"/>
        <v>RESPONSIBILITY_PROCESS_RELDATA_DATE_PART</v>
      </c>
      <c r="B114" s="67" t="s">
        <v>26</v>
      </c>
      <c r="C114" s="68" t="s">
        <v>54</v>
      </c>
      <c r="D114" s="64" t="s">
        <v>40</v>
      </c>
      <c r="E114" s="66" t="s">
        <v>74</v>
      </c>
      <c r="F114" s="66" t="s">
        <v>73</v>
      </c>
      <c r="G114" s="64" t="str">
        <f>INDEX(Auxiliar!$B$16:$B$24,MATCH(Plano_V3!H114,Auxiliar!$C$16:$C$24,0),1)</f>
        <v>1. Concluído</v>
      </c>
      <c r="H114" s="64">
        <f>VLOOKUP(A114,'Aux - pivots1'!$A:$B,2,0)</f>
        <v>1</v>
      </c>
      <c r="I114" s="180">
        <f>SUMIFS(Table1[Estimação (horas)],Table1[Tabela],Plano_V3!E114,Table1[Campo],Plano_V3!F114)</f>
        <v>4.0999999999999996</v>
      </c>
      <c r="J114" s="180">
        <f t="shared" si="21"/>
        <v>0.51249999999999996</v>
      </c>
      <c r="K114" s="180">
        <f>SUMIFS(Table1[Horas efetivas],Table1[Tabela],Plano_V3!E114,Table1[Campo],Plano_V3!F114)</f>
        <v>4.0999999999999996</v>
      </c>
      <c r="L114" s="180">
        <f t="shared" si="22"/>
        <v>0.51249999999999996</v>
      </c>
      <c r="M114" s="174"/>
      <c r="N114" s="174">
        <f t="shared" si="23"/>
        <v>1</v>
      </c>
      <c r="O114" s="174">
        <f t="shared" si="12"/>
        <v>1</v>
      </c>
      <c r="P114" s="89" t="s">
        <v>39</v>
      </c>
      <c r="Q114" s="90">
        <f t="shared" si="13"/>
        <v>0.51249999999999996</v>
      </c>
      <c r="R114" s="78"/>
      <c r="S114" s="78"/>
      <c r="T114" s="78"/>
      <c r="U114" s="78"/>
      <c r="V114" s="78"/>
      <c r="W114" s="78"/>
      <c r="X114" s="78"/>
      <c r="Y114" s="78"/>
      <c r="Z114" s="78"/>
      <c r="AA114" s="78"/>
      <c r="AB114" s="78"/>
      <c r="AC114" s="78"/>
      <c r="AD114" s="78"/>
      <c r="AE114" s="78"/>
      <c r="AF114" s="78"/>
      <c r="AG114" s="78"/>
      <c r="AH114" s="78"/>
      <c r="AI114" s="78"/>
      <c r="AJ114" s="78"/>
      <c r="AK114" s="78"/>
      <c r="AL114" s="78"/>
      <c r="AM114" s="78"/>
      <c r="AN114" s="78"/>
      <c r="AO114" s="78"/>
      <c r="AP114" s="78"/>
      <c r="AQ114" s="78"/>
      <c r="AR114" s="78"/>
      <c r="AS114" s="78"/>
      <c r="AT114" s="78"/>
      <c r="AU114" s="78"/>
      <c r="AV114" s="78"/>
      <c r="AW114" s="78"/>
      <c r="AX114" s="78"/>
      <c r="AY114" s="91"/>
      <c r="AZ114" s="78"/>
      <c r="BA114" s="78"/>
      <c r="BB114" s="78"/>
      <c r="BC114" s="78"/>
      <c r="BD114" s="78"/>
      <c r="BE114" s="78"/>
      <c r="BF114" s="78"/>
      <c r="BG114" s="78"/>
      <c r="BH114" s="78"/>
      <c r="BI114" s="78"/>
      <c r="BJ114" s="78"/>
      <c r="BK114" s="78"/>
      <c r="BL114" s="78"/>
      <c r="BM114" s="78"/>
      <c r="BN114" s="78"/>
      <c r="BO114" s="78"/>
      <c r="BP114" s="78"/>
      <c r="BQ114" s="78"/>
      <c r="BR114" s="78"/>
      <c r="BS114" s="78"/>
      <c r="BT114" s="78"/>
      <c r="BU114" s="78"/>
      <c r="BV114" s="78"/>
      <c r="BW114" s="78"/>
      <c r="BX114" s="78"/>
      <c r="BY114" s="78"/>
      <c r="BZ114" s="78"/>
      <c r="CA114" s="78"/>
      <c r="CB114" s="78"/>
      <c r="CC114" s="78"/>
      <c r="CD114" s="78"/>
      <c r="CE114" s="78"/>
      <c r="CF114" s="78"/>
      <c r="CG114" s="78"/>
      <c r="CH114" s="78"/>
      <c r="CI114" s="78"/>
      <c r="CJ114" s="78"/>
      <c r="CK114" s="78"/>
      <c r="CL114" s="78"/>
      <c r="CM114" s="78"/>
      <c r="CN114" s="78"/>
      <c r="CO114" s="78"/>
      <c r="CP114" s="78"/>
      <c r="CQ114" s="78"/>
      <c r="CR114" s="78"/>
      <c r="CS114" s="78"/>
      <c r="CT114" s="78"/>
      <c r="CU114" s="78"/>
      <c r="CV114" s="78"/>
      <c r="CW114" s="78"/>
      <c r="CX114" s="78"/>
      <c r="CY114" s="78"/>
      <c r="CZ114" s="78"/>
      <c r="DA114" s="78"/>
      <c r="DB114" s="78"/>
      <c r="DC114" s="78"/>
      <c r="DD114" s="78"/>
      <c r="DE114" s="78"/>
      <c r="DF114" s="78"/>
      <c r="DG114" s="78"/>
      <c r="DH114" s="78"/>
      <c r="DI114" s="78"/>
      <c r="DJ114" s="78"/>
      <c r="DK114" s="78"/>
      <c r="DL114" s="78"/>
      <c r="DM114" s="78"/>
      <c r="DN114" s="78"/>
      <c r="DO114" s="78"/>
      <c r="DP114" s="78"/>
      <c r="DQ114" s="78"/>
      <c r="DR114" s="78"/>
      <c r="DS114" s="78"/>
      <c r="DT114" s="78"/>
      <c r="DU114" s="78"/>
      <c r="DV114" s="78"/>
      <c r="DW114" s="78"/>
      <c r="DX114" s="78"/>
      <c r="DY114" s="78"/>
      <c r="DZ114" s="78"/>
      <c r="EA114" s="78"/>
      <c r="EB114" s="78"/>
      <c r="EC114" s="78"/>
      <c r="ED114" s="78"/>
      <c r="EE114" s="78"/>
      <c r="EF114" s="78"/>
      <c r="EG114" s="78"/>
      <c r="EH114" s="78"/>
      <c r="EI114" s="78"/>
      <c r="EJ114" s="78"/>
      <c r="EK114" s="78"/>
      <c r="EL114" s="78"/>
      <c r="EM114" s="78"/>
      <c r="EN114" s="91"/>
      <c r="EO114" s="91"/>
      <c r="EP114" s="91"/>
      <c r="EQ114" s="91"/>
      <c r="ER114" s="91"/>
      <c r="ES114" s="91"/>
    </row>
    <row r="115" spans="1:149" outlineLevel="1">
      <c r="A115" s="29" t="str">
        <f t="shared" si="20"/>
        <v>PROCESS_PROPERTY_RELn.a.</v>
      </c>
      <c r="B115" s="67" t="s">
        <v>26</v>
      </c>
      <c r="C115" s="68" t="s">
        <v>54</v>
      </c>
      <c r="D115" s="64" t="s">
        <v>36</v>
      </c>
      <c r="E115" s="66" t="s">
        <v>88</v>
      </c>
      <c r="F115" s="64" t="s">
        <v>38</v>
      </c>
      <c r="G115" s="64" t="str">
        <f>INDEX(Auxiliar!$B$16:$B$24,MATCH(Plano_V3!H115,Auxiliar!$C$16:$C$24,0),1)</f>
        <v>1. Concluído</v>
      </c>
      <c r="H115" s="64">
        <f>VLOOKUP(A115,'Aux - pivots1'!$A:$B,2,0)</f>
        <v>1</v>
      </c>
      <c r="I115" s="180">
        <f>SUMIFS(Table1[Estimação (horas)],Table1[Tabela],Plano_V3!E115,Table1[Campo],Plano_V3!F115)</f>
        <v>8</v>
      </c>
      <c r="J115" s="180">
        <f t="shared" si="21"/>
        <v>1</v>
      </c>
      <c r="K115" s="180">
        <f>SUMIFS(Table1[Horas efetivas],Table1[Tabela],Plano_V3!E115,Table1[Campo],Plano_V3!F115)</f>
        <v>8</v>
      </c>
      <c r="L115" s="180">
        <f t="shared" si="22"/>
        <v>1</v>
      </c>
      <c r="M115" s="174"/>
      <c r="N115" s="174">
        <f t="shared" si="23"/>
        <v>1</v>
      </c>
      <c r="O115" s="174">
        <f t="shared" si="12"/>
        <v>1</v>
      </c>
      <c r="P115" s="89" t="s">
        <v>56</v>
      </c>
      <c r="Q115" s="90">
        <f t="shared" si="13"/>
        <v>1</v>
      </c>
      <c r="R115" s="78"/>
      <c r="S115" s="78"/>
      <c r="T115" s="78"/>
      <c r="U115" s="78"/>
      <c r="V115" s="78"/>
      <c r="W115" s="78"/>
      <c r="X115" s="78"/>
      <c r="Y115" s="78"/>
      <c r="Z115" s="78"/>
      <c r="AA115" s="78"/>
      <c r="AB115" s="78"/>
      <c r="AC115" s="78"/>
      <c r="AD115" s="78"/>
      <c r="AE115" s="78"/>
      <c r="AF115" s="78"/>
      <c r="AG115" s="78"/>
      <c r="AH115" s="78"/>
      <c r="AI115" s="78"/>
      <c r="AJ115" s="78"/>
      <c r="AK115" s="78"/>
      <c r="AL115" s="78"/>
      <c r="AM115" s="78"/>
      <c r="AN115" s="78"/>
      <c r="AO115" s="78"/>
      <c r="AP115" s="78"/>
      <c r="AQ115" s="78"/>
      <c r="AR115" s="78"/>
      <c r="AS115" s="78"/>
      <c r="AT115" s="78"/>
      <c r="AU115" s="78"/>
      <c r="AV115" s="78"/>
      <c r="AW115" s="78"/>
      <c r="AX115" s="78"/>
      <c r="AY115" s="91"/>
      <c r="AZ115" s="78"/>
      <c r="BA115" s="78"/>
      <c r="BB115" s="78"/>
      <c r="BC115" s="78"/>
      <c r="BD115" s="78"/>
      <c r="BE115" s="78"/>
      <c r="BF115" s="78"/>
      <c r="BG115" s="78"/>
      <c r="BH115" s="78"/>
      <c r="BI115" s="78"/>
      <c r="BJ115" s="78"/>
      <c r="BK115" s="78"/>
      <c r="BL115" s="78"/>
      <c r="BM115" s="78"/>
      <c r="BN115" s="78"/>
      <c r="BO115" s="78"/>
      <c r="BP115" s="78"/>
      <c r="BQ115" s="78"/>
      <c r="BR115" s="78"/>
      <c r="BS115" s="78"/>
      <c r="BT115" s="78"/>
      <c r="BU115" s="78"/>
      <c r="BV115" s="78"/>
      <c r="BW115" s="78"/>
      <c r="BX115" s="78"/>
      <c r="BY115" s="78"/>
      <c r="BZ115" s="78"/>
      <c r="CA115" s="78"/>
      <c r="CB115" s="78"/>
      <c r="CC115" s="78"/>
      <c r="CD115" s="78"/>
      <c r="CE115" s="78"/>
      <c r="CF115" s="78"/>
      <c r="CG115" s="78"/>
      <c r="CH115" s="78"/>
      <c r="CI115" s="78"/>
      <c r="CJ115" s="78"/>
      <c r="CK115" s="78"/>
      <c r="CL115" s="78"/>
      <c r="CM115" s="78"/>
      <c r="CN115" s="78"/>
      <c r="CO115" s="78"/>
      <c r="CP115" s="78"/>
      <c r="CQ115" s="78"/>
      <c r="CR115" s="78"/>
      <c r="CS115" s="78"/>
      <c r="CT115" s="78"/>
      <c r="CU115" s="78"/>
      <c r="CV115" s="78"/>
      <c r="CW115" s="78"/>
      <c r="CX115" s="78"/>
      <c r="CY115" s="78"/>
      <c r="CZ115" s="78"/>
      <c r="DA115" s="78"/>
      <c r="DB115" s="78"/>
      <c r="DC115" s="78"/>
      <c r="DD115" s="78"/>
      <c r="DE115" s="78"/>
      <c r="DF115" s="78"/>
      <c r="DG115" s="78"/>
      <c r="DH115" s="78"/>
      <c r="DI115" s="78"/>
      <c r="DJ115" s="78"/>
      <c r="DK115" s="78"/>
      <c r="DL115" s="78"/>
      <c r="DM115" s="78"/>
      <c r="DN115" s="78"/>
      <c r="DO115" s="78"/>
      <c r="DP115" s="78"/>
      <c r="DQ115" s="78"/>
      <c r="DR115" s="78"/>
      <c r="DS115" s="78"/>
      <c r="DT115" s="78"/>
      <c r="DU115" s="78"/>
      <c r="DV115" s="78"/>
      <c r="DW115" s="78"/>
      <c r="DX115" s="78"/>
      <c r="DY115" s="78"/>
      <c r="DZ115" s="78"/>
      <c r="EA115" s="78"/>
      <c r="EB115" s="78"/>
      <c r="EC115" s="78"/>
      <c r="ED115" s="78"/>
      <c r="EE115" s="78"/>
      <c r="EF115" s="78"/>
      <c r="EG115" s="78"/>
      <c r="EH115" s="78"/>
      <c r="EI115" s="78"/>
      <c r="EJ115" s="78"/>
      <c r="EK115" s="78"/>
      <c r="EL115" s="78"/>
      <c r="EM115" s="78"/>
      <c r="EN115" s="91"/>
      <c r="EO115" s="91"/>
      <c r="EP115" s="91"/>
      <c r="EQ115" s="91"/>
      <c r="ER115" s="91"/>
      <c r="ES115" s="91"/>
    </row>
    <row r="116" spans="1:149" outlineLevel="1">
      <c r="A116" s="29" t="str">
        <f t="shared" si="20"/>
        <v>PROCESS_PROPERTY_RELPROPERTY_BANK_ID</v>
      </c>
      <c r="B116" s="67" t="s">
        <v>26</v>
      </c>
      <c r="C116" s="68" t="s">
        <v>54</v>
      </c>
      <c r="D116" s="64" t="s">
        <v>40</v>
      </c>
      <c r="E116" s="66" t="s">
        <v>88</v>
      </c>
      <c r="F116" s="66" t="s">
        <v>41</v>
      </c>
      <c r="G116" s="64" t="str">
        <f>INDEX(Auxiliar!$B$16:$B$24,MATCH(Plano_V3!H116,Auxiliar!$C$16:$C$24,0),1)</f>
        <v>1. Concluído</v>
      </c>
      <c r="H116" s="64">
        <f>VLOOKUP(A116,'Aux - pivots1'!$A:$B,2,0)</f>
        <v>1</v>
      </c>
      <c r="I116" s="180">
        <f>SUMIFS(Table1[Estimação (horas)],Table1[Tabela],Plano_V3!E116,Table1[Campo],Plano_V3!F116)</f>
        <v>4.0999999999999996</v>
      </c>
      <c r="J116" s="180">
        <f t="shared" si="21"/>
        <v>0.51249999999999996</v>
      </c>
      <c r="K116" s="180">
        <f>SUMIFS(Table1[Horas efetivas],Table1[Tabela],Plano_V3!E116,Table1[Campo],Plano_V3!F116)</f>
        <v>4.0999999999999996</v>
      </c>
      <c r="L116" s="180">
        <f t="shared" si="22"/>
        <v>0.51249999999999996</v>
      </c>
      <c r="M116" s="174"/>
      <c r="N116" s="174">
        <f t="shared" si="23"/>
        <v>1</v>
      </c>
      <c r="O116" s="174">
        <f t="shared" si="12"/>
        <v>1</v>
      </c>
      <c r="P116" s="89" t="s">
        <v>56</v>
      </c>
      <c r="Q116" s="90">
        <f t="shared" si="13"/>
        <v>0.51249999999999996</v>
      </c>
      <c r="R116" s="78"/>
      <c r="S116" s="78"/>
      <c r="T116" s="78"/>
      <c r="U116" s="78"/>
      <c r="V116" s="78"/>
      <c r="W116" s="78"/>
      <c r="X116" s="78"/>
      <c r="Y116" s="78"/>
      <c r="Z116" s="78"/>
      <c r="AA116" s="78"/>
      <c r="AB116" s="78"/>
      <c r="AC116" s="78"/>
      <c r="AD116" s="78"/>
      <c r="AE116" s="78"/>
      <c r="AF116" s="78"/>
      <c r="AG116" s="78"/>
      <c r="AH116" s="78"/>
      <c r="AI116" s="78"/>
      <c r="AJ116" s="78"/>
      <c r="AK116" s="78"/>
      <c r="AL116" s="78"/>
      <c r="AM116" s="78"/>
      <c r="AN116" s="78"/>
      <c r="AO116" s="78"/>
      <c r="AP116" s="78"/>
      <c r="AQ116" s="78"/>
      <c r="AR116" s="78"/>
      <c r="AS116" s="78"/>
      <c r="AT116" s="78"/>
      <c r="AU116" s="78"/>
      <c r="AV116" s="78"/>
      <c r="AW116" s="78"/>
      <c r="AX116" s="78"/>
      <c r="AY116" s="91"/>
      <c r="AZ116" s="78"/>
      <c r="BA116" s="78"/>
      <c r="BB116" s="78"/>
      <c r="BC116" s="78"/>
      <c r="BD116" s="78"/>
      <c r="BE116" s="78"/>
      <c r="BF116" s="78"/>
      <c r="BG116" s="78"/>
      <c r="BH116" s="78"/>
      <c r="BI116" s="78"/>
      <c r="BJ116" s="78"/>
      <c r="BK116" s="78"/>
      <c r="BL116" s="78"/>
      <c r="BM116" s="78"/>
      <c r="BN116" s="78"/>
      <c r="BO116" s="78"/>
      <c r="BP116" s="78"/>
      <c r="BQ116" s="78"/>
      <c r="BR116" s="78"/>
      <c r="BS116" s="78"/>
      <c r="BT116" s="78"/>
      <c r="BU116" s="78"/>
      <c r="BV116" s="78"/>
      <c r="BW116" s="78"/>
      <c r="BX116" s="78"/>
      <c r="BY116" s="78"/>
      <c r="BZ116" s="78"/>
      <c r="CA116" s="78"/>
      <c r="CB116" s="78"/>
      <c r="CC116" s="78"/>
      <c r="CD116" s="78"/>
      <c r="CE116" s="78"/>
      <c r="CF116" s="78"/>
      <c r="CG116" s="78"/>
      <c r="CH116" s="78"/>
      <c r="CI116" s="78"/>
      <c r="CJ116" s="78"/>
      <c r="CK116" s="78"/>
      <c r="CL116" s="78"/>
      <c r="CM116" s="78"/>
      <c r="CN116" s="78"/>
      <c r="CO116" s="78"/>
      <c r="CP116" s="78"/>
      <c r="CQ116" s="78"/>
      <c r="CR116" s="78"/>
      <c r="CS116" s="78"/>
      <c r="CT116" s="78"/>
      <c r="CU116" s="78"/>
      <c r="CV116" s="78"/>
      <c r="CW116" s="78"/>
      <c r="CX116" s="78"/>
      <c r="CY116" s="78"/>
      <c r="CZ116" s="78"/>
      <c r="DA116" s="78"/>
      <c r="DB116" s="78"/>
      <c r="DC116" s="78"/>
      <c r="DD116" s="78"/>
      <c r="DE116" s="78"/>
      <c r="DF116" s="78"/>
      <c r="DG116" s="78"/>
      <c r="DH116" s="78"/>
      <c r="DI116" s="78"/>
      <c r="DJ116" s="78"/>
      <c r="DK116" s="78"/>
      <c r="DL116" s="78"/>
      <c r="DM116" s="78"/>
      <c r="DN116" s="78"/>
      <c r="DO116" s="78"/>
      <c r="DP116" s="78"/>
      <c r="DQ116" s="78"/>
      <c r="DR116" s="78"/>
      <c r="DS116" s="78"/>
      <c r="DT116" s="78"/>
      <c r="DU116" s="78"/>
      <c r="DV116" s="78"/>
      <c r="DW116" s="78"/>
      <c r="DX116" s="78"/>
      <c r="DY116" s="78"/>
      <c r="DZ116" s="78"/>
      <c r="EA116" s="78"/>
      <c r="EB116" s="78"/>
      <c r="EC116" s="78"/>
      <c r="ED116" s="78"/>
      <c r="EE116" s="78"/>
      <c r="EF116" s="78"/>
      <c r="EG116" s="78"/>
      <c r="EH116" s="78"/>
      <c r="EI116" s="78"/>
      <c r="EJ116" s="78"/>
      <c r="EK116" s="78"/>
      <c r="EL116" s="78"/>
      <c r="EM116" s="78"/>
      <c r="EN116" s="91"/>
      <c r="EO116" s="91"/>
      <c r="EP116" s="91"/>
      <c r="EQ116" s="91"/>
      <c r="ER116" s="91"/>
      <c r="ES116" s="91"/>
    </row>
    <row r="117" spans="1:149" outlineLevel="1">
      <c r="A117" s="29" t="str">
        <f t="shared" si="20"/>
        <v>PROCESS_PROPERTY_RELPROCESS_BANK_ID</v>
      </c>
      <c r="B117" s="67" t="s">
        <v>26</v>
      </c>
      <c r="C117" s="68" t="s">
        <v>54</v>
      </c>
      <c r="D117" s="64" t="s">
        <v>40</v>
      </c>
      <c r="E117" s="66" t="s">
        <v>88</v>
      </c>
      <c r="F117" s="66" t="s">
        <v>57</v>
      </c>
      <c r="G117" s="64" t="str">
        <f>INDEX(Auxiliar!$B$16:$B$24,MATCH(Plano_V3!H117,Auxiliar!$C$16:$C$24,0),1)</f>
        <v>1. Concluído</v>
      </c>
      <c r="H117" s="64">
        <f>VLOOKUP(A117,'Aux - pivots1'!$A:$B,2,0)</f>
        <v>1</v>
      </c>
      <c r="I117" s="180">
        <f>SUMIFS(Table1[Estimação (horas)],Table1[Tabela],Plano_V3!E117,Table1[Campo],Plano_V3!F117)</f>
        <v>8.1</v>
      </c>
      <c r="J117" s="180">
        <f t="shared" si="21"/>
        <v>1.0125</v>
      </c>
      <c r="K117" s="180">
        <f>SUMIFS(Table1[Horas efetivas],Table1[Tabela],Plano_V3!E117,Table1[Campo],Plano_V3!F117)</f>
        <v>8.1</v>
      </c>
      <c r="L117" s="180">
        <f t="shared" si="22"/>
        <v>1.0125</v>
      </c>
      <c r="M117" s="174"/>
      <c r="N117" s="174">
        <f t="shared" si="23"/>
        <v>1</v>
      </c>
      <c r="O117" s="174">
        <f t="shared" si="12"/>
        <v>1</v>
      </c>
      <c r="P117" s="89" t="s">
        <v>56</v>
      </c>
      <c r="Q117" s="90">
        <f t="shared" si="13"/>
        <v>1.0125</v>
      </c>
      <c r="R117" s="78"/>
      <c r="S117" s="78"/>
      <c r="T117" s="78"/>
      <c r="U117" s="78"/>
      <c r="V117" s="78"/>
      <c r="W117" s="78"/>
      <c r="X117" s="78"/>
      <c r="Y117" s="78"/>
      <c r="Z117" s="78"/>
      <c r="AA117" s="78"/>
      <c r="AB117" s="78"/>
      <c r="AC117" s="78"/>
      <c r="AD117" s="78"/>
      <c r="AE117" s="78"/>
      <c r="AF117" s="78"/>
      <c r="AG117" s="78"/>
      <c r="AH117" s="78"/>
      <c r="AI117" s="78"/>
      <c r="AJ117" s="78"/>
      <c r="AK117" s="78"/>
      <c r="AL117" s="78"/>
      <c r="AM117" s="78"/>
      <c r="AN117" s="78"/>
      <c r="AO117" s="78"/>
      <c r="AP117" s="78"/>
      <c r="AQ117" s="78"/>
      <c r="AR117" s="78"/>
      <c r="AS117" s="78"/>
      <c r="AT117" s="78"/>
      <c r="AU117" s="78"/>
      <c r="AV117" s="78"/>
      <c r="AW117" s="78"/>
      <c r="AX117" s="78"/>
      <c r="AY117" s="91"/>
      <c r="AZ117" s="78"/>
      <c r="BA117" s="78"/>
      <c r="BB117" s="78"/>
      <c r="BC117" s="78"/>
      <c r="BD117" s="78"/>
      <c r="BE117" s="78"/>
      <c r="BF117" s="78"/>
      <c r="BG117" s="78"/>
      <c r="BH117" s="78"/>
      <c r="BI117" s="78"/>
      <c r="BJ117" s="78"/>
      <c r="BK117" s="78"/>
      <c r="BL117" s="78"/>
      <c r="BM117" s="78"/>
      <c r="BN117" s="78"/>
      <c r="BO117" s="78"/>
      <c r="BP117" s="78"/>
      <c r="BQ117" s="78"/>
      <c r="BR117" s="78"/>
      <c r="BS117" s="78"/>
      <c r="BT117" s="78"/>
      <c r="BU117" s="78"/>
      <c r="BV117" s="78"/>
      <c r="BW117" s="78"/>
      <c r="BX117" s="78"/>
      <c r="BY117" s="78"/>
      <c r="BZ117" s="78"/>
      <c r="CA117" s="78"/>
      <c r="CB117" s="78"/>
      <c r="CC117" s="78"/>
      <c r="CD117" s="78"/>
      <c r="CE117" s="78"/>
      <c r="CF117" s="78"/>
      <c r="CG117" s="78"/>
      <c r="CH117" s="78"/>
      <c r="CI117" s="78"/>
      <c r="CJ117" s="78"/>
      <c r="CK117" s="78"/>
      <c r="CL117" s="78"/>
      <c r="CM117" s="78"/>
      <c r="CN117" s="78"/>
      <c r="CO117" s="78"/>
      <c r="CP117" s="78"/>
      <c r="CQ117" s="78"/>
      <c r="CR117" s="78"/>
      <c r="CS117" s="78"/>
      <c r="CT117" s="78"/>
      <c r="CU117" s="78"/>
      <c r="CV117" s="78"/>
      <c r="CW117" s="78"/>
      <c r="CX117" s="78"/>
      <c r="CY117" s="78"/>
      <c r="CZ117" s="78"/>
      <c r="DA117" s="78"/>
      <c r="DB117" s="78"/>
      <c r="DC117" s="78"/>
      <c r="DD117" s="78"/>
      <c r="DE117" s="78"/>
      <c r="DF117" s="78"/>
      <c r="DG117" s="78"/>
      <c r="DH117" s="78"/>
      <c r="DI117" s="78"/>
      <c r="DJ117" s="78"/>
      <c r="DK117" s="78"/>
      <c r="DL117" s="78"/>
      <c r="DM117" s="78"/>
      <c r="DN117" s="78"/>
      <c r="DO117" s="78"/>
      <c r="DP117" s="78"/>
      <c r="DQ117" s="78"/>
      <c r="DR117" s="78"/>
      <c r="DS117" s="78"/>
      <c r="DT117" s="78"/>
      <c r="DU117" s="78"/>
      <c r="DV117" s="78"/>
      <c r="DW117" s="78"/>
      <c r="DX117" s="78"/>
      <c r="DY117" s="78"/>
      <c r="DZ117" s="78"/>
      <c r="EA117" s="78"/>
      <c r="EB117" s="78"/>
      <c r="EC117" s="78"/>
      <c r="ED117" s="78"/>
      <c r="EE117" s="78"/>
      <c r="EF117" s="78"/>
      <c r="EG117" s="78"/>
      <c r="EH117" s="78"/>
      <c r="EI117" s="78"/>
      <c r="EJ117" s="78"/>
      <c r="EK117" s="78"/>
      <c r="EL117" s="78"/>
      <c r="EM117" s="78"/>
      <c r="EN117" s="91"/>
      <c r="EO117" s="91"/>
      <c r="EP117" s="91"/>
      <c r="EQ117" s="91"/>
      <c r="ER117" s="91"/>
      <c r="ES117" s="91"/>
    </row>
    <row r="118" spans="1:149" outlineLevel="1">
      <c r="A118" s="29" t="str">
        <f t="shared" si="20"/>
        <v>PROCESS_PROPERTY_RELPROPERTY_BRANCH_CODE</v>
      </c>
      <c r="B118" s="67" t="s">
        <v>26</v>
      </c>
      <c r="C118" s="68" t="s">
        <v>54</v>
      </c>
      <c r="D118" s="64" t="s">
        <v>40</v>
      </c>
      <c r="E118" s="66" t="s">
        <v>88</v>
      </c>
      <c r="F118" s="66" t="s">
        <v>43</v>
      </c>
      <c r="G118" s="64" t="str">
        <f>INDEX(Auxiliar!$B$16:$B$24,MATCH(Plano_V3!H118,Auxiliar!$C$16:$C$24,0),1)</f>
        <v>1. Concluído</v>
      </c>
      <c r="H118" s="64">
        <f>VLOOKUP(A118,'Aux - pivots1'!$A:$B,2,0)</f>
        <v>1</v>
      </c>
      <c r="I118" s="180">
        <f>SUMIFS(Table1[Estimação (horas)],Table1[Tabela],Plano_V3!E118,Table1[Campo],Plano_V3!F118)</f>
        <v>8.1</v>
      </c>
      <c r="J118" s="180">
        <f t="shared" si="21"/>
        <v>1.0125</v>
      </c>
      <c r="K118" s="180">
        <f>SUMIFS(Table1[Horas efetivas],Table1[Tabela],Plano_V3!E118,Table1[Campo],Plano_V3!F118)</f>
        <v>8.1</v>
      </c>
      <c r="L118" s="180">
        <f t="shared" si="22"/>
        <v>1.0125</v>
      </c>
      <c r="M118" s="174"/>
      <c r="N118" s="174">
        <f t="shared" si="23"/>
        <v>1</v>
      </c>
      <c r="O118" s="174">
        <f t="shared" si="12"/>
        <v>1</v>
      </c>
      <c r="P118" s="89" t="s">
        <v>56</v>
      </c>
      <c r="Q118" s="90">
        <f t="shared" si="13"/>
        <v>1.0125</v>
      </c>
      <c r="R118" s="78"/>
      <c r="S118" s="78"/>
      <c r="T118" s="78"/>
      <c r="U118" s="78"/>
      <c r="V118" s="78"/>
      <c r="W118" s="78"/>
      <c r="X118" s="78"/>
      <c r="Y118" s="78"/>
      <c r="Z118" s="78"/>
      <c r="AA118" s="78"/>
      <c r="AB118" s="78"/>
      <c r="AC118" s="78"/>
      <c r="AD118" s="78"/>
      <c r="AE118" s="78"/>
      <c r="AF118" s="78"/>
      <c r="AG118" s="78"/>
      <c r="AH118" s="78"/>
      <c r="AI118" s="78"/>
      <c r="AJ118" s="78"/>
      <c r="AK118" s="78"/>
      <c r="AL118" s="78"/>
      <c r="AM118" s="78"/>
      <c r="AN118" s="78"/>
      <c r="AO118" s="78"/>
      <c r="AP118" s="78"/>
      <c r="AQ118" s="78"/>
      <c r="AR118" s="78"/>
      <c r="AS118" s="78"/>
      <c r="AT118" s="78"/>
      <c r="AU118" s="78"/>
      <c r="AV118" s="78"/>
      <c r="AW118" s="78"/>
      <c r="AX118" s="78"/>
      <c r="AY118" s="91"/>
      <c r="AZ118" s="78"/>
      <c r="BA118" s="78"/>
      <c r="BB118" s="78"/>
      <c r="BC118" s="78"/>
      <c r="BD118" s="78"/>
      <c r="BE118" s="78"/>
      <c r="BF118" s="78"/>
      <c r="BG118" s="78"/>
      <c r="BH118" s="78"/>
      <c r="BI118" s="78"/>
      <c r="BJ118" s="78"/>
      <c r="BK118" s="78"/>
      <c r="BL118" s="78"/>
      <c r="BM118" s="78"/>
      <c r="BN118" s="78"/>
      <c r="BO118" s="78"/>
      <c r="BP118" s="78"/>
      <c r="BQ118" s="78"/>
      <c r="BR118" s="78"/>
      <c r="BS118" s="78"/>
      <c r="BT118" s="78"/>
      <c r="BU118" s="78"/>
      <c r="BV118" s="78"/>
      <c r="BW118" s="78"/>
      <c r="BX118" s="78"/>
      <c r="BY118" s="78"/>
      <c r="BZ118" s="78"/>
      <c r="CA118" s="78"/>
      <c r="CB118" s="78"/>
      <c r="CC118" s="78"/>
      <c r="CD118" s="78"/>
      <c r="CE118" s="78"/>
      <c r="CF118" s="78"/>
      <c r="CG118" s="78"/>
      <c r="CH118" s="78"/>
      <c r="CI118" s="78"/>
      <c r="CJ118" s="78"/>
      <c r="CK118" s="78"/>
      <c r="CL118" s="78"/>
      <c r="CM118" s="78"/>
      <c r="CN118" s="78"/>
      <c r="CO118" s="78"/>
      <c r="CP118" s="78"/>
      <c r="CQ118" s="78"/>
      <c r="CR118" s="78"/>
      <c r="CS118" s="78"/>
      <c r="CT118" s="78"/>
      <c r="CU118" s="78"/>
      <c r="CV118" s="78"/>
      <c r="CW118" s="78"/>
      <c r="CX118" s="78"/>
      <c r="CY118" s="78"/>
      <c r="CZ118" s="78"/>
      <c r="DA118" s="78"/>
      <c r="DB118" s="78"/>
      <c r="DC118" s="78"/>
      <c r="DD118" s="78"/>
      <c r="DE118" s="78"/>
      <c r="DF118" s="78"/>
      <c r="DG118" s="78"/>
      <c r="DH118" s="78"/>
      <c r="DI118" s="78"/>
      <c r="DJ118" s="78"/>
      <c r="DK118" s="78"/>
      <c r="DL118" s="78"/>
      <c r="DM118" s="78"/>
      <c r="DN118" s="78"/>
      <c r="DO118" s="78"/>
      <c r="DP118" s="78"/>
      <c r="DQ118" s="78"/>
      <c r="DR118" s="78"/>
      <c r="DS118" s="78"/>
      <c r="DT118" s="78"/>
      <c r="DU118" s="78"/>
      <c r="DV118" s="78"/>
      <c r="DW118" s="78"/>
      <c r="DX118" s="78"/>
      <c r="DY118" s="78"/>
      <c r="DZ118" s="78"/>
      <c r="EA118" s="78"/>
      <c r="EB118" s="78"/>
      <c r="EC118" s="78"/>
      <c r="ED118" s="78"/>
      <c r="EE118" s="78"/>
      <c r="EF118" s="78"/>
      <c r="EG118" s="78"/>
      <c r="EH118" s="78"/>
      <c r="EI118" s="78"/>
      <c r="EJ118" s="78"/>
      <c r="EK118" s="78"/>
      <c r="EL118" s="78"/>
      <c r="EM118" s="78"/>
      <c r="EN118" s="91"/>
      <c r="EO118" s="91"/>
      <c r="EP118" s="91"/>
      <c r="EQ118" s="91"/>
      <c r="ER118" s="91"/>
      <c r="ES118" s="91"/>
    </row>
    <row r="119" spans="1:149" outlineLevel="1">
      <c r="A119" s="29" t="str">
        <f t="shared" si="20"/>
        <v>PROCESS_PROPERTY_RELPROCESS_BRANCH_CODE</v>
      </c>
      <c r="B119" s="67" t="s">
        <v>26</v>
      </c>
      <c r="C119" s="68" t="s">
        <v>54</v>
      </c>
      <c r="D119" s="64" t="s">
        <v>40</v>
      </c>
      <c r="E119" s="66" t="s">
        <v>88</v>
      </c>
      <c r="F119" s="66" t="s">
        <v>58</v>
      </c>
      <c r="G119" s="64" t="str">
        <f>INDEX(Auxiliar!$B$16:$B$24,MATCH(Plano_V3!H119,Auxiliar!$C$16:$C$24,0),1)</f>
        <v>1. Concluído</v>
      </c>
      <c r="H119" s="64">
        <f>VLOOKUP(A119,'Aux - pivots1'!$A:$B,2,0)</f>
        <v>1</v>
      </c>
      <c r="I119" s="180">
        <f>SUMIFS(Table1[Estimação (horas)],Table1[Tabela],Plano_V3!E119,Table1[Campo],Plano_V3!F119)</f>
        <v>8.1</v>
      </c>
      <c r="J119" s="180">
        <f t="shared" si="21"/>
        <v>1.0125</v>
      </c>
      <c r="K119" s="180">
        <f>SUMIFS(Table1[Horas efetivas],Table1[Tabela],Plano_V3!E119,Table1[Campo],Plano_V3!F119)</f>
        <v>8.1</v>
      </c>
      <c r="L119" s="180">
        <f t="shared" si="22"/>
        <v>1.0125</v>
      </c>
      <c r="M119" s="174"/>
      <c r="N119" s="174">
        <f t="shared" si="23"/>
        <v>1</v>
      </c>
      <c r="O119" s="174">
        <f t="shared" si="12"/>
        <v>1</v>
      </c>
      <c r="P119" s="89" t="s">
        <v>56</v>
      </c>
      <c r="Q119" s="90">
        <f t="shared" si="13"/>
        <v>1.0125</v>
      </c>
      <c r="R119" s="78"/>
      <c r="S119" s="78"/>
      <c r="T119" s="78"/>
      <c r="U119" s="78"/>
      <c r="V119" s="78"/>
      <c r="W119" s="78"/>
      <c r="X119" s="78"/>
      <c r="Y119" s="78"/>
      <c r="Z119" s="78"/>
      <c r="AA119" s="78"/>
      <c r="AB119" s="78"/>
      <c r="AC119" s="78"/>
      <c r="AD119" s="78"/>
      <c r="AE119" s="78"/>
      <c r="AF119" s="78"/>
      <c r="AG119" s="78"/>
      <c r="AH119" s="78"/>
      <c r="AI119" s="78"/>
      <c r="AJ119" s="78"/>
      <c r="AK119" s="78"/>
      <c r="AL119" s="78"/>
      <c r="AM119" s="78"/>
      <c r="AN119" s="78"/>
      <c r="AO119" s="78"/>
      <c r="AP119" s="78"/>
      <c r="AQ119" s="78"/>
      <c r="AR119" s="78"/>
      <c r="AS119" s="78"/>
      <c r="AT119" s="78"/>
      <c r="AU119" s="78"/>
      <c r="AV119" s="78"/>
      <c r="AW119" s="78"/>
      <c r="AX119" s="78"/>
      <c r="AY119" s="91"/>
      <c r="AZ119" s="78"/>
      <c r="BA119" s="78"/>
      <c r="BB119" s="78"/>
      <c r="BC119" s="78"/>
      <c r="BD119" s="78"/>
      <c r="BE119" s="78"/>
      <c r="BF119" s="78"/>
      <c r="BG119" s="78"/>
      <c r="BH119" s="78"/>
      <c r="BI119" s="78"/>
      <c r="BJ119" s="78"/>
      <c r="BK119" s="78"/>
      <c r="BL119" s="78"/>
      <c r="BM119" s="78"/>
      <c r="BN119" s="78"/>
      <c r="BO119" s="78"/>
      <c r="BP119" s="78"/>
      <c r="BQ119" s="78"/>
      <c r="BR119" s="78"/>
      <c r="BS119" s="78"/>
      <c r="BT119" s="78"/>
      <c r="BU119" s="78"/>
      <c r="BV119" s="78"/>
      <c r="BW119" s="78"/>
      <c r="BX119" s="78"/>
      <c r="BY119" s="78"/>
      <c r="BZ119" s="78"/>
      <c r="CA119" s="78"/>
      <c r="CB119" s="78"/>
      <c r="CC119" s="78"/>
      <c r="CD119" s="78"/>
      <c r="CE119" s="78"/>
      <c r="CF119" s="78"/>
      <c r="CG119" s="78"/>
      <c r="CH119" s="78"/>
      <c r="CI119" s="78"/>
      <c r="CJ119" s="78"/>
      <c r="CK119" s="78"/>
      <c r="CL119" s="78"/>
      <c r="CM119" s="78"/>
      <c r="CN119" s="78"/>
      <c r="CO119" s="78"/>
      <c r="CP119" s="78"/>
      <c r="CQ119" s="78"/>
      <c r="CR119" s="78"/>
      <c r="CS119" s="78"/>
      <c r="CT119" s="78"/>
      <c r="CU119" s="78"/>
      <c r="CV119" s="78"/>
      <c r="CW119" s="78"/>
      <c r="CX119" s="78"/>
      <c r="CY119" s="78"/>
      <c r="CZ119" s="78"/>
      <c r="DA119" s="78"/>
      <c r="DB119" s="78"/>
      <c r="DC119" s="78"/>
      <c r="DD119" s="78"/>
      <c r="DE119" s="78"/>
      <c r="DF119" s="78"/>
      <c r="DG119" s="78"/>
      <c r="DH119" s="78"/>
      <c r="DI119" s="78"/>
      <c r="DJ119" s="78"/>
      <c r="DK119" s="78"/>
      <c r="DL119" s="78"/>
      <c r="DM119" s="78"/>
      <c r="DN119" s="78"/>
      <c r="DO119" s="78"/>
      <c r="DP119" s="78"/>
      <c r="DQ119" s="78"/>
      <c r="DR119" s="78"/>
      <c r="DS119" s="78"/>
      <c r="DT119" s="78"/>
      <c r="DU119" s="78"/>
      <c r="DV119" s="78"/>
      <c r="DW119" s="78"/>
      <c r="DX119" s="78"/>
      <c r="DY119" s="78"/>
      <c r="DZ119" s="78"/>
      <c r="EA119" s="78"/>
      <c r="EB119" s="78"/>
      <c r="EC119" s="78"/>
      <c r="ED119" s="78"/>
      <c r="EE119" s="78"/>
      <c r="EF119" s="78"/>
      <c r="EG119" s="78"/>
      <c r="EH119" s="78"/>
      <c r="EI119" s="78"/>
      <c r="EJ119" s="78"/>
      <c r="EK119" s="78"/>
      <c r="EL119" s="78"/>
      <c r="EM119" s="78"/>
      <c r="EN119" s="91"/>
      <c r="EO119" s="91"/>
      <c r="EP119" s="91"/>
      <c r="EQ119" s="91"/>
      <c r="ER119" s="91"/>
      <c r="ES119" s="91"/>
    </row>
    <row r="120" spans="1:149" outlineLevel="1">
      <c r="A120" s="29" t="str">
        <f t="shared" si="20"/>
        <v>PROCESS_PROPERTY_RELPROPERTY_CONTRACT_ID</v>
      </c>
      <c r="B120" s="67" t="s">
        <v>26</v>
      </c>
      <c r="C120" s="68" t="s">
        <v>54</v>
      </c>
      <c r="D120" s="64" t="s">
        <v>40</v>
      </c>
      <c r="E120" s="66" t="s">
        <v>88</v>
      </c>
      <c r="F120" s="66" t="s">
        <v>44</v>
      </c>
      <c r="G120" s="64" t="str">
        <f>INDEX(Auxiliar!$B$16:$B$24,MATCH(Plano_V3!H120,Auxiliar!$C$16:$C$24,0),1)</f>
        <v>1. Concluído</v>
      </c>
      <c r="H120" s="64">
        <f>VLOOKUP(A120,'Aux - pivots1'!$A:$B,2,0)</f>
        <v>1</v>
      </c>
      <c r="I120" s="180">
        <f>SUMIFS(Table1[Estimação (horas)],Table1[Tabela],Plano_V3!E120,Table1[Campo],Plano_V3!F120)</f>
        <v>8.1</v>
      </c>
      <c r="J120" s="180">
        <f t="shared" si="21"/>
        <v>1.0125</v>
      </c>
      <c r="K120" s="180">
        <f>SUMIFS(Table1[Horas efetivas],Table1[Tabela],Plano_V3!E120,Table1[Campo],Plano_V3!F120)</f>
        <v>8.1</v>
      </c>
      <c r="L120" s="180">
        <f t="shared" si="22"/>
        <v>1.0125</v>
      </c>
      <c r="M120" s="174"/>
      <c r="N120" s="174">
        <f t="shared" si="23"/>
        <v>1</v>
      </c>
      <c r="O120" s="174">
        <f t="shared" si="12"/>
        <v>1</v>
      </c>
      <c r="P120" s="89" t="s">
        <v>56</v>
      </c>
      <c r="Q120" s="90">
        <f t="shared" si="13"/>
        <v>1.0125</v>
      </c>
      <c r="R120" s="78"/>
      <c r="S120" s="78"/>
      <c r="T120" s="78"/>
      <c r="U120" s="78"/>
      <c r="V120" s="78"/>
      <c r="W120" s="78"/>
      <c r="X120" s="78"/>
      <c r="Y120" s="78"/>
      <c r="Z120" s="78"/>
      <c r="AA120" s="78"/>
      <c r="AB120" s="78"/>
      <c r="AC120" s="78"/>
      <c r="AD120" s="78"/>
      <c r="AE120" s="78"/>
      <c r="AF120" s="78"/>
      <c r="AG120" s="78"/>
      <c r="AH120" s="78"/>
      <c r="AI120" s="78"/>
      <c r="AJ120" s="78"/>
      <c r="AK120" s="78"/>
      <c r="AL120" s="78"/>
      <c r="AM120" s="78"/>
      <c r="AN120" s="78"/>
      <c r="AO120" s="78"/>
      <c r="AP120" s="78"/>
      <c r="AQ120" s="78"/>
      <c r="AR120" s="78"/>
      <c r="AS120" s="78"/>
      <c r="AT120" s="78"/>
      <c r="AU120" s="78"/>
      <c r="AV120" s="78"/>
      <c r="AW120" s="78"/>
      <c r="AX120" s="78"/>
      <c r="AY120" s="91"/>
      <c r="AZ120" s="78"/>
      <c r="BA120" s="78"/>
      <c r="BB120" s="78"/>
      <c r="BC120" s="78"/>
      <c r="BD120" s="78"/>
      <c r="BE120" s="78"/>
      <c r="BF120" s="78"/>
      <c r="BG120" s="78"/>
      <c r="BH120" s="78"/>
      <c r="BI120" s="78"/>
      <c r="BJ120" s="78"/>
      <c r="BK120" s="78"/>
      <c r="BL120" s="78"/>
      <c r="BM120" s="78"/>
      <c r="BN120" s="78"/>
      <c r="BO120" s="78"/>
      <c r="BP120" s="78"/>
      <c r="BQ120" s="78"/>
      <c r="BR120" s="78"/>
      <c r="BS120" s="78"/>
      <c r="BT120" s="78"/>
      <c r="BU120" s="78"/>
      <c r="BV120" s="78"/>
      <c r="BW120" s="78"/>
      <c r="BX120" s="78"/>
      <c r="BY120" s="78"/>
      <c r="BZ120" s="78"/>
      <c r="CA120" s="78"/>
      <c r="CB120" s="78"/>
      <c r="CC120" s="78"/>
      <c r="CD120" s="78"/>
      <c r="CE120" s="78"/>
      <c r="CF120" s="78"/>
      <c r="CG120" s="78"/>
      <c r="CH120" s="78"/>
      <c r="CI120" s="78"/>
      <c r="CJ120" s="78"/>
      <c r="CK120" s="78"/>
      <c r="CL120" s="78"/>
      <c r="CM120" s="78"/>
      <c r="CN120" s="78"/>
      <c r="CO120" s="78"/>
      <c r="CP120" s="78"/>
      <c r="CQ120" s="78"/>
      <c r="CR120" s="78"/>
      <c r="CS120" s="78"/>
      <c r="CT120" s="78"/>
      <c r="CU120" s="78"/>
      <c r="CV120" s="78"/>
      <c r="CW120" s="78"/>
      <c r="CX120" s="78"/>
      <c r="CY120" s="78"/>
      <c r="CZ120" s="78"/>
      <c r="DA120" s="78"/>
      <c r="DB120" s="78"/>
      <c r="DC120" s="78"/>
      <c r="DD120" s="78"/>
      <c r="DE120" s="78"/>
      <c r="DF120" s="78"/>
      <c r="DG120" s="78"/>
      <c r="DH120" s="78"/>
      <c r="DI120" s="78"/>
      <c r="DJ120" s="78"/>
      <c r="DK120" s="78"/>
      <c r="DL120" s="78"/>
      <c r="DM120" s="78"/>
      <c r="DN120" s="78"/>
      <c r="DO120" s="78"/>
      <c r="DP120" s="78"/>
      <c r="DQ120" s="78"/>
      <c r="DR120" s="78"/>
      <c r="DS120" s="78"/>
      <c r="DT120" s="78"/>
      <c r="DU120" s="78"/>
      <c r="DV120" s="78"/>
      <c r="DW120" s="78"/>
      <c r="DX120" s="78"/>
      <c r="DY120" s="78"/>
      <c r="DZ120" s="78"/>
      <c r="EA120" s="78"/>
      <c r="EB120" s="78"/>
      <c r="EC120" s="78"/>
      <c r="ED120" s="78"/>
      <c r="EE120" s="78"/>
      <c r="EF120" s="78"/>
      <c r="EG120" s="78"/>
      <c r="EH120" s="78"/>
      <c r="EI120" s="78"/>
      <c r="EJ120" s="78"/>
      <c r="EK120" s="78"/>
      <c r="EL120" s="78"/>
      <c r="EM120" s="78"/>
      <c r="EN120" s="91"/>
      <c r="EO120" s="91"/>
      <c r="EP120" s="91"/>
      <c r="EQ120" s="91"/>
      <c r="ER120" s="91"/>
      <c r="ES120" s="91"/>
    </row>
    <row r="121" spans="1:149" outlineLevel="1">
      <c r="A121" s="29" t="str">
        <f t="shared" si="20"/>
        <v>PROCESS_PROPERTY_RELPROCESS_ACCOUNT_ID</v>
      </c>
      <c r="B121" s="67" t="s">
        <v>26</v>
      </c>
      <c r="C121" s="68" t="s">
        <v>54</v>
      </c>
      <c r="D121" s="64" t="s">
        <v>40</v>
      </c>
      <c r="E121" s="66" t="s">
        <v>88</v>
      </c>
      <c r="F121" s="66" t="s">
        <v>59</v>
      </c>
      <c r="G121" s="64" t="str">
        <f>INDEX(Auxiliar!$B$16:$B$24,MATCH(Plano_V3!H121,Auxiliar!$C$16:$C$24,0),1)</f>
        <v>1. Concluído</v>
      </c>
      <c r="H121" s="64">
        <f>VLOOKUP(A121,'Aux - pivots1'!$A:$B,2,0)</f>
        <v>1</v>
      </c>
      <c r="I121" s="180">
        <f>SUMIFS(Table1[Estimação (horas)],Table1[Tabela],Plano_V3!E121,Table1[Campo],Plano_V3!F121)</f>
        <v>8.1</v>
      </c>
      <c r="J121" s="180">
        <f t="shared" si="21"/>
        <v>1.0125</v>
      </c>
      <c r="K121" s="180">
        <f>SUMIFS(Table1[Horas efetivas],Table1[Tabela],Plano_V3!E121,Table1[Campo],Plano_V3!F121)</f>
        <v>8.1</v>
      </c>
      <c r="L121" s="180">
        <f t="shared" si="22"/>
        <v>1.0125</v>
      </c>
      <c r="M121" s="174"/>
      <c r="N121" s="174">
        <f t="shared" si="23"/>
        <v>1</v>
      </c>
      <c r="O121" s="174">
        <f t="shared" si="12"/>
        <v>1</v>
      </c>
      <c r="P121" s="89" t="s">
        <v>56</v>
      </c>
      <c r="Q121" s="90">
        <f t="shared" si="13"/>
        <v>1.0125</v>
      </c>
      <c r="R121" s="78"/>
      <c r="S121" s="78"/>
      <c r="T121" s="78"/>
      <c r="U121" s="78"/>
      <c r="V121" s="78"/>
      <c r="W121" s="78"/>
      <c r="X121" s="78"/>
      <c r="Y121" s="78"/>
      <c r="Z121" s="78"/>
      <c r="AA121" s="78"/>
      <c r="AB121" s="78"/>
      <c r="AC121" s="78"/>
      <c r="AD121" s="78"/>
      <c r="AE121" s="78"/>
      <c r="AF121" s="78"/>
      <c r="AG121" s="78"/>
      <c r="AH121" s="78"/>
      <c r="AI121" s="78"/>
      <c r="AJ121" s="78"/>
      <c r="AK121" s="78"/>
      <c r="AL121" s="78"/>
      <c r="AM121" s="78"/>
      <c r="AN121" s="78"/>
      <c r="AO121" s="78"/>
      <c r="AP121" s="78"/>
      <c r="AQ121" s="78"/>
      <c r="AR121" s="78"/>
      <c r="AS121" s="78"/>
      <c r="AT121" s="78"/>
      <c r="AU121" s="78"/>
      <c r="AV121" s="78"/>
      <c r="AW121" s="78"/>
      <c r="AX121" s="78"/>
      <c r="AY121" s="91"/>
      <c r="AZ121" s="78"/>
      <c r="BA121" s="78"/>
      <c r="BB121" s="78"/>
      <c r="BC121" s="78"/>
      <c r="BD121" s="78"/>
      <c r="BE121" s="78"/>
      <c r="BF121" s="78"/>
      <c r="BG121" s="78"/>
      <c r="BH121" s="78"/>
      <c r="BI121" s="78"/>
      <c r="BJ121" s="78"/>
      <c r="BK121" s="78"/>
      <c r="BL121" s="78"/>
      <c r="BM121" s="78"/>
      <c r="BN121" s="78"/>
      <c r="BO121" s="78"/>
      <c r="BP121" s="78"/>
      <c r="BQ121" s="78"/>
      <c r="BR121" s="78"/>
      <c r="BS121" s="78"/>
      <c r="BT121" s="78"/>
      <c r="BU121" s="78"/>
      <c r="BV121" s="78"/>
      <c r="BW121" s="78"/>
      <c r="BX121" s="78"/>
      <c r="BY121" s="78"/>
      <c r="BZ121" s="78"/>
      <c r="CA121" s="78"/>
      <c r="CB121" s="78"/>
      <c r="CC121" s="78"/>
      <c r="CD121" s="78"/>
      <c r="CE121" s="78"/>
      <c r="CF121" s="78"/>
      <c r="CG121" s="78"/>
      <c r="CH121" s="78"/>
      <c r="CI121" s="78"/>
      <c r="CJ121" s="78"/>
      <c r="CK121" s="78"/>
      <c r="CL121" s="78"/>
      <c r="CM121" s="78"/>
      <c r="CN121" s="78"/>
      <c r="CO121" s="78"/>
      <c r="CP121" s="78"/>
      <c r="CQ121" s="78"/>
      <c r="CR121" s="78"/>
      <c r="CS121" s="78"/>
      <c r="CT121" s="78"/>
      <c r="CU121" s="78"/>
      <c r="CV121" s="78"/>
      <c r="CW121" s="78"/>
      <c r="CX121" s="78"/>
      <c r="CY121" s="78"/>
      <c r="CZ121" s="78"/>
      <c r="DA121" s="78"/>
      <c r="DB121" s="78"/>
      <c r="DC121" s="78"/>
      <c r="DD121" s="78"/>
      <c r="DE121" s="78"/>
      <c r="DF121" s="78"/>
      <c r="DG121" s="78"/>
      <c r="DH121" s="78"/>
      <c r="DI121" s="78"/>
      <c r="DJ121" s="78"/>
      <c r="DK121" s="78"/>
      <c r="DL121" s="78"/>
      <c r="DM121" s="78"/>
      <c r="DN121" s="78"/>
      <c r="DO121" s="78"/>
      <c r="DP121" s="78"/>
      <c r="DQ121" s="78"/>
      <c r="DR121" s="78"/>
      <c r="DS121" s="78"/>
      <c r="DT121" s="78"/>
      <c r="DU121" s="78"/>
      <c r="DV121" s="78"/>
      <c r="DW121" s="78"/>
      <c r="DX121" s="78"/>
      <c r="DY121" s="78"/>
      <c r="DZ121" s="78"/>
      <c r="EA121" s="78"/>
      <c r="EB121" s="78"/>
      <c r="EC121" s="78"/>
      <c r="ED121" s="78"/>
      <c r="EE121" s="78"/>
      <c r="EF121" s="78"/>
      <c r="EG121" s="78"/>
      <c r="EH121" s="78"/>
      <c r="EI121" s="78"/>
      <c r="EJ121" s="78"/>
      <c r="EK121" s="78"/>
      <c r="EL121" s="78"/>
      <c r="EM121" s="78"/>
      <c r="EN121" s="91"/>
      <c r="EO121" s="91"/>
      <c r="EP121" s="91"/>
      <c r="EQ121" s="91"/>
      <c r="ER121" s="91"/>
      <c r="ES121" s="91"/>
    </row>
    <row r="122" spans="1:149" outlineLevel="1">
      <c r="A122" s="29" t="str">
        <f t="shared" si="20"/>
        <v>PROCESS_PROPERTY_RELPROPERTY_REFERENCE_CODE</v>
      </c>
      <c r="B122" s="67" t="s">
        <v>26</v>
      </c>
      <c r="C122" s="68" t="s">
        <v>54</v>
      </c>
      <c r="D122" s="64" t="s">
        <v>40</v>
      </c>
      <c r="E122" s="66" t="s">
        <v>88</v>
      </c>
      <c r="F122" s="66" t="s">
        <v>45</v>
      </c>
      <c r="G122" s="64" t="str">
        <f>INDEX(Auxiliar!$B$16:$B$24,MATCH(Plano_V3!H122,Auxiliar!$C$16:$C$24,0),1)</f>
        <v>1. Concluído</v>
      </c>
      <c r="H122" s="64">
        <f>VLOOKUP(A122,'Aux - pivots1'!$A:$B,2,0)</f>
        <v>1</v>
      </c>
      <c r="I122" s="180">
        <f>SUMIFS(Table1[Estimação (horas)],Table1[Tabela],Plano_V3!E122,Table1[Campo],Plano_V3!F122)</f>
        <v>4.0999999999999996</v>
      </c>
      <c r="J122" s="180">
        <f t="shared" si="21"/>
        <v>0.51249999999999996</v>
      </c>
      <c r="K122" s="180">
        <f>SUMIFS(Table1[Horas efetivas],Table1[Tabela],Plano_V3!E122,Table1[Campo],Plano_V3!F122)</f>
        <v>4.0999999999999996</v>
      </c>
      <c r="L122" s="180">
        <f t="shared" si="22"/>
        <v>0.51249999999999996</v>
      </c>
      <c r="M122" s="174"/>
      <c r="N122" s="174">
        <f t="shared" si="23"/>
        <v>1</v>
      </c>
      <c r="O122" s="174">
        <f t="shared" si="12"/>
        <v>1</v>
      </c>
      <c r="P122" s="89" t="s">
        <v>56</v>
      </c>
      <c r="Q122" s="90">
        <f t="shared" si="13"/>
        <v>0.51249999999999996</v>
      </c>
      <c r="R122" s="78"/>
      <c r="S122" s="78"/>
      <c r="T122" s="78"/>
      <c r="U122" s="78"/>
      <c r="V122" s="78"/>
      <c r="W122" s="78"/>
      <c r="X122" s="78"/>
      <c r="Y122" s="78"/>
      <c r="Z122" s="78"/>
      <c r="AA122" s="78"/>
      <c r="AB122" s="78"/>
      <c r="AC122" s="78"/>
      <c r="AD122" s="78"/>
      <c r="AE122" s="78"/>
      <c r="AF122" s="78"/>
      <c r="AG122" s="78"/>
      <c r="AH122" s="78"/>
      <c r="AI122" s="78"/>
      <c r="AJ122" s="78"/>
      <c r="AK122" s="78"/>
      <c r="AL122" s="78"/>
      <c r="AM122" s="78"/>
      <c r="AN122" s="78"/>
      <c r="AO122" s="78"/>
      <c r="AP122" s="78"/>
      <c r="AQ122" s="78"/>
      <c r="AR122" s="78"/>
      <c r="AS122" s="78"/>
      <c r="AT122" s="78"/>
      <c r="AU122" s="78"/>
      <c r="AV122" s="78"/>
      <c r="AW122" s="78"/>
      <c r="AX122" s="78"/>
      <c r="AY122" s="91"/>
      <c r="AZ122" s="78"/>
      <c r="BA122" s="78"/>
      <c r="BB122" s="78"/>
      <c r="BC122" s="78"/>
      <c r="BD122" s="78"/>
      <c r="BE122" s="78"/>
      <c r="BF122" s="78"/>
      <c r="BG122" s="78"/>
      <c r="BH122" s="78"/>
      <c r="BI122" s="78"/>
      <c r="BJ122" s="78"/>
      <c r="BK122" s="78"/>
      <c r="BL122" s="78"/>
      <c r="BM122" s="78"/>
      <c r="BN122" s="78"/>
      <c r="BO122" s="78"/>
      <c r="BP122" s="78"/>
      <c r="BQ122" s="78"/>
      <c r="BR122" s="78"/>
      <c r="BS122" s="78"/>
      <c r="BT122" s="78"/>
      <c r="BU122" s="78"/>
      <c r="BV122" s="78"/>
      <c r="BW122" s="78"/>
      <c r="BX122" s="78"/>
      <c r="BY122" s="78"/>
      <c r="BZ122" s="78"/>
      <c r="CA122" s="78"/>
      <c r="CB122" s="78"/>
      <c r="CC122" s="78"/>
      <c r="CD122" s="78"/>
      <c r="CE122" s="78"/>
      <c r="CF122" s="78"/>
      <c r="CG122" s="78"/>
      <c r="CH122" s="78"/>
      <c r="CI122" s="78"/>
      <c r="CJ122" s="78"/>
      <c r="CK122" s="78"/>
      <c r="CL122" s="78"/>
      <c r="CM122" s="78"/>
      <c r="CN122" s="78"/>
      <c r="CO122" s="78"/>
      <c r="CP122" s="78"/>
      <c r="CQ122" s="78"/>
      <c r="CR122" s="78"/>
      <c r="CS122" s="78"/>
      <c r="CT122" s="78"/>
      <c r="CU122" s="78"/>
      <c r="CV122" s="78"/>
      <c r="CW122" s="78"/>
      <c r="CX122" s="78"/>
      <c r="CY122" s="78"/>
      <c r="CZ122" s="78"/>
      <c r="DA122" s="78"/>
      <c r="DB122" s="78"/>
      <c r="DC122" s="78"/>
      <c r="DD122" s="78"/>
      <c r="DE122" s="78"/>
      <c r="DF122" s="78"/>
      <c r="DG122" s="78"/>
      <c r="DH122" s="78"/>
      <c r="DI122" s="78"/>
      <c r="DJ122" s="78"/>
      <c r="DK122" s="78"/>
      <c r="DL122" s="78"/>
      <c r="DM122" s="78"/>
      <c r="DN122" s="78"/>
      <c r="DO122" s="78"/>
      <c r="DP122" s="78"/>
      <c r="DQ122" s="78"/>
      <c r="DR122" s="78"/>
      <c r="DS122" s="78"/>
      <c r="DT122" s="78"/>
      <c r="DU122" s="78"/>
      <c r="DV122" s="78"/>
      <c r="DW122" s="78"/>
      <c r="DX122" s="78"/>
      <c r="DY122" s="78"/>
      <c r="DZ122" s="78"/>
      <c r="EA122" s="78"/>
      <c r="EB122" s="78"/>
      <c r="EC122" s="78"/>
      <c r="ED122" s="78"/>
      <c r="EE122" s="78"/>
      <c r="EF122" s="78"/>
      <c r="EG122" s="78"/>
      <c r="EH122" s="78"/>
      <c r="EI122" s="78"/>
      <c r="EJ122" s="78"/>
      <c r="EK122" s="78"/>
      <c r="EL122" s="78"/>
      <c r="EM122" s="78"/>
      <c r="EN122" s="91"/>
      <c r="EO122" s="91"/>
      <c r="EP122" s="91"/>
      <c r="EQ122" s="91"/>
      <c r="ER122" s="91"/>
      <c r="ES122" s="91"/>
    </row>
    <row r="123" spans="1:149" outlineLevel="1">
      <c r="A123" s="29" t="str">
        <f t="shared" si="20"/>
        <v>PROCESS_PROPERTY_RELPROCESS_REFERENCE_CODE</v>
      </c>
      <c r="B123" s="67" t="s">
        <v>26</v>
      </c>
      <c r="C123" s="68" t="s">
        <v>54</v>
      </c>
      <c r="D123" s="64" t="s">
        <v>40</v>
      </c>
      <c r="E123" s="66" t="s">
        <v>88</v>
      </c>
      <c r="F123" s="66" t="s">
        <v>67</v>
      </c>
      <c r="G123" s="64" t="str">
        <f>INDEX(Auxiliar!$B$16:$B$24,MATCH(Plano_V3!H123,Auxiliar!$C$16:$C$24,0),1)</f>
        <v>1. Concluído</v>
      </c>
      <c r="H123" s="64">
        <f>VLOOKUP(A123,'Aux - pivots1'!$A:$B,2,0)</f>
        <v>1</v>
      </c>
      <c r="I123" s="180">
        <f>SUMIFS(Table1[Estimação (horas)],Table1[Tabela],Plano_V3!E123,Table1[Campo],Plano_V3!F123)</f>
        <v>8.1</v>
      </c>
      <c r="J123" s="180">
        <f t="shared" si="21"/>
        <v>1.0125</v>
      </c>
      <c r="K123" s="180">
        <f>SUMIFS(Table1[Horas efetivas],Table1[Tabela],Plano_V3!E123,Table1[Campo],Plano_V3!F123)</f>
        <v>8.1</v>
      </c>
      <c r="L123" s="180">
        <f t="shared" si="22"/>
        <v>1.0125</v>
      </c>
      <c r="M123" s="174"/>
      <c r="N123" s="174">
        <f t="shared" si="23"/>
        <v>1</v>
      </c>
      <c r="O123" s="174">
        <f t="shared" ref="O123:O187" si="24">N123-M123</f>
        <v>1</v>
      </c>
      <c r="P123" s="89" t="s">
        <v>56</v>
      </c>
      <c r="Q123" s="90">
        <f t="shared" si="13"/>
        <v>1.0125</v>
      </c>
      <c r="R123" s="78"/>
      <c r="S123" s="78"/>
      <c r="T123" s="78"/>
      <c r="U123" s="78"/>
      <c r="V123" s="78"/>
      <c r="W123" s="78"/>
      <c r="X123" s="78"/>
      <c r="Y123" s="78"/>
      <c r="Z123" s="78"/>
      <c r="AA123" s="78"/>
      <c r="AB123" s="78"/>
      <c r="AC123" s="78"/>
      <c r="AD123" s="78"/>
      <c r="AE123" s="78"/>
      <c r="AF123" s="78"/>
      <c r="AG123" s="78"/>
      <c r="AH123" s="78"/>
      <c r="AI123" s="78"/>
      <c r="AJ123" s="78"/>
      <c r="AK123" s="78"/>
      <c r="AL123" s="78"/>
      <c r="AM123" s="78"/>
      <c r="AN123" s="78"/>
      <c r="AO123" s="78"/>
      <c r="AP123" s="78"/>
      <c r="AQ123" s="78"/>
      <c r="AR123" s="78"/>
      <c r="AS123" s="78"/>
      <c r="AT123" s="78"/>
      <c r="AU123" s="78"/>
      <c r="AV123" s="78"/>
      <c r="AW123" s="78"/>
      <c r="AX123" s="78"/>
      <c r="AY123" s="91"/>
      <c r="AZ123" s="78"/>
      <c r="BA123" s="78"/>
      <c r="BB123" s="78"/>
      <c r="BC123" s="78"/>
      <c r="BD123" s="78"/>
      <c r="BE123" s="78"/>
      <c r="BF123" s="78"/>
      <c r="BG123" s="78"/>
      <c r="BH123" s="78"/>
      <c r="BI123" s="78"/>
      <c r="BJ123" s="78"/>
      <c r="BK123" s="78"/>
      <c r="BL123" s="78"/>
      <c r="BM123" s="78"/>
      <c r="BN123" s="78"/>
      <c r="BO123" s="78"/>
      <c r="BP123" s="78"/>
      <c r="BQ123" s="78"/>
      <c r="BR123" s="78"/>
      <c r="BS123" s="78"/>
      <c r="BT123" s="78"/>
      <c r="BU123" s="78"/>
      <c r="BV123" s="78"/>
      <c r="BW123" s="78"/>
      <c r="BX123" s="78"/>
      <c r="BY123" s="78"/>
      <c r="BZ123" s="78"/>
      <c r="CA123" s="78"/>
      <c r="CB123" s="78"/>
      <c r="CC123" s="78"/>
      <c r="CD123" s="78"/>
      <c r="CE123" s="78"/>
      <c r="CF123" s="78"/>
      <c r="CG123" s="78"/>
      <c r="CH123" s="78"/>
      <c r="CI123" s="78"/>
      <c r="CJ123" s="78"/>
      <c r="CK123" s="78"/>
      <c r="CL123" s="78"/>
      <c r="CM123" s="78"/>
      <c r="CN123" s="78"/>
      <c r="CO123" s="78"/>
      <c r="CP123" s="78"/>
      <c r="CQ123" s="78"/>
      <c r="CR123" s="78"/>
      <c r="CS123" s="78"/>
      <c r="CT123" s="78"/>
      <c r="CU123" s="78"/>
      <c r="CV123" s="78"/>
      <c r="CW123" s="78"/>
      <c r="CX123" s="78"/>
      <c r="CY123" s="78"/>
      <c r="CZ123" s="78"/>
      <c r="DA123" s="78"/>
      <c r="DB123" s="78"/>
      <c r="DC123" s="78"/>
      <c r="DD123" s="78"/>
      <c r="DE123" s="78"/>
      <c r="DF123" s="78"/>
      <c r="DG123" s="78"/>
      <c r="DH123" s="78"/>
      <c r="DI123" s="78"/>
      <c r="DJ123" s="78"/>
      <c r="DK123" s="78"/>
      <c r="DL123" s="78"/>
      <c r="DM123" s="78"/>
      <c r="DN123" s="78"/>
      <c r="DO123" s="78"/>
      <c r="DP123" s="78"/>
      <c r="DQ123" s="78"/>
      <c r="DR123" s="78"/>
      <c r="DS123" s="78"/>
      <c r="DT123" s="78"/>
      <c r="DU123" s="78"/>
      <c r="DV123" s="78"/>
      <c r="DW123" s="78"/>
      <c r="DX123" s="78"/>
      <c r="DY123" s="78"/>
      <c r="DZ123" s="78"/>
      <c r="EA123" s="78"/>
      <c r="EB123" s="78"/>
      <c r="EC123" s="78"/>
      <c r="ED123" s="78"/>
      <c r="EE123" s="78"/>
      <c r="EF123" s="78"/>
      <c r="EG123" s="78"/>
      <c r="EH123" s="78"/>
      <c r="EI123" s="78"/>
      <c r="EJ123" s="78"/>
      <c r="EK123" s="78"/>
      <c r="EL123" s="78"/>
      <c r="EM123" s="78"/>
      <c r="EN123" s="91"/>
      <c r="EO123" s="91"/>
      <c r="EP123" s="91"/>
      <c r="EQ123" s="91"/>
      <c r="ER123" s="91"/>
      <c r="ES123" s="91"/>
    </row>
    <row r="124" spans="1:149" outlineLevel="1">
      <c r="A124" s="29" t="str">
        <f t="shared" si="20"/>
        <v>PROCESS_PROPERTY_RELdata_assc</v>
      </c>
      <c r="B124" s="67" t="s">
        <v>26</v>
      </c>
      <c r="C124" s="68" t="s">
        <v>54</v>
      </c>
      <c r="D124" s="64" t="s">
        <v>40</v>
      </c>
      <c r="E124" s="66" t="s">
        <v>88</v>
      </c>
      <c r="F124" s="66" t="s">
        <v>89</v>
      </c>
      <c r="G124" s="64" t="str">
        <f>INDEX(Auxiliar!$B$16:$B$24,MATCH(Plano_V3!H124,Auxiliar!$C$16:$C$24,0),1)</f>
        <v>0. Cancelado</v>
      </c>
      <c r="H124" s="64">
        <f>VLOOKUP(A124,'Aux - pivots1'!$A:$B,2,0)</f>
        <v>0</v>
      </c>
      <c r="I124" s="181">
        <v>0</v>
      </c>
      <c r="J124" s="180">
        <f t="shared" si="21"/>
        <v>0</v>
      </c>
      <c r="K124" s="180">
        <f>SUMIFS(Table1[Horas efetivas],Table1[Tabela],Plano_V3!E124,Table1[Campo],Plano_V3!F124)</f>
        <v>0</v>
      </c>
      <c r="L124" s="180">
        <f t="shared" si="22"/>
        <v>0</v>
      </c>
      <c r="M124" s="174"/>
      <c r="N124" s="174" t="e">
        <f t="shared" si="23"/>
        <v>#DIV/0!</v>
      </c>
      <c r="O124" s="174" t="e">
        <f t="shared" si="24"/>
        <v>#DIV/0!</v>
      </c>
      <c r="P124" s="89" t="s">
        <v>56</v>
      </c>
      <c r="Q124" s="90">
        <f t="shared" ref="Q124:Q188" si="25">J124-SUM(R124:ES124)</f>
        <v>0</v>
      </c>
      <c r="R124" s="78"/>
      <c r="S124" s="78"/>
      <c r="T124" s="78"/>
      <c r="U124" s="78"/>
      <c r="V124" s="78"/>
      <c r="W124" s="78"/>
      <c r="X124" s="78"/>
      <c r="Y124" s="78"/>
      <c r="Z124" s="78"/>
      <c r="AA124" s="78"/>
      <c r="AB124" s="78"/>
      <c r="AC124" s="78"/>
      <c r="AD124" s="78"/>
      <c r="AE124" s="78"/>
      <c r="AF124" s="78"/>
      <c r="AG124" s="78"/>
      <c r="AH124" s="78"/>
      <c r="AI124" s="78"/>
      <c r="AJ124" s="78"/>
      <c r="AK124" s="78"/>
      <c r="AL124" s="78"/>
      <c r="AM124" s="78"/>
      <c r="AN124" s="78"/>
      <c r="AO124" s="78"/>
      <c r="AP124" s="78"/>
      <c r="AQ124" s="78"/>
      <c r="AR124" s="78"/>
      <c r="AS124" s="78"/>
      <c r="AT124" s="78"/>
      <c r="AU124" s="78"/>
      <c r="AV124" s="78"/>
      <c r="AW124" s="78"/>
      <c r="AX124" s="78"/>
      <c r="AY124" s="91"/>
      <c r="AZ124" s="78"/>
      <c r="BA124" s="78"/>
      <c r="BB124" s="78"/>
      <c r="BC124" s="78"/>
      <c r="BD124" s="78"/>
      <c r="BE124" s="78"/>
      <c r="BF124" s="78"/>
      <c r="BG124" s="78"/>
      <c r="BH124" s="78"/>
      <c r="BI124" s="78"/>
      <c r="BJ124" s="78"/>
      <c r="BK124" s="78"/>
      <c r="BL124" s="78"/>
      <c r="BM124" s="78"/>
      <c r="BN124" s="78"/>
      <c r="BO124" s="78"/>
      <c r="BP124" s="78"/>
      <c r="BQ124" s="78"/>
      <c r="BR124" s="78"/>
      <c r="BS124" s="78"/>
      <c r="BT124" s="78"/>
      <c r="BU124" s="78"/>
      <c r="BV124" s="78"/>
      <c r="BW124" s="78"/>
      <c r="BX124" s="78"/>
      <c r="BY124" s="78"/>
      <c r="BZ124" s="78"/>
      <c r="CA124" s="78"/>
      <c r="CB124" s="78"/>
      <c r="CC124" s="78"/>
      <c r="CD124" s="78"/>
      <c r="CE124" s="78"/>
      <c r="CF124" s="78"/>
      <c r="CG124" s="78"/>
      <c r="CH124" s="78"/>
      <c r="CI124" s="78"/>
      <c r="CJ124" s="78"/>
      <c r="CK124" s="78"/>
      <c r="CL124" s="78"/>
      <c r="CM124" s="78"/>
      <c r="CN124" s="78"/>
      <c r="CO124" s="78"/>
      <c r="CP124" s="78"/>
      <c r="CQ124" s="78"/>
      <c r="CR124" s="78"/>
      <c r="CS124" s="78"/>
      <c r="CT124" s="78"/>
      <c r="CU124" s="78"/>
      <c r="CV124" s="78"/>
      <c r="CW124" s="78"/>
      <c r="CX124" s="78"/>
      <c r="CY124" s="78"/>
      <c r="CZ124" s="78"/>
      <c r="DA124" s="78"/>
      <c r="DB124" s="78"/>
      <c r="DC124" s="78"/>
      <c r="DD124" s="78"/>
      <c r="DE124" s="78"/>
      <c r="DF124" s="78"/>
      <c r="DG124" s="78"/>
      <c r="DH124" s="78"/>
      <c r="DI124" s="78"/>
      <c r="DJ124" s="78"/>
      <c r="DK124" s="78"/>
      <c r="DL124" s="78"/>
      <c r="DM124" s="78"/>
      <c r="DN124" s="78"/>
      <c r="DO124" s="78"/>
      <c r="DP124" s="78"/>
      <c r="DQ124" s="78"/>
      <c r="DR124" s="78"/>
      <c r="DS124" s="78"/>
      <c r="DT124" s="78"/>
      <c r="DU124" s="78"/>
      <c r="DV124" s="78"/>
      <c r="DW124" s="78"/>
      <c r="DX124" s="78"/>
      <c r="DY124" s="78"/>
      <c r="DZ124" s="78"/>
      <c r="EA124" s="78"/>
      <c r="EB124" s="78"/>
      <c r="EC124" s="78"/>
      <c r="ED124" s="78"/>
      <c r="EE124" s="78"/>
      <c r="EF124" s="78"/>
      <c r="EG124" s="78"/>
      <c r="EH124" s="78"/>
      <c r="EI124" s="78"/>
      <c r="EJ124" s="78"/>
      <c r="EK124" s="78"/>
      <c r="EL124" s="78"/>
      <c r="EM124" s="78"/>
      <c r="EN124" s="91"/>
      <c r="EO124" s="91"/>
      <c r="EP124" s="91"/>
      <c r="EQ124" s="91"/>
      <c r="ER124" s="91"/>
      <c r="ES124" s="91"/>
    </row>
    <row r="125" spans="1:149" outlineLevel="1">
      <c r="A125" s="29" t="str">
        <f t="shared" si="20"/>
        <v>PROCESS_PROPERTY_RELSEIZED_PROPERTY_IND</v>
      </c>
      <c r="B125" s="67" t="s">
        <v>26</v>
      </c>
      <c r="C125" s="68" t="s">
        <v>54</v>
      </c>
      <c r="D125" s="64" t="s">
        <v>40</v>
      </c>
      <c r="E125" s="66" t="s">
        <v>88</v>
      </c>
      <c r="F125" s="66" t="s">
        <v>90</v>
      </c>
      <c r="G125" s="64" t="str">
        <f>INDEX(Auxiliar!$B$16:$B$24,MATCH(Plano_V3!H125,Auxiliar!$C$16:$C$24,0),1)</f>
        <v>1. Concluído</v>
      </c>
      <c r="H125" s="64">
        <f>VLOOKUP(A125,'Aux - pivots1'!$A:$B,2,0)</f>
        <v>1</v>
      </c>
      <c r="I125" s="180">
        <f>SUMIFS(Table1[Estimação (horas)],Table1[Tabela],Plano_V3!E125,Table1[Campo],Plano_V3!F125)</f>
        <v>4.0999999999999996</v>
      </c>
      <c r="J125" s="180">
        <f t="shared" si="21"/>
        <v>0.51249999999999996</v>
      </c>
      <c r="K125" s="180">
        <f>SUMIFS(Table1[Horas efetivas],Table1[Tabela],Plano_V3!E125,Table1[Campo],Plano_V3!F125)</f>
        <v>4.0999999999999996</v>
      </c>
      <c r="L125" s="180">
        <f t="shared" si="22"/>
        <v>0.51249999999999996</v>
      </c>
      <c r="M125" s="174"/>
      <c r="N125" s="174">
        <f t="shared" si="23"/>
        <v>1</v>
      </c>
      <c r="O125" s="174">
        <f t="shared" si="24"/>
        <v>1</v>
      </c>
      <c r="P125" s="89" t="s">
        <v>56</v>
      </c>
      <c r="Q125" s="90">
        <f t="shared" si="25"/>
        <v>0.51249999999999996</v>
      </c>
      <c r="R125" s="78"/>
      <c r="S125" s="78"/>
      <c r="T125" s="78"/>
      <c r="U125" s="78"/>
      <c r="V125" s="78"/>
      <c r="W125" s="78"/>
      <c r="X125" s="78"/>
      <c r="Y125" s="78"/>
      <c r="Z125" s="78"/>
      <c r="AA125" s="78"/>
      <c r="AB125" s="78"/>
      <c r="AC125" s="78"/>
      <c r="AD125" s="78"/>
      <c r="AE125" s="78"/>
      <c r="AF125" s="78"/>
      <c r="AG125" s="78"/>
      <c r="AH125" s="78"/>
      <c r="AI125" s="78"/>
      <c r="AJ125" s="78"/>
      <c r="AK125" s="78"/>
      <c r="AL125" s="78"/>
      <c r="AM125" s="78"/>
      <c r="AN125" s="78"/>
      <c r="AO125" s="78"/>
      <c r="AP125" s="78"/>
      <c r="AQ125" s="78"/>
      <c r="AR125" s="78"/>
      <c r="AS125" s="78"/>
      <c r="AT125" s="78"/>
      <c r="AU125" s="78"/>
      <c r="AV125" s="78"/>
      <c r="AW125" s="78"/>
      <c r="AX125" s="78"/>
      <c r="AY125" s="91"/>
      <c r="AZ125" s="78"/>
      <c r="BA125" s="78"/>
      <c r="BB125" s="78"/>
      <c r="BC125" s="78"/>
      <c r="BD125" s="78"/>
      <c r="BE125" s="78"/>
      <c r="BF125" s="78"/>
      <c r="BG125" s="78"/>
      <c r="BH125" s="78"/>
      <c r="BI125" s="78"/>
      <c r="BJ125" s="78"/>
      <c r="BK125" s="78"/>
      <c r="BL125" s="78"/>
      <c r="BM125" s="78"/>
      <c r="BN125" s="78"/>
      <c r="BO125" s="78"/>
      <c r="BP125" s="78"/>
      <c r="BQ125" s="78"/>
      <c r="BR125" s="78"/>
      <c r="BS125" s="78"/>
      <c r="BT125" s="78"/>
      <c r="BU125" s="78"/>
      <c r="BV125" s="78"/>
      <c r="BW125" s="78"/>
      <c r="BX125" s="78"/>
      <c r="BY125" s="78"/>
      <c r="BZ125" s="78"/>
      <c r="CA125" s="78"/>
      <c r="CB125" s="78"/>
      <c r="CC125" s="78"/>
      <c r="CD125" s="78"/>
      <c r="CE125" s="78"/>
      <c r="CF125" s="78"/>
      <c r="CG125" s="78"/>
      <c r="CH125" s="78"/>
      <c r="CI125" s="78"/>
      <c r="CJ125" s="78"/>
      <c r="CK125" s="78"/>
      <c r="CL125" s="78"/>
      <c r="CM125" s="78"/>
      <c r="CN125" s="78"/>
      <c r="CO125" s="78"/>
      <c r="CP125" s="78"/>
      <c r="CQ125" s="78"/>
      <c r="CR125" s="78"/>
      <c r="CS125" s="78"/>
      <c r="CT125" s="78"/>
      <c r="CU125" s="78"/>
      <c r="CV125" s="78"/>
      <c r="CW125" s="78"/>
      <c r="CX125" s="78"/>
      <c r="CY125" s="78"/>
      <c r="CZ125" s="78"/>
      <c r="DA125" s="78"/>
      <c r="DB125" s="78"/>
      <c r="DC125" s="78"/>
      <c r="DD125" s="78"/>
      <c r="DE125" s="78"/>
      <c r="DF125" s="78"/>
      <c r="DG125" s="78"/>
      <c r="DH125" s="78"/>
      <c r="DI125" s="78"/>
      <c r="DJ125" s="78"/>
      <c r="DK125" s="78"/>
      <c r="DL125" s="78"/>
      <c r="DM125" s="78"/>
      <c r="DN125" s="78"/>
      <c r="DO125" s="78"/>
      <c r="DP125" s="78"/>
      <c r="DQ125" s="78"/>
      <c r="DR125" s="78"/>
      <c r="DS125" s="78"/>
      <c r="DT125" s="78"/>
      <c r="DU125" s="78"/>
      <c r="DV125" s="78"/>
      <c r="DW125" s="78"/>
      <c r="DX125" s="78"/>
      <c r="DY125" s="78"/>
      <c r="DZ125" s="78"/>
      <c r="EA125" s="78"/>
      <c r="EB125" s="78"/>
      <c r="EC125" s="78"/>
      <c r="ED125" s="78"/>
      <c r="EE125" s="78"/>
      <c r="EF125" s="78"/>
      <c r="EG125" s="78"/>
      <c r="EH125" s="78"/>
      <c r="EI125" s="78"/>
      <c r="EJ125" s="78"/>
      <c r="EK125" s="78"/>
      <c r="EL125" s="78"/>
      <c r="EM125" s="78"/>
      <c r="EN125" s="91"/>
      <c r="EO125" s="91"/>
      <c r="EP125" s="91"/>
      <c r="EQ125" s="91"/>
      <c r="ER125" s="91"/>
      <c r="ES125" s="91"/>
    </row>
    <row r="126" spans="1:149" outlineLevel="1">
      <c r="A126" s="29" t="str">
        <f t="shared" si="20"/>
        <v>PROCESS_PROPERTY_RELCOLLATERAL_PROPERTY_IND</v>
      </c>
      <c r="B126" s="67" t="s">
        <v>26</v>
      </c>
      <c r="C126" s="68" t="s">
        <v>54</v>
      </c>
      <c r="D126" s="64" t="s">
        <v>40</v>
      </c>
      <c r="E126" s="66" t="s">
        <v>88</v>
      </c>
      <c r="F126" s="66" t="s">
        <v>91</v>
      </c>
      <c r="G126" s="64" t="str">
        <f>INDEX(Auxiliar!$B$16:$B$24,MATCH(Plano_V3!H126,Auxiliar!$C$16:$C$24,0),1)</f>
        <v>1. Concluído</v>
      </c>
      <c r="H126" s="64">
        <f>VLOOKUP(A126,'Aux - pivots1'!$A:$B,2,0)</f>
        <v>1</v>
      </c>
      <c r="I126" s="180">
        <f>SUMIFS(Table1[Estimação (horas)],Table1[Tabela],Plano_V3!E126,Table1[Campo],Plano_V3!F126)</f>
        <v>4.0999999999999996</v>
      </c>
      <c r="J126" s="180">
        <f t="shared" si="21"/>
        <v>0.51249999999999996</v>
      </c>
      <c r="K126" s="180">
        <f>SUMIFS(Table1[Horas efetivas],Table1[Tabela],Plano_V3!E126,Table1[Campo],Plano_V3!F126)</f>
        <v>4.0999999999999996</v>
      </c>
      <c r="L126" s="180">
        <f t="shared" si="22"/>
        <v>0.51249999999999996</v>
      </c>
      <c r="M126" s="174"/>
      <c r="N126" s="174">
        <f t="shared" si="23"/>
        <v>1</v>
      </c>
      <c r="O126" s="174">
        <f t="shared" si="24"/>
        <v>1</v>
      </c>
      <c r="P126" s="89" t="s">
        <v>56</v>
      </c>
      <c r="Q126" s="90">
        <f t="shared" si="25"/>
        <v>0.51249999999999996</v>
      </c>
      <c r="R126" s="78"/>
      <c r="S126" s="78"/>
      <c r="T126" s="78"/>
      <c r="U126" s="78"/>
      <c r="V126" s="78"/>
      <c r="W126" s="78"/>
      <c r="X126" s="78"/>
      <c r="Y126" s="78"/>
      <c r="Z126" s="78"/>
      <c r="AA126" s="78"/>
      <c r="AB126" s="78"/>
      <c r="AC126" s="78"/>
      <c r="AD126" s="78"/>
      <c r="AE126" s="78"/>
      <c r="AF126" s="78"/>
      <c r="AG126" s="78"/>
      <c r="AH126" s="78"/>
      <c r="AI126" s="78"/>
      <c r="AJ126" s="78"/>
      <c r="AK126" s="78"/>
      <c r="AL126" s="78"/>
      <c r="AM126" s="78"/>
      <c r="AN126" s="78"/>
      <c r="AO126" s="78"/>
      <c r="AP126" s="78"/>
      <c r="AQ126" s="78"/>
      <c r="AR126" s="78"/>
      <c r="AS126" s="78"/>
      <c r="AT126" s="78"/>
      <c r="AU126" s="78"/>
      <c r="AV126" s="78"/>
      <c r="AW126" s="78"/>
      <c r="AX126" s="78"/>
      <c r="AY126" s="91"/>
      <c r="AZ126" s="78"/>
      <c r="BA126" s="78"/>
      <c r="BB126" s="78"/>
      <c r="BC126" s="78"/>
      <c r="BD126" s="78"/>
      <c r="BE126" s="78"/>
      <c r="BF126" s="78"/>
      <c r="BG126" s="78"/>
      <c r="BH126" s="78"/>
      <c r="BI126" s="78"/>
      <c r="BJ126" s="78"/>
      <c r="BK126" s="78"/>
      <c r="BL126" s="78"/>
      <c r="BM126" s="78"/>
      <c r="BN126" s="78"/>
      <c r="BO126" s="78"/>
      <c r="BP126" s="78"/>
      <c r="BQ126" s="78"/>
      <c r="BR126" s="78"/>
      <c r="BS126" s="78"/>
      <c r="BT126" s="78"/>
      <c r="BU126" s="78"/>
      <c r="BV126" s="78"/>
      <c r="BW126" s="78"/>
      <c r="BX126" s="78"/>
      <c r="BY126" s="78"/>
      <c r="BZ126" s="78"/>
      <c r="CA126" s="78"/>
      <c r="CB126" s="78"/>
      <c r="CC126" s="78"/>
      <c r="CD126" s="78"/>
      <c r="CE126" s="78"/>
      <c r="CF126" s="78"/>
      <c r="CG126" s="78"/>
      <c r="CH126" s="78"/>
      <c r="CI126" s="78"/>
      <c r="CJ126" s="78"/>
      <c r="CK126" s="78"/>
      <c r="CL126" s="78"/>
      <c r="CM126" s="78"/>
      <c r="CN126" s="78"/>
      <c r="CO126" s="78"/>
      <c r="CP126" s="78"/>
      <c r="CQ126" s="78"/>
      <c r="CR126" s="78"/>
      <c r="CS126" s="78"/>
      <c r="CT126" s="78"/>
      <c r="CU126" s="78"/>
      <c r="CV126" s="78"/>
      <c r="CW126" s="78"/>
      <c r="CX126" s="78"/>
      <c r="CY126" s="78"/>
      <c r="CZ126" s="78"/>
      <c r="DA126" s="78"/>
      <c r="DB126" s="78"/>
      <c r="DC126" s="78"/>
      <c r="DD126" s="78"/>
      <c r="DE126" s="78"/>
      <c r="DF126" s="78"/>
      <c r="DG126" s="78"/>
      <c r="DH126" s="78"/>
      <c r="DI126" s="78"/>
      <c r="DJ126" s="78"/>
      <c r="DK126" s="78"/>
      <c r="DL126" s="78"/>
      <c r="DM126" s="78"/>
      <c r="DN126" s="78"/>
      <c r="DO126" s="78"/>
      <c r="DP126" s="78"/>
      <c r="DQ126" s="78"/>
      <c r="DR126" s="78"/>
      <c r="DS126" s="78"/>
      <c r="DT126" s="78"/>
      <c r="DU126" s="78"/>
      <c r="DV126" s="78"/>
      <c r="DW126" s="78"/>
      <c r="DX126" s="78"/>
      <c r="DY126" s="78"/>
      <c r="DZ126" s="78"/>
      <c r="EA126" s="78"/>
      <c r="EB126" s="78"/>
      <c r="EC126" s="78"/>
      <c r="ED126" s="78"/>
      <c r="EE126" s="78"/>
      <c r="EF126" s="78"/>
      <c r="EG126" s="78"/>
      <c r="EH126" s="78"/>
      <c r="EI126" s="78"/>
      <c r="EJ126" s="78"/>
      <c r="EK126" s="78"/>
      <c r="EL126" s="78"/>
      <c r="EM126" s="78"/>
      <c r="EN126" s="91"/>
      <c r="EO126" s="91"/>
      <c r="EP126" s="91"/>
      <c r="EQ126" s="91"/>
      <c r="ER126" s="91"/>
      <c r="ES126" s="91"/>
    </row>
    <row r="127" spans="1:149" outlineLevel="1">
      <c r="A127" s="29" t="str">
        <f t="shared" si="20"/>
        <v>PROCESS_PROPERTY_RELFINANCED_PROPERTY_IND</v>
      </c>
      <c r="B127" s="67" t="s">
        <v>26</v>
      </c>
      <c r="C127" s="68" t="s">
        <v>54</v>
      </c>
      <c r="D127" s="64" t="s">
        <v>40</v>
      </c>
      <c r="E127" s="66" t="s">
        <v>88</v>
      </c>
      <c r="F127" s="66" t="s">
        <v>92</v>
      </c>
      <c r="G127" s="64" t="str">
        <f>INDEX(Auxiliar!$B$16:$B$24,MATCH(Plano_V3!H127,Auxiliar!$C$16:$C$24,0),1)</f>
        <v>1. Concluído</v>
      </c>
      <c r="H127" s="64">
        <f>VLOOKUP(A127,'Aux - pivots1'!$A:$B,2,0)</f>
        <v>1</v>
      </c>
      <c r="I127" s="180">
        <f>SUMIFS(Table1[Estimação (horas)],Table1[Tabela],Plano_V3!E127,Table1[Campo],Plano_V3!F127)</f>
        <v>4.0999999999999996</v>
      </c>
      <c r="J127" s="180">
        <f t="shared" si="21"/>
        <v>0.51249999999999996</v>
      </c>
      <c r="K127" s="180">
        <f>SUMIFS(Table1[Horas efetivas],Table1[Tabela],Plano_V3!E127,Table1[Campo],Plano_V3!F127)</f>
        <v>4.0999999999999996</v>
      </c>
      <c r="L127" s="180">
        <f t="shared" si="22"/>
        <v>0.51249999999999996</v>
      </c>
      <c r="M127" s="174"/>
      <c r="N127" s="174">
        <f t="shared" si="23"/>
        <v>1</v>
      </c>
      <c r="O127" s="174">
        <f t="shared" si="24"/>
        <v>1</v>
      </c>
      <c r="P127" s="89" t="s">
        <v>56</v>
      </c>
      <c r="Q127" s="90">
        <f t="shared" si="25"/>
        <v>0.51249999999999996</v>
      </c>
      <c r="R127" s="78"/>
      <c r="S127" s="78"/>
      <c r="T127" s="78"/>
      <c r="U127" s="78"/>
      <c r="V127" s="78"/>
      <c r="W127" s="78"/>
      <c r="X127" s="78"/>
      <c r="Y127" s="78"/>
      <c r="Z127" s="78"/>
      <c r="AA127" s="78"/>
      <c r="AB127" s="78"/>
      <c r="AC127" s="78"/>
      <c r="AD127" s="78"/>
      <c r="AE127" s="78"/>
      <c r="AF127" s="78"/>
      <c r="AG127" s="78"/>
      <c r="AH127" s="78"/>
      <c r="AI127" s="78"/>
      <c r="AJ127" s="78"/>
      <c r="AK127" s="78"/>
      <c r="AL127" s="78"/>
      <c r="AM127" s="78"/>
      <c r="AN127" s="78"/>
      <c r="AO127" s="78"/>
      <c r="AP127" s="78"/>
      <c r="AQ127" s="78"/>
      <c r="AR127" s="78"/>
      <c r="AS127" s="78"/>
      <c r="AT127" s="78"/>
      <c r="AU127" s="78"/>
      <c r="AV127" s="78"/>
      <c r="AW127" s="78"/>
      <c r="AX127" s="78"/>
      <c r="AY127" s="91"/>
      <c r="AZ127" s="78"/>
      <c r="BA127" s="78"/>
      <c r="BB127" s="78"/>
      <c r="BC127" s="78"/>
      <c r="BD127" s="78"/>
      <c r="BE127" s="78"/>
      <c r="BF127" s="78"/>
      <c r="BG127" s="78"/>
      <c r="BH127" s="78"/>
      <c r="BI127" s="78"/>
      <c r="BJ127" s="78"/>
      <c r="BK127" s="78"/>
      <c r="BL127" s="78"/>
      <c r="BM127" s="78"/>
      <c r="BN127" s="78"/>
      <c r="BO127" s="78"/>
      <c r="BP127" s="78"/>
      <c r="BQ127" s="78"/>
      <c r="BR127" s="78"/>
      <c r="BS127" s="78"/>
      <c r="BT127" s="78"/>
      <c r="BU127" s="78"/>
      <c r="BV127" s="78"/>
      <c r="BW127" s="78"/>
      <c r="BX127" s="78"/>
      <c r="BY127" s="78"/>
      <c r="BZ127" s="78"/>
      <c r="CA127" s="78"/>
      <c r="CB127" s="78"/>
      <c r="CC127" s="78"/>
      <c r="CD127" s="78"/>
      <c r="CE127" s="78"/>
      <c r="CF127" s="78"/>
      <c r="CG127" s="78"/>
      <c r="CH127" s="78"/>
      <c r="CI127" s="78"/>
      <c r="CJ127" s="78"/>
      <c r="CK127" s="78"/>
      <c r="CL127" s="78"/>
      <c r="CM127" s="78"/>
      <c r="CN127" s="78"/>
      <c r="CO127" s="78"/>
      <c r="CP127" s="78"/>
      <c r="CQ127" s="78"/>
      <c r="CR127" s="78"/>
      <c r="CS127" s="78"/>
      <c r="CT127" s="78"/>
      <c r="CU127" s="78"/>
      <c r="CV127" s="78"/>
      <c r="CW127" s="78"/>
      <c r="CX127" s="78"/>
      <c r="CY127" s="78"/>
      <c r="CZ127" s="78"/>
      <c r="DA127" s="78"/>
      <c r="DB127" s="78"/>
      <c r="DC127" s="78"/>
      <c r="DD127" s="78"/>
      <c r="DE127" s="78"/>
      <c r="DF127" s="78"/>
      <c r="DG127" s="78"/>
      <c r="DH127" s="78"/>
      <c r="DI127" s="78"/>
      <c r="DJ127" s="78"/>
      <c r="DK127" s="78"/>
      <c r="DL127" s="78"/>
      <c r="DM127" s="78"/>
      <c r="DN127" s="78"/>
      <c r="DO127" s="78"/>
      <c r="DP127" s="78"/>
      <c r="DQ127" s="78"/>
      <c r="DR127" s="78"/>
      <c r="DS127" s="78"/>
      <c r="DT127" s="78"/>
      <c r="DU127" s="78"/>
      <c r="DV127" s="78"/>
      <c r="DW127" s="78"/>
      <c r="DX127" s="78"/>
      <c r="DY127" s="78"/>
      <c r="DZ127" s="78"/>
      <c r="EA127" s="78"/>
      <c r="EB127" s="78"/>
      <c r="EC127" s="78"/>
      <c r="ED127" s="78"/>
      <c r="EE127" s="78"/>
      <c r="EF127" s="78"/>
      <c r="EG127" s="78"/>
      <c r="EH127" s="78"/>
      <c r="EI127" s="78"/>
      <c r="EJ127" s="78"/>
      <c r="EK127" s="78"/>
      <c r="EL127" s="78"/>
      <c r="EM127" s="78"/>
      <c r="EN127" s="91"/>
      <c r="EO127" s="91"/>
      <c r="EP127" s="91"/>
      <c r="EQ127" s="91"/>
      <c r="ER127" s="91"/>
      <c r="ES127" s="91"/>
    </row>
    <row r="128" spans="1:149" outlineLevel="1">
      <c r="A128" s="29" t="str">
        <f t="shared" si="20"/>
        <v>PROCESS_PROPERTY_RELOWNED_PROPERTY_IND</v>
      </c>
      <c r="B128" s="67" t="s">
        <v>26</v>
      </c>
      <c r="C128" s="68" t="s">
        <v>54</v>
      </c>
      <c r="D128" s="64" t="s">
        <v>40</v>
      </c>
      <c r="E128" s="66" t="s">
        <v>88</v>
      </c>
      <c r="F128" s="66" t="s">
        <v>93</v>
      </c>
      <c r="G128" s="64" t="str">
        <f>INDEX(Auxiliar!$B$16:$B$24,MATCH(Plano_V3!H128,Auxiliar!$C$16:$C$24,0),1)</f>
        <v>1. Concluído</v>
      </c>
      <c r="H128" s="64">
        <f>VLOOKUP(A128,'Aux - pivots1'!$A:$B,2,0)</f>
        <v>1</v>
      </c>
      <c r="I128" s="180">
        <f>SUMIFS(Table1[Estimação (horas)],Table1[Tabela],Plano_V3!E128,Table1[Campo],Plano_V3!F128)</f>
        <v>4.0999999999999996</v>
      </c>
      <c r="J128" s="180">
        <f t="shared" si="21"/>
        <v>0.51249999999999996</v>
      </c>
      <c r="K128" s="180">
        <f>SUMIFS(Table1[Horas efetivas],Table1[Tabela],Plano_V3!E128,Table1[Campo],Plano_V3!F128)</f>
        <v>4.0999999999999996</v>
      </c>
      <c r="L128" s="180">
        <f t="shared" si="22"/>
        <v>0.51249999999999996</v>
      </c>
      <c r="M128" s="174"/>
      <c r="N128" s="174">
        <f t="shared" si="23"/>
        <v>1</v>
      </c>
      <c r="O128" s="174">
        <f t="shared" si="24"/>
        <v>1</v>
      </c>
      <c r="P128" s="89" t="s">
        <v>56</v>
      </c>
      <c r="Q128" s="90">
        <f t="shared" si="25"/>
        <v>0.51249999999999996</v>
      </c>
      <c r="R128" s="78"/>
      <c r="S128" s="78"/>
      <c r="T128" s="78"/>
      <c r="U128" s="78"/>
      <c r="V128" s="78"/>
      <c r="W128" s="78"/>
      <c r="X128" s="78"/>
      <c r="Y128" s="78"/>
      <c r="Z128" s="78"/>
      <c r="AA128" s="78"/>
      <c r="AB128" s="78"/>
      <c r="AC128" s="78"/>
      <c r="AD128" s="78"/>
      <c r="AE128" s="78"/>
      <c r="AF128" s="78"/>
      <c r="AG128" s="78"/>
      <c r="AH128" s="78"/>
      <c r="AI128" s="78"/>
      <c r="AJ128" s="78"/>
      <c r="AK128" s="78"/>
      <c r="AL128" s="78"/>
      <c r="AM128" s="78"/>
      <c r="AN128" s="78"/>
      <c r="AO128" s="78"/>
      <c r="AP128" s="78"/>
      <c r="AQ128" s="78"/>
      <c r="AR128" s="78"/>
      <c r="AS128" s="78"/>
      <c r="AT128" s="78"/>
      <c r="AU128" s="78"/>
      <c r="AV128" s="78"/>
      <c r="AW128" s="78"/>
      <c r="AX128" s="78"/>
      <c r="AY128" s="91"/>
      <c r="AZ128" s="78"/>
      <c r="BA128" s="78"/>
      <c r="BB128" s="78"/>
      <c r="BC128" s="78"/>
      <c r="BD128" s="78"/>
      <c r="BE128" s="78"/>
      <c r="BF128" s="78"/>
      <c r="BG128" s="78"/>
      <c r="BH128" s="78"/>
      <c r="BI128" s="78"/>
      <c r="BJ128" s="78"/>
      <c r="BK128" s="78"/>
      <c r="BL128" s="78"/>
      <c r="BM128" s="78"/>
      <c r="BN128" s="78"/>
      <c r="BO128" s="78"/>
      <c r="BP128" s="78"/>
      <c r="BQ128" s="78"/>
      <c r="BR128" s="78"/>
      <c r="BS128" s="78"/>
      <c r="BT128" s="78"/>
      <c r="BU128" s="78"/>
      <c r="BV128" s="78"/>
      <c r="BW128" s="78"/>
      <c r="BX128" s="78"/>
      <c r="BY128" s="78"/>
      <c r="BZ128" s="78"/>
      <c r="CA128" s="78"/>
      <c r="CB128" s="78"/>
      <c r="CC128" s="78"/>
      <c r="CD128" s="78"/>
      <c r="CE128" s="78"/>
      <c r="CF128" s="78"/>
      <c r="CG128" s="78"/>
      <c r="CH128" s="78"/>
      <c r="CI128" s="78"/>
      <c r="CJ128" s="78"/>
      <c r="CK128" s="78"/>
      <c r="CL128" s="78"/>
      <c r="CM128" s="78"/>
      <c r="CN128" s="78"/>
      <c r="CO128" s="78"/>
      <c r="CP128" s="78"/>
      <c r="CQ128" s="78"/>
      <c r="CR128" s="78"/>
      <c r="CS128" s="78"/>
      <c r="CT128" s="78"/>
      <c r="CU128" s="78"/>
      <c r="CV128" s="78"/>
      <c r="CW128" s="78"/>
      <c r="CX128" s="78"/>
      <c r="CY128" s="78"/>
      <c r="CZ128" s="78"/>
      <c r="DA128" s="78"/>
      <c r="DB128" s="78"/>
      <c r="DC128" s="78"/>
      <c r="DD128" s="78"/>
      <c r="DE128" s="78"/>
      <c r="DF128" s="78"/>
      <c r="DG128" s="78"/>
      <c r="DH128" s="78"/>
      <c r="DI128" s="78"/>
      <c r="DJ128" s="78"/>
      <c r="DK128" s="78"/>
      <c r="DL128" s="78"/>
      <c r="DM128" s="78"/>
      <c r="DN128" s="78"/>
      <c r="DO128" s="78"/>
      <c r="DP128" s="78"/>
      <c r="DQ128" s="78"/>
      <c r="DR128" s="78"/>
      <c r="DS128" s="78"/>
      <c r="DT128" s="78"/>
      <c r="DU128" s="78"/>
      <c r="DV128" s="78"/>
      <c r="DW128" s="78"/>
      <c r="DX128" s="78"/>
      <c r="DY128" s="78"/>
      <c r="DZ128" s="78"/>
      <c r="EA128" s="78"/>
      <c r="EB128" s="78"/>
      <c r="EC128" s="78"/>
      <c r="ED128" s="78"/>
      <c r="EE128" s="78"/>
      <c r="EF128" s="78"/>
      <c r="EG128" s="78"/>
      <c r="EH128" s="78"/>
      <c r="EI128" s="78"/>
      <c r="EJ128" s="78"/>
      <c r="EK128" s="78"/>
      <c r="EL128" s="78"/>
      <c r="EM128" s="78"/>
      <c r="EN128" s="91"/>
      <c r="EO128" s="91"/>
      <c r="EP128" s="91"/>
      <c r="EQ128" s="91"/>
      <c r="ER128" s="91"/>
      <c r="ES128" s="91"/>
    </row>
    <row r="129" spans="1:149" outlineLevel="1">
      <c r="A129" s="29" t="str">
        <f t="shared" si="20"/>
        <v>PROCESS_PROPERTY_RELSOURCE_CODE</v>
      </c>
      <c r="B129" s="67" t="s">
        <v>26</v>
      </c>
      <c r="C129" s="68" t="s">
        <v>54</v>
      </c>
      <c r="D129" s="64" t="s">
        <v>40</v>
      </c>
      <c r="E129" s="66" t="s">
        <v>88</v>
      </c>
      <c r="F129" s="66" t="s">
        <v>87</v>
      </c>
      <c r="G129" s="64" t="str">
        <f>INDEX(Auxiliar!$B$16:$B$24,MATCH(Plano_V3!H129,Auxiliar!$C$16:$C$24,0),1)</f>
        <v>1. Concluído</v>
      </c>
      <c r="H129" s="64">
        <f>VLOOKUP(A129,'Aux - pivots1'!$A:$B,2,0)</f>
        <v>1</v>
      </c>
      <c r="I129" s="180">
        <f>SUMIFS(Table1[Estimação (horas)],Table1[Tabela],Plano_V3!E129,Table1[Campo],Plano_V3!F129)</f>
        <v>4.0999999999999996</v>
      </c>
      <c r="J129" s="180">
        <f t="shared" si="21"/>
        <v>0.51249999999999996</v>
      </c>
      <c r="K129" s="180">
        <f>SUMIFS(Table1[Horas efetivas],Table1[Tabela],Plano_V3!E129,Table1[Campo],Plano_V3!F129)</f>
        <v>4.0999999999999996</v>
      </c>
      <c r="L129" s="180">
        <f t="shared" si="22"/>
        <v>0.51249999999999996</v>
      </c>
      <c r="M129" s="174"/>
      <c r="N129" s="174">
        <f t="shared" si="23"/>
        <v>1</v>
      </c>
      <c r="O129" s="174">
        <f t="shared" si="24"/>
        <v>1</v>
      </c>
      <c r="P129" s="89" t="s">
        <v>56</v>
      </c>
      <c r="Q129" s="90">
        <f t="shared" si="25"/>
        <v>0.51249999999999996</v>
      </c>
      <c r="R129" s="78"/>
      <c r="S129" s="78"/>
      <c r="T129" s="78"/>
      <c r="U129" s="78"/>
      <c r="V129" s="78"/>
      <c r="W129" s="78"/>
      <c r="X129" s="78"/>
      <c r="Y129" s="78"/>
      <c r="Z129" s="78"/>
      <c r="AA129" s="78"/>
      <c r="AB129" s="78"/>
      <c r="AC129" s="78"/>
      <c r="AD129" s="78"/>
      <c r="AE129" s="78"/>
      <c r="AF129" s="78"/>
      <c r="AG129" s="78"/>
      <c r="AH129" s="78"/>
      <c r="AI129" s="78"/>
      <c r="AJ129" s="78"/>
      <c r="AK129" s="78"/>
      <c r="AL129" s="78"/>
      <c r="AM129" s="78"/>
      <c r="AN129" s="78"/>
      <c r="AO129" s="78"/>
      <c r="AP129" s="78"/>
      <c r="AQ129" s="78"/>
      <c r="AR129" s="78"/>
      <c r="AS129" s="78"/>
      <c r="AT129" s="78"/>
      <c r="AU129" s="78"/>
      <c r="AV129" s="78"/>
      <c r="AW129" s="78"/>
      <c r="AX129" s="78"/>
      <c r="AY129" s="91"/>
      <c r="AZ129" s="78"/>
      <c r="BA129" s="78"/>
      <c r="BB129" s="78"/>
      <c r="BC129" s="78"/>
      <c r="BD129" s="78"/>
      <c r="BE129" s="78"/>
      <c r="BF129" s="78"/>
      <c r="BG129" s="78"/>
      <c r="BH129" s="78"/>
      <c r="BI129" s="78"/>
      <c r="BJ129" s="78"/>
      <c r="BK129" s="78"/>
      <c r="BL129" s="78"/>
      <c r="BM129" s="78"/>
      <c r="BN129" s="78"/>
      <c r="BO129" s="78"/>
      <c r="BP129" s="78"/>
      <c r="BQ129" s="78"/>
      <c r="BR129" s="78"/>
      <c r="BS129" s="78"/>
      <c r="BT129" s="78"/>
      <c r="BU129" s="78"/>
      <c r="BV129" s="78"/>
      <c r="BW129" s="78"/>
      <c r="BX129" s="78"/>
      <c r="BY129" s="78"/>
      <c r="BZ129" s="78"/>
      <c r="CA129" s="78"/>
      <c r="CB129" s="78"/>
      <c r="CC129" s="78"/>
      <c r="CD129" s="78"/>
      <c r="CE129" s="78"/>
      <c r="CF129" s="78"/>
      <c r="CG129" s="78"/>
      <c r="CH129" s="78"/>
      <c r="CI129" s="78"/>
      <c r="CJ129" s="78"/>
      <c r="CK129" s="78"/>
      <c r="CL129" s="78"/>
      <c r="CM129" s="78"/>
      <c r="CN129" s="78"/>
      <c r="CO129" s="78"/>
      <c r="CP129" s="78"/>
      <c r="CQ129" s="78"/>
      <c r="CR129" s="78"/>
      <c r="CS129" s="78"/>
      <c r="CT129" s="78"/>
      <c r="CU129" s="78"/>
      <c r="CV129" s="78"/>
      <c r="CW129" s="78"/>
      <c r="CX129" s="78"/>
      <c r="CY129" s="78"/>
      <c r="CZ129" s="78"/>
      <c r="DA129" s="78"/>
      <c r="DB129" s="78"/>
      <c r="DC129" s="78"/>
      <c r="DD129" s="78"/>
      <c r="DE129" s="78"/>
      <c r="DF129" s="78"/>
      <c r="DG129" s="78"/>
      <c r="DH129" s="78"/>
      <c r="DI129" s="78"/>
      <c r="DJ129" s="78"/>
      <c r="DK129" s="78"/>
      <c r="DL129" s="78"/>
      <c r="DM129" s="78"/>
      <c r="DN129" s="78"/>
      <c r="DO129" s="78"/>
      <c r="DP129" s="78"/>
      <c r="DQ129" s="78"/>
      <c r="DR129" s="78"/>
      <c r="DS129" s="78"/>
      <c r="DT129" s="78"/>
      <c r="DU129" s="78"/>
      <c r="DV129" s="78"/>
      <c r="DW129" s="78"/>
      <c r="DX129" s="78"/>
      <c r="DY129" s="78"/>
      <c r="DZ129" s="78"/>
      <c r="EA129" s="78"/>
      <c r="EB129" s="78"/>
      <c r="EC129" s="78"/>
      <c r="ED129" s="78"/>
      <c r="EE129" s="78"/>
      <c r="EF129" s="78"/>
      <c r="EG129" s="78"/>
      <c r="EH129" s="78"/>
      <c r="EI129" s="78"/>
      <c r="EJ129" s="78"/>
      <c r="EK129" s="78"/>
      <c r="EL129" s="78"/>
      <c r="EM129" s="78"/>
      <c r="EN129" s="91"/>
      <c r="EO129" s="91"/>
      <c r="EP129" s="91"/>
      <c r="EQ129" s="91"/>
      <c r="ER129" s="91"/>
      <c r="ES129" s="91"/>
    </row>
    <row r="130" spans="1:149" outlineLevel="1">
      <c r="A130" s="29" t="str">
        <f t="shared" si="20"/>
        <v>PROCESS_PROPERTY_RELDATA_DATE_PART</v>
      </c>
      <c r="B130" s="67" t="s">
        <v>26</v>
      </c>
      <c r="C130" s="68" t="s">
        <v>54</v>
      </c>
      <c r="D130" s="64" t="s">
        <v>40</v>
      </c>
      <c r="E130" s="66" t="s">
        <v>88</v>
      </c>
      <c r="F130" s="66" t="s">
        <v>73</v>
      </c>
      <c r="G130" s="64" t="str">
        <f>INDEX(Auxiliar!$B$16:$B$24,MATCH(Plano_V3!H130,Auxiliar!$C$16:$C$24,0),1)</f>
        <v>1. Concluído</v>
      </c>
      <c r="H130" s="64">
        <f>VLOOKUP(A130,'Aux - pivots1'!$A:$B,2,0)</f>
        <v>1</v>
      </c>
      <c r="I130" s="180">
        <f>SUMIFS(Table1[Estimação (horas)],Table1[Tabela],Plano_V3!E130,Table1[Campo],Plano_V3!F130)</f>
        <v>4.0999999999999996</v>
      </c>
      <c r="J130" s="180">
        <f t="shared" si="21"/>
        <v>0.51249999999999996</v>
      </c>
      <c r="K130" s="180">
        <f>SUMIFS(Table1[Horas efetivas],Table1[Tabela],Plano_V3!E130,Table1[Campo],Plano_V3!F130)</f>
        <v>4.0999999999999996</v>
      </c>
      <c r="L130" s="180">
        <f t="shared" si="22"/>
        <v>0.51249999999999996</v>
      </c>
      <c r="M130" s="174"/>
      <c r="N130" s="174">
        <f t="shared" si="23"/>
        <v>1</v>
      </c>
      <c r="O130" s="174">
        <f t="shared" si="24"/>
        <v>1</v>
      </c>
      <c r="P130" s="89" t="s">
        <v>56</v>
      </c>
      <c r="Q130" s="90">
        <f t="shared" si="25"/>
        <v>0.51249999999999996</v>
      </c>
      <c r="R130" s="78"/>
      <c r="S130" s="78"/>
      <c r="T130" s="78"/>
      <c r="U130" s="78"/>
      <c r="V130" s="78"/>
      <c r="W130" s="78"/>
      <c r="X130" s="78"/>
      <c r="Y130" s="78"/>
      <c r="Z130" s="78"/>
      <c r="AA130" s="78"/>
      <c r="AB130" s="78"/>
      <c r="AC130" s="78"/>
      <c r="AD130" s="78"/>
      <c r="AE130" s="78"/>
      <c r="AF130" s="78"/>
      <c r="AG130" s="78"/>
      <c r="AH130" s="78"/>
      <c r="AI130" s="78"/>
      <c r="AJ130" s="78"/>
      <c r="AK130" s="78"/>
      <c r="AL130" s="78"/>
      <c r="AM130" s="78"/>
      <c r="AN130" s="78"/>
      <c r="AO130" s="78"/>
      <c r="AP130" s="78"/>
      <c r="AQ130" s="78"/>
      <c r="AR130" s="78"/>
      <c r="AS130" s="78"/>
      <c r="AT130" s="78"/>
      <c r="AU130" s="78"/>
      <c r="AV130" s="78"/>
      <c r="AW130" s="78"/>
      <c r="AX130" s="78"/>
      <c r="AY130" s="91"/>
      <c r="AZ130" s="78"/>
      <c r="BA130" s="78"/>
      <c r="BB130" s="78"/>
      <c r="BC130" s="78"/>
      <c r="BD130" s="78"/>
      <c r="BE130" s="78"/>
      <c r="BF130" s="78"/>
      <c r="BG130" s="78"/>
      <c r="BH130" s="78"/>
      <c r="BI130" s="78"/>
      <c r="BJ130" s="78"/>
      <c r="BK130" s="78"/>
      <c r="BL130" s="78"/>
      <c r="BM130" s="78"/>
      <c r="BN130" s="78"/>
      <c r="BO130" s="78"/>
      <c r="BP130" s="78"/>
      <c r="BQ130" s="78"/>
      <c r="BR130" s="78"/>
      <c r="BS130" s="78"/>
      <c r="BT130" s="78"/>
      <c r="BU130" s="78"/>
      <c r="BV130" s="78"/>
      <c r="BW130" s="78"/>
      <c r="BX130" s="78"/>
      <c r="BY130" s="78"/>
      <c r="BZ130" s="78"/>
      <c r="CA130" s="78"/>
      <c r="CB130" s="78"/>
      <c r="CC130" s="78"/>
      <c r="CD130" s="78"/>
      <c r="CE130" s="78"/>
      <c r="CF130" s="78"/>
      <c r="CG130" s="78"/>
      <c r="CH130" s="78"/>
      <c r="CI130" s="78"/>
      <c r="CJ130" s="78"/>
      <c r="CK130" s="78"/>
      <c r="CL130" s="78"/>
      <c r="CM130" s="78"/>
      <c r="CN130" s="78"/>
      <c r="CO130" s="78"/>
      <c r="CP130" s="78"/>
      <c r="CQ130" s="78"/>
      <c r="CR130" s="78"/>
      <c r="CS130" s="78"/>
      <c r="CT130" s="78"/>
      <c r="CU130" s="78"/>
      <c r="CV130" s="78"/>
      <c r="CW130" s="78"/>
      <c r="CX130" s="78"/>
      <c r="CY130" s="78"/>
      <c r="CZ130" s="78"/>
      <c r="DA130" s="78"/>
      <c r="DB130" s="78"/>
      <c r="DC130" s="78"/>
      <c r="DD130" s="78"/>
      <c r="DE130" s="78"/>
      <c r="DF130" s="78"/>
      <c r="DG130" s="78"/>
      <c r="DH130" s="78"/>
      <c r="DI130" s="78"/>
      <c r="DJ130" s="78"/>
      <c r="DK130" s="78"/>
      <c r="DL130" s="78"/>
      <c r="DM130" s="78"/>
      <c r="DN130" s="78"/>
      <c r="DO130" s="78"/>
      <c r="DP130" s="78"/>
      <c r="DQ130" s="78"/>
      <c r="DR130" s="78"/>
      <c r="DS130" s="78"/>
      <c r="DT130" s="78"/>
      <c r="DU130" s="78"/>
      <c r="DV130" s="78"/>
      <c r="DW130" s="78"/>
      <c r="DX130" s="78"/>
      <c r="DY130" s="78"/>
      <c r="DZ130" s="78"/>
      <c r="EA130" s="78"/>
      <c r="EB130" s="78"/>
      <c r="EC130" s="78"/>
      <c r="ED130" s="78"/>
      <c r="EE130" s="78"/>
      <c r="EF130" s="78"/>
      <c r="EG130" s="78"/>
      <c r="EH130" s="78"/>
      <c r="EI130" s="78"/>
      <c r="EJ130" s="78"/>
      <c r="EK130" s="78"/>
      <c r="EL130" s="78"/>
      <c r="EM130" s="78"/>
      <c r="EN130" s="91"/>
      <c r="EO130" s="91"/>
      <c r="EP130" s="91"/>
      <c r="EQ130" s="91"/>
      <c r="ER130" s="91"/>
      <c r="ES130" s="91"/>
    </row>
    <row r="131" spans="1:149" outlineLevel="1">
      <c r="A131" s="29" t="str">
        <f t="shared" si="20"/>
        <v>PROPERTYn.a.</v>
      </c>
      <c r="B131" s="67" t="s">
        <v>26</v>
      </c>
      <c r="C131" s="68" t="s">
        <v>54</v>
      </c>
      <c r="D131" s="64" t="s">
        <v>36</v>
      </c>
      <c r="E131" s="66" t="s">
        <v>94</v>
      </c>
      <c r="F131" s="64" t="s">
        <v>38</v>
      </c>
      <c r="G131" s="64" t="str">
        <f>INDEX(Auxiliar!$B$16:$B$24,MATCH(Plano_V3!H131,Auxiliar!$C$16:$C$24,0),1)</f>
        <v>1. Concluído</v>
      </c>
      <c r="H131" s="64">
        <f>VLOOKUP(A131,'Aux - pivots1'!$A:$B,2,0)</f>
        <v>1</v>
      </c>
      <c r="I131" s="180">
        <f>SUMIFS(Table1[Estimação (horas)],Table1[Tabela],Plano_V3!E131,Table1[Campo],Plano_V3!F131)</f>
        <v>8</v>
      </c>
      <c r="J131" s="180">
        <f t="shared" si="21"/>
        <v>1</v>
      </c>
      <c r="K131" s="180">
        <f>SUMIFS(Table1[Horas efetivas],Table1[Tabela],Plano_V3!E131,Table1[Campo],Plano_V3!F131)</f>
        <v>8</v>
      </c>
      <c r="L131" s="180">
        <f t="shared" si="22"/>
        <v>1</v>
      </c>
      <c r="M131" s="174"/>
      <c r="N131" s="174">
        <f t="shared" si="23"/>
        <v>1</v>
      </c>
      <c r="O131" s="174">
        <f t="shared" si="24"/>
        <v>1</v>
      </c>
      <c r="P131" s="87" t="s">
        <v>95</v>
      </c>
      <c r="Q131" s="90">
        <f t="shared" si="25"/>
        <v>1</v>
      </c>
      <c r="R131" s="78"/>
      <c r="S131" s="78"/>
      <c r="T131" s="78"/>
      <c r="U131" s="78"/>
      <c r="V131" s="78"/>
      <c r="W131" s="78"/>
      <c r="X131" s="78"/>
      <c r="Y131" s="78"/>
      <c r="Z131" s="78"/>
      <c r="AA131" s="78"/>
      <c r="AB131" s="78"/>
      <c r="AC131" s="78"/>
      <c r="AD131" s="78"/>
      <c r="AE131" s="78"/>
      <c r="AF131" s="78"/>
      <c r="AG131" s="78"/>
      <c r="AH131" s="78"/>
      <c r="AI131" s="78"/>
      <c r="AJ131" s="78"/>
      <c r="AK131" s="78"/>
      <c r="AL131" s="78"/>
      <c r="AM131" s="78"/>
      <c r="AN131" s="78"/>
      <c r="AO131" s="78"/>
      <c r="AP131" s="78"/>
      <c r="AQ131" s="78"/>
      <c r="AR131" s="78"/>
      <c r="AS131" s="78"/>
      <c r="AT131" s="78"/>
      <c r="AU131" s="78"/>
      <c r="AV131" s="78"/>
      <c r="AW131" s="78"/>
      <c r="AX131" s="78"/>
      <c r="AY131" s="91"/>
      <c r="AZ131" s="78"/>
      <c r="BA131" s="78"/>
      <c r="BB131" s="78"/>
      <c r="BC131" s="78"/>
      <c r="BD131" s="78"/>
      <c r="BE131" s="78"/>
      <c r="BF131" s="78"/>
      <c r="BG131" s="78"/>
      <c r="BH131" s="78"/>
      <c r="BI131" s="78"/>
      <c r="BJ131" s="78"/>
      <c r="BK131" s="78"/>
      <c r="BL131" s="78"/>
      <c r="BM131" s="78"/>
      <c r="BN131" s="78"/>
      <c r="BO131" s="78"/>
      <c r="BP131" s="78"/>
      <c r="BQ131" s="78"/>
      <c r="BR131" s="78"/>
      <c r="BS131" s="78"/>
      <c r="BT131" s="78"/>
      <c r="BU131" s="78"/>
      <c r="BV131" s="78"/>
      <c r="BW131" s="78"/>
      <c r="BX131" s="78"/>
      <c r="BY131" s="78"/>
      <c r="BZ131" s="78"/>
      <c r="CA131" s="78"/>
      <c r="CB131" s="78"/>
      <c r="CC131" s="78"/>
      <c r="CD131" s="78"/>
      <c r="CE131" s="78"/>
      <c r="CF131" s="78"/>
      <c r="CG131" s="78"/>
      <c r="CH131" s="78"/>
      <c r="CI131" s="78"/>
      <c r="CJ131" s="78"/>
      <c r="CK131" s="78"/>
      <c r="CL131" s="78"/>
      <c r="CM131" s="78"/>
      <c r="CN131" s="78"/>
      <c r="CO131" s="78"/>
      <c r="CP131" s="78"/>
      <c r="CQ131" s="78"/>
      <c r="CR131" s="78"/>
      <c r="CS131" s="78"/>
      <c r="CT131" s="78"/>
      <c r="CU131" s="78"/>
      <c r="CV131" s="78"/>
      <c r="CW131" s="78"/>
      <c r="CX131" s="78"/>
      <c r="CY131" s="78"/>
      <c r="CZ131" s="78"/>
      <c r="DA131" s="78"/>
      <c r="DB131" s="78"/>
      <c r="DC131" s="78"/>
      <c r="DD131" s="78"/>
      <c r="DE131" s="78"/>
      <c r="DF131" s="78"/>
      <c r="DG131" s="78"/>
      <c r="DH131" s="78"/>
      <c r="DI131" s="78"/>
      <c r="DJ131" s="78"/>
      <c r="DK131" s="78"/>
      <c r="DL131" s="78"/>
      <c r="DM131" s="78"/>
      <c r="DN131" s="78"/>
      <c r="DO131" s="78"/>
      <c r="DP131" s="78"/>
      <c r="DQ131" s="78"/>
      <c r="DR131" s="78"/>
      <c r="DS131" s="78"/>
      <c r="DT131" s="78"/>
      <c r="DU131" s="78"/>
      <c r="DV131" s="78"/>
      <c r="DW131" s="78"/>
      <c r="DX131" s="78"/>
      <c r="DY131" s="78"/>
      <c r="DZ131" s="78"/>
      <c r="EA131" s="78"/>
      <c r="EB131" s="78"/>
      <c r="EC131" s="78"/>
      <c r="ED131" s="78"/>
      <c r="EE131" s="78"/>
      <c r="EF131" s="78"/>
      <c r="EG131" s="78"/>
      <c r="EH131" s="78"/>
      <c r="EI131" s="78"/>
      <c r="EJ131" s="78"/>
      <c r="EK131" s="78"/>
      <c r="EL131" s="78"/>
      <c r="EM131" s="78"/>
      <c r="EN131" s="91"/>
      <c r="EO131" s="91"/>
      <c r="EP131" s="91"/>
      <c r="EQ131" s="91"/>
      <c r="ER131" s="91"/>
      <c r="ES131" s="91"/>
    </row>
    <row r="132" spans="1:149" outlineLevel="1">
      <c r="A132" s="29" t="str">
        <f t="shared" si="20"/>
        <v>PROPERTYCONSTRUCTION_YEAR</v>
      </c>
      <c r="B132" s="67" t="s">
        <v>26</v>
      </c>
      <c r="C132" s="68" t="s">
        <v>54</v>
      </c>
      <c r="D132" s="64" t="s">
        <v>40</v>
      </c>
      <c r="E132" s="66" t="s">
        <v>94</v>
      </c>
      <c r="F132" s="66" t="s">
        <v>96</v>
      </c>
      <c r="G132" s="64" t="str">
        <f>INDEX(Auxiliar!$B$16:$B$24,MATCH(Plano_V3!H132,Auxiliar!$C$16:$C$24,0),1)</f>
        <v>1. Concluído</v>
      </c>
      <c r="H132" s="64">
        <f>VLOOKUP(A132,'Aux - pivots1'!$A:$B,2,0)</f>
        <v>1</v>
      </c>
      <c r="I132" s="181">
        <v>0</v>
      </c>
      <c r="J132" s="180">
        <f t="shared" si="21"/>
        <v>0</v>
      </c>
      <c r="K132" s="180">
        <f>SUMIFS(Table1[Horas efetivas],Table1[Tabela],Plano_V3!E132,Table1[Campo],Plano_V3!F132)</f>
        <v>4</v>
      </c>
      <c r="L132" s="180">
        <f t="shared" si="22"/>
        <v>0.5</v>
      </c>
      <c r="M132" s="174"/>
      <c r="N132" s="174" t="e">
        <f t="shared" si="23"/>
        <v>#DIV/0!</v>
      </c>
      <c r="O132" s="174" t="e">
        <f t="shared" si="24"/>
        <v>#DIV/0!</v>
      </c>
      <c r="P132" s="87" t="s">
        <v>95</v>
      </c>
      <c r="Q132" s="90">
        <f t="shared" si="25"/>
        <v>0</v>
      </c>
      <c r="R132" s="78"/>
      <c r="S132" s="78"/>
      <c r="T132" s="78"/>
      <c r="U132" s="78"/>
      <c r="V132" s="78"/>
      <c r="W132" s="78"/>
      <c r="X132" s="78"/>
      <c r="Y132" s="78"/>
      <c r="Z132" s="78"/>
      <c r="AA132" s="78"/>
      <c r="AB132" s="78"/>
      <c r="AC132" s="78"/>
      <c r="AD132" s="78"/>
      <c r="AE132" s="78"/>
      <c r="AF132" s="78"/>
      <c r="AG132" s="78"/>
      <c r="AH132" s="78"/>
      <c r="AI132" s="78"/>
      <c r="AJ132" s="78"/>
      <c r="AK132" s="78"/>
      <c r="AL132" s="78"/>
      <c r="AM132" s="78"/>
      <c r="AN132" s="78"/>
      <c r="AO132" s="78"/>
      <c r="AP132" s="78"/>
      <c r="AQ132" s="78"/>
      <c r="AR132" s="78"/>
      <c r="AS132" s="78"/>
      <c r="AT132" s="78"/>
      <c r="AU132" s="78"/>
      <c r="AV132" s="78"/>
      <c r="AW132" s="78"/>
      <c r="AX132" s="78"/>
      <c r="AY132" s="91"/>
      <c r="AZ132" s="78"/>
      <c r="BA132" s="78"/>
      <c r="BB132" s="78"/>
      <c r="BC132" s="78"/>
      <c r="BD132" s="78"/>
      <c r="BE132" s="78"/>
      <c r="BF132" s="78"/>
      <c r="BG132" s="78"/>
      <c r="BH132" s="78"/>
      <c r="BI132" s="78"/>
      <c r="BJ132" s="78"/>
      <c r="BK132" s="78"/>
      <c r="BL132" s="78"/>
      <c r="BM132" s="78"/>
      <c r="BN132" s="78"/>
      <c r="BO132" s="78"/>
      <c r="BP132" s="78"/>
      <c r="BQ132" s="78"/>
      <c r="BR132" s="78"/>
      <c r="BS132" s="78"/>
      <c r="BT132" s="78"/>
      <c r="BU132" s="78"/>
      <c r="BV132" s="78"/>
      <c r="BW132" s="78"/>
      <c r="BX132" s="78"/>
      <c r="BY132" s="78"/>
      <c r="BZ132" s="78"/>
      <c r="CA132" s="78"/>
      <c r="CB132" s="78"/>
      <c r="CC132" s="78"/>
      <c r="CD132" s="78"/>
      <c r="CE132" s="78"/>
      <c r="CF132" s="78"/>
      <c r="CG132" s="78"/>
      <c r="CH132" s="78"/>
      <c r="CI132" s="78"/>
      <c r="CJ132" s="78"/>
      <c r="CK132" s="78"/>
      <c r="CL132" s="78"/>
      <c r="CM132" s="78"/>
      <c r="CN132" s="78"/>
      <c r="CO132" s="78"/>
      <c r="CP132" s="78"/>
      <c r="CQ132" s="78"/>
      <c r="CR132" s="78"/>
      <c r="CS132" s="78"/>
      <c r="CT132" s="78"/>
      <c r="CU132" s="78"/>
      <c r="CV132" s="78"/>
      <c r="CW132" s="78"/>
      <c r="CX132" s="78"/>
      <c r="CY132" s="78"/>
      <c r="CZ132" s="78"/>
      <c r="DA132" s="78"/>
      <c r="DB132" s="78"/>
      <c r="DC132" s="78"/>
      <c r="DD132" s="78"/>
      <c r="DE132" s="78"/>
      <c r="DF132" s="78"/>
      <c r="DG132" s="78"/>
      <c r="DH132" s="78"/>
      <c r="DI132" s="78"/>
      <c r="DJ132" s="78"/>
      <c r="DK132" s="78"/>
      <c r="DL132" s="78"/>
      <c r="DM132" s="78"/>
      <c r="DN132" s="78"/>
      <c r="DO132" s="78"/>
      <c r="DP132" s="78"/>
      <c r="DQ132" s="78"/>
      <c r="DR132" s="78"/>
      <c r="DS132" s="78"/>
      <c r="DT132" s="78"/>
      <c r="DU132" s="78"/>
      <c r="DV132" s="78"/>
      <c r="DW132" s="78"/>
      <c r="DX132" s="78"/>
      <c r="DY132" s="78"/>
      <c r="DZ132" s="78"/>
      <c r="EA132" s="78"/>
      <c r="EB132" s="78"/>
      <c r="EC132" s="78"/>
      <c r="ED132" s="78"/>
      <c r="EE132" s="78"/>
      <c r="EF132" s="78"/>
      <c r="EG132" s="78"/>
      <c r="EH132" s="78"/>
      <c r="EI132" s="78"/>
      <c r="EJ132" s="78"/>
      <c r="EK132" s="78"/>
      <c r="EL132" s="78"/>
      <c r="EM132" s="78"/>
      <c r="EN132" s="91"/>
      <c r="EO132" s="91"/>
      <c r="EP132" s="91"/>
      <c r="EQ132" s="91"/>
      <c r="ER132" s="91"/>
      <c r="ES132" s="91"/>
    </row>
    <row r="133" spans="1:149" outlineLevel="1">
      <c r="A133" s="29" t="str">
        <f t="shared" si="20"/>
        <v>PROPERTYNET_FLOOR_AREA</v>
      </c>
      <c r="B133" s="67" t="s">
        <v>26</v>
      </c>
      <c r="C133" s="68" t="s">
        <v>54</v>
      </c>
      <c r="D133" s="64" t="s">
        <v>40</v>
      </c>
      <c r="E133" s="66" t="s">
        <v>94</v>
      </c>
      <c r="F133" s="66" t="s">
        <v>97</v>
      </c>
      <c r="G133" s="64" t="str">
        <f>INDEX(Auxiliar!$B$16:$B$24,MATCH(Plano_V3!H133,Auxiliar!$C$16:$C$24,0),1)</f>
        <v>1. Concluído</v>
      </c>
      <c r="H133" s="64">
        <f>VLOOKUP(A133,'Aux - pivots1'!$A:$B,2,0)</f>
        <v>1</v>
      </c>
      <c r="I133" s="180">
        <f>SUMIFS(Table1[Estimação (horas)],Table1[Tabela],Plano_V3!E133,Table1[Campo],Plano_V3!F133)</f>
        <v>8.1</v>
      </c>
      <c r="J133" s="180">
        <f t="shared" si="21"/>
        <v>1.0125</v>
      </c>
      <c r="K133" s="180">
        <f>SUMIFS(Table1[Horas efetivas],Table1[Tabela],Plano_V3!E133,Table1[Campo],Plano_V3!F133)</f>
        <v>8.1</v>
      </c>
      <c r="L133" s="180">
        <f t="shared" si="22"/>
        <v>1.0125</v>
      </c>
      <c r="M133" s="174"/>
      <c r="N133" s="174">
        <f t="shared" si="23"/>
        <v>1</v>
      </c>
      <c r="O133" s="174">
        <f t="shared" si="24"/>
        <v>1</v>
      </c>
      <c r="P133" s="87" t="s">
        <v>95</v>
      </c>
      <c r="Q133" s="90">
        <f t="shared" si="25"/>
        <v>1.0125</v>
      </c>
      <c r="R133" s="78"/>
      <c r="S133" s="78"/>
      <c r="T133" s="78"/>
      <c r="U133" s="78"/>
      <c r="V133" s="78"/>
      <c r="W133" s="78"/>
      <c r="X133" s="78"/>
      <c r="Y133" s="78"/>
      <c r="Z133" s="78"/>
      <c r="AA133" s="78"/>
      <c r="AB133" s="78"/>
      <c r="AC133" s="78"/>
      <c r="AD133" s="78"/>
      <c r="AE133" s="78"/>
      <c r="AF133" s="78"/>
      <c r="AG133" s="78"/>
      <c r="AH133" s="78"/>
      <c r="AI133" s="78"/>
      <c r="AJ133" s="78"/>
      <c r="AK133" s="78"/>
      <c r="AL133" s="78"/>
      <c r="AM133" s="78"/>
      <c r="AN133" s="78"/>
      <c r="AO133" s="78"/>
      <c r="AP133" s="78"/>
      <c r="AQ133" s="78"/>
      <c r="AR133" s="78"/>
      <c r="AS133" s="78"/>
      <c r="AT133" s="78"/>
      <c r="AU133" s="78"/>
      <c r="AV133" s="78"/>
      <c r="AW133" s="78"/>
      <c r="AX133" s="78"/>
      <c r="AY133" s="91"/>
      <c r="AZ133" s="78"/>
      <c r="BA133" s="78"/>
      <c r="BB133" s="78"/>
      <c r="BC133" s="78"/>
      <c r="BD133" s="78"/>
      <c r="BE133" s="78"/>
      <c r="BF133" s="78"/>
      <c r="BG133" s="78"/>
      <c r="BH133" s="78"/>
      <c r="BI133" s="78"/>
      <c r="BJ133" s="78"/>
      <c r="BK133" s="78"/>
      <c r="BL133" s="78"/>
      <c r="BM133" s="78"/>
      <c r="BN133" s="78"/>
      <c r="BO133" s="78"/>
      <c r="BP133" s="78"/>
      <c r="BQ133" s="78"/>
      <c r="BR133" s="78"/>
      <c r="BS133" s="78"/>
      <c r="BT133" s="78"/>
      <c r="BU133" s="78"/>
      <c r="BV133" s="78"/>
      <c r="BW133" s="78"/>
      <c r="BX133" s="78"/>
      <c r="BY133" s="78"/>
      <c r="BZ133" s="78"/>
      <c r="CA133" s="78"/>
      <c r="CB133" s="78"/>
      <c r="CC133" s="78"/>
      <c r="CD133" s="78"/>
      <c r="CE133" s="78"/>
      <c r="CF133" s="78"/>
      <c r="CG133" s="78"/>
      <c r="CH133" s="78"/>
      <c r="CI133" s="78"/>
      <c r="CJ133" s="78"/>
      <c r="CK133" s="78"/>
      <c r="CL133" s="78"/>
      <c r="CM133" s="78"/>
      <c r="CN133" s="78"/>
      <c r="CO133" s="78"/>
      <c r="CP133" s="78"/>
      <c r="CQ133" s="78"/>
      <c r="CR133" s="78"/>
      <c r="CS133" s="78"/>
      <c r="CT133" s="78"/>
      <c r="CU133" s="78"/>
      <c r="CV133" s="78"/>
      <c r="CW133" s="78"/>
      <c r="CX133" s="78"/>
      <c r="CY133" s="78"/>
      <c r="CZ133" s="78"/>
      <c r="DA133" s="78"/>
      <c r="DB133" s="78"/>
      <c r="DC133" s="78"/>
      <c r="DD133" s="78"/>
      <c r="DE133" s="78"/>
      <c r="DF133" s="78"/>
      <c r="DG133" s="78"/>
      <c r="DH133" s="78"/>
      <c r="DI133" s="78"/>
      <c r="DJ133" s="78"/>
      <c r="DK133" s="78"/>
      <c r="DL133" s="78"/>
      <c r="DM133" s="78"/>
      <c r="DN133" s="78"/>
      <c r="DO133" s="78"/>
      <c r="DP133" s="78"/>
      <c r="DQ133" s="78"/>
      <c r="DR133" s="78"/>
      <c r="DS133" s="78"/>
      <c r="DT133" s="78"/>
      <c r="DU133" s="78"/>
      <c r="DV133" s="78"/>
      <c r="DW133" s="78"/>
      <c r="DX133" s="78"/>
      <c r="DY133" s="78"/>
      <c r="DZ133" s="78"/>
      <c r="EA133" s="78"/>
      <c r="EB133" s="78"/>
      <c r="EC133" s="78"/>
      <c r="ED133" s="78"/>
      <c r="EE133" s="78"/>
      <c r="EF133" s="78"/>
      <c r="EG133" s="78"/>
      <c r="EH133" s="78"/>
      <c r="EI133" s="78"/>
      <c r="EJ133" s="78"/>
      <c r="EK133" s="78"/>
      <c r="EL133" s="78"/>
      <c r="EM133" s="78"/>
      <c r="EN133" s="91"/>
      <c r="EO133" s="91"/>
      <c r="EP133" s="91"/>
      <c r="EQ133" s="91"/>
      <c r="ER133" s="91"/>
      <c r="ES133" s="91"/>
    </row>
    <row r="134" spans="1:149" outlineLevel="1">
      <c r="A134" s="29" t="str">
        <f t="shared" si="20"/>
        <v>PROPERTYPROPERTY_BANK_ID</v>
      </c>
      <c r="B134" s="67" t="s">
        <v>26</v>
      </c>
      <c r="C134" s="68" t="s">
        <v>54</v>
      </c>
      <c r="D134" s="64" t="s">
        <v>40</v>
      </c>
      <c r="E134" s="66" t="s">
        <v>94</v>
      </c>
      <c r="F134" s="66" t="s">
        <v>41</v>
      </c>
      <c r="G134" s="64" t="str">
        <f>INDEX(Auxiliar!$B$16:$B$24,MATCH(Plano_V3!H134,Auxiliar!$C$16:$C$24,0),1)</f>
        <v>1. Concluído</v>
      </c>
      <c r="H134" s="64">
        <f>VLOOKUP(A134,'Aux - pivots1'!$A:$B,2,0)</f>
        <v>1</v>
      </c>
      <c r="I134" s="180">
        <f>SUMIFS(Table1[Estimação (horas)],Table1[Tabela],Plano_V3!E134,Table1[Campo],Plano_V3!F134)</f>
        <v>4.0999999999999996</v>
      </c>
      <c r="J134" s="180">
        <f t="shared" si="21"/>
        <v>0.51249999999999996</v>
      </c>
      <c r="K134" s="180">
        <f>SUMIFS(Table1[Horas efetivas],Table1[Tabela],Plano_V3!E134,Table1[Campo],Plano_V3!F134)</f>
        <v>4.0999999999999996</v>
      </c>
      <c r="L134" s="180">
        <f t="shared" si="22"/>
        <v>0.51249999999999996</v>
      </c>
      <c r="M134" s="174"/>
      <c r="N134" s="174">
        <f t="shared" si="23"/>
        <v>1</v>
      </c>
      <c r="O134" s="174">
        <f t="shared" si="24"/>
        <v>1</v>
      </c>
      <c r="P134" s="87" t="s">
        <v>95</v>
      </c>
      <c r="Q134" s="90">
        <f t="shared" si="25"/>
        <v>0.51249999999999996</v>
      </c>
      <c r="R134" s="78"/>
      <c r="S134" s="78"/>
      <c r="T134" s="78"/>
      <c r="U134" s="78"/>
      <c r="V134" s="78"/>
      <c r="W134" s="78"/>
      <c r="X134" s="78"/>
      <c r="Y134" s="78"/>
      <c r="Z134" s="78"/>
      <c r="AA134" s="78"/>
      <c r="AB134" s="78"/>
      <c r="AC134" s="78"/>
      <c r="AD134" s="78"/>
      <c r="AE134" s="78"/>
      <c r="AF134" s="78"/>
      <c r="AG134" s="78"/>
      <c r="AH134" s="78"/>
      <c r="AI134" s="78"/>
      <c r="AJ134" s="78"/>
      <c r="AK134" s="78"/>
      <c r="AL134" s="78"/>
      <c r="AM134" s="78"/>
      <c r="AN134" s="78"/>
      <c r="AO134" s="78"/>
      <c r="AP134" s="78"/>
      <c r="AQ134" s="78"/>
      <c r="AR134" s="78"/>
      <c r="AS134" s="78"/>
      <c r="AT134" s="78"/>
      <c r="AU134" s="78"/>
      <c r="AV134" s="78"/>
      <c r="AW134" s="78"/>
      <c r="AX134" s="78"/>
      <c r="AY134" s="91"/>
      <c r="AZ134" s="78"/>
      <c r="BA134" s="78"/>
      <c r="BB134" s="78"/>
      <c r="BC134" s="78"/>
      <c r="BD134" s="78"/>
      <c r="BE134" s="78"/>
      <c r="BF134" s="78"/>
      <c r="BG134" s="78"/>
      <c r="BH134" s="78"/>
      <c r="BI134" s="78"/>
      <c r="BJ134" s="78"/>
      <c r="BK134" s="78"/>
      <c r="BL134" s="78"/>
      <c r="BM134" s="78"/>
      <c r="BN134" s="78"/>
      <c r="BO134" s="78"/>
      <c r="BP134" s="78"/>
      <c r="BQ134" s="78"/>
      <c r="BR134" s="78"/>
      <c r="BS134" s="78"/>
      <c r="BT134" s="78"/>
      <c r="BU134" s="78"/>
      <c r="BV134" s="78"/>
      <c r="BW134" s="78"/>
      <c r="BX134" s="78"/>
      <c r="BY134" s="78"/>
      <c r="BZ134" s="78"/>
      <c r="CA134" s="78"/>
      <c r="CB134" s="78"/>
      <c r="CC134" s="78"/>
      <c r="CD134" s="78"/>
      <c r="CE134" s="78"/>
      <c r="CF134" s="78"/>
      <c r="CG134" s="78"/>
      <c r="CH134" s="78"/>
      <c r="CI134" s="78"/>
      <c r="CJ134" s="78"/>
      <c r="CK134" s="78"/>
      <c r="CL134" s="78"/>
      <c r="CM134" s="78"/>
      <c r="CN134" s="78"/>
      <c r="CO134" s="78"/>
      <c r="CP134" s="78"/>
      <c r="CQ134" s="78"/>
      <c r="CR134" s="78"/>
      <c r="CS134" s="78"/>
      <c r="CT134" s="78"/>
      <c r="CU134" s="78"/>
      <c r="CV134" s="78"/>
      <c r="CW134" s="78"/>
      <c r="CX134" s="78"/>
      <c r="CY134" s="78"/>
      <c r="CZ134" s="78"/>
      <c r="DA134" s="78"/>
      <c r="DB134" s="78"/>
      <c r="DC134" s="78"/>
      <c r="DD134" s="78"/>
      <c r="DE134" s="78"/>
      <c r="DF134" s="78"/>
      <c r="DG134" s="78"/>
      <c r="DH134" s="78"/>
      <c r="DI134" s="78"/>
      <c r="DJ134" s="78"/>
      <c r="DK134" s="78"/>
      <c r="DL134" s="78"/>
      <c r="DM134" s="78"/>
      <c r="DN134" s="78"/>
      <c r="DO134" s="78"/>
      <c r="DP134" s="78"/>
      <c r="DQ134" s="78"/>
      <c r="DR134" s="78"/>
      <c r="DS134" s="78"/>
      <c r="DT134" s="78"/>
      <c r="DU134" s="78"/>
      <c r="DV134" s="78"/>
      <c r="DW134" s="78"/>
      <c r="DX134" s="78"/>
      <c r="DY134" s="78"/>
      <c r="DZ134" s="78"/>
      <c r="EA134" s="78"/>
      <c r="EB134" s="78"/>
      <c r="EC134" s="78"/>
      <c r="ED134" s="78"/>
      <c r="EE134" s="78"/>
      <c r="EF134" s="78"/>
      <c r="EG134" s="78"/>
      <c r="EH134" s="78"/>
      <c r="EI134" s="78"/>
      <c r="EJ134" s="78"/>
      <c r="EK134" s="78"/>
      <c r="EL134" s="78"/>
      <c r="EM134" s="78"/>
      <c r="EN134" s="91"/>
      <c r="EO134" s="91"/>
      <c r="EP134" s="91"/>
      <c r="EQ134" s="91"/>
      <c r="ER134" s="91"/>
      <c r="ES134" s="91"/>
    </row>
    <row r="135" spans="1:149" outlineLevel="1">
      <c r="A135" s="29" t="str">
        <f t="shared" si="20"/>
        <v>PROPERTYPROPERTY_BRANCH_CODE</v>
      </c>
      <c r="B135" s="67" t="s">
        <v>26</v>
      </c>
      <c r="C135" s="68" t="s">
        <v>54</v>
      </c>
      <c r="D135" s="64" t="s">
        <v>40</v>
      </c>
      <c r="E135" s="66" t="s">
        <v>94</v>
      </c>
      <c r="F135" s="66" t="s">
        <v>43</v>
      </c>
      <c r="G135" s="64" t="str">
        <f>INDEX(Auxiliar!$B$16:$B$24,MATCH(Plano_V3!H135,Auxiliar!$C$16:$C$24,0),1)</f>
        <v>1. Concluído</v>
      </c>
      <c r="H135" s="64">
        <f>VLOOKUP(A135,'Aux - pivots1'!$A:$B,2,0)</f>
        <v>1</v>
      </c>
      <c r="I135" s="180">
        <f>SUMIFS(Table1[Estimação (horas)],Table1[Tabela],Plano_V3!E135,Table1[Campo],Plano_V3!F135)</f>
        <v>4.0999999999999996</v>
      </c>
      <c r="J135" s="180">
        <f t="shared" si="21"/>
        <v>0.51249999999999996</v>
      </c>
      <c r="K135" s="180">
        <f>SUMIFS(Table1[Horas efetivas],Table1[Tabela],Plano_V3!E135,Table1[Campo],Plano_V3!F135)</f>
        <v>4.0999999999999996</v>
      </c>
      <c r="L135" s="180">
        <f t="shared" si="22"/>
        <v>0.51249999999999996</v>
      </c>
      <c r="M135" s="174"/>
      <c r="N135" s="174">
        <f t="shared" si="23"/>
        <v>1</v>
      </c>
      <c r="O135" s="174">
        <f t="shared" si="24"/>
        <v>1</v>
      </c>
      <c r="P135" s="87" t="s">
        <v>95</v>
      </c>
      <c r="Q135" s="90">
        <f t="shared" si="25"/>
        <v>0.51249999999999996</v>
      </c>
      <c r="R135" s="78"/>
      <c r="S135" s="78"/>
      <c r="T135" s="78"/>
      <c r="U135" s="78"/>
      <c r="V135" s="78"/>
      <c r="W135" s="78"/>
      <c r="X135" s="78"/>
      <c r="Y135" s="78"/>
      <c r="Z135" s="78"/>
      <c r="AA135" s="78"/>
      <c r="AB135" s="78"/>
      <c r="AC135" s="78"/>
      <c r="AD135" s="78"/>
      <c r="AE135" s="78"/>
      <c r="AF135" s="78"/>
      <c r="AG135" s="78"/>
      <c r="AH135" s="78"/>
      <c r="AI135" s="78"/>
      <c r="AJ135" s="78"/>
      <c r="AK135" s="78"/>
      <c r="AL135" s="78"/>
      <c r="AM135" s="78"/>
      <c r="AN135" s="78"/>
      <c r="AO135" s="78"/>
      <c r="AP135" s="78"/>
      <c r="AQ135" s="78"/>
      <c r="AR135" s="78"/>
      <c r="AS135" s="78"/>
      <c r="AT135" s="78"/>
      <c r="AU135" s="78"/>
      <c r="AV135" s="78"/>
      <c r="AW135" s="78"/>
      <c r="AX135" s="78"/>
      <c r="AY135" s="91"/>
      <c r="AZ135" s="78"/>
      <c r="BA135" s="78"/>
      <c r="BB135" s="78"/>
      <c r="BC135" s="78"/>
      <c r="BD135" s="78"/>
      <c r="BE135" s="78"/>
      <c r="BF135" s="78"/>
      <c r="BG135" s="78"/>
      <c r="BH135" s="78"/>
      <c r="BI135" s="78"/>
      <c r="BJ135" s="78"/>
      <c r="BK135" s="78"/>
      <c r="BL135" s="78"/>
      <c r="BM135" s="78"/>
      <c r="BN135" s="78"/>
      <c r="BO135" s="78"/>
      <c r="BP135" s="78"/>
      <c r="BQ135" s="78"/>
      <c r="BR135" s="78"/>
      <c r="BS135" s="78"/>
      <c r="BT135" s="78"/>
      <c r="BU135" s="78"/>
      <c r="BV135" s="78"/>
      <c r="BW135" s="78"/>
      <c r="BX135" s="78"/>
      <c r="BY135" s="78"/>
      <c r="BZ135" s="78"/>
      <c r="CA135" s="78"/>
      <c r="CB135" s="78"/>
      <c r="CC135" s="78"/>
      <c r="CD135" s="78"/>
      <c r="CE135" s="78"/>
      <c r="CF135" s="78"/>
      <c r="CG135" s="78"/>
      <c r="CH135" s="78"/>
      <c r="CI135" s="78"/>
      <c r="CJ135" s="78"/>
      <c r="CK135" s="78"/>
      <c r="CL135" s="78"/>
      <c r="CM135" s="78"/>
      <c r="CN135" s="78"/>
      <c r="CO135" s="78"/>
      <c r="CP135" s="78"/>
      <c r="CQ135" s="78"/>
      <c r="CR135" s="78"/>
      <c r="CS135" s="78"/>
      <c r="CT135" s="78"/>
      <c r="CU135" s="78"/>
      <c r="CV135" s="78"/>
      <c r="CW135" s="78"/>
      <c r="CX135" s="78"/>
      <c r="CY135" s="78"/>
      <c r="CZ135" s="78"/>
      <c r="DA135" s="78"/>
      <c r="DB135" s="78"/>
      <c r="DC135" s="78"/>
      <c r="DD135" s="78"/>
      <c r="DE135" s="78"/>
      <c r="DF135" s="78"/>
      <c r="DG135" s="78"/>
      <c r="DH135" s="78"/>
      <c r="DI135" s="78"/>
      <c r="DJ135" s="78"/>
      <c r="DK135" s="78"/>
      <c r="DL135" s="78"/>
      <c r="DM135" s="78"/>
      <c r="DN135" s="78"/>
      <c r="DO135" s="78"/>
      <c r="DP135" s="78"/>
      <c r="DQ135" s="78"/>
      <c r="DR135" s="78"/>
      <c r="DS135" s="78"/>
      <c r="DT135" s="78"/>
      <c r="DU135" s="78"/>
      <c r="DV135" s="78"/>
      <c r="DW135" s="78"/>
      <c r="DX135" s="78"/>
      <c r="DY135" s="78"/>
      <c r="DZ135" s="78"/>
      <c r="EA135" s="78"/>
      <c r="EB135" s="78"/>
      <c r="EC135" s="78"/>
      <c r="ED135" s="78"/>
      <c r="EE135" s="78"/>
      <c r="EF135" s="78"/>
      <c r="EG135" s="78"/>
      <c r="EH135" s="78"/>
      <c r="EI135" s="78"/>
      <c r="EJ135" s="78"/>
      <c r="EK135" s="78"/>
      <c r="EL135" s="78"/>
      <c r="EM135" s="78"/>
      <c r="EN135" s="91"/>
      <c r="EO135" s="91"/>
      <c r="EP135" s="91"/>
      <c r="EQ135" s="91"/>
      <c r="ER135" s="91"/>
      <c r="ES135" s="91"/>
    </row>
    <row r="136" spans="1:149" outlineLevel="1">
      <c r="A136" s="29" t="str">
        <f t="shared" si="20"/>
        <v>PROPERTYPROPERTY_CONTRACT_ID</v>
      </c>
      <c r="B136" s="67" t="s">
        <v>26</v>
      </c>
      <c r="C136" s="68" t="s">
        <v>54</v>
      </c>
      <c r="D136" s="64" t="s">
        <v>40</v>
      </c>
      <c r="E136" s="66" t="s">
        <v>94</v>
      </c>
      <c r="F136" s="66" t="s">
        <v>44</v>
      </c>
      <c r="G136" s="64" t="str">
        <f>INDEX(Auxiliar!$B$16:$B$24,MATCH(Plano_V3!H136,Auxiliar!$C$16:$C$24,0),1)</f>
        <v>1. Concluído</v>
      </c>
      <c r="H136" s="64">
        <f>VLOOKUP(A136,'Aux - pivots1'!$A:$B,2,0)</f>
        <v>1</v>
      </c>
      <c r="I136" s="180">
        <f>SUMIFS(Table1[Estimação (horas)],Table1[Tabela],Plano_V3!E136,Table1[Campo],Plano_V3!F136)</f>
        <v>4.0999999999999996</v>
      </c>
      <c r="J136" s="180">
        <f t="shared" si="21"/>
        <v>0.51249999999999996</v>
      </c>
      <c r="K136" s="180">
        <f>SUMIFS(Table1[Horas efetivas],Table1[Tabela],Plano_V3!E136,Table1[Campo],Plano_V3!F136)</f>
        <v>4.0999999999999996</v>
      </c>
      <c r="L136" s="180">
        <f t="shared" si="22"/>
        <v>0.51249999999999996</v>
      </c>
      <c r="M136" s="174"/>
      <c r="N136" s="174">
        <f t="shared" si="23"/>
        <v>1</v>
      </c>
      <c r="O136" s="174">
        <f t="shared" si="24"/>
        <v>1</v>
      </c>
      <c r="P136" s="87" t="s">
        <v>95</v>
      </c>
      <c r="Q136" s="90">
        <f t="shared" si="25"/>
        <v>0.51249999999999996</v>
      </c>
      <c r="R136" s="78"/>
      <c r="S136" s="78"/>
      <c r="T136" s="78"/>
      <c r="U136" s="78"/>
      <c r="V136" s="78"/>
      <c r="W136" s="78"/>
      <c r="X136" s="78"/>
      <c r="Y136" s="78"/>
      <c r="Z136" s="78"/>
      <c r="AA136" s="78"/>
      <c r="AB136" s="78"/>
      <c r="AC136" s="78"/>
      <c r="AD136" s="78"/>
      <c r="AE136" s="78"/>
      <c r="AF136" s="78"/>
      <c r="AG136" s="78"/>
      <c r="AH136" s="78"/>
      <c r="AI136" s="78"/>
      <c r="AJ136" s="78"/>
      <c r="AK136" s="78"/>
      <c r="AL136" s="78"/>
      <c r="AM136" s="78"/>
      <c r="AN136" s="78"/>
      <c r="AO136" s="78"/>
      <c r="AP136" s="78"/>
      <c r="AQ136" s="78"/>
      <c r="AR136" s="78"/>
      <c r="AS136" s="78"/>
      <c r="AT136" s="78"/>
      <c r="AU136" s="78"/>
      <c r="AV136" s="78"/>
      <c r="AW136" s="78"/>
      <c r="AX136" s="78"/>
      <c r="AY136" s="91"/>
      <c r="AZ136" s="78"/>
      <c r="BA136" s="78"/>
      <c r="BB136" s="78"/>
      <c r="BC136" s="78"/>
      <c r="BD136" s="78"/>
      <c r="BE136" s="78"/>
      <c r="BF136" s="78"/>
      <c r="BG136" s="78"/>
      <c r="BH136" s="78"/>
      <c r="BI136" s="78"/>
      <c r="BJ136" s="78"/>
      <c r="BK136" s="78"/>
      <c r="BL136" s="78"/>
      <c r="BM136" s="78"/>
      <c r="BN136" s="78"/>
      <c r="BO136" s="78"/>
      <c r="BP136" s="78"/>
      <c r="BQ136" s="78"/>
      <c r="BR136" s="78"/>
      <c r="BS136" s="78"/>
      <c r="BT136" s="78"/>
      <c r="BU136" s="78"/>
      <c r="BV136" s="78"/>
      <c r="BW136" s="78"/>
      <c r="BX136" s="78"/>
      <c r="BY136" s="78"/>
      <c r="BZ136" s="78"/>
      <c r="CA136" s="78"/>
      <c r="CB136" s="78"/>
      <c r="CC136" s="78"/>
      <c r="CD136" s="78"/>
      <c r="CE136" s="78"/>
      <c r="CF136" s="78"/>
      <c r="CG136" s="78"/>
      <c r="CH136" s="78"/>
      <c r="CI136" s="78"/>
      <c r="CJ136" s="78"/>
      <c r="CK136" s="78"/>
      <c r="CL136" s="78"/>
      <c r="CM136" s="78"/>
      <c r="CN136" s="78"/>
      <c r="CO136" s="78"/>
      <c r="CP136" s="78"/>
      <c r="CQ136" s="78"/>
      <c r="CR136" s="78"/>
      <c r="CS136" s="78"/>
      <c r="CT136" s="78"/>
      <c r="CU136" s="78"/>
      <c r="CV136" s="78"/>
      <c r="CW136" s="78"/>
      <c r="CX136" s="78"/>
      <c r="CY136" s="78"/>
      <c r="CZ136" s="78"/>
      <c r="DA136" s="78"/>
      <c r="DB136" s="78"/>
      <c r="DC136" s="78"/>
      <c r="DD136" s="78"/>
      <c r="DE136" s="78"/>
      <c r="DF136" s="78"/>
      <c r="DG136" s="78"/>
      <c r="DH136" s="78"/>
      <c r="DI136" s="78"/>
      <c r="DJ136" s="78"/>
      <c r="DK136" s="78"/>
      <c r="DL136" s="78"/>
      <c r="DM136" s="78"/>
      <c r="DN136" s="78"/>
      <c r="DO136" s="78"/>
      <c r="DP136" s="78"/>
      <c r="DQ136" s="78"/>
      <c r="DR136" s="78"/>
      <c r="DS136" s="78"/>
      <c r="DT136" s="78"/>
      <c r="DU136" s="78"/>
      <c r="DV136" s="78"/>
      <c r="DW136" s="78"/>
      <c r="DX136" s="78"/>
      <c r="DY136" s="78"/>
      <c r="DZ136" s="78"/>
      <c r="EA136" s="78"/>
      <c r="EB136" s="78"/>
      <c r="EC136" s="78"/>
      <c r="ED136" s="78"/>
      <c r="EE136" s="78"/>
      <c r="EF136" s="78"/>
      <c r="EG136" s="78"/>
      <c r="EH136" s="78"/>
      <c r="EI136" s="78"/>
      <c r="EJ136" s="78"/>
      <c r="EK136" s="78"/>
      <c r="EL136" s="78"/>
      <c r="EM136" s="78"/>
      <c r="EN136" s="91"/>
      <c r="EO136" s="91"/>
      <c r="EP136" s="91"/>
      <c r="EQ136" s="91"/>
      <c r="ER136" s="91"/>
      <c r="ES136" s="91"/>
    </row>
    <row r="137" spans="1:149" outlineLevel="1">
      <c r="A137" s="29" t="str">
        <f t="shared" si="20"/>
        <v>PROPERTYPROPERTY_REFERENCE_CODE</v>
      </c>
      <c r="B137" s="67" t="s">
        <v>26</v>
      </c>
      <c r="C137" s="68" t="s">
        <v>54</v>
      </c>
      <c r="D137" s="64" t="s">
        <v>40</v>
      </c>
      <c r="E137" s="66" t="s">
        <v>94</v>
      </c>
      <c r="F137" s="66" t="s">
        <v>45</v>
      </c>
      <c r="G137" s="64" t="str">
        <f>INDEX(Auxiliar!$B$16:$B$24,MATCH(Plano_V3!H137,Auxiliar!$C$16:$C$24,0),1)</f>
        <v>1. Concluído</v>
      </c>
      <c r="H137" s="64">
        <f>VLOOKUP(A137,'Aux - pivots1'!$A:$B,2,0)</f>
        <v>1</v>
      </c>
      <c r="I137" s="180">
        <f>SUMIFS(Table1[Estimação (horas)],Table1[Tabela],Plano_V3!E137,Table1[Campo],Plano_V3!F137)</f>
        <v>4.0999999999999996</v>
      </c>
      <c r="J137" s="180">
        <f t="shared" si="21"/>
        <v>0.51249999999999996</v>
      </c>
      <c r="K137" s="180">
        <f>SUMIFS(Table1[Horas efetivas],Table1[Tabela],Plano_V3!E137,Table1[Campo],Plano_V3!F137)</f>
        <v>4.0999999999999996</v>
      </c>
      <c r="L137" s="180">
        <f t="shared" si="22"/>
        <v>0.51249999999999996</v>
      </c>
      <c r="M137" s="174"/>
      <c r="N137" s="174">
        <f t="shared" si="23"/>
        <v>1</v>
      </c>
      <c r="O137" s="174">
        <f t="shared" si="24"/>
        <v>1</v>
      </c>
      <c r="P137" s="87" t="s">
        <v>95</v>
      </c>
      <c r="Q137" s="90">
        <f t="shared" si="25"/>
        <v>0.51249999999999996</v>
      </c>
      <c r="R137" s="78"/>
      <c r="S137" s="78"/>
      <c r="T137" s="78"/>
      <c r="U137" s="78"/>
      <c r="V137" s="78"/>
      <c r="W137" s="78"/>
      <c r="X137" s="78"/>
      <c r="Y137" s="78"/>
      <c r="Z137" s="78"/>
      <c r="AA137" s="78"/>
      <c r="AB137" s="78"/>
      <c r="AC137" s="78"/>
      <c r="AD137" s="78"/>
      <c r="AE137" s="78"/>
      <c r="AF137" s="78"/>
      <c r="AG137" s="78"/>
      <c r="AH137" s="78"/>
      <c r="AI137" s="78"/>
      <c r="AJ137" s="78"/>
      <c r="AK137" s="78"/>
      <c r="AL137" s="78"/>
      <c r="AM137" s="78"/>
      <c r="AN137" s="78"/>
      <c r="AO137" s="78"/>
      <c r="AP137" s="78"/>
      <c r="AQ137" s="78"/>
      <c r="AR137" s="78"/>
      <c r="AS137" s="78"/>
      <c r="AT137" s="78"/>
      <c r="AU137" s="78"/>
      <c r="AV137" s="78"/>
      <c r="AW137" s="78"/>
      <c r="AX137" s="78"/>
      <c r="AY137" s="91"/>
      <c r="AZ137" s="78"/>
      <c r="BA137" s="78"/>
      <c r="BB137" s="78"/>
      <c r="BC137" s="78"/>
      <c r="BD137" s="78"/>
      <c r="BE137" s="78"/>
      <c r="BF137" s="78"/>
      <c r="BG137" s="78"/>
      <c r="BH137" s="78"/>
      <c r="BI137" s="78"/>
      <c r="BJ137" s="78"/>
      <c r="BK137" s="78"/>
      <c r="BL137" s="78"/>
      <c r="BM137" s="78"/>
      <c r="BN137" s="78"/>
      <c r="BO137" s="78"/>
      <c r="BP137" s="78"/>
      <c r="BQ137" s="78"/>
      <c r="BR137" s="78"/>
      <c r="BS137" s="78"/>
      <c r="BT137" s="78"/>
      <c r="BU137" s="78"/>
      <c r="BV137" s="78"/>
      <c r="BW137" s="78"/>
      <c r="BX137" s="78"/>
      <c r="BY137" s="78"/>
      <c r="BZ137" s="78"/>
      <c r="CA137" s="78"/>
      <c r="CB137" s="78"/>
      <c r="CC137" s="78"/>
      <c r="CD137" s="78"/>
      <c r="CE137" s="78"/>
      <c r="CF137" s="78"/>
      <c r="CG137" s="78"/>
      <c r="CH137" s="78"/>
      <c r="CI137" s="78"/>
      <c r="CJ137" s="78"/>
      <c r="CK137" s="78"/>
      <c r="CL137" s="78"/>
      <c r="CM137" s="78"/>
      <c r="CN137" s="78"/>
      <c r="CO137" s="78"/>
      <c r="CP137" s="78"/>
      <c r="CQ137" s="78"/>
      <c r="CR137" s="78"/>
      <c r="CS137" s="78"/>
      <c r="CT137" s="78"/>
      <c r="CU137" s="78"/>
      <c r="CV137" s="78"/>
      <c r="CW137" s="78"/>
      <c r="CX137" s="78"/>
      <c r="CY137" s="78"/>
      <c r="CZ137" s="78"/>
      <c r="DA137" s="78"/>
      <c r="DB137" s="78"/>
      <c r="DC137" s="78"/>
      <c r="DD137" s="78"/>
      <c r="DE137" s="78"/>
      <c r="DF137" s="78"/>
      <c r="DG137" s="78"/>
      <c r="DH137" s="78"/>
      <c r="DI137" s="78"/>
      <c r="DJ137" s="78"/>
      <c r="DK137" s="78"/>
      <c r="DL137" s="78"/>
      <c r="DM137" s="78"/>
      <c r="DN137" s="78"/>
      <c r="DO137" s="78"/>
      <c r="DP137" s="78"/>
      <c r="DQ137" s="78"/>
      <c r="DR137" s="78"/>
      <c r="DS137" s="78"/>
      <c r="DT137" s="78"/>
      <c r="DU137" s="78"/>
      <c r="DV137" s="78"/>
      <c r="DW137" s="78"/>
      <c r="DX137" s="78"/>
      <c r="DY137" s="78"/>
      <c r="DZ137" s="78"/>
      <c r="EA137" s="78"/>
      <c r="EB137" s="78"/>
      <c r="EC137" s="78"/>
      <c r="ED137" s="78"/>
      <c r="EE137" s="78"/>
      <c r="EF137" s="78"/>
      <c r="EG137" s="78"/>
      <c r="EH137" s="78"/>
      <c r="EI137" s="78"/>
      <c r="EJ137" s="78"/>
      <c r="EK137" s="78"/>
      <c r="EL137" s="78"/>
      <c r="EM137" s="78"/>
      <c r="EN137" s="91"/>
      <c r="EO137" s="91"/>
      <c r="EP137" s="91"/>
      <c r="EQ137" s="91"/>
      <c r="ER137" s="91"/>
      <c r="ES137" s="91"/>
    </row>
    <row r="138" spans="1:149" outlineLevel="1">
      <c r="A138" s="29" t="str">
        <f t="shared" si="20"/>
        <v>PROPERTYCADASTRAL_REGISTER_CODE</v>
      </c>
      <c r="B138" s="67" t="s">
        <v>26</v>
      </c>
      <c r="C138" s="68" t="s">
        <v>54</v>
      </c>
      <c r="D138" s="64" t="s">
        <v>40</v>
      </c>
      <c r="E138" s="66" t="s">
        <v>94</v>
      </c>
      <c r="F138" s="66" t="s">
        <v>98</v>
      </c>
      <c r="G138" s="64" t="str">
        <f>INDEX(Auxiliar!$B$16:$B$24,MATCH(Plano_V3!H138,Auxiliar!$C$16:$C$24,0),1)</f>
        <v>1. Concluído</v>
      </c>
      <c r="H138" s="64">
        <f>VLOOKUP(A138,'Aux - pivots1'!$A:$B,2,0)</f>
        <v>1</v>
      </c>
      <c r="I138" s="180">
        <f>SUMIFS(Table1[Estimação (horas)],Table1[Tabela],Plano_V3!E138,Table1[Campo],Plano_V3!F138)</f>
        <v>4.0999999999999996</v>
      </c>
      <c r="J138" s="180">
        <f t="shared" si="21"/>
        <v>0.51249999999999996</v>
      </c>
      <c r="K138" s="180">
        <f>SUMIFS(Table1[Horas efetivas],Table1[Tabela],Plano_V3!E138,Table1[Campo],Plano_V3!F138)</f>
        <v>4.0999999999999996</v>
      </c>
      <c r="L138" s="180">
        <f t="shared" si="22"/>
        <v>0.51249999999999996</v>
      </c>
      <c r="M138" s="174"/>
      <c r="N138" s="174">
        <f t="shared" si="23"/>
        <v>1</v>
      </c>
      <c r="O138" s="174">
        <f t="shared" si="24"/>
        <v>1</v>
      </c>
      <c r="P138" s="87" t="s">
        <v>95</v>
      </c>
      <c r="Q138" s="90">
        <f t="shared" si="25"/>
        <v>0.51249999999999996</v>
      </c>
      <c r="R138" s="78"/>
      <c r="S138" s="78"/>
      <c r="T138" s="78"/>
      <c r="U138" s="78"/>
      <c r="V138" s="78"/>
      <c r="W138" s="78"/>
      <c r="X138" s="78"/>
      <c r="Y138" s="78"/>
      <c r="Z138" s="78"/>
      <c r="AA138" s="78"/>
      <c r="AB138" s="78"/>
      <c r="AC138" s="78"/>
      <c r="AD138" s="78"/>
      <c r="AE138" s="78"/>
      <c r="AF138" s="78"/>
      <c r="AG138" s="78"/>
      <c r="AH138" s="78"/>
      <c r="AI138" s="78"/>
      <c r="AJ138" s="78"/>
      <c r="AK138" s="78"/>
      <c r="AL138" s="78"/>
      <c r="AM138" s="78"/>
      <c r="AN138" s="78"/>
      <c r="AO138" s="78"/>
      <c r="AP138" s="78"/>
      <c r="AQ138" s="78"/>
      <c r="AR138" s="78"/>
      <c r="AS138" s="78"/>
      <c r="AT138" s="78"/>
      <c r="AU138" s="78"/>
      <c r="AV138" s="78"/>
      <c r="AW138" s="78"/>
      <c r="AX138" s="78"/>
      <c r="AY138" s="91"/>
      <c r="AZ138" s="78"/>
      <c r="BA138" s="78"/>
      <c r="BB138" s="78"/>
      <c r="BC138" s="78"/>
      <c r="BD138" s="78"/>
      <c r="BE138" s="78"/>
      <c r="BF138" s="78"/>
      <c r="BG138" s="78"/>
      <c r="BH138" s="78"/>
      <c r="BI138" s="78"/>
      <c r="BJ138" s="78"/>
      <c r="BK138" s="78"/>
      <c r="BL138" s="78"/>
      <c r="BM138" s="78"/>
      <c r="BN138" s="78"/>
      <c r="BO138" s="78"/>
      <c r="BP138" s="78"/>
      <c r="BQ138" s="78"/>
      <c r="BR138" s="78"/>
      <c r="BS138" s="78"/>
      <c r="BT138" s="78"/>
      <c r="BU138" s="78"/>
      <c r="BV138" s="78"/>
      <c r="BW138" s="78"/>
      <c r="BX138" s="78"/>
      <c r="BY138" s="78"/>
      <c r="BZ138" s="78"/>
      <c r="CA138" s="78"/>
      <c r="CB138" s="78"/>
      <c r="CC138" s="78"/>
      <c r="CD138" s="78"/>
      <c r="CE138" s="78"/>
      <c r="CF138" s="78"/>
      <c r="CG138" s="78"/>
      <c r="CH138" s="78"/>
      <c r="CI138" s="78"/>
      <c r="CJ138" s="78"/>
      <c r="CK138" s="78"/>
      <c r="CL138" s="78"/>
      <c r="CM138" s="78"/>
      <c r="CN138" s="78"/>
      <c r="CO138" s="78"/>
      <c r="CP138" s="78"/>
      <c r="CQ138" s="78"/>
      <c r="CR138" s="78"/>
      <c r="CS138" s="78"/>
      <c r="CT138" s="78"/>
      <c r="CU138" s="78"/>
      <c r="CV138" s="78"/>
      <c r="CW138" s="78"/>
      <c r="CX138" s="78"/>
      <c r="CY138" s="78"/>
      <c r="CZ138" s="78"/>
      <c r="DA138" s="78"/>
      <c r="DB138" s="78"/>
      <c r="DC138" s="78"/>
      <c r="DD138" s="78"/>
      <c r="DE138" s="78"/>
      <c r="DF138" s="78"/>
      <c r="DG138" s="78"/>
      <c r="DH138" s="78"/>
      <c r="DI138" s="78"/>
      <c r="DJ138" s="78"/>
      <c r="DK138" s="78"/>
      <c r="DL138" s="78"/>
      <c r="DM138" s="78"/>
      <c r="DN138" s="78"/>
      <c r="DO138" s="78"/>
      <c r="DP138" s="78"/>
      <c r="DQ138" s="78"/>
      <c r="DR138" s="78"/>
      <c r="DS138" s="78"/>
      <c r="DT138" s="78"/>
      <c r="DU138" s="78"/>
      <c r="DV138" s="78"/>
      <c r="DW138" s="78"/>
      <c r="DX138" s="78"/>
      <c r="DY138" s="78"/>
      <c r="DZ138" s="78"/>
      <c r="EA138" s="78"/>
      <c r="EB138" s="78"/>
      <c r="EC138" s="78"/>
      <c r="ED138" s="78"/>
      <c r="EE138" s="78"/>
      <c r="EF138" s="78"/>
      <c r="EG138" s="78"/>
      <c r="EH138" s="78"/>
      <c r="EI138" s="78"/>
      <c r="EJ138" s="78"/>
      <c r="EK138" s="78"/>
      <c r="EL138" s="78"/>
      <c r="EM138" s="78"/>
      <c r="EN138" s="91"/>
      <c r="EO138" s="91"/>
      <c r="EP138" s="91"/>
      <c r="EQ138" s="91"/>
      <c r="ER138" s="91"/>
      <c r="ES138" s="91"/>
    </row>
    <row r="139" spans="1:149" outlineLevel="1">
      <c r="A139" s="29" t="str">
        <f t="shared" ref="A139:A202" si="26">E139&amp;F139</f>
        <v>PROPERTYAPPRAISAL_CODE</v>
      </c>
      <c r="B139" s="67" t="s">
        <v>26</v>
      </c>
      <c r="C139" s="68" t="s">
        <v>54</v>
      </c>
      <c r="D139" s="64" t="s">
        <v>40</v>
      </c>
      <c r="E139" s="66" t="s">
        <v>94</v>
      </c>
      <c r="F139" s="66" t="s">
        <v>99</v>
      </c>
      <c r="G139" s="64" t="str">
        <f>INDEX(Auxiliar!$B$16:$B$24,MATCH(Plano_V3!H139,Auxiliar!$C$16:$C$24,0),1)</f>
        <v>1. Concluído</v>
      </c>
      <c r="H139" s="64">
        <f>VLOOKUP(A139,'Aux - pivots1'!$A:$B,2,0)</f>
        <v>1</v>
      </c>
      <c r="I139" s="180">
        <f>SUMIFS(Table1[Estimação (horas)],Table1[Tabela],Plano_V3!E139,Table1[Campo],Plano_V3!F139)</f>
        <v>4.0999999999999996</v>
      </c>
      <c r="J139" s="180">
        <f t="shared" si="21"/>
        <v>0.51249999999999996</v>
      </c>
      <c r="K139" s="180">
        <f>SUMIFS(Table1[Horas efetivas],Table1[Tabela],Plano_V3!E139,Table1[Campo],Plano_V3!F139)</f>
        <v>4.0999999999999996</v>
      </c>
      <c r="L139" s="180">
        <f t="shared" si="22"/>
        <v>0.51249999999999996</v>
      </c>
      <c r="M139" s="174"/>
      <c r="N139" s="174">
        <f t="shared" si="23"/>
        <v>1</v>
      </c>
      <c r="O139" s="174">
        <f t="shared" si="24"/>
        <v>1</v>
      </c>
      <c r="P139" s="87" t="s">
        <v>95</v>
      </c>
      <c r="Q139" s="90">
        <f t="shared" si="25"/>
        <v>0.51249999999999996</v>
      </c>
      <c r="R139" s="78"/>
      <c r="S139" s="78"/>
      <c r="T139" s="78"/>
      <c r="U139" s="78"/>
      <c r="V139" s="78"/>
      <c r="W139" s="78"/>
      <c r="X139" s="78"/>
      <c r="Y139" s="78"/>
      <c r="Z139" s="78"/>
      <c r="AA139" s="78"/>
      <c r="AB139" s="78"/>
      <c r="AC139" s="78"/>
      <c r="AD139" s="78"/>
      <c r="AE139" s="78"/>
      <c r="AF139" s="78"/>
      <c r="AG139" s="78"/>
      <c r="AH139" s="78"/>
      <c r="AI139" s="78"/>
      <c r="AJ139" s="78"/>
      <c r="AK139" s="78"/>
      <c r="AL139" s="78"/>
      <c r="AM139" s="78"/>
      <c r="AN139" s="78"/>
      <c r="AO139" s="78"/>
      <c r="AP139" s="78"/>
      <c r="AQ139" s="78"/>
      <c r="AR139" s="78"/>
      <c r="AS139" s="78"/>
      <c r="AT139" s="78"/>
      <c r="AU139" s="78"/>
      <c r="AV139" s="78"/>
      <c r="AW139" s="78"/>
      <c r="AX139" s="78"/>
      <c r="AY139" s="91"/>
      <c r="AZ139" s="78"/>
      <c r="BA139" s="78"/>
      <c r="BB139" s="78"/>
      <c r="BC139" s="78"/>
      <c r="BD139" s="78"/>
      <c r="BE139" s="78"/>
      <c r="BF139" s="78"/>
      <c r="BG139" s="78"/>
      <c r="BH139" s="78"/>
      <c r="BI139" s="78"/>
      <c r="BJ139" s="78"/>
      <c r="BK139" s="78"/>
      <c r="BL139" s="78"/>
      <c r="BM139" s="78"/>
      <c r="BN139" s="78"/>
      <c r="BO139" s="78"/>
      <c r="BP139" s="78"/>
      <c r="BQ139" s="78"/>
      <c r="BR139" s="78"/>
      <c r="BS139" s="78"/>
      <c r="BT139" s="78"/>
      <c r="BU139" s="78"/>
      <c r="BV139" s="78"/>
      <c r="BW139" s="78"/>
      <c r="BX139" s="78"/>
      <c r="BY139" s="78"/>
      <c r="BZ139" s="78"/>
      <c r="CA139" s="78"/>
      <c r="CB139" s="78"/>
      <c r="CC139" s="78"/>
      <c r="CD139" s="78"/>
      <c r="CE139" s="78"/>
      <c r="CF139" s="78"/>
      <c r="CG139" s="78"/>
      <c r="CH139" s="78"/>
      <c r="CI139" s="78"/>
      <c r="CJ139" s="78"/>
      <c r="CK139" s="78"/>
      <c r="CL139" s="78"/>
      <c r="CM139" s="78"/>
      <c r="CN139" s="78"/>
      <c r="CO139" s="78"/>
      <c r="CP139" s="78"/>
      <c r="CQ139" s="78"/>
      <c r="CR139" s="78"/>
      <c r="CS139" s="78"/>
      <c r="CT139" s="78"/>
      <c r="CU139" s="78"/>
      <c r="CV139" s="78"/>
      <c r="CW139" s="78"/>
      <c r="CX139" s="78"/>
      <c r="CY139" s="78"/>
      <c r="CZ139" s="78"/>
      <c r="DA139" s="78"/>
      <c r="DB139" s="78"/>
      <c r="DC139" s="78"/>
      <c r="DD139" s="78"/>
      <c r="DE139" s="78"/>
      <c r="DF139" s="78"/>
      <c r="DG139" s="78"/>
      <c r="DH139" s="78"/>
      <c r="DI139" s="78"/>
      <c r="DJ139" s="78"/>
      <c r="DK139" s="78"/>
      <c r="DL139" s="78"/>
      <c r="DM139" s="78"/>
      <c r="DN139" s="78"/>
      <c r="DO139" s="78"/>
      <c r="DP139" s="78"/>
      <c r="DQ139" s="78"/>
      <c r="DR139" s="78"/>
      <c r="DS139" s="78"/>
      <c r="DT139" s="78"/>
      <c r="DU139" s="78"/>
      <c r="DV139" s="78"/>
      <c r="DW139" s="78"/>
      <c r="DX139" s="78"/>
      <c r="DY139" s="78"/>
      <c r="DZ139" s="78"/>
      <c r="EA139" s="78"/>
      <c r="EB139" s="78"/>
      <c r="EC139" s="78"/>
      <c r="ED139" s="78"/>
      <c r="EE139" s="78"/>
      <c r="EF139" s="78"/>
      <c r="EG139" s="78"/>
      <c r="EH139" s="78"/>
      <c r="EI139" s="78"/>
      <c r="EJ139" s="78"/>
      <c r="EK139" s="78"/>
      <c r="EL139" s="78"/>
      <c r="EM139" s="78"/>
      <c r="EN139" s="91"/>
      <c r="EO139" s="91"/>
      <c r="EP139" s="91"/>
      <c r="EQ139" s="91"/>
      <c r="ER139" s="91"/>
      <c r="ES139" s="91"/>
    </row>
    <row r="140" spans="1:149" outlineLevel="1">
      <c r="A140" s="29" t="str">
        <f t="shared" si="26"/>
        <v>PROPERTYcod_bem</v>
      </c>
      <c r="B140" s="67" t="s">
        <v>26</v>
      </c>
      <c r="C140" s="68" t="s">
        <v>54</v>
      </c>
      <c r="D140" s="64" t="s">
        <v>40</v>
      </c>
      <c r="E140" s="66" t="s">
        <v>94</v>
      </c>
      <c r="F140" s="66" t="s">
        <v>100</v>
      </c>
      <c r="G140" s="64" t="str">
        <f>INDEX(Auxiliar!$B$16:$B$24,MATCH(Plano_V3!H140,Auxiliar!$C$16:$C$24,0),1)</f>
        <v>0. Cancelado</v>
      </c>
      <c r="H140" s="64">
        <f>VLOOKUP(A140,'Aux - pivots1'!$A:$B,2,0)</f>
        <v>0</v>
      </c>
      <c r="I140" s="181">
        <v>0</v>
      </c>
      <c r="J140" s="180">
        <f t="shared" ref="J140:J204" si="27">I140/8</f>
        <v>0</v>
      </c>
      <c r="K140" s="180">
        <f>SUMIFS(Table1[Horas efetivas],Table1[Tabela],Plano_V3!E140,Table1[Campo],Plano_V3!F140)</f>
        <v>0</v>
      </c>
      <c r="L140" s="180">
        <f t="shared" ref="L140:L204" si="28">K140/8</f>
        <v>0</v>
      </c>
      <c r="M140" s="174"/>
      <c r="N140" s="174" t="e">
        <f t="shared" ref="N140:N204" si="29">L140/J140</f>
        <v>#DIV/0!</v>
      </c>
      <c r="O140" s="174" t="e">
        <f t="shared" si="24"/>
        <v>#DIV/0!</v>
      </c>
      <c r="P140" s="87" t="s">
        <v>95</v>
      </c>
      <c r="Q140" s="90">
        <f t="shared" si="25"/>
        <v>0</v>
      </c>
      <c r="R140" s="78"/>
      <c r="S140" s="78"/>
      <c r="T140" s="78"/>
      <c r="U140" s="78"/>
      <c r="V140" s="78"/>
      <c r="W140" s="78"/>
      <c r="X140" s="78"/>
      <c r="Y140" s="78"/>
      <c r="Z140" s="78"/>
      <c r="AA140" s="78"/>
      <c r="AB140" s="78"/>
      <c r="AC140" s="78"/>
      <c r="AD140" s="78"/>
      <c r="AE140" s="78"/>
      <c r="AF140" s="78"/>
      <c r="AG140" s="78"/>
      <c r="AH140" s="78"/>
      <c r="AI140" s="78"/>
      <c r="AJ140" s="78"/>
      <c r="AK140" s="78"/>
      <c r="AL140" s="78"/>
      <c r="AM140" s="78"/>
      <c r="AN140" s="78"/>
      <c r="AO140" s="78"/>
      <c r="AP140" s="78"/>
      <c r="AQ140" s="78"/>
      <c r="AR140" s="78"/>
      <c r="AS140" s="78"/>
      <c r="AT140" s="78"/>
      <c r="AU140" s="78"/>
      <c r="AV140" s="78"/>
      <c r="AW140" s="78"/>
      <c r="AX140" s="78"/>
      <c r="AY140" s="91"/>
      <c r="AZ140" s="78"/>
      <c r="BA140" s="78"/>
      <c r="BB140" s="78"/>
      <c r="BC140" s="78"/>
      <c r="BD140" s="78"/>
      <c r="BE140" s="78"/>
      <c r="BF140" s="78"/>
      <c r="BG140" s="78"/>
      <c r="BH140" s="78"/>
      <c r="BI140" s="78"/>
      <c r="BJ140" s="78"/>
      <c r="BK140" s="78"/>
      <c r="BL140" s="78"/>
      <c r="BM140" s="78"/>
      <c r="BN140" s="78"/>
      <c r="BO140" s="78"/>
      <c r="BP140" s="78"/>
      <c r="BQ140" s="78"/>
      <c r="BR140" s="78"/>
      <c r="BS140" s="78"/>
      <c r="BT140" s="78"/>
      <c r="BU140" s="78"/>
      <c r="BV140" s="78"/>
      <c r="BW140" s="78"/>
      <c r="BX140" s="78"/>
      <c r="BY140" s="78"/>
      <c r="BZ140" s="78"/>
      <c r="CA140" s="78"/>
      <c r="CB140" s="78"/>
      <c r="CC140" s="78"/>
      <c r="CD140" s="78"/>
      <c r="CE140" s="78"/>
      <c r="CF140" s="78"/>
      <c r="CG140" s="78"/>
      <c r="CH140" s="78"/>
      <c r="CI140" s="78"/>
      <c r="CJ140" s="78"/>
      <c r="CK140" s="78"/>
      <c r="CL140" s="78"/>
      <c r="CM140" s="78"/>
      <c r="CN140" s="78"/>
      <c r="CO140" s="78"/>
      <c r="CP140" s="78"/>
      <c r="CQ140" s="78"/>
      <c r="CR140" s="78"/>
      <c r="CS140" s="78"/>
      <c r="CT140" s="78"/>
      <c r="CU140" s="78"/>
      <c r="CV140" s="78"/>
      <c r="CW140" s="78"/>
      <c r="CX140" s="78"/>
      <c r="CY140" s="78"/>
      <c r="CZ140" s="78"/>
      <c r="DA140" s="78"/>
      <c r="DB140" s="78"/>
      <c r="DC140" s="78"/>
      <c r="DD140" s="78"/>
      <c r="DE140" s="78"/>
      <c r="DF140" s="78"/>
      <c r="DG140" s="78"/>
      <c r="DH140" s="78"/>
      <c r="DI140" s="78"/>
      <c r="DJ140" s="78"/>
      <c r="DK140" s="78"/>
      <c r="DL140" s="78"/>
      <c r="DM140" s="78"/>
      <c r="DN140" s="78"/>
      <c r="DO140" s="78"/>
      <c r="DP140" s="78"/>
      <c r="DQ140" s="78"/>
      <c r="DR140" s="78"/>
      <c r="DS140" s="78"/>
      <c r="DT140" s="78"/>
      <c r="DU140" s="78"/>
      <c r="DV140" s="78"/>
      <c r="DW140" s="78"/>
      <c r="DX140" s="78"/>
      <c r="DY140" s="78"/>
      <c r="DZ140" s="78"/>
      <c r="EA140" s="78"/>
      <c r="EB140" s="78"/>
      <c r="EC140" s="78"/>
      <c r="ED140" s="78"/>
      <c r="EE140" s="78"/>
      <c r="EF140" s="78"/>
      <c r="EG140" s="78"/>
      <c r="EH140" s="78"/>
      <c r="EI140" s="78"/>
      <c r="EJ140" s="78"/>
      <c r="EK140" s="78"/>
      <c r="EL140" s="78"/>
      <c r="EM140" s="78"/>
      <c r="EN140" s="91"/>
      <c r="EO140" s="91"/>
      <c r="EP140" s="91"/>
      <c r="EQ140" s="91"/>
      <c r="ER140" s="91"/>
      <c r="ES140" s="91"/>
    </row>
    <row r="141" spans="1:149" outlineLevel="1">
      <c r="A141" s="29" t="str">
        <f t="shared" si="26"/>
        <v>PROPERTYDISTRICT_MUNICIP_PARISH_CODE</v>
      </c>
      <c r="B141" s="67" t="s">
        <v>26</v>
      </c>
      <c r="C141" s="68" t="s">
        <v>54</v>
      </c>
      <c r="D141" s="64" t="s">
        <v>40</v>
      </c>
      <c r="E141" s="66" t="s">
        <v>94</v>
      </c>
      <c r="F141" s="66" t="s">
        <v>101</v>
      </c>
      <c r="G141" s="64" t="str">
        <f>INDEX(Auxiliar!$B$16:$B$24,MATCH(Plano_V3!H141,Auxiliar!$C$16:$C$24,0),1)</f>
        <v>1. Concluído</v>
      </c>
      <c r="H141" s="64">
        <f>VLOOKUP(A141,'Aux - pivots1'!$A:$B,2,0)</f>
        <v>1</v>
      </c>
      <c r="I141" s="180">
        <f>SUMIFS(Table1[Estimação (horas)],Table1[Tabela],Plano_V3!E141,Table1[Campo],Plano_V3!F141)</f>
        <v>4.0999999999999996</v>
      </c>
      <c r="J141" s="180">
        <f t="shared" si="27"/>
        <v>0.51249999999999996</v>
      </c>
      <c r="K141" s="180">
        <f>SUMIFS(Table1[Horas efetivas],Table1[Tabela],Plano_V3!E141,Table1[Campo],Plano_V3!F141)</f>
        <v>4.0999999999999996</v>
      </c>
      <c r="L141" s="180">
        <f t="shared" si="28"/>
        <v>0.51249999999999996</v>
      </c>
      <c r="M141" s="174"/>
      <c r="N141" s="174">
        <f t="shared" si="29"/>
        <v>1</v>
      </c>
      <c r="O141" s="174">
        <f t="shared" si="24"/>
        <v>1</v>
      </c>
      <c r="P141" s="87" t="s">
        <v>95</v>
      </c>
      <c r="Q141" s="90">
        <f t="shared" si="25"/>
        <v>0.51249999999999996</v>
      </c>
      <c r="R141" s="78"/>
      <c r="S141" s="78"/>
      <c r="T141" s="78"/>
      <c r="U141" s="78"/>
      <c r="V141" s="78"/>
      <c r="W141" s="78"/>
      <c r="X141" s="78"/>
      <c r="Y141" s="78"/>
      <c r="Z141" s="78"/>
      <c r="AA141" s="78"/>
      <c r="AB141" s="78"/>
      <c r="AC141" s="78"/>
      <c r="AD141" s="78"/>
      <c r="AE141" s="78"/>
      <c r="AF141" s="78"/>
      <c r="AG141" s="78"/>
      <c r="AH141" s="78"/>
      <c r="AI141" s="78"/>
      <c r="AJ141" s="78"/>
      <c r="AK141" s="78"/>
      <c r="AL141" s="78"/>
      <c r="AM141" s="78"/>
      <c r="AN141" s="78"/>
      <c r="AO141" s="78"/>
      <c r="AP141" s="78"/>
      <c r="AQ141" s="78"/>
      <c r="AR141" s="78"/>
      <c r="AS141" s="78"/>
      <c r="AT141" s="78"/>
      <c r="AU141" s="78"/>
      <c r="AV141" s="78"/>
      <c r="AW141" s="78"/>
      <c r="AX141" s="78"/>
      <c r="AY141" s="91"/>
      <c r="AZ141" s="78"/>
      <c r="BA141" s="78"/>
      <c r="BB141" s="78"/>
      <c r="BC141" s="78"/>
      <c r="BD141" s="78"/>
      <c r="BE141" s="78"/>
      <c r="BF141" s="78"/>
      <c r="BG141" s="78"/>
      <c r="BH141" s="78"/>
      <c r="BI141" s="78"/>
      <c r="BJ141" s="78"/>
      <c r="BK141" s="78"/>
      <c r="BL141" s="78"/>
      <c r="BM141" s="78"/>
      <c r="BN141" s="78"/>
      <c r="BO141" s="78"/>
      <c r="BP141" s="78"/>
      <c r="BQ141" s="78"/>
      <c r="BR141" s="78"/>
      <c r="BS141" s="78"/>
      <c r="BT141" s="78"/>
      <c r="BU141" s="78"/>
      <c r="BV141" s="78"/>
      <c r="BW141" s="78"/>
      <c r="BX141" s="78"/>
      <c r="BY141" s="78"/>
      <c r="BZ141" s="78"/>
      <c r="CA141" s="78"/>
      <c r="CB141" s="78"/>
      <c r="CC141" s="78"/>
      <c r="CD141" s="78"/>
      <c r="CE141" s="78"/>
      <c r="CF141" s="78"/>
      <c r="CG141" s="78"/>
      <c r="CH141" s="78"/>
      <c r="CI141" s="78"/>
      <c r="CJ141" s="78"/>
      <c r="CK141" s="78"/>
      <c r="CL141" s="78"/>
      <c r="CM141" s="78"/>
      <c r="CN141" s="78"/>
      <c r="CO141" s="78"/>
      <c r="CP141" s="78"/>
      <c r="CQ141" s="78"/>
      <c r="CR141" s="78"/>
      <c r="CS141" s="78"/>
      <c r="CT141" s="78"/>
      <c r="CU141" s="78"/>
      <c r="CV141" s="78"/>
      <c r="CW141" s="78"/>
      <c r="CX141" s="78"/>
      <c r="CY141" s="78"/>
      <c r="CZ141" s="78"/>
      <c r="DA141" s="78"/>
      <c r="DB141" s="78"/>
      <c r="DC141" s="78"/>
      <c r="DD141" s="78"/>
      <c r="DE141" s="78"/>
      <c r="DF141" s="78"/>
      <c r="DG141" s="78"/>
      <c r="DH141" s="78"/>
      <c r="DI141" s="78"/>
      <c r="DJ141" s="78"/>
      <c r="DK141" s="78"/>
      <c r="DL141" s="78"/>
      <c r="DM141" s="78"/>
      <c r="DN141" s="78"/>
      <c r="DO141" s="78"/>
      <c r="DP141" s="78"/>
      <c r="DQ141" s="78"/>
      <c r="DR141" s="78"/>
      <c r="DS141" s="78"/>
      <c r="DT141" s="78"/>
      <c r="DU141" s="78"/>
      <c r="DV141" s="78"/>
      <c r="DW141" s="78"/>
      <c r="DX141" s="78"/>
      <c r="DY141" s="78"/>
      <c r="DZ141" s="78"/>
      <c r="EA141" s="78"/>
      <c r="EB141" s="78"/>
      <c r="EC141" s="78"/>
      <c r="ED141" s="78"/>
      <c r="EE141" s="78"/>
      <c r="EF141" s="78"/>
      <c r="EG141" s="78"/>
      <c r="EH141" s="78"/>
      <c r="EI141" s="78"/>
      <c r="EJ141" s="78"/>
      <c r="EK141" s="78"/>
      <c r="EL141" s="78"/>
      <c r="EM141" s="78"/>
      <c r="EN141" s="91"/>
      <c r="EO141" s="91"/>
      <c r="EP141" s="91"/>
      <c r="EQ141" s="91"/>
      <c r="ER141" s="91"/>
      <c r="ES141" s="91"/>
    </row>
    <row r="142" spans="1:149" outlineLevel="1">
      <c r="A142" s="29" t="str">
        <f t="shared" si="26"/>
        <v>PROPERTYPROPERTY_PURPOSE_CODE</v>
      </c>
      <c r="B142" s="67" t="s">
        <v>26</v>
      </c>
      <c r="C142" s="68" t="s">
        <v>54</v>
      </c>
      <c r="D142" s="64" t="s">
        <v>40</v>
      </c>
      <c r="E142" s="66" t="s">
        <v>94</v>
      </c>
      <c r="F142" s="66" t="s">
        <v>102</v>
      </c>
      <c r="G142" s="64" t="str">
        <f>INDEX(Auxiliar!$B$16:$B$24,MATCH(Plano_V3!H142,Auxiliar!$C$16:$C$24,0),1)</f>
        <v>1. Concluído</v>
      </c>
      <c r="H142" s="64">
        <f>VLOOKUP(A142,'Aux - pivots1'!$A:$B,2,0)</f>
        <v>1</v>
      </c>
      <c r="I142" s="180">
        <f>SUMIFS(Table1[Estimação (horas)],Table1[Tabela],Plano_V3!E142,Table1[Campo],Plano_V3!F142)</f>
        <v>4.0999999999999996</v>
      </c>
      <c r="J142" s="180">
        <f t="shared" si="27"/>
        <v>0.51249999999999996</v>
      </c>
      <c r="K142" s="180">
        <f>SUMIFS(Table1[Horas efetivas],Table1[Tabela],Plano_V3!E142,Table1[Campo],Plano_V3!F142)</f>
        <v>4.0999999999999996</v>
      </c>
      <c r="L142" s="180">
        <f t="shared" si="28"/>
        <v>0.51249999999999996</v>
      </c>
      <c r="M142" s="174"/>
      <c r="N142" s="174">
        <f t="shared" si="29"/>
        <v>1</v>
      </c>
      <c r="O142" s="174">
        <f t="shared" si="24"/>
        <v>1</v>
      </c>
      <c r="P142" s="87" t="s">
        <v>95</v>
      </c>
      <c r="Q142" s="90">
        <f t="shared" si="25"/>
        <v>0.51249999999999996</v>
      </c>
      <c r="R142" s="78"/>
      <c r="S142" s="78"/>
      <c r="T142" s="78"/>
      <c r="U142" s="78"/>
      <c r="V142" s="78"/>
      <c r="W142" s="78"/>
      <c r="X142" s="78"/>
      <c r="Y142" s="78"/>
      <c r="Z142" s="78"/>
      <c r="AA142" s="78"/>
      <c r="AB142" s="78"/>
      <c r="AC142" s="78"/>
      <c r="AD142" s="78"/>
      <c r="AE142" s="78"/>
      <c r="AF142" s="78"/>
      <c r="AG142" s="78"/>
      <c r="AH142" s="78"/>
      <c r="AI142" s="78"/>
      <c r="AJ142" s="78"/>
      <c r="AK142" s="78"/>
      <c r="AL142" s="78"/>
      <c r="AM142" s="78"/>
      <c r="AN142" s="78"/>
      <c r="AO142" s="78"/>
      <c r="AP142" s="78"/>
      <c r="AQ142" s="78"/>
      <c r="AR142" s="78"/>
      <c r="AS142" s="78"/>
      <c r="AT142" s="78"/>
      <c r="AU142" s="78"/>
      <c r="AV142" s="78"/>
      <c r="AW142" s="78"/>
      <c r="AX142" s="78"/>
      <c r="AY142" s="91"/>
      <c r="AZ142" s="78"/>
      <c r="BA142" s="78"/>
      <c r="BB142" s="78"/>
      <c r="BC142" s="78"/>
      <c r="BD142" s="78"/>
      <c r="BE142" s="78"/>
      <c r="BF142" s="78"/>
      <c r="BG142" s="78"/>
      <c r="BH142" s="78"/>
      <c r="BI142" s="78"/>
      <c r="BJ142" s="78"/>
      <c r="BK142" s="78"/>
      <c r="BL142" s="78"/>
      <c r="BM142" s="78"/>
      <c r="BN142" s="78"/>
      <c r="BO142" s="78"/>
      <c r="BP142" s="78"/>
      <c r="BQ142" s="78"/>
      <c r="BR142" s="78"/>
      <c r="BS142" s="78"/>
      <c r="BT142" s="78"/>
      <c r="BU142" s="78"/>
      <c r="BV142" s="78"/>
      <c r="BW142" s="78"/>
      <c r="BX142" s="78"/>
      <c r="BY142" s="78"/>
      <c r="BZ142" s="78"/>
      <c r="CA142" s="78"/>
      <c r="CB142" s="78"/>
      <c r="CC142" s="78"/>
      <c r="CD142" s="78"/>
      <c r="CE142" s="78"/>
      <c r="CF142" s="78"/>
      <c r="CG142" s="78"/>
      <c r="CH142" s="78"/>
      <c r="CI142" s="78"/>
      <c r="CJ142" s="78"/>
      <c r="CK142" s="78"/>
      <c r="CL142" s="78"/>
      <c r="CM142" s="78"/>
      <c r="CN142" s="78"/>
      <c r="CO142" s="78"/>
      <c r="CP142" s="78"/>
      <c r="CQ142" s="78"/>
      <c r="CR142" s="78"/>
      <c r="CS142" s="78"/>
      <c r="CT142" s="78"/>
      <c r="CU142" s="78"/>
      <c r="CV142" s="78"/>
      <c r="CW142" s="78"/>
      <c r="CX142" s="78"/>
      <c r="CY142" s="78"/>
      <c r="CZ142" s="78"/>
      <c r="DA142" s="78"/>
      <c r="DB142" s="78"/>
      <c r="DC142" s="78"/>
      <c r="DD142" s="78"/>
      <c r="DE142" s="78"/>
      <c r="DF142" s="78"/>
      <c r="DG142" s="78"/>
      <c r="DH142" s="78"/>
      <c r="DI142" s="78"/>
      <c r="DJ142" s="78"/>
      <c r="DK142" s="78"/>
      <c r="DL142" s="78"/>
      <c r="DM142" s="78"/>
      <c r="DN142" s="78"/>
      <c r="DO142" s="78"/>
      <c r="DP142" s="78"/>
      <c r="DQ142" s="78"/>
      <c r="DR142" s="78"/>
      <c r="DS142" s="78"/>
      <c r="DT142" s="78"/>
      <c r="DU142" s="78"/>
      <c r="DV142" s="78"/>
      <c r="DW142" s="78"/>
      <c r="DX142" s="78"/>
      <c r="DY142" s="78"/>
      <c r="DZ142" s="78"/>
      <c r="EA142" s="78"/>
      <c r="EB142" s="78"/>
      <c r="EC142" s="78"/>
      <c r="ED142" s="78"/>
      <c r="EE142" s="78"/>
      <c r="EF142" s="78"/>
      <c r="EG142" s="78"/>
      <c r="EH142" s="78"/>
      <c r="EI142" s="78"/>
      <c r="EJ142" s="78"/>
      <c r="EK142" s="78"/>
      <c r="EL142" s="78"/>
      <c r="EM142" s="78"/>
      <c r="EN142" s="91"/>
      <c r="EO142" s="91"/>
      <c r="EP142" s="91"/>
      <c r="EQ142" s="91"/>
      <c r="ER142" s="91"/>
      <c r="ES142" s="91"/>
    </row>
    <row r="143" spans="1:149" outlineLevel="1">
      <c r="A143" s="29" t="str">
        <f t="shared" si="26"/>
        <v>PROPERTYPROPERTY_LIFETIME_CODE</v>
      </c>
      <c r="B143" s="67" t="s">
        <v>26</v>
      </c>
      <c r="C143" s="68" t="s">
        <v>54</v>
      </c>
      <c r="D143" s="64" t="s">
        <v>40</v>
      </c>
      <c r="E143" s="66" t="s">
        <v>94</v>
      </c>
      <c r="F143" s="66" t="s">
        <v>103</v>
      </c>
      <c r="G143" s="64" t="str">
        <f>INDEX(Auxiliar!$B$16:$B$24,MATCH(Plano_V3!H143,Auxiliar!$C$16:$C$24,0),1)</f>
        <v>1. Concluído</v>
      </c>
      <c r="H143" s="64">
        <f>VLOOKUP(A143,'Aux - pivots1'!$A:$B,2,0)</f>
        <v>1</v>
      </c>
      <c r="I143" s="180">
        <f>SUMIFS(Table1[Estimação (horas)],Table1[Tabela],Plano_V3!E143,Table1[Campo],Plano_V3!F143)</f>
        <v>4.0999999999999996</v>
      </c>
      <c r="J143" s="180">
        <f t="shared" si="27"/>
        <v>0.51249999999999996</v>
      </c>
      <c r="K143" s="180">
        <f>SUMIFS(Table1[Horas efetivas],Table1[Tabela],Plano_V3!E143,Table1[Campo],Plano_V3!F143)</f>
        <v>4.0999999999999996</v>
      </c>
      <c r="L143" s="180">
        <f t="shared" si="28"/>
        <v>0.51249999999999996</v>
      </c>
      <c r="M143" s="174"/>
      <c r="N143" s="174">
        <f t="shared" si="29"/>
        <v>1</v>
      </c>
      <c r="O143" s="174">
        <f t="shared" si="24"/>
        <v>1</v>
      </c>
      <c r="P143" s="87" t="s">
        <v>95</v>
      </c>
      <c r="Q143" s="90">
        <f t="shared" si="25"/>
        <v>0.51249999999999996</v>
      </c>
      <c r="R143" s="78"/>
      <c r="S143" s="78"/>
      <c r="T143" s="78"/>
      <c r="U143" s="78"/>
      <c r="V143" s="78"/>
      <c r="W143" s="78"/>
      <c r="X143" s="78"/>
      <c r="Y143" s="78"/>
      <c r="Z143" s="78"/>
      <c r="AA143" s="78"/>
      <c r="AB143" s="78"/>
      <c r="AC143" s="78"/>
      <c r="AD143" s="78"/>
      <c r="AE143" s="78"/>
      <c r="AF143" s="78"/>
      <c r="AG143" s="78"/>
      <c r="AH143" s="78"/>
      <c r="AI143" s="78"/>
      <c r="AJ143" s="78"/>
      <c r="AK143" s="78"/>
      <c r="AL143" s="78"/>
      <c r="AM143" s="78"/>
      <c r="AN143" s="78"/>
      <c r="AO143" s="78"/>
      <c r="AP143" s="78"/>
      <c r="AQ143" s="78"/>
      <c r="AR143" s="78"/>
      <c r="AS143" s="78"/>
      <c r="AT143" s="78"/>
      <c r="AU143" s="78"/>
      <c r="AV143" s="78"/>
      <c r="AW143" s="78"/>
      <c r="AX143" s="78"/>
      <c r="AY143" s="91"/>
      <c r="AZ143" s="78"/>
      <c r="BA143" s="78"/>
      <c r="BB143" s="78"/>
      <c r="BC143" s="78"/>
      <c r="BD143" s="78"/>
      <c r="BE143" s="78"/>
      <c r="BF143" s="78"/>
      <c r="BG143" s="78"/>
      <c r="BH143" s="78"/>
      <c r="BI143" s="78"/>
      <c r="BJ143" s="78"/>
      <c r="BK143" s="78"/>
      <c r="BL143" s="78"/>
      <c r="BM143" s="78"/>
      <c r="BN143" s="78"/>
      <c r="BO143" s="78"/>
      <c r="BP143" s="78"/>
      <c r="BQ143" s="78"/>
      <c r="BR143" s="78"/>
      <c r="BS143" s="78"/>
      <c r="BT143" s="78"/>
      <c r="BU143" s="78"/>
      <c r="BV143" s="78"/>
      <c r="BW143" s="78"/>
      <c r="BX143" s="78"/>
      <c r="BY143" s="78"/>
      <c r="BZ143" s="78"/>
      <c r="CA143" s="78"/>
      <c r="CB143" s="78"/>
      <c r="CC143" s="78"/>
      <c r="CD143" s="78"/>
      <c r="CE143" s="78"/>
      <c r="CF143" s="78"/>
      <c r="CG143" s="78"/>
      <c r="CH143" s="78"/>
      <c r="CI143" s="78"/>
      <c r="CJ143" s="78"/>
      <c r="CK143" s="78"/>
      <c r="CL143" s="78"/>
      <c r="CM143" s="78"/>
      <c r="CN143" s="78"/>
      <c r="CO143" s="78"/>
      <c r="CP143" s="78"/>
      <c r="CQ143" s="78"/>
      <c r="CR143" s="78"/>
      <c r="CS143" s="78"/>
      <c r="CT143" s="78"/>
      <c r="CU143" s="78"/>
      <c r="CV143" s="78"/>
      <c r="CW143" s="78"/>
      <c r="CX143" s="78"/>
      <c r="CY143" s="78"/>
      <c r="CZ143" s="78"/>
      <c r="DA143" s="78"/>
      <c r="DB143" s="78"/>
      <c r="DC143" s="78"/>
      <c r="DD143" s="78"/>
      <c r="DE143" s="78"/>
      <c r="DF143" s="78"/>
      <c r="DG143" s="78"/>
      <c r="DH143" s="78"/>
      <c r="DI143" s="78"/>
      <c r="DJ143" s="78"/>
      <c r="DK143" s="78"/>
      <c r="DL143" s="78"/>
      <c r="DM143" s="78"/>
      <c r="DN143" s="78"/>
      <c r="DO143" s="78"/>
      <c r="DP143" s="78"/>
      <c r="DQ143" s="78"/>
      <c r="DR143" s="78"/>
      <c r="DS143" s="78"/>
      <c r="DT143" s="78"/>
      <c r="DU143" s="78"/>
      <c r="DV143" s="78"/>
      <c r="DW143" s="78"/>
      <c r="DX143" s="78"/>
      <c r="DY143" s="78"/>
      <c r="DZ143" s="78"/>
      <c r="EA143" s="78"/>
      <c r="EB143" s="78"/>
      <c r="EC143" s="78"/>
      <c r="ED143" s="78"/>
      <c r="EE143" s="78"/>
      <c r="EF143" s="78"/>
      <c r="EG143" s="78"/>
      <c r="EH143" s="78"/>
      <c r="EI143" s="78"/>
      <c r="EJ143" s="78"/>
      <c r="EK143" s="78"/>
      <c r="EL143" s="78"/>
      <c r="EM143" s="78"/>
      <c r="EN143" s="91"/>
      <c r="EO143" s="91"/>
      <c r="EP143" s="91"/>
      <c r="EQ143" s="91"/>
      <c r="ER143" s="91"/>
      <c r="ES143" s="91"/>
    </row>
    <row r="144" spans="1:149" outlineLevel="1">
      <c r="A144" s="29" t="str">
        <f t="shared" si="26"/>
        <v>PROPERTYADDRESS_CODE</v>
      </c>
      <c r="B144" s="67" t="s">
        <v>26</v>
      </c>
      <c r="C144" s="68" t="s">
        <v>54</v>
      </c>
      <c r="D144" s="64" t="s">
        <v>40</v>
      </c>
      <c r="E144" s="66" t="s">
        <v>94</v>
      </c>
      <c r="F144" s="66" t="s">
        <v>104</v>
      </c>
      <c r="G144" s="64" t="str">
        <f>INDEX(Auxiliar!$B$16:$B$24,MATCH(Plano_V3!H144,Auxiliar!$C$16:$C$24,0),1)</f>
        <v>1. Concluído</v>
      </c>
      <c r="H144" s="64">
        <f>VLOOKUP(A144,'Aux - pivots1'!$A:$B,2,0)</f>
        <v>1</v>
      </c>
      <c r="I144" s="180">
        <f>SUMIFS(Table1[Estimação (horas)],Table1[Tabela],Plano_V3!E144,Table1[Campo],Plano_V3!F144)</f>
        <v>4.0999999999999996</v>
      </c>
      <c r="J144" s="180">
        <f t="shared" si="27"/>
        <v>0.51249999999999996</v>
      </c>
      <c r="K144" s="180">
        <f>SUMIFS(Table1[Horas efetivas],Table1[Tabela],Plano_V3!E144,Table1[Campo],Plano_V3!F144)</f>
        <v>4.0999999999999996</v>
      </c>
      <c r="L144" s="180">
        <f t="shared" si="28"/>
        <v>0.51249999999999996</v>
      </c>
      <c r="M144" s="174"/>
      <c r="N144" s="174">
        <f t="shared" si="29"/>
        <v>1</v>
      </c>
      <c r="O144" s="174">
        <f t="shared" si="24"/>
        <v>1</v>
      </c>
      <c r="P144" s="87" t="s">
        <v>95</v>
      </c>
      <c r="Q144" s="90">
        <f t="shared" si="25"/>
        <v>0.51249999999999996</v>
      </c>
      <c r="R144" s="78"/>
      <c r="S144" s="78"/>
      <c r="T144" s="78"/>
      <c r="U144" s="78"/>
      <c r="V144" s="78"/>
      <c r="W144" s="78"/>
      <c r="X144" s="78"/>
      <c r="Y144" s="78"/>
      <c r="Z144" s="78"/>
      <c r="AA144" s="78"/>
      <c r="AB144" s="78"/>
      <c r="AC144" s="78"/>
      <c r="AD144" s="78"/>
      <c r="AE144" s="78"/>
      <c r="AF144" s="78"/>
      <c r="AG144" s="78"/>
      <c r="AH144" s="78"/>
      <c r="AI144" s="78"/>
      <c r="AJ144" s="78"/>
      <c r="AK144" s="78"/>
      <c r="AL144" s="78"/>
      <c r="AM144" s="78"/>
      <c r="AN144" s="78"/>
      <c r="AO144" s="78"/>
      <c r="AP144" s="78"/>
      <c r="AQ144" s="78"/>
      <c r="AR144" s="78"/>
      <c r="AS144" s="78"/>
      <c r="AT144" s="78"/>
      <c r="AU144" s="78"/>
      <c r="AV144" s="78"/>
      <c r="AW144" s="78"/>
      <c r="AX144" s="78"/>
      <c r="AY144" s="91"/>
      <c r="AZ144" s="78"/>
      <c r="BA144" s="78"/>
      <c r="BB144" s="78"/>
      <c r="BC144" s="78"/>
      <c r="BD144" s="78"/>
      <c r="BE144" s="78"/>
      <c r="BF144" s="78"/>
      <c r="BG144" s="78"/>
      <c r="BH144" s="78"/>
      <c r="BI144" s="78"/>
      <c r="BJ144" s="78"/>
      <c r="BK144" s="78"/>
      <c r="BL144" s="78"/>
      <c r="BM144" s="78"/>
      <c r="BN144" s="78"/>
      <c r="BO144" s="78"/>
      <c r="BP144" s="78"/>
      <c r="BQ144" s="78"/>
      <c r="BR144" s="78"/>
      <c r="BS144" s="78"/>
      <c r="BT144" s="78"/>
      <c r="BU144" s="78"/>
      <c r="BV144" s="78"/>
      <c r="BW144" s="78"/>
      <c r="BX144" s="78"/>
      <c r="BY144" s="78"/>
      <c r="BZ144" s="78"/>
      <c r="CA144" s="78"/>
      <c r="CB144" s="78"/>
      <c r="CC144" s="78"/>
      <c r="CD144" s="78"/>
      <c r="CE144" s="78"/>
      <c r="CF144" s="78"/>
      <c r="CG144" s="78"/>
      <c r="CH144" s="78"/>
      <c r="CI144" s="78"/>
      <c r="CJ144" s="78"/>
      <c r="CK144" s="78"/>
      <c r="CL144" s="78"/>
      <c r="CM144" s="78"/>
      <c r="CN144" s="78"/>
      <c r="CO144" s="78"/>
      <c r="CP144" s="78"/>
      <c r="CQ144" s="78"/>
      <c r="CR144" s="78"/>
      <c r="CS144" s="78"/>
      <c r="CT144" s="78"/>
      <c r="CU144" s="78"/>
      <c r="CV144" s="78"/>
      <c r="CW144" s="78"/>
      <c r="CX144" s="78"/>
      <c r="CY144" s="78"/>
      <c r="CZ144" s="78"/>
      <c r="DA144" s="78"/>
      <c r="DB144" s="78"/>
      <c r="DC144" s="78"/>
      <c r="DD144" s="78"/>
      <c r="DE144" s="78"/>
      <c r="DF144" s="78"/>
      <c r="DG144" s="78"/>
      <c r="DH144" s="78"/>
      <c r="DI144" s="78"/>
      <c r="DJ144" s="78"/>
      <c r="DK144" s="78"/>
      <c r="DL144" s="78"/>
      <c r="DM144" s="78"/>
      <c r="DN144" s="78"/>
      <c r="DO144" s="78"/>
      <c r="DP144" s="78"/>
      <c r="DQ144" s="78"/>
      <c r="DR144" s="78"/>
      <c r="DS144" s="78"/>
      <c r="DT144" s="78"/>
      <c r="DU144" s="78"/>
      <c r="DV144" s="78"/>
      <c r="DW144" s="78"/>
      <c r="DX144" s="78"/>
      <c r="DY144" s="78"/>
      <c r="DZ144" s="78"/>
      <c r="EA144" s="78"/>
      <c r="EB144" s="78"/>
      <c r="EC144" s="78"/>
      <c r="ED144" s="78"/>
      <c r="EE144" s="78"/>
      <c r="EF144" s="78"/>
      <c r="EG144" s="78"/>
      <c r="EH144" s="78"/>
      <c r="EI144" s="78"/>
      <c r="EJ144" s="78"/>
      <c r="EK144" s="78"/>
      <c r="EL144" s="78"/>
      <c r="EM144" s="78"/>
      <c r="EN144" s="91"/>
      <c r="EO144" s="91"/>
      <c r="EP144" s="91"/>
      <c r="EQ144" s="91"/>
      <c r="ER144" s="91"/>
      <c r="ES144" s="91"/>
    </row>
    <row r="145" spans="1:149" outlineLevel="1">
      <c r="A145" s="29" t="str">
        <f t="shared" si="26"/>
        <v>PROPERTYCOUNTRY_CODE</v>
      </c>
      <c r="B145" s="67" t="s">
        <v>26</v>
      </c>
      <c r="C145" s="68" t="s">
        <v>54</v>
      </c>
      <c r="D145" s="64" t="s">
        <v>40</v>
      </c>
      <c r="E145" s="66" t="s">
        <v>94</v>
      </c>
      <c r="F145" s="66" t="s">
        <v>105</v>
      </c>
      <c r="G145" s="64" t="str">
        <f>INDEX(Auxiliar!$B$16:$B$24,MATCH(Plano_V3!H145,Auxiliar!$C$16:$C$24,0),1)</f>
        <v>1. Concluído</v>
      </c>
      <c r="H145" s="64">
        <f>VLOOKUP(A145,'Aux - pivots1'!$A:$B,2,0)</f>
        <v>1</v>
      </c>
      <c r="I145" s="180">
        <f>SUMIFS(Table1[Estimação (horas)],Table1[Tabela],Plano_V3!E145,Table1[Campo],Plano_V3!F145)</f>
        <v>4.0999999999999996</v>
      </c>
      <c r="J145" s="180">
        <f t="shared" si="27"/>
        <v>0.51249999999999996</v>
      </c>
      <c r="K145" s="180">
        <f>SUMIFS(Table1[Horas efetivas],Table1[Tabela],Plano_V3!E145,Table1[Campo],Plano_V3!F145)</f>
        <v>4.0999999999999996</v>
      </c>
      <c r="L145" s="180">
        <f t="shared" si="28"/>
        <v>0.51249999999999996</v>
      </c>
      <c r="M145" s="174"/>
      <c r="N145" s="174">
        <f t="shared" si="29"/>
        <v>1</v>
      </c>
      <c r="O145" s="174">
        <f t="shared" si="24"/>
        <v>1</v>
      </c>
      <c r="P145" s="87" t="s">
        <v>95</v>
      </c>
      <c r="Q145" s="90">
        <f t="shared" si="25"/>
        <v>0.51249999999999996</v>
      </c>
      <c r="R145" s="78"/>
      <c r="S145" s="78"/>
      <c r="T145" s="78"/>
      <c r="U145" s="78"/>
      <c r="V145" s="78"/>
      <c r="W145" s="78"/>
      <c r="X145" s="78"/>
      <c r="Y145" s="78"/>
      <c r="Z145" s="78"/>
      <c r="AA145" s="78"/>
      <c r="AB145" s="78"/>
      <c r="AC145" s="78"/>
      <c r="AD145" s="78"/>
      <c r="AE145" s="78"/>
      <c r="AF145" s="78"/>
      <c r="AG145" s="78"/>
      <c r="AH145" s="78"/>
      <c r="AI145" s="78"/>
      <c r="AJ145" s="78"/>
      <c r="AK145" s="78"/>
      <c r="AL145" s="78"/>
      <c r="AM145" s="78"/>
      <c r="AN145" s="78"/>
      <c r="AO145" s="78"/>
      <c r="AP145" s="78"/>
      <c r="AQ145" s="78"/>
      <c r="AR145" s="78"/>
      <c r="AS145" s="78"/>
      <c r="AT145" s="78"/>
      <c r="AU145" s="78"/>
      <c r="AV145" s="78"/>
      <c r="AW145" s="78"/>
      <c r="AX145" s="78"/>
      <c r="AY145" s="91"/>
      <c r="AZ145" s="78"/>
      <c r="BA145" s="78"/>
      <c r="BB145" s="78"/>
      <c r="BC145" s="78"/>
      <c r="BD145" s="78"/>
      <c r="BE145" s="78"/>
      <c r="BF145" s="78"/>
      <c r="BG145" s="78"/>
      <c r="BH145" s="78"/>
      <c r="BI145" s="78"/>
      <c r="BJ145" s="78"/>
      <c r="BK145" s="78"/>
      <c r="BL145" s="78"/>
      <c r="BM145" s="78"/>
      <c r="BN145" s="78"/>
      <c r="BO145" s="78"/>
      <c r="BP145" s="78"/>
      <c r="BQ145" s="78"/>
      <c r="BR145" s="78"/>
      <c r="BS145" s="78"/>
      <c r="BT145" s="78"/>
      <c r="BU145" s="78"/>
      <c r="BV145" s="78"/>
      <c r="BW145" s="78"/>
      <c r="BX145" s="78"/>
      <c r="BY145" s="78"/>
      <c r="BZ145" s="78"/>
      <c r="CA145" s="78"/>
      <c r="CB145" s="78"/>
      <c r="CC145" s="78"/>
      <c r="CD145" s="78"/>
      <c r="CE145" s="78"/>
      <c r="CF145" s="78"/>
      <c r="CG145" s="78"/>
      <c r="CH145" s="78"/>
      <c r="CI145" s="78"/>
      <c r="CJ145" s="78"/>
      <c r="CK145" s="78"/>
      <c r="CL145" s="78"/>
      <c r="CM145" s="78"/>
      <c r="CN145" s="78"/>
      <c r="CO145" s="78"/>
      <c r="CP145" s="78"/>
      <c r="CQ145" s="78"/>
      <c r="CR145" s="78"/>
      <c r="CS145" s="78"/>
      <c r="CT145" s="78"/>
      <c r="CU145" s="78"/>
      <c r="CV145" s="78"/>
      <c r="CW145" s="78"/>
      <c r="CX145" s="78"/>
      <c r="CY145" s="78"/>
      <c r="CZ145" s="78"/>
      <c r="DA145" s="78"/>
      <c r="DB145" s="78"/>
      <c r="DC145" s="78"/>
      <c r="DD145" s="78"/>
      <c r="DE145" s="78"/>
      <c r="DF145" s="78"/>
      <c r="DG145" s="78"/>
      <c r="DH145" s="78"/>
      <c r="DI145" s="78"/>
      <c r="DJ145" s="78"/>
      <c r="DK145" s="78"/>
      <c r="DL145" s="78"/>
      <c r="DM145" s="78"/>
      <c r="DN145" s="78"/>
      <c r="DO145" s="78"/>
      <c r="DP145" s="78"/>
      <c r="DQ145" s="78"/>
      <c r="DR145" s="78"/>
      <c r="DS145" s="78"/>
      <c r="DT145" s="78"/>
      <c r="DU145" s="78"/>
      <c r="DV145" s="78"/>
      <c r="DW145" s="78"/>
      <c r="DX145" s="78"/>
      <c r="DY145" s="78"/>
      <c r="DZ145" s="78"/>
      <c r="EA145" s="78"/>
      <c r="EB145" s="78"/>
      <c r="EC145" s="78"/>
      <c r="ED145" s="78"/>
      <c r="EE145" s="78"/>
      <c r="EF145" s="78"/>
      <c r="EG145" s="78"/>
      <c r="EH145" s="78"/>
      <c r="EI145" s="78"/>
      <c r="EJ145" s="78"/>
      <c r="EK145" s="78"/>
      <c r="EL145" s="78"/>
      <c r="EM145" s="78"/>
      <c r="EN145" s="91"/>
      <c r="EO145" s="91"/>
      <c r="EP145" s="91"/>
      <c r="EQ145" s="91"/>
      <c r="ER145" s="91"/>
      <c r="ES145" s="91"/>
    </row>
    <row r="146" spans="1:149" outlineLevel="1">
      <c r="A146" s="29" t="str">
        <f t="shared" si="26"/>
        <v>PROPERTYPOSTAL_CODE</v>
      </c>
      <c r="B146" s="67" t="s">
        <v>26</v>
      </c>
      <c r="C146" s="68" t="s">
        <v>54</v>
      </c>
      <c r="D146" s="64" t="s">
        <v>40</v>
      </c>
      <c r="E146" s="66" t="s">
        <v>94</v>
      </c>
      <c r="F146" s="66" t="s">
        <v>106</v>
      </c>
      <c r="G146" s="64" t="str">
        <f>INDEX(Auxiliar!$B$16:$B$24,MATCH(Plano_V3!H146,Auxiliar!$C$16:$C$24,0),1)</f>
        <v>1. Concluído</v>
      </c>
      <c r="H146" s="64">
        <f>VLOOKUP(A146,'Aux - pivots1'!$A:$B,2,0)</f>
        <v>1</v>
      </c>
      <c r="I146" s="180">
        <f>SUMIFS(Table1[Estimação (horas)],Table1[Tabela],Plano_V3!E146,Table1[Campo],Plano_V3!F146)</f>
        <v>4.0999999999999996</v>
      </c>
      <c r="J146" s="180">
        <f t="shared" si="27"/>
        <v>0.51249999999999996</v>
      </c>
      <c r="K146" s="180">
        <f>SUMIFS(Table1[Horas efetivas],Table1[Tabela],Plano_V3!E146,Table1[Campo],Plano_V3!F146)</f>
        <v>4.0999999999999996</v>
      </c>
      <c r="L146" s="180">
        <f t="shared" si="28"/>
        <v>0.51249999999999996</v>
      </c>
      <c r="M146" s="174"/>
      <c r="N146" s="174">
        <f t="shared" si="29"/>
        <v>1</v>
      </c>
      <c r="O146" s="174">
        <f t="shared" si="24"/>
        <v>1</v>
      </c>
      <c r="P146" s="87" t="s">
        <v>95</v>
      </c>
      <c r="Q146" s="90">
        <f t="shared" si="25"/>
        <v>0.51249999999999996</v>
      </c>
      <c r="R146" s="78"/>
      <c r="S146" s="78"/>
      <c r="T146" s="78"/>
      <c r="U146" s="78"/>
      <c r="V146" s="78"/>
      <c r="W146" s="78"/>
      <c r="X146" s="78"/>
      <c r="Y146" s="78"/>
      <c r="Z146" s="78"/>
      <c r="AA146" s="78"/>
      <c r="AB146" s="78"/>
      <c r="AC146" s="78"/>
      <c r="AD146" s="78"/>
      <c r="AE146" s="78"/>
      <c r="AF146" s="78"/>
      <c r="AG146" s="78"/>
      <c r="AH146" s="78"/>
      <c r="AI146" s="78"/>
      <c r="AJ146" s="78"/>
      <c r="AK146" s="78"/>
      <c r="AL146" s="78"/>
      <c r="AM146" s="78"/>
      <c r="AN146" s="78"/>
      <c r="AO146" s="78"/>
      <c r="AP146" s="78"/>
      <c r="AQ146" s="78"/>
      <c r="AR146" s="78"/>
      <c r="AS146" s="78"/>
      <c r="AT146" s="78"/>
      <c r="AU146" s="78"/>
      <c r="AV146" s="78"/>
      <c r="AW146" s="78"/>
      <c r="AX146" s="78"/>
      <c r="AY146" s="91"/>
      <c r="AZ146" s="78"/>
      <c r="BA146" s="78"/>
      <c r="BB146" s="78"/>
      <c r="BC146" s="78"/>
      <c r="BD146" s="78"/>
      <c r="BE146" s="78"/>
      <c r="BF146" s="78"/>
      <c r="BG146" s="78"/>
      <c r="BH146" s="78"/>
      <c r="BI146" s="78"/>
      <c r="BJ146" s="78"/>
      <c r="BK146" s="78"/>
      <c r="BL146" s="78"/>
      <c r="BM146" s="78"/>
      <c r="BN146" s="78"/>
      <c r="BO146" s="78"/>
      <c r="BP146" s="78"/>
      <c r="BQ146" s="78"/>
      <c r="BR146" s="78"/>
      <c r="BS146" s="78"/>
      <c r="BT146" s="78"/>
      <c r="BU146" s="78"/>
      <c r="BV146" s="78"/>
      <c r="BW146" s="78"/>
      <c r="BX146" s="78"/>
      <c r="BY146" s="78"/>
      <c r="BZ146" s="78"/>
      <c r="CA146" s="78"/>
      <c r="CB146" s="78"/>
      <c r="CC146" s="78"/>
      <c r="CD146" s="78"/>
      <c r="CE146" s="78"/>
      <c r="CF146" s="78"/>
      <c r="CG146" s="78"/>
      <c r="CH146" s="78"/>
      <c r="CI146" s="78"/>
      <c r="CJ146" s="78"/>
      <c r="CK146" s="78"/>
      <c r="CL146" s="78"/>
      <c r="CM146" s="78"/>
      <c r="CN146" s="78"/>
      <c r="CO146" s="78"/>
      <c r="CP146" s="78"/>
      <c r="CQ146" s="78"/>
      <c r="CR146" s="78"/>
      <c r="CS146" s="78"/>
      <c r="CT146" s="78"/>
      <c r="CU146" s="78"/>
      <c r="CV146" s="78"/>
      <c r="CW146" s="78"/>
      <c r="CX146" s="78"/>
      <c r="CY146" s="78"/>
      <c r="CZ146" s="78"/>
      <c r="DA146" s="78"/>
      <c r="DB146" s="78"/>
      <c r="DC146" s="78"/>
      <c r="DD146" s="78"/>
      <c r="DE146" s="78"/>
      <c r="DF146" s="78"/>
      <c r="DG146" s="78"/>
      <c r="DH146" s="78"/>
      <c r="DI146" s="78"/>
      <c r="DJ146" s="78"/>
      <c r="DK146" s="78"/>
      <c r="DL146" s="78"/>
      <c r="DM146" s="78"/>
      <c r="DN146" s="78"/>
      <c r="DO146" s="78"/>
      <c r="DP146" s="78"/>
      <c r="DQ146" s="78"/>
      <c r="DR146" s="78"/>
      <c r="DS146" s="78"/>
      <c r="DT146" s="78"/>
      <c r="DU146" s="78"/>
      <c r="DV146" s="78"/>
      <c r="DW146" s="78"/>
      <c r="DX146" s="78"/>
      <c r="DY146" s="78"/>
      <c r="DZ146" s="78"/>
      <c r="EA146" s="78"/>
      <c r="EB146" s="78"/>
      <c r="EC146" s="78"/>
      <c r="ED146" s="78"/>
      <c r="EE146" s="78"/>
      <c r="EF146" s="78"/>
      <c r="EG146" s="78"/>
      <c r="EH146" s="78"/>
      <c r="EI146" s="78"/>
      <c r="EJ146" s="78"/>
      <c r="EK146" s="78"/>
      <c r="EL146" s="78"/>
      <c r="EM146" s="78"/>
      <c r="EN146" s="91"/>
      <c r="EO146" s="91"/>
      <c r="EP146" s="91"/>
      <c r="EQ146" s="91"/>
      <c r="ER146" s="91"/>
      <c r="ES146" s="91"/>
    </row>
    <row r="147" spans="1:149" outlineLevel="1">
      <c r="A147" s="29" t="str">
        <f t="shared" si="26"/>
        <v>PROPERTYPROPERTY_TYPE_CODE</v>
      </c>
      <c r="B147" s="67" t="s">
        <v>26</v>
      </c>
      <c r="C147" s="68" t="s">
        <v>54</v>
      </c>
      <c r="D147" s="64" t="s">
        <v>40</v>
      </c>
      <c r="E147" s="66" t="s">
        <v>94</v>
      </c>
      <c r="F147" s="66" t="s">
        <v>107</v>
      </c>
      <c r="G147" s="64" t="str">
        <f>INDEX(Auxiliar!$B$16:$B$24,MATCH(Plano_V3!H147,Auxiliar!$C$16:$C$24,0),1)</f>
        <v>1. Concluído</v>
      </c>
      <c r="H147" s="64">
        <f>VLOOKUP(A147,'Aux - pivots1'!$A:$B,2,0)</f>
        <v>1</v>
      </c>
      <c r="I147" s="180">
        <f>SUMIFS(Table1[Estimação (horas)],Table1[Tabela],Plano_V3!E147,Table1[Campo],Plano_V3!F147)</f>
        <v>4.0999999999999996</v>
      </c>
      <c r="J147" s="180">
        <f t="shared" si="27"/>
        <v>0.51249999999999996</v>
      </c>
      <c r="K147" s="180">
        <f>SUMIFS(Table1[Horas efetivas],Table1[Tabela],Plano_V3!E147,Table1[Campo],Plano_V3!F147)</f>
        <v>4.0999999999999996</v>
      </c>
      <c r="L147" s="180">
        <f t="shared" si="28"/>
        <v>0.51249999999999996</v>
      </c>
      <c r="M147" s="174"/>
      <c r="N147" s="174">
        <f t="shared" si="29"/>
        <v>1</v>
      </c>
      <c r="O147" s="174">
        <f t="shared" si="24"/>
        <v>1</v>
      </c>
      <c r="P147" s="87" t="s">
        <v>95</v>
      </c>
      <c r="Q147" s="90">
        <f t="shared" si="25"/>
        <v>0.51249999999999996</v>
      </c>
      <c r="R147" s="78"/>
      <c r="S147" s="78"/>
      <c r="T147" s="78"/>
      <c r="U147" s="78"/>
      <c r="V147" s="78"/>
      <c r="W147" s="78"/>
      <c r="X147" s="78"/>
      <c r="Y147" s="78"/>
      <c r="Z147" s="78"/>
      <c r="AA147" s="78"/>
      <c r="AB147" s="78"/>
      <c r="AC147" s="78"/>
      <c r="AD147" s="78"/>
      <c r="AE147" s="78"/>
      <c r="AF147" s="78"/>
      <c r="AG147" s="78"/>
      <c r="AH147" s="78"/>
      <c r="AI147" s="78"/>
      <c r="AJ147" s="78"/>
      <c r="AK147" s="78"/>
      <c r="AL147" s="78"/>
      <c r="AM147" s="78"/>
      <c r="AN147" s="78"/>
      <c r="AO147" s="78"/>
      <c r="AP147" s="78"/>
      <c r="AQ147" s="78"/>
      <c r="AR147" s="78"/>
      <c r="AS147" s="78"/>
      <c r="AT147" s="78"/>
      <c r="AU147" s="78"/>
      <c r="AV147" s="78"/>
      <c r="AW147" s="78"/>
      <c r="AX147" s="78"/>
      <c r="AY147" s="91"/>
      <c r="AZ147" s="78"/>
      <c r="BA147" s="78"/>
      <c r="BB147" s="78"/>
      <c r="BC147" s="78"/>
      <c r="BD147" s="78"/>
      <c r="BE147" s="78"/>
      <c r="BF147" s="78"/>
      <c r="BG147" s="78"/>
      <c r="BH147" s="78"/>
      <c r="BI147" s="78"/>
      <c r="BJ147" s="78"/>
      <c r="BK147" s="78"/>
      <c r="BL147" s="78"/>
      <c r="BM147" s="78"/>
      <c r="BN147" s="78"/>
      <c r="BO147" s="78"/>
      <c r="BP147" s="78"/>
      <c r="BQ147" s="78"/>
      <c r="BR147" s="78"/>
      <c r="BS147" s="78"/>
      <c r="BT147" s="78"/>
      <c r="BU147" s="78"/>
      <c r="BV147" s="78"/>
      <c r="BW147" s="78"/>
      <c r="BX147" s="78"/>
      <c r="BY147" s="78"/>
      <c r="BZ147" s="78"/>
      <c r="CA147" s="78"/>
      <c r="CB147" s="78"/>
      <c r="CC147" s="78"/>
      <c r="CD147" s="78"/>
      <c r="CE147" s="78"/>
      <c r="CF147" s="78"/>
      <c r="CG147" s="78"/>
      <c r="CH147" s="78"/>
      <c r="CI147" s="78"/>
      <c r="CJ147" s="78"/>
      <c r="CK147" s="78"/>
      <c r="CL147" s="78"/>
      <c r="CM147" s="78"/>
      <c r="CN147" s="78"/>
      <c r="CO147" s="78"/>
      <c r="CP147" s="78"/>
      <c r="CQ147" s="78"/>
      <c r="CR147" s="78"/>
      <c r="CS147" s="78"/>
      <c r="CT147" s="78"/>
      <c r="CU147" s="78"/>
      <c r="CV147" s="78"/>
      <c r="CW147" s="78"/>
      <c r="CX147" s="78"/>
      <c r="CY147" s="78"/>
      <c r="CZ147" s="78"/>
      <c r="DA147" s="78"/>
      <c r="DB147" s="78"/>
      <c r="DC147" s="78"/>
      <c r="DD147" s="78"/>
      <c r="DE147" s="78"/>
      <c r="DF147" s="78"/>
      <c r="DG147" s="78"/>
      <c r="DH147" s="78"/>
      <c r="DI147" s="78"/>
      <c r="DJ147" s="78"/>
      <c r="DK147" s="78"/>
      <c r="DL147" s="78"/>
      <c r="DM147" s="78"/>
      <c r="DN147" s="78"/>
      <c r="DO147" s="78"/>
      <c r="DP147" s="78"/>
      <c r="DQ147" s="78"/>
      <c r="DR147" s="78"/>
      <c r="DS147" s="78"/>
      <c r="DT147" s="78"/>
      <c r="DU147" s="78"/>
      <c r="DV147" s="78"/>
      <c r="DW147" s="78"/>
      <c r="DX147" s="78"/>
      <c r="DY147" s="78"/>
      <c r="DZ147" s="78"/>
      <c r="EA147" s="78"/>
      <c r="EB147" s="78"/>
      <c r="EC147" s="78"/>
      <c r="ED147" s="78"/>
      <c r="EE147" s="78"/>
      <c r="EF147" s="78"/>
      <c r="EG147" s="78"/>
      <c r="EH147" s="78"/>
      <c r="EI147" s="78"/>
      <c r="EJ147" s="78"/>
      <c r="EK147" s="78"/>
      <c r="EL147" s="78"/>
      <c r="EM147" s="78"/>
      <c r="EN147" s="91"/>
      <c r="EO147" s="91"/>
      <c r="EP147" s="91"/>
      <c r="EQ147" s="91"/>
      <c r="ER147" s="91"/>
      <c r="ES147" s="91"/>
    </row>
    <row r="148" spans="1:149" outlineLevel="1">
      <c r="A148" s="29" t="str">
        <f t="shared" si="26"/>
        <v>PROPERTYLAST_APPRAISAL_DATE</v>
      </c>
      <c r="B148" s="67" t="s">
        <v>26</v>
      </c>
      <c r="C148" s="68" t="s">
        <v>54</v>
      </c>
      <c r="D148" s="64" t="s">
        <v>40</v>
      </c>
      <c r="E148" s="66" t="s">
        <v>94</v>
      </c>
      <c r="F148" s="66" t="s">
        <v>108</v>
      </c>
      <c r="G148" s="64" t="str">
        <f>INDEX(Auxiliar!$B$16:$B$24,MATCH(Plano_V3!H148,Auxiliar!$C$16:$C$24,0),1)</f>
        <v>1. Concluído</v>
      </c>
      <c r="H148" s="64">
        <f>VLOOKUP(A148,'Aux - pivots1'!$A:$B,2,0)</f>
        <v>1</v>
      </c>
      <c r="I148" s="180">
        <f>SUMIFS(Table1[Estimação (horas)],Table1[Tabela],Plano_V3!E148,Table1[Campo],Plano_V3!F148)</f>
        <v>4.0999999999999996</v>
      </c>
      <c r="J148" s="180">
        <f t="shared" si="27"/>
        <v>0.51249999999999996</v>
      </c>
      <c r="K148" s="180">
        <f>SUMIFS(Table1[Horas efetivas],Table1[Tabela],Plano_V3!E148,Table1[Campo],Plano_V3!F148)</f>
        <v>4.0999999999999996</v>
      </c>
      <c r="L148" s="180">
        <f t="shared" si="28"/>
        <v>0.51249999999999996</v>
      </c>
      <c r="M148" s="174"/>
      <c r="N148" s="174">
        <f t="shared" si="29"/>
        <v>1</v>
      </c>
      <c r="O148" s="174">
        <f t="shared" si="24"/>
        <v>1</v>
      </c>
      <c r="P148" s="87" t="s">
        <v>95</v>
      </c>
      <c r="Q148" s="90">
        <f t="shared" si="25"/>
        <v>0.51249999999999996</v>
      </c>
      <c r="R148" s="78"/>
      <c r="S148" s="78"/>
      <c r="T148" s="78"/>
      <c r="U148" s="78"/>
      <c r="V148" s="78"/>
      <c r="W148" s="78"/>
      <c r="X148" s="78"/>
      <c r="Y148" s="78"/>
      <c r="Z148" s="78"/>
      <c r="AA148" s="78"/>
      <c r="AB148" s="78"/>
      <c r="AC148" s="78"/>
      <c r="AD148" s="78"/>
      <c r="AE148" s="78"/>
      <c r="AF148" s="78"/>
      <c r="AG148" s="78"/>
      <c r="AH148" s="78"/>
      <c r="AI148" s="78"/>
      <c r="AJ148" s="78"/>
      <c r="AK148" s="78"/>
      <c r="AL148" s="78"/>
      <c r="AM148" s="78"/>
      <c r="AN148" s="78"/>
      <c r="AO148" s="78"/>
      <c r="AP148" s="78"/>
      <c r="AQ148" s="78"/>
      <c r="AR148" s="78"/>
      <c r="AS148" s="78"/>
      <c r="AT148" s="78"/>
      <c r="AU148" s="78"/>
      <c r="AV148" s="78"/>
      <c r="AW148" s="78"/>
      <c r="AX148" s="78"/>
      <c r="AY148" s="91"/>
      <c r="AZ148" s="78"/>
      <c r="BA148" s="78"/>
      <c r="BB148" s="78"/>
      <c r="BC148" s="78"/>
      <c r="BD148" s="78"/>
      <c r="BE148" s="78"/>
      <c r="BF148" s="78"/>
      <c r="BG148" s="78"/>
      <c r="BH148" s="78"/>
      <c r="BI148" s="78"/>
      <c r="BJ148" s="78"/>
      <c r="BK148" s="78"/>
      <c r="BL148" s="78"/>
      <c r="BM148" s="78"/>
      <c r="BN148" s="78"/>
      <c r="BO148" s="78"/>
      <c r="BP148" s="78"/>
      <c r="BQ148" s="78"/>
      <c r="BR148" s="78"/>
      <c r="BS148" s="78"/>
      <c r="BT148" s="78"/>
      <c r="BU148" s="78"/>
      <c r="BV148" s="78"/>
      <c r="BW148" s="78"/>
      <c r="BX148" s="78"/>
      <c r="BY148" s="78"/>
      <c r="BZ148" s="78"/>
      <c r="CA148" s="78"/>
      <c r="CB148" s="78"/>
      <c r="CC148" s="78"/>
      <c r="CD148" s="78"/>
      <c r="CE148" s="78"/>
      <c r="CF148" s="78"/>
      <c r="CG148" s="78"/>
      <c r="CH148" s="78"/>
      <c r="CI148" s="78"/>
      <c r="CJ148" s="78"/>
      <c r="CK148" s="78"/>
      <c r="CL148" s="78"/>
      <c r="CM148" s="78"/>
      <c r="CN148" s="78"/>
      <c r="CO148" s="78"/>
      <c r="CP148" s="78"/>
      <c r="CQ148" s="78"/>
      <c r="CR148" s="78"/>
      <c r="CS148" s="78"/>
      <c r="CT148" s="78"/>
      <c r="CU148" s="78"/>
      <c r="CV148" s="78"/>
      <c r="CW148" s="78"/>
      <c r="CX148" s="78"/>
      <c r="CY148" s="78"/>
      <c r="CZ148" s="78"/>
      <c r="DA148" s="78"/>
      <c r="DB148" s="78"/>
      <c r="DC148" s="78"/>
      <c r="DD148" s="78"/>
      <c r="DE148" s="78"/>
      <c r="DF148" s="78"/>
      <c r="DG148" s="78"/>
      <c r="DH148" s="78"/>
      <c r="DI148" s="78"/>
      <c r="DJ148" s="78"/>
      <c r="DK148" s="78"/>
      <c r="DL148" s="78"/>
      <c r="DM148" s="78"/>
      <c r="DN148" s="78"/>
      <c r="DO148" s="78"/>
      <c r="DP148" s="78"/>
      <c r="DQ148" s="78"/>
      <c r="DR148" s="78"/>
      <c r="DS148" s="78"/>
      <c r="DT148" s="78"/>
      <c r="DU148" s="78"/>
      <c r="DV148" s="78"/>
      <c r="DW148" s="78"/>
      <c r="DX148" s="78"/>
      <c r="DY148" s="78"/>
      <c r="DZ148" s="78"/>
      <c r="EA148" s="78"/>
      <c r="EB148" s="78"/>
      <c r="EC148" s="78"/>
      <c r="ED148" s="78"/>
      <c r="EE148" s="78"/>
      <c r="EF148" s="78"/>
      <c r="EG148" s="78"/>
      <c r="EH148" s="78"/>
      <c r="EI148" s="78"/>
      <c r="EJ148" s="78"/>
      <c r="EK148" s="78"/>
      <c r="EL148" s="78"/>
      <c r="EM148" s="78"/>
      <c r="EN148" s="91"/>
      <c r="EO148" s="91"/>
      <c r="EP148" s="91"/>
      <c r="EQ148" s="91"/>
      <c r="ER148" s="91"/>
      <c r="ES148" s="91"/>
    </row>
    <row r="149" spans="1:149" outlineLevel="1">
      <c r="A149" s="29" t="str">
        <f t="shared" si="26"/>
        <v>PROPERTYUSAGE_PERMIT_START_DATE</v>
      </c>
      <c r="B149" s="67" t="s">
        <v>26</v>
      </c>
      <c r="C149" s="68" t="s">
        <v>54</v>
      </c>
      <c r="D149" s="64" t="s">
        <v>40</v>
      </c>
      <c r="E149" s="66" t="s">
        <v>94</v>
      </c>
      <c r="F149" s="66" t="s">
        <v>109</v>
      </c>
      <c r="G149" s="64" t="str">
        <f>INDEX(Auxiliar!$B$16:$B$24,MATCH(Plano_V3!H149,Auxiliar!$C$16:$C$24,0),1)</f>
        <v>1. Concluído</v>
      </c>
      <c r="H149" s="64">
        <f>VLOOKUP(A149,'Aux - pivots1'!$A:$B,2,0)</f>
        <v>1</v>
      </c>
      <c r="I149" s="180">
        <f>SUMIFS(Table1[Estimação (horas)],Table1[Tabela],Plano_V3!E149,Table1[Campo],Plano_V3!F149)</f>
        <v>4.0999999999999996</v>
      </c>
      <c r="J149" s="180">
        <f t="shared" si="27"/>
        <v>0.51249999999999996</v>
      </c>
      <c r="K149" s="180">
        <f>SUMIFS(Table1[Horas efetivas],Table1[Tabela],Plano_V3!E149,Table1[Campo],Plano_V3!F149)</f>
        <v>4.0999999999999996</v>
      </c>
      <c r="L149" s="180">
        <f t="shared" si="28"/>
        <v>0.51249999999999996</v>
      </c>
      <c r="M149" s="174"/>
      <c r="N149" s="174">
        <f t="shared" si="29"/>
        <v>1</v>
      </c>
      <c r="O149" s="174">
        <f t="shared" si="24"/>
        <v>1</v>
      </c>
      <c r="P149" s="87" t="s">
        <v>95</v>
      </c>
      <c r="Q149" s="90">
        <f t="shared" si="25"/>
        <v>0.51249999999999996</v>
      </c>
      <c r="R149" s="78"/>
      <c r="S149" s="78"/>
      <c r="T149" s="78"/>
      <c r="U149" s="78"/>
      <c r="V149" s="78"/>
      <c r="W149" s="78"/>
      <c r="X149" s="78"/>
      <c r="Y149" s="78"/>
      <c r="Z149" s="78"/>
      <c r="AA149" s="78"/>
      <c r="AB149" s="78"/>
      <c r="AC149" s="78"/>
      <c r="AD149" s="78"/>
      <c r="AE149" s="78"/>
      <c r="AF149" s="78"/>
      <c r="AG149" s="78"/>
      <c r="AH149" s="78"/>
      <c r="AI149" s="78"/>
      <c r="AJ149" s="78"/>
      <c r="AK149" s="78"/>
      <c r="AL149" s="78"/>
      <c r="AM149" s="78"/>
      <c r="AN149" s="78"/>
      <c r="AO149" s="78"/>
      <c r="AP149" s="78"/>
      <c r="AQ149" s="78"/>
      <c r="AR149" s="78"/>
      <c r="AS149" s="78"/>
      <c r="AT149" s="78"/>
      <c r="AU149" s="78"/>
      <c r="AV149" s="78"/>
      <c r="AW149" s="78"/>
      <c r="AX149" s="78"/>
      <c r="AY149" s="91"/>
      <c r="AZ149" s="78"/>
      <c r="BA149" s="78"/>
      <c r="BB149" s="78"/>
      <c r="BC149" s="78"/>
      <c r="BD149" s="78"/>
      <c r="BE149" s="78"/>
      <c r="BF149" s="78"/>
      <c r="BG149" s="78"/>
      <c r="BH149" s="78"/>
      <c r="BI149" s="78"/>
      <c r="BJ149" s="78"/>
      <c r="BK149" s="78"/>
      <c r="BL149" s="78"/>
      <c r="BM149" s="78"/>
      <c r="BN149" s="78"/>
      <c r="BO149" s="78"/>
      <c r="BP149" s="78"/>
      <c r="BQ149" s="78"/>
      <c r="BR149" s="78"/>
      <c r="BS149" s="78"/>
      <c r="BT149" s="78"/>
      <c r="BU149" s="78"/>
      <c r="BV149" s="78"/>
      <c r="BW149" s="78"/>
      <c r="BX149" s="78"/>
      <c r="BY149" s="78"/>
      <c r="BZ149" s="78"/>
      <c r="CA149" s="78"/>
      <c r="CB149" s="78"/>
      <c r="CC149" s="78"/>
      <c r="CD149" s="78"/>
      <c r="CE149" s="78"/>
      <c r="CF149" s="78"/>
      <c r="CG149" s="78"/>
      <c r="CH149" s="78"/>
      <c r="CI149" s="78"/>
      <c r="CJ149" s="78"/>
      <c r="CK149" s="78"/>
      <c r="CL149" s="78"/>
      <c r="CM149" s="78"/>
      <c r="CN149" s="78"/>
      <c r="CO149" s="78"/>
      <c r="CP149" s="78"/>
      <c r="CQ149" s="78"/>
      <c r="CR149" s="78"/>
      <c r="CS149" s="78"/>
      <c r="CT149" s="78"/>
      <c r="CU149" s="78"/>
      <c r="CV149" s="78"/>
      <c r="CW149" s="78"/>
      <c r="CX149" s="78"/>
      <c r="CY149" s="78"/>
      <c r="CZ149" s="78"/>
      <c r="DA149" s="78"/>
      <c r="DB149" s="78"/>
      <c r="DC149" s="78"/>
      <c r="DD149" s="78"/>
      <c r="DE149" s="78"/>
      <c r="DF149" s="78"/>
      <c r="DG149" s="78"/>
      <c r="DH149" s="78"/>
      <c r="DI149" s="78"/>
      <c r="DJ149" s="78"/>
      <c r="DK149" s="78"/>
      <c r="DL149" s="78"/>
      <c r="DM149" s="78"/>
      <c r="DN149" s="78"/>
      <c r="DO149" s="78"/>
      <c r="DP149" s="78"/>
      <c r="DQ149" s="78"/>
      <c r="DR149" s="78"/>
      <c r="DS149" s="78"/>
      <c r="DT149" s="78"/>
      <c r="DU149" s="78"/>
      <c r="DV149" s="78"/>
      <c r="DW149" s="78"/>
      <c r="DX149" s="78"/>
      <c r="DY149" s="78"/>
      <c r="DZ149" s="78"/>
      <c r="EA149" s="78"/>
      <c r="EB149" s="78"/>
      <c r="EC149" s="78"/>
      <c r="ED149" s="78"/>
      <c r="EE149" s="78"/>
      <c r="EF149" s="78"/>
      <c r="EG149" s="78"/>
      <c r="EH149" s="78"/>
      <c r="EI149" s="78"/>
      <c r="EJ149" s="78"/>
      <c r="EK149" s="78"/>
      <c r="EL149" s="78"/>
      <c r="EM149" s="78"/>
      <c r="EN149" s="91"/>
      <c r="EO149" s="91"/>
      <c r="EP149" s="91"/>
      <c r="EQ149" s="91"/>
      <c r="ER149" s="91"/>
      <c r="ES149" s="91"/>
    </row>
    <row r="150" spans="1:149" outlineLevel="1">
      <c r="A150" s="29" t="str">
        <f t="shared" si="26"/>
        <v>PROPERTYCONSERVATORY_REG_FILE_ID</v>
      </c>
      <c r="B150" s="67" t="s">
        <v>26</v>
      </c>
      <c r="C150" s="68" t="s">
        <v>54</v>
      </c>
      <c r="D150" s="64" t="s">
        <v>40</v>
      </c>
      <c r="E150" s="66" t="s">
        <v>94</v>
      </c>
      <c r="F150" s="66" t="s">
        <v>110</v>
      </c>
      <c r="G150" s="64" t="str">
        <f>INDEX(Auxiliar!$B$16:$B$24,MATCH(Plano_V3!H150,Auxiliar!$C$16:$C$24,0),1)</f>
        <v>1. Concluído</v>
      </c>
      <c r="H150" s="64">
        <f>VLOOKUP(A150,'Aux - pivots1'!$A:$B,2,0)</f>
        <v>1</v>
      </c>
      <c r="I150" s="180">
        <f>SUMIFS(Table1[Estimação (horas)],Table1[Tabela],Plano_V3!E150,Table1[Campo],Plano_V3!F150)</f>
        <v>4.0999999999999996</v>
      </c>
      <c r="J150" s="180">
        <f t="shared" si="27"/>
        <v>0.51249999999999996</v>
      </c>
      <c r="K150" s="180">
        <f>SUMIFS(Table1[Horas efetivas],Table1[Tabela],Plano_V3!E150,Table1[Campo],Plano_V3!F150)</f>
        <v>4.0999999999999996</v>
      </c>
      <c r="L150" s="180">
        <f t="shared" si="28"/>
        <v>0.51249999999999996</v>
      </c>
      <c r="M150" s="174"/>
      <c r="N150" s="174">
        <f t="shared" si="29"/>
        <v>1</v>
      </c>
      <c r="O150" s="174">
        <f t="shared" si="24"/>
        <v>1</v>
      </c>
      <c r="P150" s="87" t="s">
        <v>95</v>
      </c>
      <c r="Q150" s="90">
        <f t="shared" si="25"/>
        <v>0.51249999999999996</v>
      </c>
      <c r="R150" s="78"/>
      <c r="S150" s="78"/>
      <c r="T150" s="78"/>
      <c r="U150" s="78"/>
      <c r="V150" s="78"/>
      <c r="W150" s="78"/>
      <c r="X150" s="78"/>
      <c r="Y150" s="78"/>
      <c r="Z150" s="78"/>
      <c r="AA150" s="78"/>
      <c r="AB150" s="78"/>
      <c r="AC150" s="78"/>
      <c r="AD150" s="78"/>
      <c r="AE150" s="78"/>
      <c r="AF150" s="78"/>
      <c r="AG150" s="78"/>
      <c r="AH150" s="78"/>
      <c r="AI150" s="78"/>
      <c r="AJ150" s="78"/>
      <c r="AK150" s="78"/>
      <c r="AL150" s="78"/>
      <c r="AM150" s="78"/>
      <c r="AN150" s="78"/>
      <c r="AO150" s="78"/>
      <c r="AP150" s="78"/>
      <c r="AQ150" s="78"/>
      <c r="AR150" s="78"/>
      <c r="AS150" s="78"/>
      <c r="AT150" s="78"/>
      <c r="AU150" s="78"/>
      <c r="AV150" s="78"/>
      <c r="AW150" s="78"/>
      <c r="AX150" s="78"/>
      <c r="AY150" s="91"/>
      <c r="AZ150" s="78"/>
      <c r="BA150" s="78"/>
      <c r="BB150" s="78"/>
      <c r="BC150" s="78"/>
      <c r="BD150" s="78"/>
      <c r="BE150" s="78"/>
      <c r="BF150" s="78"/>
      <c r="BG150" s="78"/>
      <c r="BH150" s="78"/>
      <c r="BI150" s="78"/>
      <c r="BJ150" s="78"/>
      <c r="BK150" s="78"/>
      <c r="BL150" s="78"/>
      <c r="BM150" s="78"/>
      <c r="BN150" s="78"/>
      <c r="BO150" s="78"/>
      <c r="BP150" s="78"/>
      <c r="BQ150" s="78"/>
      <c r="BR150" s="78"/>
      <c r="BS150" s="78"/>
      <c r="BT150" s="78"/>
      <c r="BU150" s="78"/>
      <c r="BV150" s="78"/>
      <c r="BW150" s="78"/>
      <c r="BX150" s="78"/>
      <c r="BY150" s="78"/>
      <c r="BZ150" s="78"/>
      <c r="CA150" s="78"/>
      <c r="CB150" s="78"/>
      <c r="CC150" s="78"/>
      <c r="CD150" s="78"/>
      <c r="CE150" s="78"/>
      <c r="CF150" s="78"/>
      <c r="CG150" s="78"/>
      <c r="CH150" s="78"/>
      <c r="CI150" s="78"/>
      <c r="CJ150" s="78"/>
      <c r="CK150" s="78"/>
      <c r="CL150" s="78"/>
      <c r="CM150" s="78"/>
      <c r="CN150" s="78"/>
      <c r="CO150" s="78"/>
      <c r="CP150" s="78"/>
      <c r="CQ150" s="78"/>
      <c r="CR150" s="78"/>
      <c r="CS150" s="78"/>
      <c r="CT150" s="78"/>
      <c r="CU150" s="78"/>
      <c r="CV150" s="78"/>
      <c r="CW150" s="78"/>
      <c r="CX150" s="78"/>
      <c r="CY150" s="78"/>
      <c r="CZ150" s="78"/>
      <c r="DA150" s="78"/>
      <c r="DB150" s="78"/>
      <c r="DC150" s="78"/>
      <c r="DD150" s="78"/>
      <c r="DE150" s="78"/>
      <c r="DF150" s="78"/>
      <c r="DG150" s="78"/>
      <c r="DH150" s="78"/>
      <c r="DI150" s="78"/>
      <c r="DJ150" s="78"/>
      <c r="DK150" s="78"/>
      <c r="DL150" s="78"/>
      <c r="DM150" s="78"/>
      <c r="DN150" s="78"/>
      <c r="DO150" s="78"/>
      <c r="DP150" s="78"/>
      <c r="DQ150" s="78"/>
      <c r="DR150" s="78"/>
      <c r="DS150" s="78"/>
      <c r="DT150" s="78"/>
      <c r="DU150" s="78"/>
      <c r="DV150" s="78"/>
      <c r="DW150" s="78"/>
      <c r="DX150" s="78"/>
      <c r="DY150" s="78"/>
      <c r="DZ150" s="78"/>
      <c r="EA150" s="78"/>
      <c r="EB150" s="78"/>
      <c r="EC150" s="78"/>
      <c r="ED150" s="78"/>
      <c r="EE150" s="78"/>
      <c r="EF150" s="78"/>
      <c r="EG150" s="78"/>
      <c r="EH150" s="78"/>
      <c r="EI150" s="78"/>
      <c r="EJ150" s="78"/>
      <c r="EK150" s="78"/>
      <c r="EL150" s="78"/>
      <c r="EM150" s="78"/>
      <c r="EN150" s="91"/>
      <c r="EO150" s="91"/>
      <c r="EP150" s="91"/>
      <c r="EQ150" s="91"/>
      <c r="ER150" s="91"/>
      <c r="ES150" s="91"/>
    </row>
    <row r="151" spans="1:149" outlineLevel="1">
      <c r="A151" s="29" t="str">
        <f t="shared" si="26"/>
        <v>PROPERTYFLOOR_NUMBER</v>
      </c>
      <c r="B151" s="67" t="s">
        <v>26</v>
      </c>
      <c r="C151" s="68" t="s">
        <v>54</v>
      </c>
      <c r="D151" s="64" t="s">
        <v>40</v>
      </c>
      <c r="E151" s="66" t="s">
        <v>94</v>
      </c>
      <c r="F151" s="66" t="s">
        <v>111</v>
      </c>
      <c r="G151" s="64" t="str">
        <f>INDEX(Auxiliar!$B$16:$B$24,MATCH(Plano_V3!H151,Auxiliar!$C$16:$C$24,0),1)</f>
        <v>1. Concluído</v>
      </c>
      <c r="H151" s="64">
        <f>VLOOKUP(A151,'Aux - pivots1'!$A:$B,2,0)</f>
        <v>1</v>
      </c>
      <c r="I151" s="180">
        <f>SUMIFS(Table1[Estimação (horas)],Table1[Tabela],Plano_V3!E151,Table1[Campo],Plano_V3!F151)</f>
        <v>4.0999999999999996</v>
      </c>
      <c r="J151" s="180">
        <f t="shared" si="27"/>
        <v>0.51249999999999996</v>
      </c>
      <c r="K151" s="180">
        <f>SUMIFS(Table1[Horas efetivas],Table1[Tabela],Plano_V3!E151,Table1[Campo],Plano_V3!F151)</f>
        <v>4.0999999999999996</v>
      </c>
      <c r="L151" s="180">
        <f t="shared" si="28"/>
        <v>0.51249999999999996</v>
      </c>
      <c r="M151" s="174"/>
      <c r="N151" s="174">
        <f t="shared" si="29"/>
        <v>1</v>
      </c>
      <c r="O151" s="174">
        <f t="shared" si="24"/>
        <v>1</v>
      </c>
      <c r="P151" s="87" t="s">
        <v>95</v>
      </c>
      <c r="Q151" s="90">
        <f t="shared" si="25"/>
        <v>0.51249999999999996</v>
      </c>
      <c r="R151" s="78"/>
      <c r="S151" s="78"/>
      <c r="T151" s="78"/>
      <c r="U151" s="78"/>
      <c r="V151" s="78"/>
      <c r="W151" s="78"/>
      <c r="X151" s="78"/>
      <c r="Y151" s="78"/>
      <c r="Z151" s="78"/>
      <c r="AA151" s="78"/>
      <c r="AB151" s="78"/>
      <c r="AC151" s="78"/>
      <c r="AD151" s="78"/>
      <c r="AE151" s="78"/>
      <c r="AF151" s="78"/>
      <c r="AG151" s="78"/>
      <c r="AH151" s="78"/>
      <c r="AI151" s="78"/>
      <c r="AJ151" s="78"/>
      <c r="AK151" s="78"/>
      <c r="AL151" s="78"/>
      <c r="AM151" s="78"/>
      <c r="AN151" s="78"/>
      <c r="AO151" s="78"/>
      <c r="AP151" s="78"/>
      <c r="AQ151" s="78"/>
      <c r="AR151" s="78"/>
      <c r="AS151" s="78"/>
      <c r="AT151" s="78"/>
      <c r="AU151" s="78"/>
      <c r="AV151" s="78"/>
      <c r="AW151" s="78"/>
      <c r="AX151" s="78"/>
      <c r="AY151" s="91"/>
      <c r="AZ151" s="78"/>
      <c r="BA151" s="78"/>
      <c r="BB151" s="78"/>
      <c r="BC151" s="78"/>
      <c r="BD151" s="78"/>
      <c r="BE151" s="78"/>
      <c r="BF151" s="78"/>
      <c r="BG151" s="78"/>
      <c r="BH151" s="78"/>
      <c r="BI151" s="78"/>
      <c r="BJ151" s="78"/>
      <c r="BK151" s="78"/>
      <c r="BL151" s="78"/>
      <c r="BM151" s="78"/>
      <c r="BN151" s="78"/>
      <c r="BO151" s="78"/>
      <c r="BP151" s="78"/>
      <c r="BQ151" s="78"/>
      <c r="BR151" s="78"/>
      <c r="BS151" s="78"/>
      <c r="BT151" s="78"/>
      <c r="BU151" s="78"/>
      <c r="BV151" s="78"/>
      <c r="BW151" s="78"/>
      <c r="BX151" s="78"/>
      <c r="BY151" s="78"/>
      <c r="BZ151" s="78"/>
      <c r="CA151" s="78"/>
      <c r="CB151" s="78"/>
      <c r="CC151" s="78"/>
      <c r="CD151" s="78"/>
      <c r="CE151" s="78"/>
      <c r="CF151" s="78"/>
      <c r="CG151" s="78"/>
      <c r="CH151" s="78"/>
      <c r="CI151" s="78"/>
      <c r="CJ151" s="78"/>
      <c r="CK151" s="78"/>
      <c r="CL151" s="78"/>
      <c r="CM151" s="78"/>
      <c r="CN151" s="78"/>
      <c r="CO151" s="78"/>
      <c r="CP151" s="78"/>
      <c r="CQ151" s="78"/>
      <c r="CR151" s="78"/>
      <c r="CS151" s="78"/>
      <c r="CT151" s="78"/>
      <c r="CU151" s="78"/>
      <c r="CV151" s="78"/>
      <c r="CW151" s="78"/>
      <c r="CX151" s="78"/>
      <c r="CY151" s="78"/>
      <c r="CZ151" s="78"/>
      <c r="DA151" s="78"/>
      <c r="DB151" s="78"/>
      <c r="DC151" s="78"/>
      <c r="DD151" s="78"/>
      <c r="DE151" s="78"/>
      <c r="DF151" s="78"/>
      <c r="DG151" s="78"/>
      <c r="DH151" s="78"/>
      <c r="DI151" s="78"/>
      <c r="DJ151" s="78"/>
      <c r="DK151" s="78"/>
      <c r="DL151" s="78"/>
      <c r="DM151" s="78"/>
      <c r="DN151" s="78"/>
      <c r="DO151" s="78"/>
      <c r="DP151" s="78"/>
      <c r="DQ151" s="78"/>
      <c r="DR151" s="78"/>
      <c r="DS151" s="78"/>
      <c r="DT151" s="78"/>
      <c r="DU151" s="78"/>
      <c r="DV151" s="78"/>
      <c r="DW151" s="78"/>
      <c r="DX151" s="78"/>
      <c r="DY151" s="78"/>
      <c r="DZ151" s="78"/>
      <c r="EA151" s="78"/>
      <c r="EB151" s="78"/>
      <c r="EC151" s="78"/>
      <c r="ED151" s="78"/>
      <c r="EE151" s="78"/>
      <c r="EF151" s="78"/>
      <c r="EG151" s="78"/>
      <c r="EH151" s="78"/>
      <c r="EI151" s="78"/>
      <c r="EJ151" s="78"/>
      <c r="EK151" s="78"/>
      <c r="EL151" s="78"/>
      <c r="EM151" s="78"/>
      <c r="EN151" s="91"/>
      <c r="EO151" s="91"/>
      <c r="EP151" s="91"/>
      <c r="EQ151" s="91"/>
      <c r="ER151" s="91"/>
      <c r="ES151" s="91"/>
    </row>
    <row r="152" spans="1:149" outlineLevel="1">
      <c r="A152" s="29" t="str">
        <f t="shared" si="26"/>
        <v>PROPERTYLOCALITY</v>
      </c>
      <c r="B152" s="67" t="s">
        <v>26</v>
      </c>
      <c r="C152" s="68" t="s">
        <v>54</v>
      </c>
      <c r="D152" s="64" t="s">
        <v>40</v>
      </c>
      <c r="E152" s="66" t="s">
        <v>94</v>
      </c>
      <c r="F152" s="66" t="s">
        <v>112</v>
      </c>
      <c r="G152" s="64" t="str">
        <f>INDEX(Auxiliar!$B$16:$B$24,MATCH(Plano_V3!H152,Auxiliar!$C$16:$C$24,0),1)</f>
        <v>1. Concluído</v>
      </c>
      <c r="H152" s="64">
        <f>VLOOKUP(A152,'Aux - pivots1'!$A:$B,2,0)</f>
        <v>1</v>
      </c>
      <c r="I152" s="180">
        <f>SUMIFS(Table1[Estimação (horas)],Table1[Tabela],Plano_V3!E152,Table1[Campo],Plano_V3!F152)</f>
        <v>4.0999999999999996</v>
      </c>
      <c r="J152" s="180">
        <f t="shared" si="27"/>
        <v>0.51249999999999996</v>
      </c>
      <c r="K152" s="180">
        <f>SUMIFS(Table1[Horas efetivas],Table1[Tabela],Plano_V3!E152,Table1[Campo],Plano_V3!F152)</f>
        <v>4.0999999999999996</v>
      </c>
      <c r="L152" s="180">
        <f t="shared" si="28"/>
        <v>0.51249999999999996</v>
      </c>
      <c r="M152" s="174"/>
      <c r="N152" s="174">
        <f t="shared" si="29"/>
        <v>1</v>
      </c>
      <c r="O152" s="174">
        <f t="shared" si="24"/>
        <v>1</v>
      </c>
      <c r="P152" s="87" t="s">
        <v>95</v>
      </c>
      <c r="Q152" s="90">
        <f t="shared" si="25"/>
        <v>0.51249999999999996</v>
      </c>
      <c r="R152" s="78"/>
      <c r="S152" s="78"/>
      <c r="T152" s="78"/>
      <c r="U152" s="78"/>
      <c r="V152" s="78"/>
      <c r="W152" s="78"/>
      <c r="X152" s="78"/>
      <c r="Y152" s="78"/>
      <c r="Z152" s="78"/>
      <c r="AA152" s="78"/>
      <c r="AB152" s="78"/>
      <c r="AC152" s="78"/>
      <c r="AD152" s="78"/>
      <c r="AE152" s="78"/>
      <c r="AF152" s="78"/>
      <c r="AG152" s="78"/>
      <c r="AH152" s="78"/>
      <c r="AI152" s="78"/>
      <c r="AJ152" s="78"/>
      <c r="AK152" s="78"/>
      <c r="AL152" s="78"/>
      <c r="AM152" s="78"/>
      <c r="AN152" s="78"/>
      <c r="AO152" s="78"/>
      <c r="AP152" s="78"/>
      <c r="AQ152" s="78"/>
      <c r="AR152" s="78"/>
      <c r="AS152" s="78"/>
      <c r="AT152" s="78"/>
      <c r="AU152" s="78"/>
      <c r="AV152" s="78"/>
      <c r="AW152" s="78"/>
      <c r="AX152" s="78"/>
      <c r="AY152" s="91"/>
      <c r="AZ152" s="78"/>
      <c r="BA152" s="78"/>
      <c r="BB152" s="78"/>
      <c r="BC152" s="78"/>
      <c r="BD152" s="78"/>
      <c r="BE152" s="78"/>
      <c r="BF152" s="78"/>
      <c r="BG152" s="78"/>
      <c r="BH152" s="78"/>
      <c r="BI152" s="78"/>
      <c r="BJ152" s="78"/>
      <c r="BK152" s="78"/>
      <c r="BL152" s="78"/>
      <c r="BM152" s="78"/>
      <c r="BN152" s="78"/>
      <c r="BO152" s="78"/>
      <c r="BP152" s="78"/>
      <c r="BQ152" s="78"/>
      <c r="BR152" s="78"/>
      <c r="BS152" s="78"/>
      <c r="BT152" s="78"/>
      <c r="BU152" s="78"/>
      <c r="BV152" s="78"/>
      <c r="BW152" s="78"/>
      <c r="BX152" s="78"/>
      <c r="BY152" s="78"/>
      <c r="BZ152" s="78"/>
      <c r="CA152" s="78"/>
      <c r="CB152" s="78"/>
      <c r="CC152" s="78"/>
      <c r="CD152" s="78"/>
      <c r="CE152" s="78"/>
      <c r="CF152" s="78"/>
      <c r="CG152" s="78"/>
      <c r="CH152" s="78"/>
      <c r="CI152" s="78"/>
      <c r="CJ152" s="78"/>
      <c r="CK152" s="78"/>
      <c r="CL152" s="78"/>
      <c r="CM152" s="78"/>
      <c r="CN152" s="78"/>
      <c r="CO152" s="78"/>
      <c r="CP152" s="78"/>
      <c r="CQ152" s="78"/>
      <c r="CR152" s="78"/>
      <c r="CS152" s="78"/>
      <c r="CT152" s="78"/>
      <c r="CU152" s="78"/>
      <c r="CV152" s="78"/>
      <c r="CW152" s="78"/>
      <c r="CX152" s="78"/>
      <c r="CY152" s="78"/>
      <c r="CZ152" s="78"/>
      <c r="DA152" s="78"/>
      <c r="DB152" s="78"/>
      <c r="DC152" s="78"/>
      <c r="DD152" s="78"/>
      <c r="DE152" s="78"/>
      <c r="DF152" s="78"/>
      <c r="DG152" s="78"/>
      <c r="DH152" s="78"/>
      <c r="DI152" s="78"/>
      <c r="DJ152" s="78"/>
      <c r="DK152" s="78"/>
      <c r="DL152" s="78"/>
      <c r="DM152" s="78"/>
      <c r="DN152" s="78"/>
      <c r="DO152" s="78"/>
      <c r="DP152" s="78"/>
      <c r="DQ152" s="78"/>
      <c r="DR152" s="78"/>
      <c r="DS152" s="78"/>
      <c r="DT152" s="78"/>
      <c r="DU152" s="78"/>
      <c r="DV152" s="78"/>
      <c r="DW152" s="78"/>
      <c r="DX152" s="78"/>
      <c r="DY152" s="78"/>
      <c r="DZ152" s="78"/>
      <c r="EA152" s="78"/>
      <c r="EB152" s="78"/>
      <c r="EC152" s="78"/>
      <c r="ED152" s="78"/>
      <c r="EE152" s="78"/>
      <c r="EF152" s="78"/>
      <c r="EG152" s="78"/>
      <c r="EH152" s="78"/>
      <c r="EI152" s="78"/>
      <c r="EJ152" s="78"/>
      <c r="EK152" s="78"/>
      <c r="EL152" s="78"/>
      <c r="EM152" s="78"/>
      <c r="EN152" s="91"/>
      <c r="EO152" s="91"/>
      <c r="EP152" s="91"/>
      <c r="EQ152" s="91"/>
      <c r="ER152" s="91"/>
      <c r="ES152" s="91"/>
    </row>
    <row r="153" spans="1:149" outlineLevel="1">
      <c r="A153" s="29" t="str">
        <f t="shared" si="26"/>
        <v>PROPERTYPROPERTY_LOT</v>
      </c>
      <c r="B153" s="67" t="s">
        <v>26</v>
      </c>
      <c r="C153" s="68" t="s">
        <v>54</v>
      </c>
      <c r="D153" s="64" t="s">
        <v>40</v>
      </c>
      <c r="E153" s="66" t="s">
        <v>94</v>
      </c>
      <c r="F153" s="66" t="s">
        <v>113</v>
      </c>
      <c r="G153" s="64" t="str">
        <f>INDEX(Auxiliar!$B$16:$B$24,MATCH(Plano_V3!H153,Auxiliar!$C$16:$C$24,0),1)</f>
        <v>1. Concluído</v>
      </c>
      <c r="H153" s="64">
        <f>VLOOKUP(A153,'Aux - pivots1'!$A:$B,2,0)</f>
        <v>1</v>
      </c>
      <c r="I153" s="180">
        <f>SUMIFS(Table1[Estimação (horas)],Table1[Tabela],Plano_V3!E153,Table1[Campo],Plano_V3!F153)</f>
        <v>4.0999999999999996</v>
      </c>
      <c r="J153" s="180">
        <f t="shared" si="27"/>
        <v>0.51249999999999996</v>
      </c>
      <c r="K153" s="180">
        <f>SUMIFS(Table1[Horas efetivas],Table1[Tabela],Plano_V3!E153,Table1[Campo],Plano_V3!F153)</f>
        <v>4.0999999999999996</v>
      </c>
      <c r="L153" s="180">
        <f t="shared" si="28"/>
        <v>0.51249999999999996</v>
      </c>
      <c r="M153" s="174"/>
      <c r="N153" s="174">
        <f t="shared" si="29"/>
        <v>1</v>
      </c>
      <c r="O153" s="174">
        <f t="shared" si="24"/>
        <v>1</v>
      </c>
      <c r="P153" s="87" t="s">
        <v>95</v>
      </c>
      <c r="Q153" s="90">
        <f t="shared" si="25"/>
        <v>0.51249999999999996</v>
      </c>
      <c r="R153" s="78"/>
      <c r="S153" s="78"/>
      <c r="T153" s="78"/>
      <c r="U153" s="78"/>
      <c r="V153" s="78"/>
      <c r="W153" s="78"/>
      <c r="X153" s="78"/>
      <c r="Y153" s="78"/>
      <c r="Z153" s="78"/>
      <c r="AA153" s="78"/>
      <c r="AB153" s="78"/>
      <c r="AC153" s="78"/>
      <c r="AD153" s="78"/>
      <c r="AE153" s="78"/>
      <c r="AF153" s="78"/>
      <c r="AG153" s="78"/>
      <c r="AH153" s="78"/>
      <c r="AI153" s="78"/>
      <c r="AJ153" s="78"/>
      <c r="AK153" s="78"/>
      <c r="AL153" s="78"/>
      <c r="AM153" s="78"/>
      <c r="AN153" s="78"/>
      <c r="AO153" s="78"/>
      <c r="AP153" s="78"/>
      <c r="AQ153" s="78"/>
      <c r="AR153" s="78"/>
      <c r="AS153" s="78"/>
      <c r="AT153" s="78"/>
      <c r="AU153" s="78"/>
      <c r="AV153" s="78"/>
      <c r="AW153" s="78"/>
      <c r="AX153" s="78"/>
      <c r="AY153" s="91"/>
      <c r="AZ153" s="78"/>
      <c r="BA153" s="78"/>
      <c r="BB153" s="78"/>
      <c r="BC153" s="78"/>
      <c r="BD153" s="78"/>
      <c r="BE153" s="78"/>
      <c r="BF153" s="78"/>
      <c r="BG153" s="78"/>
      <c r="BH153" s="78"/>
      <c r="BI153" s="78"/>
      <c r="BJ153" s="78"/>
      <c r="BK153" s="78"/>
      <c r="BL153" s="78"/>
      <c r="BM153" s="78"/>
      <c r="BN153" s="78"/>
      <c r="BO153" s="78"/>
      <c r="BP153" s="78"/>
      <c r="BQ153" s="78"/>
      <c r="BR153" s="78"/>
      <c r="BS153" s="78"/>
      <c r="BT153" s="78"/>
      <c r="BU153" s="78"/>
      <c r="BV153" s="78"/>
      <c r="BW153" s="78"/>
      <c r="BX153" s="78"/>
      <c r="BY153" s="78"/>
      <c r="BZ153" s="78"/>
      <c r="CA153" s="78"/>
      <c r="CB153" s="78"/>
      <c r="CC153" s="78"/>
      <c r="CD153" s="78"/>
      <c r="CE153" s="78"/>
      <c r="CF153" s="78"/>
      <c r="CG153" s="78"/>
      <c r="CH153" s="78"/>
      <c r="CI153" s="78"/>
      <c r="CJ153" s="78"/>
      <c r="CK153" s="78"/>
      <c r="CL153" s="78"/>
      <c r="CM153" s="78"/>
      <c r="CN153" s="78"/>
      <c r="CO153" s="78"/>
      <c r="CP153" s="78"/>
      <c r="CQ153" s="78"/>
      <c r="CR153" s="78"/>
      <c r="CS153" s="78"/>
      <c r="CT153" s="78"/>
      <c r="CU153" s="78"/>
      <c r="CV153" s="78"/>
      <c r="CW153" s="78"/>
      <c r="CX153" s="78"/>
      <c r="CY153" s="78"/>
      <c r="CZ153" s="78"/>
      <c r="DA153" s="78"/>
      <c r="DB153" s="78"/>
      <c r="DC153" s="78"/>
      <c r="DD153" s="78"/>
      <c r="DE153" s="78"/>
      <c r="DF153" s="78"/>
      <c r="DG153" s="78"/>
      <c r="DH153" s="78"/>
      <c r="DI153" s="78"/>
      <c r="DJ153" s="78"/>
      <c r="DK153" s="78"/>
      <c r="DL153" s="78"/>
      <c r="DM153" s="78"/>
      <c r="DN153" s="78"/>
      <c r="DO153" s="78"/>
      <c r="DP153" s="78"/>
      <c r="DQ153" s="78"/>
      <c r="DR153" s="78"/>
      <c r="DS153" s="78"/>
      <c r="DT153" s="78"/>
      <c r="DU153" s="78"/>
      <c r="DV153" s="78"/>
      <c r="DW153" s="78"/>
      <c r="DX153" s="78"/>
      <c r="DY153" s="78"/>
      <c r="DZ153" s="78"/>
      <c r="EA153" s="78"/>
      <c r="EB153" s="78"/>
      <c r="EC153" s="78"/>
      <c r="ED153" s="78"/>
      <c r="EE153" s="78"/>
      <c r="EF153" s="78"/>
      <c r="EG153" s="78"/>
      <c r="EH153" s="78"/>
      <c r="EI153" s="78"/>
      <c r="EJ153" s="78"/>
      <c r="EK153" s="78"/>
      <c r="EL153" s="78"/>
      <c r="EM153" s="78"/>
      <c r="EN153" s="91"/>
      <c r="EO153" s="91"/>
      <c r="EP153" s="91"/>
      <c r="EQ153" s="91"/>
      <c r="ER153" s="91"/>
      <c r="ES153" s="91"/>
    </row>
    <row r="154" spans="1:149" outlineLevel="1">
      <c r="A154" s="29" t="str">
        <f t="shared" si="26"/>
        <v>PROPERTYLAST_APPRAISAL_AMOUNT</v>
      </c>
      <c r="B154" s="67" t="s">
        <v>26</v>
      </c>
      <c r="C154" s="68" t="s">
        <v>54</v>
      </c>
      <c r="D154" s="64" t="s">
        <v>40</v>
      </c>
      <c r="E154" s="66" t="s">
        <v>94</v>
      </c>
      <c r="F154" s="66" t="s">
        <v>114</v>
      </c>
      <c r="G154" s="64" t="str">
        <f>INDEX(Auxiliar!$B$16:$B$24,MATCH(Plano_V3!H154,Auxiliar!$C$16:$C$24,0),1)</f>
        <v>1. Concluído</v>
      </c>
      <c r="H154" s="64">
        <f>VLOOKUP(A154,'Aux - pivots1'!$A:$B,2,0)</f>
        <v>1</v>
      </c>
      <c r="I154" s="180">
        <f>SUMIFS(Table1[Estimação (horas)],Table1[Tabela],Plano_V3!E154,Table1[Campo],Plano_V3!F154)</f>
        <v>4.0999999999999996</v>
      </c>
      <c r="J154" s="180">
        <f t="shared" si="27"/>
        <v>0.51249999999999996</v>
      </c>
      <c r="K154" s="180">
        <f>SUMIFS(Table1[Horas efetivas],Table1[Tabela],Plano_V3!E154,Table1[Campo],Plano_V3!F154)</f>
        <v>4.0999999999999996</v>
      </c>
      <c r="L154" s="180">
        <f t="shared" si="28"/>
        <v>0.51249999999999996</v>
      </c>
      <c r="M154" s="174"/>
      <c r="N154" s="174">
        <f t="shared" si="29"/>
        <v>1</v>
      </c>
      <c r="O154" s="174">
        <f t="shared" si="24"/>
        <v>1</v>
      </c>
      <c r="P154" s="87" t="s">
        <v>95</v>
      </c>
      <c r="Q154" s="90">
        <f t="shared" si="25"/>
        <v>0.51249999999999996</v>
      </c>
      <c r="R154" s="78"/>
      <c r="S154" s="78"/>
      <c r="T154" s="78"/>
      <c r="U154" s="78"/>
      <c r="V154" s="78"/>
      <c r="W154" s="78"/>
      <c r="X154" s="78"/>
      <c r="Y154" s="78"/>
      <c r="Z154" s="78"/>
      <c r="AA154" s="78"/>
      <c r="AB154" s="78"/>
      <c r="AC154" s="78"/>
      <c r="AD154" s="78"/>
      <c r="AE154" s="78"/>
      <c r="AF154" s="78"/>
      <c r="AG154" s="78"/>
      <c r="AH154" s="78"/>
      <c r="AI154" s="78"/>
      <c r="AJ154" s="78"/>
      <c r="AK154" s="78"/>
      <c r="AL154" s="78"/>
      <c r="AM154" s="78"/>
      <c r="AN154" s="78"/>
      <c r="AO154" s="78"/>
      <c r="AP154" s="78"/>
      <c r="AQ154" s="78"/>
      <c r="AR154" s="78"/>
      <c r="AS154" s="78"/>
      <c r="AT154" s="78"/>
      <c r="AU154" s="78"/>
      <c r="AV154" s="78"/>
      <c r="AW154" s="78"/>
      <c r="AX154" s="78"/>
      <c r="AY154" s="91"/>
      <c r="AZ154" s="78"/>
      <c r="BA154" s="78"/>
      <c r="BB154" s="78"/>
      <c r="BC154" s="78"/>
      <c r="BD154" s="78"/>
      <c r="BE154" s="78"/>
      <c r="BF154" s="78"/>
      <c r="BG154" s="78"/>
      <c r="BH154" s="78"/>
      <c r="BI154" s="78"/>
      <c r="BJ154" s="78"/>
      <c r="BK154" s="78"/>
      <c r="BL154" s="78"/>
      <c r="BM154" s="78"/>
      <c r="BN154" s="78"/>
      <c r="BO154" s="78"/>
      <c r="BP154" s="78"/>
      <c r="BQ154" s="78"/>
      <c r="BR154" s="78"/>
      <c r="BS154" s="78"/>
      <c r="BT154" s="78"/>
      <c r="BU154" s="78"/>
      <c r="BV154" s="78"/>
      <c r="BW154" s="78"/>
      <c r="BX154" s="78"/>
      <c r="BY154" s="78"/>
      <c r="BZ154" s="78"/>
      <c r="CA154" s="78"/>
      <c r="CB154" s="78"/>
      <c r="CC154" s="78"/>
      <c r="CD154" s="78"/>
      <c r="CE154" s="78"/>
      <c r="CF154" s="78"/>
      <c r="CG154" s="78"/>
      <c r="CH154" s="78"/>
      <c r="CI154" s="78"/>
      <c r="CJ154" s="78"/>
      <c r="CK154" s="78"/>
      <c r="CL154" s="78"/>
      <c r="CM154" s="78"/>
      <c r="CN154" s="78"/>
      <c r="CO154" s="78"/>
      <c r="CP154" s="78"/>
      <c r="CQ154" s="78"/>
      <c r="CR154" s="78"/>
      <c r="CS154" s="78"/>
      <c r="CT154" s="78"/>
      <c r="CU154" s="78"/>
      <c r="CV154" s="78"/>
      <c r="CW154" s="78"/>
      <c r="CX154" s="78"/>
      <c r="CY154" s="78"/>
      <c r="CZ154" s="78"/>
      <c r="DA154" s="78"/>
      <c r="DB154" s="78"/>
      <c r="DC154" s="78"/>
      <c r="DD154" s="78"/>
      <c r="DE154" s="78"/>
      <c r="DF154" s="78"/>
      <c r="DG154" s="78"/>
      <c r="DH154" s="78"/>
      <c r="DI154" s="78"/>
      <c r="DJ154" s="78"/>
      <c r="DK154" s="78"/>
      <c r="DL154" s="78"/>
      <c r="DM154" s="78"/>
      <c r="DN154" s="78"/>
      <c r="DO154" s="78"/>
      <c r="DP154" s="78"/>
      <c r="DQ154" s="78"/>
      <c r="DR154" s="78"/>
      <c r="DS154" s="78"/>
      <c r="DT154" s="78"/>
      <c r="DU154" s="78"/>
      <c r="DV154" s="78"/>
      <c r="DW154" s="78"/>
      <c r="DX154" s="78"/>
      <c r="DY154" s="78"/>
      <c r="DZ154" s="78"/>
      <c r="EA154" s="78"/>
      <c r="EB154" s="78"/>
      <c r="EC154" s="78"/>
      <c r="ED154" s="78"/>
      <c r="EE154" s="78"/>
      <c r="EF154" s="78"/>
      <c r="EG154" s="78"/>
      <c r="EH154" s="78"/>
      <c r="EI154" s="78"/>
      <c r="EJ154" s="78"/>
      <c r="EK154" s="78"/>
      <c r="EL154" s="78"/>
      <c r="EM154" s="78"/>
      <c r="EN154" s="91"/>
      <c r="EO154" s="91"/>
      <c r="EP154" s="91"/>
      <c r="EQ154" s="91"/>
      <c r="ER154" s="91"/>
      <c r="ES154" s="91"/>
    </row>
    <row r="155" spans="1:149" outlineLevel="1">
      <c r="A155" s="29" t="str">
        <f t="shared" si="26"/>
        <v>PROPERTYNET_APPRAISAL_AMOUNT</v>
      </c>
      <c r="B155" s="67" t="s">
        <v>26</v>
      </c>
      <c r="C155" s="68" t="s">
        <v>54</v>
      </c>
      <c r="D155" s="64" t="s">
        <v>40</v>
      </c>
      <c r="E155" s="66" t="s">
        <v>94</v>
      </c>
      <c r="F155" s="66" t="s">
        <v>115</v>
      </c>
      <c r="G155" s="64" t="str">
        <f>INDEX(Auxiliar!$B$16:$B$24,MATCH(Plano_V3!H155,Auxiliar!$C$16:$C$24,0),1)</f>
        <v>1. Concluído</v>
      </c>
      <c r="H155" s="64">
        <f>VLOOKUP(A155,'Aux - pivots1'!$A:$B,2,0)</f>
        <v>1</v>
      </c>
      <c r="I155" s="180">
        <f>SUMIFS(Table1[Estimação (horas)],Table1[Tabela],Plano_V3!E155,Table1[Campo],Plano_V3!F155)</f>
        <v>4.0999999999999996</v>
      </c>
      <c r="J155" s="180">
        <f t="shared" si="27"/>
        <v>0.51249999999999996</v>
      </c>
      <c r="K155" s="180">
        <f>SUMIFS(Table1[Horas efetivas],Table1[Tabela],Plano_V3!E155,Table1[Campo],Plano_V3!F155)</f>
        <v>4.0999999999999996</v>
      </c>
      <c r="L155" s="180">
        <f t="shared" si="28"/>
        <v>0.51249999999999996</v>
      </c>
      <c r="M155" s="174"/>
      <c r="N155" s="174">
        <f t="shared" si="29"/>
        <v>1</v>
      </c>
      <c r="O155" s="174">
        <f t="shared" si="24"/>
        <v>1</v>
      </c>
      <c r="P155" s="87" t="s">
        <v>95</v>
      </c>
      <c r="Q155" s="90">
        <f t="shared" si="25"/>
        <v>0.51249999999999996</v>
      </c>
      <c r="R155" s="78"/>
      <c r="S155" s="78"/>
      <c r="T155" s="78"/>
      <c r="U155" s="78"/>
      <c r="V155" s="78"/>
      <c r="W155" s="78"/>
      <c r="X155" s="78"/>
      <c r="Y155" s="78"/>
      <c r="Z155" s="78"/>
      <c r="AA155" s="78"/>
      <c r="AB155" s="78"/>
      <c r="AC155" s="78"/>
      <c r="AD155" s="78"/>
      <c r="AE155" s="78"/>
      <c r="AF155" s="78"/>
      <c r="AG155" s="78"/>
      <c r="AH155" s="78"/>
      <c r="AI155" s="78"/>
      <c r="AJ155" s="78"/>
      <c r="AK155" s="78"/>
      <c r="AL155" s="78"/>
      <c r="AM155" s="78"/>
      <c r="AN155" s="78"/>
      <c r="AO155" s="78"/>
      <c r="AP155" s="78"/>
      <c r="AQ155" s="78"/>
      <c r="AR155" s="78"/>
      <c r="AS155" s="78"/>
      <c r="AT155" s="78"/>
      <c r="AU155" s="78"/>
      <c r="AV155" s="78"/>
      <c r="AW155" s="78"/>
      <c r="AX155" s="78"/>
      <c r="AY155" s="91"/>
      <c r="AZ155" s="78"/>
      <c r="BA155" s="78"/>
      <c r="BB155" s="78"/>
      <c r="BC155" s="78"/>
      <c r="BD155" s="78"/>
      <c r="BE155" s="78"/>
      <c r="BF155" s="78"/>
      <c r="BG155" s="78"/>
      <c r="BH155" s="78"/>
      <c r="BI155" s="78"/>
      <c r="BJ155" s="78"/>
      <c r="BK155" s="78"/>
      <c r="BL155" s="78"/>
      <c r="BM155" s="78"/>
      <c r="BN155" s="78"/>
      <c r="BO155" s="78"/>
      <c r="BP155" s="78"/>
      <c r="BQ155" s="78"/>
      <c r="BR155" s="78"/>
      <c r="BS155" s="78"/>
      <c r="BT155" s="78"/>
      <c r="BU155" s="78"/>
      <c r="BV155" s="78"/>
      <c r="BW155" s="78"/>
      <c r="BX155" s="78"/>
      <c r="BY155" s="78"/>
      <c r="BZ155" s="78"/>
      <c r="CA155" s="78"/>
      <c r="CB155" s="78"/>
      <c r="CC155" s="78"/>
      <c r="CD155" s="78"/>
      <c r="CE155" s="78"/>
      <c r="CF155" s="78"/>
      <c r="CG155" s="78"/>
      <c r="CH155" s="78"/>
      <c r="CI155" s="78"/>
      <c r="CJ155" s="78"/>
      <c r="CK155" s="78"/>
      <c r="CL155" s="78"/>
      <c r="CM155" s="78"/>
      <c r="CN155" s="78"/>
      <c r="CO155" s="78"/>
      <c r="CP155" s="78"/>
      <c r="CQ155" s="78"/>
      <c r="CR155" s="78"/>
      <c r="CS155" s="78"/>
      <c r="CT155" s="78"/>
      <c r="CU155" s="78"/>
      <c r="CV155" s="78"/>
      <c r="CW155" s="78"/>
      <c r="CX155" s="78"/>
      <c r="CY155" s="78"/>
      <c r="CZ155" s="78"/>
      <c r="DA155" s="78"/>
      <c r="DB155" s="78"/>
      <c r="DC155" s="78"/>
      <c r="DD155" s="78"/>
      <c r="DE155" s="78"/>
      <c r="DF155" s="78"/>
      <c r="DG155" s="78"/>
      <c r="DH155" s="78"/>
      <c r="DI155" s="78"/>
      <c r="DJ155" s="78"/>
      <c r="DK155" s="78"/>
      <c r="DL155" s="78"/>
      <c r="DM155" s="78"/>
      <c r="DN155" s="78"/>
      <c r="DO155" s="78"/>
      <c r="DP155" s="78"/>
      <c r="DQ155" s="78"/>
      <c r="DR155" s="78"/>
      <c r="DS155" s="78"/>
      <c r="DT155" s="78"/>
      <c r="DU155" s="78"/>
      <c r="DV155" s="78"/>
      <c r="DW155" s="78"/>
      <c r="DX155" s="78"/>
      <c r="DY155" s="78"/>
      <c r="DZ155" s="78"/>
      <c r="EA155" s="78"/>
      <c r="EB155" s="78"/>
      <c r="EC155" s="78"/>
      <c r="ED155" s="78"/>
      <c r="EE155" s="78"/>
      <c r="EF155" s="78"/>
      <c r="EG155" s="78"/>
      <c r="EH155" s="78"/>
      <c r="EI155" s="78"/>
      <c r="EJ155" s="78"/>
      <c r="EK155" s="78"/>
      <c r="EL155" s="78"/>
      <c r="EM155" s="78"/>
      <c r="EN155" s="91"/>
      <c r="EO155" s="91"/>
      <c r="EP155" s="91"/>
      <c r="EQ155" s="91"/>
      <c r="ER155" s="91"/>
      <c r="ES155" s="91"/>
    </row>
    <row r="156" spans="1:149" outlineLevel="1">
      <c r="A156" s="29" t="str">
        <f t="shared" si="26"/>
        <v>PROPERTYCOLLATERAL_FAST_SALE_AMOUNT</v>
      </c>
      <c r="B156" s="67" t="s">
        <v>26</v>
      </c>
      <c r="C156" s="68" t="s">
        <v>54</v>
      </c>
      <c r="D156" s="64" t="s">
        <v>40</v>
      </c>
      <c r="E156" s="66" t="s">
        <v>94</v>
      </c>
      <c r="F156" s="66" t="s">
        <v>116</v>
      </c>
      <c r="G156" s="64" t="str">
        <f>INDEX(Auxiliar!$B$16:$B$24,MATCH(Plano_V3!H156,Auxiliar!$C$16:$C$24,0),1)</f>
        <v>1. Concluído</v>
      </c>
      <c r="H156" s="64">
        <f>VLOOKUP(A156,'Aux - pivots1'!$A:$B,2,0)</f>
        <v>1</v>
      </c>
      <c r="I156" s="180">
        <f>SUMIFS(Table1[Estimação (horas)],Table1[Tabela],Plano_V3!E156,Table1[Campo],Plano_V3!F156)</f>
        <v>4.0999999999999996</v>
      </c>
      <c r="J156" s="180">
        <f t="shared" si="27"/>
        <v>0.51249999999999996</v>
      </c>
      <c r="K156" s="180">
        <f>SUMIFS(Table1[Horas efetivas],Table1[Tabela],Plano_V3!E156,Table1[Campo],Plano_V3!F156)</f>
        <v>4.0999999999999996</v>
      </c>
      <c r="L156" s="180">
        <f t="shared" si="28"/>
        <v>0.51249999999999996</v>
      </c>
      <c r="M156" s="174"/>
      <c r="N156" s="174">
        <f t="shared" si="29"/>
        <v>1</v>
      </c>
      <c r="O156" s="174">
        <f t="shared" si="24"/>
        <v>1</v>
      </c>
      <c r="P156" s="87" t="s">
        <v>95</v>
      </c>
      <c r="Q156" s="90">
        <f t="shared" si="25"/>
        <v>0.51249999999999996</v>
      </c>
      <c r="R156" s="78"/>
      <c r="S156" s="78"/>
      <c r="T156" s="78"/>
      <c r="U156" s="78"/>
      <c r="V156" s="78"/>
      <c r="W156" s="78"/>
      <c r="X156" s="78"/>
      <c r="Y156" s="78"/>
      <c r="Z156" s="78"/>
      <c r="AA156" s="78"/>
      <c r="AB156" s="78"/>
      <c r="AC156" s="78"/>
      <c r="AD156" s="78"/>
      <c r="AE156" s="78"/>
      <c r="AF156" s="78"/>
      <c r="AG156" s="78"/>
      <c r="AH156" s="78"/>
      <c r="AI156" s="78"/>
      <c r="AJ156" s="78"/>
      <c r="AK156" s="78"/>
      <c r="AL156" s="78"/>
      <c r="AM156" s="78"/>
      <c r="AN156" s="78"/>
      <c r="AO156" s="78"/>
      <c r="AP156" s="78"/>
      <c r="AQ156" s="78"/>
      <c r="AR156" s="78"/>
      <c r="AS156" s="78"/>
      <c r="AT156" s="78"/>
      <c r="AU156" s="78"/>
      <c r="AV156" s="78"/>
      <c r="AW156" s="78"/>
      <c r="AX156" s="78"/>
      <c r="AY156" s="91"/>
      <c r="AZ156" s="78"/>
      <c r="BA156" s="78"/>
      <c r="BB156" s="78"/>
      <c r="BC156" s="78"/>
      <c r="BD156" s="78"/>
      <c r="BE156" s="78"/>
      <c r="BF156" s="78"/>
      <c r="BG156" s="78"/>
      <c r="BH156" s="78"/>
      <c r="BI156" s="78"/>
      <c r="BJ156" s="78"/>
      <c r="BK156" s="78"/>
      <c r="BL156" s="78"/>
      <c r="BM156" s="78"/>
      <c r="BN156" s="78"/>
      <c r="BO156" s="78"/>
      <c r="BP156" s="78"/>
      <c r="BQ156" s="78"/>
      <c r="BR156" s="78"/>
      <c r="BS156" s="78"/>
      <c r="BT156" s="78"/>
      <c r="BU156" s="78"/>
      <c r="BV156" s="78"/>
      <c r="BW156" s="78"/>
      <c r="BX156" s="78"/>
      <c r="BY156" s="78"/>
      <c r="BZ156" s="78"/>
      <c r="CA156" s="78"/>
      <c r="CB156" s="78"/>
      <c r="CC156" s="78"/>
      <c r="CD156" s="78"/>
      <c r="CE156" s="78"/>
      <c r="CF156" s="78"/>
      <c r="CG156" s="78"/>
      <c r="CH156" s="78"/>
      <c r="CI156" s="78"/>
      <c r="CJ156" s="78"/>
      <c r="CK156" s="78"/>
      <c r="CL156" s="78"/>
      <c r="CM156" s="78"/>
      <c r="CN156" s="78"/>
      <c r="CO156" s="78"/>
      <c r="CP156" s="78"/>
      <c r="CQ156" s="78"/>
      <c r="CR156" s="78"/>
      <c r="CS156" s="78"/>
      <c r="CT156" s="78"/>
      <c r="CU156" s="78"/>
      <c r="CV156" s="78"/>
      <c r="CW156" s="78"/>
      <c r="CX156" s="78"/>
      <c r="CY156" s="78"/>
      <c r="CZ156" s="78"/>
      <c r="DA156" s="78"/>
      <c r="DB156" s="78"/>
      <c r="DC156" s="78"/>
      <c r="DD156" s="78"/>
      <c r="DE156" s="78"/>
      <c r="DF156" s="78"/>
      <c r="DG156" s="78"/>
      <c r="DH156" s="78"/>
      <c r="DI156" s="78"/>
      <c r="DJ156" s="78"/>
      <c r="DK156" s="78"/>
      <c r="DL156" s="78"/>
      <c r="DM156" s="78"/>
      <c r="DN156" s="78"/>
      <c r="DO156" s="78"/>
      <c r="DP156" s="78"/>
      <c r="DQ156" s="78"/>
      <c r="DR156" s="78"/>
      <c r="DS156" s="78"/>
      <c r="DT156" s="78"/>
      <c r="DU156" s="78"/>
      <c r="DV156" s="78"/>
      <c r="DW156" s="78"/>
      <c r="DX156" s="78"/>
      <c r="DY156" s="78"/>
      <c r="DZ156" s="78"/>
      <c r="EA156" s="78"/>
      <c r="EB156" s="78"/>
      <c r="EC156" s="78"/>
      <c r="ED156" s="78"/>
      <c r="EE156" s="78"/>
      <c r="EF156" s="78"/>
      <c r="EG156" s="78"/>
      <c r="EH156" s="78"/>
      <c r="EI156" s="78"/>
      <c r="EJ156" s="78"/>
      <c r="EK156" s="78"/>
      <c r="EL156" s="78"/>
      <c r="EM156" s="78"/>
      <c r="EN156" s="91"/>
      <c r="EO156" s="91"/>
      <c r="EP156" s="91"/>
      <c r="EQ156" s="91"/>
      <c r="ER156" s="91"/>
      <c r="ES156" s="91"/>
    </row>
    <row r="157" spans="1:149" outlineLevel="1">
      <c r="A157" s="29" t="str">
        <f t="shared" si="26"/>
        <v>PROPERTYADDRESS</v>
      </c>
      <c r="B157" s="67" t="s">
        <v>26</v>
      </c>
      <c r="C157" s="68" t="s">
        <v>54</v>
      </c>
      <c r="D157" s="64" t="s">
        <v>40</v>
      </c>
      <c r="E157" s="66" t="s">
        <v>94</v>
      </c>
      <c r="F157" s="66" t="s">
        <v>117</v>
      </c>
      <c r="G157" s="64" t="str">
        <f>INDEX(Auxiliar!$B$16:$B$24,MATCH(Plano_V3!H157,Auxiliar!$C$16:$C$24,0),1)</f>
        <v>1. Concluído</v>
      </c>
      <c r="H157" s="64">
        <f>VLOOKUP(A157,'Aux - pivots1'!$A:$B,2,0)</f>
        <v>1</v>
      </c>
      <c r="I157" s="180">
        <f>SUMIFS(Table1[Estimação (horas)],Table1[Tabela],Plano_V3!E157,Table1[Campo],Plano_V3!F157)</f>
        <v>4.0999999999999996</v>
      </c>
      <c r="J157" s="180">
        <f t="shared" si="27"/>
        <v>0.51249999999999996</v>
      </c>
      <c r="K157" s="180">
        <f>SUMIFS(Table1[Horas efetivas],Table1[Tabela],Plano_V3!E157,Table1[Campo],Plano_V3!F157)</f>
        <v>4.0999999999999996</v>
      </c>
      <c r="L157" s="180">
        <f t="shared" si="28"/>
        <v>0.51249999999999996</v>
      </c>
      <c r="M157" s="174"/>
      <c r="N157" s="174">
        <f t="shared" si="29"/>
        <v>1</v>
      </c>
      <c r="O157" s="174">
        <f t="shared" si="24"/>
        <v>1</v>
      </c>
      <c r="P157" s="87" t="s">
        <v>95</v>
      </c>
      <c r="Q157" s="90">
        <f t="shared" si="25"/>
        <v>0.51249999999999996</v>
      </c>
      <c r="R157" s="78"/>
      <c r="S157" s="78"/>
      <c r="T157" s="78"/>
      <c r="U157" s="78"/>
      <c r="V157" s="78"/>
      <c r="W157" s="78"/>
      <c r="X157" s="78"/>
      <c r="Y157" s="78"/>
      <c r="Z157" s="78"/>
      <c r="AA157" s="78"/>
      <c r="AB157" s="78"/>
      <c r="AC157" s="78"/>
      <c r="AD157" s="78"/>
      <c r="AE157" s="78"/>
      <c r="AF157" s="78"/>
      <c r="AG157" s="78"/>
      <c r="AH157" s="78"/>
      <c r="AI157" s="78"/>
      <c r="AJ157" s="78"/>
      <c r="AK157" s="78"/>
      <c r="AL157" s="78"/>
      <c r="AM157" s="78"/>
      <c r="AN157" s="78"/>
      <c r="AO157" s="78"/>
      <c r="AP157" s="78"/>
      <c r="AQ157" s="78"/>
      <c r="AR157" s="78"/>
      <c r="AS157" s="78"/>
      <c r="AT157" s="78"/>
      <c r="AU157" s="78"/>
      <c r="AV157" s="78"/>
      <c r="AW157" s="78"/>
      <c r="AX157" s="78"/>
      <c r="AY157" s="91"/>
      <c r="AZ157" s="78"/>
      <c r="BA157" s="78"/>
      <c r="BB157" s="78"/>
      <c r="BC157" s="78"/>
      <c r="BD157" s="78"/>
      <c r="BE157" s="78"/>
      <c r="BF157" s="78"/>
      <c r="BG157" s="78"/>
      <c r="BH157" s="78"/>
      <c r="BI157" s="78"/>
      <c r="BJ157" s="78"/>
      <c r="BK157" s="78"/>
      <c r="BL157" s="78"/>
      <c r="BM157" s="78"/>
      <c r="BN157" s="78"/>
      <c r="BO157" s="78"/>
      <c r="BP157" s="78"/>
      <c r="BQ157" s="78"/>
      <c r="BR157" s="78"/>
      <c r="BS157" s="78"/>
      <c r="BT157" s="78"/>
      <c r="BU157" s="78"/>
      <c r="BV157" s="78"/>
      <c r="BW157" s="78"/>
      <c r="BX157" s="78"/>
      <c r="BY157" s="78"/>
      <c r="BZ157" s="78"/>
      <c r="CA157" s="78"/>
      <c r="CB157" s="78"/>
      <c r="CC157" s="78"/>
      <c r="CD157" s="78"/>
      <c r="CE157" s="78"/>
      <c r="CF157" s="78"/>
      <c r="CG157" s="78"/>
      <c r="CH157" s="78"/>
      <c r="CI157" s="78"/>
      <c r="CJ157" s="78"/>
      <c r="CK157" s="78"/>
      <c r="CL157" s="78"/>
      <c r="CM157" s="78"/>
      <c r="CN157" s="78"/>
      <c r="CO157" s="78"/>
      <c r="CP157" s="78"/>
      <c r="CQ157" s="78"/>
      <c r="CR157" s="78"/>
      <c r="CS157" s="78"/>
      <c r="CT157" s="78"/>
      <c r="CU157" s="78"/>
      <c r="CV157" s="78"/>
      <c r="CW157" s="78"/>
      <c r="CX157" s="78"/>
      <c r="CY157" s="78"/>
      <c r="CZ157" s="78"/>
      <c r="DA157" s="78"/>
      <c r="DB157" s="78"/>
      <c r="DC157" s="78"/>
      <c r="DD157" s="78"/>
      <c r="DE157" s="78"/>
      <c r="DF157" s="78"/>
      <c r="DG157" s="78"/>
      <c r="DH157" s="78"/>
      <c r="DI157" s="78"/>
      <c r="DJ157" s="78"/>
      <c r="DK157" s="78"/>
      <c r="DL157" s="78"/>
      <c r="DM157" s="78"/>
      <c r="DN157" s="78"/>
      <c r="DO157" s="78"/>
      <c r="DP157" s="78"/>
      <c r="DQ157" s="78"/>
      <c r="DR157" s="78"/>
      <c r="DS157" s="78"/>
      <c r="DT157" s="78"/>
      <c r="DU157" s="78"/>
      <c r="DV157" s="78"/>
      <c r="DW157" s="78"/>
      <c r="DX157" s="78"/>
      <c r="DY157" s="78"/>
      <c r="DZ157" s="78"/>
      <c r="EA157" s="78"/>
      <c r="EB157" s="78"/>
      <c r="EC157" s="78"/>
      <c r="ED157" s="78"/>
      <c r="EE157" s="78"/>
      <c r="EF157" s="78"/>
      <c r="EG157" s="78"/>
      <c r="EH157" s="78"/>
      <c r="EI157" s="78"/>
      <c r="EJ157" s="78"/>
      <c r="EK157" s="78"/>
      <c r="EL157" s="78"/>
      <c r="EM157" s="78"/>
      <c r="EN157" s="91"/>
      <c r="EO157" s="91"/>
      <c r="EP157" s="91"/>
      <c r="EQ157" s="91"/>
      <c r="ER157" s="91"/>
      <c r="ES157" s="91"/>
    </row>
    <row r="158" spans="1:149" outlineLevel="1">
      <c r="A158" s="29" t="str">
        <f t="shared" si="26"/>
        <v>PROPERTYPROPERTY_NUMBER</v>
      </c>
      <c r="B158" s="67" t="s">
        <v>26</v>
      </c>
      <c r="C158" s="68" t="s">
        <v>54</v>
      </c>
      <c r="D158" s="64" t="s">
        <v>40</v>
      </c>
      <c r="E158" s="66" t="s">
        <v>94</v>
      </c>
      <c r="F158" s="66" t="s">
        <v>118</v>
      </c>
      <c r="G158" s="64" t="str">
        <f>INDEX(Auxiliar!$B$16:$B$24,MATCH(Plano_V3!H158,Auxiliar!$C$16:$C$24,0),1)</f>
        <v>1. Concluído</v>
      </c>
      <c r="H158" s="64">
        <f>VLOOKUP(A158,'Aux - pivots1'!$A:$B,2,0)</f>
        <v>1</v>
      </c>
      <c r="I158" s="180">
        <f>SUMIFS(Table1[Estimação (horas)],Table1[Tabela],Plano_V3!E158,Table1[Campo],Plano_V3!F158)</f>
        <v>4.0999999999999996</v>
      </c>
      <c r="J158" s="180">
        <f t="shared" si="27"/>
        <v>0.51249999999999996</v>
      </c>
      <c r="K158" s="180">
        <f>SUMIFS(Table1[Horas efetivas],Table1[Tabela],Plano_V3!E158,Table1[Campo],Plano_V3!F158)</f>
        <v>4.0999999999999996</v>
      </c>
      <c r="L158" s="180">
        <f t="shared" si="28"/>
        <v>0.51249999999999996</v>
      </c>
      <c r="M158" s="174"/>
      <c r="N158" s="174">
        <f t="shared" si="29"/>
        <v>1</v>
      </c>
      <c r="O158" s="174">
        <f t="shared" si="24"/>
        <v>1</v>
      </c>
      <c r="P158" s="87" t="s">
        <v>95</v>
      </c>
      <c r="Q158" s="90">
        <f t="shared" si="25"/>
        <v>0.51249999999999996</v>
      </c>
      <c r="R158" s="78"/>
      <c r="S158" s="78"/>
      <c r="T158" s="78"/>
      <c r="U158" s="78"/>
      <c r="V158" s="78"/>
      <c r="W158" s="78"/>
      <c r="X158" s="78"/>
      <c r="Y158" s="78"/>
      <c r="Z158" s="78"/>
      <c r="AA158" s="78"/>
      <c r="AB158" s="78"/>
      <c r="AC158" s="78"/>
      <c r="AD158" s="78"/>
      <c r="AE158" s="78"/>
      <c r="AF158" s="78"/>
      <c r="AG158" s="78"/>
      <c r="AH158" s="78"/>
      <c r="AI158" s="78"/>
      <c r="AJ158" s="78"/>
      <c r="AK158" s="78"/>
      <c r="AL158" s="78"/>
      <c r="AM158" s="78"/>
      <c r="AN158" s="78"/>
      <c r="AO158" s="78"/>
      <c r="AP158" s="78"/>
      <c r="AQ158" s="78"/>
      <c r="AR158" s="78"/>
      <c r="AS158" s="78"/>
      <c r="AT158" s="78"/>
      <c r="AU158" s="78"/>
      <c r="AV158" s="78"/>
      <c r="AW158" s="78"/>
      <c r="AX158" s="78"/>
      <c r="AY158" s="91"/>
      <c r="AZ158" s="78"/>
      <c r="BA158" s="78"/>
      <c r="BB158" s="78"/>
      <c r="BC158" s="78"/>
      <c r="BD158" s="78"/>
      <c r="BE158" s="78"/>
      <c r="BF158" s="78"/>
      <c r="BG158" s="78"/>
      <c r="BH158" s="78"/>
      <c r="BI158" s="78"/>
      <c r="BJ158" s="78"/>
      <c r="BK158" s="78"/>
      <c r="BL158" s="78"/>
      <c r="BM158" s="78"/>
      <c r="BN158" s="78"/>
      <c r="BO158" s="78"/>
      <c r="BP158" s="78"/>
      <c r="BQ158" s="78"/>
      <c r="BR158" s="78"/>
      <c r="BS158" s="78"/>
      <c r="BT158" s="78"/>
      <c r="BU158" s="78"/>
      <c r="BV158" s="78"/>
      <c r="BW158" s="78"/>
      <c r="BX158" s="78"/>
      <c r="BY158" s="78"/>
      <c r="BZ158" s="78"/>
      <c r="CA158" s="78"/>
      <c r="CB158" s="78"/>
      <c r="CC158" s="78"/>
      <c r="CD158" s="78"/>
      <c r="CE158" s="78"/>
      <c r="CF158" s="78"/>
      <c r="CG158" s="78"/>
      <c r="CH158" s="78"/>
      <c r="CI158" s="78"/>
      <c r="CJ158" s="78"/>
      <c r="CK158" s="78"/>
      <c r="CL158" s="78"/>
      <c r="CM158" s="78"/>
      <c r="CN158" s="78"/>
      <c r="CO158" s="78"/>
      <c r="CP158" s="78"/>
      <c r="CQ158" s="78"/>
      <c r="CR158" s="78"/>
      <c r="CS158" s="78"/>
      <c r="CT158" s="78"/>
      <c r="CU158" s="78"/>
      <c r="CV158" s="78"/>
      <c r="CW158" s="78"/>
      <c r="CX158" s="78"/>
      <c r="CY158" s="78"/>
      <c r="CZ158" s="78"/>
      <c r="DA158" s="78"/>
      <c r="DB158" s="78"/>
      <c r="DC158" s="78"/>
      <c r="DD158" s="78"/>
      <c r="DE158" s="78"/>
      <c r="DF158" s="78"/>
      <c r="DG158" s="78"/>
      <c r="DH158" s="78"/>
      <c r="DI158" s="78"/>
      <c r="DJ158" s="78"/>
      <c r="DK158" s="78"/>
      <c r="DL158" s="78"/>
      <c r="DM158" s="78"/>
      <c r="DN158" s="78"/>
      <c r="DO158" s="78"/>
      <c r="DP158" s="78"/>
      <c r="DQ158" s="78"/>
      <c r="DR158" s="78"/>
      <c r="DS158" s="78"/>
      <c r="DT158" s="78"/>
      <c r="DU158" s="78"/>
      <c r="DV158" s="78"/>
      <c r="DW158" s="78"/>
      <c r="DX158" s="78"/>
      <c r="DY158" s="78"/>
      <c r="DZ158" s="78"/>
      <c r="EA158" s="78"/>
      <c r="EB158" s="78"/>
      <c r="EC158" s="78"/>
      <c r="ED158" s="78"/>
      <c r="EE158" s="78"/>
      <c r="EF158" s="78"/>
      <c r="EG158" s="78"/>
      <c r="EH158" s="78"/>
      <c r="EI158" s="78"/>
      <c r="EJ158" s="78"/>
      <c r="EK158" s="78"/>
      <c r="EL158" s="78"/>
      <c r="EM158" s="78"/>
      <c r="EN158" s="91"/>
      <c r="EO158" s="91"/>
      <c r="EP158" s="91"/>
      <c r="EQ158" s="91"/>
      <c r="ER158" s="91"/>
      <c r="ES158" s="91"/>
    </row>
    <row r="159" spans="1:149" outlineLevel="1">
      <c r="A159" s="29" t="str">
        <f t="shared" si="26"/>
        <v>PROPERTYOrigem</v>
      </c>
      <c r="B159" s="67" t="s">
        <v>26</v>
      </c>
      <c r="C159" s="68" t="s">
        <v>54</v>
      </c>
      <c r="D159" s="64" t="s">
        <v>40</v>
      </c>
      <c r="E159" s="66" t="s">
        <v>94</v>
      </c>
      <c r="F159" s="66" t="s">
        <v>119</v>
      </c>
      <c r="G159" s="64" t="str">
        <f>INDEX(Auxiliar!$B$16:$B$24,MATCH(Plano_V3!H159,Auxiliar!$C$16:$C$24,0),1)</f>
        <v>0. Cancelado</v>
      </c>
      <c r="H159" s="64">
        <f>VLOOKUP(A159,'Aux - pivots1'!$A:$B,2,0)</f>
        <v>0</v>
      </c>
      <c r="I159" s="180">
        <f>SUMIFS(Table1[Estimação (horas)],Table1[Tabela],Plano_V3!E159,Table1[Campo],Plano_V3!F159)</f>
        <v>4.0999999999999996</v>
      </c>
      <c r="J159" s="180">
        <f t="shared" si="27"/>
        <v>0.51249999999999996</v>
      </c>
      <c r="K159" s="180">
        <f>SUMIFS(Table1[Horas efetivas],Table1[Tabela],Plano_V3!E159,Table1[Campo],Plano_V3!F159)</f>
        <v>0</v>
      </c>
      <c r="L159" s="180">
        <f t="shared" si="28"/>
        <v>0</v>
      </c>
      <c r="M159" s="174"/>
      <c r="N159" s="174">
        <f t="shared" si="29"/>
        <v>0</v>
      </c>
      <c r="O159" s="174">
        <f t="shared" si="24"/>
        <v>0</v>
      </c>
      <c r="P159" s="87" t="s">
        <v>95</v>
      </c>
      <c r="Q159" s="90">
        <f t="shared" si="25"/>
        <v>0.51249999999999996</v>
      </c>
      <c r="R159" s="78"/>
      <c r="S159" s="78"/>
      <c r="T159" s="78"/>
      <c r="U159" s="78"/>
      <c r="V159" s="78"/>
      <c r="W159" s="78"/>
      <c r="X159" s="78"/>
      <c r="Y159" s="78"/>
      <c r="Z159" s="78"/>
      <c r="AA159" s="78"/>
      <c r="AB159" s="78"/>
      <c r="AC159" s="78"/>
      <c r="AD159" s="78"/>
      <c r="AE159" s="78"/>
      <c r="AF159" s="78"/>
      <c r="AG159" s="78"/>
      <c r="AH159" s="78"/>
      <c r="AI159" s="78"/>
      <c r="AJ159" s="78"/>
      <c r="AK159" s="78"/>
      <c r="AL159" s="78"/>
      <c r="AM159" s="78"/>
      <c r="AN159" s="78"/>
      <c r="AO159" s="78"/>
      <c r="AP159" s="78"/>
      <c r="AQ159" s="78"/>
      <c r="AR159" s="78"/>
      <c r="AS159" s="78"/>
      <c r="AT159" s="78"/>
      <c r="AU159" s="78"/>
      <c r="AV159" s="78"/>
      <c r="AW159" s="78"/>
      <c r="AX159" s="78"/>
      <c r="AY159" s="91"/>
      <c r="AZ159" s="78"/>
      <c r="BA159" s="78"/>
      <c r="BB159" s="78"/>
      <c r="BC159" s="78"/>
      <c r="BD159" s="78"/>
      <c r="BE159" s="78"/>
      <c r="BF159" s="78"/>
      <c r="BG159" s="78"/>
      <c r="BH159" s="78"/>
      <c r="BI159" s="78"/>
      <c r="BJ159" s="78"/>
      <c r="BK159" s="78"/>
      <c r="BL159" s="78"/>
      <c r="BM159" s="78"/>
      <c r="BN159" s="78"/>
      <c r="BO159" s="78"/>
      <c r="BP159" s="78"/>
      <c r="BQ159" s="78"/>
      <c r="BR159" s="78"/>
      <c r="BS159" s="78"/>
      <c r="BT159" s="78"/>
      <c r="BU159" s="78"/>
      <c r="BV159" s="78"/>
      <c r="BW159" s="78"/>
      <c r="BX159" s="78"/>
      <c r="BY159" s="78"/>
      <c r="BZ159" s="78"/>
      <c r="CA159" s="78"/>
      <c r="CB159" s="78"/>
      <c r="CC159" s="78"/>
      <c r="CD159" s="78"/>
      <c r="CE159" s="78"/>
      <c r="CF159" s="78"/>
      <c r="CG159" s="78"/>
      <c r="CH159" s="78"/>
      <c r="CI159" s="78"/>
      <c r="CJ159" s="78"/>
      <c r="CK159" s="78"/>
      <c r="CL159" s="78"/>
      <c r="CM159" s="78"/>
      <c r="CN159" s="78"/>
      <c r="CO159" s="78"/>
      <c r="CP159" s="78"/>
      <c r="CQ159" s="78"/>
      <c r="CR159" s="78"/>
      <c r="CS159" s="78"/>
      <c r="CT159" s="78"/>
      <c r="CU159" s="78"/>
      <c r="CV159" s="78"/>
      <c r="CW159" s="78"/>
      <c r="CX159" s="78"/>
      <c r="CY159" s="78"/>
      <c r="CZ159" s="78"/>
      <c r="DA159" s="78"/>
      <c r="DB159" s="78"/>
      <c r="DC159" s="78"/>
      <c r="DD159" s="78"/>
      <c r="DE159" s="78"/>
      <c r="DF159" s="78"/>
      <c r="DG159" s="78"/>
      <c r="DH159" s="78"/>
      <c r="DI159" s="78"/>
      <c r="DJ159" s="78"/>
      <c r="DK159" s="78"/>
      <c r="DL159" s="78"/>
      <c r="DM159" s="78"/>
      <c r="DN159" s="78"/>
      <c r="DO159" s="78"/>
      <c r="DP159" s="78"/>
      <c r="DQ159" s="78"/>
      <c r="DR159" s="78"/>
      <c r="DS159" s="78"/>
      <c r="DT159" s="78"/>
      <c r="DU159" s="78"/>
      <c r="DV159" s="78"/>
      <c r="DW159" s="78"/>
      <c r="DX159" s="78"/>
      <c r="DY159" s="78"/>
      <c r="DZ159" s="78"/>
      <c r="EA159" s="78"/>
      <c r="EB159" s="78"/>
      <c r="EC159" s="78"/>
      <c r="ED159" s="78"/>
      <c r="EE159" s="78"/>
      <c r="EF159" s="78"/>
      <c r="EG159" s="78"/>
      <c r="EH159" s="78"/>
      <c r="EI159" s="78"/>
      <c r="EJ159" s="78"/>
      <c r="EK159" s="78"/>
      <c r="EL159" s="78"/>
      <c r="EM159" s="78"/>
      <c r="EN159" s="91"/>
      <c r="EO159" s="91"/>
      <c r="EP159" s="91"/>
      <c r="EQ159" s="91"/>
      <c r="ER159" s="91"/>
      <c r="ES159" s="91"/>
    </row>
    <row r="160" spans="1:149" outlineLevel="1">
      <c r="A160" s="29" t="str">
        <f t="shared" si="26"/>
        <v>PROPERTYCURRENT_CONSTRUCTION_PCT</v>
      </c>
      <c r="B160" s="67" t="s">
        <v>26</v>
      </c>
      <c r="C160" s="68" t="s">
        <v>54</v>
      </c>
      <c r="D160" s="64" t="s">
        <v>40</v>
      </c>
      <c r="E160" s="66" t="s">
        <v>94</v>
      </c>
      <c r="F160" s="66" t="s">
        <v>120</v>
      </c>
      <c r="G160" s="64" t="str">
        <f>INDEX(Auxiliar!$B$16:$B$24,MATCH(Plano_V3!H160,Auxiliar!$C$16:$C$24,0),1)</f>
        <v>1. Concluído</v>
      </c>
      <c r="H160" s="64">
        <f>VLOOKUP(A160,'Aux - pivots1'!$A:$B,2,0)</f>
        <v>1</v>
      </c>
      <c r="I160" s="180">
        <f>SUMIFS(Table1[Estimação (horas)],Table1[Tabela],Plano_V3!E160,Table1[Campo],Plano_V3!F160)</f>
        <v>8.1</v>
      </c>
      <c r="J160" s="180">
        <f t="shared" si="27"/>
        <v>1.0125</v>
      </c>
      <c r="K160" s="180">
        <f>SUMIFS(Table1[Horas efetivas],Table1[Tabela],Plano_V3!E160,Table1[Campo],Plano_V3!F160)</f>
        <v>8.1</v>
      </c>
      <c r="L160" s="180">
        <f t="shared" si="28"/>
        <v>1.0125</v>
      </c>
      <c r="M160" s="174"/>
      <c r="N160" s="174">
        <f t="shared" si="29"/>
        <v>1</v>
      </c>
      <c r="O160" s="174">
        <f t="shared" si="24"/>
        <v>1</v>
      </c>
      <c r="P160" s="87" t="s">
        <v>95</v>
      </c>
      <c r="Q160" s="90">
        <f t="shared" si="25"/>
        <v>1.0125</v>
      </c>
      <c r="R160" s="78"/>
      <c r="S160" s="78"/>
      <c r="T160" s="78"/>
      <c r="U160" s="78"/>
      <c r="V160" s="78"/>
      <c r="W160" s="78"/>
      <c r="X160" s="78"/>
      <c r="Y160" s="78"/>
      <c r="Z160" s="78"/>
      <c r="AA160" s="78"/>
      <c r="AB160" s="78"/>
      <c r="AC160" s="78"/>
      <c r="AD160" s="78"/>
      <c r="AE160" s="78"/>
      <c r="AF160" s="78"/>
      <c r="AG160" s="78"/>
      <c r="AH160" s="78"/>
      <c r="AI160" s="78"/>
      <c r="AJ160" s="78"/>
      <c r="AK160" s="78"/>
      <c r="AL160" s="78"/>
      <c r="AM160" s="78"/>
      <c r="AN160" s="78"/>
      <c r="AO160" s="78"/>
      <c r="AP160" s="78"/>
      <c r="AQ160" s="78"/>
      <c r="AR160" s="78"/>
      <c r="AS160" s="78"/>
      <c r="AT160" s="78"/>
      <c r="AU160" s="78"/>
      <c r="AV160" s="78"/>
      <c r="AW160" s="78"/>
      <c r="AX160" s="78"/>
      <c r="AY160" s="91"/>
      <c r="AZ160" s="78"/>
      <c r="BA160" s="78"/>
      <c r="BB160" s="78"/>
      <c r="BC160" s="78"/>
      <c r="BD160" s="78"/>
      <c r="BE160" s="78"/>
      <c r="BF160" s="78"/>
      <c r="BG160" s="78"/>
      <c r="BH160" s="78"/>
      <c r="BI160" s="78"/>
      <c r="BJ160" s="78"/>
      <c r="BK160" s="78"/>
      <c r="BL160" s="78"/>
      <c r="BM160" s="78"/>
      <c r="BN160" s="78"/>
      <c r="BO160" s="78"/>
      <c r="BP160" s="78"/>
      <c r="BQ160" s="78"/>
      <c r="BR160" s="78"/>
      <c r="BS160" s="78"/>
      <c r="BT160" s="78"/>
      <c r="BU160" s="78"/>
      <c r="BV160" s="78"/>
      <c r="BW160" s="78"/>
      <c r="BX160" s="78"/>
      <c r="BY160" s="78"/>
      <c r="BZ160" s="78"/>
      <c r="CA160" s="78"/>
      <c r="CB160" s="78"/>
      <c r="CC160" s="78"/>
      <c r="CD160" s="78"/>
      <c r="CE160" s="78"/>
      <c r="CF160" s="78"/>
      <c r="CG160" s="78"/>
      <c r="CH160" s="78"/>
      <c r="CI160" s="78"/>
      <c r="CJ160" s="78"/>
      <c r="CK160" s="78"/>
      <c r="CL160" s="78"/>
      <c r="CM160" s="78"/>
      <c r="CN160" s="78"/>
      <c r="CO160" s="78"/>
      <c r="CP160" s="78"/>
      <c r="CQ160" s="78"/>
      <c r="CR160" s="78"/>
      <c r="CS160" s="78"/>
      <c r="CT160" s="78"/>
      <c r="CU160" s="78"/>
      <c r="CV160" s="78"/>
      <c r="CW160" s="78"/>
      <c r="CX160" s="78"/>
      <c r="CY160" s="78"/>
      <c r="CZ160" s="78"/>
      <c r="DA160" s="78"/>
      <c r="DB160" s="78"/>
      <c r="DC160" s="78"/>
      <c r="DD160" s="78"/>
      <c r="DE160" s="78"/>
      <c r="DF160" s="78"/>
      <c r="DG160" s="78"/>
      <c r="DH160" s="78"/>
      <c r="DI160" s="78"/>
      <c r="DJ160" s="78"/>
      <c r="DK160" s="78"/>
      <c r="DL160" s="78"/>
      <c r="DM160" s="78"/>
      <c r="DN160" s="78"/>
      <c r="DO160" s="78"/>
      <c r="DP160" s="78"/>
      <c r="DQ160" s="78"/>
      <c r="DR160" s="78"/>
      <c r="DS160" s="78"/>
      <c r="DT160" s="78"/>
      <c r="DU160" s="78"/>
      <c r="DV160" s="78"/>
      <c r="DW160" s="78"/>
      <c r="DX160" s="78"/>
      <c r="DY160" s="78"/>
      <c r="DZ160" s="78"/>
      <c r="EA160" s="78"/>
      <c r="EB160" s="78"/>
      <c r="EC160" s="78"/>
      <c r="ED160" s="78"/>
      <c r="EE160" s="78"/>
      <c r="EF160" s="78"/>
      <c r="EG160" s="78"/>
      <c r="EH160" s="78"/>
      <c r="EI160" s="78"/>
      <c r="EJ160" s="78"/>
      <c r="EK160" s="78"/>
      <c r="EL160" s="78"/>
      <c r="EM160" s="78"/>
      <c r="EN160" s="91"/>
      <c r="EO160" s="91"/>
      <c r="EP160" s="91"/>
      <c r="EQ160" s="91"/>
      <c r="ER160" s="91"/>
      <c r="ES160" s="91"/>
    </row>
    <row r="161" spans="1:149" outlineLevel="1">
      <c r="A161" s="29" t="str">
        <f t="shared" si="26"/>
        <v>PROPERTYCONSTRUCTION_COMPLETED_PCT</v>
      </c>
      <c r="B161" s="67" t="s">
        <v>26</v>
      </c>
      <c r="C161" s="68" t="s">
        <v>54</v>
      </c>
      <c r="D161" s="64" t="s">
        <v>40</v>
      </c>
      <c r="E161" s="66" t="s">
        <v>94</v>
      </c>
      <c r="F161" s="66" t="s">
        <v>121</v>
      </c>
      <c r="G161" s="64" t="str">
        <f>INDEX(Auxiliar!$B$16:$B$24,MATCH(Plano_V3!H161,Auxiliar!$C$16:$C$24,0),1)</f>
        <v>1. Concluído</v>
      </c>
      <c r="H161" s="64">
        <f>VLOOKUP(A161,'Aux - pivots1'!$A:$B,2,0)</f>
        <v>1</v>
      </c>
      <c r="I161" s="180">
        <f>SUMIFS(Table1[Estimação (horas)],Table1[Tabela],Plano_V3!E161,Table1[Campo],Plano_V3!F161)</f>
        <v>8.1</v>
      </c>
      <c r="J161" s="180">
        <f t="shared" si="27"/>
        <v>1.0125</v>
      </c>
      <c r="K161" s="180">
        <f>SUMIFS(Table1[Horas efetivas],Table1[Tabela],Plano_V3!E161,Table1[Campo],Plano_V3!F161)</f>
        <v>8.1</v>
      </c>
      <c r="L161" s="180">
        <f t="shared" si="28"/>
        <v>1.0125</v>
      </c>
      <c r="M161" s="174"/>
      <c r="N161" s="174">
        <f t="shared" si="29"/>
        <v>1</v>
      </c>
      <c r="O161" s="174">
        <f t="shared" si="24"/>
        <v>1</v>
      </c>
      <c r="P161" s="87" t="s">
        <v>95</v>
      </c>
      <c r="Q161" s="90">
        <f t="shared" si="25"/>
        <v>1.0125</v>
      </c>
      <c r="R161" s="78"/>
      <c r="S161" s="78"/>
      <c r="T161" s="78"/>
      <c r="U161" s="78"/>
      <c r="V161" s="78"/>
      <c r="W161" s="78"/>
      <c r="X161" s="78"/>
      <c r="Y161" s="78"/>
      <c r="Z161" s="78"/>
      <c r="AA161" s="78"/>
      <c r="AB161" s="78"/>
      <c r="AC161" s="78"/>
      <c r="AD161" s="78"/>
      <c r="AE161" s="78"/>
      <c r="AF161" s="78"/>
      <c r="AG161" s="78"/>
      <c r="AH161" s="78"/>
      <c r="AI161" s="78"/>
      <c r="AJ161" s="78"/>
      <c r="AK161" s="78"/>
      <c r="AL161" s="78"/>
      <c r="AM161" s="78"/>
      <c r="AN161" s="78"/>
      <c r="AO161" s="78"/>
      <c r="AP161" s="78"/>
      <c r="AQ161" s="78"/>
      <c r="AR161" s="78"/>
      <c r="AS161" s="78"/>
      <c r="AT161" s="78"/>
      <c r="AU161" s="78"/>
      <c r="AV161" s="78"/>
      <c r="AW161" s="78"/>
      <c r="AX161" s="78"/>
      <c r="AY161" s="91"/>
      <c r="AZ161" s="78"/>
      <c r="BA161" s="78"/>
      <c r="BB161" s="78"/>
      <c r="BC161" s="78"/>
      <c r="BD161" s="78"/>
      <c r="BE161" s="78"/>
      <c r="BF161" s="78"/>
      <c r="BG161" s="78"/>
      <c r="BH161" s="78"/>
      <c r="BI161" s="78"/>
      <c r="BJ161" s="78"/>
      <c r="BK161" s="78"/>
      <c r="BL161" s="78"/>
      <c r="BM161" s="78"/>
      <c r="BN161" s="78"/>
      <c r="BO161" s="78"/>
      <c r="BP161" s="78"/>
      <c r="BQ161" s="78"/>
      <c r="BR161" s="78"/>
      <c r="BS161" s="78"/>
      <c r="BT161" s="78"/>
      <c r="BU161" s="78"/>
      <c r="BV161" s="78"/>
      <c r="BW161" s="78"/>
      <c r="BX161" s="78"/>
      <c r="BY161" s="78"/>
      <c r="BZ161" s="78"/>
      <c r="CA161" s="78"/>
      <c r="CB161" s="78"/>
      <c r="CC161" s="78"/>
      <c r="CD161" s="78"/>
      <c r="CE161" s="78"/>
      <c r="CF161" s="78"/>
      <c r="CG161" s="78"/>
      <c r="CH161" s="78"/>
      <c r="CI161" s="78"/>
      <c r="CJ161" s="78"/>
      <c r="CK161" s="78"/>
      <c r="CL161" s="78"/>
      <c r="CM161" s="78"/>
      <c r="CN161" s="78"/>
      <c r="CO161" s="78"/>
      <c r="CP161" s="78"/>
      <c r="CQ161" s="78"/>
      <c r="CR161" s="78"/>
      <c r="CS161" s="78"/>
      <c r="CT161" s="78"/>
      <c r="CU161" s="78"/>
      <c r="CV161" s="78"/>
      <c r="CW161" s="78"/>
      <c r="CX161" s="78"/>
      <c r="CY161" s="78"/>
      <c r="CZ161" s="78"/>
      <c r="DA161" s="78"/>
      <c r="DB161" s="78"/>
      <c r="DC161" s="78"/>
      <c r="DD161" s="78"/>
      <c r="DE161" s="78"/>
      <c r="DF161" s="78"/>
      <c r="DG161" s="78"/>
      <c r="DH161" s="78"/>
      <c r="DI161" s="78"/>
      <c r="DJ161" s="78"/>
      <c r="DK161" s="78"/>
      <c r="DL161" s="78"/>
      <c r="DM161" s="78"/>
      <c r="DN161" s="78"/>
      <c r="DO161" s="78"/>
      <c r="DP161" s="78"/>
      <c r="DQ161" s="78"/>
      <c r="DR161" s="78"/>
      <c r="DS161" s="78"/>
      <c r="DT161" s="78"/>
      <c r="DU161" s="78"/>
      <c r="DV161" s="78"/>
      <c r="DW161" s="78"/>
      <c r="DX161" s="78"/>
      <c r="DY161" s="78"/>
      <c r="DZ161" s="78"/>
      <c r="EA161" s="78"/>
      <c r="EB161" s="78"/>
      <c r="EC161" s="78"/>
      <c r="ED161" s="78"/>
      <c r="EE161" s="78"/>
      <c r="EF161" s="78"/>
      <c r="EG161" s="78"/>
      <c r="EH161" s="78"/>
      <c r="EI161" s="78"/>
      <c r="EJ161" s="78"/>
      <c r="EK161" s="78"/>
      <c r="EL161" s="78"/>
      <c r="EM161" s="78"/>
      <c r="EN161" s="91"/>
      <c r="EO161" s="91"/>
      <c r="EP161" s="91"/>
      <c r="EQ161" s="91"/>
      <c r="ER161" s="91"/>
      <c r="ES161" s="91"/>
    </row>
    <row r="162" spans="1:149" outlineLevel="1">
      <c r="A162" s="29" t="str">
        <f t="shared" si="26"/>
        <v>PROPERTYDATA_DATE_PART</v>
      </c>
      <c r="B162" s="67" t="s">
        <v>26</v>
      </c>
      <c r="C162" s="68" t="s">
        <v>54</v>
      </c>
      <c r="D162" s="64" t="s">
        <v>40</v>
      </c>
      <c r="E162" s="66" t="s">
        <v>94</v>
      </c>
      <c r="F162" s="66" t="s">
        <v>73</v>
      </c>
      <c r="G162" s="64" t="str">
        <f>INDEX(Auxiliar!$B$16:$B$24,MATCH(Plano_V3!H162,Auxiliar!$C$16:$C$24,0),1)</f>
        <v>1. Concluído</v>
      </c>
      <c r="H162" s="64">
        <f>VLOOKUP(A162,'Aux - pivots1'!$A:$B,2,0)</f>
        <v>1</v>
      </c>
      <c r="I162" s="180">
        <f>SUMIFS(Table1[Estimação (horas)],Table1[Tabela],Plano_V3!E162,Table1[Campo],Plano_V3!F162)</f>
        <v>4.0999999999999996</v>
      </c>
      <c r="J162" s="180">
        <f t="shared" si="27"/>
        <v>0.51249999999999996</v>
      </c>
      <c r="K162" s="180">
        <f>SUMIFS(Table1[Horas efetivas],Table1[Tabela],Plano_V3!E162,Table1[Campo],Plano_V3!F162)</f>
        <v>4.0999999999999996</v>
      </c>
      <c r="L162" s="180">
        <f t="shared" si="28"/>
        <v>0.51249999999999996</v>
      </c>
      <c r="M162" s="174"/>
      <c r="N162" s="174">
        <f t="shared" si="29"/>
        <v>1</v>
      </c>
      <c r="O162" s="174">
        <f t="shared" si="24"/>
        <v>1</v>
      </c>
      <c r="P162" s="87" t="s">
        <v>95</v>
      </c>
      <c r="Q162" s="90">
        <f t="shared" si="25"/>
        <v>0.51249999999999996</v>
      </c>
      <c r="R162" s="78"/>
      <c r="S162" s="78"/>
      <c r="T162" s="78"/>
      <c r="U162" s="78"/>
      <c r="V162" s="78"/>
      <c r="W162" s="78"/>
      <c r="X162" s="78"/>
      <c r="Y162" s="78"/>
      <c r="Z162" s="78"/>
      <c r="AA162" s="78"/>
      <c r="AB162" s="78"/>
      <c r="AC162" s="78"/>
      <c r="AD162" s="78"/>
      <c r="AE162" s="78"/>
      <c r="AF162" s="78"/>
      <c r="AG162" s="78"/>
      <c r="AH162" s="78"/>
      <c r="AI162" s="78"/>
      <c r="AJ162" s="78"/>
      <c r="AK162" s="78"/>
      <c r="AL162" s="78"/>
      <c r="AM162" s="78"/>
      <c r="AN162" s="78"/>
      <c r="AO162" s="78"/>
      <c r="AP162" s="78"/>
      <c r="AQ162" s="78"/>
      <c r="AR162" s="78"/>
      <c r="AS162" s="78"/>
      <c r="AT162" s="78"/>
      <c r="AU162" s="78"/>
      <c r="AV162" s="78"/>
      <c r="AW162" s="78"/>
      <c r="AX162" s="78"/>
      <c r="AY162" s="91"/>
      <c r="AZ162" s="78"/>
      <c r="BA162" s="78"/>
      <c r="BB162" s="78"/>
      <c r="BC162" s="78"/>
      <c r="BD162" s="78"/>
      <c r="BE162" s="78"/>
      <c r="BF162" s="78"/>
      <c r="BG162" s="78"/>
      <c r="BH162" s="78"/>
      <c r="BI162" s="78"/>
      <c r="BJ162" s="78"/>
      <c r="BK162" s="78"/>
      <c r="BL162" s="78"/>
      <c r="BM162" s="78"/>
      <c r="BN162" s="78"/>
      <c r="BO162" s="78"/>
      <c r="BP162" s="78"/>
      <c r="BQ162" s="78"/>
      <c r="BR162" s="78"/>
      <c r="BS162" s="78"/>
      <c r="BT162" s="78"/>
      <c r="BU162" s="78"/>
      <c r="BV162" s="78"/>
      <c r="BW162" s="78"/>
      <c r="BX162" s="78"/>
      <c r="BY162" s="78"/>
      <c r="BZ162" s="78"/>
      <c r="CA162" s="78"/>
      <c r="CB162" s="78"/>
      <c r="CC162" s="78"/>
      <c r="CD162" s="78"/>
      <c r="CE162" s="78"/>
      <c r="CF162" s="78"/>
      <c r="CG162" s="78"/>
      <c r="CH162" s="78"/>
      <c r="CI162" s="78"/>
      <c r="CJ162" s="78"/>
      <c r="CK162" s="78"/>
      <c r="CL162" s="78"/>
      <c r="CM162" s="78"/>
      <c r="CN162" s="78"/>
      <c r="CO162" s="78"/>
      <c r="CP162" s="78"/>
      <c r="CQ162" s="78"/>
      <c r="CR162" s="78"/>
      <c r="CS162" s="78"/>
      <c r="CT162" s="78"/>
      <c r="CU162" s="78"/>
      <c r="CV162" s="78"/>
      <c r="CW162" s="78"/>
      <c r="CX162" s="78"/>
      <c r="CY162" s="78"/>
      <c r="CZ162" s="78"/>
      <c r="DA162" s="78"/>
      <c r="DB162" s="78"/>
      <c r="DC162" s="78"/>
      <c r="DD162" s="78"/>
      <c r="DE162" s="78"/>
      <c r="DF162" s="78"/>
      <c r="DG162" s="78"/>
      <c r="DH162" s="78"/>
      <c r="DI162" s="78"/>
      <c r="DJ162" s="78"/>
      <c r="DK162" s="78"/>
      <c r="DL162" s="78"/>
      <c r="DM162" s="78"/>
      <c r="DN162" s="78"/>
      <c r="DO162" s="78"/>
      <c r="DP162" s="78"/>
      <c r="DQ162" s="78"/>
      <c r="DR162" s="78"/>
      <c r="DS162" s="78"/>
      <c r="DT162" s="78"/>
      <c r="DU162" s="78"/>
      <c r="DV162" s="78"/>
      <c r="DW162" s="78"/>
      <c r="DX162" s="78"/>
      <c r="DY162" s="78"/>
      <c r="DZ162" s="78"/>
      <c r="EA162" s="78"/>
      <c r="EB162" s="78"/>
      <c r="EC162" s="78"/>
      <c r="ED162" s="78"/>
      <c r="EE162" s="78"/>
      <c r="EF162" s="78"/>
      <c r="EG162" s="78"/>
      <c r="EH162" s="78"/>
      <c r="EI162" s="78"/>
      <c r="EJ162" s="78"/>
      <c r="EK162" s="78"/>
      <c r="EL162" s="78"/>
      <c r="EM162" s="78"/>
      <c r="EN162" s="91"/>
      <c r="EO162" s="91"/>
      <c r="EP162" s="91"/>
      <c r="EQ162" s="91"/>
      <c r="ER162" s="91"/>
      <c r="ES162" s="91"/>
    </row>
    <row r="163" spans="1:149" outlineLevel="1">
      <c r="A163" s="29" t="str">
        <f t="shared" si="26"/>
        <v>PROPERTYURBANIZATION</v>
      </c>
      <c r="B163" s="67" t="s">
        <v>26</v>
      </c>
      <c r="C163" s="68" t="s">
        <v>54</v>
      </c>
      <c r="D163" s="64" t="s">
        <v>40</v>
      </c>
      <c r="E163" s="66" t="s">
        <v>94</v>
      </c>
      <c r="F163" s="66" t="s">
        <v>122</v>
      </c>
      <c r="G163" s="64" t="str">
        <f>INDEX(Auxiliar!$B$16:$B$24,MATCH(Plano_V3!H163,Auxiliar!$C$16:$C$24,0),1)</f>
        <v>1. Concluído</v>
      </c>
      <c r="H163" s="64">
        <f>VLOOKUP(A163,'Aux - pivots1'!$A:$B,2,0)</f>
        <v>1</v>
      </c>
      <c r="I163" s="180">
        <f>SUMIFS(Table1[Estimação (horas)],Table1[Tabela],Plano_V3!E163,Table1[Campo],Plano_V3!F163)</f>
        <v>4.0999999999999996</v>
      </c>
      <c r="J163" s="180">
        <f t="shared" si="27"/>
        <v>0.51249999999999996</v>
      </c>
      <c r="K163" s="180">
        <f>SUMIFS(Table1[Horas efetivas],Table1[Tabela],Plano_V3!E163,Table1[Campo],Plano_V3!F163)</f>
        <v>4.0999999999999996</v>
      </c>
      <c r="L163" s="180">
        <f t="shared" si="28"/>
        <v>0.51249999999999996</v>
      </c>
      <c r="M163" s="174"/>
      <c r="N163" s="174">
        <f t="shared" si="29"/>
        <v>1</v>
      </c>
      <c r="O163" s="174">
        <f t="shared" si="24"/>
        <v>1</v>
      </c>
      <c r="P163" s="87" t="s">
        <v>95</v>
      </c>
      <c r="Q163" s="90">
        <f t="shared" si="25"/>
        <v>0.51249999999999996</v>
      </c>
      <c r="R163" s="78"/>
      <c r="S163" s="78"/>
      <c r="T163" s="78"/>
      <c r="U163" s="78"/>
      <c r="V163" s="78"/>
      <c r="W163" s="78"/>
      <c r="X163" s="78"/>
      <c r="Y163" s="78"/>
      <c r="Z163" s="78"/>
      <c r="AA163" s="78"/>
      <c r="AB163" s="78"/>
      <c r="AC163" s="78"/>
      <c r="AD163" s="78"/>
      <c r="AE163" s="78"/>
      <c r="AF163" s="78"/>
      <c r="AG163" s="78"/>
      <c r="AH163" s="78"/>
      <c r="AI163" s="78"/>
      <c r="AJ163" s="78"/>
      <c r="AK163" s="78"/>
      <c r="AL163" s="78"/>
      <c r="AM163" s="78"/>
      <c r="AN163" s="78"/>
      <c r="AO163" s="78"/>
      <c r="AP163" s="78"/>
      <c r="AQ163" s="78"/>
      <c r="AR163" s="78"/>
      <c r="AS163" s="78"/>
      <c r="AT163" s="78"/>
      <c r="AU163" s="78"/>
      <c r="AV163" s="78"/>
      <c r="AW163" s="78"/>
      <c r="AX163" s="78"/>
      <c r="AY163" s="91"/>
      <c r="AZ163" s="78"/>
      <c r="BA163" s="78"/>
      <c r="BB163" s="78"/>
      <c r="BC163" s="78"/>
      <c r="BD163" s="78"/>
      <c r="BE163" s="78"/>
      <c r="BF163" s="78"/>
      <c r="BG163" s="78"/>
      <c r="BH163" s="78"/>
      <c r="BI163" s="78"/>
      <c r="BJ163" s="78"/>
      <c r="BK163" s="78"/>
      <c r="BL163" s="78"/>
      <c r="BM163" s="78"/>
      <c r="BN163" s="78"/>
      <c r="BO163" s="78"/>
      <c r="BP163" s="78"/>
      <c r="BQ163" s="78"/>
      <c r="BR163" s="78"/>
      <c r="BS163" s="78"/>
      <c r="BT163" s="78"/>
      <c r="BU163" s="78"/>
      <c r="BV163" s="78"/>
      <c r="BW163" s="78"/>
      <c r="BX163" s="78"/>
      <c r="BY163" s="78"/>
      <c r="BZ163" s="78"/>
      <c r="CA163" s="78"/>
      <c r="CB163" s="78"/>
      <c r="CC163" s="78"/>
      <c r="CD163" s="78"/>
      <c r="CE163" s="78"/>
      <c r="CF163" s="78"/>
      <c r="CG163" s="78"/>
      <c r="CH163" s="78"/>
      <c r="CI163" s="78"/>
      <c r="CJ163" s="78"/>
      <c r="CK163" s="78"/>
      <c r="CL163" s="78"/>
      <c r="CM163" s="78"/>
      <c r="CN163" s="78"/>
      <c r="CO163" s="78"/>
      <c r="CP163" s="78"/>
      <c r="CQ163" s="78"/>
      <c r="CR163" s="78"/>
      <c r="CS163" s="78"/>
      <c r="CT163" s="78"/>
      <c r="CU163" s="78"/>
      <c r="CV163" s="78"/>
      <c r="CW163" s="78"/>
      <c r="CX163" s="78"/>
      <c r="CY163" s="78"/>
      <c r="CZ163" s="78"/>
      <c r="DA163" s="78"/>
      <c r="DB163" s="78"/>
      <c r="DC163" s="78"/>
      <c r="DD163" s="78"/>
      <c r="DE163" s="78"/>
      <c r="DF163" s="78"/>
      <c r="DG163" s="78"/>
      <c r="DH163" s="78"/>
      <c r="DI163" s="78"/>
      <c r="DJ163" s="78"/>
      <c r="DK163" s="78"/>
      <c r="DL163" s="78"/>
      <c r="DM163" s="78"/>
      <c r="DN163" s="78"/>
      <c r="DO163" s="78"/>
      <c r="DP163" s="78"/>
      <c r="DQ163" s="78"/>
      <c r="DR163" s="78"/>
      <c r="DS163" s="78"/>
      <c r="DT163" s="78"/>
      <c r="DU163" s="78"/>
      <c r="DV163" s="78"/>
      <c r="DW163" s="78"/>
      <c r="DX163" s="78"/>
      <c r="DY163" s="78"/>
      <c r="DZ163" s="78"/>
      <c r="EA163" s="78"/>
      <c r="EB163" s="78"/>
      <c r="EC163" s="78"/>
      <c r="ED163" s="78"/>
      <c r="EE163" s="78"/>
      <c r="EF163" s="78"/>
      <c r="EG163" s="78"/>
      <c r="EH163" s="78"/>
      <c r="EI163" s="78"/>
      <c r="EJ163" s="78"/>
      <c r="EK163" s="78"/>
      <c r="EL163" s="78"/>
      <c r="EM163" s="78"/>
      <c r="EN163" s="91"/>
      <c r="EO163" s="91"/>
      <c r="EP163" s="91"/>
      <c r="EQ163" s="91"/>
      <c r="ER163" s="91"/>
      <c r="ES163" s="91"/>
    </row>
    <row r="164" spans="1:149" outlineLevel="1">
      <c r="A164" s="29" t="str">
        <f>E164&amp;F164</f>
        <v>PROPERTYPROPERTY_CODE</v>
      </c>
      <c r="B164" s="67"/>
      <c r="C164" s="68"/>
      <c r="D164" s="64" t="s">
        <v>40</v>
      </c>
      <c r="E164" s="66" t="s">
        <v>94</v>
      </c>
      <c r="F164" s="66" t="s">
        <v>2161</v>
      </c>
      <c r="G164" s="64" t="str">
        <f>INDEX(Auxiliar!$B$16:$B$24,MATCH(Plano_V3!H164,Auxiliar!$C$16:$C$24,0),1)</f>
        <v>1. Concluído</v>
      </c>
      <c r="H164" s="64">
        <f>VLOOKUP(A164,'Aux - pivots1'!$A:$B,2,0)</f>
        <v>1</v>
      </c>
      <c r="I164" s="180">
        <f>SUMIFS(Table1[Estimação (horas)],Table1[Tabela],Plano_V3!E164,Table1[Campo],Plano_V3!F164)</f>
        <v>4.0999999999999996</v>
      </c>
      <c r="J164" s="180">
        <f>I164/8</f>
        <v>0.51249999999999996</v>
      </c>
      <c r="K164" s="180">
        <f>SUMIFS(Table1[Horas efetivas],Table1[Tabela],Plano_V3!E164,Table1[Campo],Plano_V3!F164)</f>
        <v>4.0999999999999996</v>
      </c>
      <c r="L164" s="180">
        <f>K164/8</f>
        <v>0.51249999999999996</v>
      </c>
      <c r="M164" s="174"/>
      <c r="N164" s="174">
        <f t="shared" si="29"/>
        <v>1</v>
      </c>
      <c r="O164" s="174">
        <f t="shared" si="24"/>
        <v>1</v>
      </c>
      <c r="P164" s="87" t="s">
        <v>95</v>
      </c>
      <c r="Q164" s="90"/>
      <c r="R164" s="78"/>
      <c r="S164" s="78"/>
      <c r="T164" s="78"/>
      <c r="U164" s="78"/>
      <c r="V164" s="78"/>
      <c r="W164" s="78"/>
      <c r="X164" s="78"/>
      <c r="Y164" s="78"/>
      <c r="Z164" s="78"/>
      <c r="AA164" s="78"/>
      <c r="AB164" s="78"/>
      <c r="AC164" s="78"/>
      <c r="AD164" s="78"/>
      <c r="AE164" s="78"/>
      <c r="AF164" s="78"/>
      <c r="AG164" s="78"/>
      <c r="AH164" s="78"/>
      <c r="AI164" s="78"/>
      <c r="AJ164" s="78"/>
      <c r="AK164" s="78"/>
      <c r="AL164" s="78"/>
      <c r="AM164" s="78"/>
      <c r="AN164" s="78"/>
      <c r="AO164" s="78"/>
      <c r="AP164" s="78"/>
      <c r="AQ164" s="78"/>
      <c r="AR164" s="78"/>
      <c r="AS164" s="78"/>
      <c r="AT164" s="78"/>
      <c r="AU164" s="78"/>
      <c r="AV164" s="78"/>
      <c r="AW164" s="78"/>
      <c r="AX164" s="78"/>
      <c r="AY164" s="91"/>
      <c r="AZ164" s="78"/>
      <c r="BA164" s="78"/>
      <c r="BB164" s="78"/>
      <c r="BC164" s="78"/>
      <c r="BD164" s="78"/>
      <c r="BE164" s="78"/>
      <c r="BF164" s="78"/>
      <c r="BG164" s="78"/>
      <c r="BH164" s="78"/>
      <c r="BI164" s="78"/>
      <c r="BJ164" s="78"/>
      <c r="BK164" s="78"/>
      <c r="BL164" s="78"/>
      <c r="BM164" s="78"/>
      <c r="BN164" s="78"/>
      <c r="BO164" s="78"/>
      <c r="BP164" s="78"/>
      <c r="BQ164" s="78"/>
      <c r="BR164" s="78"/>
      <c r="BS164" s="78"/>
      <c r="BT164" s="78"/>
      <c r="BU164" s="78"/>
      <c r="BV164" s="78"/>
      <c r="BW164" s="78"/>
      <c r="BX164" s="78"/>
      <c r="BY164" s="78"/>
      <c r="BZ164" s="78"/>
      <c r="CA164" s="78"/>
      <c r="CB164" s="78"/>
      <c r="CC164" s="78"/>
      <c r="CD164" s="78"/>
      <c r="CE164" s="78"/>
      <c r="CF164" s="78"/>
      <c r="CG164" s="78"/>
      <c r="CH164" s="78"/>
      <c r="CI164" s="78"/>
      <c r="CJ164" s="78"/>
      <c r="CK164" s="78"/>
      <c r="CL164" s="78"/>
      <c r="CM164" s="78"/>
      <c r="CN164" s="78"/>
      <c r="CO164" s="78"/>
      <c r="CP164" s="78"/>
      <c r="CQ164" s="78"/>
      <c r="CR164" s="78"/>
      <c r="CS164" s="78"/>
      <c r="CT164" s="78"/>
      <c r="CU164" s="78"/>
      <c r="CV164" s="78"/>
      <c r="CW164" s="78"/>
      <c r="CX164" s="78"/>
      <c r="CY164" s="78"/>
      <c r="CZ164" s="78"/>
      <c r="DA164" s="78"/>
      <c r="DB164" s="78"/>
      <c r="DC164" s="78"/>
      <c r="DD164" s="78"/>
      <c r="DE164" s="78"/>
      <c r="DF164" s="78"/>
      <c r="DG164" s="78"/>
      <c r="DH164" s="78"/>
      <c r="DI164" s="78"/>
      <c r="DJ164" s="78"/>
      <c r="DK164" s="78"/>
      <c r="DL164" s="78"/>
      <c r="DM164" s="78"/>
      <c r="DN164" s="78"/>
      <c r="DO164" s="78"/>
      <c r="DP164" s="78"/>
      <c r="DQ164" s="78"/>
      <c r="DR164" s="78"/>
      <c r="DS164" s="78"/>
      <c r="DT164" s="78"/>
      <c r="DU164" s="78"/>
      <c r="DV164" s="78"/>
      <c r="DW164" s="78"/>
      <c r="DX164" s="78"/>
      <c r="DY164" s="78"/>
      <c r="DZ164" s="78"/>
      <c r="EA164" s="78"/>
      <c r="EB164" s="78"/>
      <c r="EC164" s="78"/>
      <c r="ED164" s="78"/>
      <c r="EE164" s="78"/>
      <c r="EF164" s="78"/>
      <c r="EG164" s="78"/>
      <c r="EH164" s="78"/>
      <c r="EI164" s="78"/>
      <c r="EJ164" s="78"/>
      <c r="EK164" s="78"/>
      <c r="EL164" s="78"/>
      <c r="EM164" s="78"/>
      <c r="EN164" s="91"/>
      <c r="EO164" s="91"/>
      <c r="EP164" s="91"/>
      <c r="EQ164" s="91"/>
      <c r="ER164" s="91"/>
      <c r="ES164" s="91"/>
    </row>
    <row r="165" spans="1:149" outlineLevel="1">
      <c r="A165" s="29" t="str">
        <f t="shared" si="26"/>
        <v>PROPERTY_ENERGY_CERTIFICATEn.a.</v>
      </c>
      <c r="B165" s="67" t="s">
        <v>26</v>
      </c>
      <c r="C165" s="68" t="s">
        <v>54</v>
      </c>
      <c r="D165" s="64" t="s">
        <v>36</v>
      </c>
      <c r="E165" s="66" t="s">
        <v>123</v>
      </c>
      <c r="F165" s="64" t="s">
        <v>38</v>
      </c>
      <c r="G165" s="64" t="str">
        <f>INDEX(Auxiliar!$B$16:$B$24,MATCH(Plano_V3!H165,Auxiliar!$C$16:$C$24,0),1)</f>
        <v>1. Concluído</v>
      </c>
      <c r="H165" s="64">
        <f>VLOOKUP(A165,'Aux - pivots1'!$A:$B,2,0)</f>
        <v>1</v>
      </c>
      <c r="I165" s="180">
        <f>SUMIFS(Table1[Estimação (horas)],Table1[Tabela],Plano_V3!E165,Table1[Campo],Plano_V3!F165)</f>
        <v>8</v>
      </c>
      <c r="J165" s="180">
        <f t="shared" si="27"/>
        <v>1</v>
      </c>
      <c r="K165" s="180">
        <f>SUMIFS(Table1[Horas efetivas],Table1[Tabela],Plano_V3!E165,Table1[Campo],Plano_V3!F165)</f>
        <v>8</v>
      </c>
      <c r="L165" s="180">
        <f t="shared" si="28"/>
        <v>1</v>
      </c>
      <c r="M165" s="174"/>
      <c r="N165" s="174">
        <f t="shared" si="29"/>
        <v>1</v>
      </c>
      <c r="O165" s="174">
        <f t="shared" si="24"/>
        <v>1</v>
      </c>
      <c r="P165" s="87" t="s">
        <v>124</v>
      </c>
      <c r="Q165" s="90">
        <f t="shared" si="25"/>
        <v>1</v>
      </c>
      <c r="R165" s="78"/>
      <c r="S165" s="78"/>
      <c r="T165" s="78"/>
      <c r="U165" s="78"/>
      <c r="V165" s="78"/>
      <c r="W165" s="78"/>
      <c r="X165" s="78"/>
      <c r="Y165" s="78"/>
      <c r="Z165" s="78"/>
      <c r="AA165" s="78"/>
      <c r="AB165" s="78"/>
      <c r="AC165" s="78"/>
      <c r="AD165" s="78"/>
      <c r="AE165" s="78"/>
      <c r="AF165" s="78"/>
      <c r="AG165" s="78"/>
      <c r="AH165" s="78"/>
      <c r="AI165" s="78"/>
      <c r="AJ165" s="78"/>
      <c r="AK165" s="78"/>
      <c r="AL165" s="78"/>
      <c r="AM165" s="78"/>
      <c r="AN165" s="78"/>
      <c r="AO165" s="78"/>
      <c r="AP165" s="78"/>
      <c r="AQ165" s="78"/>
      <c r="AR165" s="78"/>
      <c r="AS165" s="78"/>
      <c r="AT165" s="78"/>
      <c r="AU165" s="78"/>
      <c r="AV165" s="78"/>
      <c r="AW165" s="78"/>
      <c r="AX165" s="78"/>
      <c r="AY165" s="91"/>
      <c r="AZ165" s="78"/>
      <c r="BA165" s="78"/>
      <c r="BB165" s="78"/>
      <c r="BC165" s="78"/>
      <c r="BD165" s="78"/>
      <c r="BE165" s="78"/>
      <c r="BF165" s="78"/>
      <c r="BG165" s="78"/>
      <c r="BH165" s="78"/>
      <c r="BI165" s="78"/>
      <c r="BJ165" s="78"/>
      <c r="BK165" s="78"/>
      <c r="BL165" s="78"/>
      <c r="BM165" s="78"/>
      <c r="BN165" s="78"/>
      <c r="BO165" s="78"/>
      <c r="BP165" s="78"/>
      <c r="BQ165" s="78"/>
      <c r="BR165" s="78"/>
      <c r="BS165" s="78"/>
      <c r="BT165" s="78"/>
      <c r="BU165" s="78"/>
      <c r="BV165" s="78"/>
      <c r="BW165" s="78"/>
      <c r="BX165" s="78"/>
      <c r="BY165" s="78"/>
      <c r="BZ165" s="78"/>
      <c r="CA165" s="78"/>
      <c r="CB165" s="78"/>
      <c r="CC165" s="78"/>
      <c r="CD165" s="78"/>
      <c r="CE165" s="78"/>
      <c r="CF165" s="78"/>
      <c r="CG165" s="78"/>
      <c r="CH165" s="78"/>
      <c r="CI165" s="78"/>
      <c r="CJ165" s="78"/>
      <c r="CK165" s="78"/>
      <c r="CL165" s="78"/>
      <c r="CM165" s="78"/>
      <c r="CN165" s="78"/>
      <c r="CO165" s="78"/>
      <c r="CP165" s="78"/>
      <c r="CQ165" s="78"/>
      <c r="CR165" s="78"/>
      <c r="CS165" s="78"/>
      <c r="CT165" s="78"/>
      <c r="CU165" s="78"/>
      <c r="CV165" s="78"/>
      <c r="CW165" s="78"/>
      <c r="CX165" s="78"/>
      <c r="CY165" s="78"/>
      <c r="CZ165" s="78"/>
      <c r="DA165" s="78"/>
      <c r="DB165" s="78"/>
      <c r="DC165" s="78"/>
      <c r="DD165" s="78"/>
      <c r="DE165" s="78"/>
      <c r="DF165" s="78"/>
      <c r="DG165" s="78"/>
      <c r="DH165" s="78"/>
      <c r="DI165" s="78"/>
      <c r="DJ165" s="78"/>
      <c r="DK165" s="78"/>
      <c r="DL165" s="78"/>
      <c r="DM165" s="78"/>
      <c r="DN165" s="78"/>
      <c r="DO165" s="78"/>
      <c r="DP165" s="78"/>
      <c r="DQ165" s="78"/>
      <c r="DR165" s="78"/>
      <c r="DS165" s="78"/>
      <c r="DT165" s="78"/>
      <c r="DU165" s="78"/>
      <c r="DV165" s="78"/>
      <c r="DW165" s="78"/>
      <c r="DX165" s="78"/>
      <c r="DY165" s="78"/>
      <c r="DZ165" s="78"/>
      <c r="EA165" s="78"/>
      <c r="EB165" s="78"/>
      <c r="EC165" s="78"/>
      <c r="ED165" s="78"/>
      <c r="EE165" s="78"/>
      <c r="EF165" s="78"/>
      <c r="EG165" s="78"/>
      <c r="EH165" s="78"/>
      <c r="EI165" s="78"/>
      <c r="EJ165" s="78"/>
      <c r="EK165" s="78"/>
      <c r="EL165" s="78"/>
      <c r="EM165" s="78"/>
      <c r="EN165" s="91"/>
      <c r="EO165" s="91"/>
      <c r="EP165" s="91"/>
      <c r="EQ165" s="91"/>
      <c r="ER165" s="91"/>
      <c r="ES165" s="91"/>
    </row>
    <row r="166" spans="1:149" outlineLevel="1">
      <c r="A166" s="29" t="str">
        <f t="shared" si="26"/>
        <v>PROPERTY_ENERGY_CERTIFICATEPROPERTY_BANK_ID</v>
      </c>
      <c r="B166" s="67" t="s">
        <v>26</v>
      </c>
      <c r="C166" s="68" t="s">
        <v>54</v>
      </c>
      <c r="D166" s="64" t="s">
        <v>40</v>
      </c>
      <c r="E166" s="66" t="s">
        <v>123</v>
      </c>
      <c r="F166" s="66" t="s">
        <v>41</v>
      </c>
      <c r="G166" s="64" t="str">
        <f>INDEX(Auxiliar!$B$16:$B$24,MATCH(Plano_V3!H166,Auxiliar!$C$16:$C$24,0),1)</f>
        <v>1. Concluído</v>
      </c>
      <c r="H166" s="64">
        <f>VLOOKUP(A166,'Aux - pivots1'!$A:$B,2,0)</f>
        <v>1</v>
      </c>
      <c r="I166" s="180">
        <f>SUMIFS(Table1[Estimação (horas)],Table1[Tabela],Plano_V3!E166,Table1[Campo],Plano_V3!F166)</f>
        <v>4.0999999999999996</v>
      </c>
      <c r="J166" s="180">
        <f t="shared" si="27"/>
        <v>0.51249999999999996</v>
      </c>
      <c r="K166" s="180">
        <f>SUMIFS(Table1[Horas efetivas],Table1[Tabela],Plano_V3!E166,Table1[Campo],Plano_V3!F166)</f>
        <v>4.0999999999999996</v>
      </c>
      <c r="L166" s="180">
        <f t="shared" si="28"/>
        <v>0.51249999999999996</v>
      </c>
      <c r="M166" s="174"/>
      <c r="N166" s="174">
        <f t="shared" si="29"/>
        <v>1</v>
      </c>
      <c r="O166" s="174">
        <f t="shared" si="24"/>
        <v>1</v>
      </c>
      <c r="P166" s="87" t="s">
        <v>124</v>
      </c>
      <c r="Q166" s="90">
        <f t="shared" si="25"/>
        <v>0.51249999999999996</v>
      </c>
      <c r="R166" s="78"/>
      <c r="S166" s="78"/>
      <c r="T166" s="78"/>
      <c r="U166" s="78"/>
      <c r="V166" s="78"/>
      <c r="W166" s="78"/>
      <c r="X166" s="78"/>
      <c r="Y166" s="78"/>
      <c r="Z166" s="78"/>
      <c r="AA166" s="78"/>
      <c r="AB166" s="78"/>
      <c r="AC166" s="78"/>
      <c r="AD166" s="78"/>
      <c r="AE166" s="78"/>
      <c r="AF166" s="78"/>
      <c r="AG166" s="78"/>
      <c r="AH166" s="78"/>
      <c r="AI166" s="78"/>
      <c r="AJ166" s="78"/>
      <c r="AK166" s="78"/>
      <c r="AL166" s="78"/>
      <c r="AM166" s="78"/>
      <c r="AN166" s="78"/>
      <c r="AO166" s="78"/>
      <c r="AP166" s="78"/>
      <c r="AQ166" s="78"/>
      <c r="AR166" s="78"/>
      <c r="AS166" s="78"/>
      <c r="AT166" s="78"/>
      <c r="AU166" s="78"/>
      <c r="AV166" s="78"/>
      <c r="AW166" s="78"/>
      <c r="AX166" s="78"/>
      <c r="AY166" s="91"/>
      <c r="AZ166" s="78"/>
      <c r="BA166" s="78"/>
      <c r="BB166" s="78"/>
      <c r="BC166" s="78"/>
      <c r="BD166" s="78"/>
      <c r="BE166" s="78"/>
      <c r="BF166" s="78"/>
      <c r="BG166" s="78"/>
      <c r="BH166" s="78"/>
      <c r="BI166" s="78"/>
      <c r="BJ166" s="78"/>
      <c r="BK166" s="78"/>
      <c r="BL166" s="78"/>
      <c r="BM166" s="78"/>
      <c r="BN166" s="78"/>
      <c r="BO166" s="78"/>
      <c r="BP166" s="78"/>
      <c r="BQ166" s="78"/>
      <c r="BR166" s="78"/>
      <c r="BS166" s="78"/>
      <c r="BT166" s="78"/>
      <c r="BU166" s="78"/>
      <c r="BV166" s="78"/>
      <c r="BW166" s="78"/>
      <c r="BX166" s="78"/>
      <c r="BY166" s="78"/>
      <c r="BZ166" s="78"/>
      <c r="CA166" s="78"/>
      <c r="CB166" s="78"/>
      <c r="CC166" s="78"/>
      <c r="CD166" s="78"/>
      <c r="CE166" s="78"/>
      <c r="CF166" s="78"/>
      <c r="CG166" s="78"/>
      <c r="CH166" s="78"/>
      <c r="CI166" s="78"/>
      <c r="CJ166" s="78"/>
      <c r="CK166" s="78"/>
      <c r="CL166" s="78"/>
      <c r="CM166" s="78"/>
      <c r="CN166" s="78"/>
      <c r="CO166" s="78"/>
      <c r="CP166" s="78"/>
      <c r="CQ166" s="78"/>
      <c r="CR166" s="78"/>
      <c r="CS166" s="78"/>
      <c r="CT166" s="78"/>
      <c r="CU166" s="78"/>
      <c r="CV166" s="78"/>
      <c r="CW166" s="78"/>
      <c r="CX166" s="78"/>
      <c r="CY166" s="78"/>
      <c r="CZ166" s="78"/>
      <c r="DA166" s="78"/>
      <c r="DB166" s="78"/>
      <c r="DC166" s="78"/>
      <c r="DD166" s="78"/>
      <c r="DE166" s="78"/>
      <c r="DF166" s="78"/>
      <c r="DG166" s="78"/>
      <c r="DH166" s="78"/>
      <c r="DI166" s="78"/>
      <c r="DJ166" s="78"/>
      <c r="DK166" s="78"/>
      <c r="DL166" s="78"/>
      <c r="DM166" s="78"/>
      <c r="DN166" s="78"/>
      <c r="DO166" s="78"/>
      <c r="DP166" s="78"/>
      <c r="DQ166" s="78"/>
      <c r="DR166" s="78"/>
      <c r="DS166" s="78"/>
      <c r="DT166" s="78"/>
      <c r="DU166" s="78"/>
      <c r="DV166" s="78"/>
      <c r="DW166" s="78"/>
      <c r="DX166" s="78"/>
      <c r="DY166" s="78"/>
      <c r="DZ166" s="78"/>
      <c r="EA166" s="78"/>
      <c r="EB166" s="78"/>
      <c r="EC166" s="78"/>
      <c r="ED166" s="78"/>
      <c r="EE166" s="78"/>
      <c r="EF166" s="78"/>
      <c r="EG166" s="78"/>
      <c r="EH166" s="78"/>
      <c r="EI166" s="78"/>
      <c r="EJ166" s="78"/>
      <c r="EK166" s="78"/>
      <c r="EL166" s="78"/>
      <c r="EM166" s="78"/>
      <c r="EN166" s="91"/>
      <c r="EO166" s="91"/>
      <c r="EP166" s="91"/>
      <c r="EQ166" s="91"/>
      <c r="ER166" s="91"/>
      <c r="ES166" s="91"/>
    </row>
    <row r="167" spans="1:149" outlineLevel="1">
      <c r="A167" s="29" t="str">
        <f t="shared" si="26"/>
        <v>PROPERTY_ENERGY_CERTIFICATEPROPERTY_BRANCH_CODE</v>
      </c>
      <c r="B167" s="67" t="s">
        <v>26</v>
      </c>
      <c r="C167" s="68" t="s">
        <v>54</v>
      </c>
      <c r="D167" s="64" t="s">
        <v>40</v>
      </c>
      <c r="E167" s="66" t="s">
        <v>123</v>
      </c>
      <c r="F167" s="66" t="s">
        <v>43</v>
      </c>
      <c r="G167" s="64" t="str">
        <f>INDEX(Auxiliar!$B$16:$B$24,MATCH(Plano_V3!H167,Auxiliar!$C$16:$C$24,0),1)</f>
        <v>1. Concluído</v>
      </c>
      <c r="H167" s="64">
        <f>VLOOKUP(A167,'Aux - pivots1'!$A:$B,2,0)</f>
        <v>1</v>
      </c>
      <c r="I167" s="180">
        <f>SUMIFS(Table1[Estimação (horas)],Table1[Tabela],Plano_V3!E167,Table1[Campo],Plano_V3!F167)</f>
        <v>4.0999999999999996</v>
      </c>
      <c r="J167" s="180">
        <f t="shared" si="27"/>
        <v>0.51249999999999996</v>
      </c>
      <c r="K167" s="180">
        <f>SUMIFS(Table1[Horas efetivas],Table1[Tabela],Plano_V3!E167,Table1[Campo],Plano_V3!F167)</f>
        <v>4.0999999999999996</v>
      </c>
      <c r="L167" s="180">
        <f t="shared" si="28"/>
        <v>0.51249999999999996</v>
      </c>
      <c r="M167" s="174"/>
      <c r="N167" s="174">
        <f t="shared" si="29"/>
        <v>1</v>
      </c>
      <c r="O167" s="174">
        <f t="shared" si="24"/>
        <v>1</v>
      </c>
      <c r="P167" s="87" t="s">
        <v>124</v>
      </c>
      <c r="Q167" s="90">
        <f t="shared" si="25"/>
        <v>0.51249999999999996</v>
      </c>
      <c r="R167" s="78"/>
      <c r="S167" s="78"/>
      <c r="T167" s="78"/>
      <c r="U167" s="78"/>
      <c r="V167" s="78"/>
      <c r="W167" s="78"/>
      <c r="X167" s="78"/>
      <c r="Y167" s="78"/>
      <c r="Z167" s="78"/>
      <c r="AA167" s="78"/>
      <c r="AB167" s="78"/>
      <c r="AC167" s="78"/>
      <c r="AD167" s="78"/>
      <c r="AE167" s="78"/>
      <c r="AF167" s="78"/>
      <c r="AG167" s="78"/>
      <c r="AH167" s="78"/>
      <c r="AI167" s="78"/>
      <c r="AJ167" s="78"/>
      <c r="AK167" s="78"/>
      <c r="AL167" s="78"/>
      <c r="AM167" s="78"/>
      <c r="AN167" s="78"/>
      <c r="AO167" s="78"/>
      <c r="AP167" s="78"/>
      <c r="AQ167" s="78"/>
      <c r="AR167" s="78"/>
      <c r="AS167" s="78"/>
      <c r="AT167" s="78"/>
      <c r="AU167" s="78"/>
      <c r="AV167" s="78"/>
      <c r="AW167" s="78"/>
      <c r="AX167" s="78"/>
      <c r="AY167" s="91"/>
      <c r="AZ167" s="78"/>
      <c r="BA167" s="78"/>
      <c r="BB167" s="78"/>
      <c r="BC167" s="78"/>
      <c r="BD167" s="78"/>
      <c r="BE167" s="78"/>
      <c r="BF167" s="78"/>
      <c r="BG167" s="78"/>
      <c r="BH167" s="78"/>
      <c r="BI167" s="78"/>
      <c r="BJ167" s="78"/>
      <c r="BK167" s="78"/>
      <c r="BL167" s="78"/>
      <c r="BM167" s="78"/>
      <c r="BN167" s="78"/>
      <c r="BO167" s="78"/>
      <c r="BP167" s="78"/>
      <c r="BQ167" s="78"/>
      <c r="BR167" s="78"/>
      <c r="BS167" s="78"/>
      <c r="BT167" s="78"/>
      <c r="BU167" s="78"/>
      <c r="BV167" s="78"/>
      <c r="BW167" s="78"/>
      <c r="BX167" s="78"/>
      <c r="BY167" s="78"/>
      <c r="BZ167" s="78"/>
      <c r="CA167" s="78"/>
      <c r="CB167" s="78"/>
      <c r="CC167" s="78"/>
      <c r="CD167" s="78"/>
      <c r="CE167" s="78"/>
      <c r="CF167" s="78"/>
      <c r="CG167" s="78"/>
      <c r="CH167" s="78"/>
      <c r="CI167" s="78"/>
      <c r="CJ167" s="78"/>
      <c r="CK167" s="78"/>
      <c r="CL167" s="78"/>
      <c r="CM167" s="78"/>
      <c r="CN167" s="78"/>
      <c r="CO167" s="78"/>
      <c r="CP167" s="78"/>
      <c r="CQ167" s="78"/>
      <c r="CR167" s="78"/>
      <c r="CS167" s="78"/>
      <c r="CT167" s="78"/>
      <c r="CU167" s="78"/>
      <c r="CV167" s="78"/>
      <c r="CW167" s="78"/>
      <c r="CX167" s="78"/>
      <c r="CY167" s="78"/>
      <c r="CZ167" s="78"/>
      <c r="DA167" s="78"/>
      <c r="DB167" s="78"/>
      <c r="DC167" s="78"/>
      <c r="DD167" s="78"/>
      <c r="DE167" s="78"/>
      <c r="DF167" s="78"/>
      <c r="DG167" s="78"/>
      <c r="DH167" s="78"/>
      <c r="DI167" s="78"/>
      <c r="DJ167" s="78"/>
      <c r="DK167" s="78"/>
      <c r="DL167" s="78"/>
      <c r="DM167" s="78"/>
      <c r="DN167" s="78"/>
      <c r="DO167" s="78"/>
      <c r="DP167" s="78"/>
      <c r="DQ167" s="78"/>
      <c r="DR167" s="78"/>
      <c r="DS167" s="78"/>
      <c r="DT167" s="78"/>
      <c r="DU167" s="78"/>
      <c r="DV167" s="78"/>
      <c r="DW167" s="78"/>
      <c r="DX167" s="78"/>
      <c r="DY167" s="78"/>
      <c r="DZ167" s="78"/>
      <c r="EA167" s="78"/>
      <c r="EB167" s="78"/>
      <c r="EC167" s="78"/>
      <c r="ED167" s="78"/>
      <c r="EE167" s="78"/>
      <c r="EF167" s="78"/>
      <c r="EG167" s="78"/>
      <c r="EH167" s="78"/>
      <c r="EI167" s="78"/>
      <c r="EJ167" s="78"/>
      <c r="EK167" s="78"/>
      <c r="EL167" s="78"/>
      <c r="EM167" s="78"/>
      <c r="EN167" s="91"/>
      <c r="EO167" s="91"/>
      <c r="EP167" s="91"/>
      <c r="EQ167" s="91"/>
      <c r="ER167" s="91"/>
      <c r="ES167" s="91"/>
    </row>
    <row r="168" spans="1:149" outlineLevel="1">
      <c r="A168" s="29" t="str">
        <f t="shared" si="26"/>
        <v>PROPERTY_ENERGY_CERTIFICATEPROPERTY_CONTRACT_ID</v>
      </c>
      <c r="B168" s="67" t="s">
        <v>26</v>
      </c>
      <c r="C168" s="68" t="s">
        <v>54</v>
      </c>
      <c r="D168" s="64" t="s">
        <v>40</v>
      </c>
      <c r="E168" s="66" t="s">
        <v>123</v>
      </c>
      <c r="F168" s="66" t="s">
        <v>44</v>
      </c>
      <c r="G168" s="64" t="str">
        <f>INDEX(Auxiliar!$B$16:$B$24,MATCH(Plano_V3!H168,Auxiliar!$C$16:$C$24,0),1)</f>
        <v>1. Concluído</v>
      </c>
      <c r="H168" s="64">
        <f>VLOOKUP(A168,'Aux - pivots1'!$A:$B,2,0)</f>
        <v>1</v>
      </c>
      <c r="I168" s="180">
        <f>SUMIFS(Table1[Estimação (horas)],Table1[Tabela],Plano_V3!E168,Table1[Campo],Plano_V3!F168)</f>
        <v>4.0999999999999996</v>
      </c>
      <c r="J168" s="180">
        <f t="shared" si="27"/>
        <v>0.51249999999999996</v>
      </c>
      <c r="K168" s="180">
        <f>SUMIFS(Table1[Horas efetivas],Table1[Tabela],Plano_V3!E168,Table1[Campo],Plano_V3!F168)</f>
        <v>4.0999999999999996</v>
      </c>
      <c r="L168" s="180">
        <f t="shared" si="28"/>
        <v>0.51249999999999996</v>
      </c>
      <c r="M168" s="174"/>
      <c r="N168" s="174">
        <f t="shared" si="29"/>
        <v>1</v>
      </c>
      <c r="O168" s="174">
        <f t="shared" si="24"/>
        <v>1</v>
      </c>
      <c r="P168" s="87" t="s">
        <v>124</v>
      </c>
      <c r="Q168" s="90">
        <f t="shared" si="25"/>
        <v>0.51249999999999996</v>
      </c>
      <c r="R168" s="78"/>
      <c r="S168" s="78"/>
      <c r="T168" s="78"/>
      <c r="U168" s="78"/>
      <c r="V168" s="78"/>
      <c r="W168" s="78"/>
      <c r="X168" s="78"/>
      <c r="Y168" s="78"/>
      <c r="Z168" s="78"/>
      <c r="AA168" s="78"/>
      <c r="AB168" s="78"/>
      <c r="AC168" s="78"/>
      <c r="AD168" s="78"/>
      <c r="AE168" s="78"/>
      <c r="AF168" s="78"/>
      <c r="AG168" s="78"/>
      <c r="AH168" s="78"/>
      <c r="AI168" s="78"/>
      <c r="AJ168" s="78"/>
      <c r="AK168" s="78"/>
      <c r="AL168" s="78"/>
      <c r="AM168" s="78"/>
      <c r="AN168" s="78"/>
      <c r="AO168" s="78"/>
      <c r="AP168" s="78"/>
      <c r="AQ168" s="78"/>
      <c r="AR168" s="78"/>
      <c r="AS168" s="78"/>
      <c r="AT168" s="78"/>
      <c r="AU168" s="78"/>
      <c r="AV168" s="78"/>
      <c r="AW168" s="78"/>
      <c r="AX168" s="78"/>
      <c r="AY168" s="91"/>
      <c r="AZ168" s="78"/>
      <c r="BA168" s="78"/>
      <c r="BB168" s="78"/>
      <c r="BC168" s="78"/>
      <c r="BD168" s="78"/>
      <c r="BE168" s="78"/>
      <c r="BF168" s="78"/>
      <c r="BG168" s="78"/>
      <c r="BH168" s="78"/>
      <c r="BI168" s="78"/>
      <c r="BJ168" s="78"/>
      <c r="BK168" s="78"/>
      <c r="BL168" s="78"/>
      <c r="BM168" s="78"/>
      <c r="BN168" s="78"/>
      <c r="BO168" s="78"/>
      <c r="BP168" s="78"/>
      <c r="BQ168" s="78"/>
      <c r="BR168" s="78"/>
      <c r="BS168" s="78"/>
      <c r="BT168" s="78"/>
      <c r="BU168" s="78"/>
      <c r="BV168" s="78"/>
      <c r="BW168" s="78"/>
      <c r="BX168" s="78"/>
      <c r="BY168" s="78"/>
      <c r="BZ168" s="78"/>
      <c r="CA168" s="78"/>
      <c r="CB168" s="78"/>
      <c r="CC168" s="78"/>
      <c r="CD168" s="78"/>
      <c r="CE168" s="78"/>
      <c r="CF168" s="78"/>
      <c r="CG168" s="78"/>
      <c r="CH168" s="78"/>
      <c r="CI168" s="78"/>
      <c r="CJ168" s="78"/>
      <c r="CK168" s="78"/>
      <c r="CL168" s="78"/>
      <c r="CM168" s="78"/>
      <c r="CN168" s="78"/>
      <c r="CO168" s="78"/>
      <c r="CP168" s="78"/>
      <c r="CQ168" s="78"/>
      <c r="CR168" s="78"/>
      <c r="CS168" s="78"/>
      <c r="CT168" s="78"/>
      <c r="CU168" s="78"/>
      <c r="CV168" s="78"/>
      <c r="CW168" s="78"/>
      <c r="CX168" s="78"/>
      <c r="CY168" s="78"/>
      <c r="CZ168" s="78"/>
      <c r="DA168" s="78"/>
      <c r="DB168" s="78"/>
      <c r="DC168" s="78"/>
      <c r="DD168" s="78"/>
      <c r="DE168" s="78"/>
      <c r="DF168" s="78"/>
      <c r="DG168" s="78"/>
      <c r="DH168" s="78"/>
      <c r="DI168" s="78"/>
      <c r="DJ168" s="78"/>
      <c r="DK168" s="78"/>
      <c r="DL168" s="78"/>
      <c r="DM168" s="78"/>
      <c r="DN168" s="78"/>
      <c r="DO168" s="78"/>
      <c r="DP168" s="78"/>
      <c r="DQ168" s="78"/>
      <c r="DR168" s="78"/>
      <c r="DS168" s="78"/>
      <c r="DT168" s="78"/>
      <c r="DU168" s="78"/>
      <c r="DV168" s="78"/>
      <c r="DW168" s="78"/>
      <c r="DX168" s="78"/>
      <c r="DY168" s="78"/>
      <c r="DZ168" s="78"/>
      <c r="EA168" s="78"/>
      <c r="EB168" s="78"/>
      <c r="EC168" s="78"/>
      <c r="ED168" s="78"/>
      <c r="EE168" s="78"/>
      <c r="EF168" s="78"/>
      <c r="EG168" s="78"/>
      <c r="EH168" s="78"/>
      <c r="EI168" s="78"/>
      <c r="EJ168" s="78"/>
      <c r="EK168" s="78"/>
      <c r="EL168" s="78"/>
      <c r="EM168" s="78"/>
      <c r="EN168" s="91"/>
      <c r="EO168" s="91"/>
      <c r="EP168" s="91"/>
      <c r="EQ168" s="91"/>
      <c r="ER168" s="91"/>
      <c r="ES168" s="91"/>
    </row>
    <row r="169" spans="1:149" outlineLevel="1">
      <c r="A169" s="29" t="str">
        <f t="shared" si="26"/>
        <v>PROPERTY_ENERGY_CERTIFICATEPROPERTY_REFERENCE_CODE</v>
      </c>
      <c r="B169" s="67" t="s">
        <v>26</v>
      </c>
      <c r="C169" s="68" t="s">
        <v>54</v>
      </c>
      <c r="D169" s="64" t="s">
        <v>40</v>
      </c>
      <c r="E169" s="66" t="s">
        <v>123</v>
      </c>
      <c r="F169" s="66" t="s">
        <v>45</v>
      </c>
      <c r="G169" s="64" t="str">
        <f>INDEX(Auxiliar!$B$16:$B$24,MATCH(Plano_V3!H169,Auxiliar!$C$16:$C$24,0),1)</f>
        <v>1. Concluído</v>
      </c>
      <c r="H169" s="64">
        <f>VLOOKUP(A169,'Aux - pivots1'!$A:$B,2,0)</f>
        <v>1</v>
      </c>
      <c r="I169" s="180">
        <f>SUMIFS(Table1[Estimação (horas)],Table1[Tabela],Plano_V3!E169,Table1[Campo],Plano_V3!F169)</f>
        <v>4.0999999999999996</v>
      </c>
      <c r="J169" s="180">
        <f t="shared" si="27"/>
        <v>0.51249999999999996</v>
      </c>
      <c r="K169" s="180">
        <f>SUMIFS(Table1[Horas efetivas],Table1[Tabela],Plano_V3!E169,Table1[Campo],Plano_V3!F169)</f>
        <v>4.0999999999999996</v>
      </c>
      <c r="L169" s="180">
        <f t="shared" si="28"/>
        <v>0.51249999999999996</v>
      </c>
      <c r="M169" s="174"/>
      <c r="N169" s="174">
        <f t="shared" si="29"/>
        <v>1</v>
      </c>
      <c r="O169" s="174">
        <f t="shared" si="24"/>
        <v>1</v>
      </c>
      <c r="P169" s="87" t="s">
        <v>124</v>
      </c>
      <c r="Q169" s="90">
        <f t="shared" si="25"/>
        <v>0.51249999999999996</v>
      </c>
      <c r="R169" s="78"/>
      <c r="S169" s="78"/>
      <c r="T169" s="78"/>
      <c r="U169" s="78"/>
      <c r="V169" s="78"/>
      <c r="W169" s="78"/>
      <c r="X169" s="78"/>
      <c r="Y169" s="78"/>
      <c r="Z169" s="78"/>
      <c r="AA169" s="78"/>
      <c r="AB169" s="78"/>
      <c r="AC169" s="78"/>
      <c r="AD169" s="78"/>
      <c r="AE169" s="78"/>
      <c r="AF169" s="78"/>
      <c r="AG169" s="78"/>
      <c r="AH169" s="78"/>
      <c r="AI169" s="78"/>
      <c r="AJ169" s="78"/>
      <c r="AK169" s="78"/>
      <c r="AL169" s="78"/>
      <c r="AM169" s="78"/>
      <c r="AN169" s="78"/>
      <c r="AO169" s="78"/>
      <c r="AP169" s="78"/>
      <c r="AQ169" s="78"/>
      <c r="AR169" s="78"/>
      <c r="AS169" s="78"/>
      <c r="AT169" s="78"/>
      <c r="AU169" s="78"/>
      <c r="AV169" s="78"/>
      <c r="AW169" s="78"/>
      <c r="AX169" s="78"/>
      <c r="AY169" s="91"/>
      <c r="AZ169" s="78"/>
      <c r="BA169" s="78"/>
      <c r="BB169" s="78"/>
      <c r="BC169" s="78"/>
      <c r="BD169" s="78"/>
      <c r="BE169" s="78"/>
      <c r="BF169" s="78"/>
      <c r="BG169" s="78"/>
      <c r="BH169" s="78"/>
      <c r="BI169" s="78"/>
      <c r="BJ169" s="78"/>
      <c r="BK169" s="78"/>
      <c r="BL169" s="78"/>
      <c r="BM169" s="78"/>
      <c r="BN169" s="78"/>
      <c r="BO169" s="78"/>
      <c r="BP169" s="78"/>
      <c r="BQ169" s="78"/>
      <c r="BR169" s="78"/>
      <c r="BS169" s="78"/>
      <c r="BT169" s="78"/>
      <c r="BU169" s="78"/>
      <c r="BV169" s="78"/>
      <c r="BW169" s="78"/>
      <c r="BX169" s="78"/>
      <c r="BY169" s="78"/>
      <c r="BZ169" s="78"/>
      <c r="CA169" s="78"/>
      <c r="CB169" s="78"/>
      <c r="CC169" s="78"/>
      <c r="CD169" s="78"/>
      <c r="CE169" s="78"/>
      <c r="CF169" s="78"/>
      <c r="CG169" s="78"/>
      <c r="CH169" s="78"/>
      <c r="CI169" s="78"/>
      <c r="CJ169" s="78"/>
      <c r="CK169" s="78"/>
      <c r="CL169" s="78"/>
      <c r="CM169" s="78"/>
      <c r="CN169" s="78"/>
      <c r="CO169" s="78"/>
      <c r="CP169" s="78"/>
      <c r="CQ169" s="78"/>
      <c r="CR169" s="78"/>
      <c r="CS169" s="78"/>
      <c r="CT169" s="78"/>
      <c r="CU169" s="78"/>
      <c r="CV169" s="78"/>
      <c r="CW169" s="78"/>
      <c r="CX169" s="78"/>
      <c r="CY169" s="78"/>
      <c r="CZ169" s="78"/>
      <c r="DA169" s="78"/>
      <c r="DB169" s="78"/>
      <c r="DC169" s="78"/>
      <c r="DD169" s="78"/>
      <c r="DE169" s="78"/>
      <c r="DF169" s="78"/>
      <c r="DG169" s="78"/>
      <c r="DH169" s="78"/>
      <c r="DI169" s="78"/>
      <c r="DJ169" s="78"/>
      <c r="DK169" s="78"/>
      <c r="DL169" s="78"/>
      <c r="DM169" s="78"/>
      <c r="DN169" s="78"/>
      <c r="DO169" s="78"/>
      <c r="DP169" s="78"/>
      <c r="DQ169" s="78"/>
      <c r="DR169" s="78"/>
      <c r="DS169" s="78"/>
      <c r="DT169" s="78"/>
      <c r="DU169" s="78"/>
      <c r="DV169" s="78"/>
      <c r="DW169" s="78"/>
      <c r="DX169" s="78"/>
      <c r="DY169" s="78"/>
      <c r="DZ169" s="78"/>
      <c r="EA169" s="78"/>
      <c r="EB169" s="78"/>
      <c r="EC169" s="78"/>
      <c r="ED169" s="78"/>
      <c r="EE169" s="78"/>
      <c r="EF169" s="78"/>
      <c r="EG169" s="78"/>
      <c r="EH169" s="78"/>
      <c r="EI169" s="78"/>
      <c r="EJ169" s="78"/>
      <c r="EK169" s="78"/>
      <c r="EL169" s="78"/>
      <c r="EM169" s="78"/>
      <c r="EN169" s="91"/>
      <c r="EO169" s="91"/>
      <c r="EP169" s="91"/>
      <c r="EQ169" s="91"/>
      <c r="ER169" s="91"/>
      <c r="ES169" s="91"/>
    </row>
    <row r="170" spans="1:149" outlineLevel="1">
      <c r="A170" s="29" t="str">
        <f t="shared" si="26"/>
        <v>PROPERTY_ENERGY_CERTIFICATELAND_REGISTRY_OFFICE_CODE</v>
      </c>
      <c r="B170" s="67" t="s">
        <v>26</v>
      </c>
      <c r="C170" s="68" t="s">
        <v>54</v>
      </c>
      <c r="D170" s="64" t="s">
        <v>40</v>
      </c>
      <c r="E170" s="66" t="s">
        <v>123</v>
      </c>
      <c r="F170" s="66" t="s">
        <v>125</v>
      </c>
      <c r="G170" s="64" t="str">
        <f>INDEX(Auxiliar!$B$16:$B$24,MATCH(Plano_V3!H170,Auxiliar!$C$16:$C$24,0),1)</f>
        <v>1. Concluído</v>
      </c>
      <c r="H170" s="64">
        <f>VLOOKUP(A170,'Aux - pivots1'!$A:$B,2,0)</f>
        <v>1</v>
      </c>
      <c r="I170" s="180">
        <f>SUMIFS(Table1[Estimação (horas)],Table1[Tabela],Plano_V3!E170,Table1[Campo],Plano_V3!F170)</f>
        <v>4.0999999999999996</v>
      </c>
      <c r="J170" s="180">
        <f t="shared" si="27"/>
        <v>0.51249999999999996</v>
      </c>
      <c r="K170" s="180">
        <f>SUMIFS(Table1[Horas efetivas],Table1[Tabela],Plano_V3!E170,Table1[Campo],Plano_V3!F170)</f>
        <v>4.0999999999999996</v>
      </c>
      <c r="L170" s="180">
        <f t="shared" si="28"/>
        <v>0.51249999999999996</v>
      </c>
      <c r="M170" s="174"/>
      <c r="N170" s="174">
        <f t="shared" si="29"/>
        <v>1</v>
      </c>
      <c r="O170" s="174">
        <f t="shared" si="24"/>
        <v>1</v>
      </c>
      <c r="P170" s="87" t="s">
        <v>124</v>
      </c>
      <c r="Q170" s="90">
        <f t="shared" si="25"/>
        <v>0.51249999999999996</v>
      </c>
      <c r="R170" s="78"/>
      <c r="S170" s="78"/>
      <c r="T170" s="78"/>
      <c r="U170" s="78"/>
      <c r="V170" s="78"/>
      <c r="W170" s="78"/>
      <c r="X170" s="78"/>
      <c r="Y170" s="78"/>
      <c r="Z170" s="78"/>
      <c r="AA170" s="78"/>
      <c r="AB170" s="78"/>
      <c r="AC170" s="78"/>
      <c r="AD170" s="78"/>
      <c r="AE170" s="78"/>
      <c r="AF170" s="78"/>
      <c r="AG170" s="78"/>
      <c r="AH170" s="78"/>
      <c r="AI170" s="78"/>
      <c r="AJ170" s="78"/>
      <c r="AK170" s="78"/>
      <c r="AL170" s="78"/>
      <c r="AM170" s="78"/>
      <c r="AN170" s="78"/>
      <c r="AO170" s="78"/>
      <c r="AP170" s="78"/>
      <c r="AQ170" s="78"/>
      <c r="AR170" s="78"/>
      <c r="AS170" s="78"/>
      <c r="AT170" s="78"/>
      <c r="AU170" s="78"/>
      <c r="AV170" s="78"/>
      <c r="AW170" s="78"/>
      <c r="AX170" s="78"/>
      <c r="AY170" s="91"/>
      <c r="AZ170" s="78"/>
      <c r="BA170" s="78"/>
      <c r="BB170" s="78"/>
      <c r="BC170" s="78"/>
      <c r="BD170" s="78"/>
      <c r="BE170" s="78"/>
      <c r="BF170" s="78"/>
      <c r="BG170" s="78"/>
      <c r="BH170" s="78"/>
      <c r="BI170" s="78"/>
      <c r="BJ170" s="78"/>
      <c r="BK170" s="78"/>
      <c r="BL170" s="78"/>
      <c r="BM170" s="78"/>
      <c r="BN170" s="78"/>
      <c r="BO170" s="78"/>
      <c r="BP170" s="78"/>
      <c r="BQ170" s="78"/>
      <c r="BR170" s="78"/>
      <c r="BS170" s="78"/>
      <c r="BT170" s="78"/>
      <c r="BU170" s="78"/>
      <c r="BV170" s="78"/>
      <c r="BW170" s="78"/>
      <c r="BX170" s="78"/>
      <c r="BY170" s="78"/>
      <c r="BZ170" s="78"/>
      <c r="CA170" s="78"/>
      <c r="CB170" s="78"/>
      <c r="CC170" s="78"/>
      <c r="CD170" s="78"/>
      <c r="CE170" s="78"/>
      <c r="CF170" s="78"/>
      <c r="CG170" s="78"/>
      <c r="CH170" s="78"/>
      <c r="CI170" s="78"/>
      <c r="CJ170" s="78"/>
      <c r="CK170" s="78"/>
      <c r="CL170" s="78"/>
      <c r="CM170" s="78"/>
      <c r="CN170" s="78"/>
      <c r="CO170" s="78"/>
      <c r="CP170" s="78"/>
      <c r="CQ170" s="78"/>
      <c r="CR170" s="78"/>
      <c r="CS170" s="78"/>
      <c r="CT170" s="78"/>
      <c r="CU170" s="78"/>
      <c r="CV170" s="78"/>
      <c r="CW170" s="78"/>
      <c r="CX170" s="78"/>
      <c r="CY170" s="78"/>
      <c r="CZ170" s="78"/>
      <c r="DA170" s="78"/>
      <c r="DB170" s="78"/>
      <c r="DC170" s="78"/>
      <c r="DD170" s="78"/>
      <c r="DE170" s="78"/>
      <c r="DF170" s="78"/>
      <c r="DG170" s="78"/>
      <c r="DH170" s="78"/>
      <c r="DI170" s="78"/>
      <c r="DJ170" s="78"/>
      <c r="DK170" s="78"/>
      <c r="DL170" s="78"/>
      <c r="DM170" s="78"/>
      <c r="DN170" s="78"/>
      <c r="DO170" s="78"/>
      <c r="DP170" s="78"/>
      <c r="DQ170" s="78"/>
      <c r="DR170" s="78"/>
      <c r="DS170" s="78"/>
      <c r="DT170" s="78"/>
      <c r="DU170" s="78"/>
      <c r="DV170" s="78"/>
      <c r="DW170" s="78"/>
      <c r="DX170" s="78"/>
      <c r="DY170" s="78"/>
      <c r="DZ170" s="78"/>
      <c r="EA170" s="78"/>
      <c r="EB170" s="78"/>
      <c r="EC170" s="78"/>
      <c r="ED170" s="78"/>
      <c r="EE170" s="78"/>
      <c r="EF170" s="78"/>
      <c r="EG170" s="78"/>
      <c r="EH170" s="78"/>
      <c r="EI170" s="78"/>
      <c r="EJ170" s="78"/>
      <c r="EK170" s="78"/>
      <c r="EL170" s="78"/>
      <c r="EM170" s="78"/>
      <c r="EN170" s="91"/>
      <c r="EO170" s="91"/>
      <c r="EP170" s="91"/>
      <c r="EQ170" s="91"/>
      <c r="ER170" s="91"/>
      <c r="ES170" s="91"/>
    </row>
    <row r="171" spans="1:149" outlineLevel="1">
      <c r="A171" s="29" t="str">
        <f t="shared" si="26"/>
        <v>PROPERTY_ENERGY_CERTIFICATEPROPERTY_IDENTIFICATION_CODE</v>
      </c>
      <c r="B171" s="67" t="s">
        <v>26</v>
      </c>
      <c r="C171" s="68" t="s">
        <v>54</v>
      </c>
      <c r="D171" s="64" t="s">
        <v>40</v>
      </c>
      <c r="E171" s="66" t="s">
        <v>123</v>
      </c>
      <c r="F171" s="66" t="s">
        <v>126</v>
      </c>
      <c r="G171" s="64" t="str">
        <f>INDEX(Auxiliar!$B$16:$B$24,MATCH(Plano_V3!H171,Auxiliar!$C$16:$C$24,0),1)</f>
        <v>1. Concluído</v>
      </c>
      <c r="H171" s="64">
        <f>VLOOKUP(A171,'Aux - pivots1'!$A:$B,2,0)</f>
        <v>1</v>
      </c>
      <c r="I171" s="180">
        <f>SUMIFS(Table1[Estimação (horas)],Table1[Tabela],Plano_V3!E171,Table1[Campo],Plano_V3!F171)</f>
        <v>4.0999999999999996</v>
      </c>
      <c r="J171" s="180">
        <f t="shared" si="27"/>
        <v>0.51249999999999996</v>
      </c>
      <c r="K171" s="180">
        <f>SUMIFS(Table1[Horas efetivas],Table1[Tabela],Plano_V3!E171,Table1[Campo],Plano_V3!F171)</f>
        <v>4.0999999999999996</v>
      </c>
      <c r="L171" s="180">
        <f t="shared" si="28"/>
        <v>0.51249999999999996</v>
      </c>
      <c r="M171" s="174"/>
      <c r="N171" s="174">
        <f t="shared" si="29"/>
        <v>1</v>
      </c>
      <c r="O171" s="174">
        <f t="shared" si="24"/>
        <v>1</v>
      </c>
      <c r="P171" s="87" t="s">
        <v>124</v>
      </c>
      <c r="Q171" s="90">
        <f t="shared" si="25"/>
        <v>0.51249999999999996</v>
      </c>
      <c r="R171" s="78"/>
      <c r="S171" s="78"/>
      <c r="T171" s="78"/>
      <c r="U171" s="78"/>
      <c r="V171" s="78"/>
      <c r="W171" s="78"/>
      <c r="X171" s="78"/>
      <c r="Y171" s="78"/>
      <c r="Z171" s="78"/>
      <c r="AA171" s="78"/>
      <c r="AB171" s="78"/>
      <c r="AC171" s="78"/>
      <c r="AD171" s="78"/>
      <c r="AE171" s="78"/>
      <c r="AF171" s="78"/>
      <c r="AG171" s="78"/>
      <c r="AH171" s="78"/>
      <c r="AI171" s="78"/>
      <c r="AJ171" s="78"/>
      <c r="AK171" s="78"/>
      <c r="AL171" s="78"/>
      <c r="AM171" s="78"/>
      <c r="AN171" s="78"/>
      <c r="AO171" s="78"/>
      <c r="AP171" s="78"/>
      <c r="AQ171" s="78"/>
      <c r="AR171" s="78"/>
      <c r="AS171" s="78"/>
      <c r="AT171" s="78"/>
      <c r="AU171" s="78"/>
      <c r="AV171" s="78"/>
      <c r="AW171" s="78"/>
      <c r="AX171" s="78"/>
      <c r="AY171" s="91"/>
      <c r="AZ171" s="78"/>
      <c r="BA171" s="78"/>
      <c r="BB171" s="78"/>
      <c r="BC171" s="78"/>
      <c r="BD171" s="78"/>
      <c r="BE171" s="78"/>
      <c r="BF171" s="78"/>
      <c r="BG171" s="78"/>
      <c r="BH171" s="78"/>
      <c r="BI171" s="78"/>
      <c r="BJ171" s="78"/>
      <c r="BK171" s="78"/>
      <c r="BL171" s="78"/>
      <c r="BM171" s="78"/>
      <c r="BN171" s="78"/>
      <c r="BO171" s="78"/>
      <c r="BP171" s="78"/>
      <c r="BQ171" s="78"/>
      <c r="BR171" s="78"/>
      <c r="BS171" s="78"/>
      <c r="BT171" s="78"/>
      <c r="BU171" s="78"/>
      <c r="BV171" s="78"/>
      <c r="BW171" s="78"/>
      <c r="BX171" s="78"/>
      <c r="BY171" s="78"/>
      <c r="BZ171" s="78"/>
      <c r="CA171" s="78"/>
      <c r="CB171" s="78"/>
      <c r="CC171" s="78"/>
      <c r="CD171" s="78"/>
      <c r="CE171" s="78"/>
      <c r="CF171" s="78"/>
      <c r="CG171" s="78"/>
      <c r="CH171" s="78"/>
      <c r="CI171" s="78"/>
      <c r="CJ171" s="78"/>
      <c r="CK171" s="78"/>
      <c r="CL171" s="78"/>
      <c r="CM171" s="78"/>
      <c r="CN171" s="78"/>
      <c r="CO171" s="78"/>
      <c r="CP171" s="78"/>
      <c r="CQ171" s="78"/>
      <c r="CR171" s="78"/>
      <c r="CS171" s="78"/>
      <c r="CT171" s="78"/>
      <c r="CU171" s="78"/>
      <c r="CV171" s="78"/>
      <c r="CW171" s="78"/>
      <c r="CX171" s="78"/>
      <c r="CY171" s="78"/>
      <c r="CZ171" s="78"/>
      <c r="DA171" s="78"/>
      <c r="DB171" s="78"/>
      <c r="DC171" s="78"/>
      <c r="DD171" s="78"/>
      <c r="DE171" s="78"/>
      <c r="DF171" s="78"/>
      <c r="DG171" s="78"/>
      <c r="DH171" s="78"/>
      <c r="DI171" s="78"/>
      <c r="DJ171" s="78"/>
      <c r="DK171" s="78"/>
      <c r="DL171" s="78"/>
      <c r="DM171" s="78"/>
      <c r="DN171" s="78"/>
      <c r="DO171" s="78"/>
      <c r="DP171" s="78"/>
      <c r="DQ171" s="78"/>
      <c r="DR171" s="78"/>
      <c r="DS171" s="78"/>
      <c r="DT171" s="78"/>
      <c r="DU171" s="78"/>
      <c r="DV171" s="78"/>
      <c r="DW171" s="78"/>
      <c r="DX171" s="78"/>
      <c r="DY171" s="78"/>
      <c r="DZ171" s="78"/>
      <c r="EA171" s="78"/>
      <c r="EB171" s="78"/>
      <c r="EC171" s="78"/>
      <c r="ED171" s="78"/>
      <c r="EE171" s="78"/>
      <c r="EF171" s="78"/>
      <c r="EG171" s="78"/>
      <c r="EH171" s="78"/>
      <c r="EI171" s="78"/>
      <c r="EJ171" s="78"/>
      <c r="EK171" s="78"/>
      <c r="EL171" s="78"/>
      <c r="EM171" s="78"/>
      <c r="EN171" s="91"/>
      <c r="EO171" s="91"/>
      <c r="EP171" s="91"/>
      <c r="EQ171" s="91"/>
      <c r="ER171" s="91"/>
      <c r="ES171" s="91"/>
    </row>
    <row r="172" spans="1:149" outlineLevel="1">
      <c r="A172" s="29" t="str">
        <f t="shared" si="26"/>
        <v>PROPERTY_ENERGY_CERTIFICATEENERGY_CERTIFICATION_SYSTEM_CODE</v>
      </c>
      <c r="B172" s="67" t="s">
        <v>26</v>
      </c>
      <c r="C172" s="68" t="s">
        <v>54</v>
      </c>
      <c r="D172" s="64" t="s">
        <v>40</v>
      </c>
      <c r="E172" s="66" t="s">
        <v>123</v>
      </c>
      <c r="F172" s="66" t="s">
        <v>127</v>
      </c>
      <c r="G172" s="64" t="str">
        <f>INDEX(Auxiliar!$B$16:$B$24,MATCH(Plano_V3!H172,Auxiliar!$C$16:$C$24,0),1)</f>
        <v>1. Concluído</v>
      </c>
      <c r="H172" s="64">
        <f>VLOOKUP(A172,'Aux - pivots1'!$A:$B,2,0)</f>
        <v>1</v>
      </c>
      <c r="I172" s="180">
        <f>SUMIFS(Table1[Estimação (horas)],Table1[Tabela],Plano_V3!E172,Table1[Campo],Plano_V3!F172)</f>
        <v>4.0999999999999996</v>
      </c>
      <c r="J172" s="180">
        <f t="shared" si="27"/>
        <v>0.51249999999999996</v>
      </c>
      <c r="K172" s="180">
        <f>SUMIFS(Table1[Horas efetivas],Table1[Tabela],Plano_V3!E172,Table1[Campo],Plano_V3!F172)</f>
        <v>4.0999999999999996</v>
      </c>
      <c r="L172" s="180">
        <f t="shared" si="28"/>
        <v>0.51249999999999996</v>
      </c>
      <c r="M172" s="174"/>
      <c r="N172" s="174">
        <f t="shared" si="29"/>
        <v>1</v>
      </c>
      <c r="O172" s="174">
        <f t="shared" si="24"/>
        <v>1</v>
      </c>
      <c r="P172" s="87" t="s">
        <v>124</v>
      </c>
      <c r="Q172" s="90">
        <f t="shared" si="25"/>
        <v>0.51249999999999996</v>
      </c>
      <c r="R172" s="78"/>
      <c r="S172" s="78"/>
      <c r="T172" s="78"/>
      <c r="U172" s="78"/>
      <c r="V172" s="78"/>
      <c r="W172" s="78"/>
      <c r="X172" s="78"/>
      <c r="Y172" s="78"/>
      <c r="Z172" s="78"/>
      <c r="AA172" s="78"/>
      <c r="AB172" s="78"/>
      <c r="AC172" s="78"/>
      <c r="AD172" s="78"/>
      <c r="AE172" s="78"/>
      <c r="AF172" s="78"/>
      <c r="AG172" s="78"/>
      <c r="AH172" s="78"/>
      <c r="AI172" s="78"/>
      <c r="AJ172" s="78"/>
      <c r="AK172" s="78"/>
      <c r="AL172" s="78"/>
      <c r="AM172" s="78"/>
      <c r="AN172" s="78"/>
      <c r="AO172" s="78"/>
      <c r="AP172" s="78"/>
      <c r="AQ172" s="78"/>
      <c r="AR172" s="78"/>
      <c r="AS172" s="78"/>
      <c r="AT172" s="78"/>
      <c r="AU172" s="78"/>
      <c r="AV172" s="78"/>
      <c r="AW172" s="78"/>
      <c r="AX172" s="78"/>
      <c r="AY172" s="91"/>
      <c r="AZ172" s="78"/>
      <c r="BA172" s="78"/>
      <c r="BB172" s="78"/>
      <c r="BC172" s="78"/>
      <c r="BD172" s="78"/>
      <c r="BE172" s="78"/>
      <c r="BF172" s="78"/>
      <c r="BG172" s="78"/>
      <c r="BH172" s="78"/>
      <c r="BI172" s="78"/>
      <c r="BJ172" s="78"/>
      <c r="BK172" s="78"/>
      <c r="BL172" s="78"/>
      <c r="BM172" s="78"/>
      <c r="BN172" s="78"/>
      <c r="BO172" s="78"/>
      <c r="BP172" s="78"/>
      <c r="BQ172" s="78"/>
      <c r="BR172" s="78"/>
      <c r="BS172" s="78"/>
      <c r="BT172" s="78"/>
      <c r="BU172" s="78"/>
      <c r="BV172" s="78"/>
      <c r="BW172" s="78"/>
      <c r="BX172" s="78"/>
      <c r="BY172" s="78"/>
      <c r="BZ172" s="78"/>
      <c r="CA172" s="78"/>
      <c r="CB172" s="78"/>
      <c r="CC172" s="78"/>
      <c r="CD172" s="78"/>
      <c r="CE172" s="78"/>
      <c r="CF172" s="78"/>
      <c r="CG172" s="78"/>
      <c r="CH172" s="78"/>
      <c r="CI172" s="78"/>
      <c r="CJ172" s="78"/>
      <c r="CK172" s="78"/>
      <c r="CL172" s="78"/>
      <c r="CM172" s="78"/>
      <c r="CN172" s="78"/>
      <c r="CO172" s="78"/>
      <c r="CP172" s="78"/>
      <c r="CQ172" s="78"/>
      <c r="CR172" s="78"/>
      <c r="CS172" s="78"/>
      <c r="CT172" s="78"/>
      <c r="CU172" s="78"/>
      <c r="CV172" s="78"/>
      <c r="CW172" s="78"/>
      <c r="CX172" s="78"/>
      <c r="CY172" s="78"/>
      <c r="CZ172" s="78"/>
      <c r="DA172" s="78"/>
      <c r="DB172" s="78"/>
      <c r="DC172" s="78"/>
      <c r="DD172" s="78"/>
      <c r="DE172" s="78"/>
      <c r="DF172" s="78"/>
      <c r="DG172" s="78"/>
      <c r="DH172" s="78"/>
      <c r="DI172" s="78"/>
      <c r="DJ172" s="78"/>
      <c r="DK172" s="78"/>
      <c r="DL172" s="78"/>
      <c r="DM172" s="78"/>
      <c r="DN172" s="78"/>
      <c r="DO172" s="78"/>
      <c r="DP172" s="78"/>
      <c r="DQ172" s="78"/>
      <c r="DR172" s="78"/>
      <c r="DS172" s="78"/>
      <c r="DT172" s="78"/>
      <c r="DU172" s="78"/>
      <c r="DV172" s="78"/>
      <c r="DW172" s="78"/>
      <c r="DX172" s="78"/>
      <c r="DY172" s="78"/>
      <c r="DZ172" s="78"/>
      <c r="EA172" s="78"/>
      <c r="EB172" s="78"/>
      <c r="EC172" s="78"/>
      <c r="ED172" s="78"/>
      <c r="EE172" s="78"/>
      <c r="EF172" s="78"/>
      <c r="EG172" s="78"/>
      <c r="EH172" s="78"/>
      <c r="EI172" s="78"/>
      <c r="EJ172" s="78"/>
      <c r="EK172" s="78"/>
      <c r="EL172" s="78"/>
      <c r="EM172" s="78"/>
      <c r="EN172" s="91"/>
      <c r="EO172" s="91"/>
      <c r="EP172" s="91"/>
      <c r="EQ172" s="91"/>
      <c r="ER172" s="91"/>
      <c r="ES172" s="91"/>
    </row>
    <row r="173" spans="1:149" outlineLevel="1">
      <c r="A173" s="29" t="str">
        <f t="shared" si="26"/>
        <v>PROPERTY_ENERGY_CERTIFICATEEPC_ISSUING_DATE</v>
      </c>
      <c r="B173" s="67" t="s">
        <v>26</v>
      </c>
      <c r="C173" s="68" t="s">
        <v>54</v>
      </c>
      <c r="D173" s="64" t="s">
        <v>40</v>
      </c>
      <c r="E173" s="66" t="s">
        <v>123</v>
      </c>
      <c r="F173" s="66" t="s">
        <v>128</v>
      </c>
      <c r="G173" s="64" t="str">
        <f>INDEX(Auxiliar!$B$16:$B$24,MATCH(Plano_V3!H173,Auxiliar!$C$16:$C$24,0),1)</f>
        <v>1. Concluído</v>
      </c>
      <c r="H173" s="64">
        <f>VLOOKUP(A173,'Aux - pivots1'!$A:$B,2,0)</f>
        <v>1</v>
      </c>
      <c r="I173" s="180">
        <f>SUMIFS(Table1[Estimação (horas)],Table1[Tabela],Plano_V3!E173,Table1[Campo],Plano_V3!F173)</f>
        <v>4.0999999999999996</v>
      </c>
      <c r="J173" s="180">
        <f t="shared" si="27"/>
        <v>0.51249999999999996</v>
      </c>
      <c r="K173" s="180">
        <f>SUMIFS(Table1[Horas efetivas],Table1[Tabela],Plano_V3!E173,Table1[Campo],Plano_V3!F173)</f>
        <v>4.0999999999999996</v>
      </c>
      <c r="L173" s="180">
        <f t="shared" si="28"/>
        <v>0.51249999999999996</v>
      </c>
      <c r="M173" s="174"/>
      <c r="N173" s="174">
        <f t="shared" si="29"/>
        <v>1</v>
      </c>
      <c r="O173" s="174">
        <f t="shared" si="24"/>
        <v>1</v>
      </c>
      <c r="P173" s="87" t="s">
        <v>124</v>
      </c>
      <c r="Q173" s="90">
        <f t="shared" si="25"/>
        <v>0.51249999999999996</v>
      </c>
      <c r="R173" s="78"/>
      <c r="S173" s="78"/>
      <c r="T173" s="78"/>
      <c r="U173" s="78"/>
      <c r="V173" s="78"/>
      <c r="W173" s="78"/>
      <c r="X173" s="78"/>
      <c r="Y173" s="78"/>
      <c r="Z173" s="78"/>
      <c r="AA173" s="78"/>
      <c r="AB173" s="78"/>
      <c r="AC173" s="78"/>
      <c r="AD173" s="78"/>
      <c r="AE173" s="78"/>
      <c r="AF173" s="78"/>
      <c r="AG173" s="78"/>
      <c r="AH173" s="78"/>
      <c r="AI173" s="78"/>
      <c r="AJ173" s="78"/>
      <c r="AK173" s="78"/>
      <c r="AL173" s="78"/>
      <c r="AM173" s="78"/>
      <c r="AN173" s="78"/>
      <c r="AO173" s="78"/>
      <c r="AP173" s="78"/>
      <c r="AQ173" s="78"/>
      <c r="AR173" s="78"/>
      <c r="AS173" s="78"/>
      <c r="AT173" s="78"/>
      <c r="AU173" s="78"/>
      <c r="AV173" s="78"/>
      <c r="AW173" s="78"/>
      <c r="AX173" s="78"/>
      <c r="AY173" s="91"/>
      <c r="AZ173" s="78"/>
      <c r="BA173" s="78"/>
      <c r="BB173" s="78"/>
      <c r="BC173" s="78"/>
      <c r="BD173" s="78"/>
      <c r="BE173" s="78"/>
      <c r="BF173" s="78"/>
      <c r="BG173" s="78"/>
      <c r="BH173" s="78"/>
      <c r="BI173" s="78"/>
      <c r="BJ173" s="78"/>
      <c r="BK173" s="78"/>
      <c r="BL173" s="78"/>
      <c r="BM173" s="78"/>
      <c r="BN173" s="78"/>
      <c r="BO173" s="78"/>
      <c r="BP173" s="78"/>
      <c r="BQ173" s="78"/>
      <c r="BR173" s="78"/>
      <c r="BS173" s="78"/>
      <c r="BT173" s="78"/>
      <c r="BU173" s="78"/>
      <c r="BV173" s="78"/>
      <c r="BW173" s="78"/>
      <c r="BX173" s="78"/>
      <c r="BY173" s="78"/>
      <c r="BZ173" s="78"/>
      <c r="CA173" s="78"/>
      <c r="CB173" s="78"/>
      <c r="CC173" s="78"/>
      <c r="CD173" s="78"/>
      <c r="CE173" s="78"/>
      <c r="CF173" s="78"/>
      <c r="CG173" s="78"/>
      <c r="CH173" s="78"/>
      <c r="CI173" s="78"/>
      <c r="CJ173" s="78"/>
      <c r="CK173" s="78"/>
      <c r="CL173" s="78"/>
      <c r="CM173" s="78"/>
      <c r="CN173" s="78"/>
      <c r="CO173" s="78"/>
      <c r="CP173" s="78"/>
      <c r="CQ173" s="78"/>
      <c r="CR173" s="78"/>
      <c r="CS173" s="78"/>
      <c r="CT173" s="78"/>
      <c r="CU173" s="78"/>
      <c r="CV173" s="78"/>
      <c r="CW173" s="78"/>
      <c r="CX173" s="78"/>
      <c r="CY173" s="78"/>
      <c r="CZ173" s="78"/>
      <c r="DA173" s="78"/>
      <c r="DB173" s="78"/>
      <c r="DC173" s="78"/>
      <c r="DD173" s="78"/>
      <c r="DE173" s="78"/>
      <c r="DF173" s="78"/>
      <c r="DG173" s="78"/>
      <c r="DH173" s="78"/>
      <c r="DI173" s="78"/>
      <c r="DJ173" s="78"/>
      <c r="DK173" s="78"/>
      <c r="DL173" s="78"/>
      <c r="DM173" s="78"/>
      <c r="DN173" s="78"/>
      <c r="DO173" s="78"/>
      <c r="DP173" s="78"/>
      <c r="DQ173" s="78"/>
      <c r="DR173" s="78"/>
      <c r="DS173" s="78"/>
      <c r="DT173" s="78"/>
      <c r="DU173" s="78"/>
      <c r="DV173" s="78"/>
      <c r="DW173" s="78"/>
      <c r="DX173" s="78"/>
      <c r="DY173" s="78"/>
      <c r="DZ173" s="78"/>
      <c r="EA173" s="78"/>
      <c r="EB173" s="78"/>
      <c r="EC173" s="78"/>
      <c r="ED173" s="78"/>
      <c r="EE173" s="78"/>
      <c r="EF173" s="78"/>
      <c r="EG173" s="78"/>
      <c r="EH173" s="78"/>
      <c r="EI173" s="78"/>
      <c r="EJ173" s="78"/>
      <c r="EK173" s="78"/>
      <c r="EL173" s="78"/>
      <c r="EM173" s="78"/>
      <c r="EN173" s="91"/>
      <c r="EO173" s="91"/>
      <c r="EP173" s="91"/>
      <c r="EQ173" s="91"/>
      <c r="ER173" s="91"/>
      <c r="ES173" s="91"/>
    </row>
    <row r="174" spans="1:149" outlineLevel="1">
      <c r="A174" s="29" t="str">
        <f t="shared" si="26"/>
        <v>PROPERTY_ENERGY_CERTIFICATEEPC_EXPIRATION_DATE</v>
      </c>
      <c r="B174" s="67" t="s">
        <v>26</v>
      </c>
      <c r="C174" s="68" t="s">
        <v>54</v>
      </c>
      <c r="D174" s="64" t="s">
        <v>40</v>
      </c>
      <c r="E174" s="66" t="s">
        <v>123</v>
      </c>
      <c r="F174" s="66" t="s">
        <v>129</v>
      </c>
      <c r="G174" s="64" t="str">
        <f>INDEX(Auxiliar!$B$16:$B$24,MATCH(Plano_V3!H174,Auxiliar!$C$16:$C$24,0),1)</f>
        <v>1. Concluído</v>
      </c>
      <c r="H174" s="64">
        <f>VLOOKUP(A174,'Aux - pivots1'!$A:$B,2,0)</f>
        <v>1</v>
      </c>
      <c r="I174" s="180">
        <f>SUMIFS(Table1[Estimação (horas)],Table1[Tabela],Plano_V3!E174,Table1[Campo],Plano_V3!F174)</f>
        <v>4.0999999999999996</v>
      </c>
      <c r="J174" s="180">
        <f t="shared" si="27"/>
        <v>0.51249999999999996</v>
      </c>
      <c r="K174" s="180">
        <f>SUMIFS(Table1[Horas efetivas],Table1[Tabela],Plano_V3!E174,Table1[Campo],Plano_V3!F174)</f>
        <v>4.0999999999999996</v>
      </c>
      <c r="L174" s="180">
        <f t="shared" si="28"/>
        <v>0.51249999999999996</v>
      </c>
      <c r="M174" s="174"/>
      <c r="N174" s="174">
        <f t="shared" si="29"/>
        <v>1</v>
      </c>
      <c r="O174" s="174">
        <f t="shared" si="24"/>
        <v>1</v>
      </c>
      <c r="P174" s="87" t="s">
        <v>124</v>
      </c>
      <c r="Q174" s="90">
        <f t="shared" si="25"/>
        <v>0.51249999999999996</v>
      </c>
      <c r="R174" s="78"/>
      <c r="S174" s="78"/>
      <c r="T174" s="78"/>
      <c r="U174" s="78"/>
      <c r="V174" s="78"/>
      <c r="W174" s="78"/>
      <c r="X174" s="78"/>
      <c r="Y174" s="78"/>
      <c r="Z174" s="78"/>
      <c r="AA174" s="78"/>
      <c r="AB174" s="78"/>
      <c r="AC174" s="78"/>
      <c r="AD174" s="78"/>
      <c r="AE174" s="78"/>
      <c r="AF174" s="78"/>
      <c r="AG174" s="78"/>
      <c r="AH174" s="78"/>
      <c r="AI174" s="78"/>
      <c r="AJ174" s="78"/>
      <c r="AK174" s="78"/>
      <c r="AL174" s="78"/>
      <c r="AM174" s="78"/>
      <c r="AN174" s="78"/>
      <c r="AO174" s="78"/>
      <c r="AP174" s="78"/>
      <c r="AQ174" s="78"/>
      <c r="AR174" s="78"/>
      <c r="AS174" s="78"/>
      <c r="AT174" s="78"/>
      <c r="AU174" s="78"/>
      <c r="AV174" s="78"/>
      <c r="AW174" s="78"/>
      <c r="AX174" s="78"/>
      <c r="AY174" s="91"/>
      <c r="AZ174" s="78"/>
      <c r="BA174" s="78"/>
      <c r="BB174" s="78"/>
      <c r="BC174" s="78"/>
      <c r="BD174" s="78"/>
      <c r="BE174" s="78"/>
      <c r="BF174" s="78"/>
      <c r="BG174" s="78"/>
      <c r="BH174" s="78"/>
      <c r="BI174" s="78"/>
      <c r="BJ174" s="78"/>
      <c r="BK174" s="78"/>
      <c r="BL174" s="78"/>
      <c r="BM174" s="78"/>
      <c r="BN174" s="78"/>
      <c r="BO174" s="78"/>
      <c r="BP174" s="78"/>
      <c r="BQ174" s="78"/>
      <c r="BR174" s="78"/>
      <c r="BS174" s="78"/>
      <c r="BT174" s="78"/>
      <c r="BU174" s="78"/>
      <c r="BV174" s="78"/>
      <c r="BW174" s="78"/>
      <c r="BX174" s="78"/>
      <c r="BY174" s="78"/>
      <c r="BZ174" s="78"/>
      <c r="CA174" s="78"/>
      <c r="CB174" s="78"/>
      <c r="CC174" s="78"/>
      <c r="CD174" s="78"/>
      <c r="CE174" s="78"/>
      <c r="CF174" s="78"/>
      <c r="CG174" s="78"/>
      <c r="CH174" s="78"/>
      <c r="CI174" s="78"/>
      <c r="CJ174" s="78"/>
      <c r="CK174" s="78"/>
      <c r="CL174" s="78"/>
      <c r="CM174" s="78"/>
      <c r="CN174" s="78"/>
      <c r="CO174" s="78"/>
      <c r="CP174" s="78"/>
      <c r="CQ174" s="78"/>
      <c r="CR174" s="78"/>
      <c r="CS174" s="78"/>
      <c r="CT174" s="78"/>
      <c r="CU174" s="78"/>
      <c r="CV174" s="78"/>
      <c r="CW174" s="78"/>
      <c r="CX174" s="78"/>
      <c r="CY174" s="78"/>
      <c r="CZ174" s="78"/>
      <c r="DA174" s="78"/>
      <c r="DB174" s="78"/>
      <c r="DC174" s="78"/>
      <c r="DD174" s="78"/>
      <c r="DE174" s="78"/>
      <c r="DF174" s="78"/>
      <c r="DG174" s="78"/>
      <c r="DH174" s="78"/>
      <c r="DI174" s="78"/>
      <c r="DJ174" s="78"/>
      <c r="DK174" s="78"/>
      <c r="DL174" s="78"/>
      <c r="DM174" s="78"/>
      <c r="DN174" s="78"/>
      <c r="DO174" s="78"/>
      <c r="DP174" s="78"/>
      <c r="DQ174" s="78"/>
      <c r="DR174" s="78"/>
      <c r="DS174" s="78"/>
      <c r="DT174" s="78"/>
      <c r="DU174" s="78"/>
      <c r="DV174" s="78"/>
      <c r="DW174" s="78"/>
      <c r="DX174" s="78"/>
      <c r="DY174" s="78"/>
      <c r="DZ174" s="78"/>
      <c r="EA174" s="78"/>
      <c r="EB174" s="78"/>
      <c r="EC174" s="78"/>
      <c r="ED174" s="78"/>
      <c r="EE174" s="78"/>
      <c r="EF174" s="78"/>
      <c r="EG174" s="78"/>
      <c r="EH174" s="78"/>
      <c r="EI174" s="78"/>
      <c r="EJ174" s="78"/>
      <c r="EK174" s="78"/>
      <c r="EL174" s="78"/>
      <c r="EM174" s="78"/>
      <c r="EN174" s="91"/>
      <c r="EO174" s="91"/>
      <c r="EP174" s="91"/>
      <c r="EQ174" s="91"/>
      <c r="ER174" s="91"/>
      <c r="ES174" s="91"/>
    </row>
    <row r="175" spans="1:149" outlineLevel="1">
      <c r="A175" s="29" t="str">
        <f t="shared" si="26"/>
        <v>PROPERTY_ENERGY_CERTIFICATEEPC</v>
      </c>
      <c r="B175" s="67" t="s">
        <v>26</v>
      </c>
      <c r="C175" s="68" t="s">
        <v>54</v>
      </c>
      <c r="D175" s="64" t="s">
        <v>40</v>
      </c>
      <c r="E175" s="66" t="s">
        <v>123</v>
      </c>
      <c r="F175" s="66" t="s">
        <v>47</v>
      </c>
      <c r="G175" s="64" t="str">
        <f>INDEX(Auxiliar!$B$16:$B$24,MATCH(Plano_V3!H175,Auxiliar!$C$16:$C$24,0),1)</f>
        <v>1. Concluído</v>
      </c>
      <c r="H175" s="64">
        <f>VLOOKUP(A175,'Aux - pivots1'!$A:$B,2,0)</f>
        <v>1</v>
      </c>
      <c r="I175" s="180">
        <f>SUMIFS(Table1[Estimação (horas)],Table1[Tabela],Plano_V3!E175,Table1[Campo],Plano_V3!F175)</f>
        <v>4.0999999999999996</v>
      </c>
      <c r="J175" s="180">
        <f t="shared" si="27"/>
        <v>0.51249999999999996</v>
      </c>
      <c r="K175" s="180">
        <f>SUMIFS(Table1[Horas efetivas],Table1[Tabela],Plano_V3!E175,Table1[Campo],Plano_V3!F175)</f>
        <v>4.0999999999999996</v>
      </c>
      <c r="L175" s="180">
        <f t="shared" si="28"/>
        <v>0.51249999999999996</v>
      </c>
      <c r="M175" s="174"/>
      <c r="N175" s="174">
        <f t="shared" si="29"/>
        <v>1</v>
      </c>
      <c r="O175" s="174">
        <f t="shared" si="24"/>
        <v>1</v>
      </c>
      <c r="P175" s="87" t="s">
        <v>124</v>
      </c>
      <c r="Q175" s="90">
        <f t="shared" si="25"/>
        <v>0.51249999999999996</v>
      </c>
      <c r="R175" s="78"/>
      <c r="S175" s="78"/>
      <c r="T175" s="78"/>
      <c r="U175" s="78"/>
      <c r="V175" s="78"/>
      <c r="W175" s="78"/>
      <c r="X175" s="78"/>
      <c r="Y175" s="78"/>
      <c r="Z175" s="78"/>
      <c r="AA175" s="78"/>
      <c r="AB175" s="78"/>
      <c r="AC175" s="78"/>
      <c r="AD175" s="78"/>
      <c r="AE175" s="78"/>
      <c r="AF175" s="78"/>
      <c r="AG175" s="78"/>
      <c r="AH175" s="78"/>
      <c r="AI175" s="78"/>
      <c r="AJ175" s="78"/>
      <c r="AK175" s="78"/>
      <c r="AL175" s="78"/>
      <c r="AM175" s="78"/>
      <c r="AN175" s="78"/>
      <c r="AO175" s="78"/>
      <c r="AP175" s="78"/>
      <c r="AQ175" s="78"/>
      <c r="AR175" s="78"/>
      <c r="AS175" s="78"/>
      <c r="AT175" s="78"/>
      <c r="AU175" s="78"/>
      <c r="AV175" s="78"/>
      <c r="AW175" s="78"/>
      <c r="AX175" s="78"/>
      <c r="AY175" s="91"/>
      <c r="AZ175" s="78"/>
      <c r="BA175" s="78"/>
      <c r="BB175" s="78"/>
      <c r="BC175" s="78"/>
      <c r="BD175" s="78"/>
      <c r="BE175" s="78"/>
      <c r="BF175" s="78"/>
      <c r="BG175" s="78"/>
      <c r="BH175" s="78"/>
      <c r="BI175" s="78"/>
      <c r="BJ175" s="78"/>
      <c r="BK175" s="78"/>
      <c r="BL175" s="78"/>
      <c r="BM175" s="78"/>
      <c r="BN175" s="78"/>
      <c r="BO175" s="78"/>
      <c r="BP175" s="78"/>
      <c r="BQ175" s="78"/>
      <c r="BR175" s="78"/>
      <c r="BS175" s="78"/>
      <c r="BT175" s="78"/>
      <c r="BU175" s="78"/>
      <c r="BV175" s="78"/>
      <c r="BW175" s="78"/>
      <c r="BX175" s="78"/>
      <c r="BY175" s="78"/>
      <c r="BZ175" s="78"/>
      <c r="CA175" s="78"/>
      <c r="CB175" s="78"/>
      <c r="CC175" s="78"/>
      <c r="CD175" s="78"/>
      <c r="CE175" s="78"/>
      <c r="CF175" s="78"/>
      <c r="CG175" s="78"/>
      <c r="CH175" s="78"/>
      <c r="CI175" s="78"/>
      <c r="CJ175" s="78"/>
      <c r="CK175" s="78"/>
      <c r="CL175" s="78"/>
      <c r="CM175" s="78"/>
      <c r="CN175" s="78"/>
      <c r="CO175" s="78"/>
      <c r="CP175" s="78"/>
      <c r="CQ175" s="78"/>
      <c r="CR175" s="78"/>
      <c r="CS175" s="78"/>
      <c r="CT175" s="78"/>
      <c r="CU175" s="78"/>
      <c r="CV175" s="78"/>
      <c r="CW175" s="78"/>
      <c r="CX175" s="78"/>
      <c r="CY175" s="78"/>
      <c r="CZ175" s="78"/>
      <c r="DA175" s="78"/>
      <c r="DB175" s="78"/>
      <c r="DC175" s="78"/>
      <c r="DD175" s="78"/>
      <c r="DE175" s="78"/>
      <c r="DF175" s="78"/>
      <c r="DG175" s="78"/>
      <c r="DH175" s="78"/>
      <c r="DI175" s="78"/>
      <c r="DJ175" s="78"/>
      <c r="DK175" s="78"/>
      <c r="DL175" s="78"/>
      <c r="DM175" s="78"/>
      <c r="DN175" s="78"/>
      <c r="DO175" s="78"/>
      <c r="DP175" s="78"/>
      <c r="DQ175" s="78"/>
      <c r="DR175" s="78"/>
      <c r="DS175" s="78"/>
      <c r="DT175" s="78"/>
      <c r="DU175" s="78"/>
      <c r="DV175" s="78"/>
      <c r="DW175" s="78"/>
      <c r="DX175" s="78"/>
      <c r="DY175" s="78"/>
      <c r="DZ175" s="78"/>
      <c r="EA175" s="78"/>
      <c r="EB175" s="78"/>
      <c r="EC175" s="78"/>
      <c r="ED175" s="78"/>
      <c r="EE175" s="78"/>
      <c r="EF175" s="78"/>
      <c r="EG175" s="78"/>
      <c r="EH175" s="78"/>
      <c r="EI175" s="78"/>
      <c r="EJ175" s="78"/>
      <c r="EK175" s="78"/>
      <c r="EL175" s="78"/>
      <c r="EM175" s="78"/>
      <c r="EN175" s="91"/>
      <c r="EO175" s="91"/>
      <c r="EP175" s="91"/>
      <c r="EQ175" s="91"/>
      <c r="ER175" s="91"/>
      <c r="ES175" s="91"/>
    </row>
    <row r="176" spans="1:149" outlineLevel="1">
      <c r="A176" s="29" t="str">
        <f t="shared" si="26"/>
        <v>PROPERTY_ENERGY_CERTIFICATEENERGY_CONSUMPTION_TYPE_S_IND</v>
      </c>
      <c r="B176" s="67" t="s">
        <v>26</v>
      </c>
      <c r="C176" s="68" t="s">
        <v>54</v>
      </c>
      <c r="D176" s="64" t="s">
        <v>40</v>
      </c>
      <c r="E176" s="66" t="s">
        <v>123</v>
      </c>
      <c r="F176" s="66" t="s">
        <v>130</v>
      </c>
      <c r="G176" s="64" t="str">
        <f>INDEX(Auxiliar!$B$16:$B$24,MATCH(Plano_V3!H176,Auxiliar!$C$16:$C$24,0),1)</f>
        <v>1. Concluído</v>
      </c>
      <c r="H176" s="64">
        <f>VLOOKUP(A176,'Aux - pivots1'!$A:$B,2,0)</f>
        <v>1</v>
      </c>
      <c r="I176" s="180">
        <f>SUMIFS(Table1[Estimação (horas)],Table1[Tabela],Plano_V3!E176,Table1[Campo],Plano_V3!F176)</f>
        <v>4.0999999999999996</v>
      </c>
      <c r="J176" s="180">
        <f t="shared" si="27"/>
        <v>0.51249999999999996</v>
      </c>
      <c r="K176" s="180">
        <f>SUMIFS(Table1[Horas efetivas],Table1[Tabela],Plano_V3!E176,Table1[Campo],Plano_V3!F176)</f>
        <v>4.0999999999999996</v>
      </c>
      <c r="L176" s="180">
        <f t="shared" si="28"/>
        <v>0.51249999999999996</v>
      </c>
      <c r="M176" s="174"/>
      <c r="N176" s="174">
        <f t="shared" si="29"/>
        <v>1</v>
      </c>
      <c r="O176" s="174">
        <f t="shared" si="24"/>
        <v>1</v>
      </c>
      <c r="P176" s="87" t="s">
        <v>124</v>
      </c>
      <c r="Q176" s="90">
        <f t="shared" si="25"/>
        <v>0.51249999999999996</v>
      </c>
      <c r="R176" s="78"/>
      <c r="S176" s="78"/>
      <c r="T176" s="78"/>
      <c r="U176" s="78"/>
      <c r="V176" s="78"/>
      <c r="W176" s="78"/>
      <c r="X176" s="78"/>
      <c r="Y176" s="78"/>
      <c r="Z176" s="78"/>
      <c r="AA176" s="78"/>
      <c r="AB176" s="78"/>
      <c r="AC176" s="78"/>
      <c r="AD176" s="78"/>
      <c r="AE176" s="78"/>
      <c r="AF176" s="78"/>
      <c r="AG176" s="78"/>
      <c r="AH176" s="78"/>
      <c r="AI176" s="78"/>
      <c r="AJ176" s="78"/>
      <c r="AK176" s="78"/>
      <c r="AL176" s="78"/>
      <c r="AM176" s="78"/>
      <c r="AN176" s="78"/>
      <c r="AO176" s="78"/>
      <c r="AP176" s="78"/>
      <c r="AQ176" s="78"/>
      <c r="AR176" s="78"/>
      <c r="AS176" s="78"/>
      <c r="AT176" s="78"/>
      <c r="AU176" s="78"/>
      <c r="AV176" s="78"/>
      <c r="AW176" s="78"/>
      <c r="AX176" s="78"/>
      <c r="AY176" s="91"/>
      <c r="AZ176" s="78"/>
      <c r="BA176" s="78"/>
      <c r="BB176" s="78"/>
      <c r="BC176" s="78"/>
      <c r="BD176" s="78"/>
      <c r="BE176" s="78"/>
      <c r="BF176" s="78"/>
      <c r="BG176" s="78"/>
      <c r="BH176" s="78"/>
      <c r="BI176" s="78"/>
      <c r="BJ176" s="78"/>
      <c r="BK176" s="78"/>
      <c r="BL176" s="78"/>
      <c r="BM176" s="78"/>
      <c r="BN176" s="78"/>
      <c r="BO176" s="78"/>
      <c r="BP176" s="78"/>
      <c r="BQ176" s="78"/>
      <c r="BR176" s="78"/>
      <c r="BS176" s="78"/>
      <c r="BT176" s="78"/>
      <c r="BU176" s="78"/>
      <c r="BV176" s="78"/>
      <c r="BW176" s="78"/>
      <c r="BX176" s="78"/>
      <c r="BY176" s="78"/>
      <c r="BZ176" s="78"/>
      <c r="CA176" s="78"/>
      <c r="CB176" s="78"/>
      <c r="CC176" s="78"/>
      <c r="CD176" s="78"/>
      <c r="CE176" s="78"/>
      <c r="CF176" s="78"/>
      <c r="CG176" s="78"/>
      <c r="CH176" s="78"/>
      <c r="CI176" s="78"/>
      <c r="CJ176" s="78"/>
      <c r="CK176" s="78"/>
      <c r="CL176" s="78"/>
      <c r="CM176" s="78"/>
      <c r="CN176" s="78"/>
      <c r="CO176" s="78"/>
      <c r="CP176" s="78"/>
      <c r="CQ176" s="78"/>
      <c r="CR176" s="78"/>
      <c r="CS176" s="78"/>
      <c r="CT176" s="78"/>
      <c r="CU176" s="78"/>
      <c r="CV176" s="78"/>
      <c r="CW176" s="78"/>
      <c r="CX176" s="78"/>
      <c r="CY176" s="78"/>
      <c r="CZ176" s="78"/>
      <c r="DA176" s="78"/>
      <c r="DB176" s="78"/>
      <c r="DC176" s="78"/>
      <c r="DD176" s="78"/>
      <c r="DE176" s="78"/>
      <c r="DF176" s="78"/>
      <c r="DG176" s="78"/>
      <c r="DH176" s="78"/>
      <c r="DI176" s="78"/>
      <c r="DJ176" s="78"/>
      <c r="DK176" s="78"/>
      <c r="DL176" s="78"/>
      <c r="DM176" s="78"/>
      <c r="DN176" s="78"/>
      <c r="DO176" s="78"/>
      <c r="DP176" s="78"/>
      <c r="DQ176" s="78"/>
      <c r="DR176" s="78"/>
      <c r="DS176" s="78"/>
      <c r="DT176" s="78"/>
      <c r="DU176" s="78"/>
      <c r="DV176" s="78"/>
      <c r="DW176" s="78"/>
      <c r="DX176" s="78"/>
      <c r="DY176" s="78"/>
      <c r="DZ176" s="78"/>
      <c r="EA176" s="78"/>
      <c r="EB176" s="78"/>
      <c r="EC176" s="78"/>
      <c r="ED176" s="78"/>
      <c r="EE176" s="78"/>
      <c r="EF176" s="78"/>
      <c r="EG176" s="78"/>
      <c r="EH176" s="78"/>
      <c r="EI176" s="78"/>
      <c r="EJ176" s="78"/>
      <c r="EK176" s="78"/>
      <c r="EL176" s="78"/>
      <c r="EM176" s="78"/>
      <c r="EN176" s="91"/>
      <c r="EO176" s="91"/>
      <c r="EP176" s="91"/>
      <c r="EQ176" s="91"/>
      <c r="ER176" s="91"/>
      <c r="ES176" s="91"/>
    </row>
    <row r="177" spans="1:149" outlineLevel="1">
      <c r="A177" s="29" t="str">
        <f t="shared" si="26"/>
        <v>PROPERTY_ENERGY_CERTIFICATEENERGY_CONSUMPTION_TYPE_T_IND</v>
      </c>
      <c r="B177" s="67" t="s">
        <v>26</v>
      </c>
      <c r="C177" s="68" t="s">
        <v>54</v>
      </c>
      <c r="D177" s="64" t="s">
        <v>40</v>
      </c>
      <c r="E177" s="66" t="s">
        <v>123</v>
      </c>
      <c r="F177" s="66" t="s">
        <v>131</v>
      </c>
      <c r="G177" s="64" t="str">
        <f>INDEX(Auxiliar!$B$16:$B$24,MATCH(Plano_V3!H177,Auxiliar!$C$16:$C$24,0),1)</f>
        <v>1. Concluído</v>
      </c>
      <c r="H177" s="64">
        <f>VLOOKUP(A177,'Aux - pivots1'!$A:$B,2,0)</f>
        <v>1</v>
      </c>
      <c r="I177" s="180">
        <f>SUMIFS(Table1[Estimação (horas)],Table1[Tabela],Plano_V3!E177,Table1[Campo],Plano_V3!F177)</f>
        <v>4.0999999999999996</v>
      </c>
      <c r="J177" s="180">
        <f t="shared" si="27"/>
        <v>0.51249999999999996</v>
      </c>
      <c r="K177" s="180">
        <f>SUMIFS(Table1[Horas efetivas],Table1[Tabela],Plano_V3!E177,Table1[Campo],Plano_V3!F177)</f>
        <v>4.0999999999999996</v>
      </c>
      <c r="L177" s="180">
        <f t="shared" si="28"/>
        <v>0.51249999999999996</v>
      </c>
      <c r="M177" s="174"/>
      <c r="N177" s="174">
        <f t="shared" si="29"/>
        <v>1</v>
      </c>
      <c r="O177" s="174">
        <f t="shared" si="24"/>
        <v>1</v>
      </c>
      <c r="P177" s="87" t="s">
        <v>124</v>
      </c>
      <c r="Q177" s="90">
        <f t="shared" si="25"/>
        <v>0.51249999999999996</v>
      </c>
      <c r="R177" s="78"/>
      <c r="S177" s="78"/>
      <c r="T177" s="78"/>
      <c r="U177" s="78"/>
      <c r="V177" s="78"/>
      <c r="W177" s="78"/>
      <c r="X177" s="78"/>
      <c r="Y177" s="78"/>
      <c r="Z177" s="78"/>
      <c r="AA177" s="78"/>
      <c r="AB177" s="78"/>
      <c r="AC177" s="78"/>
      <c r="AD177" s="78"/>
      <c r="AE177" s="78"/>
      <c r="AF177" s="78"/>
      <c r="AG177" s="78"/>
      <c r="AH177" s="78"/>
      <c r="AI177" s="78"/>
      <c r="AJ177" s="78"/>
      <c r="AK177" s="78"/>
      <c r="AL177" s="78"/>
      <c r="AM177" s="78"/>
      <c r="AN177" s="78"/>
      <c r="AO177" s="78"/>
      <c r="AP177" s="78"/>
      <c r="AQ177" s="78"/>
      <c r="AR177" s="78"/>
      <c r="AS177" s="78"/>
      <c r="AT177" s="78"/>
      <c r="AU177" s="78"/>
      <c r="AV177" s="78"/>
      <c r="AW177" s="78"/>
      <c r="AX177" s="78"/>
      <c r="AY177" s="91"/>
      <c r="AZ177" s="78"/>
      <c r="BA177" s="78"/>
      <c r="BB177" s="78"/>
      <c r="BC177" s="78"/>
      <c r="BD177" s="78"/>
      <c r="BE177" s="78"/>
      <c r="BF177" s="78"/>
      <c r="BG177" s="78"/>
      <c r="BH177" s="78"/>
      <c r="BI177" s="78"/>
      <c r="BJ177" s="78"/>
      <c r="BK177" s="78"/>
      <c r="BL177" s="78"/>
      <c r="BM177" s="78"/>
      <c r="BN177" s="78"/>
      <c r="BO177" s="78"/>
      <c r="BP177" s="78"/>
      <c r="BQ177" s="78"/>
      <c r="BR177" s="78"/>
      <c r="BS177" s="78"/>
      <c r="BT177" s="78"/>
      <c r="BU177" s="78"/>
      <c r="BV177" s="78"/>
      <c r="BW177" s="78"/>
      <c r="BX177" s="78"/>
      <c r="BY177" s="78"/>
      <c r="BZ177" s="78"/>
      <c r="CA177" s="78"/>
      <c r="CB177" s="78"/>
      <c r="CC177" s="78"/>
      <c r="CD177" s="78"/>
      <c r="CE177" s="78"/>
      <c r="CF177" s="78"/>
      <c r="CG177" s="78"/>
      <c r="CH177" s="78"/>
      <c r="CI177" s="78"/>
      <c r="CJ177" s="78"/>
      <c r="CK177" s="78"/>
      <c r="CL177" s="78"/>
      <c r="CM177" s="78"/>
      <c r="CN177" s="78"/>
      <c r="CO177" s="78"/>
      <c r="CP177" s="78"/>
      <c r="CQ177" s="78"/>
      <c r="CR177" s="78"/>
      <c r="CS177" s="78"/>
      <c r="CT177" s="78"/>
      <c r="CU177" s="78"/>
      <c r="CV177" s="78"/>
      <c r="CW177" s="78"/>
      <c r="CX177" s="78"/>
      <c r="CY177" s="78"/>
      <c r="CZ177" s="78"/>
      <c r="DA177" s="78"/>
      <c r="DB177" s="78"/>
      <c r="DC177" s="78"/>
      <c r="DD177" s="78"/>
      <c r="DE177" s="78"/>
      <c r="DF177" s="78"/>
      <c r="DG177" s="78"/>
      <c r="DH177" s="78"/>
      <c r="DI177" s="78"/>
      <c r="DJ177" s="78"/>
      <c r="DK177" s="78"/>
      <c r="DL177" s="78"/>
      <c r="DM177" s="78"/>
      <c r="DN177" s="78"/>
      <c r="DO177" s="78"/>
      <c r="DP177" s="78"/>
      <c r="DQ177" s="78"/>
      <c r="DR177" s="78"/>
      <c r="DS177" s="78"/>
      <c r="DT177" s="78"/>
      <c r="DU177" s="78"/>
      <c r="DV177" s="78"/>
      <c r="DW177" s="78"/>
      <c r="DX177" s="78"/>
      <c r="DY177" s="78"/>
      <c r="DZ177" s="78"/>
      <c r="EA177" s="78"/>
      <c r="EB177" s="78"/>
      <c r="EC177" s="78"/>
      <c r="ED177" s="78"/>
      <c r="EE177" s="78"/>
      <c r="EF177" s="78"/>
      <c r="EG177" s="78"/>
      <c r="EH177" s="78"/>
      <c r="EI177" s="78"/>
      <c r="EJ177" s="78"/>
      <c r="EK177" s="78"/>
      <c r="EL177" s="78"/>
      <c r="EM177" s="78"/>
      <c r="EN177" s="91"/>
      <c r="EO177" s="91"/>
      <c r="EP177" s="91"/>
      <c r="EQ177" s="91"/>
      <c r="ER177" s="91"/>
      <c r="ES177" s="91"/>
    </row>
    <row r="178" spans="1:149" outlineLevel="1">
      <c r="A178" s="29" t="str">
        <f t="shared" si="26"/>
        <v>PROPERTY_ENERGY_CERTIFICATEENERGY_EFFICIENCY_IND</v>
      </c>
      <c r="B178" s="67" t="s">
        <v>26</v>
      </c>
      <c r="C178" s="68" t="s">
        <v>54</v>
      </c>
      <c r="D178" s="64" t="s">
        <v>40</v>
      </c>
      <c r="E178" s="66" t="s">
        <v>123</v>
      </c>
      <c r="F178" s="66" t="s">
        <v>132</v>
      </c>
      <c r="G178" s="64" t="str">
        <f>INDEX(Auxiliar!$B$16:$B$24,MATCH(Plano_V3!H178,Auxiliar!$C$16:$C$24,0),1)</f>
        <v>1. Concluído</v>
      </c>
      <c r="H178" s="64">
        <f>VLOOKUP(A178,'Aux - pivots1'!$A:$B,2,0)</f>
        <v>1</v>
      </c>
      <c r="I178" s="180">
        <f>SUMIFS(Table1[Estimação (horas)],Table1[Tabela],Plano_V3!E178,Table1[Campo],Plano_V3!F178)</f>
        <v>4.0999999999999996</v>
      </c>
      <c r="J178" s="180">
        <f t="shared" si="27"/>
        <v>0.51249999999999996</v>
      </c>
      <c r="K178" s="180">
        <f>SUMIFS(Table1[Horas efetivas],Table1[Tabela],Plano_V3!E178,Table1[Campo],Plano_V3!F178)</f>
        <v>4.0999999999999996</v>
      </c>
      <c r="L178" s="180">
        <f t="shared" si="28"/>
        <v>0.51249999999999996</v>
      </c>
      <c r="M178" s="174"/>
      <c r="N178" s="174">
        <f t="shared" si="29"/>
        <v>1</v>
      </c>
      <c r="O178" s="174">
        <f t="shared" si="24"/>
        <v>1</v>
      </c>
      <c r="P178" s="87" t="s">
        <v>124</v>
      </c>
      <c r="Q178" s="90">
        <f t="shared" si="25"/>
        <v>0.51249999999999996</v>
      </c>
      <c r="R178" s="78"/>
      <c r="S178" s="78"/>
      <c r="T178" s="78"/>
      <c r="U178" s="78"/>
      <c r="V178" s="78"/>
      <c r="W178" s="78"/>
      <c r="X178" s="78"/>
      <c r="Y178" s="78"/>
      <c r="Z178" s="78"/>
      <c r="AA178" s="78"/>
      <c r="AB178" s="78"/>
      <c r="AC178" s="78"/>
      <c r="AD178" s="78"/>
      <c r="AE178" s="78"/>
      <c r="AF178" s="78"/>
      <c r="AG178" s="78"/>
      <c r="AH178" s="78"/>
      <c r="AI178" s="78"/>
      <c r="AJ178" s="78"/>
      <c r="AK178" s="78"/>
      <c r="AL178" s="78"/>
      <c r="AM178" s="78"/>
      <c r="AN178" s="78"/>
      <c r="AO178" s="78"/>
      <c r="AP178" s="78"/>
      <c r="AQ178" s="78"/>
      <c r="AR178" s="78"/>
      <c r="AS178" s="78"/>
      <c r="AT178" s="78"/>
      <c r="AU178" s="78"/>
      <c r="AV178" s="78"/>
      <c r="AW178" s="78"/>
      <c r="AX178" s="78"/>
      <c r="AY178" s="91"/>
      <c r="AZ178" s="78"/>
      <c r="BA178" s="78"/>
      <c r="BB178" s="78"/>
      <c r="BC178" s="78"/>
      <c r="BD178" s="78"/>
      <c r="BE178" s="78"/>
      <c r="BF178" s="78"/>
      <c r="BG178" s="78"/>
      <c r="BH178" s="78"/>
      <c r="BI178" s="78"/>
      <c r="BJ178" s="78"/>
      <c r="BK178" s="78"/>
      <c r="BL178" s="78"/>
      <c r="BM178" s="78"/>
      <c r="BN178" s="78"/>
      <c r="BO178" s="78"/>
      <c r="BP178" s="78"/>
      <c r="BQ178" s="78"/>
      <c r="BR178" s="78"/>
      <c r="BS178" s="78"/>
      <c r="BT178" s="78"/>
      <c r="BU178" s="78"/>
      <c r="BV178" s="78"/>
      <c r="BW178" s="78"/>
      <c r="BX178" s="78"/>
      <c r="BY178" s="78"/>
      <c r="BZ178" s="78"/>
      <c r="CA178" s="78"/>
      <c r="CB178" s="78"/>
      <c r="CC178" s="78"/>
      <c r="CD178" s="78"/>
      <c r="CE178" s="78"/>
      <c r="CF178" s="78"/>
      <c r="CG178" s="78"/>
      <c r="CH178" s="78"/>
      <c r="CI178" s="78"/>
      <c r="CJ178" s="78"/>
      <c r="CK178" s="78"/>
      <c r="CL178" s="78"/>
      <c r="CM178" s="78"/>
      <c r="CN178" s="78"/>
      <c r="CO178" s="78"/>
      <c r="CP178" s="78"/>
      <c r="CQ178" s="78"/>
      <c r="CR178" s="78"/>
      <c r="CS178" s="78"/>
      <c r="CT178" s="78"/>
      <c r="CU178" s="78"/>
      <c r="CV178" s="78"/>
      <c r="CW178" s="78"/>
      <c r="CX178" s="78"/>
      <c r="CY178" s="78"/>
      <c r="CZ178" s="78"/>
      <c r="DA178" s="78"/>
      <c r="DB178" s="78"/>
      <c r="DC178" s="78"/>
      <c r="DD178" s="78"/>
      <c r="DE178" s="78"/>
      <c r="DF178" s="78"/>
      <c r="DG178" s="78"/>
      <c r="DH178" s="78"/>
      <c r="DI178" s="78"/>
      <c r="DJ178" s="78"/>
      <c r="DK178" s="78"/>
      <c r="DL178" s="78"/>
      <c r="DM178" s="78"/>
      <c r="DN178" s="78"/>
      <c r="DO178" s="78"/>
      <c r="DP178" s="78"/>
      <c r="DQ178" s="78"/>
      <c r="DR178" s="78"/>
      <c r="DS178" s="78"/>
      <c r="DT178" s="78"/>
      <c r="DU178" s="78"/>
      <c r="DV178" s="78"/>
      <c r="DW178" s="78"/>
      <c r="DX178" s="78"/>
      <c r="DY178" s="78"/>
      <c r="DZ178" s="78"/>
      <c r="EA178" s="78"/>
      <c r="EB178" s="78"/>
      <c r="EC178" s="78"/>
      <c r="ED178" s="78"/>
      <c r="EE178" s="78"/>
      <c r="EF178" s="78"/>
      <c r="EG178" s="78"/>
      <c r="EH178" s="78"/>
      <c r="EI178" s="78"/>
      <c r="EJ178" s="78"/>
      <c r="EK178" s="78"/>
      <c r="EL178" s="78"/>
      <c r="EM178" s="78"/>
      <c r="EN178" s="91"/>
      <c r="EO178" s="91"/>
      <c r="EP178" s="91"/>
      <c r="EQ178" s="91"/>
      <c r="ER178" s="91"/>
      <c r="ES178" s="91"/>
    </row>
    <row r="179" spans="1:149" outlineLevel="1">
      <c r="A179" s="29" t="str">
        <f t="shared" si="26"/>
        <v>PROPERTY_ENERGY_CERTIFICATEREN_ENERGY_EFFICIENCY_IND</v>
      </c>
      <c r="B179" s="67" t="s">
        <v>26</v>
      </c>
      <c r="C179" s="68" t="s">
        <v>54</v>
      </c>
      <c r="D179" s="64" t="s">
        <v>40</v>
      </c>
      <c r="E179" s="66" t="s">
        <v>123</v>
      </c>
      <c r="F179" s="66" t="s">
        <v>133</v>
      </c>
      <c r="G179" s="64" t="str">
        <f>INDEX(Auxiliar!$B$16:$B$24,MATCH(Plano_V3!H179,Auxiliar!$C$16:$C$24,0),1)</f>
        <v>1. Concluído</v>
      </c>
      <c r="H179" s="64">
        <f>VLOOKUP(A179,'Aux - pivots1'!$A:$B,2,0)</f>
        <v>1</v>
      </c>
      <c r="I179" s="180">
        <f>SUMIFS(Table1[Estimação (horas)],Table1[Tabela],Plano_V3!E179,Table1[Campo],Plano_V3!F179)</f>
        <v>4.0999999999999996</v>
      </c>
      <c r="J179" s="180">
        <f t="shared" si="27"/>
        <v>0.51249999999999996</v>
      </c>
      <c r="K179" s="180">
        <f>SUMIFS(Table1[Horas efetivas],Table1[Tabela],Plano_V3!E179,Table1[Campo],Plano_V3!F179)</f>
        <v>4.0999999999999996</v>
      </c>
      <c r="L179" s="180">
        <f t="shared" si="28"/>
        <v>0.51249999999999996</v>
      </c>
      <c r="M179" s="174"/>
      <c r="N179" s="174">
        <f t="shared" si="29"/>
        <v>1</v>
      </c>
      <c r="O179" s="174">
        <f t="shared" si="24"/>
        <v>1</v>
      </c>
      <c r="P179" s="87" t="s">
        <v>124</v>
      </c>
      <c r="Q179" s="90">
        <f t="shared" si="25"/>
        <v>0.51249999999999996</v>
      </c>
      <c r="R179" s="78"/>
      <c r="S179" s="78"/>
      <c r="T179" s="78"/>
      <c r="U179" s="78"/>
      <c r="V179" s="78"/>
      <c r="W179" s="78"/>
      <c r="X179" s="78"/>
      <c r="Y179" s="78"/>
      <c r="Z179" s="78"/>
      <c r="AA179" s="78"/>
      <c r="AB179" s="78"/>
      <c r="AC179" s="78"/>
      <c r="AD179" s="78"/>
      <c r="AE179" s="78"/>
      <c r="AF179" s="78"/>
      <c r="AG179" s="78"/>
      <c r="AH179" s="78"/>
      <c r="AI179" s="78"/>
      <c r="AJ179" s="78"/>
      <c r="AK179" s="78"/>
      <c r="AL179" s="78"/>
      <c r="AM179" s="78"/>
      <c r="AN179" s="78"/>
      <c r="AO179" s="78"/>
      <c r="AP179" s="78"/>
      <c r="AQ179" s="78"/>
      <c r="AR179" s="78"/>
      <c r="AS179" s="78"/>
      <c r="AT179" s="78"/>
      <c r="AU179" s="78"/>
      <c r="AV179" s="78"/>
      <c r="AW179" s="78"/>
      <c r="AX179" s="78"/>
      <c r="AY179" s="91"/>
      <c r="AZ179" s="78"/>
      <c r="BA179" s="78"/>
      <c r="BB179" s="78"/>
      <c r="BC179" s="78"/>
      <c r="BD179" s="78"/>
      <c r="BE179" s="78"/>
      <c r="BF179" s="78"/>
      <c r="BG179" s="78"/>
      <c r="BH179" s="78"/>
      <c r="BI179" s="78"/>
      <c r="BJ179" s="78"/>
      <c r="BK179" s="78"/>
      <c r="BL179" s="78"/>
      <c r="BM179" s="78"/>
      <c r="BN179" s="78"/>
      <c r="BO179" s="78"/>
      <c r="BP179" s="78"/>
      <c r="BQ179" s="78"/>
      <c r="BR179" s="78"/>
      <c r="BS179" s="78"/>
      <c r="BT179" s="78"/>
      <c r="BU179" s="78"/>
      <c r="BV179" s="78"/>
      <c r="BW179" s="78"/>
      <c r="BX179" s="78"/>
      <c r="BY179" s="78"/>
      <c r="BZ179" s="78"/>
      <c r="CA179" s="78"/>
      <c r="CB179" s="78"/>
      <c r="CC179" s="78"/>
      <c r="CD179" s="78"/>
      <c r="CE179" s="78"/>
      <c r="CF179" s="78"/>
      <c r="CG179" s="78"/>
      <c r="CH179" s="78"/>
      <c r="CI179" s="78"/>
      <c r="CJ179" s="78"/>
      <c r="CK179" s="78"/>
      <c r="CL179" s="78"/>
      <c r="CM179" s="78"/>
      <c r="CN179" s="78"/>
      <c r="CO179" s="78"/>
      <c r="CP179" s="78"/>
      <c r="CQ179" s="78"/>
      <c r="CR179" s="78"/>
      <c r="CS179" s="78"/>
      <c r="CT179" s="78"/>
      <c r="CU179" s="78"/>
      <c r="CV179" s="78"/>
      <c r="CW179" s="78"/>
      <c r="CX179" s="78"/>
      <c r="CY179" s="78"/>
      <c r="CZ179" s="78"/>
      <c r="DA179" s="78"/>
      <c r="DB179" s="78"/>
      <c r="DC179" s="78"/>
      <c r="DD179" s="78"/>
      <c r="DE179" s="78"/>
      <c r="DF179" s="78"/>
      <c r="DG179" s="78"/>
      <c r="DH179" s="78"/>
      <c r="DI179" s="78"/>
      <c r="DJ179" s="78"/>
      <c r="DK179" s="78"/>
      <c r="DL179" s="78"/>
      <c r="DM179" s="78"/>
      <c r="DN179" s="78"/>
      <c r="DO179" s="78"/>
      <c r="DP179" s="78"/>
      <c r="DQ179" s="78"/>
      <c r="DR179" s="78"/>
      <c r="DS179" s="78"/>
      <c r="DT179" s="78"/>
      <c r="DU179" s="78"/>
      <c r="DV179" s="78"/>
      <c r="DW179" s="78"/>
      <c r="DX179" s="78"/>
      <c r="DY179" s="78"/>
      <c r="DZ179" s="78"/>
      <c r="EA179" s="78"/>
      <c r="EB179" s="78"/>
      <c r="EC179" s="78"/>
      <c r="ED179" s="78"/>
      <c r="EE179" s="78"/>
      <c r="EF179" s="78"/>
      <c r="EG179" s="78"/>
      <c r="EH179" s="78"/>
      <c r="EI179" s="78"/>
      <c r="EJ179" s="78"/>
      <c r="EK179" s="78"/>
      <c r="EL179" s="78"/>
      <c r="EM179" s="78"/>
      <c r="EN179" s="91"/>
      <c r="EO179" s="91"/>
      <c r="EP179" s="91"/>
      <c r="EQ179" s="91"/>
      <c r="ER179" s="91"/>
      <c r="ES179" s="91"/>
    </row>
    <row r="180" spans="1:149" outlineLevel="1">
      <c r="A180" s="29" t="str">
        <f t="shared" si="26"/>
        <v>PROPERTY_ENERGY_CERTIFICATENZEB_IND</v>
      </c>
      <c r="B180" s="67" t="s">
        <v>26</v>
      </c>
      <c r="C180" s="68" t="s">
        <v>54</v>
      </c>
      <c r="D180" s="64" t="s">
        <v>40</v>
      </c>
      <c r="E180" s="66" t="s">
        <v>123</v>
      </c>
      <c r="F180" s="66" t="s">
        <v>134</v>
      </c>
      <c r="G180" s="64" t="str">
        <f>INDEX(Auxiliar!$B$16:$B$24,MATCH(Plano_V3!H180,Auxiliar!$C$16:$C$24,0),1)</f>
        <v>1. Concluído</v>
      </c>
      <c r="H180" s="64">
        <f>VLOOKUP(A180,'Aux - pivots1'!$A:$B,2,0)</f>
        <v>1</v>
      </c>
      <c r="I180" s="180">
        <f>SUMIFS(Table1[Estimação (horas)],Table1[Tabela],Plano_V3!E180,Table1[Campo],Plano_V3!F180)</f>
        <v>4.0999999999999996</v>
      </c>
      <c r="J180" s="180">
        <f t="shared" si="27"/>
        <v>0.51249999999999996</v>
      </c>
      <c r="K180" s="180">
        <f>SUMIFS(Table1[Horas efetivas],Table1[Tabela],Plano_V3!E180,Table1[Campo],Plano_V3!F180)</f>
        <v>4.0999999999999996</v>
      </c>
      <c r="L180" s="180">
        <f t="shared" si="28"/>
        <v>0.51249999999999996</v>
      </c>
      <c r="M180" s="174"/>
      <c r="N180" s="174">
        <f t="shared" si="29"/>
        <v>1</v>
      </c>
      <c r="O180" s="174">
        <f t="shared" si="24"/>
        <v>1</v>
      </c>
      <c r="P180" s="87" t="s">
        <v>124</v>
      </c>
      <c r="Q180" s="90">
        <f t="shared" si="25"/>
        <v>0.51249999999999996</v>
      </c>
      <c r="R180" s="78"/>
      <c r="S180" s="78"/>
      <c r="T180" s="78"/>
      <c r="U180" s="78"/>
      <c r="V180" s="78"/>
      <c r="W180" s="78"/>
      <c r="X180" s="78"/>
      <c r="Y180" s="78"/>
      <c r="Z180" s="78"/>
      <c r="AA180" s="78"/>
      <c r="AB180" s="78"/>
      <c r="AC180" s="78"/>
      <c r="AD180" s="78"/>
      <c r="AE180" s="78"/>
      <c r="AF180" s="78"/>
      <c r="AG180" s="78"/>
      <c r="AH180" s="78"/>
      <c r="AI180" s="78"/>
      <c r="AJ180" s="78"/>
      <c r="AK180" s="78"/>
      <c r="AL180" s="78"/>
      <c r="AM180" s="78"/>
      <c r="AN180" s="78"/>
      <c r="AO180" s="78"/>
      <c r="AP180" s="78"/>
      <c r="AQ180" s="78"/>
      <c r="AR180" s="78"/>
      <c r="AS180" s="78"/>
      <c r="AT180" s="78"/>
      <c r="AU180" s="78"/>
      <c r="AV180" s="78"/>
      <c r="AW180" s="78"/>
      <c r="AX180" s="78"/>
      <c r="AY180" s="91"/>
      <c r="AZ180" s="78"/>
      <c r="BA180" s="78"/>
      <c r="BB180" s="78"/>
      <c r="BC180" s="78"/>
      <c r="BD180" s="78"/>
      <c r="BE180" s="78"/>
      <c r="BF180" s="78"/>
      <c r="BG180" s="78"/>
      <c r="BH180" s="78"/>
      <c r="BI180" s="78"/>
      <c r="BJ180" s="78"/>
      <c r="BK180" s="78"/>
      <c r="BL180" s="78"/>
      <c r="BM180" s="78"/>
      <c r="BN180" s="78"/>
      <c r="BO180" s="78"/>
      <c r="BP180" s="78"/>
      <c r="BQ180" s="78"/>
      <c r="BR180" s="78"/>
      <c r="BS180" s="78"/>
      <c r="BT180" s="78"/>
      <c r="BU180" s="78"/>
      <c r="BV180" s="78"/>
      <c r="BW180" s="78"/>
      <c r="BX180" s="78"/>
      <c r="BY180" s="78"/>
      <c r="BZ180" s="78"/>
      <c r="CA180" s="78"/>
      <c r="CB180" s="78"/>
      <c r="CC180" s="78"/>
      <c r="CD180" s="78"/>
      <c r="CE180" s="78"/>
      <c r="CF180" s="78"/>
      <c r="CG180" s="78"/>
      <c r="CH180" s="78"/>
      <c r="CI180" s="78"/>
      <c r="CJ180" s="78"/>
      <c r="CK180" s="78"/>
      <c r="CL180" s="78"/>
      <c r="CM180" s="78"/>
      <c r="CN180" s="78"/>
      <c r="CO180" s="78"/>
      <c r="CP180" s="78"/>
      <c r="CQ180" s="78"/>
      <c r="CR180" s="78"/>
      <c r="CS180" s="78"/>
      <c r="CT180" s="78"/>
      <c r="CU180" s="78"/>
      <c r="CV180" s="78"/>
      <c r="CW180" s="78"/>
      <c r="CX180" s="78"/>
      <c r="CY180" s="78"/>
      <c r="CZ180" s="78"/>
      <c r="DA180" s="78"/>
      <c r="DB180" s="78"/>
      <c r="DC180" s="78"/>
      <c r="DD180" s="78"/>
      <c r="DE180" s="78"/>
      <c r="DF180" s="78"/>
      <c r="DG180" s="78"/>
      <c r="DH180" s="78"/>
      <c r="DI180" s="78"/>
      <c r="DJ180" s="78"/>
      <c r="DK180" s="78"/>
      <c r="DL180" s="78"/>
      <c r="DM180" s="78"/>
      <c r="DN180" s="78"/>
      <c r="DO180" s="78"/>
      <c r="DP180" s="78"/>
      <c r="DQ180" s="78"/>
      <c r="DR180" s="78"/>
      <c r="DS180" s="78"/>
      <c r="DT180" s="78"/>
      <c r="DU180" s="78"/>
      <c r="DV180" s="78"/>
      <c r="DW180" s="78"/>
      <c r="DX180" s="78"/>
      <c r="DY180" s="78"/>
      <c r="DZ180" s="78"/>
      <c r="EA180" s="78"/>
      <c r="EB180" s="78"/>
      <c r="EC180" s="78"/>
      <c r="ED180" s="78"/>
      <c r="EE180" s="78"/>
      <c r="EF180" s="78"/>
      <c r="EG180" s="78"/>
      <c r="EH180" s="78"/>
      <c r="EI180" s="78"/>
      <c r="EJ180" s="78"/>
      <c r="EK180" s="78"/>
      <c r="EL180" s="78"/>
      <c r="EM180" s="78"/>
      <c r="EN180" s="91"/>
      <c r="EO180" s="91"/>
      <c r="EP180" s="91"/>
      <c r="EQ180" s="91"/>
      <c r="ER180" s="91"/>
      <c r="ES180" s="91"/>
    </row>
    <row r="181" spans="1:149" outlineLevel="1">
      <c r="A181" s="29" t="str">
        <f t="shared" si="26"/>
        <v>PROPERTY_ENERGY_CERTIFICATEQUALITY_SCORE</v>
      </c>
      <c r="B181" s="67" t="s">
        <v>26</v>
      </c>
      <c r="C181" s="68" t="s">
        <v>54</v>
      </c>
      <c r="D181" s="64" t="s">
        <v>40</v>
      </c>
      <c r="E181" s="66" t="s">
        <v>123</v>
      </c>
      <c r="F181" s="66" t="s">
        <v>50</v>
      </c>
      <c r="G181" s="64" t="str">
        <f>INDEX(Auxiliar!$B$16:$B$24,MATCH(Plano_V3!H181,Auxiliar!$C$16:$C$24,0),1)</f>
        <v>1. Concluído</v>
      </c>
      <c r="H181" s="64">
        <f>VLOOKUP(A181,'Aux - pivots1'!$A:$B,2,0)</f>
        <v>1</v>
      </c>
      <c r="I181" s="180">
        <f>SUMIFS(Table1[Estimação (horas)],Table1[Tabela],Plano_V3!E181,Table1[Campo],Plano_V3!F181)</f>
        <v>4.0999999999999996</v>
      </c>
      <c r="J181" s="180">
        <f t="shared" si="27"/>
        <v>0.51249999999999996</v>
      </c>
      <c r="K181" s="180">
        <f>SUMIFS(Table1[Horas efetivas],Table1[Tabela],Plano_V3!E181,Table1[Campo],Plano_V3!F181)</f>
        <v>4.0999999999999996</v>
      </c>
      <c r="L181" s="180">
        <f t="shared" si="28"/>
        <v>0.51249999999999996</v>
      </c>
      <c r="M181" s="174"/>
      <c r="N181" s="174">
        <f t="shared" si="29"/>
        <v>1</v>
      </c>
      <c r="O181" s="174">
        <f t="shared" si="24"/>
        <v>1</v>
      </c>
      <c r="P181" s="87" t="s">
        <v>124</v>
      </c>
      <c r="Q181" s="90">
        <f t="shared" si="25"/>
        <v>0.51249999999999996</v>
      </c>
      <c r="R181" s="78"/>
      <c r="S181" s="78"/>
      <c r="T181" s="78"/>
      <c r="U181" s="78"/>
      <c r="V181" s="78"/>
      <c r="W181" s="78"/>
      <c r="X181" s="78"/>
      <c r="Y181" s="78"/>
      <c r="Z181" s="78"/>
      <c r="AA181" s="78"/>
      <c r="AB181" s="78"/>
      <c r="AC181" s="78"/>
      <c r="AD181" s="78"/>
      <c r="AE181" s="78"/>
      <c r="AF181" s="78"/>
      <c r="AG181" s="78"/>
      <c r="AH181" s="78"/>
      <c r="AI181" s="78"/>
      <c r="AJ181" s="78"/>
      <c r="AK181" s="78"/>
      <c r="AL181" s="78"/>
      <c r="AM181" s="78"/>
      <c r="AN181" s="78"/>
      <c r="AO181" s="78"/>
      <c r="AP181" s="78"/>
      <c r="AQ181" s="78"/>
      <c r="AR181" s="78"/>
      <c r="AS181" s="78"/>
      <c r="AT181" s="78"/>
      <c r="AU181" s="78"/>
      <c r="AV181" s="78"/>
      <c r="AW181" s="78"/>
      <c r="AX181" s="78"/>
      <c r="AY181" s="91"/>
      <c r="AZ181" s="78"/>
      <c r="BA181" s="78"/>
      <c r="BB181" s="78"/>
      <c r="BC181" s="78"/>
      <c r="BD181" s="78"/>
      <c r="BE181" s="78"/>
      <c r="BF181" s="78"/>
      <c r="BG181" s="78"/>
      <c r="BH181" s="78"/>
      <c r="BI181" s="78"/>
      <c r="BJ181" s="78"/>
      <c r="BK181" s="78"/>
      <c r="BL181" s="78"/>
      <c r="BM181" s="78"/>
      <c r="BN181" s="78"/>
      <c r="BO181" s="78"/>
      <c r="BP181" s="78"/>
      <c r="BQ181" s="78"/>
      <c r="BR181" s="78"/>
      <c r="BS181" s="78"/>
      <c r="BT181" s="78"/>
      <c r="BU181" s="78"/>
      <c r="BV181" s="78"/>
      <c r="BW181" s="78"/>
      <c r="BX181" s="78"/>
      <c r="BY181" s="78"/>
      <c r="BZ181" s="78"/>
      <c r="CA181" s="78"/>
      <c r="CB181" s="78"/>
      <c r="CC181" s="78"/>
      <c r="CD181" s="78"/>
      <c r="CE181" s="78"/>
      <c r="CF181" s="78"/>
      <c r="CG181" s="78"/>
      <c r="CH181" s="78"/>
      <c r="CI181" s="78"/>
      <c r="CJ181" s="78"/>
      <c r="CK181" s="78"/>
      <c r="CL181" s="78"/>
      <c r="CM181" s="78"/>
      <c r="CN181" s="78"/>
      <c r="CO181" s="78"/>
      <c r="CP181" s="78"/>
      <c r="CQ181" s="78"/>
      <c r="CR181" s="78"/>
      <c r="CS181" s="78"/>
      <c r="CT181" s="78"/>
      <c r="CU181" s="78"/>
      <c r="CV181" s="78"/>
      <c r="CW181" s="78"/>
      <c r="CX181" s="78"/>
      <c r="CY181" s="78"/>
      <c r="CZ181" s="78"/>
      <c r="DA181" s="78"/>
      <c r="DB181" s="78"/>
      <c r="DC181" s="78"/>
      <c r="DD181" s="78"/>
      <c r="DE181" s="78"/>
      <c r="DF181" s="78"/>
      <c r="DG181" s="78"/>
      <c r="DH181" s="78"/>
      <c r="DI181" s="78"/>
      <c r="DJ181" s="78"/>
      <c r="DK181" s="78"/>
      <c r="DL181" s="78"/>
      <c r="DM181" s="78"/>
      <c r="DN181" s="78"/>
      <c r="DO181" s="78"/>
      <c r="DP181" s="78"/>
      <c r="DQ181" s="78"/>
      <c r="DR181" s="78"/>
      <c r="DS181" s="78"/>
      <c r="DT181" s="78"/>
      <c r="DU181" s="78"/>
      <c r="DV181" s="78"/>
      <c r="DW181" s="78"/>
      <c r="DX181" s="78"/>
      <c r="DY181" s="78"/>
      <c r="DZ181" s="78"/>
      <c r="EA181" s="78"/>
      <c r="EB181" s="78"/>
      <c r="EC181" s="78"/>
      <c r="ED181" s="78"/>
      <c r="EE181" s="78"/>
      <c r="EF181" s="78"/>
      <c r="EG181" s="78"/>
      <c r="EH181" s="78"/>
      <c r="EI181" s="78"/>
      <c r="EJ181" s="78"/>
      <c r="EK181" s="78"/>
      <c r="EL181" s="78"/>
      <c r="EM181" s="78"/>
      <c r="EN181" s="91"/>
      <c r="EO181" s="91"/>
      <c r="EP181" s="91"/>
      <c r="EQ181" s="91"/>
      <c r="ER181" s="91"/>
      <c r="ES181" s="91"/>
    </row>
    <row r="182" spans="1:149" outlineLevel="1">
      <c r="A182" s="29" t="str">
        <f t="shared" si="26"/>
        <v>PROPERTY_ENERGY_CERTIFICATEEP_SCORE</v>
      </c>
      <c r="B182" s="67" t="s">
        <v>26</v>
      </c>
      <c r="C182" s="68" t="s">
        <v>54</v>
      </c>
      <c r="D182" s="64" t="s">
        <v>40</v>
      </c>
      <c r="E182" s="66" t="s">
        <v>123</v>
      </c>
      <c r="F182" s="66" t="s">
        <v>135</v>
      </c>
      <c r="G182" s="64" t="str">
        <f>INDEX(Auxiliar!$B$16:$B$24,MATCH(Plano_V3!H182,Auxiliar!$C$16:$C$24,0),1)</f>
        <v>1. Concluído</v>
      </c>
      <c r="H182" s="64">
        <f>VLOOKUP(A182,'Aux - pivots1'!$A:$B,2,0)</f>
        <v>1</v>
      </c>
      <c r="I182" s="180">
        <f>SUMIFS(Table1[Estimação (horas)],Table1[Tabela],Plano_V3!E182,Table1[Campo],Plano_V3!F182)</f>
        <v>4.0999999999999996</v>
      </c>
      <c r="J182" s="180">
        <f t="shared" si="27"/>
        <v>0.51249999999999996</v>
      </c>
      <c r="K182" s="180">
        <f>SUMIFS(Table1[Horas efetivas],Table1[Tabela],Plano_V3!E182,Table1[Campo],Plano_V3!F182)</f>
        <v>4.0999999999999996</v>
      </c>
      <c r="L182" s="180">
        <f t="shared" si="28"/>
        <v>0.51249999999999996</v>
      </c>
      <c r="M182" s="174"/>
      <c r="N182" s="174">
        <f t="shared" si="29"/>
        <v>1</v>
      </c>
      <c r="O182" s="174">
        <f t="shared" si="24"/>
        <v>1</v>
      </c>
      <c r="P182" s="87" t="s">
        <v>124</v>
      </c>
      <c r="Q182" s="90">
        <f t="shared" si="25"/>
        <v>0.51249999999999996</v>
      </c>
      <c r="R182" s="78"/>
      <c r="S182" s="78"/>
      <c r="T182" s="78"/>
      <c r="U182" s="78"/>
      <c r="V182" s="78"/>
      <c r="W182" s="78"/>
      <c r="X182" s="78"/>
      <c r="Y182" s="78"/>
      <c r="Z182" s="78"/>
      <c r="AA182" s="78"/>
      <c r="AB182" s="78"/>
      <c r="AC182" s="78"/>
      <c r="AD182" s="78"/>
      <c r="AE182" s="78"/>
      <c r="AF182" s="78"/>
      <c r="AG182" s="78"/>
      <c r="AH182" s="78"/>
      <c r="AI182" s="78"/>
      <c r="AJ182" s="78"/>
      <c r="AK182" s="78"/>
      <c r="AL182" s="78"/>
      <c r="AM182" s="78"/>
      <c r="AN182" s="78"/>
      <c r="AO182" s="78"/>
      <c r="AP182" s="78"/>
      <c r="AQ182" s="78"/>
      <c r="AR182" s="78"/>
      <c r="AS182" s="78"/>
      <c r="AT182" s="78"/>
      <c r="AU182" s="78"/>
      <c r="AV182" s="78"/>
      <c r="AW182" s="78"/>
      <c r="AX182" s="78"/>
      <c r="AY182" s="91"/>
      <c r="AZ182" s="78"/>
      <c r="BA182" s="78"/>
      <c r="BB182" s="78"/>
      <c r="BC182" s="78"/>
      <c r="BD182" s="78"/>
      <c r="BE182" s="78"/>
      <c r="BF182" s="78"/>
      <c r="BG182" s="78"/>
      <c r="BH182" s="78"/>
      <c r="BI182" s="78"/>
      <c r="BJ182" s="78"/>
      <c r="BK182" s="78"/>
      <c r="BL182" s="78"/>
      <c r="BM182" s="78"/>
      <c r="BN182" s="78"/>
      <c r="BO182" s="78"/>
      <c r="BP182" s="78"/>
      <c r="BQ182" s="78"/>
      <c r="BR182" s="78"/>
      <c r="BS182" s="78"/>
      <c r="BT182" s="78"/>
      <c r="BU182" s="78"/>
      <c r="BV182" s="78"/>
      <c r="BW182" s="78"/>
      <c r="BX182" s="78"/>
      <c r="BY182" s="78"/>
      <c r="BZ182" s="78"/>
      <c r="CA182" s="78"/>
      <c r="CB182" s="78"/>
      <c r="CC182" s="78"/>
      <c r="CD182" s="78"/>
      <c r="CE182" s="78"/>
      <c r="CF182" s="78"/>
      <c r="CG182" s="78"/>
      <c r="CH182" s="78"/>
      <c r="CI182" s="78"/>
      <c r="CJ182" s="78"/>
      <c r="CK182" s="78"/>
      <c r="CL182" s="78"/>
      <c r="CM182" s="78"/>
      <c r="CN182" s="78"/>
      <c r="CO182" s="78"/>
      <c r="CP182" s="78"/>
      <c r="CQ182" s="78"/>
      <c r="CR182" s="78"/>
      <c r="CS182" s="78"/>
      <c r="CT182" s="78"/>
      <c r="CU182" s="78"/>
      <c r="CV182" s="78"/>
      <c r="CW182" s="78"/>
      <c r="CX182" s="78"/>
      <c r="CY182" s="78"/>
      <c r="CZ182" s="78"/>
      <c r="DA182" s="78"/>
      <c r="DB182" s="78"/>
      <c r="DC182" s="78"/>
      <c r="DD182" s="78"/>
      <c r="DE182" s="78"/>
      <c r="DF182" s="78"/>
      <c r="DG182" s="78"/>
      <c r="DH182" s="78"/>
      <c r="DI182" s="78"/>
      <c r="DJ182" s="78"/>
      <c r="DK182" s="78"/>
      <c r="DL182" s="78"/>
      <c r="DM182" s="78"/>
      <c r="DN182" s="78"/>
      <c r="DO182" s="78"/>
      <c r="DP182" s="78"/>
      <c r="DQ182" s="78"/>
      <c r="DR182" s="78"/>
      <c r="DS182" s="78"/>
      <c r="DT182" s="78"/>
      <c r="DU182" s="78"/>
      <c r="DV182" s="78"/>
      <c r="DW182" s="78"/>
      <c r="DX182" s="78"/>
      <c r="DY182" s="78"/>
      <c r="DZ182" s="78"/>
      <c r="EA182" s="78"/>
      <c r="EB182" s="78"/>
      <c r="EC182" s="78"/>
      <c r="ED182" s="78"/>
      <c r="EE182" s="78"/>
      <c r="EF182" s="78"/>
      <c r="EG182" s="78"/>
      <c r="EH182" s="78"/>
      <c r="EI182" s="78"/>
      <c r="EJ182" s="78"/>
      <c r="EK182" s="78"/>
      <c r="EL182" s="78"/>
      <c r="EM182" s="78"/>
      <c r="EN182" s="91"/>
      <c r="EO182" s="91"/>
      <c r="EP182" s="91"/>
      <c r="EQ182" s="91"/>
      <c r="ER182" s="91"/>
      <c r="ES182" s="91"/>
    </row>
    <row r="183" spans="1:149" outlineLevel="1">
      <c r="A183" s="29" t="str">
        <f t="shared" si="26"/>
        <v>PROPERTY_ENERGY_CERTIFICATESOURCE_CODE</v>
      </c>
      <c r="B183" s="67" t="s">
        <v>26</v>
      </c>
      <c r="C183" s="68" t="s">
        <v>54</v>
      </c>
      <c r="D183" s="64" t="s">
        <v>40</v>
      </c>
      <c r="E183" s="66" t="s">
        <v>123</v>
      </c>
      <c r="F183" s="66" t="s">
        <v>87</v>
      </c>
      <c r="G183" s="64" t="str">
        <f>INDEX(Auxiliar!$B$16:$B$24,MATCH(Plano_V3!H183,Auxiliar!$C$16:$C$24,0),1)</f>
        <v>1. Concluído</v>
      </c>
      <c r="H183" s="64">
        <f>VLOOKUP(A183,'Aux - pivots1'!$A:$B,2,0)</f>
        <v>1</v>
      </c>
      <c r="I183" s="180">
        <f>SUMIFS(Table1[Estimação (horas)],Table1[Tabela],Plano_V3!E183,Table1[Campo],Plano_V3!F183)</f>
        <v>4.0999999999999996</v>
      </c>
      <c r="J183" s="180">
        <f t="shared" si="27"/>
        <v>0.51249999999999996</v>
      </c>
      <c r="K183" s="180">
        <f>SUMIFS(Table1[Horas efetivas],Table1[Tabela],Plano_V3!E183,Table1[Campo],Plano_V3!F183)</f>
        <v>4.0999999999999996</v>
      </c>
      <c r="L183" s="180">
        <f t="shared" si="28"/>
        <v>0.51249999999999996</v>
      </c>
      <c r="M183" s="174"/>
      <c r="N183" s="174">
        <f t="shared" si="29"/>
        <v>1</v>
      </c>
      <c r="O183" s="174">
        <f t="shared" si="24"/>
        <v>1</v>
      </c>
      <c r="P183" s="87" t="s">
        <v>124</v>
      </c>
      <c r="Q183" s="90">
        <f t="shared" si="25"/>
        <v>0.51249999999999996</v>
      </c>
      <c r="R183" s="78"/>
      <c r="S183" s="78"/>
      <c r="T183" s="78"/>
      <c r="U183" s="78"/>
      <c r="V183" s="78"/>
      <c r="W183" s="78"/>
      <c r="X183" s="78"/>
      <c r="Y183" s="78"/>
      <c r="Z183" s="78"/>
      <c r="AA183" s="78"/>
      <c r="AB183" s="78"/>
      <c r="AC183" s="78"/>
      <c r="AD183" s="78"/>
      <c r="AE183" s="78"/>
      <c r="AF183" s="78"/>
      <c r="AG183" s="78"/>
      <c r="AH183" s="78"/>
      <c r="AI183" s="78"/>
      <c r="AJ183" s="78"/>
      <c r="AK183" s="78"/>
      <c r="AL183" s="78"/>
      <c r="AM183" s="78"/>
      <c r="AN183" s="78"/>
      <c r="AO183" s="78"/>
      <c r="AP183" s="78"/>
      <c r="AQ183" s="78"/>
      <c r="AR183" s="78"/>
      <c r="AS183" s="78"/>
      <c r="AT183" s="78"/>
      <c r="AU183" s="78"/>
      <c r="AV183" s="78"/>
      <c r="AW183" s="78"/>
      <c r="AX183" s="78"/>
      <c r="AY183" s="91"/>
      <c r="AZ183" s="78"/>
      <c r="BA183" s="78"/>
      <c r="BB183" s="78"/>
      <c r="BC183" s="78"/>
      <c r="BD183" s="78"/>
      <c r="BE183" s="78"/>
      <c r="BF183" s="78"/>
      <c r="BG183" s="78"/>
      <c r="BH183" s="78"/>
      <c r="BI183" s="78"/>
      <c r="BJ183" s="78"/>
      <c r="BK183" s="78"/>
      <c r="BL183" s="78"/>
      <c r="BM183" s="78"/>
      <c r="BN183" s="78"/>
      <c r="BO183" s="78"/>
      <c r="BP183" s="78"/>
      <c r="BQ183" s="78"/>
      <c r="BR183" s="78"/>
      <c r="BS183" s="78"/>
      <c r="BT183" s="78"/>
      <c r="BU183" s="78"/>
      <c r="BV183" s="78"/>
      <c r="BW183" s="78"/>
      <c r="BX183" s="78"/>
      <c r="BY183" s="78"/>
      <c r="BZ183" s="78"/>
      <c r="CA183" s="78"/>
      <c r="CB183" s="78"/>
      <c r="CC183" s="78"/>
      <c r="CD183" s="78"/>
      <c r="CE183" s="78"/>
      <c r="CF183" s="78"/>
      <c r="CG183" s="78"/>
      <c r="CH183" s="78"/>
      <c r="CI183" s="78"/>
      <c r="CJ183" s="78"/>
      <c r="CK183" s="78"/>
      <c r="CL183" s="78"/>
      <c r="CM183" s="78"/>
      <c r="CN183" s="78"/>
      <c r="CO183" s="78"/>
      <c r="CP183" s="78"/>
      <c r="CQ183" s="78"/>
      <c r="CR183" s="78"/>
      <c r="CS183" s="78"/>
      <c r="CT183" s="78"/>
      <c r="CU183" s="78"/>
      <c r="CV183" s="78"/>
      <c r="CW183" s="78"/>
      <c r="CX183" s="78"/>
      <c r="CY183" s="78"/>
      <c r="CZ183" s="78"/>
      <c r="DA183" s="78"/>
      <c r="DB183" s="78"/>
      <c r="DC183" s="78"/>
      <c r="DD183" s="78"/>
      <c r="DE183" s="78"/>
      <c r="DF183" s="78"/>
      <c r="DG183" s="78"/>
      <c r="DH183" s="78"/>
      <c r="DI183" s="78"/>
      <c r="DJ183" s="78"/>
      <c r="DK183" s="78"/>
      <c r="DL183" s="78"/>
      <c r="DM183" s="78"/>
      <c r="DN183" s="78"/>
      <c r="DO183" s="78"/>
      <c r="DP183" s="78"/>
      <c r="DQ183" s="78"/>
      <c r="DR183" s="78"/>
      <c r="DS183" s="78"/>
      <c r="DT183" s="78"/>
      <c r="DU183" s="78"/>
      <c r="DV183" s="78"/>
      <c r="DW183" s="78"/>
      <c r="DX183" s="78"/>
      <c r="DY183" s="78"/>
      <c r="DZ183" s="78"/>
      <c r="EA183" s="78"/>
      <c r="EB183" s="78"/>
      <c r="EC183" s="78"/>
      <c r="ED183" s="78"/>
      <c r="EE183" s="78"/>
      <c r="EF183" s="78"/>
      <c r="EG183" s="78"/>
      <c r="EH183" s="78"/>
      <c r="EI183" s="78"/>
      <c r="EJ183" s="78"/>
      <c r="EK183" s="78"/>
      <c r="EL183" s="78"/>
      <c r="EM183" s="78"/>
      <c r="EN183" s="91"/>
      <c r="EO183" s="91"/>
      <c r="EP183" s="91"/>
      <c r="EQ183" s="91"/>
      <c r="ER183" s="91"/>
      <c r="ES183" s="91"/>
    </row>
    <row r="184" spans="1:149" outlineLevel="1">
      <c r="A184" s="29" t="str">
        <f t="shared" si="26"/>
        <v>PROPERTY_ENERGY_CERTIFICATEDATA_DATE_PART</v>
      </c>
      <c r="B184" s="67" t="s">
        <v>26</v>
      </c>
      <c r="C184" s="68" t="s">
        <v>54</v>
      </c>
      <c r="D184" s="64" t="s">
        <v>40</v>
      </c>
      <c r="E184" s="66" t="s">
        <v>123</v>
      </c>
      <c r="F184" s="66" t="s">
        <v>73</v>
      </c>
      <c r="G184" s="64" t="str">
        <f>INDEX(Auxiliar!$B$16:$B$24,MATCH(Plano_V3!H184,Auxiliar!$C$16:$C$24,0),1)</f>
        <v>1. Concluído</v>
      </c>
      <c r="H184" s="64">
        <f>VLOOKUP(A184,'Aux - pivots1'!$A:$B,2,0)</f>
        <v>1</v>
      </c>
      <c r="I184" s="180">
        <f>SUMIFS(Table1[Estimação (horas)],Table1[Tabela],Plano_V3!E184,Table1[Campo],Plano_V3!F184)</f>
        <v>4.0999999999999996</v>
      </c>
      <c r="J184" s="180">
        <f t="shared" si="27"/>
        <v>0.51249999999999996</v>
      </c>
      <c r="K184" s="180">
        <f>SUMIFS(Table1[Horas efetivas],Table1[Tabela],Plano_V3!E184,Table1[Campo],Plano_V3!F184)</f>
        <v>4.0999999999999996</v>
      </c>
      <c r="L184" s="180">
        <f t="shared" si="28"/>
        <v>0.51249999999999996</v>
      </c>
      <c r="M184" s="174"/>
      <c r="N184" s="174">
        <f t="shared" si="29"/>
        <v>1</v>
      </c>
      <c r="O184" s="174">
        <f t="shared" si="24"/>
        <v>1</v>
      </c>
      <c r="P184" s="87" t="s">
        <v>124</v>
      </c>
      <c r="Q184" s="90">
        <f t="shared" si="25"/>
        <v>0.51249999999999996</v>
      </c>
      <c r="R184" s="78"/>
      <c r="S184" s="78"/>
      <c r="T184" s="78"/>
      <c r="U184" s="78"/>
      <c r="V184" s="78"/>
      <c r="W184" s="78"/>
      <c r="X184" s="78"/>
      <c r="Y184" s="78"/>
      <c r="Z184" s="78"/>
      <c r="AA184" s="78"/>
      <c r="AB184" s="78"/>
      <c r="AC184" s="78"/>
      <c r="AD184" s="78"/>
      <c r="AE184" s="78"/>
      <c r="AF184" s="78"/>
      <c r="AG184" s="78"/>
      <c r="AH184" s="78"/>
      <c r="AI184" s="78"/>
      <c r="AJ184" s="78"/>
      <c r="AK184" s="78"/>
      <c r="AL184" s="78"/>
      <c r="AM184" s="78"/>
      <c r="AN184" s="78"/>
      <c r="AO184" s="78"/>
      <c r="AP184" s="78"/>
      <c r="AQ184" s="78"/>
      <c r="AR184" s="78"/>
      <c r="AS184" s="78"/>
      <c r="AT184" s="78"/>
      <c r="AU184" s="78"/>
      <c r="AV184" s="78"/>
      <c r="AW184" s="78"/>
      <c r="AX184" s="78"/>
      <c r="AY184" s="91"/>
      <c r="AZ184" s="78"/>
      <c r="BA184" s="78"/>
      <c r="BB184" s="78"/>
      <c r="BC184" s="78"/>
      <c r="BD184" s="78"/>
      <c r="BE184" s="78"/>
      <c r="BF184" s="78"/>
      <c r="BG184" s="78"/>
      <c r="BH184" s="78"/>
      <c r="BI184" s="78"/>
      <c r="BJ184" s="78"/>
      <c r="BK184" s="78"/>
      <c r="BL184" s="78"/>
      <c r="BM184" s="78"/>
      <c r="BN184" s="78"/>
      <c r="BO184" s="78"/>
      <c r="BP184" s="78"/>
      <c r="BQ184" s="78"/>
      <c r="BR184" s="78"/>
      <c r="BS184" s="78"/>
      <c r="BT184" s="78"/>
      <c r="BU184" s="78"/>
      <c r="BV184" s="78"/>
      <c r="BW184" s="78"/>
      <c r="BX184" s="78"/>
      <c r="BY184" s="78"/>
      <c r="BZ184" s="78"/>
      <c r="CA184" s="78"/>
      <c r="CB184" s="78"/>
      <c r="CC184" s="78"/>
      <c r="CD184" s="78"/>
      <c r="CE184" s="78"/>
      <c r="CF184" s="78"/>
      <c r="CG184" s="78"/>
      <c r="CH184" s="78"/>
      <c r="CI184" s="78"/>
      <c r="CJ184" s="78"/>
      <c r="CK184" s="78"/>
      <c r="CL184" s="78"/>
      <c r="CM184" s="78"/>
      <c r="CN184" s="78"/>
      <c r="CO184" s="78"/>
      <c r="CP184" s="78"/>
      <c r="CQ184" s="78"/>
      <c r="CR184" s="78"/>
      <c r="CS184" s="78"/>
      <c r="CT184" s="78"/>
      <c r="CU184" s="78"/>
      <c r="CV184" s="78"/>
      <c r="CW184" s="78"/>
      <c r="CX184" s="78"/>
      <c r="CY184" s="78"/>
      <c r="CZ184" s="78"/>
      <c r="DA184" s="78"/>
      <c r="DB184" s="78"/>
      <c r="DC184" s="78"/>
      <c r="DD184" s="78"/>
      <c r="DE184" s="78"/>
      <c r="DF184" s="78"/>
      <c r="DG184" s="78"/>
      <c r="DH184" s="78"/>
      <c r="DI184" s="78"/>
      <c r="DJ184" s="78"/>
      <c r="DK184" s="78"/>
      <c r="DL184" s="78"/>
      <c r="DM184" s="78"/>
      <c r="DN184" s="78"/>
      <c r="DO184" s="78"/>
      <c r="DP184" s="78"/>
      <c r="DQ184" s="78"/>
      <c r="DR184" s="78"/>
      <c r="DS184" s="78"/>
      <c r="DT184" s="78"/>
      <c r="DU184" s="78"/>
      <c r="DV184" s="78"/>
      <c r="DW184" s="78"/>
      <c r="DX184" s="78"/>
      <c r="DY184" s="78"/>
      <c r="DZ184" s="78"/>
      <c r="EA184" s="78"/>
      <c r="EB184" s="78"/>
      <c r="EC184" s="78"/>
      <c r="ED184" s="78"/>
      <c r="EE184" s="78"/>
      <c r="EF184" s="78"/>
      <c r="EG184" s="78"/>
      <c r="EH184" s="78"/>
      <c r="EI184" s="78"/>
      <c r="EJ184" s="78"/>
      <c r="EK184" s="78"/>
      <c r="EL184" s="78"/>
      <c r="EM184" s="78"/>
      <c r="EN184" s="91"/>
      <c r="EO184" s="91"/>
      <c r="EP184" s="91"/>
      <c r="EQ184" s="91"/>
      <c r="ER184" s="91"/>
      <c r="ES184" s="91"/>
    </row>
    <row r="185" spans="1:149" outlineLevel="1">
      <c r="A185" s="29" t="str">
        <f t="shared" si="26"/>
        <v>PROPERTY_ENERGY_CERTIFICATECERTIFICATE_TYPE</v>
      </c>
      <c r="B185" s="67" t="s">
        <v>26</v>
      </c>
      <c r="C185" s="68" t="s">
        <v>54</v>
      </c>
      <c r="D185" s="64" t="s">
        <v>40</v>
      </c>
      <c r="E185" s="66" t="s">
        <v>123</v>
      </c>
      <c r="F185" s="66" t="s">
        <v>136</v>
      </c>
      <c r="G185" s="64" t="str">
        <f>INDEX(Auxiliar!$B$16:$B$24,MATCH(Plano_V3!H185,Auxiliar!$C$16:$C$24,0),1)</f>
        <v>1. Concluído</v>
      </c>
      <c r="H185" s="64">
        <f>VLOOKUP(A185,'Aux - pivots1'!$A:$B,2,0)</f>
        <v>1</v>
      </c>
      <c r="I185" s="180">
        <f>SUMIFS(Table1[Estimação (horas)],Table1[Tabela],Plano_V3!E185,Table1[Campo],Plano_V3!F185)</f>
        <v>4.0999999999999996</v>
      </c>
      <c r="J185" s="180">
        <f t="shared" si="27"/>
        <v>0.51249999999999996</v>
      </c>
      <c r="K185" s="180">
        <f>SUMIFS(Table1[Horas efetivas],Table1[Tabela],Plano_V3!E185,Table1[Campo],Plano_V3!F185)</f>
        <v>4.0999999999999996</v>
      </c>
      <c r="L185" s="180">
        <f t="shared" si="28"/>
        <v>0.51249999999999996</v>
      </c>
      <c r="M185" s="174"/>
      <c r="N185" s="174">
        <f t="shared" si="29"/>
        <v>1</v>
      </c>
      <c r="O185" s="174">
        <f t="shared" si="24"/>
        <v>1</v>
      </c>
      <c r="P185" s="87" t="s">
        <v>124</v>
      </c>
      <c r="Q185" s="90">
        <f t="shared" si="25"/>
        <v>0.51249999999999996</v>
      </c>
      <c r="R185" s="78"/>
      <c r="S185" s="78"/>
      <c r="T185" s="78"/>
      <c r="U185" s="78"/>
      <c r="V185" s="78"/>
      <c r="W185" s="78"/>
      <c r="X185" s="78"/>
      <c r="Y185" s="78"/>
      <c r="Z185" s="78"/>
      <c r="AA185" s="78"/>
      <c r="AB185" s="78"/>
      <c r="AC185" s="78"/>
      <c r="AD185" s="78"/>
      <c r="AE185" s="78"/>
      <c r="AF185" s="78"/>
      <c r="AG185" s="78"/>
      <c r="AH185" s="78"/>
      <c r="AI185" s="78"/>
      <c r="AJ185" s="78"/>
      <c r="AK185" s="78"/>
      <c r="AL185" s="78"/>
      <c r="AM185" s="78"/>
      <c r="AN185" s="78"/>
      <c r="AO185" s="78"/>
      <c r="AP185" s="78"/>
      <c r="AQ185" s="78"/>
      <c r="AR185" s="78"/>
      <c r="AS185" s="78"/>
      <c r="AT185" s="78"/>
      <c r="AU185" s="78"/>
      <c r="AV185" s="78"/>
      <c r="AW185" s="78"/>
      <c r="AX185" s="78"/>
      <c r="AY185" s="91"/>
      <c r="AZ185" s="78"/>
      <c r="BA185" s="78"/>
      <c r="BB185" s="78"/>
      <c r="BC185" s="78"/>
      <c r="BD185" s="78"/>
      <c r="BE185" s="78"/>
      <c r="BF185" s="78"/>
      <c r="BG185" s="78"/>
      <c r="BH185" s="78"/>
      <c r="BI185" s="78"/>
      <c r="BJ185" s="78"/>
      <c r="BK185" s="78"/>
      <c r="BL185" s="78"/>
      <c r="BM185" s="78"/>
      <c r="BN185" s="78"/>
      <c r="BO185" s="78"/>
      <c r="BP185" s="78"/>
      <c r="BQ185" s="78"/>
      <c r="BR185" s="78"/>
      <c r="BS185" s="78"/>
      <c r="BT185" s="78"/>
      <c r="BU185" s="78"/>
      <c r="BV185" s="78"/>
      <c r="BW185" s="78"/>
      <c r="BX185" s="78"/>
      <c r="BY185" s="78"/>
      <c r="BZ185" s="78"/>
      <c r="CA185" s="78"/>
      <c r="CB185" s="78"/>
      <c r="CC185" s="78"/>
      <c r="CD185" s="78"/>
      <c r="CE185" s="78"/>
      <c r="CF185" s="78"/>
      <c r="CG185" s="78"/>
      <c r="CH185" s="78"/>
      <c r="CI185" s="78"/>
      <c r="CJ185" s="78"/>
      <c r="CK185" s="78"/>
      <c r="CL185" s="78"/>
      <c r="CM185" s="78"/>
      <c r="CN185" s="78"/>
      <c r="CO185" s="78"/>
      <c r="CP185" s="78"/>
      <c r="CQ185" s="78"/>
      <c r="CR185" s="78"/>
      <c r="CS185" s="78"/>
      <c r="CT185" s="78"/>
      <c r="CU185" s="78"/>
      <c r="CV185" s="78"/>
      <c r="CW185" s="78"/>
      <c r="CX185" s="78"/>
      <c r="CY185" s="78"/>
      <c r="CZ185" s="78"/>
      <c r="DA185" s="78"/>
      <c r="DB185" s="78"/>
      <c r="DC185" s="78"/>
      <c r="DD185" s="78"/>
      <c r="DE185" s="78"/>
      <c r="DF185" s="78"/>
      <c r="DG185" s="78"/>
      <c r="DH185" s="78"/>
      <c r="DI185" s="78"/>
      <c r="DJ185" s="78"/>
      <c r="DK185" s="78"/>
      <c r="DL185" s="78"/>
      <c r="DM185" s="78"/>
      <c r="DN185" s="78"/>
      <c r="DO185" s="78"/>
      <c r="DP185" s="78"/>
      <c r="DQ185" s="78"/>
      <c r="DR185" s="78"/>
      <c r="DS185" s="78"/>
      <c r="DT185" s="78"/>
      <c r="DU185" s="78"/>
      <c r="DV185" s="78"/>
      <c r="DW185" s="78"/>
      <c r="DX185" s="78"/>
      <c r="DY185" s="78"/>
      <c r="DZ185" s="78"/>
      <c r="EA185" s="78"/>
      <c r="EB185" s="78"/>
      <c r="EC185" s="78"/>
      <c r="ED185" s="78"/>
      <c r="EE185" s="78"/>
      <c r="EF185" s="78"/>
      <c r="EG185" s="78"/>
      <c r="EH185" s="78"/>
      <c r="EI185" s="78"/>
      <c r="EJ185" s="78"/>
      <c r="EK185" s="78"/>
      <c r="EL185" s="78"/>
      <c r="EM185" s="78"/>
      <c r="EN185" s="91"/>
      <c r="EO185" s="91"/>
      <c r="EP185" s="91"/>
      <c r="EQ185" s="91"/>
      <c r="ER185" s="91"/>
      <c r="ES185" s="91"/>
    </row>
    <row r="186" spans="1:149" outlineLevel="1">
      <c r="A186" s="29" t="str">
        <f t="shared" si="26"/>
        <v>PROPERTY_ENERGY_CERTIFICATEBUILDING_DOMEST_HOTWATER_VALUE</v>
      </c>
      <c r="B186" s="67" t="s">
        <v>26</v>
      </c>
      <c r="C186" s="68" t="s">
        <v>54</v>
      </c>
      <c r="D186" s="64" t="s">
        <v>40</v>
      </c>
      <c r="E186" s="66" t="s">
        <v>123</v>
      </c>
      <c r="F186" s="66" t="s">
        <v>137</v>
      </c>
      <c r="G186" s="64" t="str">
        <f>INDEX(Auxiliar!$B$16:$B$24,MATCH(Plano_V3!H186,Auxiliar!$C$16:$C$24,0),1)</f>
        <v>1. Concluído</v>
      </c>
      <c r="H186" s="64">
        <f>VLOOKUP(A186,'Aux - pivots1'!$A:$B,2,0)</f>
        <v>1</v>
      </c>
      <c r="I186" s="180">
        <f>SUMIFS(Table1[Estimação (horas)],Table1[Tabela],Plano_V3!E186,Table1[Campo],Plano_V3!F186)</f>
        <v>4.0999999999999996</v>
      </c>
      <c r="J186" s="180">
        <f t="shared" si="27"/>
        <v>0.51249999999999996</v>
      </c>
      <c r="K186" s="180">
        <f>SUMIFS(Table1[Horas efetivas],Table1[Tabela],Plano_V3!E186,Table1[Campo],Plano_V3!F186)</f>
        <v>4.0999999999999996</v>
      </c>
      <c r="L186" s="180">
        <f t="shared" si="28"/>
        <v>0.51249999999999996</v>
      </c>
      <c r="M186" s="174"/>
      <c r="N186" s="174">
        <f t="shared" si="29"/>
        <v>1</v>
      </c>
      <c r="O186" s="174">
        <f t="shared" si="24"/>
        <v>1</v>
      </c>
      <c r="P186" s="87" t="s">
        <v>124</v>
      </c>
      <c r="Q186" s="90">
        <f t="shared" si="25"/>
        <v>0.51249999999999996</v>
      </c>
      <c r="R186" s="78"/>
      <c r="S186" s="78"/>
      <c r="T186" s="78"/>
      <c r="U186" s="78"/>
      <c r="V186" s="78"/>
      <c r="W186" s="78"/>
      <c r="X186" s="78"/>
      <c r="Y186" s="78"/>
      <c r="Z186" s="78"/>
      <c r="AA186" s="78"/>
      <c r="AB186" s="78"/>
      <c r="AC186" s="78"/>
      <c r="AD186" s="78"/>
      <c r="AE186" s="78"/>
      <c r="AF186" s="78"/>
      <c r="AG186" s="78"/>
      <c r="AH186" s="78"/>
      <c r="AI186" s="78"/>
      <c r="AJ186" s="78"/>
      <c r="AK186" s="78"/>
      <c r="AL186" s="78"/>
      <c r="AM186" s="78"/>
      <c r="AN186" s="78"/>
      <c r="AO186" s="78"/>
      <c r="AP186" s="78"/>
      <c r="AQ186" s="78"/>
      <c r="AR186" s="78"/>
      <c r="AS186" s="78"/>
      <c r="AT186" s="78"/>
      <c r="AU186" s="78"/>
      <c r="AV186" s="78"/>
      <c r="AW186" s="78"/>
      <c r="AX186" s="78"/>
      <c r="AY186" s="91"/>
      <c r="AZ186" s="78"/>
      <c r="BA186" s="78"/>
      <c r="BB186" s="78"/>
      <c r="BC186" s="78"/>
      <c r="BD186" s="78"/>
      <c r="BE186" s="78"/>
      <c r="BF186" s="78"/>
      <c r="BG186" s="78"/>
      <c r="BH186" s="78"/>
      <c r="BI186" s="78"/>
      <c r="BJ186" s="78"/>
      <c r="BK186" s="78"/>
      <c r="BL186" s="78"/>
      <c r="BM186" s="78"/>
      <c r="BN186" s="78"/>
      <c r="BO186" s="78"/>
      <c r="BP186" s="78"/>
      <c r="BQ186" s="78"/>
      <c r="BR186" s="78"/>
      <c r="BS186" s="78"/>
      <c r="BT186" s="78"/>
      <c r="BU186" s="78"/>
      <c r="BV186" s="78"/>
      <c r="BW186" s="78"/>
      <c r="BX186" s="78"/>
      <c r="BY186" s="78"/>
      <c r="BZ186" s="78"/>
      <c r="CA186" s="78"/>
      <c r="CB186" s="78"/>
      <c r="CC186" s="78"/>
      <c r="CD186" s="78"/>
      <c r="CE186" s="78"/>
      <c r="CF186" s="78"/>
      <c r="CG186" s="78"/>
      <c r="CH186" s="78"/>
      <c r="CI186" s="78"/>
      <c r="CJ186" s="78"/>
      <c r="CK186" s="78"/>
      <c r="CL186" s="78"/>
      <c r="CM186" s="78"/>
      <c r="CN186" s="78"/>
      <c r="CO186" s="78"/>
      <c r="CP186" s="78"/>
      <c r="CQ186" s="78"/>
      <c r="CR186" s="78"/>
      <c r="CS186" s="78"/>
      <c r="CT186" s="78"/>
      <c r="CU186" s="78"/>
      <c r="CV186" s="78"/>
      <c r="CW186" s="78"/>
      <c r="CX186" s="78"/>
      <c r="CY186" s="78"/>
      <c r="CZ186" s="78"/>
      <c r="DA186" s="78"/>
      <c r="DB186" s="78"/>
      <c r="DC186" s="78"/>
      <c r="DD186" s="78"/>
      <c r="DE186" s="78"/>
      <c r="DF186" s="78"/>
      <c r="DG186" s="78"/>
      <c r="DH186" s="78"/>
      <c r="DI186" s="78"/>
      <c r="DJ186" s="78"/>
      <c r="DK186" s="78"/>
      <c r="DL186" s="78"/>
      <c r="DM186" s="78"/>
      <c r="DN186" s="78"/>
      <c r="DO186" s="78"/>
      <c r="DP186" s="78"/>
      <c r="DQ186" s="78"/>
      <c r="DR186" s="78"/>
      <c r="DS186" s="78"/>
      <c r="DT186" s="78"/>
      <c r="DU186" s="78"/>
      <c r="DV186" s="78"/>
      <c r="DW186" s="78"/>
      <c r="DX186" s="78"/>
      <c r="DY186" s="78"/>
      <c r="DZ186" s="78"/>
      <c r="EA186" s="78"/>
      <c r="EB186" s="78"/>
      <c r="EC186" s="78"/>
      <c r="ED186" s="78"/>
      <c r="EE186" s="78"/>
      <c r="EF186" s="78"/>
      <c r="EG186" s="78"/>
      <c r="EH186" s="78"/>
      <c r="EI186" s="78"/>
      <c r="EJ186" s="78"/>
      <c r="EK186" s="78"/>
      <c r="EL186" s="78"/>
      <c r="EM186" s="78"/>
      <c r="EN186" s="91"/>
      <c r="EO186" s="91"/>
      <c r="EP186" s="91"/>
      <c r="EQ186" s="91"/>
      <c r="ER186" s="91"/>
      <c r="ES186" s="91"/>
    </row>
    <row r="187" spans="1:149" outlineLevel="1">
      <c r="A187" s="29" t="str">
        <f t="shared" si="26"/>
        <v>PROPERTY_ENERGY_CERTIFICATERENEWABLE_DOMEST_HOTWATER_VALUE</v>
      </c>
      <c r="B187" s="67" t="s">
        <v>26</v>
      </c>
      <c r="C187" s="68" t="s">
        <v>54</v>
      </c>
      <c r="D187" s="64" t="s">
        <v>40</v>
      </c>
      <c r="E187" s="66" t="s">
        <v>123</v>
      </c>
      <c r="F187" s="66" t="s">
        <v>138</v>
      </c>
      <c r="G187" s="64" t="str">
        <f>INDEX(Auxiliar!$B$16:$B$24,MATCH(Plano_V3!H187,Auxiliar!$C$16:$C$24,0),1)</f>
        <v>1. Concluído</v>
      </c>
      <c r="H187" s="64">
        <f>VLOOKUP(A187,'Aux - pivots1'!$A:$B,2,0)</f>
        <v>1</v>
      </c>
      <c r="I187" s="180">
        <f>SUMIFS(Table1[Estimação (horas)],Table1[Tabela],Plano_V3!E187,Table1[Campo],Plano_V3!F187)</f>
        <v>4.0999999999999996</v>
      </c>
      <c r="J187" s="180">
        <f t="shared" si="27"/>
        <v>0.51249999999999996</v>
      </c>
      <c r="K187" s="180">
        <f>SUMIFS(Table1[Horas efetivas],Table1[Tabela],Plano_V3!E187,Table1[Campo],Plano_V3!F187)</f>
        <v>4.0999999999999996</v>
      </c>
      <c r="L187" s="180">
        <f t="shared" si="28"/>
        <v>0.51249999999999996</v>
      </c>
      <c r="M187" s="174"/>
      <c r="N187" s="174">
        <f t="shared" si="29"/>
        <v>1</v>
      </c>
      <c r="O187" s="174">
        <f t="shared" si="24"/>
        <v>1</v>
      </c>
      <c r="P187" s="87" t="s">
        <v>124</v>
      </c>
      <c r="Q187" s="90">
        <f t="shared" si="25"/>
        <v>0.51249999999999996</v>
      </c>
      <c r="R187" s="78"/>
      <c r="S187" s="78"/>
      <c r="T187" s="78"/>
      <c r="U187" s="78"/>
      <c r="V187" s="78"/>
      <c r="W187" s="78"/>
      <c r="X187" s="78"/>
      <c r="Y187" s="78"/>
      <c r="Z187" s="78"/>
      <c r="AA187" s="78"/>
      <c r="AB187" s="78"/>
      <c r="AC187" s="78"/>
      <c r="AD187" s="78"/>
      <c r="AE187" s="78"/>
      <c r="AF187" s="78"/>
      <c r="AG187" s="78"/>
      <c r="AH187" s="78"/>
      <c r="AI187" s="78"/>
      <c r="AJ187" s="78"/>
      <c r="AK187" s="78"/>
      <c r="AL187" s="78"/>
      <c r="AM187" s="78"/>
      <c r="AN187" s="78"/>
      <c r="AO187" s="78"/>
      <c r="AP187" s="78"/>
      <c r="AQ187" s="78"/>
      <c r="AR187" s="78"/>
      <c r="AS187" s="78"/>
      <c r="AT187" s="78"/>
      <c r="AU187" s="78"/>
      <c r="AV187" s="78"/>
      <c r="AW187" s="78"/>
      <c r="AX187" s="78"/>
      <c r="AY187" s="91"/>
      <c r="AZ187" s="78"/>
      <c r="BA187" s="78"/>
      <c r="BB187" s="78"/>
      <c r="BC187" s="78"/>
      <c r="BD187" s="78"/>
      <c r="BE187" s="78"/>
      <c r="BF187" s="78"/>
      <c r="BG187" s="78"/>
      <c r="BH187" s="78"/>
      <c r="BI187" s="78"/>
      <c r="BJ187" s="78"/>
      <c r="BK187" s="78"/>
      <c r="BL187" s="78"/>
      <c r="BM187" s="78"/>
      <c r="BN187" s="78"/>
      <c r="BO187" s="78"/>
      <c r="BP187" s="78"/>
      <c r="BQ187" s="78"/>
      <c r="BR187" s="78"/>
      <c r="BS187" s="78"/>
      <c r="BT187" s="78"/>
      <c r="BU187" s="78"/>
      <c r="BV187" s="78"/>
      <c r="BW187" s="78"/>
      <c r="BX187" s="78"/>
      <c r="BY187" s="78"/>
      <c r="BZ187" s="78"/>
      <c r="CA187" s="78"/>
      <c r="CB187" s="78"/>
      <c r="CC187" s="78"/>
      <c r="CD187" s="78"/>
      <c r="CE187" s="78"/>
      <c r="CF187" s="78"/>
      <c r="CG187" s="78"/>
      <c r="CH187" s="78"/>
      <c r="CI187" s="78"/>
      <c r="CJ187" s="78"/>
      <c r="CK187" s="78"/>
      <c r="CL187" s="78"/>
      <c r="CM187" s="78"/>
      <c r="CN187" s="78"/>
      <c r="CO187" s="78"/>
      <c r="CP187" s="78"/>
      <c r="CQ187" s="78"/>
      <c r="CR187" s="78"/>
      <c r="CS187" s="78"/>
      <c r="CT187" s="78"/>
      <c r="CU187" s="78"/>
      <c r="CV187" s="78"/>
      <c r="CW187" s="78"/>
      <c r="CX187" s="78"/>
      <c r="CY187" s="78"/>
      <c r="CZ187" s="78"/>
      <c r="DA187" s="78"/>
      <c r="DB187" s="78"/>
      <c r="DC187" s="78"/>
      <c r="DD187" s="78"/>
      <c r="DE187" s="78"/>
      <c r="DF187" s="78"/>
      <c r="DG187" s="78"/>
      <c r="DH187" s="78"/>
      <c r="DI187" s="78"/>
      <c r="DJ187" s="78"/>
      <c r="DK187" s="78"/>
      <c r="DL187" s="78"/>
      <c r="DM187" s="78"/>
      <c r="DN187" s="78"/>
      <c r="DO187" s="78"/>
      <c r="DP187" s="78"/>
      <c r="DQ187" s="78"/>
      <c r="DR187" s="78"/>
      <c r="DS187" s="78"/>
      <c r="DT187" s="78"/>
      <c r="DU187" s="78"/>
      <c r="DV187" s="78"/>
      <c r="DW187" s="78"/>
      <c r="DX187" s="78"/>
      <c r="DY187" s="78"/>
      <c r="DZ187" s="78"/>
      <c r="EA187" s="78"/>
      <c r="EB187" s="78"/>
      <c r="EC187" s="78"/>
      <c r="ED187" s="78"/>
      <c r="EE187" s="78"/>
      <c r="EF187" s="78"/>
      <c r="EG187" s="78"/>
      <c r="EH187" s="78"/>
      <c r="EI187" s="78"/>
      <c r="EJ187" s="78"/>
      <c r="EK187" s="78"/>
      <c r="EL187" s="78"/>
      <c r="EM187" s="78"/>
      <c r="EN187" s="91"/>
      <c r="EO187" s="91"/>
      <c r="EP187" s="91"/>
      <c r="EQ187" s="91"/>
      <c r="ER187" s="91"/>
      <c r="ES187" s="91"/>
    </row>
    <row r="188" spans="1:149" outlineLevel="1">
      <c r="A188" s="29" t="str">
        <f t="shared" si="26"/>
        <v>PROPERTY_ENERGY_CERTIFICATEDOMEST_HOTWATER_REF_VALUE</v>
      </c>
      <c r="B188" s="67" t="s">
        <v>26</v>
      </c>
      <c r="C188" s="68" t="s">
        <v>54</v>
      </c>
      <c r="D188" s="64" t="s">
        <v>40</v>
      </c>
      <c r="E188" s="66" t="s">
        <v>123</v>
      </c>
      <c r="F188" s="66" t="s">
        <v>139</v>
      </c>
      <c r="G188" s="64" t="str">
        <f>INDEX(Auxiliar!$B$16:$B$24,MATCH(Plano_V3!H188,Auxiliar!$C$16:$C$24,0),1)</f>
        <v>1. Concluído</v>
      </c>
      <c r="H188" s="64">
        <f>VLOOKUP(A188,'Aux - pivots1'!$A:$B,2,0)</f>
        <v>1</v>
      </c>
      <c r="I188" s="180">
        <f>SUMIFS(Table1[Estimação (horas)],Table1[Tabela],Plano_V3!E188,Table1[Campo],Plano_V3!F188)</f>
        <v>4.0999999999999996</v>
      </c>
      <c r="J188" s="180">
        <f t="shared" si="27"/>
        <v>0.51249999999999996</v>
      </c>
      <c r="K188" s="180">
        <f>SUMIFS(Table1[Horas efetivas],Table1[Tabela],Plano_V3!E188,Table1[Campo],Plano_V3!F188)</f>
        <v>4.0999999999999996</v>
      </c>
      <c r="L188" s="180">
        <f t="shared" si="28"/>
        <v>0.51249999999999996</v>
      </c>
      <c r="M188" s="174"/>
      <c r="N188" s="174">
        <f t="shared" si="29"/>
        <v>1</v>
      </c>
      <c r="O188" s="174">
        <f t="shared" ref="O188:O256" si="30">N188-M188</f>
        <v>1</v>
      </c>
      <c r="P188" s="87" t="s">
        <v>124</v>
      </c>
      <c r="Q188" s="90">
        <f t="shared" si="25"/>
        <v>0.51249999999999996</v>
      </c>
      <c r="R188" s="78"/>
      <c r="S188" s="78"/>
      <c r="T188" s="78"/>
      <c r="U188" s="78"/>
      <c r="V188" s="78"/>
      <c r="W188" s="78"/>
      <c r="X188" s="78"/>
      <c r="Y188" s="78"/>
      <c r="Z188" s="78"/>
      <c r="AA188" s="78"/>
      <c r="AB188" s="78"/>
      <c r="AC188" s="78"/>
      <c r="AD188" s="78"/>
      <c r="AE188" s="78"/>
      <c r="AF188" s="78"/>
      <c r="AG188" s="78"/>
      <c r="AH188" s="78"/>
      <c r="AI188" s="78"/>
      <c r="AJ188" s="78"/>
      <c r="AK188" s="78"/>
      <c r="AL188" s="78"/>
      <c r="AM188" s="78"/>
      <c r="AN188" s="78"/>
      <c r="AO188" s="78"/>
      <c r="AP188" s="78"/>
      <c r="AQ188" s="78"/>
      <c r="AR188" s="78"/>
      <c r="AS188" s="78"/>
      <c r="AT188" s="78"/>
      <c r="AU188" s="78"/>
      <c r="AV188" s="78"/>
      <c r="AW188" s="78"/>
      <c r="AX188" s="78"/>
      <c r="AY188" s="91"/>
      <c r="AZ188" s="78"/>
      <c r="BA188" s="78"/>
      <c r="BB188" s="78"/>
      <c r="BC188" s="78"/>
      <c r="BD188" s="78"/>
      <c r="BE188" s="78"/>
      <c r="BF188" s="78"/>
      <c r="BG188" s="78"/>
      <c r="BH188" s="78"/>
      <c r="BI188" s="78"/>
      <c r="BJ188" s="78"/>
      <c r="BK188" s="78"/>
      <c r="BL188" s="78"/>
      <c r="BM188" s="78"/>
      <c r="BN188" s="78"/>
      <c r="BO188" s="78"/>
      <c r="BP188" s="78"/>
      <c r="BQ188" s="78"/>
      <c r="BR188" s="78"/>
      <c r="BS188" s="78"/>
      <c r="BT188" s="78"/>
      <c r="BU188" s="78"/>
      <c r="BV188" s="78"/>
      <c r="BW188" s="78"/>
      <c r="BX188" s="78"/>
      <c r="BY188" s="78"/>
      <c r="BZ188" s="78"/>
      <c r="CA188" s="78"/>
      <c r="CB188" s="78"/>
      <c r="CC188" s="78"/>
      <c r="CD188" s="78"/>
      <c r="CE188" s="78"/>
      <c r="CF188" s="78"/>
      <c r="CG188" s="78"/>
      <c r="CH188" s="78"/>
      <c r="CI188" s="78"/>
      <c r="CJ188" s="78"/>
      <c r="CK188" s="78"/>
      <c r="CL188" s="78"/>
      <c r="CM188" s="78"/>
      <c r="CN188" s="78"/>
      <c r="CO188" s="78"/>
      <c r="CP188" s="78"/>
      <c r="CQ188" s="78"/>
      <c r="CR188" s="78"/>
      <c r="CS188" s="78"/>
      <c r="CT188" s="78"/>
      <c r="CU188" s="78"/>
      <c r="CV188" s="78"/>
      <c r="CW188" s="78"/>
      <c r="CX188" s="78"/>
      <c r="CY188" s="78"/>
      <c r="CZ188" s="78"/>
      <c r="DA188" s="78"/>
      <c r="DB188" s="78"/>
      <c r="DC188" s="78"/>
      <c r="DD188" s="78"/>
      <c r="DE188" s="78"/>
      <c r="DF188" s="78"/>
      <c r="DG188" s="78"/>
      <c r="DH188" s="78"/>
      <c r="DI188" s="78"/>
      <c r="DJ188" s="78"/>
      <c r="DK188" s="78"/>
      <c r="DL188" s="78"/>
      <c r="DM188" s="78"/>
      <c r="DN188" s="78"/>
      <c r="DO188" s="78"/>
      <c r="DP188" s="78"/>
      <c r="DQ188" s="78"/>
      <c r="DR188" s="78"/>
      <c r="DS188" s="78"/>
      <c r="DT188" s="78"/>
      <c r="DU188" s="78"/>
      <c r="DV188" s="78"/>
      <c r="DW188" s="78"/>
      <c r="DX188" s="78"/>
      <c r="DY188" s="78"/>
      <c r="DZ188" s="78"/>
      <c r="EA188" s="78"/>
      <c r="EB188" s="78"/>
      <c r="EC188" s="78"/>
      <c r="ED188" s="78"/>
      <c r="EE188" s="78"/>
      <c r="EF188" s="78"/>
      <c r="EG188" s="78"/>
      <c r="EH188" s="78"/>
      <c r="EI188" s="78"/>
      <c r="EJ188" s="78"/>
      <c r="EK188" s="78"/>
      <c r="EL188" s="78"/>
      <c r="EM188" s="78"/>
      <c r="EN188" s="91"/>
      <c r="EO188" s="91"/>
      <c r="EP188" s="91"/>
      <c r="EQ188" s="91"/>
      <c r="ER188" s="91"/>
      <c r="ES188" s="91"/>
    </row>
    <row r="189" spans="1:149" outlineLevel="1">
      <c r="A189" s="29" t="str">
        <f t="shared" si="26"/>
        <v>PROPERTY_ENERGY_CERTIFICATEHEIGHT</v>
      </c>
      <c r="B189" s="67" t="s">
        <v>26</v>
      </c>
      <c r="C189" s="68" t="s">
        <v>54</v>
      </c>
      <c r="D189" s="64" t="s">
        <v>40</v>
      </c>
      <c r="E189" s="66" t="s">
        <v>123</v>
      </c>
      <c r="F189" s="66" t="s">
        <v>140</v>
      </c>
      <c r="G189" s="64" t="str">
        <f>INDEX(Auxiliar!$B$16:$B$24,MATCH(Plano_V3!H189,Auxiliar!$C$16:$C$24,0),1)</f>
        <v>1. Concluído</v>
      </c>
      <c r="H189" s="64">
        <f>VLOOKUP(A189,'Aux - pivots1'!$A:$B,2,0)</f>
        <v>1</v>
      </c>
      <c r="I189" s="180">
        <f>SUMIFS(Table1[Estimação (horas)],Table1[Tabela],Plano_V3!E189,Table1[Campo],Plano_V3!F189)</f>
        <v>4.0999999999999996</v>
      </c>
      <c r="J189" s="180">
        <f t="shared" si="27"/>
        <v>0.51249999999999996</v>
      </c>
      <c r="K189" s="180">
        <f>SUMIFS(Table1[Horas efetivas],Table1[Tabela],Plano_V3!E189,Table1[Campo],Plano_V3!F189)</f>
        <v>4.0999999999999996</v>
      </c>
      <c r="L189" s="180">
        <f t="shared" si="28"/>
        <v>0.51249999999999996</v>
      </c>
      <c r="M189" s="174"/>
      <c r="N189" s="174">
        <f t="shared" si="29"/>
        <v>1</v>
      </c>
      <c r="O189" s="174">
        <f t="shared" si="30"/>
        <v>1</v>
      </c>
      <c r="P189" s="87" t="s">
        <v>124</v>
      </c>
      <c r="Q189" s="90">
        <f t="shared" ref="Q189:Q268" si="31">J189-SUM(R189:ES189)</f>
        <v>0.51249999999999996</v>
      </c>
      <c r="R189" s="78"/>
      <c r="S189" s="78"/>
      <c r="T189" s="78"/>
      <c r="U189" s="78"/>
      <c r="V189" s="78"/>
      <c r="W189" s="78"/>
      <c r="X189" s="78"/>
      <c r="Y189" s="78"/>
      <c r="Z189" s="78"/>
      <c r="AA189" s="78"/>
      <c r="AB189" s="78"/>
      <c r="AC189" s="78"/>
      <c r="AD189" s="78"/>
      <c r="AE189" s="78"/>
      <c r="AF189" s="78"/>
      <c r="AG189" s="78"/>
      <c r="AH189" s="78"/>
      <c r="AI189" s="78"/>
      <c r="AJ189" s="78"/>
      <c r="AK189" s="78"/>
      <c r="AL189" s="78"/>
      <c r="AM189" s="78"/>
      <c r="AN189" s="78"/>
      <c r="AO189" s="78"/>
      <c r="AP189" s="78"/>
      <c r="AQ189" s="78"/>
      <c r="AR189" s="78"/>
      <c r="AS189" s="78"/>
      <c r="AT189" s="78"/>
      <c r="AU189" s="78"/>
      <c r="AV189" s="78"/>
      <c r="AW189" s="78"/>
      <c r="AX189" s="78"/>
      <c r="AY189" s="91"/>
      <c r="AZ189" s="78"/>
      <c r="BA189" s="78"/>
      <c r="BB189" s="78"/>
      <c r="BC189" s="78"/>
      <c r="BD189" s="78"/>
      <c r="BE189" s="78"/>
      <c r="BF189" s="78"/>
      <c r="BG189" s="78"/>
      <c r="BH189" s="78"/>
      <c r="BI189" s="78"/>
      <c r="BJ189" s="78"/>
      <c r="BK189" s="78"/>
      <c r="BL189" s="78"/>
      <c r="BM189" s="78"/>
      <c r="BN189" s="78"/>
      <c r="BO189" s="78"/>
      <c r="BP189" s="78"/>
      <c r="BQ189" s="78"/>
      <c r="BR189" s="78"/>
      <c r="BS189" s="78"/>
      <c r="BT189" s="78"/>
      <c r="BU189" s="78"/>
      <c r="BV189" s="78"/>
      <c r="BW189" s="78"/>
      <c r="BX189" s="78"/>
      <c r="BY189" s="78"/>
      <c r="BZ189" s="78"/>
      <c r="CA189" s="78"/>
      <c r="CB189" s="78"/>
      <c r="CC189" s="78"/>
      <c r="CD189" s="78"/>
      <c r="CE189" s="78"/>
      <c r="CF189" s="78"/>
      <c r="CG189" s="78"/>
      <c r="CH189" s="78"/>
      <c r="CI189" s="78"/>
      <c r="CJ189" s="78"/>
      <c r="CK189" s="78"/>
      <c r="CL189" s="78"/>
      <c r="CM189" s="78"/>
      <c r="CN189" s="78"/>
      <c r="CO189" s="78"/>
      <c r="CP189" s="78"/>
      <c r="CQ189" s="78"/>
      <c r="CR189" s="78"/>
      <c r="CS189" s="78"/>
      <c r="CT189" s="78"/>
      <c r="CU189" s="78"/>
      <c r="CV189" s="78"/>
      <c r="CW189" s="78"/>
      <c r="CX189" s="78"/>
      <c r="CY189" s="78"/>
      <c r="CZ189" s="78"/>
      <c r="DA189" s="78"/>
      <c r="DB189" s="78"/>
      <c r="DC189" s="78"/>
      <c r="DD189" s="78"/>
      <c r="DE189" s="78"/>
      <c r="DF189" s="78"/>
      <c r="DG189" s="78"/>
      <c r="DH189" s="78"/>
      <c r="DI189" s="78"/>
      <c r="DJ189" s="78"/>
      <c r="DK189" s="78"/>
      <c r="DL189" s="78"/>
      <c r="DM189" s="78"/>
      <c r="DN189" s="78"/>
      <c r="DO189" s="78"/>
      <c r="DP189" s="78"/>
      <c r="DQ189" s="78"/>
      <c r="DR189" s="78"/>
      <c r="DS189" s="78"/>
      <c r="DT189" s="78"/>
      <c r="DU189" s="78"/>
      <c r="DV189" s="78"/>
      <c r="DW189" s="78"/>
      <c r="DX189" s="78"/>
      <c r="DY189" s="78"/>
      <c r="DZ189" s="78"/>
      <c r="EA189" s="78"/>
      <c r="EB189" s="78"/>
      <c r="EC189" s="78"/>
      <c r="ED189" s="78"/>
      <c r="EE189" s="78"/>
      <c r="EF189" s="78"/>
      <c r="EG189" s="78"/>
      <c r="EH189" s="78"/>
      <c r="EI189" s="78"/>
      <c r="EJ189" s="78"/>
      <c r="EK189" s="78"/>
      <c r="EL189" s="78"/>
      <c r="EM189" s="78"/>
      <c r="EN189" s="91"/>
      <c r="EO189" s="91"/>
      <c r="EP189" s="91"/>
      <c r="EQ189" s="91"/>
      <c r="ER189" s="91"/>
      <c r="ES189" s="91"/>
    </row>
    <row r="190" spans="1:149" outlineLevel="1">
      <c r="A190" s="29" t="str">
        <f t="shared" si="26"/>
        <v>PROPERTY_ENERGY_CERTIFICATEBUILDING_SPACE_HEATING_VALUE</v>
      </c>
      <c r="B190" s="67" t="s">
        <v>26</v>
      </c>
      <c r="C190" s="68" t="s">
        <v>54</v>
      </c>
      <c r="D190" s="64" t="s">
        <v>40</v>
      </c>
      <c r="E190" s="66" t="s">
        <v>123</v>
      </c>
      <c r="F190" s="66" t="s">
        <v>141</v>
      </c>
      <c r="G190" s="64" t="str">
        <f>INDEX(Auxiliar!$B$16:$B$24,MATCH(Plano_V3!H190,Auxiliar!$C$16:$C$24,0),1)</f>
        <v>1. Concluído</v>
      </c>
      <c r="H190" s="64">
        <f>VLOOKUP(A190,'Aux - pivots1'!$A:$B,2,0)</f>
        <v>1</v>
      </c>
      <c r="I190" s="180">
        <f>SUMIFS(Table1[Estimação (horas)],Table1[Tabela],Plano_V3!E190,Table1[Campo],Plano_V3!F190)</f>
        <v>4.0999999999999996</v>
      </c>
      <c r="J190" s="180">
        <f t="shared" si="27"/>
        <v>0.51249999999999996</v>
      </c>
      <c r="K190" s="180">
        <f>SUMIFS(Table1[Horas efetivas],Table1[Tabela],Plano_V3!E190,Table1[Campo],Plano_V3!F190)</f>
        <v>4.0999999999999996</v>
      </c>
      <c r="L190" s="180">
        <f t="shared" si="28"/>
        <v>0.51249999999999996</v>
      </c>
      <c r="M190" s="174"/>
      <c r="N190" s="174">
        <f t="shared" si="29"/>
        <v>1</v>
      </c>
      <c r="O190" s="174">
        <f t="shared" si="30"/>
        <v>1</v>
      </c>
      <c r="P190" s="87" t="s">
        <v>124</v>
      </c>
      <c r="Q190" s="90">
        <f t="shared" si="31"/>
        <v>0.51249999999999996</v>
      </c>
      <c r="R190" s="78"/>
      <c r="S190" s="78"/>
      <c r="T190" s="78"/>
      <c r="U190" s="78"/>
      <c r="V190" s="78"/>
      <c r="W190" s="78"/>
      <c r="X190" s="78"/>
      <c r="Y190" s="78"/>
      <c r="Z190" s="78"/>
      <c r="AA190" s="78"/>
      <c r="AB190" s="78"/>
      <c r="AC190" s="78"/>
      <c r="AD190" s="78"/>
      <c r="AE190" s="78"/>
      <c r="AF190" s="78"/>
      <c r="AG190" s="78"/>
      <c r="AH190" s="78"/>
      <c r="AI190" s="78"/>
      <c r="AJ190" s="78"/>
      <c r="AK190" s="78"/>
      <c r="AL190" s="78"/>
      <c r="AM190" s="78"/>
      <c r="AN190" s="78"/>
      <c r="AO190" s="78"/>
      <c r="AP190" s="78"/>
      <c r="AQ190" s="78"/>
      <c r="AR190" s="78"/>
      <c r="AS190" s="78"/>
      <c r="AT190" s="78"/>
      <c r="AU190" s="78"/>
      <c r="AV190" s="78"/>
      <c r="AW190" s="78"/>
      <c r="AX190" s="78"/>
      <c r="AY190" s="91"/>
      <c r="AZ190" s="78"/>
      <c r="BA190" s="78"/>
      <c r="BB190" s="78"/>
      <c r="BC190" s="78"/>
      <c r="BD190" s="78"/>
      <c r="BE190" s="78"/>
      <c r="BF190" s="78"/>
      <c r="BG190" s="78"/>
      <c r="BH190" s="78"/>
      <c r="BI190" s="78"/>
      <c r="BJ190" s="78"/>
      <c r="BK190" s="78"/>
      <c r="BL190" s="78"/>
      <c r="BM190" s="78"/>
      <c r="BN190" s="78"/>
      <c r="BO190" s="78"/>
      <c r="BP190" s="78"/>
      <c r="BQ190" s="78"/>
      <c r="BR190" s="78"/>
      <c r="BS190" s="78"/>
      <c r="BT190" s="78"/>
      <c r="BU190" s="78"/>
      <c r="BV190" s="78"/>
      <c r="BW190" s="78"/>
      <c r="BX190" s="78"/>
      <c r="BY190" s="78"/>
      <c r="BZ190" s="78"/>
      <c r="CA190" s="78"/>
      <c r="CB190" s="78"/>
      <c r="CC190" s="78"/>
      <c r="CD190" s="78"/>
      <c r="CE190" s="78"/>
      <c r="CF190" s="78"/>
      <c r="CG190" s="78"/>
      <c r="CH190" s="78"/>
      <c r="CI190" s="78"/>
      <c r="CJ190" s="78"/>
      <c r="CK190" s="78"/>
      <c r="CL190" s="78"/>
      <c r="CM190" s="78"/>
      <c r="CN190" s="78"/>
      <c r="CO190" s="78"/>
      <c r="CP190" s="78"/>
      <c r="CQ190" s="78"/>
      <c r="CR190" s="78"/>
      <c r="CS190" s="78"/>
      <c r="CT190" s="78"/>
      <c r="CU190" s="78"/>
      <c r="CV190" s="78"/>
      <c r="CW190" s="78"/>
      <c r="CX190" s="78"/>
      <c r="CY190" s="78"/>
      <c r="CZ190" s="78"/>
      <c r="DA190" s="78"/>
      <c r="DB190" s="78"/>
      <c r="DC190" s="78"/>
      <c r="DD190" s="78"/>
      <c r="DE190" s="78"/>
      <c r="DF190" s="78"/>
      <c r="DG190" s="78"/>
      <c r="DH190" s="78"/>
      <c r="DI190" s="78"/>
      <c r="DJ190" s="78"/>
      <c r="DK190" s="78"/>
      <c r="DL190" s="78"/>
      <c r="DM190" s="78"/>
      <c r="DN190" s="78"/>
      <c r="DO190" s="78"/>
      <c r="DP190" s="78"/>
      <c r="DQ190" s="78"/>
      <c r="DR190" s="78"/>
      <c r="DS190" s="78"/>
      <c r="DT190" s="78"/>
      <c r="DU190" s="78"/>
      <c r="DV190" s="78"/>
      <c r="DW190" s="78"/>
      <c r="DX190" s="78"/>
      <c r="DY190" s="78"/>
      <c r="DZ190" s="78"/>
      <c r="EA190" s="78"/>
      <c r="EB190" s="78"/>
      <c r="EC190" s="78"/>
      <c r="ED190" s="78"/>
      <c r="EE190" s="78"/>
      <c r="EF190" s="78"/>
      <c r="EG190" s="78"/>
      <c r="EH190" s="78"/>
      <c r="EI190" s="78"/>
      <c r="EJ190" s="78"/>
      <c r="EK190" s="78"/>
      <c r="EL190" s="78"/>
      <c r="EM190" s="78"/>
      <c r="EN190" s="91"/>
      <c r="EO190" s="91"/>
      <c r="EP190" s="91"/>
      <c r="EQ190" s="91"/>
      <c r="ER190" s="91"/>
      <c r="ES190" s="91"/>
    </row>
    <row r="191" spans="1:149" outlineLevel="1">
      <c r="A191" s="29" t="str">
        <f t="shared" si="26"/>
        <v>PROPERTY_ENERGY_CERTIFICATESPACE_HEATING_REF_VALUE</v>
      </c>
      <c r="B191" s="67" t="s">
        <v>26</v>
      </c>
      <c r="C191" s="68" t="s">
        <v>54</v>
      </c>
      <c r="D191" s="64" t="s">
        <v>40</v>
      </c>
      <c r="E191" s="66" t="s">
        <v>123</v>
      </c>
      <c r="F191" s="66" t="s">
        <v>142</v>
      </c>
      <c r="G191" s="64" t="str">
        <f>INDEX(Auxiliar!$B$16:$B$24,MATCH(Plano_V3!H191,Auxiliar!$C$16:$C$24,0),1)</f>
        <v>1. Concluído</v>
      </c>
      <c r="H191" s="64">
        <f>VLOOKUP(A191,'Aux - pivots1'!$A:$B,2,0)</f>
        <v>1</v>
      </c>
      <c r="I191" s="180">
        <f>SUMIFS(Table1[Estimação (horas)],Table1[Tabela],Plano_V3!E191,Table1[Campo],Plano_V3!F191)</f>
        <v>4.0999999999999996</v>
      </c>
      <c r="J191" s="180">
        <f t="shared" si="27"/>
        <v>0.51249999999999996</v>
      </c>
      <c r="K191" s="180">
        <f>SUMIFS(Table1[Horas efetivas],Table1[Tabela],Plano_V3!E191,Table1[Campo],Plano_V3!F191)</f>
        <v>4.0999999999999996</v>
      </c>
      <c r="L191" s="180">
        <f t="shared" si="28"/>
        <v>0.51249999999999996</v>
      </c>
      <c r="M191" s="174"/>
      <c r="N191" s="174">
        <f t="shared" si="29"/>
        <v>1</v>
      </c>
      <c r="O191" s="174">
        <f t="shared" si="30"/>
        <v>1</v>
      </c>
      <c r="P191" s="87" t="s">
        <v>124</v>
      </c>
      <c r="Q191" s="90">
        <f t="shared" si="31"/>
        <v>0.51249999999999996</v>
      </c>
      <c r="R191" s="78"/>
      <c r="S191" s="78"/>
      <c r="T191" s="78"/>
      <c r="U191" s="78"/>
      <c r="V191" s="78"/>
      <c r="W191" s="78"/>
      <c r="X191" s="78"/>
      <c r="Y191" s="78"/>
      <c r="Z191" s="78"/>
      <c r="AA191" s="78"/>
      <c r="AB191" s="78"/>
      <c r="AC191" s="78"/>
      <c r="AD191" s="78"/>
      <c r="AE191" s="78"/>
      <c r="AF191" s="78"/>
      <c r="AG191" s="78"/>
      <c r="AH191" s="78"/>
      <c r="AI191" s="78"/>
      <c r="AJ191" s="78"/>
      <c r="AK191" s="78"/>
      <c r="AL191" s="78"/>
      <c r="AM191" s="78"/>
      <c r="AN191" s="78"/>
      <c r="AO191" s="78"/>
      <c r="AP191" s="78"/>
      <c r="AQ191" s="78"/>
      <c r="AR191" s="78"/>
      <c r="AS191" s="78"/>
      <c r="AT191" s="78"/>
      <c r="AU191" s="78"/>
      <c r="AV191" s="78"/>
      <c r="AW191" s="78"/>
      <c r="AX191" s="78"/>
      <c r="AY191" s="91"/>
      <c r="AZ191" s="78"/>
      <c r="BA191" s="78"/>
      <c r="BB191" s="78"/>
      <c r="BC191" s="78"/>
      <c r="BD191" s="78"/>
      <c r="BE191" s="78"/>
      <c r="BF191" s="78"/>
      <c r="BG191" s="78"/>
      <c r="BH191" s="78"/>
      <c r="BI191" s="78"/>
      <c r="BJ191" s="78"/>
      <c r="BK191" s="78"/>
      <c r="BL191" s="78"/>
      <c r="BM191" s="78"/>
      <c r="BN191" s="78"/>
      <c r="BO191" s="78"/>
      <c r="BP191" s="78"/>
      <c r="BQ191" s="78"/>
      <c r="BR191" s="78"/>
      <c r="BS191" s="78"/>
      <c r="BT191" s="78"/>
      <c r="BU191" s="78"/>
      <c r="BV191" s="78"/>
      <c r="BW191" s="78"/>
      <c r="BX191" s="78"/>
      <c r="BY191" s="78"/>
      <c r="BZ191" s="78"/>
      <c r="CA191" s="78"/>
      <c r="CB191" s="78"/>
      <c r="CC191" s="78"/>
      <c r="CD191" s="78"/>
      <c r="CE191" s="78"/>
      <c r="CF191" s="78"/>
      <c r="CG191" s="78"/>
      <c r="CH191" s="78"/>
      <c r="CI191" s="78"/>
      <c r="CJ191" s="78"/>
      <c r="CK191" s="78"/>
      <c r="CL191" s="78"/>
      <c r="CM191" s="78"/>
      <c r="CN191" s="78"/>
      <c r="CO191" s="78"/>
      <c r="CP191" s="78"/>
      <c r="CQ191" s="78"/>
      <c r="CR191" s="78"/>
      <c r="CS191" s="78"/>
      <c r="CT191" s="78"/>
      <c r="CU191" s="78"/>
      <c r="CV191" s="78"/>
      <c r="CW191" s="78"/>
      <c r="CX191" s="78"/>
      <c r="CY191" s="78"/>
      <c r="CZ191" s="78"/>
      <c r="DA191" s="78"/>
      <c r="DB191" s="78"/>
      <c r="DC191" s="78"/>
      <c r="DD191" s="78"/>
      <c r="DE191" s="78"/>
      <c r="DF191" s="78"/>
      <c r="DG191" s="78"/>
      <c r="DH191" s="78"/>
      <c r="DI191" s="78"/>
      <c r="DJ191" s="78"/>
      <c r="DK191" s="78"/>
      <c r="DL191" s="78"/>
      <c r="DM191" s="78"/>
      <c r="DN191" s="78"/>
      <c r="DO191" s="78"/>
      <c r="DP191" s="78"/>
      <c r="DQ191" s="78"/>
      <c r="DR191" s="78"/>
      <c r="DS191" s="78"/>
      <c r="DT191" s="78"/>
      <c r="DU191" s="78"/>
      <c r="DV191" s="78"/>
      <c r="DW191" s="78"/>
      <c r="DX191" s="78"/>
      <c r="DY191" s="78"/>
      <c r="DZ191" s="78"/>
      <c r="EA191" s="78"/>
      <c r="EB191" s="78"/>
      <c r="EC191" s="78"/>
      <c r="ED191" s="78"/>
      <c r="EE191" s="78"/>
      <c r="EF191" s="78"/>
      <c r="EG191" s="78"/>
      <c r="EH191" s="78"/>
      <c r="EI191" s="78"/>
      <c r="EJ191" s="78"/>
      <c r="EK191" s="78"/>
      <c r="EL191" s="78"/>
      <c r="EM191" s="78"/>
      <c r="EN191" s="91"/>
      <c r="EO191" s="91"/>
      <c r="EP191" s="91"/>
      <c r="EQ191" s="91"/>
      <c r="ER191" s="91"/>
      <c r="ES191" s="91"/>
    </row>
    <row r="192" spans="1:149" outlineLevel="1">
      <c r="A192" s="29" t="str">
        <f t="shared" si="26"/>
        <v>PROPERTY_ENERGY_CERTIFICATERENEWABLE_SPACE_HEATING_VALUE</v>
      </c>
      <c r="B192" s="67" t="s">
        <v>26</v>
      </c>
      <c r="C192" s="68" t="s">
        <v>54</v>
      </c>
      <c r="D192" s="64" t="s">
        <v>40</v>
      </c>
      <c r="E192" s="66" t="s">
        <v>123</v>
      </c>
      <c r="F192" s="66" t="s">
        <v>143</v>
      </c>
      <c r="G192" s="64" t="str">
        <f>INDEX(Auxiliar!$B$16:$B$24,MATCH(Plano_V3!H192,Auxiliar!$C$16:$C$24,0),1)</f>
        <v>1. Concluído</v>
      </c>
      <c r="H192" s="64">
        <f>VLOOKUP(A192,'Aux - pivots1'!$A:$B,2,0)</f>
        <v>1</v>
      </c>
      <c r="I192" s="180">
        <f>SUMIFS(Table1[Estimação (horas)],Table1[Tabela],Plano_V3!E192,Table1[Campo],Plano_V3!F192)</f>
        <v>4.0999999999999996</v>
      </c>
      <c r="J192" s="180">
        <f t="shared" si="27"/>
        <v>0.51249999999999996</v>
      </c>
      <c r="K192" s="180">
        <f>SUMIFS(Table1[Horas efetivas],Table1[Tabela],Plano_V3!E192,Table1[Campo],Plano_V3!F192)</f>
        <v>4.0999999999999996</v>
      </c>
      <c r="L192" s="180">
        <f t="shared" si="28"/>
        <v>0.51249999999999996</v>
      </c>
      <c r="M192" s="174"/>
      <c r="N192" s="174">
        <f t="shared" si="29"/>
        <v>1</v>
      </c>
      <c r="O192" s="174">
        <f t="shared" si="30"/>
        <v>1</v>
      </c>
      <c r="P192" s="87" t="s">
        <v>124</v>
      </c>
      <c r="Q192" s="90">
        <f t="shared" si="31"/>
        <v>0.51249999999999996</v>
      </c>
      <c r="R192" s="78"/>
      <c r="S192" s="78"/>
      <c r="T192" s="78"/>
      <c r="U192" s="78"/>
      <c r="V192" s="78"/>
      <c r="W192" s="78"/>
      <c r="X192" s="78"/>
      <c r="Y192" s="78"/>
      <c r="Z192" s="78"/>
      <c r="AA192" s="78"/>
      <c r="AB192" s="78"/>
      <c r="AC192" s="78"/>
      <c r="AD192" s="78"/>
      <c r="AE192" s="78"/>
      <c r="AF192" s="78"/>
      <c r="AG192" s="78"/>
      <c r="AH192" s="78"/>
      <c r="AI192" s="78"/>
      <c r="AJ192" s="78"/>
      <c r="AK192" s="78"/>
      <c r="AL192" s="78"/>
      <c r="AM192" s="78"/>
      <c r="AN192" s="78"/>
      <c r="AO192" s="78"/>
      <c r="AP192" s="78"/>
      <c r="AQ192" s="78"/>
      <c r="AR192" s="78"/>
      <c r="AS192" s="78"/>
      <c r="AT192" s="78"/>
      <c r="AU192" s="78"/>
      <c r="AV192" s="78"/>
      <c r="AW192" s="78"/>
      <c r="AX192" s="78"/>
      <c r="AY192" s="91"/>
      <c r="AZ192" s="78"/>
      <c r="BA192" s="78"/>
      <c r="BB192" s="78"/>
      <c r="BC192" s="78"/>
      <c r="BD192" s="78"/>
      <c r="BE192" s="78"/>
      <c r="BF192" s="78"/>
      <c r="BG192" s="78"/>
      <c r="BH192" s="78"/>
      <c r="BI192" s="78"/>
      <c r="BJ192" s="78"/>
      <c r="BK192" s="78"/>
      <c r="BL192" s="78"/>
      <c r="BM192" s="78"/>
      <c r="BN192" s="78"/>
      <c r="BO192" s="78"/>
      <c r="BP192" s="78"/>
      <c r="BQ192" s="78"/>
      <c r="BR192" s="78"/>
      <c r="BS192" s="78"/>
      <c r="BT192" s="78"/>
      <c r="BU192" s="78"/>
      <c r="BV192" s="78"/>
      <c r="BW192" s="78"/>
      <c r="BX192" s="78"/>
      <c r="BY192" s="78"/>
      <c r="BZ192" s="78"/>
      <c r="CA192" s="78"/>
      <c r="CB192" s="78"/>
      <c r="CC192" s="78"/>
      <c r="CD192" s="78"/>
      <c r="CE192" s="78"/>
      <c r="CF192" s="78"/>
      <c r="CG192" s="78"/>
      <c r="CH192" s="78"/>
      <c r="CI192" s="78"/>
      <c r="CJ192" s="78"/>
      <c r="CK192" s="78"/>
      <c r="CL192" s="78"/>
      <c r="CM192" s="78"/>
      <c r="CN192" s="78"/>
      <c r="CO192" s="78"/>
      <c r="CP192" s="78"/>
      <c r="CQ192" s="78"/>
      <c r="CR192" s="78"/>
      <c r="CS192" s="78"/>
      <c r="CT192" s="78"/>
      <c r="CU192" s="78"/>
      <c r="CV192" s="78"/>
      <c r="CW192" s="78"/>
      <c r="CX192" s="78"/>
      <c r="CY192" s="78"/>
      <c r="CZ192" s="78"/>
      <c r="DA192" s="78"/>
      <c r="DB192" s="78"/>
      <c r="DC192" s="78"/>
      <c r="DD192" s="78"/>
      <c r="DE192" s="78"/>
      <c r="DF192" s="78"/>
      <c r="DG192" s="78"/>
      <c r="DH192" s="78"/>
      <c r="DI192" s="78"/>
      <c r="DJ192" s="78"/>
      <c r="DK192" s="78"/>
      <c r="DL192" s="78"/>
      <c r="DM192" s="78"/>
      <c r="DN192" s="78"/>
      <c r="DO192" s="78"/>
      <c r="DP192" s="78"/>
      <c r="DQ192" s="78"/>
      <c r="DR192" s="78"/>
      <c r="DS192" s="78"/>
      <c r="DT192" s="78"/>
      <c r="DU192" s="78"/>
      <c r="DV192" s="78"/>
      <c r="DW192" s="78"/>
      <c r="DX192" s="78"/>
      <c r="DY192" s="78"/>
      <c r="DZ192" s="78"/>
      <c r="EA192" s="78"/>
      <c r="EB192" s="78"/>
      <c r="EC192" s="78"/>
      <c r="ED192" s="78"/>
      <c r="EE192" s="78"/>
      <c r="EF192" s="78"/>
      <c r="EG192" s="78"/>
      <c r="EH192" s="78"/>
      <c r="EI192" s="78"/>
      <c r="EJ192" s="78"/>
      <c r="EK192" s="78"/>
      <c r="EL192" s="78"/>
      <c r="EM192" s="78"/>
      <c r="EN192" s="91"/>
      <c r="EO192" s="91"/>
      <c r="EP192" s="91"/>
      <c r="EQ192" s="91"/>
      <c r="ER192" s="91"/>
      <c r="ES192" s="91"/>
    </row>
    <row r="193" spans="1:149" outlineLevel="1">
      <c r="A193" s="29" t="str">
        <f t="shared" si="26"/>
        <v>PROPERTY_ENERGY_CERTIFICATEBUILDING_SPACE_COOLING_VALUE</v>
      </c>
      <c r="B193" s="67" t="s">
        <v>26</v>
      </c>
      <c r="C193" s="68" t="s">
        <v>54</v>
      </c>
      <c r="D193" s="64" t="s">
        <v>40</v>
      </c>
      <c r="E193" s="66" t="s">
        <v>123</v>
      </c>
      <c r="F193" s="66" t="s">
        <v>144</v>
      </c>
      <c r="G193" s="64" t="str">
        <f>INDEX(Auxiliar!$B$16:$B$24,MATCH(Plano_V3!H193,Auxiliar!$C$16:$C$24,0),1)</f>
        <v>1. Concluído</v>
      </c>
      <c r="H193" s="64">
        <f>VLOOKUP(A193,'Aux - pivots1'!$A:$B,2,0)</f>
        <v>1</v>
      </c>
      <c r="I193" s="180">
        <f>SUMIFS(Table1[Estimação (horas)],Table1[Tabela],Plano_V3!E193,Table1[Campo],Plano_V3!F193)</f>
        <v>4.0999999999999996</v>
      </c>
      <c r="J193" s="180">
        <f t="shared" si="27"/>
        <v>0.51249999999999996</v>
      </c>
      <c r="K193" s="180">
        <f>SUMIFS(Table1[Horas efetivas],Table1[Tabela],Plano_V3!E193,Table1[Campo],Plano_V3!F193)</f>
        <v>4.0999999999999996</v>
      </c>
      <c r="L193" s="180">
        <f t="shared" si="28"/>
        <v>0.51249999999999996</v>
      </c>
      <c r="M193" s="174"/>
      <c r="N193" s="174">
        <f t="shared" si="29"/>
        <v>1</v>
      </c>
      <c r="O193" s="174">
        <f t="shared" si="30"/>
        <v>1</v>
      </c>
      <c r="P193" s="87" t="s">
        <v>124</v>
      </c>
      <c r="Q193" s="90">
        <f t="shared" si="31"/>
        <v>0.51249999999999996</v>
      </c>
      <c r="R193" s="78"/>
      <c r="S193" s="78"/>
      <c r="T193" s="78"/>
      <c r="U193" s="78"/>
      <c r="V193" s="78"/>
      <c r="W193" s="78"/>
      <c r="X193" s="78"/>
      <c r="Y193" s="78"/>
      <c r="Z193" s="78"/>
      <c r="AA193" s="78"/>
      <c r="AB193" s="78"/>
      <c r="AC193" s="78"/>
      <c r="AD193" s="78"/>
      <c r="AE193" s="78"/>
      <c r="AF193" s="78"/>
      <c r="AG193" s="78"/>
      <c r="AH193" s="78"/>
      <c r="AI193" s="78"/>
      <c r="AJ193" s="78"/>
      <c r="AK193" s="78"/>
      <c r="AL193" s="78"/>
      <c r="AM193" s="78"/>
      <c r="AN193" s="78"/>
      <c r="AO193" s="78"/>
      <c r="AP193" s="78"/>
      <c r="AQ193" s="78"/>
      <c r="AR193" s="78"/>
      <c r="AS193" s="78"/>
      <c r="AT193" s="78"/>
      <c r="AU193" s="78"/>
      <c r="AV193" s="78"/>
      <c r="AW193" s="78"/>
      <c r="AX193" s="78"/>
      <c r="AY193" s="91"/>
      <c r="AZ193" s="78"/>
      <c r="BA193" s="78"/>
      <c r="BB193" s="78"/>
      <c r="BC193" s="78"/>
      <c r="BD193" s="78"/>
      <c r="BE193" s="78"/>
      <c r="BF193" s="78"/>
      <c r="BG193" s="78"/>
      <c r="BH193" s="78"/>
      <c r="BI193" s="78"/>
      <c r="BJ193" s="78"/>
      <c r="BK193" s="78"/>
      <c r="BL193" s="78"/>
      <c r="BM193" s="78"/>
      <c r="BN193" s="78"/>
      <c r="BO193" s="78"/>
      <c r="BP193" s="78"/>
      <c r="BQ193" s="78"/>
      <c r="BR193" s="78"/>
      <c r="BS193" s="78"/>
      <c r="BT193" s="78"/>
      <c r="BU193" s="78"/>
      <c r="BV193" s="78"/>
      <c r="BW193" s="78"/>
      <c r="BX193" s="78"/>
      <c r="BY193" s="78"/>
      <c r="BZ193" s="78"/>
      <c r="CA193" s="78"/>
      <c r="CB193" s="78"/>
      <c r="CC193" s="78"/>
      <c r="CD193" s="78"/>
      <c r="CE193" s="78"/>
      <c r="CF193" s="78"/>
      <c r="CG193" s="78"/>
      <c r="CH193" s="78"/>
      <c r="CI193" s="78"/>
      <c r="CJ193" s="78"/>
      <c r="CK193" s="78"/>
      <c r="CL193" s="78"/>
      <c r="CM193" s="78"/>
      <c r="CN193" s="78"/>
      <c r="CO193" s="78"/>
      <c r="CP193" s="78"/>
      <c r="CQ193" s="78"/>
      <c r="CR193" s="78"/>
      <c r="CS193" s="78"/>
      <c r="CT193" s="78"/>
      <c r="CU193" s="78"/>
      <c r="CV193" s="78"/>
      <c r="CW193" s="78"/>
      <c r="CX193" s="78"/>
      <c r="CY193" s="78"/>
      <c r="CZ193" s="78"/>
      <c r="DA193" s="78"/>
      <c r="DB193" s="78"/>
      <c r="DC193" s="78"/>
      <c r="DD193" s="78"/>
      <c r="DE193" s="78"/>
      <c r="DF193" s="78"/>
      <c r="DG193" s="78"/>
      <c r="DH193" s="78"/>
      <c r="DI193" s="78"/>
      <c r="DJ193" s="78"/>
      <c r="DK193" s="78"/>
      <c r="DL193" s="78"/>
      <c r="DM193" s="78"/>
      <c r="DN193" s="78"/>
      <c r="DO193" s="78"/>
      <c r="DP193" s="78"/>
      <c r="DQ193" s="78"/>
      <c r="DR193" s="78"/>
      <c r="DS193" s="78"/>
      <c r="DT193" s="78"/>
      <c r="DU193" s="78"/>
      <c r="DV193" s="78"/>
      <c r="DW193" s="78"/>
      <c r="DX193" s="78"/>
      <c r="DY193" s="78"/>
      <c r="DZ193" s="78"/>
      <c r="EA193" s="78"/>
      <c r="EB193" s="78"/>
      <c r="EC193" s="78"/>
      <c r="ED193" s="78"/>
      <c r="EE193" s="78"/>
      <c r="EF193" s="78"/>
      <c r="EG193" s="78"/>
      <c r="EH193" s="78"/>
      <c r="EI193" s="78"/>
      <c r="EJ193" s="78"/>
      <c r="EK193" s="78"/>
      <c r="EL193" s="78"/>
      <c r="EM193" s="78"/>
      <c r="EN193" s="91"/>
      <c r="EO193" s="91"/>
      <c r="EP193" s="91"/>
      <c r="EQ193" s="91"/>
      <c r="ER193" s="91"/>
      <c r="ES193" s="91"/>
    </row>
    <row r="194" spans="1:149" outlineLevel="1">
      <c r="A194" s="29" t="str">
        <f t="shared" si="26"/>
        <v>PROPERTY_ENERGY_CERTIFICATERENEWABLE_SPACE_COOLING_VALUE</v>
      </c>
      <c r="B194" s="67" t="s">
        <v>26</v>
      </c>
      <c r="C194" s="68" t="s">
        <v>54</v>
      </c>
      <c r="D194" s="64" t="s">
        <v>40</v>
      </c>
      <c r="E194" s="66" t="s">
        <v>123</v>
      </c>
      <c r="F194" s="66" t="s">
        <v>145</v>
      </c>
      <c r="G194" s="64" t="str">
        <f>INDEX(Auxiliar!$B$16:$B$24,MATCH(Plano_V3!H194,Auxiliar!$C$16:$C$24,0),1)</f>
        <v>1. Concluído</v>
      </c>
      <c r="H194" s="64">
        <f>VLOOKUP(A194,'Aux - pivots1'!$A:$B,2,0)</f>
        <v>1</v>
      </c>
      <c r="I194" s="180">
        <f>SUMIFS(Table1[Estimação (horas)],Table1[Tabela],Plano_V3!E194,Table1[Campo],Plano_V3!F194)</f>
        <v>4.0999999999999996</v>
      </c>
      <c r="J194" s="180">
        <f t="shared" si="27"/>
        <v>0.51249999999999996</v>
      </c>
      <c r="K194" s="180">
        <f>SUMIFS(Table1[Horas efetivas],Table1[Tabela],Plano_V3!E194,Table1[Campo],Plano_V3!F194)</f>
        <v>4.0999999999999996</v>
      </c>
      <c r="L194" s="180">
        <f t="shared" si="28"/>
        <v>0.51249999999999996</v>
      </c>
      <c r="M194" s="174"/>
      <c r="N194" s="174">
        <f t="shared" si="29"/>
        <v>1</v>
      </c>
      <c r="O194" s="174">
        <f t="shared" si="30"/>
        <v>1</v>
      </c>
      <c r="P194" s="87" t="s">
        <v>124</v>
      </c>
      <c r="Q194" s="90">
        <f t="shared" si="31"/>
        <v>0.51249999999999996</v>
      </c>
      <c r="R194" s="78"/>
      <c r="S194" s="78"/>
      <c r="T194" s="78"/>
      <c r="U194" s="78"/>
      <c r="V194" s="78"/>
      <c r="W194" s="78"/>
      <c r="X194" s="78"/>
      <c r="Y194" s="78"/>
      <c r="Z194" s="78"/>
      <c r="AA194" s="78"/>
      <c r="AB194" s="78"/>
      <c r="AC194" s="78"/>
      <c r="AD194" s="78"/>
      <c r="AE194" s="78"/>
      <c r="AF194" s="78"/>
      <c r="AG194" s="78"/>
      <c r="AH194" s="78"/>
      <c r="AI194" s="78"/>
      <c r="AJ194" s="78"/>
      <c r="AK194" s="78"/>
      <c r="AL194" s="78"/>
      <c r="AM194" s="78"/>
      <c r="AN194" s="78"/>
      <c r="AO194" s="78"/>
      <c r="AP194" s="78"/>
      <c r="AQ194" s="78"/>
      <c r="AR194" s="78"/>
      <c r="AS194" s="78"/>
      <c r="AT194" s="78"/>
      <c r="AU194" s="78"/>
      <c r="AV194" s="78"/>
      <c r="AW194" s="78"/>
      <c r="AX194" s="78"/>
      <c r="AY194" s="91"/>
      <c r="AZ194" s="78"/>
      <c r="BA194" s="78"/>
      <c r="BB194" s="78"/>
      <c r="BC194" s="78"/>
      <c r="BD194" s="78"/>
      <c r="BE194" s="78"/>
      <c r="BF194" s="78"/>
      <c r="BG194" s="78"/>
      <c r="BH194" s="78"/>
      <c r="BI194" s="78"/>
      <c r="BJ194" s="78"/>
      <c r="BK194" s="78"/>
      <c r="BL194" s="78"/>
      <c r="BM194" s="78"/>
      <c r="BN194" s="78"/>
      <c r="BO194" s="78"/>
      <c r="BP194" s="78"/>
      <c r="BQ194" s="78"/>
      <c r="BR194" s="78"/>
      <c r="BS194" s="78"/>
      <c r="BT194" s="78"/>
      <c r="BU194" s="78"/>
      <c r="BV194" s="78"/>
      <c r="BW194" s="78"/>
      <c r="BX194" s="78"/>
      <c r="BY194" s="78"/>
      <c r="BZ194" s="78"/>
      <c r="CA194" s="78"/>
      <c r="CB194" s="78"/>
      <c r="CC194" s="78"/>
      <c r="CD194" s="78"/>
      <c r="CE194" s="78"/>
      <c r="CF194" s="78"/>
      <c r="CG194" s="78"/>
      <c r="CH194" s="78"/>
      <c r="CI194" s="78"/>
      <c r="CJ194" s="78"/>
      <c r="CK194" s="78"/>
      <c r="CL194" s="78"/>
      <c r="CM194" s="78"/>
      <c r="CN194" s="78"/>
      <c r="CO194" s="78"/>
      <c r="CP194" s="78"/>
      <c r="CQ194" s="78"/>
      <c r="CR194" s="78"/>
      <c r="CS194" s="78"/>
      <c r="CT194" s="78"/>
      <c r="CU194" s="78"/>
      <c r="CV194" s="78"/>
      <c r="CW194" s="78"/>
      <c r="CX194" s="78"/>
      <c r="CY194" s="78"/>
      <c r="CZ194" s="78"/>
      <c r="DA194" s="78"/>
      <c r="DB194" s="78"/>
      <c r="DC194" s="78"/>
      <c r="DD194" s="78"/>
      <c r="DE194" s="78"/>
      <c r="DF194" s="78"/>
      <c r="DG194" s="78"/>
      <c r="DH194" s="78"/>
      <c r="DI194" s="78"/>
      <c r="DJ194" s="78"/>
      <c r="DK194" s="78"/>
      <c r="DL194" s="78"/>
      <c r="DM194" s="78"/>
      <c r="DN194" s="78"/>
      <c r="DO194" s="78"/>
      <c r="DP194" s="78"/>
      <c r="DQ194" s="78"/>
      <c r="DR194" s="78"/>
      <c r="DS194" s="78"/>
      <c r="DT194" s="78"/>
      <c r="DU194" s="78"/>
      <c r="DV194" s="78"/>
      <c r="DW194" s="78"/>
      <c r="DX194" s="78"/>
      <c r="DY194" s="78"/>
      <c r="DZ194" s="78"/>
      <c r="EA194" s="78"/>
      <c r="EB194" s="78"/>
      <c r="EC194" s="78"/>
      <c r="ED194" s="78"/>
      <c r="EE194" s="78"/>
      <c r="EF194" s="78"/>
      <c r="EG194" s="78"/>
      <c r="EH194" s="78"/>
      <c r="EI194" s="78"/>
      <c r="EJ194" s="78"/>
      <c r="EK194" s="78"/>
      <c r="EL194" s="78"/>
      <c r="EM194" s="78"/>
      <c r="EN194" s="91"/>
      <c r="EO194" s="91"/>
      <c r="EP194" s="91"/>
      <c r="EQ194" s="91"/>
      <c r="ER194" s="91"/>
      <c r="ES194" s="91"/>
    </row>
    <row r="195" spans="1:149" outlineLevel="1">
      <c r="A195" s="29" t="str">
        <f t="shared" si="26"/>
        <v>PROPERTY_ENERGY_CERTIFICATESPACE_COOLING_REF_VALUE</v>
      </c>
      <c r="B195" s="67" t="s">
        <v>26</v>
      </c>
      <c r="C195" s="68" t="s">
        <v>54</v>
      </c>
      <c r="D195" s="64" t="s">
        <v>40</v>
      </c>
      <c r="E195" s="66" t="s">
        <v>123</v>
      </c>
      <c r="F195" s="66" t="s">
        <v>146</v>
      </c>
      <c r="G195" s="64" t="str">
        <f>INDEX(Auxiliar!$B$16:$B$24,MATCH(Plano_V3!H195,Auxiliar!$C$16:$C$24,0),1)</f>
        <v>1. Concluído</v>
      </c>
      <c r="H195" s="64">
        <f>VLOOKUP(A195,'Aux - pivots1'!$A:$B,2,0)</f>
        <v>1</v>
      </c>
      <c r="I195" s="180">
        <f>SUMIFS(Table1[Estimação (horas)],Table1[Tabela],Plano_V3!E195,Table1[Campo],Plano_V3!F195)</f>
        <v>4.0999999999999996</v>
      </c>
      <c r="J195" s="180">
        <f t="shared" si="27"/>
        <v>0.51249999999999996</v>
      </c>
      <c r="K195" s="180">
        <f>SUMIFS(Table1[Horas efetivas],Table1[Tabela],Plano_V3!E195,Table1[Campo],Plano_V3!F195)</f>
        <v>4.0999999999999996</v>
      </c>
      <c r="L195" s="180">
        <f t="shared" si="28"/>
        <v>0.51249999999999996</v>
      </c>
      <c r="M195" s="174"/>
      <c r="N195" s="174">
        <f t="shared" si="29"/>
        <v>1</v>
      </c>
      <c r="O195" s="174">
        <f t="shared" si="30"/>
        <v>1</v>
      </c>
      <c r="P195" s="87" t="s">
        <v>124</v>
      </c>
      <c r="Q195" s="90">
        <f t="shared" si="31"/>
        <v>0.51249999999999996</v>
      </c>
      <c r="R195" s="78"/>
      <c r="S195" s="78"/>
      <c r="T195" s="78"/>
      <c r="U195" s="78"/>
      <c r="V195" s="78"/>
      <c r="W195" s="78"/>
      <c r="X195" s="78"/>
      <c r="Y195" s="78"/>
      <c r="Z195" s="78"/>
      <c r="AA195" s="78"/>
      <c r="AB195" s="78"/>
      <c r="AC195" s="78"/>
      <c r="AD195" s="78"/>
      <c r="AE195" s="78"/>
      <c r="AF195" s="78"/>
      <c r="AG195" s="78"/>
      <c r="AH195" s="78"/>
      <c r="AI195" s="78"/>
      <c r="AJ195" s="78"/>
      <c r="AK195" s="78"/>
      <c r="AL195" s="78"/>
      <c r="AM195" s="78"/>
      <c r="AN195" s="78"/>
      <c r="AO195" s="78"/>
      <c r="AP195" s="78"/>
      <c r="AQ195" s="78"/>
      <c r="AR195" s="78"/>
      <c r="AS195" s="78"/>
      <c r="AT195" s="78"/>
      <c r="AU195" s="78"/>
      <c r="AV195" s="78"/>
      <c r="AW195" s="78"/>
      <c r="AX195" s="78"/>
      <c r="AY195" s="91"/>
      <c r="AZ195" s="78"/>
      <c r="BA195" s="78"/>
      <c r="BB195" s="78"/>
      <c r="BC195" s="78"/>
      <c r="BD195" s="78"/>
      <c r="BE195" s="78"/>
      <c r="BF195" s="78"/>
      <c r="BG195" s="78"/>
      <c r="BH195" s="78"/>
      <c r="BI195" s="78"/>
      <c r="BJ195" s="78"/>
      <c r="BK195" s="78"/>
      <c r="BL195" s="78"/>
      <c r="BM195" s="78"/>
      <c r="BN195" s="78"/>
      <c r="BO195" s="78"/>
      <c r="BP195" s="78"/>
      <c r="BQ195" s="78"/>
      <c r="BR195" s="78"/>
      <c r="BS195" s="78"/>
      <c r="BT195" s="78"/>
      <c r="BU195" s="78"/>
      <c r="BV195" s="78"/>
      <c r="BW195" s="78"/>
      <c r="BX195" s="78"/>
      <c r="BY195" s="78"/>
      <c r="BZ195" s="78"/>
      <c r="CA195" s="78"/>
      <c r="CB195" s="78"/>
      <c r="CC195" s="78"/>
      <c r="CD195" s="78"/>
      <c r="CE195" s="78"/>
      <c r="CF195" s="78"/>
      <c r="CG195" s="78"/>
      <c r="CH195" s="78"/>
      <c r="CI195" s="78"/>
      <c r="CJ195" s="78"/>
      <c r="CK195" s="78"/>
      <c r="CL195" s="78"/>
      <c r="CM195" s="78"/>
      <c r="CN195" s="78"/>
      <c r="CO195" s="78"/>
      <c r="CP195" s="78"/>
      <c r="CQ195" s="78"/>
      <c r="CR195" s="78"/>
      <c r="CS195" s="78"/>
      <c r="CT195" s="78"/>
      <c r="CU195" s="78"/>
      <c r="CV195" s="78"/>
      <c r="CW195" s="78"/>
      <c r="CX195" s="78"/>
      <c r="CY195" s="78"/>
      <c r="CZ195" s="78"/>
      <c r="DA195" s="78"/>
      <c r="DB195" s="78"/>
      <c r="DC195" s="78"/>
      <c r="DD195" s="78"/>
      <c r="DE195" s="78"/>
      <c r="DF195" s="78"/>
      <c r="DG195" s="78"/>
      <c r="DH195" s="78"/>
      <c r="DI195" s="78"/>
      <c r="DJ195" s="78"/>
      <c r="DK195" s="78"/>
      <c r="DL195" s="78"/>
      <c r="DM195" s="78"/>
      <c r="DN195" s="78"/>
      <c r="DO195" s="78"/>
      <c r="DP195" s="78"/>
      <c r="DQ195" s="78"/>
      <c r="DR195" s="78"/>
      <c r="DS195" s="78"/>
      <c r="DT195" s="78"/>
      <c r="DU195" s="78"/>
      <c r="DV195" s="78"/>
      <c r="DW195" s="78"/>
      <c r="DX195" s="78"/>
      <c r="DY195" s="78"/>
      <c r="DZ195" s="78"/>
      <c r="EA195" s="78"/>
      <c r="EB195" s="78"/>
      <c r="EC195" s="78"/>
      <c r="ED195" s="78"/>
      <c r="EE195" s="78"/>
      <c r="EF195" s="78"/>
      <c r="EG195" s="78"/>
      <c r="EH195" s="78"/>
      <c r="EI195" s="78"/>
      <c r="EJ195" s="78"/>
      <c r="EK195" s="78"/>
      <c r="EL195" s="78"/>
      <c r="EM195" s="78"/>
      <c r="EN195" s="91"/>
      <c r="EO195" s="91"/>
      <c r="EP195" s="91"/>
      <c r="EQ195" s="91"/>
      <c r="ER195" s="91"/>
      <c r="ES195" s="91"/>
    </row>
    <row r="196" spans="1:149" outlineLevel="1">
      <c r="A196" s="29" t="str">
        <f t="shared" si="26"/>
        <v>PROPERTY_ENERGY_CERTIFICATEENERGY_CLASS_AFTER_MEASUREMENT</v>
      </c>
      <c r="B196" s="67" t="s">
        <v>26</v>
      </c>
      <c r="C196" s="68" t="s">
        <v>54</v>
      </c>
      <c r="D196" s="64" t="s">
        <v>40</v>
      </c>
      <c r="E196" s="66" t="s">
        <v>123</v>
      </c>
      <c r="F196" s="66" t="s">
        <v>147</v>
      </c>
      <c r="G196" s="64" t="str">
        <f>INDEX(Auxiliar!$B$16:$B$24,MATCH(Plano_V3!H196,Auxiliar!$C$16:$C$24,0),1)</f>
        <v>1. Concluído</v>
      </c>
      <c r="H196" s="64">
        <f>VLOOKUP(A196,'Aux - pivots1'!$A:$B,2,0)</f>
        <v>1</v>
      </c>
      <c r="I196" s="180">
        <f>SUMIFS(Table1[Estimação (horas)],Table1[Tabela],Plano_V3!E196,Table1[Campo],Plano_V3!F196)</f>
        <v>4.0999999999999996</v>
      </c>
      <c r="J196" s="180">
        <f t="shared" si="27"/>
        <v>0.51249999999999996</v>
      </c>
      <c r="K196" s="180">
        <f>SUMIFS(Table1[Horas efetivas],Table1[Tabela],Plano_V3!E196,Table1[Campo],Plano_V3!F196)</f>
        <v>4.0999999999999996</v>
      </c>
      <c r="L196" s="180">
        <f t="shared" si="28"/>
        <v>0.51249999999999996</v>
      </c>
      <c r="M196" s="174"/>
      <c r="N196" s="174">
        <f t="shared" si="29"/>
        <v>1</v>
      </c>
      <c r="O196" s="174">
        <f t="shared" si="30"/>
        <v>1</v>
      </c>
      <c r="P196" s="87" t="s">
        <v>124</v>
      </c>
      <c r="Q196" s="90">
        <f t="shared" si="31"/>
        <v>0.51249999999999996</v>
      </c>
      <c r="R196" s="78"/>
      <c r="S196" s="78"/>
      <c r="T196" s="78"/>
      <c r="U196" s="78"/>
      <c r="V196" s="78"/>
      <c r="W196" s="78"/>
      <c r="X196" s="78"/>
      <c r="Y196" s="78"/>
      <c r="Z196" s="78"/>
      <c r="AA196" s="78"/>
      <c r="AB196" s="78"/>
      <c r="AC196" s="78"/>
      <c r="AD196" s="78"/>
      <c r="AE196" s="78"/>
      <c r="AF196" s="78"/>
      <c r="AG196" s="78"/>
      <c r="AH196" s="78"/>
      <c r="AI196" s="78"/>
      <c r="AJ196" s="78"/>
      <c r="AK196" s="78"/>
      <c r="AL196" s="78"/>
      <c r="AM196" s="78"/>
      <c r="AN196" s="78"/>
      <c r="AO196" s="78"/>
      <c r="AP196" s="78"/>
      <c r="AQ196" s="78"/>
      <c r="AR196" s="78"/>
      <c r="AS196" s="78"/>
      <c r="AT196" s="78"/>
      <c r="AU196" s="78"/>
      <c r="AV196" s="78"/>
      <c r="AW196" s="78"/>
      <c r="AX196" s="78"/>
      <c r="AY196" s="91"/>
      <c r="AZ196" s="78"/>
      <c r="BA196" s="78"/>
      <c r="BB196" s="78"/>
      <c r="BC196" s="78"/>
      <c r="BD196" s="78"/>
      <c r="BE196" s="78"/>
      <c r="BF196" s="78"/>
      <c r="BG196" s="78"/>
      <c r="BH196" s="78"/>
      <c r="BI196" s="78"/>
      <c r="BJ196" s="78"/>
      <c r="BK196" s="78"/>
      <c r="BL196" s="78"/>
      <c r="BM196" s="78"/>
      <c r="BN196" s="78"/>
      <c r="BO196" s="78"/>
      <c r="BP196" s="78"/>
      <c r="BQ196" s="78"/>
      <c r="BR196" s="78"/>
      <c r="BS196" s="78"/>
      <c r="BT196" s="78"/>
      <c r="BU196" s="78"/>
      <c r="BV196" s="78"/>
      <c r="BW196" s="78"/>
      <c r="BX196" s="78"/>
      <c r="BY196" s="78"/>
      <c r="BZ196" s="78"/>
      <c r="CA196" s="78"/>
      <c r="CB196" s="78"/>
      <c r="CC196" s="78"/>
      <c r="CD196" s="78"/>
      <c r="CE196" s="78"/>
      <c r="CF196" s="78"/>
      <c r="CG196" s="78"/>
      <c r="CH196" s="78"/>
      <c r="CI196" s="78"/>
      <c r="CJ196" s="78"/>
      <c r="CK196" s="78"/>
      <c r="CL196" s="78"/>
      <c r="CM196" s="78"/>
      <c r="CN196" s="78"/>
      <c r="CO196" s="78"/>
      <c r="CP196" s="78"/>
      <c r="CQ196" s="78"/>
      <c r="CR196" s="78"/>
      <c r="CS196" s="78"/>
      <c r="CT196" s="78"/>
      <c r="CU196" s="78"/>
      <c r="CV196" s="78"/>
      <c r="CW196" s="78"/>
      <c r="CX196" s="78"/>
      <c r="CY196" s="78"/>
      <c r="CZ196" s="78"/>
      <c r="DA196" s="78"/>
      <c r="DB196" s="78"/>
      <c r="DC196" s="78"/>
      <c r="DD196" s="78"/>
      <c r="DE196" s="78"/>
      <c r="DF196" s="78"/>
      <c r="DG196" s="78"/>
      <c r="DH196" s="78"/>
      <c r="DI196" s="78"/>
      <c r="DJ196" s="78"/>
      <c r="DK196" s="78"/>
      <c r="DL196" s="78"/>
      <c r="DM196" s="78"/>
      <c r="DN196" s="78"/>
      <c r="DO196" s="78"/>
      <c r="DP196" s="78"/>
      <c r="DQ196" s="78"/>
      <c r="DR196" s="78"/>
      <c r="DS196" s="78"/>
      <c r="DT196" s="78"/>
      <c r="DU196" s="78"/>
      <c r="DV196" s="78"/>
      <c r="DW196" s="78"/>
      <c r="DX196" s="78"/>
      <c r="DY196" s="78"/>
      <c r="DZ196" s="78"/>
      <c r="EA196" s="78"/>
      <c r="EB196" s="78"/>
      <c r="EC196" s="78"/>
      <c r="ED196" s="78"/>
      <c r="EE196" s="78"/>
      <c r="EF196" s="78"/>
      <c r="EG196" s="78"/>
      <c r="EH196" s="78"/>
      <c r="EI196" s="78"/>
      <c r="EJ196" s="78"/>
      <c r="EK196" s="78"/>
      <c r="EL196" s="78"/>
      <c r="EM196" s="78"/>
      <c r="EN196" s="91"/>
      <c r="EO196" s="91"/>
      <c r="EP196" s="91"/>
      <c r="EQ196" s="91"/>
      <c r="ER196" s="91"/>
      <c r="ES196" s="91"/>
    </row>
    <row r="197" spans="1:149" outlineLevel="1">
      <c r="A197" s="29" t="str">
        <f t="shared" si="26"/>
        <v>PROPERTY_ENERGY_CERTIFICATEENERGY_CONSUMPTION_VALUE_YEAR</v>
      </c>
      <c r="B197" s="67" t="s">
        <v>26</v>
      </c>
      <c r="C197" s="68" t="s">
        <v>54</v>
      </c>
      <c r="D197" s="64" t="s">
        <v>40</v>
      </c>
      <c r="E197" s="66" t="s">
        <v>123</v>
      </c>
      <c r="F197" s="66" t="s">
        <v>51</v>
      </c>
      <c r="G197" s="64" t="str">
        <f>INDEX(Auxiliar!$B$16:$B$24,MATCH(Plano_V3!H197,Auxiliar!$C$16:$C$24,0),1)</f>
        <v>1. Concluído</v>
      </c>
      <c r="H197" s="64">
        <f>VLOOKUP(A197,'Aux - pivots1'!$A:$B,2,0)</f>
        <v>1</v>
      </c>
      <c r="I197" s="180">
        <f>SUMIFS(Table1[Estimação (horas)],Table1[Tabela],Plano_V3!E197,Table1[Campo],Plano_V3!F197)</f>
        <v>4.0999999999999996</v>
      </c>
      <c r="J197" s="180">
        <f t="shared" si="27"/>
        <v>0.51249999999999996</v>
      </c>
      <c r="K197" s="180">
        <f>SUMIFS(Table1[Horas efetivas],Table1[Tabela],Plano_V3!E197,Table1[Campo],Plano_V3!F197)</f>
        <v>4.0999999999999996</v>
      </c>
      <c r="L197" s="180">
        <f t="shared" si="28"/>
        <v>0.51249999999999996</v>
      </c>
      <c r="M197" s="174"/>
      <c r="N197" s="174">
        <f t="shared" si="29"/>
        <v>1</v>
      </c>
      <c r="O197" s="174">
        <f t="shared" si="30"/>
        <v>1</v>
      </c>
      <c r="P197" s="87" t="s">
        <v>124</v>
      </c>
      <c r="Q197" s="90">
        <f t="shared" si="31"/>
        <v>0.51249999999999996</v>
      </c>
      <c r="R197" s="78"/>
      <c r="S197" s="78"/>
      <c r="T197" s="78"/>
      <c r="U197" s="78"/>
      <c r="V197" s="78"/>
      <c r="W197" s="78"/>
      <c r="X197" s="78"/>
      <c r="Y197" s="78"/>
      <c r="Z197" s="78"/>
      <c r="AA197" s="78"/>
      <c r="AB197" s="78"/>
      <c r="AC197" s="78"/>
      <c r="AD197" s="78"/>
      <c r="AE197" s="78"/>
      <c r="AF197" s="78"/>
      <c r="AG197" s="78"/>
      <c r="AH197" s="78"/>
      <c r="AI197" s="78"/>
      <c r="AJ197" s="78"/>
      <c r="AK197" s="78"/>
      <c r="AL197" s="78"/>
      <c r="AM197" s="78"/>
      <c r="AN197" s="78"/>
      <c r="AO197" s="78"/>
      <c r="AP197" s="78"/>
      <c r="AQ197" s="78"/>
      <c r="AR197" s="78"/>
      <c r="AS197" s="78"/>
      <c r="AT197" s="78"/>
      <c r="AU197" s="78"/>
      <c r="AV197" s="78"/>
      <c r="AW197" s="78"/>
      <c r="AX197" s="78"/>
      <c r="AY197" s="91"/>
      <c r="AZ197" s="78"/>
      <c r="BA197" s="78"/>
      <c r="BB197" s="78"/>
      <c r="BC197" s="78"/>
      <c r="BD197" s="78"/>
      <c r="BE197" s="78"/>
      <c r="BF197" s="78"/>
      <c r="BG197" s="78"/>
      <c r="BH197" s="78"/>
      <c r="BI197" s="78"/>
      <c r="BJ197" s="78"/>
      <c r="BK197" s="78"/>
      <c r="BL197" s="78"/>
      <c r="BM197" s="78"/>
      <c r="BN197" s="78"/>
      <c r="BO197" s="78"/>
      <c r="BP197" s="78"/>
      <c r="BQ197" s="78"/>
      <c r="BR197" s="78"/>
      <c r="BS197" s="78"/>
      <c r="BT197" s="78"/>
      <c r="BU197" s="78"/>
      <c r="BV197" s="78"/>
      <c r="BW197" s="78"/>
      <c r="BX197" s="78"/>
      <c r="BY197" s="78"/>
      <c r="BZ197" s="78"/>
      <c r="CA197" s="78"/>
      <c r="CB197" s="78"/>
      <c r="CC197" s="78"/>
      <c r="CD197" s="78"/>
      <c r="CE197" s="78"/>
      <c r="CF197" s="78"/>
      <c r="CG197" s="78"/>
      <c r="CH197" s="78"/>
      <c r="CI197" s="78"/>
      <c r="CJ197" s="78"/>
      <c r="CK197" s="78"/>
      <c r="CL197" s="78"/>
      <c r="CM197" s="78"/>
      <c r="CN197" s="78"/>
      <c r="CO197" s="78"/>
      <c r="CP197" s="78"/>
      <c r="CQ197" s="78"/>
      <c r="CR197" s="78"/>
      <c r="CS197" s="78"/>
      <c r="CT197" s="78"/>
      <c r="CU197" s="78"/>
      <c r="CV197" s="78"/>
      <c r="CW197" s="78"/>
      <c r="CX197" s="78"/>
      <c r="CY197" s="78"/>
      <c r="CZ197" s="78"/>
      <c r="DA197" s="78"/>
      <c r="DB197" s="78"/>
      <c r="DC197" s="78"/>
      <c r="DD197" s="78"/>
      <c r="DE197" s="78"/>
      <c r="DF197" s="78"/>
      <c r="DG197" s="78"/>
      <c r="DH197" s="78"/>
      <c r="DI197" s="78"/>
      <c r="DJ197" s="78"/>
      <c r="DK197" s="78"/>
      <c r="DL197" s="78"/>
      <c r="DM197" s="78"/>
      <c r="DN197" s="78"/>
      <c r="DO197" s="78"/>
      <c r="DP197" s="78"/>
      <c r="DQ197" s="78"/>
      <c r="DR197" s="78"/>
      <c r="DS197" s="78"/>
      <c r="DT197" s="78"/>
      <c r="DU197" s="78"/>
      <c r="DV197" s="78"/>
      <c r="DW197" s="78"/>
      <c r="DX197" s="78"/>
      <c r="DY197" s="78"/>
      <c r="DZ197" s="78"/>
      <c r="EA197" s="78"/>
      <c r="EB197" s="78"/>
      <c r="EC197" s="78"/>
      <c r="ED197" s="78"/>
      <c r="EE197" s="78"/>
      <c r="EF197" s="78"/>
      <c r="EG197" s="78"/>
      <c r="EH197" s="78"/>
      <c r="EI197" s="78"/>
      <c r="EJ197" s="78"/>
      <c r="EK197" s="78"/>
      <c r="EL197" s="78"/>
      <c r="EM197" s="78"/>
      <c r="EN197" s="91"/>
      <c r="EO197" s="91"/>
      <c r="EP197" s="91"/>
      <c r="EQ197" s="91"/>
      <c r="ER197" s="91"/>
      <c r="ES197" s="91"/>
    </row>
    <row r="198" spans="1:149" outlineLevel="1">
      <c r="A198" s="29" t="str">
        <f t="shared" si="26"/>
        <v>PROPERTY_ENERGY_CERTIFICATETHERMAL_BEHAVIOUR_ROOF</v>
      </c>
      <c r="B198" s="67" t="s">
        <v>26</v>
      </c>
      <c r="C198" s="68" t="s">
        <v>54</v>
      </c>
      <c r="D198" s="64" t="s">
        <v>40</v>
      </c>
      <c r="E198" s="66" t="s">
        <v>123</v>
      </c>
      <c r="F198" s="66" t="s">
        <v>148</v>
      </c>
      <c r="G198" s="64" t="str">
        <f>INDEX(Auxiliar!$B$16:$B$24,MATCH(Plano_V3!H198,Auxiliar!$C$16:$C$24,0),1)</f>
        <v>1. Concluído</v>
      </c>
      <c r="H198" s="64">
        <f>VLOOKUP(A198,'Aux - pivots1'!$A:$B,2,0)</f>
        <v>1</v>
      </c>
      <c r="I198" s="180">
        <f>SUMIFS(Table1[Estimação (horas)],Table1[Tabela],Plano_V3!E198,Table1[Campo],Plano_V3!F198)</f>
        <v>4.0999999999999996</v>
      </c>
      <c r="J198" s="180">
        <f t="shared" si="27"/>
        <v>0.51249999999999996</v>
      </c>
      <c r="K198" s="180">
        <f>SUMIFS(Table1[Horas efetivas],Table1[Tabela],Plano_V3!E198,Table1[Campo],Plano_V3!F198)</f>
        <v>2.1</v>
      </c>
      <c r="L198" s="180">
        <f t="shared" si="28"/>
        <v>0.26250000000000001</v>
      </c>
      <c r="M198" s="174"/>
      <c r="N198" s="174">
        <f t="shared" si="29"/>
        <v>0.51219512195121952</v>
      </c>
      <c r="O198" s="174">
        <f t="shared" si="30"/>
        <v>0.51219512195121952</v>
      </c>
      <c r="P198" s="87" t="s">
        <v>124</v>
      </c>
      <c r="Q198" s="90">
        <f t="shared" si="31"/>
        <v>0.51249999999999996</v>
      </c>
      <c r="R198" s="78"/>
      <c r="S198" s="78"/>
      <c r="T198" s="78"/>
      <c r="U198" s="78"/>
      <c r="V198" s="78"/>
      <c r="W198" s="78"/>
      <c r="X198" s="78"/>
      <c r="Y198" s="78"/>
      <c r="Z198" s="78"/>
      <c r="AA198" s="78"/>
      <c r="AB198" s="78"/>
      <c r="AC198" s="78"/>
      <c r="AD198" s="78"/>
      <c r="AE198" s="78"/>
      <c r="AF198" s="78"/>
      <c r="AG198" s="78"/>
      <c r="AH198" s="78"/>
      <c r="AI198" s="78"/>
      <c r="AJ198" s="78"/>
      <c r="AK198" s="78"/>
      <c r="AL198" s="78"/>
      <c r="AM198" s="78"/>
      <c r="AN198" s="78"/>
      <c r="AO198" s="78"/>
      <c r="AP198" s="78"/>
      <c r="AQ198" s="78"/>
      <c r="AR198" s="78"/>
      <c r="AS198" s="78"/>
      <c r="AT198" s="78"/>
      <c r="AU198" s="78"/>
      <c r="AV198" s="78"/>
      <c r="AW198" s="78"/>
      <c r="AX198" s="78"/>
      <c r="AY198" s="91"/>
      <c r="AZ198" s="78"/>
      <c r="BA198" s="78"/>
      <c r="BB198" s="78"/>
      <c r="BC198" s="78"/>
      <c r="BD198" s="78"/>
      <c r="BE198" s="78"/>
      <c r="BF198" s="78"/>
      <c r="BG198" s="78"/>
      <c r="BH198" s="78"/>
      <c r="BI198" s="78"/>
      <c r="BJ198" s="78"/>
      <c r="BK198" s="78"/>
      <c r="BL198" s="78"/>
      <c r="BM198" s="78"/>
      <c r="BN198" s="78"/>
      <c r="BO198" s="78"/>
      <c r="BP198" s="78"/>
      <c r="BQ198" s="78"/>
      <c r="BR198" s="78"/>
      <c r="BS198" s="78"/>
      <c r="BT198" s="78"/>
      <c r="BU198" s="78"/>
      <c r="BV198" s="78"/>
      <c r="BW198" s="78"/>
      <c r="BX198" s="78"/>
      <c r="BY198" s="78"/>
      <c r="BZ198" s="78"/>
      <c r="CA198" s="78"/>
      <c r="CB198" s="78"/>
      <c r="CC198" s="78"/>
      <c r="CD198" s="78"/>
      <c r="CE198" s="78"/>
      <c r="CF198" s="78"/>
      <c r="CG198" s="78"/>
      <c r="CH198" s="78"/>
      <c r="CI198" s="78"/>
      <c r="CJ198" s="78"/>
      <c r="CK198" s="78"/>
      <c r="CL198" s="78"/>
      <c r="CM198" s="78"/>
      <c r="CN198" s="78"/>
      <c r="CO198" s="78"/>
      <c r="CP198" s="78"/>
      <c r="CQ198" s="78"/>
      <c r="CR198" s="78"/>
      <c r="CS198" s="78"/>
      <c r="CT198" s="78"/>
      <c r="CU198" s="78"/>
      <c r="CV198" s="78"/>
      <c r="CW198" s="78"/>
      <c r="CX198" s="78"/>
      <c r="CY198" s="78"/>
      <c r="CZ198" s="78"/>
      <c r="DA198" s="78"/>
      <c r="DB198" s="78"/>
      <c r="DC198" s="78"/>
      <c r="DD198" s="78"/>
      <c r="DE198" s="78"/>
      <c r="DF198" s="78"/>
      <c r="DG198" s="78"/>
      <c r="DH198" s="78"/>
      <c r="DI198" s="78"/>
      <c r="DJ198" s="78"/>
      <c r="DK198" s="78"/>
      <c r="DL198" s="78"/>
      <c r="DM198" s="78"/>
      <c r="DN198" s="78"/>
      <c r="DO198" s="78"/>
      <c r="DP198" s="78"/>
      <c r="DQ198" s="78"/>
      <c r="DR198" s="78"/>
      <c r="DS198" s="78"/>
      <c r="DT198" s="78"/>
      <c r="DU198" s="78"/>
      <c r="DV198" s="78"/>
      <c r="DW198" s="78"/>
      <c r="DX198" s="78"/>
      <c r="DY198" s="78"/>
      <c r="DZ198" s="78"/>
      <c r="EA198" s="78"/>
      <c r="EB198" s="78"/>
      <c r="EC198" s="78"/>
      <c r="ED198" s="78"/>
      <c r="EE198" s="78"/>
      <c r="EF198" s="78"/>
      <c r="EG198" s="78"/>
      <c r="EH198" s="78"/>
      <c r="EI198" s="78"/>
      <c r="EJ198" s="78"/>
      <c r="EK198" s="78"/>
      <c r="EL198" s="78"/>
      <c r="EM198" s="78"/>
      <c r="EN198" s="91"/>
      <c r="EO198" s="91"/>
      <c r="EP198" s="91"/>
      <c r="EQ198" s="91"/>
      <c r="ER198" s="91"/>
      <c r="ES198" s="91"/>
    </row>
    <row r="199" spans="1:149" outlineLevel="1">
      <c r="A199" s="29" t="str">
        <f t="shared" si="26"/>
        <v>PROPERTY_ENERGY_CERTIFICATETHERMAL_BEHAVIOUR_WINDOWS</v>
      </c>
      <c r="B199" s="67" t="s">
        <v>26</v>
      </c>
      <c r="C199" s="68" t="s">
        <v>54</v>
      </c>
      <c r="D199" s="64" t="s">
        <v>40</v>
      </c>
      <c r="E199" s="66" t="s">
        <v>123</v>
      </c>
      <c r="F199" s="66" t="s">
        <v>149</v>
      </c>
      <c r="G199" s="64" t="str">
        <f>INDEX(Auxiliar!$B$16:$B$24,MATCH(Plano_V3!H199,Auxiliar!$C$16:$C$24,0),1)</f>
        <v>1. Concluído</v>
      </c>
      <c r="H199" s="64">
        <f>VLOOKUP(A199,'Aux - pivots1'!$A:$B,2,0)</f>
        <v>1</v>
      </c>
      <c r="I199" s="180">
        <f>SUMIFS(Table1[Estimação (horas)],Table1[Tabela],Plano_V3!E199,Table1[Campo],Plano_V3!F199)</f>
        <v>4.0999999999999996</v>
      </c>
      <c r="J199" s="180">
        <f t="shared" si="27"/>
        <v>0.51249999999999996</v>
      </c>
      <c r="K199" s="180">
        <f>SUMIFS(Table1[Horas efetivas],Table1[Tabela],Plano_V3!E199,Table1[Campo],Plano_V3!F199)</f>
        <v>4.0999999999999996</v>
      </c>
      <c r="L199" s="180">
        <f t="shared" si="28"/>
        <v>0.51249999999999996</v>
      </c>
      <c r="M199" s="174"/>
      <c r="N199" s="174">
        <f t="shared" si="29"/>
        <v>1</v>
      </c>
      <c r="O199" s="174">
        <f t="shared" si="30"/>
        <v>1</v>
      </c>
      <c r="P199" s="87" t="s">
        <v>124</v>
      </c>
      <c r="Q199" s="90">
        <f t="shared" si="31"/>
        <v>0.51249999999999996</v>
      </c>
      <c r="R199" s="78"/>
      <c r="S199" s="78"/>
      <c r="T199" s="78"/>
      <c r="U199" s="78"/>
      <c r="V199" s="78"/>
      <c r="W199" s="78"/>
      <c r="X199" s="78"/>
      <c r="Y199" s="78"/>
      <c r="Z199" s="78"/>
      <c r="AA199" s="78"/>
      <c r="AB199" s="78"/>
      <c r="AC199" s="78"/>
      <c r="AD199" s="78"/>
      <c r="AE199" s="78"/>
      <c r="AF199" s="78"/>
      <c r="AG199" s="78"/>
      <c r="AH199" s="78"/>
      <c r="AI199" s="78"/>
      <c r="AJ199" s="78"/>
      <c r="AK199" s="78"/>
      <c r="AL199" s="78"/>
      <c r="AM199" s="78"/>
      <c r="AN199" s="78"/>
      <c r="AO199" s="78"/>
      <c r="AP199" s="78"/>
      <c r="AQ199" s="78"/>
      <c r="AR199" s="78"/>
      <c r="AS199" s="78"/>
      <c r="AT199" s="78"/>
      <c r="AU199" s="78"/>
      <c r="AV199" s="78"/>
      <c r="AW199" s="78"/>
      <c r="AX199" s="78"/>
      <c r="AY199" s="91"/>
      <c r="AZ199" s="78"/>
      <c r="BA199" s="78"/>
      <c r="BB199" s="78"/>
      <c r="BC199" s="78"/>
      <c r="BD199" s="78"/>
      <c r="BE199" s="78"/>
      <c r="BF199" s="78"/>
      <c r="BG199" s="78"/>
      <c r="BH199" s="78"/>
      <c r="BI199" s="78"/>
      <c r="BJ199" s="78"/>
      <c r="BK199" s="78"/>
      <c r="BL199" s="78"/>
      <c r="BM199" s="78"/>
      <c r="BN199" s="78"/>
      <c r="BO199" s="78"/>
      <c r="BP199" s="78"/>
      <c r="BQ199" s="78"/>
      <c r="BR199" s="78"/>
      <c r="BS199" s="78"/>
      <c r="BT199" s="78"/>
      <c r="BU199" s="78"/>
      <c r="BV199" s="78"/>
      <c r="BW199" s="78"/>
      <c r="BX199" s="78"/>
      <c r="BY199" s="78"/>
      <c r="BZ199" s="78"/>
      <c r="CA199" s="78"/>
      <c r="CB199" s="78"/>
      <c r="CC199" s="78"/>
      <c r="CD199" s="78"/>
      <c r="CE199" s="78"/>
      <c r="CF199" s="78"/>
      <c r="CG199" s="78"/>
      <c r="CH199" s="78"/>
      <c r="CI199" s="78"/>
      <c r="CJ199" s="78"/>
      <c r="CK199" s="78"/>
      <c r="CL199" s="78"/>
      <c r="CM199" s="78"/>
      <c r="CN199" s="78"/>
      <c r="CO199" s="78"/>
      <c r="CP199" s="78"/>
      <c r="CQ199" s="78"/>
      <c r="CR199" s="78"/>
      <c r="CS199" s="78"/>
      <c r="CT199" s="78"/>
      <c r="CU199" s="78"/>
      <c r="CV199" s="78"/>
      <c r="CW199" s="78"/>
      <c r="CX199" s="78"/>
      <c r="CY199" s="78"/>
      <c r="CZ199" s="78"/>
      <c r="DA199" s="78"/>
      <c r="DB199" s="78"/>
      <c r="DC199" s="78"/>
      <c r="DD199" s="78"/>
      <c r="DE199" s="78"/>
      <c r="DF199" s="78"/>
      <c r="DG199" s="78"/>
      <c r="DH199" s="78"/>
      <c r="DI199" s="78"/>
      <c r="DJ199" s="78"/>
      <c r="DK199" s="78"/>
      <c r="DL199" s="78"/>
      <c r="DM199" s="78"/>
      <c r="DN199" s="78"/>
      <c r="DO199" s="78"/>
      <c r="DP199" s="78"/>
      <c r="DQ199" s="78"/>
      <c r="DR199" s="78"/>
      <c r="DS199" s="78"/>
      <c r="DT199" s="78"/>
      <c r="DU199" s="78"/>
      <c r="DV199" s="78"/>
      <c r="DW199" s="78"/>
      <c r="DX199" s="78"/>
      <c r="DY199" s="78"/>
      <c r="DZ199" s="78"/>
      <c r="EA199" s="78"/>
      <c r="EB199" s="78"/>
      <c r="EC199" s="78"/>
      <c r="ED199" s="78"/>
      <c r="EE199" s="78"/>
      <c r="EF199" s="78"/>
      <c r="EG199" s="78"/>
      <c r="EH199" s="78"/>
      <c r="EI199" s="78"/>
      <c r="EJ199" s="78"/>
      <c r="EK199" s="78"/>
      <c r="EL199" s="78"/>
      <c r="EM199" s="78"/>
      <c r="EN199" s="91"/>
      <c r="EO199" s="91"/>
      <c r="EP199" s="91"/>
      <c r="EQ199" s="91"/>
      <c r="ER199" s="91"/>
      <c r="ES199" s="91"/>
    </row>
    <row r="200" spans="1:149" outlineLevel="1">
      <c r="A200" s="29" t="str">
        <f t="shared" si="26"/>
        <v>PROPERTY_ENERGY_CERTIFICATETHERMAL_BEHAVIOUR_WALL</v>
      </c>
      <c r="B200" s="67" t="s">
        <v>26</v>
      </c>
      <c r="C200" s="68" t="s">
        <v>54</v>
      </c>
      <c r="D200" s="64" t="s">
        <v>40</v>
      </c>
      <c r="E200" s="66" t="s">
        <v>123</v>
      </c>
      <c r="F200" s="66" t="s">
        <v>150</v>
      </c>
      <c r="G200" s="64" t="str">
        <f>INDEX(Auxiliar!$B$16:$B$24,MATCH(Plano_V3!H200,Auxiliar!$C$16:$C$24,0),1)</f>
        <v>1. Concluído</v>
      </c>
      <c r="H200" s="64">
        <f>VLOOKUP(A200,'Aux - pivots1'!$A:$B,2,0)</f>
        <v>1</v>
      </c>
      <c r="I200" s="180">
        <f>SUMIFS(Table1[Estimação (horas)],Table1[Tabela],Plano_V3!E200,Table1[Campo],Plano_V3!F200)</f>
        <v>4.0999999999999996</v>
      </c>
      <c r="J200" s="180">
        <f t="shared" si="27"/>
        <v>0.51249999999999996</v>
      </c>
      <c r="K200" s="180">
        <f>SUMIFS(Table1[Horas efetivas],Table1[Tabela],Plano_V3!E200,Table1[Campo],Plano_V3!F200)</f>
        <v>4.0999999999999996</v>
      </c>
      <c r="L200" s="180">
        <f t="shared" si="28"/>
        <v>0.51249999999999996</v>
      </c>
      <c r="M200" s="174"/>
      <c r="N200" s="174">
        <f t="shared" si="29"/>
        <v>1</v>
      </c>
      <c r="O200" s="174">
        <f t="shared" si="30"/>
        <v>1</v>
      </c>
      <c r="P200" s="87" t="s">
        <v>124</v>
      </c>
      <c r="Q200" s="90">
        <f t="shared" si="31"/>
        <v>0.51249999999999996</v>
      </c>
      <c r="R200" s="78"/>
      <c r="S200" s="78"/>
      <c r="T200" s="78"/>
      <c r="U200" s="78"/>
      <c r="V200" s="78"/>
      <c r="W200" s="78"/>
      <c r="X200" s="78"/>
      <c r="Y200" s="78"/>
      <c r="Z200" s="78"/>
      <c r="AA200" s="78"/>
      <c r="AB200" s="78"/>
      <c r="AC200" s="78"/>
      <c r="AD200" s="78"/>
      <c r="AE200" s="78"/>
      <c r="AF200" s="78"/>
      <c r="AG200" s="78"/>
      <c r="AH200" s="78"/>
      <c r="AI200" s="78"/>
      <c r="AJ200" s="78"/>
      <c r="AK200" s="78"/>
      <c r="AL200" s="78"/>
      <c r="AM200" s="78"/>
      <c r="AN200" s="78"/>
      <c r="AO200" s="78"/>
      <c r="AP200" s="78"/>
      <c r="AQ200" s="78"/>
      <c r="AR200" s="78"/>
      <c r="AS200" s="78"/>
      <c r="AT200" s="78"/>
      <c r="AU200" s="78"/>
      <c r="AV200" s="78"/>
      <c r="AW200" s="78"/>
      <c r="AX200" s="78"/>
      <c r="AY200" s="91"/>
      <c r="AZ200" s="78"/>
      <c r="BA200" s="78"/>
      <c r="BB200" s="78"/>
      <c r="BC200" s="78"/>
      <c r="BD200" s="78"/>
      <c r="BE200" s="78"/>
      <c r="BF200" s="78"/>
      <c r="BG200" s="78"/>
      <c r="BH200" s="78"/>
      <c r="BI200" s="78"/>
      <c r="BJ200" s="78"/>
      <c r="BK200" s="78"/>
      <c r="BL200" s="78"/>
      <c r="BM200" s="78"/>
      <c r="BN200" s="78"/>
      <c r="BO200" s="78"/>
      <c r="BP200" s="78"/>
      <c r="BQ200" s="78"/>
      <c r="BR200" s="78"/>
      <c r="BS200" s="78"/>
      <c r="BT200" s="78"/>
      <c r="BU200" s="78"/>
      <c r="BV200" s="78"/>
      <c r="BW200" s="78"/>
      <c r="BX200" s="78"/>
      <c r="BY200" s="78"/>
      <c r="BZ200" s="78"/>
      <c r="CA200" s="78"/>
      <c r="CB200" s="78"/>
      <c r="CC200" s="78"/>
      <c r="CD200" s="78"/>
      <c r="CE200" s="78"/>
      <c r="CF200" s="78"/>
      <c r="CG200" s="78"/>
      <c r="CH200" s="78"/>
      <c r="CI200" s="78"/>
      <c r="CJ200" s="78"/>
      <c r="CK200" s="78"/>
      <c r="CL200" s="78"/>
      <c r="CM200" s="78"/>
      <c r="CN200" s="78"/>
      <c r="CO200" s="78"/>
      <c r="CP200" s="78"/>
      <c r="CQ200" s="78"/>
      <c r="CR200" s="78"/>
      <c r="CS200" s="78"/>
      <c r="CT200" s="78"/>
      <c r="CU200" s="78"/>
      <c r="CV200" s="78"/>
      <c r="CW200" s="78"/>
      <c r="CX200" s="78"/>
      <c r="CY200" s="78"/>
      <c r="CZ200" s="78"/>
      <c r="DA200" s="78"/>
      <c r="DB200" s="78"/>
      <c r="DC200" s="78"/>
      <c r="DD200" s="78"/>
      <c r="DE200" s="78"/>
      <c r="DF200" s="78"/>
      <c r="DG200" s="78"/>
      <c r="DH200" s="78"/>
      <c r="DI200" s="78"/>
      <c r="DJ200" s="78"/>
      <c r="DK200" s="78"/>
      <c r="DL200" s="78"/>
      <c r="DM200" s="78"/>
      <c r="DN200" s="78"/>
      <c r="DO200" s="78"/>
      <c r="DP200" s="78"/>
      <c r="DQ200" s="78"/>
      <c r="DR200" s="78"/>
      <c r="DS200" s="78"/>
      <c r="DT200" s="78"/>
      <c r="DU200" s="78"/>
      <c r="DV200" s="78"/>
      <c r="DW200" s="78"/>
      <c r="DX200" s="78"/>
      <c r="DY200" s="78"/>
      <c r="DZ200" s="78"/>
      <c r="EA200" s="78"/>
      <c r="EB200" s="78"/>
      <c r="EC200" s="78"/>
      <c r="ED200" s="78"/>
      <c r="EE200" s="78"/>
      <c r="EF200" s="78"/>
      <c r="EG200" s="78"/>
      <c r="EH200" s="78"/>
      <c r="EI200" s="78"/>
      <c r="EJ200" s="78"/>
      <c r="EK200" s="78"/>
      <c r="EL200" s="78"/>
      <c r="EM200" s="78"/>
      <c r="EN200" s="91"/>
      <c r="EO200" s="91"/>
      <c r="EP200" s="91"/>
      <c r="EQ200" s="91"/>
      <c r="ER200" s="91"/>
      <c r="ES200" s="91"/>
    </row>
    <row r="201" spans="1:149" outlineLevel="1">
      <c r="A201" s="29" t="str">
        <f t="shared" si="26"/>
        <v>PROPERTY_ENERGY_CERTIFICATETHERMAL_BEHAVIOUR_FLOORS</v>
      </c>
      <c r="B201" s="67" t="s">
        <v>26</v>
      </c>
      <c r="C201" s="68" t="s">
        <v>54</v>
      </c>
      <c r="D201" s="64" t="s">
        <v>40</v>
      </c>
      <c r="E201" s="66" t="s">
        <v>123</v>
      </c>
      <c r="F201" s="66" t="s">
        <v>151</v>
      </c>
      <c r="G201" s="64" t="str">
        <f>INDEX(Auxiliar!$B$16:$B$24,MATCH(Plano_V3!H201,Auxiliar!$C$16:$C$24,0),1)</f>
        <v>1. Concluído</v>
      </c>
      <c r="H201" s="64">
        <f>VLOOKUP(A201,'Aux - pivots1'!$A:$B,2,0)</f>
        <v>1</v>
      </c>
      <c r="I201" s="180">
        <f>SUMIFS(Table1[Estimação (horas)],Table1[Tabela],Plano_V3!E201,Table1[Campo],Plano_V3!F201)</f>
        <v>4.0999999999999996</v>
      </c>
      <c r="J201" s="180">
        <f t="shared" si="27"/>
        <v>0.51249999999999996</v>
      </c>
      <c r="K201" s="180">
        <f>SUMIFS(Table1[Horas efetivas],Table1[Tabela],Plano_V3!E201,Table1[Campo],Plano_V3!F201)</f>
        <v>4.0999999999999996</v>
      </c>
      <c r="L201" s="180">
        <f t="shared" si="28"/>
        <v>0.51249999999999996</v>
      </c>
      <c r="M201" s="174"/>
      <c r="N201" s="174">
        <f t="shared" si="29"/>
        <v>1</v>
      </c>
      <c r="O201" s="174">
        <f t="shared" si="30"/>
        <v>1</v>
      </c>
      <c r="P201" s="87" t="s">
        <v>124</v>
      </c>
      <c r="Q201" s="90">
        <f t="shared" si="31"/>
        <v>0.51249999999999996</v>
      </c>
      <c r="R201" s="78"/>
      <c r="S201" s="78"/>
      <c r="T201" s="78"/>
      <c r="U201" s="78"/>
      <c r="V201" s="78"/>
      <c r="W201" s="78"/>
      <c r="X201" s="78"/>
      <c r="Y201" s="78"/>
      <c r="Z201" s="78"/>
      <c r="AA201" s="78"/>
      <c r="AB201" s="78"/>
      <c r="AC201" s="78"/>
      <c r="AD201" s="78"/>
      <c r="AE201" s="78"/>
      <c r="AF201" s="78"/>
      <c r="AG201" s="78"/>
      <c r="AH201" s="78"/>
      <c r="AI201" s="78"/>
      <c r="AJ201" s="78"/>
      <c r="AK201" s="78"/>
      <c r="AL201" s="78"/>
      <c r="AM201" s="78"/>
      <c r="AN201" s="78"/>
      <c r="AO201" s="78"/>
      <c r="AP201" s="78"/>
      <c r="AQ201" s="78"/>
      <c r="AR201" s="78"/>
      <c r="AS201" s="78"/>
      <c r="AT201" s="78"/>
      <c r="AU201" s="78"/>
      <c r="AV201" s="78"/>
      <c r="AW201" s="78"/>
      <c r="AX201" s="78"/>
      <c r="AY201" s="91"/>
      <c r="AZ201" s="78"/>
      <c r="BA201" s="78"/>
      <c r="BB201" s="78"/>
      <c r="BC201" s="78"/>
      <c r="BD201" s="78"/>
      <c r="BE201" s="78"/>
      <c r="BF201" s="78"/>
      <c r="BG201" s="78"/>
      <c r="BH201" s="78"/>
      <c r="BI201" s="78"/>
      <c r="BJ201" s="78"/>
      <c r="BK201" s="78"/>
      <c r="BL201" s="78"/>
      <c r="BM201" s="78"/>
      <c r="BN201" s="78"/>
      <c r="BO201" s="78"/>
      <c r="BP201" s="78"/>
      <c r="BQ201" s="78"/>
      <c r="BR201" s="78"/>
      <c r="BS201" s="78"/>
      <c r="BT201" s="78"/>
      <c r="BU201" s="78"/>
      <c r="BV201" s="78"/>
      <c r="BW201" s="78"/>
      <c r="BX201" s="78"/>
      <c r="BY201" s="78"/>
      <c r="BZ201" s="78"/>
      <c r="CA201" s="78"/>
      <c r="CB201" s="78"/>
      <c r="CC201" s="78"/>
      <c r="CD201" s="78"/>
      <c r="CE201" s="78"/>
      <c r="CF201" s="78"/>
      <c r="CG201" s="78"/>
      <c r="CH201" s="78"/>
      <c r="CI201" s="78"/>
      <c r="CJ201" s="78"/>
      <c r="CK201" s="78"/>
      <c r="CL201" s="78"/>
      <c r="CM201" s="78"/>
      <c r="CN201" s="78"/>
      <c r="CO201" s="78"/>
      <c r="CP201" s="78"/>
      <c r="CQ201" s="78"/>
      <c r="CR201" s="78"/>
      <c r="CS201" s="78"/>
      <c r="CT201" s="78"/>
      <c r="CU201" s="78"/>
      <c r="CV201" s="78"/>
      <c r="CW201" s="78"/>
      <c r="CX201" s="78"/>
      <c r="CY201" s="78"/>
      <c r="CZ201" s="78"/>
      <c r="DA201" s="78"/>
      <c r="DB201" s="78"/>
      <c r="DC201" s="78"/>
      <c r="DD201" s="78"/>
      <c r="DE201" s="78"/>
      <c r="DF201" s="78"/>
      <c r="DG201" s="78"/>
      <c r="DH201" s="78"/>
      <c r="DI201" s="78"/>
      <c r="DJ201" s="78"/>
      <c r="DK201" s="78"/>
      <c r="DL201" s="78"/>
      <c r="DM201" s="78"/>
      <c r="DN201" s="78"/>
      <c r="DO201" s="78"/>
      <c r="DP201" s="78"/>
      <c r="DQ201" s="78"/>
      <c r="DR201" s="78"/>
      <c r="DS201" s="78"/>
      <c r="DT201" s="78"/>
      <c r="DU201" s="78"/>
      <c r="DV201" s="78"/>
      <c r="DW201" s="78"/>
      <c r="DX201" s="78"/>
      <c r="DY201" s="78"/>
      <c r="DZ201" s="78"/>
      <c r="EA201" s="78"/>
      <c r="EB201" s="78"/>
      <c r="EC201" s="78"/>
      <c r="ED201" s="78"/>
      <c r="EE201" s="78"/>
      <c r="EF201" s="78"/>
      <c r="EG201" s="78"/>
      <c r="EH201" s="78"/>
      <c r="EI201" s="78"/>
      <c r="EJ201" s="78"/>
      <c r="EK201" s="78"/>
      <c r="EL201" s="78"/>
      <c r="EM201" s="78"/>
      <c r="EN201" s="91"/>
      <c r="EO201" s="91"/>
      <c r="EP201" s="91"/>
      <c r="EQ201" s="91"/>
      <c r="ER201" s="91"/>
      <c r="ES201" s="91"/>
    </row>
    <row r="202" spans="1:149" outlineLevel="1">
      <c r="A202" s="29" t="str">
        <f t="shared" si="26"/>
        <v>PROPERTY_ENERGY_CERTIFICATETHERMAL_BEHAVIOUR_TECH_SYS_VENT</v>
      </c>
      <c r="B202" s="67" t="s">
        <v>26</v>
      </c>
      <c r="C202" s="68" t="s">
        <v>54</v>
      </c>
      <c r="D202" s="64" t="s">
        <v>40</v>
      </c>
      <c r="E202" s="66" t="s">
        <v>123</v>
      </c>
      <c r="F202" s="66" t="s">
        <v>152</v>
      </c>
      <c r="G202" s="64" t="str">
        <f>INDEX(Auxiliar!$B$16:$B$24,MATCH(Plano_V3!H202,Auxiliar!$C$16:$C$24,0),1)</f>
        <v>1. Concluído</v>
      </c>
      <c r="H202" s="64">
        <f>VLOOKUP(A202,'Aux - pivots1'!$A:$B,2,0)</f>
        <v>1</v>
      </c>
      <c r="I202" s="180">
        <f>SUMIFS(Table1[Estimação (horas)],Table1[Tabela],Plano_V3!E202,Table1[Campo],Plano_V3!F202)</f>
        <v>4.0999999999999996</v>
      </c>
      <c r="J202" s="180">
        <f t="shared" si="27"/>
        <v>0.51249999999999996</v>
      </c>
      <c r="K202" s="180">
        <f>SUMIFS(Table1[Horas efetivas],Table1[Tabela],Plano_V3!E202,Table1[Campo],Plano_V3!F202)</f>
        <v>4.0999999999999996</v>
      </c>
      <c r="L202" s="180">
        <f t="shared" si="28"/>
        <v>0.51249999999999996</v>
      </c>
      <c r="M202" s="174"/>
      <c r="N202" s="174">
        <f t="shared" si="29"/>
        <v>1</v>
      </c>
      <c r="O202" s="174">
        <f t="shared" si="30"/>
        <v>1</v>
      </c>
      <c r="P202" s="87" t="s">
        <v>124</v>
      </c>
      <c r="Q202" s="90">
        <f t="shared" si="31"/>
        <v>0.51249999999999996</v>
      </c>
      <c r="R202" s="78"/>
      <c r="S202" s="78"/>
      <c r="T202" s="78"/>
      <c r="U202" s="78"/>
      <c r="V202" s="78"/>
      <c r="W202" s="78"/>
      <c r="X202" s="78"/>
      <c r="Y202" s="78"/>
      <c r="Z202" s="78"/>
      <c r="AA202" s="78"/>
      <c r="AB202" s="78"/>
      <c r="AC202" s="78"/>
      <c r="AD202" s="78"/>
      <c r="AE202" s="78"/>
      <c r="AF202" s="78"/>
      <c r="AG202" s="78"/>
      <c r="AH202" s="78"/>
      <c r="AI202" s="78"/>
      <c r="AJ202" s="78"/>
      <c r="AK202" s="78"/>
      <c r="AL202" s="78"/>
      <c r="AM202" s="78"/>
      <c r="AN202" s="78"/>
      <c r="AO202" s="78"/>
      <c r="AP202" s="78"/>
      <c r="AQ202" s="78"/>
      <c r="AR202" s="78"/>
      <c r="AS202" s="78"/>
      <c r="AT202" s="78"/>
      <c r="AU202" s="78"/>
      <c r="AV202" s="78"/>
      <c r="AW202" s="78"/>
      <c r="AX202" s="78"/>
      <c r="AY202" s="91"/>
      <c r="AZ202" s="78"/>
      <c r="BA202" s="78"/>
      <c r="BB202" s="78"/>
      <c r="BC202" s="78"/>
      <c r="BD202" s="78"/>
      <c r="BE202" s="78"/>
      <c r="BF202" s="78"/>
      <c r="BG202" s="78"/>
      <c r="BH202" s="78"/>
      <c r="BI202" s="78"/>
      <c r="BJ202" s="78"/>
      <c r="BK202" s="78"/>
      <c r="BL202" s="78"/>
      <c r="BM202" s="78"/>
      <c r="BN202" s="78"/>
      <c r="BO202" s="78"/>
      <c r="BP202" s="78"/>
      <c r="BQ202" s="78"/>
      <c r="BR202" s="78"/>
      <c r="BS202" s="78"/>
      <c r="BT202" s="78"/>
      <c r="BU202" s="78"/>
      <c r="BV202" s="78"/>
      <c r="BW202" s="78"/>
      <c r="BX202" s="78"/>
      <c r="BY202" s="78"/>
      <c r="BZ202" s="78"/>
      <c r="CA202" s="78"/>
      <c r="CB202" s="78"/>
      <c r="CC202" s="78"/>
      <c r="CD202" s="78"/>
      <c r="CE202" s="78"/>
      <c r="CF202" s="78"/>
      <c r="CG202" s="78"/>
      <c r="CH202" s="78"/>
      <c r="CI202" s="78"/>
      <c r="CJ202" s="78"/>
      <c r="CK202" s="78"/>
      <c r="CL202" s="78"/>
      <c r="CM202" s="78"/>
      <c r="CN202" s="78"/>
      <c r="CO202" s="78"/>
      <c r="CP202" s="78"/>
      <c r="CQ202" s="78"/>
      <c r="CR202" s="78"/>
      <c r="CS202" s="78"/>
      <c r="CT202" s="78"/>
      <c r="CU202" s="78"/>
      <c r="CV202" s="78"/>
      <c r="CW202" s="78"/>
      <c r="CX202" s="78"/>
      <c r="CY202" s="78"/>
      <c r="CZ202" s="78"/>
      <c r="DA202" s="78"/>
      <c r="DB202" s="78"/>
      <c r="DC202" s="78"/>
      <c r="DD202" s="78"/>
      <c r="DE202" s="78"/>
      <c r="DF202" s="78"/>
      <c r="DG202" s="78"/>
      <c r="DH202" s="78"/>
      <c r="DI202" s="78"/>
      <c r="DJ202" s="78"/>
      <c r="DK202" s="78"/>
      <c r="DL202" s="78"/>
      <c r="DM202" s="78"/>
      <c r="DN202" s="78"/>
      <c r="DO202" s="78"/>
      <c r="DP202" s="78"/>
      <c r="DQ202" s="78"/>
      <c r="DR202" s="78"/>
      <c r="DS202" s="78"/>
      <c r="DT202" s="78"/>
      <c r="DU202" s="78"/>
      <c r="DV202" s="78"/>
      <c r="DW202" s="78"/>
      <c r="DX202" s="78"/>
      <c r="DY202" s="78"/>
      <c r="DZ202" s="78"/>
      <c r="EA202" s="78"/>
      <c r="EB202" s="78"/>
      <c r="EC202" s="78"/>
      <c r="ED202" s="78"/>
      <c r="EE202" s="78"/>
      <c r="EF202" s="78"/>
      <c r="EG202" s="78"/>
      <c r="EH202" s="78"/>
      <c r="EI202" s="78"/>
      <c r="EJ202" s="78"/>
      <c r="EK202" s="78"/>
      <c r="EL202" s="78"/>
      <c r="EM202" s="78"/>
      <c r="EN202" s="91"/>
      <c r="EO202" s="91"/>
      <c r="EP202" s="91"/>
      <c r="EQ202" s="91"/>
      <c r="ER202" s="91"/>
      <c r="ES202" s="91"/>
    </row>
    <row r="203" spans="1:149" outlineLevel="1">
      <c r="A203" s="29" t="str">
        <f t="shared" ref="A203:A242" si="32">E203&amp;F203</f>
        <v>PROPERTY_ENERGY_CERTIFICATETOTAL_INVSTMNT_ESTMTD_VALUE</v>
      </c>
      <c r="B203" s="67" t="s">
        <v>26</v>
      </c>
      <c r="C203" s="68" t="s">
        <v>54</v>
      </c>
      <c r="D203" s="64" t="s">
        <v>40</v>
      </c>
      <c r="E203" s="66" t="s">
        <v>123</v>
      </c>
      <c r="F203" s="66" t="s">
        <v>153</v>
      </c>
      <c r="G203" s="64" t="str">
        <f>INDEX(Auxiliar!$B$16:$B$24,MATCH(Plano_V3!H203,Auxiliar!$C$16:$C$24,0),1)</f>
        <v>1. Concluído</v>
      </c>
      <c r="H203" s="64">
        <f>VLOOKUP(A203,'Aux - pivots1'!$A:$B,2,0)</f>
        <v>1</v>
      </c>
      <c r="I203" s="180">
        <f>SUMIFS(Table1[Estimação (horas)],Table1[Tabela],Plano_V3!E203,Table1[Campo],Plano_V3!F203)</f>
        <v>4.0999999999999996</v>
      </c>
      <c r="J203" s="180">
        <f t="shared" si="27"/>
        <v>0.51249999999999996</v>
      </c>
      <c r="K203" s="180">
        <f>SUMIFS(Table1[Horas efetivas],Table1[Tabela],Plano_V3!E203,Table1[Campo],Plano_V3!F203)</f>
        <v>4.0999999999999996</v>
      </c>
      <c r="L203" s="180">
        <f t="shared" si="28"/>
        <v>0.51249999999999996</v>
      </c>
      <c r="M203" s="174"/>
      <c r="N203" s="174">
        <f t="shared" si="29"/>
        <v>1</v>
      </c>
      <c r="O203" s="174">
        <f t="shared" si="30"/>
        <v>1</v>
      </c>
      <c r="P203" s="87" t="s">
        <v>124</v>
      </c>
      <c r="Q203" s="90">
        <f t="shared" si="31"/>
        <v>0.51249999999999996</v>
      </c>
      <c r="R203" s="78"/>
      <c r="S203" s="78"/>
      <c r="T203" s="78"/>
      <c r="U203" s="78"/>
      <c r="V203" s="78"/>
      <c r="W203" s="78"/>
      <c r="X203" s="78"/>
      <c r="Y203" s="78"/>
      <c r="Z203" s="78"/>
      <c r="AA203" s="78"/>
      <c r="AB203" s="78"/>
      <c r="AC203" s="78"/>
      <c r="AD203" s="78"/>
      <c r="AE203" s="78"/>
      <c r="AF203" s="78"/>
      <c r="AG203" s="78"/>
      <c r="AH203" s="78"/>
      <c r="AI203" s="78"/>
      <c r="AJ203" s="78"/>
      <c r="AK203" s="78"/>
      <c r="AL203" s="78"/>
      <c r="AM203" s="78"/>
      <c r="AN203" s="78"/>
      <c r="AO203" s="78"/>
      <c r="AP203" s="78"/>
      <c r="AQ203" s="78"/>
      <c r="AR203" s="78"/>
      <c r="AS203" s="78"/>
      <c r="AT203" s="78"/>
      <c r="AU203" s="78"/>
      <c r="AV203" s="78"/>
      <c r="AW203" s="78"/>
      <c r="AX203" s="78"/>
      <c r="AY203" s="91"/>
      <c r="AZ203" s="78"/>
      <c r="BA203" s="78"/>
      <c r="BB203" s="78"/>
      <c r="BC203" s="78"/>
      <c r="BD203" s="78"/>
      <c r="BE203" s="78"/>
      <c r="BF203" s="78"/>
      <c r="BG203" s="78"/>
      <c r="BH203" s="78"/>
      <c r="BI203" s="78"/>
      <c r="BJ203" s="78"/>
      <c r="BK203" s="78"/>
      <c r="BL203" s="78"/>
      <c r="BM203" s="78"/>
      <c r="BN203" s="78"/>
      <c r="BO203" s="78"/>
      <c r="BP203" s="78"/>
      <c r="BQ203" s="78"/>
      <c r="BR203" s="78"/>
      <c r="BS203" s="78"/>
      <c r="BT203" s="78"/>
      <c r="BU203" s="78"/>
      <c r="BV203" s="78"/>
      <c r="BW203" s="78"/>
      <c r="BX203" s="78"/>
      <c r="BY203" s="78"/>
      <c r="BZ203" s="78"/>
      <c r="CA203" s="78"/>
      <c r="CB203" s="78"/>
      <c r="CC203" s="78"/>
      <c r="CD203" s="78"/>
      <c r="CE203" s="78"/>
      <c r="CF203" s="78"/>
      <c r="CG203" s="78"/>
      <c r="CH203" s="78"/>
      <c r="CI203" s="78"/>
      <c r="CJ203" s="78"/>
      <c r="CK203" s="78"/>
      <c r="CL203" s="78"/>
      <c r="CM203" s="78"/>
      <c r="CN203" s="78"/>
      <c r="CO203" s="78"/>
      <c r="CP203" s="78"/>
      <c r="CQ203" s="78"/>
      <c r="CR203" s="78"/>
      <c r="CS203" s="78"/>
      <c r="CT203" s="78"/>
      <c r="CU203" s="78"/>
      <c r="CV203" s="78"/>
      <c r="CW203" s="78"/>
      <c r="CX203" s="78"/>
      <c r="CY203" s="78"/>
      <c r="CZ203" s="78"/>
      <c r="DA203" s="78"/>
      <c r="DB203" s="78"/>
      <c r="DC203" s="78"/>
      <c r="DD203" s="78"/>
      <c r="DE203" s="78"/>
      <c r="DF203" s="78"/>
      <c r="DG203" s="78"/>
      <c r="DH203" s="78"/>
      <c r="DI203" s="78"/>
      <c r="DJ203" s="78"/>
      <c r="DK203" s="78"/>
      <c r="DL203" s="78"/>
      <c r="DM203" s="78"/>
      <c r="DN203" s="78"/>
      <c r="DO203" s="78"/>
      <c r="DP203" s="78"/>
      <c r="DQ203" s="78"/>
      <c r="DR203" s="78"/>
      <c r="DS203" s="78"/>
      <c r="DT203" s="78"/>
      <c r="DU203" s="78"/>
      <c r="DV203" s="78"/>
      <c r="DW203" s="78"/>
      <c r="DX203" s="78"/>
      <c r="DY203" s="78"/>
      <c r="DZ203" s="78"/>
      <c r="EA203" s="78"/>
      <c r="EB203" s="78"/>
      <c r="EC203" s="78"/>
      <c r="ED203" s="78"/>
      <c r="EE203" s="78"/>
      <c r="EF203" s="78"/>
      <c r="EG203" s="78"/>
      <c r="EH203" s="78"/>
      <c r="EI203" s="78"/>
      <c r="EJ203" s="78"/>
      <c r="EK203" s="78"/>
      <c r="EL203" s="78"/>
      <c r="EM203" s="78"/>
      <c r="EN203" s="91"/>
      <c r="EO203" s="91"/>
      <c r="EP203" s="91"/>
      <c r="EQ203" s="91"/>
      <c r="ER203" s="91"/>
      <c r="ES203" s="91"/>
    </row>
    <row r="204" spans="1:149" outlineLevel="1">
      <c r="A204" s="29" t="str">
        <f t="shared" si="32"/>
        <v>PROPERTY_ENERGY_CERTIFICATEDURATION_SUMMER</v>
      </c>
      <c r="B204" s="67" t="s">
        <v>26</v>
      </c>
      <c r="C204" s="68" t="s">
        <v>54</v>
      </c>
      <c r="D204" s="64" t="s">
        <v>40</v>
      </c>
      <c r="E204" s="66" t="s">
        <v>123</v>
      </c>
      <c r="F204" s="66" t="s">
        <v>154</v>
      </c>
      <c r="G204" s="64" t="str">
        <f>INDEX(Auxiliar!$B$16:$B$24,MATCH(Plano_V3!H204,Auxiliar!$C$16:$C$24,0),1)</f>
        <v>1. Concluído</v>
      </c>
      <c r="H204" s="64">
        <f>VLOOKUP(A204,'Aux - pivots1'!$A:$B,2,0)</f>
        <v>1</v>
      </c>
      <c r="I204" s="180">
        <f>SUMIFS(Table1[Estimação (horas)],Table1[Tabela],Plano_V3!E204,Table1[Campo],Plano_V3!F204)</f>
        <v>4.0999999999999996</v>
      </c>
      <c r="J204" s="180">
        <f t="shared" si="27"/>
        <v>0.51249999999999996</v>
      </c>
      <c r="K204" s="180">
        <f>SUMIFS(Table1[Horas efetivas],Table1[Tabela],Plano_V3!E204,Table1[Campo],Plano_V3!F204)</f>
        <v>4.0999999999999996</v>
      </c>
      <c r="L204" s="180">
        <f t="shared" si="28"/>
        <v>0.51249999999999996</v>
      </c>
      <c r="M204" s="174"/>
      <c r="N204" s="174">
        <f t="shared" si="29"/>
        <v>1</v>
      </c>
      <c r="O204" s="174">
        <f t="shared" si="30"/>
        <v>1</v>
      </c>
      <c r="P204" s="87" t="s">
        <v>124</v>
      </c>
      <c r="Q204" s="90">
        <f t="shared" si="31"/>
        <v>0.51249999999999996</v>
      </c>
      <c r="R204" s="78"/>
      <c r="S204" s="78"/>
      <c r="T204" s="78"/>
      <c r="U204" s="78"/>
      <c r="V204" s="78"/>
      <c r="W204" s="78"/>
      <c r="X204" s="78"/>
      <c r="Y204" s="78"/>
      <c r="Z204" s="78"/>
      <c r="AA204" s="78"/>
      <c r="AB204" s="78"/>
      <c r="AC204" s="78"/>
      <c r="AD204" s="78"/>
      <c r="AE204" s="78"/>
      <c r="AF204" s="78"/>
      <c r="AG204" s="78"/>
      <c r="AH204" s="78"/>
      <c r="AI204" s="78"/>
      <c r="AJ204" s="78"/>
      <c r="AK204" s="78"/>
      <c r="AL204" s="78"/>
      <c r="AM204" s="78"/>
      <c r="AN204" s="78"/>
      <c r="AO204" s="78"/>
      <c r="AP204" s="78"/>
      <c r="AQ204" s="78"/>
      <c r="AR204" s="78"/>
      <c r="AS204" s="78"/>
      <c r="AT204" s="78"/>
      <c r="AU204" s="78"/>
      <c r="AV204" s="78"/>
      <c r="AW204" s="78"/>
      <c r="AX204" s="78"/>
      <c r="AY204" s="91"/>
      <c r="AZ204" s="78"/>
      <c r="BA204" s="78"/>
      <c r="BB204" s="78"/>
      <c r="BC204" s="78"/>
      <c r="BD204" s="78"/>
      <c r="BE204" s="78"/>
      <c r="BF204" s="78"/>
      <c r="BG204" s="78"/>
      <c r="BH204" s="78"/>
      <c r="BI204" s="78"/>
      <c r="BJ204" s="78"/>
      <c r="BK204" s="78"/>
      <c r="BL204" s="78"/>
      <c r="BM204" s="78"/>
      <c r="BN204" s="78"/>
      <c r="BO204" s="78"/>
      <c r="BP204" s="78"/>
      <c r="BQ204" s="78"/>
      <c r="BR204" s="78"/>
      <c r="BS204" s="78"/>
      <c r="BT204" s="78"/>
      <c r="BU204" s="78"/>
      <c r="BV204" s="78"/>
      <c r="BW204" s="78"/>
      <c r="BX204" s="78"/>
      <c r="BY204" s="78"/>
      <c r="BZ204" s="78"/>
      <c r="CA204" s="78"/>
      <c r="CB204" s="78"/>
      <c r="CC204" s="78"/>
      <c r="CD204" s="78"/>
      <c r="CE204" s="78"/>
      <c r="CF204" s="78"/>
      <c r="CG204" s="78"/>
      <c r="CH204" s="78"/>
      <c r="CI204" s="78"/>
      <c r="CJ204" s="78"/>
      <c r="CK204" s="78"/>
      <c r="CL204" s="78"/>
      <c r="CM204" s="78"/>
      <c r="CN204" s="78"/>
      <c r="CO204" s="78"/>
      <c r="CP204" s="78"/>
      <c r="CQ204" s="78"/>
      <c r="CR204" s="78"/>
      <c r="CS204" s="78"/>
      <c r="CT204" s="78"/>
      <c r="CU204" s="78"/>
      <c r="CV204" s="78"/>
      <c r="CW204" s="78"/>
      <c r="CX204" s="78"/>
      <c r="CY204" s="78"/>
      <c r="CZ204" s="78"/>
      <c r="DA204" s="78"/>
      <c r="DB204" s="78"/>
      <c r="DC204" s="78"/>
      <c r="DD204" s="78"/>
      <c r="DE204" s="78"/>
      <c r="DF204" s="78"/>
      <c r="DG204" s="78"/>
      <c r="DH204" s="78"/>
      <c r="DI204" s="78"/>
      <c r="DJ204" s="78"/>
      <c r="DK204" s="78"/>
      <c r="DL204" s="78"/>
      <c r="DM204" s="78"/>
      <c r="DN204" s="78"/>
      <c r="DO204" s="78"/>
      <c r="DP204" s="78"/>
      <c r="DQ204" s="78"/>
      <c r="DR204" s="78"/>
      <c r="DS204" s="78"/>
      <c r="DT204" s="78"/>
      <c r="DU204" s="78"/>
      <c r="DV204" s="78"/>
      <c r="DW204" s="78"/>
      <c r="DX204" s="78"/>
      <c r="DY204" s="78"/>
      <c r="DZ204" s="78"/>
      <c r="EA204" s="78"/>
      <c r="EB204" s="78"/>
      <c r="EC204" s="78"/>
      <c r="ED204" s="78"/>
      <c r="EE204" s="78"/>
      <c r="EF204" s="78"/>
      <c r="EG204" s="78"/>
      <c r="EH204" s="78"/>
      <c r="EI204" s="78"/>
      <c r="EJ204" s="78"/>
      <c r="EK204" s="78"/>
      <c r="EL204" s="78"/>
      <c r="EM204" s="78"/>
      <c r="EN204" s="91"/>
      <c r="EO204" s="91"/>
      <c r="EP204" s="91"/>
      <c r="EQ204" s="91"/>
      <c r="ER204" s="91"/>
      <c r="ES204" s="91"/>
    </row>
    <row r="205" spans="1:149" outlineLevel="1">
      <c r="A205" s="29" t="str">
        <f t="shared" si="32"/>
        <v>PROPERTY_ENERGY_CERTIFICATEDURATION_WINTER</v>
      </c>
      <c r="B205" s="67" t="s">
        <v>26</v>
      </c>
      <c r="C205" s="68" t="s">
        <v>54</v>
      </c>
      <c r="D205" s="64" t="s">
        <v>40</v>
      </c>
      <c r="E205" s="66" t="s">
        <v>123</v>
      </c>
      <c r="F205" s="66" t="s">
        <v>155</v>
      </c>
      <c r="G205" s="64" t="str">
        <f>INDEX(Auxiliar!$B$16:$B$24,MATCH(Plano_V3!H205,Auxiliar!$C$16:$C$24,0),1)</f>
        <v>1. Concluído</v>
      </c>
      <c r="H205" s="64">
        <f>VLOOKUP(A205,'Aux - pivots1'!$A:$B,2,0)</f>
        <v>1</v>
      </c>
      <c r="I205" s="180">
        <f>SUMIFS(Table1[Estimação (horas)],Table1[Tabela],Plano_V3!E205,Table1[Campo],Plano_V3!F205)</f>
        <v>4.0999999999999996</v>
      </c>
      <c r="J205" s="180">
        <f t="shared" ref="J205:J237" si="33">I205/8</f>
        <v>0.51249999999999996</v>
      </c>
      <c r="K205" s="180">
        <f>SUMIFS(Table1[Horas efetivas],Table1[Tabela],Plano_V3!E205,Table1[Campo],Plano_V3!F205)</f>
        <v>4.0999999999999996</v>
      </c>
      <c r="L205" s="180">
        <f t="shared" ref="L205:L237" si="34">K205/8</f>
        <v>0.51249999999999996</v>
      </c>
      <c r="M205" s="174"/>
      <c r="N205" s="174">
        <f t="shared" ref="N205:N242" si="35">L205/J205</f>
        <v>1</v>
      </c>
      <c r="O205" s="174">
        <f t="shared" si="30"/>
        <v>1</v>
      </c>
      <c r="P205" s="87" t="s">
        <v>124</v>
      </c>
      <c r="Q205" s="90">
        <f t="shared" si="31"/>
        <v>0.51249999999999996</v>
      </c>
      <c r="R205" s="78"/>
      <c r="S205" s="78"/>
      <c r="T205" s="78"/>
      <c r="U205" s="78"/>
      <c r="V205" s="78"/>
      <c r="W205" s="78"/>
      <c r="X205" s="78"/>
      <c r="Y205" s="78"/>
      <c r="Z205" s="78"/>
      <c r="AA205" s="78"/>
      <c r="AB205" s="78"/>
      <c r="AC205" s="78"/>
      <c r="AD205" s="78"/>
      <c r="AE205" s="78"/>
      <c r="AF205" s="78"/>
      <c r="AG205" s="78"/>
      <c r="AH205" s="78"/>
      <c r="AI205" s="78"/>
      <c r="AJ205" s="78"/>
      <c r="AK205" s="78"/>
      <c r="AL205" s="78"/>
      <c r="AM205" s="78"/>
      <c r="AN205" s="78"/>
      <c r="AO205" s="78"/>
      <c r="AP205" s="78"/>
      <c r="AQ205" s="78"/>
      <c r="AR205" s="78"/>
      <c r="AS205" s="78"/>
      <c r="AT205" s="78"/>
      <c r="AU205" s="78"/>
      <c r="AV205" s="78"/>
      <c r="AW205" s="78"/>
      <c r="AX205" s="78"/>
      <c r="AY205" s="91"/>
      <c r="AZ205" s="78"/>
      <c r="BA205" s="78"/>
      <c r="BB205" s="78"/>
      <c r="BC205" s="78"/>
      <c r="BD205" s="78"/>
      <c r="BE205" s="78"/>
      <c r="BF205" s="78"/>
      <c r="BG205" s="78"/>
      <c r="BH205" s="78"/>
      <c r="BI205" s="78"/>
      <c r="BJ205" s="78"/>
      <c r="BK205" s="78"/>
      <c r="BL205" s="78"/>
      <c r="BM205" s="78"/>
      <c r="BN205" s="78"/>
      <c r="BO205" s="78"/>
      <c r="BP205" s="78"/>
      <c r="BQ205" s="78"/>
      <c r="BR205" s="78"/>
      <c r="BS205" s="78"/>
      <c r="BT205" s="78"/>
      <c r="BU205" s="78"/>
      <c r="BV205" s="78"/>
      <c r="BW205" s="78"/>
      <c r="BX205" s="78"/>
      <c r="BY205" s="78"/>
      <c r="BZ205" s="78"/>
      <c r="CA205" s="78"/>
      <c r="CB205" s="78"/>
      <c r="CC205" s="78"/>
      <c r="CD205" s="78"/>
      <c r="CE205" s="78"/>
      <c r="CF205" s="78"/>
      <c r="CG205" s="78"/>
      <c r="CH205" s="78"/>
      <c r="CI205" s="78"/>
      <c r="CJ205" s="78"/>
      <c r="CK205" s="78"/>
      <c r="CL205" s="78"/>
      <c r="CM205" s="78"/>
      <c r="CN205" s="78"/>
      <c r="CO205" s="78"/>
      <c r="CP205" s="78"/>
      <c r="CQ205" s="78"/>
      <c r="CR205" s="78"/>
      <c r="CS205" s="78"/>
      <c r="CT205" s="78"/>
      <c r="CU205" s="78"/>
      <c r="CV205" s="78"/>
      <c r="CW205" s="78"/>
      <c r="CX205" s="78"/>
      <c r="CY205" s="78"/>
      <c r="CZ205" s="78"/>
      <c r="DA205" s="78"/>
      <c r="DB205" s="78"/>
      <c r="DC205" s="78"/>
      <c r="DD205" s="78"/>
      <c r="DE205" s="78"/>
      <c r="DF205" s="78"/>
      <c r="DG205" s="78"/>
      <c r="DH205" s="78"/>
      <c r="DI205" s="78"/>
      <c r="DJ205" s="78"/>
      <c r="DK205" s="78"/>
      <c r="DL205" s="78"/>
      <c r="DM205" s="78"/>
      <c r="DN205" s="78"/>
      <c r="DO205" s="78"/>
      <c r="DP205" s="78"/>
      <c r="DQ205" s="78"/>
      <c r="DR205" s="78"/>
      <c r="DS205" s="78"/>
      <c r="DT205" s="78"/>
      <c r="DU205" s="78"/>
      <c r="DV205" s="78"/>
      <c r="DW205" s="78"/>
      <c r="DX205" s="78"/>
      <c r="DY205" s="78"/>
      <c r="DZ205" s="78"/>
      <c r="EA205" s="78"/>
      <c r="EB205" s="78"/>
      <c r="EC205" s="78"/>
      <c r="ED205" s="78"/>
      <c r="EE205" s="78"/>
      <c r="EF205" s="78"/>
      <c r="EG205" s="78"/>
      <c r="EH205" s="78"/>
      <c r="EI205" s="78"/>
      <c r="EJ205" s="78"/>
      <c r="EK205" s="78"/>
      <c r="EL205" s="78"/>
      <c r="EM205" s="78"/>
      <c r="EN205" s="91"/>
      <c r="EO205" s="91"/>
      <c r="EP205" s="91"/>
      <c r="EQ205" s="91"/>
      <c r="ER205" s="91"/>
      <c r="ES205" s="91"/>
    </row>
    <row r="206" spans="1:149" outlineLevel="1">
      <c r="A206" s="29" t="str">
        <f t="shared" si="32"/>
        <v>PROPERTY_ENERGY_CERTIFICATECARBON_EMISSION_VALUE_YEAR</v>
      </c>
      <c r="B206" s="67" t="s">
        <v>26</v>
      </c>
      <c r="C206" s="68" t="s">
        <v>54</v>
      </c>
      <c r="D206" s="64" t="s">
        <v>40</v>
      </c>
      <c r="E206" s="66" t="s">
        <v>123</v>
      </c>
      <c r="F206" s="66" t="s">
        <v>52</v>
      </c>
      <c r="G206" s="64" t="str">
        <f>INDEX(Auxiliar!$B$16:$B$24,MATCH(Plano_V3!H206,Auxiliar!$C$16:$C$24,0),1)</f>
        <v>1. Concluído</v>
      </c>
      <c r="H206" s="64">
        <f>VLOOKUP(A206,'Aux - pivots1'!$A:$B,2,0)</f>
        <v>1</v>
      </c>
      <c r="I206" s="180">
        <f>SUMIFS(Table1[Estimação (horas)],Table1[Tabela],Plano_V3!E206,Table1[Campo],Plano_V3!F206)</f>
        <v>4.0999999999999996</v>
      </c>
      <c r="J206" s="180">
        <f t="shared" si="33"/>
        <v>0.51249999999999996</v>
      </c>
      <c r="K206" s="180">
        <f>SUMIFS(Table1[Horas efetivas],Table1[Tabela],Plano_V3!E206,Table1[Campo],Plano_V3!F206)</f>
        <v>4.0999999999999996</v>
      </c>
      <c r="L206" s="180">
        <f t="shared" si="34"/>
        <v>0.51249999999999996</v>
      </c>
      <c r="M206" s="174"/>
      <c r="N206" s="174">
        <f t="shared" si="35"/>
        <v>1</v>
      </c>
      <c r="O206" s="174">
        <f t="shared" si="30"/>
        <v>1</v>
      </c>
      <c r="P206" s="87" t="s">
        <v>124</v>
      </c>
      <c r="Q206" s="90">
        <f t="shared" si="31"/>
        <v>0.51249999999999996</v>
      </c>
      <c r="R206" s="78"/>
      <c r="S206" s="78"/>
      <c r="T206" s="78"/>
      <c r="U206" s="78"/>
      <c r="V206" s="78"/>
      <c r="W206" s="78"/>
      <c r="X206" s="78"/>
      <c r="Y206" s="78"/>
      <c r="Z206" s="78"/>
      <c r="AA206" s="78"/>
      <c r="AB206" s="78"/>
      <c r="AC206" s="78"/>
      <c r="AD206" s="78"/>
      <c r="AE206" s="78"/>
      <c r="AF206" s="78"/>
      <c r="AG206" s="78"/>
      <c r="AH206" s="78"/>
      <c r="AI206" s="78"/>
      <c r="AJ206" s="78"/>
      <c r="AK206" s="78"/>
      <c r="AL206" s="78"/>
      <c r="AM206" s="78"/>
      <c r="AN206" s="78"/>
      <c r="AO206" s="78"/>
      <c r="AP206" s="78"/>
      <c r="AQ206" s="78"/>
      <c r="AR206" s="78"/>
      <c r="AS206" s="78"/>
      <c r="AT206" s="78"/>
      <c r="AU206" s="78"/>
      <c r="AV206" s="78"/>
      <c r="AW206" s="78"/>
      <c r="AX206" s="78"/>
      <c r="AY206" s="91"/>
      <c r="AZ206" s="78"/>
      <c r="BA206" s="78"/>
      <c r="BB206" s="78"/>
      <c r="BC206" s="78"/>
      <c r="BD206" s="78"/>
      <c r="BE206" s="78"/>
      <c r="BF206" s="78"/>
      <c r="BG206" s="78"/>
      <c r="BH206" s="78"/>
      <c r="BI206" s="78"/>
      <c r="BJ206" s="78"/>
      <c r="BK206" s="78"/>
      <c r="BL206" s="78"/>
      <c r="BM206" s="78"/>
      <c r="BN206" s="78"/>
      <c r="BO206" s="78"/>
      <c r="BP206" s="78"/>
      <c r="BQ206" s="78"/>
      <c r="BR206" s="78"/>
      <c r="BS206" s="78"/>
      <c r="BT206" s="78"/>
      <c r="BU206" s="78"/>
      <c r="BV206" s="78"/>
      <c r="BW206" s="78"/>
      <c r="BX206" s="78"/>
      <c r="BY206" s="78"/>
      <c r="BZ206" s="78"/>
      <c r="CA206" s="78"/>
      <c r="CB206" s="78"/>
      <c r="CC206" s="78"/>
      <c r="CD206" s="78"/>
      <c r="CE206" s="78"/>
      <c r="CF206" s="78"/>
      <c r="CG206" s="78"/>
      <c r="CH206" s="78"/>
      <c r="CI206" s="78"/>
      <c r="CJ206" s="78"/>
      <c r="CK206" s="78"/>
      <c r="CL206" s="78"/>
      <c r="CM206" s="78"/>
      <c r="CN206" s="78"/>
      <c r="CO206" s="78"/>
      <c r="CP206" s="78"/>
      <c r="CQ206" s="78"/>
      <c r="CR206" s="78"/>
      <c r="CS206" s="78"/>
      <c r="CT206" s="78"/>
      <c r="CU206" s="78"/>
      <c r="CV206" s="78"/>
      <c r="CW206" s="78"/>
      <c r="CX206" s="78"/>
      <c r="CY206" s="78"/>
      <c r="CZ206" s="78"/>
      <c r="DA206" s="78"/>
      <c r="DB206" s="78"/>
      <c r="DC206" s="78"/>
      <c r="DD206" s="78"/>
      <c r="DE206" s="78"/>
      <c r="DF206" s="78"/>
      <c r="DG206" s="78"/>
      <c r="DH206" s="78"/>
      <c r="DI206" s="78"/>
      <c r="DJ206" s="78"/>
      <c r="DK206" s="78"/>
      <c r="DL206" s="78"/>
      <c r="DM206" s="78"/>
      <c r="DN206" s="78"/>
      <c r="DO206" s="78"/>
      <c r="DP206" s="78"/>
      <c r="DQ206" s="78"/>
      <c r="DR206" s="78"/>
      <c r="DS206" s="78"/>
      <c r="DT206" s="78"/>
      <c r="DU206" s="78"/>
      <c r="DV206" s="78"/>
      <c r="DW206" s="78"/>
      <c r="DX206" s="78"/>
      <c r="DY206" s="78"/>
      <c r="DZ206" s="78"/>
      <c r="EA206" s="78"/>
      <c r="EB206" s="78"/>
      <c r="EC206" s="78"/>
      <c r="ED206" s="78"/>
      <c r="EE206" s="78"/>
      <c r="EF206" s="78"/>
      <c r="EG206" s="78"/>
      <c r="EH206" s="78"/>
      <c r="EI206" s="78"/>
      <c r="EJ206" s="78"/>
      <c r="EK206" s="78"/>
      <c r="EL206" s="78"/>
      <c r="EM206" s="78"/>
      <c r="EN206" s="91"/>
      <c r="EO206" s="91"/>
      <c r="EP206" s="91"/>
      <c r="EQ206" s="91"/>
      <c r="ER206" s="91"/>
      <c r="ES206" s="91"/>
    </row>
    <row r="207" spans="1:149" outlineLevel="1">
      <c r="A207" s="29" t="str">
        <f t="shared" si="32"/>
        <v>PROPERTY_ENERGY_CERTIFICATECARBON_EMISSION_VALUE</v>
      </c>
      <c r="B207" s="67" t="s">
        <v>26</v>
      </c>
      <c r="C207" s="68" t="s">
        <v>54</v>
      </c>
      <c r="D207" s="64" t="s">
        <v>40</v>
      </c>
      <c r="E207" s="66" t="s">
        <v>123</v>
      </c>
      <c r="F207" s="66" t="s">
        <v>156</v>
      </c>
      <c r="G207" s="64" t="str">
        <f>INDEX(Auxiliar!$B$16:$B$24,MATCH(Plano_V3!H207,Auxiliar!$C$16:$C$24,0),1)</f>
        <v>1. Concluído</v>
      </c>
      <c r="H207" s="64">
        <f>VLOOKUP(A207,'Aux - pivots1'!$A:$B,2,0)</f>
        <v>1</v>
      </c>
      <c r="I207" s="180">
        <f>SUMIFS(Table1[Estimação (horas)],Table1[Tabela],Plano_V3!E207,Table1[Campo],Plano_V3!F207)</f>
        <v>4.0999999999999996</v>
      </c>
      <c r="J207" s="180">
        <f t="shared" si="33"/>
        <v>0.51249999999999996</v>
      </c>
      <c r="K207" s="180">
        <f>SUMIFS(Table1[Horas efetivas],Table1[Tabela],Plano_V3!E207,Table1[Campo],Plano_V3!F207)</f>
        <v>4.0999999999999996</v>
      </c>
      <c r="L207" s="180">
        <f t="shared" si="34"/>
        <v>0.51249999999999996</v>
      </c>
      <c r="M207" s="174"/>
      <c r="N207" s="174">
        <f t="shared" si="35"/>
        <v>1</v>
      </c>
      <c r="O207" s="174">
        <f t="shared" si="30"/>
        <v>1</v>
      </c>
      <c r="P207" s="87" t="s">
        <v>124</v>
      </c>
      <c r="Q207" s="90">
        <f t="shared" si="31"/>
        <v>0.51249999999999996</v>
      </c>
      <c r="R207" s="78"/>
      <c r="S207" s="78"/>
      <c r="T207" s="78"/>
      <c r="U207" s="78"/>
      <c r="V207" s="78"/>
      <c r="W207" s="78"/>
      <c r="X207" s="78"/>
      <c r="Y207" s="78"/>
      <c r="Z207" s="78"/>
      <c r="AA207" s="78"/>
      <c r="AB207" s="78"/>
      <c r="AC207" s="78"/>
      <c r="AD207" s="78"/>
      <c r="AE207" s="78"/>
      <c r="AF207" s="78"/>
      <c r="AG207" s="78"/>
      <c r="AH207" s="78"/>
      <c r="AI207" s="78"/>
      <c r="AJ207" s="78"/>
      <c r="AK207" s="78"/>
      <c r="AL207" s="78"/>
      <c r="AM207" s="78"/>
      <c r="AN207" s="78"/>
      <c r="AO207" s="78"/>
      <c r="AP207" s="78"/>
      <c r="AQ207" s="78"/>
      <c r="AR207" s="78"/>
      <c r="AS207" s="78"/>
      <c r="AT207" s="78"/>
      <c r="AU207" s="78"/>
      <c r="AV207" s="78"/>
      <c r="AW207" s="78"/>
      <c r="AX207" s="78"/>
      <c r="AY207" s="91"/>
      <c r="AZ207" s="78"/>
      <c r="BA207" s="78"/>
      <c r="BB207" s="78"/>
      <c r="BC207" s="78"/>
      <c r="BD207" s="78"/>
      <c r="BE207" s="78"/>
      <c r="BF207" s="78"/>
      <c r="BG207" s="78"/>
      <c r="BH207" s="78"/>
      <c r="BI207" s="78"/>
      <c r="BJ207" s="78"/>
      <c r="BK207" s="78"/>
      <c r="BL207" s="78"/>
      <c r="BM207" s="78"/>
      <c r="BN207" s="78"/>
      <c r="BO207" s="78"/>
      <c r="BP207" s="78"/>
      <c r="BQ207" s="78"/>
      <c r="BR207" s="78"/>
      <c r="BS207" s="78"/>
      <c r="BT207" s="78"/>
      <c r="BU207" s="78"/>
      <c r="BV207" s="78"/>
      <c r="BW207" s="78"/>
      <c r="BX207" s="78"/>
      <c r="BY207" s="78"/>
      <c r="BZ207" s="78"/>
      <c r="CA207" s="78"/>
      <c r="CB207" s="78"/>
      <c r="CC207" s="78"/>
      <c r="CD207" s="78"/>
      <c r="CE207" s="78"/>
      <c r="CF207" s="78"/>
      <c r="CG207" s="78"/>
      <c r="CH207" s="78"/>
      <c r="CI207" s="78"/>
      <c r="CJ207" s="78"/>
      <c r="CK207" s="78"/>
      <c r="CL207" s="78"/>
      <c r="CM207" s="78"/>
      <c r="CN207" s="78"/>
      <c r="CO207" s="78"/>
      <c r="CP207" s="78"/>
      <c r="CQ207" s="78"/>
      <c r="CR207" s="78"/>
      <c r="CS207" s="78"/>
      <c r="CT207" s="78"/>
      <c r="CU207" s="78"/>
      <c r="CV207" s="78"/>
      <c r="CW207" s="78"/>
      <c r="CX207" s="78"/>
      <c r="CY207" s="78"/>
      <c r="CZ207" s="78"/>
      <c r="DA207" s="78"/>
      <c r="DB207" s="78"/>
      <c r="DC207" s="78"/>
      <c r="DD207" s="78"/>
      <c r="DE207" s="78"/>
      <c r="DF207" s="78"/>
      <c r="DG207" s="78"/>
      <c r="DH207" s="78"/>
      <c r="DI207" s="78"/>
      <c r="DJ207" s="78"/>
      <c r="DK207" s="78"/>
      <c r="DL207" s="78"/>
      <c r="DM207" s="78"/>
      <c r="DN207" s="78"/>
      <c r="DO207" s="78"/>
      <c r="DP207" s="78"/>
      <c r="DQ207" s="78"/>
      <c r="DR207" s="78"/>
      <c r="DS207" s="78"/>
      <c r="DT207" s="78"/>
      <c r="DU207" s="78"/>
      <c r="DV207" s="78"/>
      <c r="DW207" s="78"/>
      <c r="DX207" s="78"/>
      <c r="DY207" s="78"/>
      <c r="DZ207" s="78"/>
      <c r="EA207" s="78"/>
      <c r="EB207" s="78"/>
      <c r="EC207" s="78"/>
      <c r="ED207" s="78"/>
      <c r="EE207" s="78"/>
      <c r="EF207" s="78"/>
      <c r="EG207" s="78"/>
      <c r="EH207" s="78"/>
      <c r="EI207" s="78"/>
      <c r="EJ207" s="78"/>
      <c r="EK207" s="78"/>
      <c r="EL207" s="78"/>
      <c r="EM207" s="78"/>
      <c r="EN207" s="91"/>
      <c r="EO207" s="91"/>
      <c r="EP207" s="91"/>
      <c r="EQ207" s="91"/>
      <c r="ER207" s="91"/>
      <c r="ES207" s="91"/>
    </row>
    <row r="208" spans="1:149" outlineLevel="1">
      <c r="A208" s="29" t="str">
        <f t="shared" si="32"/>
        <v>PROPERTY_ENERGY_CERTIFICATEUSEFUL_ENERGY_FANS_REQ_VALUE</v>
      </c>
      <c r="B208" s="67" t="s">
        <v>26</v>
      </c>
      <c r="C208" s="68" t="s">
        <v>54</v>
      </c>
      <c r="D208" s="64" t="s">
        <v>40</v>
      </c>
      <c r="E208" s="66" t="s">
        <v>123</v>
      </c>
      <c r="F208" s="66" t="s">
        <v>157</v>
      </c>
      <c r="G208" s="64" t="str">
        <f>INDEX(Auxiliar!$B$16:$B$24,MATCH(Plano_V3!H208,Auxiliar!$C$16:$C$24,0),1)</f>
        <v>1. Concluído</v>
      </c>
      <c r="H208" s="64">
        <f>VLOOKUP(A208,'Aux - pivots1'!$A:$B,2,0)</f>
        <v>1</v>
      </c>
      <c r="I208" s="180">
        <f>SUMIFS(Table1[Estimação (horas)],Table1[Tabela],Plano_V3!E208,Table1[Campo],Plano_V3!F208)</f>
        <v>4.0999999999999996</v>
      </c>
      <c r="J208" s="180">
        <f t="shared" si="33"/>
        <v>0.51249999999999996</v>
      </c>
      <c r="K208" s="180">
        <f>SUMIFS(Table1[Horas efetivas],Table1[Tabela],Plano_V3!E208,Table1[Campo],Plano_V3!F208)</f>
        <v>4.0999999999999996</v>
      </c>
      <c r="L208" s="180">
        <f t="shared" si="34"/>
        <v>0.51249999999999996</v>
      </c>
      <c r="M208" s="174"/>
      <c r="N208" s="174">
        <f t="shared" si="35"/>
        <v>1</v>
      </c>
      <c r="O208" s="174">
        <f t="shared" si="30"/>
        <v>1</v>
      </c>
      <c r="P208" s="87" t="s">
        <v>124</v>
      </c>
      <c r="Q208" s="90">
        <f t="shared" si="31"/>
        <v>0.51249999999999996</v>
      </c>
      <c r="R208" s="78"/>
      <c r="S208" s="78"/>
      <c r="T208" s="78"/>
      <c r="U208" s="78"/>
      <c r="V208" s="78"/>
      <c r="W208" s="78"/>
      <c r="X208" s="78"/>
      <c r="Y208" s="78"/>
      <c r="Z208" s="78"/>
      <c r="AA208" s="78"/>
      <c r="AB208" s="78"/>
      <c r="AC208" s="78"/>
      <c r="AD208" s="78"/>
      <c r="AE208" s="78"/>
      <c r="AF208" s="78"/>
      <c r="AG208" s="78"/>
      <c r="AH208" s="78"/>
      <c r="AI208" s="78"/>
      <c r="AJ208" s="78"/>
      <c r="AK208" s="78"/>
      <c r="AL208" s="78"/>
      <c r="AM208" s="78"/>
      <c r="AN208" s="78"/>
      <c r="AO208" s="78"/>
      <c r="AP208" s="78"/>
      <c r="AQ208" s="78"/>
      <c r="AR208" s="78"/>
      <c r="AS208" s="78"/>
      <c r="AT208" s="78"/>
      <c r="AU208" s="78"/>
      <c r="AV208" s="78"/>
      <c r="AW208" s="78"/>
      <c r="AX208" s="78"/>
      <c r="AY208" s="91"/>
      <c r="AZ208" s="78"/>
      <c r="BA208" s="78"/>
      <c r="BB208" s="78"/>
      <c r="BC208" s="78"/>
      <c r="BD208" s="78"/>
      <c r="BE208" s="78"/>
      <c r="BF208" s="78"/>
      <c r="BG208" s="78"/>
      <c r="BH208" s="78"/>
      <c r="BI208" s="78"/>
      <c r="BJ208" s="78"/>
      <c r="BK208" s="78"/>
      <c r="BL208" s="78"/>
      <c r="BM208" s="78"/>
      <c r="BN208" s="78"/>
      <c r="BO208" s="78"/>
      <c r="BP208" s="78"/>
      <c r="BQ208" s="78"/>
      <c r="BR208" s="78"/>
      <c r="BS208" s="78"/>
      <c r="BT208" s="78"/>
      <c r="BU208" s="78"/>
      <c r="BV208" s="78"/>
      <c r="BW208" s="78"/>
      <c r="BX208" s="78"/>
      <c r="BY208" s="78"/>
      <c r="BZ208" s="78"/>
      <c r="CA208" s="78"/>
      <c r="CB208" s="78"/>
      <c r="CC208" s="78"/>
      <c r="CD208" s="78"/>
      <c r="CE208" s="78"/>
      <c r="CF208" s="78"/>
      <c r="CG208" s="78"/>
      <c r="CH208" s="78"/>
      <c r="CI208" s="78"/>
      <c r="CJ208" s="78"/>
      <c r="CK208" s="78"/>
      <c r="CL208" s="78"/>
      <c r="CM208" s="78"/>
      <c r="CN208" s="78"/>
      <c r="CO208" s="78"/>
      <c r="CP208" s="78"/>
      <c r="CQ208" s="78"/>
      <c r="CR208" s="78"/>
      <c r="CS208" s="78"/>
      <c r="CT208" s="78"/>
      <c r="CU208" s="78"/>
      <c r="CV208" s="78"/>
      <c r="CW208" s="78"/>
      <c r="CX208" s="78"/>
      <c r="CY208" s="78"/>
      <c r="CZ208" s="78"/>
      <c r="DA208" s="78"/>
      <c r="DB208" s="78"/>
      <c r="DC208" s="78"/>
      <c r="DD208" s="78"/>
      <c r="DE208" s="78"/>
      <c r="DF208" s="78"/>
      <c r="DG208" s="78"/>
      <c r="DH208" s="78"/>
      <c r="DI208" s="78"/>
      <c r="DJ208" s="78"/>
      <c r="DK208" s="78"/>
      <c r="DL208" s="78"/>
      <c r="DM208" s="78"/>
      <c r="DN208" s="78"/>
      <c r="DO208" s="78"/>
      <c r="DP208" s="78"/>
      <c r="DQ208" s="78"/>
      <c r="DR208" s="78"/>
      <c r="DS208" s="78"/>
      <c r="DT208" s="78"/>
      <c r="DU208" s="78"/>
      <c r="DV208" s="78"/>
      <c r="DW208" s="78"/>
      <c r="DX208" s="78"/>
      <c r="DY208" s="78"/>
      <c r="DZ208" s="78"/>
      <c r="EA208" s="78"/>
      <c r="EB208" s="78"/>
      <c r="EC208" s="78"/>
      <c r="ED208" s="78"/>
      <c r="EE208" s="78"/>
      <c r="EF208" s="78"/>
      <c r="EG208" s="78"/>
      <c r="EH208" s="78"/>
      <c r="EI208" s="78"/>
      <c r="EJ208" s="78"/>
      <c r="EK208" s="78"/>
      <c r="EL208" s="78"/>
      <c r="EM208" s="78"/>
      <c r="EN208" s="91"/>
      <c r="EO208" s="91"/>
      <c r="EP208" s="91"/>
      <c r="EQ208" s="91"/>
      <c r="ER208" s="91"/>
      <c r="ES208" s="91"/>
    </row>
    <row r="209" spans="1:149" outlineLevel="1">
      <c r="A209" s="29" t="str">
        <f t="shared" si="32"/>
        <v>PROPERTY_ENERGY_CERTIFICATEREN_ENERGY_PRODUCED_OTHER_VALUE</v>
      </c>
      <c r="B209" s="67" t="s">
        <v>26</v>
      </c>
      <c r="C209" s="68" t="s">
        <v>54</v>
      </c>
      <c r="D209" s="64" t="s">
        <v>40</v>
      </c>
      <c r="E209" s="66" t="s">
        <v>123</v>
      </c>
      <c r="F209" s="66" t="s">
        <v>158</v>
      </c>
      <c r="G209" s="64" t="str">
        <f>INDEX(Auxiliar!$B$16:$B$24,MATCH(Plano_V3!H209,Auxiliar!$C$16:$C$24,0),1)</f>
        <v>1. Concluído</v>
      </c>
      <c r="H209" s="64">
        <f>VLOOKUP(A209,'Aux - pivots1'!$A:$B,2,0)</f>
        <v>1</v>
      </c>
      <c r="I209" s="180">
        <f>SUMIFS(Table1[Estimação (horas)],Table1[Tabela],Plano_V3!E209,Table1[Campo],Plano_V3!F209)</f>
        <v>4.0999999999999996</v>
      </c>
      <c r="J209" s="180">
        <f t="shared" si="33"/>
        <v>0.51249999999999996</v>
      </c>
      <c r="K209" s="180">
        <f>SUMIFS(Table1[Horas efetivas],Table1[Tabela],Plano_V3!E209,Table1[Campo],Plano_V3!F209)</f>
        <v>4.0999999999999996</v>
      </c>
      <c r="L209" s="180">
        <f t="shared" si="34"/>
        <v>0.51249999999999996</v>
      </c>
      <c r="M209" s="174"/>
      <c r="N209" s="174">
        <f t="shared" si="35"/>
        <v>1</v>
      </c>
      <c r="O209" s="174">
        <f t="shared" si="30"/>
        <v>1</v>
      </c>
      <c r="P209" s="87" t="s">
        <v>124</v>
      </c>
      <c r="Q209" s="90">
        <f t="shared" si="31"/>
        <v>0.51249999999999996</v>
      </c>
      <c r="R209" s="78"/>
      <c r="S209" s="78"/>
      <c r="T209" s="78"/>
      <c r="U209" s="78"/>
      <c r="V209" s="78"/>
      <c r="W209" s="78"/>
      <c r="X209" s="78"/>
      <c r="Y209" s="78"/>
      <c r="Z209" s="78"/>
      <c r="AA209" s="78"/>
      <c r="AB209" s="78"/>
      <c r="AC209" s="78"/>
      <c r="AD209" s="78"/>
      <c r="AE209" s="78"/>
      <c r="AF209" s="78"/>
      <c r="AG209" s="78"/>
      <c r="AH209" s="78"/>
      <c r="AI209" s="78"/>
      <c r="AJ209" s="78"/>
      <c r="AK209" s="78"/>
      <c r="AL209" s="78"/>
      <c r="AM209" s="78"/>
      <c r="AN209" s="78"/>
      <c r="AO209" s="78"/>
      <c r="AP209" s="78"/>
      <c r="AQ209" s="78"/>
      <c r="AR209" s="78"/>
      <c r="AS209" s="78"/>
      <c r="AT209" s="78"/>
      <c r="AU209" s="78"/>
      <c r="AV209" s="78"/>
      <c r="AW209" s="78"/>
      <c r="AX209" s="78"/>
      <c r="AY209" s="91"/>
      <c r="AZ209" s="78"/>
      <c r="BA209" s="78"/>
      <c r="BB209" s="78"/>
      <c r="BC209" s="78"/>
      <c r="BD209" s="78"/>
      <c r="BE209" s="78"/>
      <c r="BF209" s="78"/>
      <c r="BG209" s="78"/>
      <c r="BH209" s="78"/>
      <c r="BI209" s="78"/>
      <c r="BJ209" s="78"/>
      <c r="BK209" s="78"/>
      <c r="BL209" s="78"/>
      <c r="BM209" s="78"/>
      <c r="BN209" s="78"/>
      <c r="BO209" s="78"/>
      <c r="BP209" s="78"/>
      <c r="BQ209" s="78"/>
      <c r="BR209" s="78"/>
      <c r="BS209" s="78"/>
      <c r="BT209" s="78"/>
      <c r="BU209" s="78"/>
      <c r="BV209" s="78"/>
      <c r="BW209" s="78"/>
      <c r="BX209" s="78"/>
      <c r="BY209" s="78"/>
      <c r="BZ209" s="78"/>
      <c r="CA209" s="78"/>
      <c r="CB209" s="78"/>
      <c r="CC209" s="78"/>
      <c r="CD209" s="78"/>
      <c r="CE209" s="78"/>
      <c r="CF209" s="78"/>
      <c r="CG209" s="78"/>
      <c r="CH209" s="78"/>
      <c r="CI209" s="78"/>
      <c r="CJ209" s="78"/>
      <c r="CK209" s="78"/>
      <c r="CL209" s="78"/>
      <c r="CM209" s="78"/>
      <c r="CN209" s="78"/>
      <c r="CO209" s="78"/>
      <c r="CP209" s="78"/>
      <c r="CQ209" s="78"/>
      <c r="CR209" s="78"/>
      <c r="CS209" s="78"/>
      <c r="CT209" s="78"/>
      <c r="CU209" s="78"/>
      <c r="CV209" s="78"/>
      <c r="CW209" s="78"/>
      <c r="CX209" s="78"/>
      <c r="CY209" s="78"/>
      <c r="CZ209" s="78"/>
      <c r="DA209" s="78"/>
      <c r="DB209" s="78"/>
      <c r="DC209" s="78"/>
      <c r="DD209" s="78"/>
      <c r="DE209" s="78"/>
      <c r="DF209" s="78"/>
      <c r="DG209" s="78"/>
      <c r="DH209" s="78"/>
      <c r="DI209" s="78"/>
      <c r="DJ209" s="78"/>
      <c r="DK209" s="78"/>
      <c r="DL209" s="78"/>
      <c r="DM209" s="78"/>
      <c r="DN209" s="78"/>
      <c r="DO209" s="78"/>
      <c r="DP209" s="78"/>
      <c r="DQ209" s="78"/>
      <c r="DR209" s="78"/>
      <c r="DS209" s="78"/>
      <c r="DT209" s="78"/>
      <c r="DU209" s="78"/>
      <c r="DV209" s="78"/>
      <c r="DW209" s="78"/>
      <c r="DX209" s="78"/>
      <c r="DY209" s="78"/>
      <c r="DZ209" s="78"/>
      <c r="EA209" s="78"/>
      <c r="EB209" s="78"/>
      <c r="EC209" s="78"/>
      <c r="ED209" s="78"/>
      <c r="EE209" s="78"/>
      <c r="EF209" s="78"/>
      <c r="EG209" s="78"/>
      <c r="EH209" s="78"/>
      <c r="EI209" s="78"/>
      <c r="EJ209" s="78"/>
      <c r="EK209" s="78"/>
      <c r="EL209" s="78"/>
      <c r="EM209" s="78"/>
      <c r="EN209" s="91"/>
      <c r="EO209" s="91"/>
      <c r="EP209" s="91"/>
      <c r="EQ209" s="91"/>
      <c r="ER209" s="91"/>
      <c r="ES209" s="91"/>
    </row>
    <row r="210" spans="1:149" outlineLevel="1">
      <c r="A210" s="29" t="str">
        <f t="shared" si="32"/>
        <v>PROPERTY_ENERGY_CERTIFICATEREN_ENERGY_PRODUCED_REG_VALUE</v>
      </c>
      <c r="B210" s="67" t="s">
        <v>26</v>
      </c>
      <c r="C210" s="68" t="s">
        <v>54</v>
      </c>
      <c r="D210" s="64" t="s">
        <v>40</v>
      </c>
      <c r="E210" s="66" t="s">
        <v>123</v>
      </c>
      <c r="F210" s="66" t="s">
        <v>159</v>
      </c>
      <c r="G210" s="64" t="str">
        <f>INDEX(Auxiliar!$B$16:$B$24,MATCH(Plano_V3!H210,Auxiliar!$C$16:$C$24,0),1)</f>
        <v>1. Concluído</v>
      </c>
      <c r="H210" s="64">
        <f>VLOOKUP(A210,'Aux - pivots1'!$A:$B,2,0)</f>
        <v>1</v>
      </c>
      <c r="I210" s="180">
        <f>SUMIFS(Table1[Estimação (horas)],Table1[Tabela],Plano_V3!E210,Table1[Campo],Plano_V3!F210)</f>
        <v>4.0999999999999996</v>
      </c>
      <c r="J210" s="180">
        <f t="shared" si="33"/>
        <v>0.51249999999999996</v>
      </c>
      <c r="K210" s="180">
        <f>SUMIFS(Table1[Horas efetivas],Table1[Tabela],Plano_V3!E210,Table1[Campo],Plano_V3!F210)</f>
        <v>4.0999999999999996</v>
      </c>
      <c r="L210" s="180">
        <f t="shared" si="34"/>
        <v>0.51249999999999996</v>
      </c>
      <c r="M210" s="174"/>
      <c r="N210" s="174">
        <f t="shared" si="35"/>
        <v>1</v>
      </c>
      <c r="O210" s="174">
        <f t="shared" si="30"/>
        <v>1</v>
      </c>
      <c r="P210" s="87" t="s">
        <v>124</v>
      </c>
      <c r="Q210" s="90">
        <f t="shared" si="31"/>
        <v>0.51249999999999996</v>
      </c>
      <c r="R210" s="78"/>
      <c r="S210" s="78"/>
      <c r="T210" s="78"/>
      <c r="U210" s="78"/>
      <c r="V210" s="78"/>
      <c r="W210" s="78"/>
      <c r="X210" s="78"/>
      <c r="Y210" s="78"/>
      <c r="Z210" s="78"/>
      <c r="AA210" s="78"/>
      <c r="AB210" s="78"/>
      <c r="AC210" s="78"/>
      <c r="AD210" s="78"/>
      <c r="AE210" s="78"/>
      <c r="AF210" s="78"/>
      <c r="AG210" s="78"/>
      <c r="AH210" s="78"/>
      <c r="AI210" s="78"/>
      <c r="AJ210" s="78"/>
      <c r="AK210" s="78"/>
      <c r="AL210" s="78"/>
      <c r="AM210" s="78"/>
      <c r="AN210" s="78"/>
      <c r="AO210" s="78"/>
      <c r="AP210" s="78"/>
      <c r="AQ210" s="78"/>
      <c r="AR210" s="78"/>
      <c r="AS210" s="78"/>
      <c r="AT210" s="78"/>
      <c r="AU210" s="78"/>
      <c r="AV210" s="78"/>
      <c r="AW210" s="78"/>
      <c r="AX210" s="78"/>
      <c r="AY210" s="91"/>
      <c r="AZ210" s="78"/>
      <c r="BA210" s="78"/>
      <c r="BB210" s="78"/>
      <c r="BC210" s="78"/>
      <c r="BD210" s="78"/>
      <c r="BE210" s="78"/>
      <c r="BF210" s="78"/>
      <c r="BG210" s="78"/>
      <c r="BH210" s="78"/>
      <c r="BI210" s="78"/>
      <c r="BJ210" s="78"/>
      <c r="BK210" s="78"/>
      <c r="BL210" s="78"/>
      <c r="BM210" s="78"/>
      <c r="BN210" s="78"/>
      <c r="BO210" s="78"/>
      <c r="BP210" s="78"/>
      <c r="BQ210" s="78"/>
      <c r="BR210" s="78"/>
      <c r="BS210" s="78"/>
      <c r="BT210" s="78"/>
      <c r="BU210" s="78"/>
      <c r="BV210" s="78"/>
      <c r="BW210" s="78"/>
      <c r="BX210" s="78"/>
      <c r="BY210" s="78"/>
      <c r="BZ210" s="78"/>
      <c r="CA210" s="78"/>
      <c r="CB210" s="78"/>
      <c r="CC210" s="78"/>
      <c r="CD210" s="78"/>
      <c r="CE210" s="78"/>
      <c r="CF210" s="78"/>
      <c r="CG210" s="78"/>
      <c r="CH210" s="78"/>
      <c r="CI210" s="78"/>
      <c r="CJ210" s="78"/>
      <c r="CK210" s="78"/>
      <c r="CL210" s="78"/>
      <c r="CM210" s="78"/>
      <c r="CN210" s="78"/>
      <c r="CO210" s="78"/>
      <c r="CP210" s="78"/>
      <c r="CQ210" s="78"/>
      <c r="CR210" s="78"/>
      <c r="CS210" s="78"/>
      <c r="CT210" s="78"/>
      <c r="CU210" s="78"/>
      <c r="CV210" s="78"/>
      <c r="CW210" s="78"/>
      <c r="CX210" s="78"/>
      <c r="CY210" s="78"/>
      <c r="CZ210" s="78"/>
      <c r="DA210" s="78"/>
      <c r="DB210" s="78"/>
      <c r="DC210" s="78"/>
      <c r="DD210" s="78"/>
      <c r="DE210" s="78"/>
      <c r="DF210" s="78"/>
      <c r="DG210" s="78"/>
      <c r="DH210" s="78"/>
      <c r="DI210" s="78"/>
      <c r="DJ210" s="78"/>
      <c r="DK210" s="78"/>
      <c r="DL210" s="78"/>
      <c r="DM210" s="78"/>
      <c r="DN210" s="78"/>
      <c r="DO210" s="78"/>
      <c r="DP210" s="78"/>
      <c r="DQ210" s="78"/>
      <c r="DR210" s="78"/>
      <c r="DS210" s="78"/>
      <c r="DT210" s="78"/>
      <c r="DU210" s="78"/>
      <c r="DV210" s="78"/>
      <c r="DW210" s="78"/>
      <c r="DX210" s="78"/>
      <c r="DY210" s="78"/>
      <c r="DZ210" s="78"/>
      <c r="EA210" s="78"/>
      <c r="EB210" s="78"/>
      <c r="EC210" s="78"/>
      <c r="ED210" s="78"/>
      <c r="EE210" s="78"/>
      <c r="EF210" s="78"/>
      <c r="EG210" s="78"/>
      <c r="EH210" s="78"/>
      <c r="EI210" s="78"/>
      <c r="EJ210" s="78"/>
      <c r="EK210" s="78"/>
      <c r="EL210" s="78"/>
      <c r="EM210" s="78"/>
      <c r="EN210" s="91"/>
      <c r="EO210" s="91"/>
      <c r="EP210" s="91"/>
      <c r="EQ210" s="91"/>
      <c r="ER210" s="91"/>
      <c r="ES210" s="91"/>
    </row>
    <row r="211" spans="1:149" outlineLevel="1">
      <c r="A211" s="29" t="str">
        <f t="shared" si="32"/>
        <v>PROPERTY_ENERGY_CERTIFICATEREN_ENERGY_PRODUCED_VALUE</v>
      </c>
      <c r="B211" s="67" t="s">
        <v>26</v>
      </c>
      <c r="C211" s="68" t="s">
        <v>54</v>
      </c>
      <c r="D211" s="64" t="s">
        <v>40</v>
      </c>
      <c r="E211" s="66" t="s">
        <v>123</v>
      </c>
      <c r="F211" s="66" t="s">
        <v>160</v>
      </c>
      <c r="G211" s="64" t="str">
        <f>INDEX(Auxiliar!$B$16:$B$24,MATCH(Plano_V3!H211,Auxiliar!$C$16:$C$24,0),1)</f>
        <v>1. Concluído</v>
      </c>
      <c r="H211" s="64">
        <f>VLOOKUP(A211,'Aux - pivots1'!$A:$B,2,0)</f>
        <v>1</v>
      </c>
      <c r="I211" s="180">
        <f>SUMIFS(Table1[Estimação (horas)],Table1[Tabela],Plano_V3!E211,Table1[Campo],Plano_V3!F211)</f>
        <v>4.0999999999999996</v>
      </c>
      <c r="J211" s="180">
        <f t="shared" si="33"/>
        <v>0.51249999999999996</v>
      </c>
      <c r="K211" s="180">
        <f>SUMIFS(Table1[Horas efetivas],Table1[Tabela],Plano_V3!E211,Table1[Campo],Plano_V3!F211)</f>
        <v>4.0999999999999996</v>
      </c>
      <c r="L211" s="180">
        <f t="shared" si="34"/>
        <v>0.51249999999999996</v>
      </c>
      <c r="M211" s="174"/>
      <c r="N211" s="174">
        <f t="shared" si="35"/>
        <v>1</v>
      </c>
      <c r="O211" s="174">
        <f t="shared" si="30"/>
        <v>1</v>
      </c>
      <c r="P211" s="87" t="s">
        <v>124</v>
      </c>
      <c r="Q211" s="90">
        <f t="shared" si="31"/>
        <v>0.51249999999999996</v>
      </c>
      <c r="R211" s="78"/>
      <c r="S211" s="78"/>
      <c r="T211" s="78"/>
      <c r="U211" s="78"/>
      <c r="V211" s="78"/>
      <c r="W211" s="78"/>
      <c r="X211" s="78"/>
      <c r="Y211" s="78"/>
      <c r="Z211" s="78"/>
      <c r="AA211" s="78"/>
      <c r="AB211" s="78"/>
      <c r="AC211" s="78"/>
      <c r="AD211" s="78"/>
      <c r="AE211" s="78"/>
      <c r="AF211" s="78"/>
      <c r="AG211" s="78"/>
      <c r="AH211" s="78"/>
      <c r="AI211" s="78"/>
      <c r="AJ211" s="78"/>
      <c r="AK211" s="78"/>
      <c r="AL211" s="78"/>
      <c r="AM211" s="78"/>
      <c r="AN211" s="78"/>
      <c r="AO211" s="78"/>
      <c r="AP211" s="78"/>
      <c r="AQ211" s="78"/>
      <c r="AR211" s="78"/>
      <c r="AS211" s="78"/>
      <c r="AT211" s="78"/>
      <c r="AU211" s="78"/>
      <c r="AV211" s="78"/>
      <c r="AW211" s="78"/>
      <c r="AX211" s="78"/>
      <c r="AY211" s="91"/>
      <c r="AZ211" s="78"/>
      <c r="BA211" s="78"/>
      <c r="BB211" s="78"/>
      <c r="BC211" s="78"/>
      <c r="BD211" s="78"/>
      <c r="BE211" s="78"/>
      <c r="BF211" s="78"/>
      <c r="BG211" s="78"/>
      <c r="BH211" s="78"/>
      <c r="BI211" s="78"/>
      <c r="BJ211" s="78"/>
      <c r="BK211" s="78"/>
      <c r="BL211" s="78"/>
      <c r="BM211" s="78"/>
      <c r="BN211" s="78"/>
      <c r="BO211" s="78"/>
      <c r="BP211" s="78"/>
      <c r="BQ211" s="78"/>
      <c r="BR211" s="78"/>
      <c r="BS211" s="78"/>
      <c r="BT211" s="78"/>
      <c r="BU211" s="78"/>
      <c r="BV211" s="78"/>
      <c r="BW211" s="78"/>
      <c r="BX211" s="78"/>
      <c r="BY211" s="78"/>
      <c r="BZ211" s="78"/>
      <c r="CA211" s="78"/>
      <c r="CB211" s="78"/>
      <c r="CC211" s="78"/>
      <c r="CD211" s="78"/>
      <c r="CE211" s="78"/>
      <c r="CF211" s="78"/>
      <c r="CG211" s="78"/>
      <c r="CH211" s="78"/>
      <c r="CI211" s="78"/>
      <c r="CJ211" s="78"/>
      <c r="CK211" s="78"/>
      <c r="CL211" s="78"/>
      <c r="CM211" s="78"/>
      <c r="CN211" s="78"/>
      <c r="CO211" s="78"/>
      <c r="CP211" s="78"/>
      <c r="CQ211" s="78"/>
      <c r="CR211" s="78"/>
      <c r="CS211" s="78"/>
      <c r="CT211" s="78"/>
      <c r="CU211" s="78"/>
      <c r="CV211" s="78"/>
      <c r="CW211" s="78"/>
      <c r="CX211" s="78"/>
      <c r="CY211" s="78"/>
      <c r="CZ211" s="78"/>
      <c r="DA211" s="78"/>
      <c r="DB211" s="78"/>
      <c r="DC211" s="78"/>
      <c r="DD211" s="78"/>
      <c r="DE211" s="78"/>
      <c r="DF211" s="78"/>
      <c r="DG211" s="78"/>
      <c r="DH211" s="78"/>
      <c r="DI211" s="78"/>
      <c r="DJ211" s="78"/>
      <c r="DK211" s="78"/>
      <c r="DL211" s="78"/>
      <c r="DM211" s="78"/>
      <c r="DN211" s="78"/>
      <c r="DO211" s="78"/>
      <c r="DP211" s="78"/>
      <c r="DQ211" s="78"/>
      <c r="DR211" s="78"/>
      <c r="DS211" s="78"/>
      <c r="DT211" s="78"/>
      <c r="DU211" s="78"/>
      <c r="DV211" s="78"/>
      <c r="DW211" s="78"/>
      <c r="DX211" s="78"/>
      <c r="DY211" s="78"/>
      <c r="DZ211" s="78"/>
      <c r="EA211" s="78"/>
      <c r="EB211" s="78"/>
      <c r="EC211" s="78"/>
      <c r="ED211" s="78"/>
      <c r="EE211" s="78"/>
      <c r="EF211" s="78"/>
      <c r="EG211" s="78"/>
      <c r="EH211" s="78"/>
      <c r="EI211" s="78"/>
      <c r="EJ211" s="78"/>
      <c r="EK211" s="78"/>
      <c r="EL211" s="78"/>
      <c r="EM211" s="78"/>
      <c r="EN211" s="91"/>
      <c r="EO211" s="91"/>
      <c r="EP211" s="91"/>
      <c r="EQ211" s="91"/>
      <c r="ER211" s="91"/>
      <c r="ES211" s="91"/>
    </row>
    <row r="212" spans="1:149" outlineLevel="1">
      <c r="A212" s="29" t="str">
        <f t="shared" si="32"/>
        <v>PROPERTY_ENERGY_CERTIFICATEUSEFUL_ENERGY_DOM_HOTWATER_VALUE</v>
      </c>
      <c r="B212" s="67" t="s">
        <v>26</v>
      </c>
      <c r="C212" s="68" t="s">
        <v>54</v>
      </c>
      <c r="D212" s="64" t="s">
        <v>40</v>
      </c>
      <c r="E212" s="66" t="s">
        <v>123</v>
      </c>
      <c r="F212" s="66" t="s">
        <v>161</v>
      </c>
      <c r="G212" s="64" t="str">
        <f>INDEX(Auxiliar!$B$16:$B$24,MATCH(Plano_V3!H212,Auxiliar!$C$16:$C$24,0),1)</f>
        <v>1. Concluído</v>
      </c>
      <c r="H212" s="64">
        <f>VLOOKUP(A212,'Aux - pivots1'!$A:$B,2,0)</f>
        <v>1</v>
      </c>
      <c r="I212" s="180">
        <f>SUMIFS(Table1[Estimação (horas)],Table1[Tabela],Plano_V3!E212,Table1[Campo],Plano_V3!F212)</f>
        <v>4.0999999999999996</v>
      </c>
      <c r="J212" s="180">
        <f t="shared" si="33"/>
        <v>0.51249999999999996</v>
      </c>
      <c r="K212" s="180">
        <f>SUMIFS(Table1[Horas efetivas],Table1[Tabela],Plano_V3!E212,Table1[Campo],Plano_V3!F212)</f>
        <v>4.0999999999999996</v>
      </c>
      <c r="L212" s="180">
        <f t="shared" si="34"/>
        <v>0.51249999999999996</v>
      </c>
      <c r="M212" s="174"/>
      <c r="N212" s="174">
        <f t="shared" si="35"/>
        <v>1</v>
      </c>
      <c r="O212" s="174">
        <f t="shared" si="30"/>
        <v>1</v>
      </c>
      <c r="P212" s="87" t="s">
        <v>124</v>
      </c>
      <c r="Q212" s="90">
        <f t="shared" si="31"/>
        <v>0.51249999999999996</v>
      </c>
      <c r="R212" s="78"/>
      <c r="S212" s="78"/>
      <c r="T212" s="78"/>
      <c r="U212" s="78"/>
      <c r="V212" s="78"/>
      <c r="W212" s="78"/>
      <c r="X212" s="78"/>
      <c r="Y212" s="78"/>
      <c r="Z212" s="78"/>
      <c r="AA212" s="78"/>
      <c r="AB212" s="78"/>
      <c r="AC212" s="78"/>
      <c r="AD212" s="78"/>
      <c r="AE212" s="78"/>
      <c r="AF212" s="78"/>
      <c r="AG212" s="78"/>
      <c r="AH212" s="78"/>
      <c r="AI212" s="78"/>
      <c r="AJ212" s="78"/>
      <c r="AK212" s="78"/>
      <c r="AL212" s="78"/>
      <c r="AM212" s="78"/>
      <c r="AN212" s="78"/>
      <c r="AO212" s="78"/>
      <c r="AP212" s="78"/>
      <c r="AQ212" s="78"/>
      <c r="AR212" s="78"/>
      <c r="AS212" s="78"/>
      <c r="AT212" s="78"/>
      <c r="AU212" s="78"/>
      <c r="AV212" s="78"/>
      <c r="AW212" s="78"/>
      <c r="AX212" s="78"/>
      <c r="AY212" s="91"/>
      <c r="AZ212" s="78"/>
      <c r="BA212" s="78"/>
      <c r="BB212" s="78"/>
      <c r="BC212" s="78"/>
      <c r="BD212" s="78"/>
      <c r="BE212" s="78"/>
      <c r="BF212" s="78"/>
      <c r="BG212" s="78"/>
      <c r="BH212" s="78"/>
      <c r="BI212" s="78"/>
      <c r="BJ212" s="78"/>
      <c r="BK212" s="78"/>
      <c r="BL212" s="78"/>
      <c r="BM212" s="78"/>
      <c r="BN212" s="78"/>
      <c r="BO212" s="78"/>
      <c r="BP212" s="78"/>
      <c r="BQ212" s="78"/>
      <c r="BR212" s="78"/>
      <c r="BS212" s="78"/>
      <c r="BT212" s="78"/>
      <c r="BU212" s="78"/>
      <c r="BV212" s="78"/>
      <c r="BW212" s="78"/>
      <c r="BX212" s="78"/>
      <c r="BY212" s="78"/>
      <c r="BZ212" s="78"/>
      <c r="CA212" s="78"/>
      <c r="CB212" s="78"/>
      <c r="CC212" s="78"/>
      <c r="CD212" s="78"/>
      <c r="CE212" s="78"/>
      <c r="CF212" s="78"/>
      <c r="CG212" s="78"/>
      <c r="CH212" s="78"/>
      <c r="CI212" s="78"/>
      <c r="CJ212" s="78"/>
      <c r="CK212" s="78"/>
      <c r="CL212" s="78"/>
      <c r="CM212" s="78"/>
      <c r="CN212" s="78"/>
      <c r="CO212" s="78"/>
      <c r="CP212" s="78"/>
      <c r="CQ212" s="78"/>
      <c r="CR212" s="78"/>
      <c r="CS212" s="78"/>
      <c r="CT212" s="78"/>
      <c r="CU212" s="78"/>
      <c r="CV212" s="78"/>
      <c r="CW212" s="78"/>
      <c r="CX212" s="78"/>
      <c r="CY212" s="78"/>
      <c r="CZ212" s="78"/>
      <c r="DA212" s="78"/>
      <c r="DB212" s="78"/>
      <c r="DC212" s="78"/>
      <c r="DD212" s="78"/>
      <c r="DE212" s="78"/>
      <c r="DF212" s="78"/>
      <c r="DG212" s="78"/>
      <c r="DH212" s="78"/>
      <c r="DI212" s="78"/>
      <c r="DJ212" s="78"/>
      <c r="DK212" s="78"/>
      <c r="DL212" s="78"/>
      <c r="DM212" s="78"/>
      <c r="DN212" s="78"/>
      <c r="DO212" s="78"/>
      <c r="DP212" s="78"/>
      <c r="DQ212" s="78"/>
      <c r="DR212" s="78"/>
      <c r="DS212" s="78"/>
      <c r="DT212" s="78"/>
      <c r="DU212" s="78"/>
      <c r="DV212" s="78"/>
      <c r="DW212" s="78"/>
      <c r="DX212" s="78"/>
      <c r="DY212" s="78"/>
      <c r="DZ212" s="78"/>
      <c r="EA212" s="78"/>
      <c r="EB212" s="78"/>
      <c r="EC212" s="78"/>
      <c r="ED212" s="78"/>
      <c r="EE212" s="78"/>
      <c r="EF212" s="78"/>
      <c r="EG212" s="78"/>
      <c r="EH212" s="78"/>
      <c r="EI212" s="78"/>
      <c r="EJ212" s="78"/>
      <c r="EK212" s="78"/>
      <c r="EL212" s="78"/>
      <c r="EM212" s="78"/>
      <c r="EN212" s="91"/>
      <c r="EO212" s="91"/>
      <c r="EP212" s="91"/>
      <c r="EQ212" s="91"/>
      <c r="ER212" s="91"/>
      <c r="ES212" s="91"/>
    </row>
    <row r="213" spans="1:149" outlineLevel="1">
      <c r="A213" s="29" t="str">
        <f t="shared" si="32"/>
        <v>PROPERTY_ENERGY_CERTIFICATEUSEFUL_ENERGY_COOLING_VALUE</v>
      </c>
      <c r="B213" s="67" t="s">
        <v>26</v>
      </c>
      <c r="C213" s="68" t="s">
        <v>54</v>
      </c>
      <c r="D213" s="64" t="s">
        <v>40</v>
      </c>
      <c r="E213" s="66" t="s">
        <v>123</v>
      </c>
      <c r="F213" s="66" t="s">
        <v>162</v>
      </c>
      <c r="G213" s="64" t="str">
        <f>INDEX(Auxiliar!$B$16:$B$24,MATCH(Plano_V3!H213,Auxiliar!$C$16:$C$24,0),1)</f>
        <v>1. Concluído</v>
      </c>
      <c r="H213" s="64">
        <f>VLOOKUP(A213,'Aux - pivots1'!$A:$B,2,0)</f>
        <v>1</v>
      </c>
      <c r="I213" s="180">
        <f>SUMIFS(Table1[Estimação (horas)],Table1[Tabela],Plano_V3!E213,Table1[Campo],Plano_V3!F213)</f>
        <v>4.0999999999999996</v>
      </c>
      <c r="J213" s="180">
        <f t="shared" si="33"/>
        <v>0.51249999999999996</v>
      </c>
      <c r="K213" s="180">
        <f>SUMIFS(Table1[Horas efetivas],Table1[Tabela],Plano_V3!E213,Table1[Campo],Plano_V3!F213)</f>
        <v>4.0999999999999996</v>
      </c>
      <c r="L213" s="180">
        <f t="shared" si="34"/>
        <v>0.51249999999999996</v>
      </c>
      <c r="M213" s="174"/>
      <c r="N213" s="174">
        <f t="shared" si="35"/>
        <v>1</v>
      </c>
      <c r="O213" s="174">
        <f t="shared" si="30"/>
        <v>1</v>
      </c>
      <c r="P213" s="87" t="s">
        <v>124</v>
      </c>
      <c r="Q213" s="90">
        <f t="shared" si="31"/>
        <v>0.51249999999999996</v>
      </c>
      <c r="R213" s="78"/>
      <c r="S213" s="78"/>
      <c r="T213" s="78"/>
      <c r="U213" s="78"/>
      <c r="V213" s="78"/>
      <c r="W213" s="78"/>
      <c r="X213" s="78"/>
      <c r="Y213" s="78"/>
      <c r="Z213" s="78"/>
      <c r="AA213" s="78"/>
      <c r="AB213" s="78"/>
      <c r="AC213" s="78"/>
      <c r="AD213" s="78"/>
      <c r="AE213" s="78"/>
      <c r="AF213" s="78"/>
      <c r="AG213" s="78"/>
      <c r="AH213" s="78"/>
      <c r="AI213" s="78"/>
      <c r="AJ213" s="78"/>
      <c r="AK213" s="78"/>
      <c r="AL213" s="78"/>
      <c r="AM213" s="78"/>
      <c r="AN213" s="78"/>
      <c r="AO213" s="78"/>
      <c r="AP213" s="78"/>
      <c r="AQ213" s="78"/>
      <c r="AR213" s="78"/>
      <c r="AS213" s="78"/>
      <c r="AT213" s="78"/>
      <c r="AU213" s="78"/>
      <c r="AV213" s="78"/>
      <c r="AW213" s="78"/>
      <c r="AX213" s="78"/>
      <c r="AY213" s="91"/>
      <c r="AZ213" s="78"/>
      <c r="BA213" s="78"/>
      <c r="BB213" s="78"/>
      <c r="BC213" s="78"/>
      <c r="BD213" s="78"/>
      <c r="BE213" s="78"/>
      <c r="BF213" s="78"/>
      <c r="BG213" s="78"/>
      <c r="BH213" s="78"/>
      <c r="BI213" s="78"/>
      <c r="BJ213" s="78"/>
      <c r="BK213" s="78"/>
      <c r="BL213" s="78"/>
      <c r="BM213" s="78"/>
      <c r="BN213" s="78"/>
      <c r="BO213" s="78"/>
      <c r="BP213" s="78"/>
      <c r="BQ213" s="78"/>
      <c r="BR213" s="78"/>
      <c r="BS213" s="78"/>
      <c r="BT213" s="78"/>
      <c r="BU213" s="78"/>
      <c r="BV213" s="78"/>
      <c r="BW213" s="78"/>
      <c r="BX213" s="78"/>
      <c r="BY213" s="78"/>
      <c r="BZ213" s="78"/>
      <c r="CA213" s="78"/>
      <c r="CB213" s="78"/>
      <c r="CC213" s="78"/>
      <c r="CD213" s="78"/>
      <c r="CE213" s="78"/>
      <c r="CF213" s="78"/>
      <c r="CG213" s="78"/>
      <c r="CH213" s="78"/>
      <c r="CI213" s="78"/>
      <c r="CJ213" s="78"/>
      <c r="CK213" s="78"/>
      <c r="CL213" s="78"/>
      <c r="CM213" s="78"/>
      <c r="CN213" s="78"/>
      <c r="CO213" s="78"/>
      <c r="CP213" s="78"/>
      <c r="CQ213" s="78"/>
      <c r="CR213" s="78"/>
      <c r="CS213" s="78"/>
      <c r="CT213" s="78"/>
      <c r="CU213" s="78"/>
      <c r="CV213" s="78"/>
      <c r="CW213" s="78"/>
      <c r="CX213" s="78"/>
      <c r="CY213" s="78"/>
      <c r="CZ213" s="78"/>
      <c r="DA213" s="78"/>
      <c r="DB213" s="78"/>
      <c r="DC213" s="78"/>
      <c r="DD213" s="78"/>
      <c r="DE213" s="78"/>
      <c r="DF213" s="78"/>
      <c r="DG213" s="78"/>
      <c r="DH213" s="78"/>
      <c r="DI213" s="78"/>
      <c r="DJ213" s="78"/>
      <c r="DK213" s="78"/>
      <c r="DL213" s="78"/>
      <c r="DM213" s="78"/>
      <c r="DN213" s="78"/>
      <c r="DO213" s="78"/>
      <c r="DP213" s="78"/>
      <c r="DQ213" s="78"/>
      <c r="DR213" s="78"/>
      <c r="DS213" s="78"/>
      <c r="DT213" s="78"/>
      <c r="DU213" s="78"/>
      <c r="DV213" s="78"/>
      <c r="DW213" s="78"/>
      <c r="DX213" s="78"/>
      <c r="DY213" s="78"/>
      <c r="DZ213" s="78"/>
      <c r="EA213" s="78"/>
      <c r="EB213" s="78"/>
      <c r="EC213" s="78"/>
      <c r="ED213" s="78"/>
      <c r="EE213" s="78"/>
      <c r="EF213" s="78"/>
      <c r="EG213" s="78"/>
      <c r="EH213" s="78"/>
      <c r="EI213" s="78"/>
      <c r="EJ213" s="78"/>
      <c r="EK213" s="78"/>
      <c r="EL213" s="78"/>
      <c r="EM213" s="78"/>
      <c r="EN213" s="91"/>
      <c r="EO213" s="91"/>
      <c r="EP213" s="91"/>
      <c r="EQ213" s="91"/>
      <c r="ER213" s="91"/>
      <c r="ES213" s="91"/>
    </row>
    <row r="214" spans="1:149" outlineLevel="1">
      <c r="A214" s="29" t="str">
        <f t="shared" si="32"/>
        <v>PROPERTY_ENERGY_CERTIFICATETEMPERATURE_DAY_VALUE</v>
      </c>
      <c r="B214" s="67" t="s">
        <v>26</v>
      </c>
      <c r="C214" s="68" t="s">
        <v>54</v>
      </c>
      <c r="D214" s="64" t="s">
        <v>40</v>
      </c>
      <c r="E214" s="66" t="s">
        <v>123</v>
      </c>
      <c r="F214" s="66" t="s">
        <v>163</v>
      </c>
      <c r="G214" s="64" t="str">
        <f>INDEX(Auxiliar!$B$16:$B$24,MATCH(Plano_V3!H214,Auxiliar!$C$16:$C$24,0),1)</f>
        <v>1. Concluído</v>
      </c>
      <c r="H214" s="64">
        <f>VLOOKUP(A214,'Aux - pivots1'!$A:$B,2,0)</f>
        <v>1</v>
      </c>
      <c r="I214" s="180">
        <f>SUMIFS(Table1[Estimação (horas)],Table1[Tabela],Plano_V3!E214,Table1[Campo],Plano_V3!F214)</f>
        <v>4.0999999999999996</v>
      </c>
      <c r="J214" s="180">
        <f t="shared" si="33"/>
        <v>0.51249999999999996</v>
      </c>
      <c r="K214" s="180">
        <f>SUMIFS(Table1[Horas efetivas],Table1[Tabela],Plano_V3!E214,Table1[Campo],Plano_V3!F214)</f>
        <v>4.0999999999999996</v>
      </c>
      <c r="L214" s="180">
        <f t="shared" si="34"/>
        <v>0.51249999999999996</v>
      </c>
      <c r="M214" s="174"/>
      <c r="N214" s="174">
        <f t="shared" si="35"/>
        <v>1</v>
      </c>
      <c r="O214" s="174">
        <f t="shared" si="30"/>
        <v>1</v>
      </c>
      <c r="P214" s="87" t="s">
        <v>124</v>
      </c>
      <c r="Q214" s="90">
        <f t="shared" si="31"/>
        <v>0.51249999999999996</v>
      </c>
      <c r="R214" s="78"/>
      <c r="S214" s="78"/>
      <c r="T214" s="78"/>
      <c r="U214" s="78"/>
      <c r="V214" s="78"/>
      <c r="W214" s="78"/>
      <c r="X214" s="78"/>
      <c r="Y214" s="78"/>
      <c r="Z214" s="78"/>
      <c r="AA214" s="78"/>
      <c r="AB214" s="78"/>
      <c r="AC214" s="78"/>
      <c r="AD214" s="78"/>
      <c r="AE214" s="78"/>
      <c r="AF214" s="78"/>
      <c r="AG214" s="78"/>
      <c r="AH214" s="78"/>
      <c r="AI214" s="78"/>
      <c r="AJ214" s="78"/>
      <c r="AK214" s="78"/>
      <c r="AL214" s="78"/>
      <c r="AM214" s="78"/>
      <c r="AN214" s="78"/>
      <c r="AO214" s="78"/>
      <c r="AP214" s="78"/>
      <c r="AQ214" s="78"/>
      <c r="AR214" s="78"/>
      <c r="AS214" s="78"/>
      <c r="AT214" s="78"/>
      <c r="AU214" s="78"/>
      <c r="AV214" s="78"/>
      <c r="AW214" s="78"/>
      <c r="AX214" s="78"/>
      <c r="AY214" s="91"/>
      <c r="AZ214" s="78"/>
      <c r="BA214" s="78"/>
      <c r="BB214" s="78"/>
      <c r="BC214" s="78"/>
      <c r="BD214" s="78"/>
      <c r="BE214" s="78"/>
      <c r="BF214" s="78"/>
      <c r="BG214" s="78"/>
      <c r="BH214" s="78"/>
      <c r="BI214" s="78"/>
      <c r="BJ214" s="78"/>
      <c r="BK214" s="78"/>
      <c r="BL214" s="78"/>
      <c r="BM214" s="78"/>
      <c r="BN214" s="78"/>
      <c r="BO214" s="78"/>
      <c r="BP214" s="78"/>
      <c r="BQ214" s="78"/>
      <c r="BR214" s="78"/>
      <c r="BS214" s="78"/>
      <c r="BT214" s="78"/>
      <c r="BU214" s="78"/>
      <c r="BV214" s="78"/>
      <c r="BW214" s="78"/>
      <c r="BX214" s="78"/>
      <c r="BY214" s="78"/>
      <c r="BZ214" s="78"/>
      <c r="CA214" s="78"/>
      <c r="CB214" s="78"/>
      <c r="CC214" s="78"/>
      <c r="CD214" s="78"/>
      <c r="CE214" s="78"/>
      <c r="CF214" s="78"/>
      <c r="CG214" s="78"/>
      <c r="CH214" s="78"/>
      <c r="CI214" s="78"/>
      <c r="CJ214" s="78"/>
      <c r="CK214" s="78"/>
      <c r="CL214" s="78"/>
      <c r="CM214" s="78"/>
      <c r="CN214" s="78"/>
      <c r="CO214" s="78"/>
      <c r="CP214" s="78"/>
      <c r="CQ214" s="78"/>
      <c r="CR214" s="78"/>
      <c r="CS214" s="78"/>
      <c r="CT214" s="78"/>
      <c r="CU214" s="78"/>
      <c r="CV214" s="78"/>
      <c r="CW214" s="78"/>
      <c r="CX214" s="78"/>
      <c r="CY214" s="78"/>
      <c r="CZ214" s="78"/>
      <c r="DA214" s="78"/>
      <c r="DB214" s="78"/>
      <c r="DC214" s="78"/>
      <c r="DD214" s="78"/>
      <c r="DE214" s="78"/>
      <c r="DF214" s="78"/>
      <c r="DG214" s="78"/>
      <c r="DH214" s="78"/>
      <c r="DI214" s="78"/>
      <c r="DJ214" s="78"/>
      <c r="DK214" s="78"/>
      <c r="DL214" s="78"/>
      <c r="DM214" s="78"/>
      <c r="DN214" s="78"/>
      <c r="DO214" s="78"/>
      <c r="DP214" s="78"/>
      <c r="DQ214" s="78"/>
      <c r="DR214" s="78"/>
      <c r="DS214" s="78"/>
      <c r="DT214" s="78"/>
      <c r="DU214" s="78"/>
      <c r="DV214" s="78"/>
      <c r="DW214" s="78"/>
      <c r="DX214" s="78"/>
      <c r="DY214" s="78"/>
      <c r="DZ214" s="78"/>
      <c r="EA214" s="78"/>
      <c r="EB214" s="78"/>
      <c r="EC214" s="78"/>
      <c r="ED214" s="78"/>
      <c r="EE214" s="78"/>
      <c r="EF214" s="78"/>
      <c r="EG214" s="78"/>
      <c r="EH214" s="78"/>
      <c r="EI214" s="78"/>
      <c r="EJ214" s="78"/>
      <c r="EK214" s="78"/>
      <c r="EL214" s="78"/>
      <c r="EM214" s="78"/>
      <c r="EN214" s="91"/>
      <c r="EO214" s="91"/>
      <c r="EP214" s="91"/>
      <c r="EQ214" s="91"/>
      <c r="ER214" s="91"/>
      <c r="ES214" s="91"/>
    </row>
    <row r="215" spans="1:149" outlineLevel="1">
      <c r="A215" s="29" t="str">
        <f t="shared" si="32"/>
        <v>PROPERTY_ENERGY_CERTIFICATEPRIMARY_ENERGY_REQ_VALUE</v>
      </c>
      <c r="B215" s="67" t="s">
        <v>26</v>
      </c>
      <c r="C215" s="68" t="s">
        <v>54</v>
      </c>
      <c r="D215" s="64" t="s">
        <v>40</v>
      </c>
      <c r="E215" s="66" t="s">
        <v>123</v>
      </c>
      <c r="F215" s="66" t="s">
        <v>164</v>
      </c>
      <c r="G215" s="64" t="str">
        <f>INDEX(Auxiliar!$B$16:$B$24,MATCH(Plano_V3!H215,Auxiliar!$C$16:$C$24,0),1)</f>
        <v>1. Concluído</v>
      </c>
      <c r="H215" s="64">
        <f>VLOOKUP(A215,'Aux - pivots1'!$A:$B,2,0)</f>
        <v>1</v>
      </c>
      <c r="I215" s="180">
        <f>SUMIFS(Table1[Estimação (horas)],Table1[Tabela],Plano_V3!E215,Table1[Campo],Plano_V3!F215)</f>
        <v>4.0999999999999996</v>
      </c>
      <c r="J215" s="180">
        <f t="shared" si="33"/>
        <v>0.51249999999999996</v>
      </c>
      <c r="K215" s="180">
        <f>SUMIFS(Table1[Horas efetivas],Table1[Tabela],Plano_V3!E215,Table1[Campo],Plano_V3!F215)</f>
        <v>4.0999999999999996</v>
      </c>
      <c r="L215" s="180">
        <f t="shared" si="34"/>
        <v>0.51249999999999996</v>
      </c>
      <c r="M215" s="174"/>
      <c r="N215" s="174">
        <f t="shared" si="35"/>
        <v>1</v>
      </c>
      <c r="O215" s="174">
        <f t="shared" si="30"/>
        <v>1</v>
      </c>
      <c r="P215" s="87" t="s">
        <v>124</v>
      </c>
      <c r="Q215" s="90">
        <f t="shared" si="31"/>
        <v>0.51249999999999996</v>
      </c>
      <c r="R215" s="78"/>
      <c r="S215" s="78"/>
      <c r="T215" s="78"/>
      <c r="U215" s="78"/>
      <c r="V215" s="78"/>
      <c r="W215" s="78"/>
      <c r="X215" s="78"/>
      <c r="Y215" s="78"/>
      <c r="Z215" s="78"/>
      <c r="AA215" s="78"/>
      <c r="AB215" s="78"/>
      <c r="AC215" s="78"/>
      <c r="AD215" s="78"/>
      <c r="AE215" s="78"/>
      <c r="AF215" s="78"/>
      <c r="AG215" s="78"/>
      <c r="AH215" s="78"/>
      <c r="AI215" s="78"/>
      <c r="AJ215" s="78"/>
      <c r="AK215" s="78"/>
      <c r="AL215" s="78"/>
      <c r="AM215" s="78"/>
      <c r="AN215" s="78"/>
      <c r="AO215" s="78"/>
      <c r="AP215" s="78"/>
      <c r="AQ215" s="78"/>
      <c r="AR215" s="78"/>
      <c r="AS215" s="78"/>
      <c r="AT215" s="78"/>
      <c r="AU215" s="78"/>
      <c r="AV215" s="78"/>
      <c r="AW215" s="78"/>
      <c r="AX215" s="78"/>
      <c r="AY215" s="91"/>
      <c r="AZ215" s="78"/>
      <c r="BA215" s="78"/>
      <c r="BB215" s="78"/>
      <c r="BC215" s="78"/>
      <c r="BD215" s="78"/>
      <c r="BE215" s="78"/>
      <c r="BF215" s="78"/>
      <c r="BG215" s="78"/>
      <c r="BH215" s="78"/>
      <c r="BI215" s="78"/>
      <c r="BJ215" s="78"/>
      <c r="BK215" s="78"/>
      <c r="BL215" s="78"/>
      <c r="BM215" s="78"/>
      <c r="BN215" s="78"/>
      <c r="BO215" s="78"/>
      <c r="BP215" s="78"/>
      <c r="BQ215" s="78"/>
      <c r="BR215" s="78"/>
      <c r="BS215" s="78"/>
      <c r="BT215" s="78"/>
      <c r="BU215" s="78"/>
      <c r="BV215" s="78"/>
      <c r="BW215" s="78"/>
      <c r="BX215" s="78"/>
      <c r="BY215" s="78"/>
      <c r="BZ215" s="78"/>
      <c r="CA215" s="78"/>
      <c r="CB215" s="78"/>
      <c r="CC215" s="78"/>
      <c r="CD215" s="78"/>
      <c r="CE215" s="78"/>
      <c r="CF215" s="78"/>
      <c r="CG215" s="78"/>
      <c r="CH215" s="78"/>
      <c r="CI215" s="78"/>
      <c r="CJ215" s="78"/>
      <c r="CK215" s="78"/>
      <c r="CL215" s="78"/>
      <c r="CM215" s="78"/>
      <c r="CN215" s="78"/>
      <c r="CO215" s="78"/>
      <c r="CP215" s="78"/>
      <c r="CQ215" s="78"/>
      <c r="CR215" s="78"/>
      <c r="CS215" s="78"/>
      <c r="CT215" s="78"/>
      <c r="CU215" s="78"/>
      <c r="CV215" s="78"/>
      <c r="CW215" s="78"/>
      <c r="CX215" s="78"/>
      <c r="CY215" s="78"/>
      <c r="CZ215" s="78"/>
      <c r="DA215" s="78"/>
      <c r="DB215" s="78"/>
      <c r="DC215" s="78"/>
      <c r="DD215" s="78"/>
      <c r="DE215" s="78"/>
      <c r="DF215" s="78"/>
      <c r="DG215" s="78"/>
      <c r="DH215" s="78"/>
      <c r="DI215" s="78"/>
      <c r="DJ215" s="78"/>
      <c r="DK215" s="78"/>
      <c r="DL215" s="78"/>
      <c r="DM215" s="78"/>
      <c r="DN215" s="78"/>
      <c r="DO215" s="78"/>
      <c r="DP215" s="78"/>
      <c r="DQ215" s="78"/>
      <c r="DR215" s="78"/>
      <c r="DS215" s="78"/>
      <c r="DT215" s="78"/>
      <c r="DU215" s="78"/>
      <c r="DV215" s="78"/>
      <c r="DW215" s="78"/>
      <c r="DX215" s="78"/>
      <c r="DY215" s="78"/>
      <c r="DZ215" s="78"/>
      <c r="EA215" s="78"/>
      <c r="EB215" s="78"/>
      <c r="EC215" s="78"/>
      <c r="ED215" s="78"/>
      <c r="EE215" s="78"/>
      <c r="EF215" s="78"/>
      <c r="EG215" s="78"/>
      <c r="EH215" s="78"/>
      <c r="EI215" s="78"/>
      <c r="EJ215" s="78"/>
      <c r="EK215" s="78"/>
      <c r="EL215" s="78"/>
      <c r="EM215" s="78"/>
      <c r="EN215" s="91"/>
      <c r="EO215" s="91"/>
      <c r="EP215" s="91"/>
      <c r="EQ215" s="91"/>
      <c r="ER215" s="91"/>
      <c r="ES215" s="91"/>
    </row>
    <row r="216" spans="1:149" outlineLevel="1">
      <c r="A216" s="29" t="str">
        <f t="shared" si="32"/>
        <v>PROPERTY_ENERGY_CERTIFICATEUSEFUL_ENERGY_HEATING_REQ_VALUE</v>
      </c>
      <c r="B216" s="67" t="s">
        <v>26</v>
      </c>
      <c r="C216" s="68" t="s">
        <v>54</v>
      </c>
      <c r="D216" s="64" t="s">
        <v>40</v>
      </c>
      <c r="E216" s="66" t="s">
        <v>123</v>
      </c>
      <c r="F216" s="66" t="s">
        <v>165</v>
      </c>
      <c r="G216" s="64" t="str">
        <f>INDEX(Auxiliar!$B$16:$B$24,MATCH(Plano_V3!H216,Auxiliar!$C$16:$C$24,0),1)</f>
        <v>1. Concluído</v>
      </c>
      <c r="H216" s="64">
        <f>VLOOKUP(A216,'Aux - pivots1'!$A:$B,2,0)</f>
        <v>1</v>
      </c>
      <c r="I216" s="180">
        <f>SUMIFS(Table1[Estimação (horas)],Table1[Tabela],Plano_V3!E216,Table1[Campo],Plano_V3!F216)</f>
        <v>4.0999999999999996</v>
      </c>
      <c r="J216" s="180">
        <f t="shared" si="33"/>
        <v>0.51249999999999996</v>
      </c>
      <c r="K216" s="180">
        <f>SUMIFS(Table1[Horas efetivas],Table1[Tabela],Plano_V3!E216,Table1[Campo],Plano_V3!F216)</f>
        <v>4.0999999999999996</v>
      </c>
      <c r="L216" s="180">
        <f t="shared" si="34"/>
        <v>0.51249999999999996</v>
      </c>
      <c r="M216" s="174"/>
      <c r="N216" s="174">
        <f t="shared" si="35"/>
        <v>1</v>
      </c>
      <c r="O216" s="174">
        <f t="shared" si="30"/>
        <v>1</v>
      </c>
      <c r="P216" s="87" t="s">
        <v>124</v>
      </c>
      <c r="Q216" s="90">
        <f t="shared" si="31"/>
        <v>0.51249999999999996</v>
      </c>
      <c r="R216" s="78"/>
      <c r="S216" s="78"/>
      <c r="T216" s="78"/>
      <c r="U216" s="78"/>
      <c r="V216" s="78"/>
      <c r="W216" s="78"/>
      <c r="X216" s="78"/>
      <c r="Y216" s="78"/>
      <c r="Z216" s="78"/>
      <c r="AA216" s="78"/>
      <c r="AB216" s="78"/>
      <c r="AC216" s="78"/>
      <c r="AD216" s="78"/>
      <c r="AE216" s="78"/>
      <c r="AF216" s="78"/>
      <c r="AG216" s="78"/>
      <c r="AH216" s="78"/>
      <c r="AI216" s="78"/>
      <c r="AJ216" s="78"/>
      <c r="AK216" s="78"/>
      <c r="AL216" s="78"/>
      <c r="AM216" s="78"/>
      <c r="AN216" s="78"/>
      <c r="AO216" s="78"/>
      <c r="AP216" s="78"/>
      <c r="AQ216" s="78"/>
      <c r="AR216" s="78"/>
      <c r="AS216" s="78"/>
      <c r="AT216" s="78"/>
      <c r="AU216" s="78"/>
      <c r="AV216" s="78"/>
      <c r="AW216" s="78"/>
      <c r="AX216" s="78"/>
      <c r="AY216" s="91"/>
      <c r="AZ216" s="78"/>
      <c r="BA216" s="78"/>
      <c r="BB216" s="78"/>
      <c r="BC216" s="78"/>
      <c r="BD216" s="78"/>
      <c r="BE216" s="78"/>
      <c r="BF216" s="78"/>
      <c r="BG216" s="78"/>
      <c r="BH216" s="78"/>
      <c r="BI216" s="78"/>
      <c r="BJ216" s="78"/>
      <c r="BK216" s="78"/>
      <c r="BL216" s="78"/>
      <c r="BM216" s="78"/>
      <c r="BN216" s="78"/>
      <c r="BO216" s="78"/>
      <c r="BP216" s="78"/>
      <c r="BQ216" s="78"/>
      <c r="BR216" s="78"/>
      <c r="BS216" s="78"/>
      <c r="BT216" s="78"/>
      <c r="BU216" s="78"/>
      <c r="BV216" s="78"/>
      <c r="BW216" s="78"/>
      <c r="BX216" s="78"/>
      <c r="BY216" s="78"/>
      <c r="BZ216" s="78"/>
      <c r="CA216" s="78"/>
      <c r="CB216" s="78"/>
      <c r="CC216" s="78"/>
      <c r="CD216" s="78"/>
      <c r="CE216" s="78"/>
      <c r="CF216" s="78"/>
      <c r="CG216" s="78"/>
      <c r="CH216" s="78"/>
      <c r="CI216" s="78"/>
      <c r="CJ216" s="78"/>
      <c r="CK216" s="78"/>
      <c r="CL216" s="78"/>
      <c r="CM216" s="78"/>
      <c r="CN216" s="78"/>
      <c r="CO216" s="78"/>
      <c r="CP216" s="78"/>
      <c r="CQ216" s="78"/>
      <c r="CR216" s="78"/>
      <c r="CS216" s="78"/>
      <c r="CT216" s="78"/>
      <c r="CU216" s="78"/>
      <c r="CV216" s="78"/>
      <c r="CW216" s="78"/>
      <c r="CX216" s="78"/>
      <c r="CY216" s="78"/>
      <c r="CZ216" s="78"/>
      <c r="DA216" s="78"/>
      <c r="DB216" s="78"/>
      <c r="DC216" s="78"/>
      <c r="DD216" s="78"/>
      <c r="DE216" s="78"/>
      <c r="DF216" s="78"/>
      <c r="DG216" s="78"/>
      <c r="DH216" s="78"/>
      <c r="DI216" s="78"/>
      <c r="DJ216" s="78"/>
      <c r="DK216" s="78"/>
      <c r="DL216" s="78"/>
      <c r="DM216" s="78"/>
      <c r="DN216" s="78"/>
      <c r="DO216" s="78"/>
      <c r="DP216" s="78"/>
      <c r="DQ216" s="78"/>
      <c r="DR216" s="78"/>
      <c r="DS216" s="78"/>
      <c r="DT216" s="78"/>
      <c r="DU216" s="78"/>
      <c r="DV216" s="78"/>
      <c r="DW216" s="78"/>
      <c r="DX216" s="78"/>
      <c r="DY216" s="78"/>
      <c r="DZ216" s="78"/>
      <c r="EA216" s="78"/>
      <c r="EB216" s="78"/>
      <c r="EC216" s="78"/>
      <c r="ED216" s="78"/>
      <c r="EE216" s="78"/>
      <c r="EF216" s="78"/>
      <c r="EG216" s="78"/>
      <c r="EH216" s="78"/>
      <c r="EI216" s="78"/>
      <c r="EJ216" s="78"/>
      <c r="EK216" s="78"/>
      <c r="EL216" s="78"/>
      <c r="EM216" s="78"/>
      <c r="EN216" s="91"/>
      <c r="EO216" s="91"/>
      <c r="EP216" s="91"/>
      <c r="EQ216" s="91"/>
      <c r="ER216" s="91"/>
      <c r="ES216" s="91"/>
    </row>
    <row r="217" spans="1:149" outlineLevel="1">
      <c r="A217" s="29" t="str">
        <f t="shared" si="32"/>
        <v>PROPERTY_ENERGY_CERTIFICATEPNL_WINTER_WALLS_DOORS_VALUE</v>
      </c>
      <c r="B217" s="67" t="s">
        <v>26</v>
      </c>
      <c r="C217" s="68" t="s">
        <v>54</v>
      </c>
      <c r="D217" s="64" t="s">
        <v>40</v>
      </c>
      <c r="E217" s="66" t="s">
        <v>123</v>
      </c>
      <c r="F217" s="66" t="s">
        <v>166</v>
      </c>
      <c r="G217" s="64" t="str">
        <f>INDEX(Auxiliar!$B$16:$B$24,MATCH(Plano_V3!H217,Auxiliar!$C$16:$C$24,0),1)</f>
        <v>1. Concluído</v>
      </c>
      <c r="H217" s="64">
        <f>VLOOKUP(A217,'Aux - pivots1'!$A:$B,2,0)</f>
        <v>1</v>
      </c>
      <c r="I217" s="180">
        <f>SUMIFS(Table1[Estimação (horas)],Table1[Tabela],Plano_V3!E217,Table1[Campo],Plano_V3!F217)</f>
        <v>4.0999999999999996</v>
      </c>
      <c r="J217" s="180">
        <f t="shared" si="33"/>
        <v>0.51249999999999996</v>
      </c>
      <c r="K217" s="180">
        <f>SUMIFS(Table1[Horas efetivas],Table1[Tabela],Plano_V3!E217,Table1[Campo],Plano_V3!F217)</f>
        <v>4.0999999999999996</v>
      </c>
      <c r="L217" s="180">
        <f t="shared" si="34"/>
        <v>0.51249999999999996</v>
      </c>
      <c r="M217" s="174"/>
      <c r="N217" s="174">
        <f t="shared" si="35"/>
        <v>1</v>
      </c>
      <c r="O217" s="174">
        <f t="shared" si="30"/>
        <v>1</v>
      </c>
      <c r="P217" s="87" t="s">
        <v>124</v>
      </c>
      <c r="Q217" s="90">
        <f t="shared" si="31"/>
        <v>0.51249999999999996</v>
      </c>
      <c r="R217" s="78"/>
      <c r="S217" s="78"/>
      <c r="T217" s="78"/>
      <c r="U217" s="78"/>
      <c r="V217" s="78"/>
      <c r="W217" s="78"/>
      <c r="X217" s="78"/>
      <c r="Y217" s="78"/>
      <c r="Z217" s="78"/>
      <c r="AA217" s="78"/>
      <c r="AB217" s="78"/>
      <c r="AC217" s="78"/>
      <c r="AD217" s="78"/>
      <c r="AE217" s="78"/>
      <c r="AF217" s="78"/>
      <c r="AG217" s="78"/>
      <c r="AH217" s="78"/>
      <c r="AI217" s="78"/>
      <c r="AJ217" s="78"/>
      <c r="AK217" s="78"/>
      <c r="AL217" s="78"/>
      <c r="AM217" s="78"/>
      <c r="AN217" s="78"/>
      <c r="AO217" s="78"/>
      <c r="AP217" s="78"/>
      <c r="AQ217" s="78"/>
      <c r="AR217" s="78"/>
      <c r="AS217" s="78"/>
      <c r="AT217" s="78"/>
      <c r="AU217" s="78"/>
      <c r="AV217" s="78"/>
      <c r="AW217" s="78"/>
      <c r="AX217" s="78"/>
      <c r="AY217" s="91"/>
      <c r="AZ217" s="78"/>
      <c r="BA217" s="78"/>
      <c r="BB217" s="78"/>
      <c r="BC217" s="78"/>
      <c r="BD217" s="78"/>
      <c r="BE217" s="78"/>
      <c r="BF217" s="78"/>
      <c r="BG217" s="78"/>
      <c r="BH217" s="78"/>
      <c r="BI217" s="78"/>
      <c r="BJ217" s="78"/>
      <c r="BK217" s="78"/>
      <c r="BL217" s="78"/>
      <c r="BM217" s="78"/>
      <c r="BN217" s="78"/>
      <c r="BO217" s="78"/>
      <c r="BP217" s="78"/>
      <c r="BQ217" s="78"/>
      <c r="BR217" s="78"/>
      <c r="BS217" s="78"/>
      <c r="BT217" s="78"/>
      <c r="BU217" s="78"/>
      <c r="BV217" s="78"/>
      <c r="BW217" s="78"/>
      <c r="BX217" s="78"/>
      <c r="BY217" s="78"/>
      <c r="BZ217" s="78"/>
      <c r="CA217" s="78"/>
      <c r="CB217" s="78"/>
      <c r="CC217" s="78"/>
      <c r="CD217" s="78"/>
      <c r="CE217" s="78"/>
      <c r="CF217" s="78"/>
      <c r="CG217" s="78"/>
      <c r="CH217" s="78"/>
      <c r="CI217" s="78"/>
      <c r="CJ217" s="78"/>
      <c r="CK217" s="78"/>
      <c r="CL217" s="78"/>
      <c r="CM217" s="78"/>
      <c r="CN217" s="78"/>
      <c r="CO217" s="78"/>
      <c r="CP217" s="78"/>
      <c r="CQ217" s="78"/>
      <c r="CR217" s="78"/>
      <c r="CS217" s="78"/>
      <c r="CT217" s="78"/>
      <c r="CU217" s="78"/>
      <c r="CV217" s="78"/>
      <c r="CW217" s="78"/>
      <c r="CX217" s="78"/>
      <c r="CY217" s="78"/>
      <c r="CZ217" s="78"/>
      <c r="DA217" s="78"/>
      <c r="DB217" s="78"/>
      <c r="DC217" s="78"/>
      <c r="DD217" s="78"/>
      <c r="DE217" s="78"/>
      <c r="DF217" s="78"/>
      <c r="DG217" s="78"/>
      <c r="DH217" s="78"/>
      <c r="DI217" s="78"/>
      <c r="DJ217" s="78"/>
      <c r="DK217" s="78"/>
      <c r="DL217" s="78"/>
      <c r="DM217" s="78"/>
      <c r="DN217" s="78"/>
      <c r="DO217" s="78"/>
      <c r="DP217" s="78"/>
      <c r="DQ217" s="78"/>
      <c r="DR217" s="78"/>
      <c r="DS217" s="78"/>
      <c r="DT217" s="78"/>
      <c r="DU217" s="78"/>
      <c r="DV217" s="78"/>
      <c r="DW217" s="78"/>
      <c r="DX217" s="78"/>
      <c r="DY217" s="78"/>
      <c r="DZ217" s="78"/>
      <c r="EA217" s="78"/>
      <c r="EB217" s="78"/>
      <c r="EC217" s="78"/>
      <c r="ED217" s="78"/>
      <c r="EE217" s="78"/>
      <c r="EF217" s="78"/>
      <c r="EG217" s="78"/>
      <c r="EH217" s="78"/>
      <c r="EI217" s="78"/>
      <c r="EJ217" s="78"/>
      <c r="EK217" s="78"/>
      <c r="EL217" s="78"/>
      <c r="EM217" s="78"/>
      <c r="EN217" s="91"/>
      <c r="EO217" s="91"/>
      <c r="EP217" s="91"/>
      <c r="EQ217" s="91"/>
      <c r="ER217" s="91"/>
      <c r="ES217" s="91"/>
    </row>
    <row r="218" spans="1:149" outlineLevel="1">
      <c r="A218" s="29" t="str">
        <f t="shared" si="32"/>
        <v>PROPERTY_ENERGY_CERTIFICATEPNL_WINTER_FLOORS_VALUE</v>
      </c>
      <c r="B218" s="67" t="s">
        <v>26</v>
      </c>
      <c r="C218" s="68" t="s">
        <v>54</v>
      </c>
      <c r="D218" s="64" t="s">
        <v>40</v>
      </c>
      <c r="E218" s="66" t="s">
        <v>123</v>
      </c>
      <c r="F218" s="66" t="s">
        <v>167</v>
      </c>
      <c r="G218" s="64" t="str">
        <f>INDEX(Auxiliar!$B$16:$B$24,MATCH(Plano_V3!H218,Auxiliar!$C$16:$C$24,0),1)</f>
        <v>1. Concluído</v>
      </c>
      <c r="H218" s="64">
        <f>VLOOKUP(A218,'Aux - pivots1'!$A:$B,2,0)</f>
        <v>1</v>
      </c>
      <c r="I218" s="180">
        <f>SUMIFS(Table1[Estimação (horas)],Table1[Tabela],Plano_V3!E218,Table1[Campo],Plano_V3!F218)</f>
        <v>4.0999999999999996</v>
      </c>
      <c r="J218" s="180">
        <f t="shared" si="33"/>
        <v>0.51249999999999996</v>
      </c>
      <c r="K218" s="180">
        <f>SUMIFS(Table1[Horas efetivas],Table1[Tabela],Plano_V3!E218,Table1[Campo],Plano_V3!F218)</f>
        <v>4.0999999999999996</v>
      </c>
      <c r="L218" s="180">
        <f t="shared" si="34"/>
        <v>0.51249999999999996</v>
      </c>
      <c r="M218" s="174"/>
      <c r="N218" s="174">
        <f t="shared" si="35"/>
        <v>1</v>
      </c>
      <c r="O218" s="174">
        <f t="shared" si="30"/>
        <v>1</v>
      </c>
      <c r="P218" s="87" t="s">
        <v>124</v>
      </c>
      <c r="Q218" s="90">
        <f t="shared" si="31"/>
        <v>0.51249999999999996</v>
      </c>
      <c r="R218" s="78"/>
      <c r="S218" s="78"/>
      <c r="T218" s="78"/>
      <c r="U218" s="78"/>
      <c r="V218" s="78"/>
      <c r="W218" s="78"/>
      <c r="X218" s="78"/>
      <c r="Y218" s="78"/>
      <c r="Z218" s="78"/>
      <c r="AA218" s="78"/>
      <c r="AB218" s="78"/>
      <c r="AC218" s="78"/>
      <c r="AD218" s="78"/>
      <c r="AE218" s="78"/>
      <c r="AF218" s="78"/>
      <c r="AG218" s="78"/>
      <c r="AH218" s="78"/>
      <c r="AI218" s="78"/>
      <c r="AJ218" s="78"/>
      <c r="AK218" s="78"/>
      <c r="AL218" s="78"/>
      <c r="AM218" s="78"/>
      <c r="AN218" s="78"/>
      <c r="AO218" s="78"/>
      <c r="AP218" s="78"/>
      <c r="AQ218" s="78"/>
      <c r="AR218" s="78"/>
      <c r="AS218" s="78"/>
      <c r="AT218" s="78"/>
      <c r="AU218" s="78"/>
      <c r="AV218" s="78"/>
      <c r="AW218" s="78"/>
      <c r="AX218" s="78"/>
      <c r="AY218" s="91"/>
      <c r="AZ218" s="78"/>
      <c r="BA218" s="78"/>
      <c r="BB218" s="78"/>
      <c r="BC218" s="78"/>
      <c r="BD218" s="78"/>
      <c r="BE218" s="78"/>
      <c r="BF218" s="78"/>
      <c r="BG218" s="78"/>
      <c r="BH218" s="78"/>
      <c r="BI218" s="78"/>
      <c r="BJ218" s="78"/>
      <c r="BK218" s="78"/>
      <c r="BL218" s="78"/>
      <c r="BM218" s="78"/>
      <c r="BN218" s="78"/>
      <c r="BO218" s="78"/>
      <c r="BP218" s="78"/>
      <c r="BQ218" s="78"/>
      <c r="BR218" s="78"/>
      <c r="BS218" s="78"/>
      <c r="BT218" s="78"/>
      <c r="BU218" s="78"/>
      <c r="BV218" s="78"/>
      <c r="BW218" s="78"/>
      <c r="BX218" s="78"/>
      <c r="BY218" s="78"/>
      <c r="BZ218" s="78"/>
      <c r="CA218" s="78"/>
      <c r="CB218" s="78"/>
      <c r="CC218" s="78"/>
      <c r="CD218" s="78"/>
      <c r="CE218" s="78"/>
      <c r="CF218" s="78"/>
      <c r="CG218" s="78"/>
      <c r="CH218" s="78"/>
      <c r="CI218" s="78"/>
      <c r="CJ218" s="78"/>
      <c r="CK218" s="78"/>
      <c r="CL218" s="78"/>
      <c r="CM218" s="78"/>
      <c r="CN218" s="78"/>
      <c r="CO218" s="78"/>
      <c r="CP218" s="78"/>
      <c r="CQ218" s="78"/>
      <c r="CR218" s="78"/>
      <c r="CS218" s="78"/>
      <c r="CT218" s="78"/>
      <c r="CU218" s="78"/>
      <c r="CV218" s="78"/>
      <c r="CW218" s="78"/>
      <c r="CX218" s="78"/>
      <c r="CY218" s="78"/>
      <c r="CZ218" s="78"/>
      <c r="DA218" s="78"/>
      <c r="DB218" s="78"/>
      <c r="DC218" s="78"/>
      <c r="DD218" s="78"/>
      <c r="DE218" s="78"/>
      <c r="DF218" s="78"/>
      <c r="DG218" s="78"/>
      <c r="DH218" s="78"/>
      <c r="DI218" s="78"/>
      <c r="DJ218" s="78"/>
      <c r="DK218" s="78"/>
      <c r="DL218" s="78"/>
      <c r="DM218" s="78"/>
      <c r="DN218" s="78"/>
      <c r="DO218" s="78"/>
      <c r="DP218" s="78"/>
      <c r="DQ218" s="78"/>
      <c r="DR218" s="78"/>
      <c r="DS218" s="78"/>
      <c r="DT218" s="78"/>
      <c r="DU218" s="78"/>
      <c r="DV218" s="78"/>
      <c r="DW218" s="78"/>
      <c r="DX218" s="78"/>
      <c r="DY218" s="78"/>
      <c r="DZ218" s="78"/>
      <c r="EA218" s="78"/>
      <c r="EB218" s="78"/>
      <c r="EC218" s="78"/>
      <c r="ED218" s="78"/>
      <c r="EE218" s="78"/>
      <c r="EF218" s="78"/>
      <c r="EG218" s="78"/>
      <c r="EH218" s="78"/>
      <c r="EI218" s="78"/>
      <c r="EJ218" s="78"/>
      <c r="EK218" s="78"/>
      <c r="EL218" s="78"/>
      <c r="EM218" s="78"/>
      <c r="EN218" s="91"/>
      <c r="EO218" s="91"/>
      <c r="EP218" s="91"/>
      <c r="EQ218" s="91"/>
      <c r="ER218" s="91"/>
      <c r="ES218" s="91"/>
    </row>
    <row r="219" spans="1:149" outlineLevel="1">
      <c r="A219" s="29" t="str">
        <f t="shared" si="32"/>
        <v>PROPERTY_ENERGY_CERTIFICATEPNL_WINTER_ROOF_VALUE</v>
      </c>
      <c r="B219" s="67" t="s">
        <v>26</v>
      </c>
      <c r="C219" s="68" t="s">
        <v>54</v>
      </c>
      <c r="D219" s="64" t="s">
        <v>40</v>
      </c>
      <c r="E219" s="66" t="s">
        <v>123</v>
      </c>
      <c r="F219" s="66" t="s">
        <v>168</v>
      </c>
      <c r="G219" s="64" t="str">
        <f>INDEX(Auxiliar!$B$16:$B$24,MATCH(Plano_V3!H219,Auxiliar!$C$16:$C$24,0),1)</f>
        <v>1. Concluído</v>
      </c>
      <c r="H219" s="64">
        <f>VLOOKUP(A219,'Aux - pivots1'!$A:$B,2,0)</f>
        <v>1</v>
      </c>
      <c r="I219" s="180">
        <f>SUMIFS(Table1[Estimação (horas)],Table1[Tabela],Plano_V3!E219,Table1[Campo],Plano_V3!F219)</f>
        <v>4.0999999999999996</v>
      </c>
      <c r="J219" s="180">
        <f t="shared" si="33"/>
        <v>0.51249999999999996</v>
      </c>
      <c r="K219" s="180">
        <f>SUMIFS(Table1[Horas efetivas],Table1[Tabela],Plano_V3!E219,Table1[Campo],Plano_V3!F219)</f>
        <v>4.0999999999999996</v>
      </c>
      <c r="L219" s="180">
        <f t="shared" si="34"/>
        <v>0.51249999999999996</v>
      </c>
      <c r="M219" s="174"/>
      <c r="N219" s="174">
        <f t="shared" si="35"/>
        <v>1</v>
      </c>
      <c r="O219" s="174">
        <f t="shared" si="30"/>
        <v>1</v>
      </c>
      <c r="P219" s="87" t="s">
        <v>124</v>
      </c>
      <c r="Q219" s="90">
        <f t="shared" si="31"/>
        <v>0.51249999999999996</v>
      </c>
      <c r="R219" s="78"/>
      <c r="S219" s="78"/>
      <c r="T219" s="78"/>
      <c r="U219" s="78"/>
      <c r="V219" s="78"/>
      <c r="W219" s="78"/>
      <c r="X219" s="78"/>
      <c r="Y219" s="78"/>
      <c r="Z219" s="78"/>
      <c r="AA219" s="78"/>
      <c r="AB219" s="78"/>
      <c r="AC219" s="78"/>
      <c r="AD219" s="78"/>
      <c r="AE219" s="78"/>
      <c r="AF219" s="78"/>
      <c r="AG219" s="78"/>
      <c r="AH219" s="78"/>
      <c r="AI219" s="78"/>
      <c r="AJ219" s="78"/>
      <c r="AK219" s="78"/>
      <c r="AL219" s="78"/>
      <c r="AM219" s="78"/>
      <c r="AN219" s="78"/>
      <c r="AO219" s="78"/>
      <c r="AP219" s="78"/>
      <c r="AQ219" s="78"/>
      <c r="AR219" s="78"/>
      <c r="AS219" s="78"/>
      <c r="AT219" s="78"/>
      <c r="AU219" s="78"/>
      <c r="AV219" s="78"/>
      <c r="AW219" s="78"/>
      <c r="AX219" s="78"/>
      <c r="AY219" s="91"/>
      <c r="AZ219" s="78"/>
      <c r="BA219" s="78"/>
      <c r="BB219" s="78"/>
      <c r="BC219" s="78"/>
      <c r="BD219" s="78"/>
      <c r="BE219" s="78"/>
      <c r="BF219" s="78"/>
      <c r="BG219" s="78"/>
      <c r="BH219" s="78"/>
      <c r="BI219" s="78"/>
      <c r="BJ219" s="78"/>
      <c r="BK219" s="78"/>
      <c r="BL219" s="78"/>
      <c r="BM219" s="78"/>
      <c r="BN219" s="78"/>
      <c r="BO219" s="78"/>
      <c r="BP219" s="78"/>
      <c r="BQ219" s="78"/>
      <c r="BR219" s="78"/>
      <c r="BS219" s="78"/>
      <c r="BT219" s="78"/>
      <c r="BU219" s="78"/>
      <c r="BV219" s="78"/>
      <c r="BW219" s="78"/>
      <c r="BX219" s="78"/>
      <c r="BY219" s="78"/>
      <c r="BZ219" s="78"/>
      <c r="CA219" s="78"/>
      <c r="CB219" s="78"/>
      <c r="CC219" s="78"/>
      <c r="CD219" s="78"/>
      <c r="CE219" s="78"/>
      <c r="CF219" s="78"/>
      <c r="CG219" s="78"/>
      <c r="CH219" s="78"/>
      <c r="CI219" s="78"/>
      <c r="CJ219" s="78"/>
      <c r="CK219" s="78"/>
      <c r="CL219" s="78"/>
      <c r="CM219" s="78"/>
      <c r="CN219" s="78"/>
      <c r="CO219" s="78"/>
      <c r="CP219" s="78"/>
      <c r="CQ219" s="78"/>
      <c r="CR219" s="78"/>
      <c r="CS219" s="78"/>
      <c r="CT219" s="78"/>
      <c r="CU219" s="78"/>
      <c r="CV219" s="78"/>
      <c r="CW219" s="78"/>
      <c r="CX219" s="78"/>
      <c r="CY219" s="78"/>
      <c r="CZ219" s="78"/>
      <c r="DA219" s="78"/>
      <c r="DB219" s="78"/>
      <c r="DC219" s="78"/>
      <c r="DD219" s="78"/>
      <c r="DE219" s="78"/>
      <c r="DF219" s="78"/>
      <c r="DG219" s="78"/>
      <c r="DH219" s="78"/>
      <c r="DI219" s="78"/>
      <c r="DJ219" s="78"/>
      <c r="DK219" s="78"/>
      <c r="DL219" s="78"/>
      <c r="DM219" s="78"/>
      <c r="DN219" s="78"/>
      <c r="DO219" s="78"/>
      <c r="DP219" s="78"/>
      <c r="DQ219" s="78"/>
      <c r="DR219" s="78"/>
      <c r="DS219" s="78"/>
      <c r="DT219" s="78"/>
      <c r="DU219" s="78"/>
      <c r="DV219" s="78"/>
      <c r="DW219" s="78"/>
      <c r="DX219" s="78"/>
      <c r="DY219" s="78"/>
      <c r="DZ219" s="78"/>
      <c r="EA219" s="78"/>
      <c r="EB219" s="78"/>
      <c r="EC219" s="78"/>
      <c r="ED219" s="78"/>
      <c r="EE219" s="78"/>
      <c r="EF219" s="78"/>
      <c r="EG219" s="78"/>
      <c r="EH219" s="78"/>
      <c r="EI219" s="78"/>
      <c r="EJ219" s="78"/>
      <c r="EK219" s="78"/>
      <c r="EL219" s="78"/>
      <c r="EM219" s="78"/>
      <c r="EN219" s="91"/>
      <c r="EO219" s="91"/>
      <c r="EP219" s="91"/>
      <c r="EQ219" s="91"/>
      <c r="ER219" s="91"/>
      <c r="ES219" s="91"/>
    </row>
    <row r="220" spans="1:149" outlineLevel="1">
      <c r="A220" s="29" t="str">
        <f t="shared" si="32"/>
        <v>PROPERTY_ENERGY_CERTIFICATEPNL_WINTER_WINDOWS_VALUE</v>
      </c>
      <c r="B220" s="67" t="s">
        <v>26</v>
      </c>
      <c r="C220" s="68" t="s">
        <v>54</v>
      </c>
      <c r="D220" s="64" t="s">
        <v>40</v>
      </c>
      <c r="E220" s="66" t="s">
        <v>123</v>
      </c>
      <c r="F220" s="66" t="s">
        <v>169</v>
      </c>
      <c r="G220" s="64" t="str">
        <f>INDEX(Auxiliar!$B$16:$B$24,MATCH(Plano_V3!H220,Auxiliar!$C$16:$C$24,0),1)</f>
        <v>1. Concluído</v>
      </c>
      <c r="H220" s="64">
        <f>VLOOKUP(A220,'Aux - pivots1'!$A:$B,2,0)</f>
        <v>1</v>
      </c>
      <c r="I220" s="180">
        <f>SUMIFS(Table1[Estimação (horas)],Table1[Tabela],Plano_V3!E220,Table1[Campo],Plano_V3!F220)</f>
        <v>4.0999999999999996</v>
      </c>
      <c r="J220" s="180">
        <f t="shared" si="33"/>
        <v>0.51249999999999996</v>
      </c>
      <c r="K220" s="180">
        <f>SUMIFS(Table1[Horas efetivas],Table1[Tabela],Plano_V3!E220,Table1[Campo],Plano_V3!F220)</f>
        <v>4.0999999999999996</v>
      </c>
      <c r="L220" s="180">
        <f t="shared" si="34"/>
        <v>0.51249999999999996</v>
      </c>
      <c r="M220" s="174"/>
      <c r="N220" s="174">
        <f t="shared" si="35"/>
        <v>1</v>
      </c>
      <c r="O220" s="174">
        <f t="shared" si="30"/>
        <v>1</v>
      </c>
      <c r="P220" s="87" t="s">
        <v>124</v>
      </c>
      <c r="Q220" s="90">
        <f t="shared" si="31"/>
        <v>0.51249999999999996</v>
      </c>
      <c r="R220" s="78"/>
      <c r="S220" s="78"/>
      <c r="T220" s="78"/>
      <c r="U220" s="78"/>
      <c r="V220" s="78"/>
      <c r="W220" s="78"/>
      <c r="X220" s="78"/>
      <c r="Y220" s="78"/>
      <c r="Z220" s="78"/>
      <c r="AA220" s="78"/>
      <c r="AB220" s="78"/>
      <c r="AC220" s="78"/>
      <c r="AD220" s="78"/>
      <c r="AE220" s="78"/>
      <c r="AF220" s="78"/>
      <c r="AG220" s="78"/>
      <c r="AH220" s="78"/>
      <c r="AI220" s="78"/>
      <c r="AJ220" s="78"/>
      <c r="AK220" s="78"/>
      <c r="AL220" s="78"/>
      <c r="AM220" s="78"/>
      <c r="AN220" s="78"/>
      <c r="AO220" s="78"/>
      <c r="AP220" s="78"/>
      <c r="AQ220" s="78"/>
      <c r="AR220" s="78"/>
      <c r="AS220" s="78"/>
      <c r="AT220" s="78"/>
      <c r="AU220" s="78"/>
      <c r="AV220" s="78"/>
      <c r="AW220" s="78"/>
      <c r="AX220" s="78"/>
      <c r="AY220" s="91"/>
      <c r="AZ220" s="78"/>
      <c r="BA220" s="78"/>
      <c r="BB220" s="78"/>
      <c r="BC220" s="78"/>
      <c r="BD220" s="78"/>
      <c r="BE220" s="78"/>
      <c r="BF220" s="78"/>
      <c r="BG220" s="78"/>
      <c r="BH220" s="78"/>
      <c r="BI220" s="78"/>
      <c r="BJ220" s="78"/>
      <c r="BK220" s="78"/>
      <c r="BL220" s="78"/>
      <c r="BM220" s="78"/>
      <c r="BN220" s="78"/>
      <c r="BO220" s="78"/>
      <c r="BP220" s="78"/>
      <c r="BQ220" s="78"/>
      <c r="BR220" s="78"/>
      <c r="BS220" s="78"/>
      <c r="BT220" s="78"/>
      <c r="BU220" s="78"/>
      <c r="BV220" s="78"/>
      <c r="BW220" s="78"/>
      <c r="BX220" s="78"/>
      <c r="BY220" s="78"/>
      <c r="BZ220" s="78"/>
      <c r="CA220" s="78"/>
      <c r="CB220" s="78"/>
      <c r="CC220" s="78"/>
      <c r="CD220" s="78"/>
      <c r="CE220" s="78"/>
      <c r="CF220" s="78"/>
      <c r="CG220" s="78"/>
      <c r="CH220" s="78"/>
      <c r="CI220" s="78"/>
      <c r="CJ220" s="78"/>
      <c r="CK220" s="78"/>
      <c r="CL220" s="78"/>
      <c r="CM220" s="78"/>
      <c r="CN220" s="78"/>
      <c r="CO220" s="78"/>
      <c r="CP220" s="78"/>
      <c r="CQ220" s="78"/>
      <c r="CR220" s="78"/>
      <c r="CS220" s="78"/>
      <c r="CT220" s="78"/>
      <c r="CU220" s="78"/>
      <c r="CV220" s="78"/>
      <c r="CW220" s="78"/>
      <c r="CX220" s="78"/>
      <c r="CY220" s="78"/>
      <c r="CZ220" s="78"/>
      <c r="DA220" s="78"/>
      <c r="DB220" s="78"/>
      <c r="DC220" s="78"/>
      <c r="DD220" s="78"/>
      <c r="DE220" s="78"/>
      <c r="DF220" s="78"/>
      <c r="DG220" s="78"/>
      <c r="DH220" s="78"/>
      <c r="DI220" s="78"/>
      <c r="DJ220" s="78"/>
      <c r="DK220" s="78"/>
      <c r="DL220" s="78"/>
      <c r="DM220" s="78"/>
      <c r="DN220" s="78"/>
      <c r="DO220" s="78"/>
      <c r="DP220" s="78"/>
      <c r="DQ220" s="78"/>
      <c r="DR220" s="78"/>
      <c r="DS220" s="78"/>
      <c r="DT220" s="78"/>
      <c r="DU220" s="78"/>
      <c r="DV220" s="78"/>
      <c r="DW220" s="78"/>
      <c r="DX220" s="78"/>
      <c r="DY220" s="78"/>
      <c r="DZ220" s="78"/>
      <c r="EA220" s="78"/>
      <c r="EB220" s="78"/>
      <c r="EC220" s="78"/>
      <c r="ED220" s="78"/>
      <c r="EE220" s="78"/>
      <c r="EF220" s="78"/>
      <c r="EG220" s="78"/>
      <c r="EH220" s="78"/>
      <c r="EI220" s="78"/>
      <c r="EJ220" s="78"/>
      <c r="EK220" s="78"/>
      <c r="EL220" s="78"/>
      <c r="EM220" s="78"/>
      <c r="EN220" s="91"/>
      <c r="EO220" s="91"/>
      <c r="EP220" s="91"/>
      <c r="EQ220" s="91"/>
      <c r="ER220" s="91"/>
      <c r="ES220" s="91"/>
    </row>
    <row r="221" spans="1:149" outlineLevel="1">
      <c r="A221" s="29" t="str">
        <f t="shared" si="32"/>
        <v>PROPERTY_ENERGY_CERTIFICATEPNL_WINTER_REF_VALUE</v>
      </c>
      <c r="B221" s="67" t="s">
        <v>26</v>
      </c>
      <c r="C221" s="68" t="s">
        <v>54</v>
      </c>
      <c r="D221" s="64" t="s">
        <v>40</v>
      </c>
      <c r="E221" s="66" t="s">
        <v>123</v>
      </c>
      <c r="F221" s="66" t="s">
        <v>170</v>
      </c>
      <c r="G221" s="64" t="str">
        <f>INDEX(Auxiliar!$B$16:$B$24,MATCH(Plano_V3!H221,Auxiliar!$C$16:$C$24,0),1)</f>
        <v>1. Concluído</v>
      </c>
      <c r="H221" s="64">
        <f>VLOOKUP(A221,'Aux - pivots1'!$A:$B,2,0)</f>
        <v>1</v>
      </c>
      <c r="I221" s="180">
        <f>SUMIFS(Table1[Estimação (horas)],Table1[Tabela],Plano_V3!E221,Table1[Campo],Plano_V3!F221)</f>
        <v>4.0999999999999996</v>
      </c>
      <c r="J221" s="180">
        <f t="shared" si="33"/>
        <v>0.51249999999999996</v>
      </c>
      <c r="K221" s="180">
        <f>SUMIFS(Table1[Horas efetivas],Table1[Tabela],Plano_V3!E221,Table1[Campo],Plano_V3!F221)</f>
        <v>4.0999999999999996</v>
      </c>
      <c r="L221" s="180">
        <f t="shared" si="34"/>
        <v>0.51249999999999996</v>
      </c>
      <c r="M221" s="174"/>
      <c r="N221" s="174">
        <f t="shared" si="35"/>
        <v>1</v>
      </c>
      <c r="O221" s="174">
        <f t="shared" si="30"/>
        <v>1</v>
      </c>
      <c r="P221" s="87" t="s">
        <v>124</v>
      </c>
      <c r="Q221" s="90">
        <f t="shared" si="31"/>
        <v>0.51249999999999996</v>
      </c>
      <c r="R221" s="78"/>
      <c r="S221" s="78"/>
      <c r="T221" s="78"/>
      <c r="U221" s="78"/>
      <c r="V221" s="78"/>
      <c r="W221" s="78"/>
      <c r="X221" s="78"/>
      <c r="Y221" s="78"/>
      <c r="Z221" s="78"/>
      <c r="AA221" s="78"/>
      <c r="AB221" s="78"/>
      <c r="AC221" s="78"/>
      <c r="AD221" s="78"/>
      <c r="AE221" s="78"/>
      <c r="AF221" s="78"/>
      <c r="AG221" s="78"/>
      <c r="AH221" s="78"/>
      <c r="AI221" s="78"/>
      <c r="AJ221" s="78"/>
      <c r="AK221" s="78"/>
      <c r="AL221" s="78"/>
      <c r="AM221" s="78"/>
      <c r="AN221" s="78"/>
      <c r="AO221" s="78"/>
      <c r="AP221" s="78"/>
      <c r="AQ221" s="78"/>
      <c r="AR221" s="78"/>
      <c r="AS221" s="78"/>
      <c r="AT221" s="78"/>
      <c r="AU221" s="78"/>
      <c r="AV221" s="78"/>
      <c r="AW221" s="78"/>
      <c r="AX221" s="78"/>
      <c r="AY221" s="91"/>
      <c r="AZ221" s="78"/>
      <c r="BA221" s="78"/>
      <c r="BB221" s="78"/>
      <c r="BC221" s="78"/>
      <c r="BD221" s="78"/>
      <c r="BE221" s="78"/>
      <c r="BF221" s="78"/>
      <c r="BG221" s="78"/>
      <c r="BH221" s="78"/>
      <c r="BI221" s="78"/>
      <c r="BJ221" s="78"/>
      <c r="BK221" s="78"/>
      <c r="BL221" s="78"/>
      <c r="BM221" s="78"/>
      <c r="BN221" s="78"/>
      <c r="BO221" s="78"/>
      <c r="BP221" s="78"/>
      <c r="BQ221" s="78"/>
      <c r="BR221" s="78"/>
      <c r="BS221" s="78"/>
      <c r="BT221" s="78"/>
      <c r="BU221" s="78"/>
      <c r="BV221" s="78"/>
      <c r="BW221" s="78"/>
      <c r="BX221" s="78"/>
      <c r="BY221" s="78"/>
      <c r="BZ221" s="78"/>
      <c r="CA221" s="78"/>
      <c r="CB221" s="78"/>
      <c r="CC221" s="78"/>
      <c r="CD221" s="78"/>
      <c r="CE221" s="78"/>
      <c r="CF221" s="78"/>
      <c r="CG221" s="78"/>
      <c r="CH221" s="78"/>
      <c r="CI221" s="78"/>
      <c r="CJ221" s="78"/>
      <c r="CK221" s="78"/>
      <c r="CL221" s="78"/>
      <c r="CM221" s="78"/>
      <c r="CN221" s="78"/>
      <c r="CO221" s="78"/>
      <c r="CP221" s="78"/>
      <c r="CQ221" s="78"/>
      <c r="CR221" s="78"/>
      <c r="CS221" s="78"/>
      <c r="CT221" s="78"/>
      <c r="CU221" s="78"/>
      <c r="CV221" s="78"/>
      <c r="CW221" s="78"/>
      <c r="CX221" s="78"/>
      <c r="CY221" s="78"/>
      <c r="CZ221" s="78"/>
      <c r="DA221" s="78"/>
      <c r="DB221" s="78"/>
      <c r="DC221" s="78"/>
      <c r="DD221" s="78"/>
      <c r="DE221" s="78"/>
      <c r="DF221" s="78"/>
      <c r="DG221" s="78"/>
      <c r="DH221" s="78"/>
      <c r="DI221" s="78"/>
      <c r="DJ221" s="78"/>
      <c r="DK221" s="78"/>
      <c r="DL221" s="78"/>
      <c r="DM221" s="78"/>
      <c r="DN221" s="78"/>
      <c r="DO221" s="78"/>
      <c r="DP221" s="78"/>
      <c r="DQ221" s="78"/>
      <c r="DR221" s="78"/>
      <c r="DS221" s="78"/>
      <c r="DT221" s="78"/>
      <c r="DU221" s="78"/>
      <c r="DV221" s="78"/>
      <c r="DW221" s="78"/>
      <c r="DX221" s="78"/>
      <c r="DY221" s="78"/>
      <c r="DZ221" s="78"/>
      <c r="EA221" s="78"/>
      <c r="EB221" s="78"/>
      <c r="EC221" s="78"/>
      <c r="ED221" s="78"/>
      <c r="EE221" s="78"/>
      <c r="EF221" s="78"/>
      <c r="EG221" s="78"/>
      <c r="EH221" s="78"/>
      <c r="EI221" s="78"/>
      <c r="EJ221" s="78"/>
      <c r="EK221" s="78"/>
      <c r="EL221" s="78"/>
      <c r="EM221" s="78"/>
      <c r="EN221" s="91"/>
      <c r="EO221" s="91"/>
      <c r="EP221" s="91"/>
      <c r="EQ221" s="91"/>
      <c r="ER221" s="91"/>
      <c r="ES221" s="91"/>
    </row>
    <row r="222" spans="1:149" outlineLevel="1">
      <c r="A222" s="29" t="str">
        <f t="shared" si="32"/>
        <v>PROPERTY_ENERGY_CERTIFICATEPNL_WINTER_FANS_VALUE</v>
      </c>
      <c r="B222" s="67" t="s">
        <v>26</v>
      </c>
      <c r="C222" s="68" t="s">
        <v>54</v>
      </c>
      <c r="D222" s="64" t="s">
        <v>40</v>
      </c>
      <c r="E222" s="66" t="s">
        <v>123</v>
      </c>
      <c r="F222" s="66" t="s">
        <v>171</v>
      </c>
      <c r="G222" s="64" t="str">
        <f>INDEX(Auxiliar!$B$16:$B$24,MATCH(Plano_V3!H222,Auxiliar!$C$16:$C$24,0),1)</f>
        <v>1. Concluído</v>
      </c>
      <c r="H222" s="64">
        <f>VLOOKUP(A222,'Aux - pivots1'!$A:$B,2,0)</f>
        <v>1</v>
      </c>
      <c r="I222" s="180">
        <f>SUMIFS(Table1[Estimação (horas)],Table1[Tabela],Plano_V3!E222,Table1[Campo],Plano_V3!F222)</f>
        <v>4.0999999999999996</v>
      </c>
      <c r="J222" s="180">
        <f t="shared" si="33"/>
        <v>0.51249999999999996</v>
      </c>
      <c r="K222" s="180">
        <f>SUMIFS(Table1[Horas efetivas],Table1[Tabela],Plano_V3!E222,Table1[Campo],Plano_V3!F222)</f>
        <v>4.0999999999999996</v>
      </c>
      <c r="L222" s="180">
        <f t="shared" si="34"/>
        <v>0.51249999999999996</v>
      </c>
      <c r="M222" s="174"/>
      <c r="N222" s="174">
        <f t="shared" si="35"/>
        <v>1</v>
      </c>
      <c r="O222" s="174">
        <f t="shared" si="30"/>
        <v>1</v>
      </c>
      <c r="P222" s="87" t="s">
        <v>124</v>
      </c>
      <c r="Q222" s="90">
        <f t="shared" si="31"/>
        <v>0.51249999999999996</v>
      </c>
      <c r="R222" s="78"/>
      <c r="S222" s="78"/>
      <c r="T222" s="78"/>
      <c r="U222" s="78"/>
      <c r="V222" s="78"/>
      <c r="W222" s="78"/>
      <c r="X222" s="78"/>
      <c r="Y222" s="78"/>
      <c r="Z222" s="78"/>
      <c r="AA222" s="78"/>
      <c r="AB222" s="78"/>
      <c r="AC222" s="78"/>
      <c r="AD222" s="78"/>
      <c r="AE222" s="78"/>
      <c r="AF222" s="78"/>
      <c r="AG222" s="78"/>
      <c r="AH222" s="78"/>
      <c r="AI222" s="78"/>
      <c r="AJ222" s="78"/>
      <c r="AK222" s="78"/>
      <c r="AL222" s="78"/>
      <c r="AM222" s="78"/>
      <c r="AN222" s="78"/>
      <c r="AO222" s="78"/>
      <c r="AP222" s="78"/>
      <c r="AQ222" s="78"/>
      <c r="AR222" s="78"/>
      <c r="AS222" s="78"/>
      <c r="AT222" s="78"/>
      <c r="AU222" s="78"/>
      <c r="AV222" s="78"/>
      <c r="AW222" s="78"/>
      <c r="AX222" s="78"/>
      <c r="AY222" s="91"/>
      <c r="AZ222" s="78"/>
      <c r="BA222" s="78"/>
      <c r="BB222" s="78"/>
      <c r="BC222" s="78"/>
      <c r="BD222" s="78"/>
      <c r="BE222" s="78"/>
      <c r="BF222" s="78"/>
      <c r="BG222" s="78"/>
      <c r="BH222" s="78"/>
      <c r="BI222" s="78"/>
      <c r="BJ222" s="78"/>
      <c r="BK222" s="78"/>
      <c r="BL222" s="78"/>
      <c r="BM222" s="78"/>
      <c r="BN222" s="78"/>
      <c r="BO222" s="78"/>
      <c r="BP222" s="78"/>
      <c r="BQ222" s="78"/>
      <c r="BR222" s="78"/>
      <c r="BS222" s="78"/>
      <c r="BT222" s="78"/>
      <c r="BU222" s="78"/>
      <c r="BV222" s="78"/>
      <c r="BW222" s="78"/>
      <c r="BX222" s="78"/>
      <c r="BY222" s="78"/>
      <c r="BZ222" s="78"/>
      <c r="CA222" s="78"/>
      <c r="CB222" s="78"/>
      <c r="CC222" s="78"/>
      <c r="CD222" s="78"/>
      <c r="CE222" s="78"/>
      <c r="CF222" s="78"/>
      <c r="CG222" s="78"/>
      <c r="CH222" s="78"/>
      <c r="CI222" s="78"/>
      <c r="CJ222" s="78"/>
      <c r="CK222" s="78"/>
      <c r="CL222" s="78"/>
      <c r="CM222" s="78"/>
      <c r="CN222" s="78"/>
      <c r="CO222" s="78"/>
      <c r="CP222" s="78"/>
      <c r="CQ222" s="78"/>
      <c r="CR222" s="78"/>
      <c r="CS222" s="78"/>
      <c r="CT222" s="78"/>
      <c r="CU222" s="78"/>
      <c r="CV222" s="78"/>
      <c r="CW222" s="78"/>
      <c r="CX222" s="78"/>
      <c r="CY222" s="78"/>
      <c r="CZ222" s="78"/>
      <c r="DA222" s="78"/>
      <c r="DB222" s="78"/>
      <c r="DC222" s="78"/>
      <c r="DD222" s="78"/>
      <c r="DE222" s="78"/>
      <c r="DF222" s="78"/>
      <c r="DG222" s="78"/>
      <c r="DH222" s="78"/>
      <c r="DI222" s="78"/>
      <c r="DJ222" s="78"/>
      <c r="DK222" s="78"/>
      <c r="DL222" s="78"/>
      <c r="DM222" s="78"/>
      <c r="DN222" s="78"/>
      <c r="DO222" s="78"/>
      <c r="DP222" s="78"/>
      <c r="DQ222" s="78"/>
      <c r="DR222" s="78"/>
      <c r="DS222" s="78"/>
      <c r="DT222" s="78"/>
      <c r="DU222" s="78"/>
      <c r="DV222" s="78"/>
      <c r="DW222" s="78"/>
      <c r="DX222" s="78"/>
      <c r="DY222" s="78"/>
      <c r="DZ222" s="78"/>
      <c r="EA222" s="78"/>
      <c r="EB222" s="78"/>
      <c r="EC222" s="78"/>
      <c r="ED222" s="78"/>
      <c r="EE222" s="78"/>
      <c r="EF222" s="78"/>
      <c r="EG222" s="78"/>
      <c r="EH222" s="78"/>
      <c r="EI222" s="78"/>
      <c r="EJ222" s="78"/>
      <c r="EK222" s="78"/>
      <c r="EL222" s="78"/>
      <c r="EM222" s="78"/>
      <c r="EN222" s="91"/>
      <c r="EO222" s="91"/>
      <c r="EP222" s="91"/>
      <c r="EQ222" s="91"/>
      <c r="ER222" s="91"/>
      <c r="ES222" s="91"/>
    </row>
    <row r="223" spans="1:149" outlineLevel="1">
      <c r="A223" s="29" t="str">
        <f t="shared" si="32"/>
        <v>PROPERTY_ENERGY_CERTIFICATEPNL_SUMMER_ROOF_VALUE</v>
      </c>
      <c r="B223" s="67" t="s">
        <v>26</v>
      </c>
      <c r="C223" s="68" t="s">
        <v>54</v>
      </c>
      <c r="D223" s="64" t="s">
        <v>40</v>
      </c>
      <c r="E223" s="66" t="s">
        <v>123</v>
      </c>
      <c r="F223" s="66" t="s">
        <v>172</v>
      </c>
      <c r="G223" s="64" t="str">
        <f>INDEX(Auxiliar!$B$16:$B$24,MATCH(Plano_V3!H223,Auxiliar!$C$16:$C$24,0),1)</f>
        <v>1. Concluído</v>
      </c>
      <c r="H223" s="64">
        <f>VLOOKUP(A223,'Aux - pivots1'!$A:$B,2,0)</f>
        <v>1</v>
      </c>
      <c r="I223" s="180">
        <f>SUMIFS(Table1[Estimação (horas)],Table1[Tabela],Plano_V3!E223,Table1[Campo],Plano_V3!F223)</f>
        <v>4.0999999999999996</v>
      </c>
      <c r="J223" s="180">
        <f t="shared" si="33"/>
        <v>0.51249999999999996</v>
      </c>
      <c r="K223" s="180">
        <f>SUMIFS(Table1[Horas efetivas],Table1[Tabela],Plano_V3!E223,Table1[Campo],Plano_V3!F223)</f>
        <v>4.0999999999999996</v>
      </c>
      <c r="L223" s="180">
        <f t="shared" si="34"/>
        <v>0.51249999999999996</v>
      </c>
      <c r="M223" s="174"/>
      <c r="N223" s="174">
        <f t="shared" si="35"/>
        <v>1</v>
      </c>
      <c r="O223" s="174">
        <f t="shared" si="30"/>
        <v>1</v>
      </c>
      <c r="P223" s="87" t="s">
        <v>124</v>
      </c>
      <c r="Q223" s="90">
        <f t="shared" si="31"/>
        <v>0.51249999999999996</v>
      </c>
      <c r="R223" s="78"/>
      <c r="S223" s="78"/>
      <c r="T223" s="78"/>
      <c r="U223" s="78"/>
      <c r="V223" s="78"/>
      <c r="W223" s="78"/>
      <c r="X223" s="78"/>
      <c r="Y223" s="78"/>
      <c r="Z223" s="78"/>
      <c r="AA223" s="78"/>
      <c r="AB223" s="78"/>
      <c r="AC223" s="78"/>
      <c r="AD223" s="78"/>
      <c r="AE223" s="78"/>
      <c r="AF223" s="78"/>
      <c r="AG223" s="78"/>
      <c r="AH223" s="78"/>
      <c r="AI223" s="78"/>
      <c r="AJ223" s="78"/>
      <c r="AK223" s="78"/>
      <c r="AL223" s="78"/>
      <c r="AM223" s="78"/>
      <c r="AN223" s="78"/>
      <c r="AO223" s="78"/>
      <c r="AP223" s="78"/>
      <c r="AQ223" s="78"/>
      <c r="AR223" s="78"/>
      <c r="AS223" s="78"/>
      <c r="AT223" s="78"/>
      <c r="AU223" s="78"/>
      <c r="AV223" s="78"/>
      <c r="AW223" s="78"/>
      <c r="AX223" s="78"/>
      <c r="AY223" s="91"/>
      <c r="AZ223" s="78"/>
      <c r="BA223" s="78"/>
      <c r="BB223" s="78"/>
      <c r="BC223" s="78"/>
      <c r="BD223" s="78"/>
      <c r="BE223" s="78"/>
      <c r="BF223" s="78"/>
      <c r="BG223" s="78"/>
      <c r="BH223" s="78"/>
      <c r="BI223" s="78"/>
      <c r="BJ223" s="78"/>
      <c r="BK223" s="78"/>
      <c r="BL223" s="78"/>
      <c r="BM223" s="78"/>
      <c r="BN223" s="78"/>
      <c r="BO223" s="78"/>
      <c r="BP223" s="78"/>
      <c r="BQ223" s="78"/>
      <c r="BR223" s="78"/>
      <c r="BS223" s="78"/>
      <c r="BT223" s="78"/>
      <c r="BU223" s="78"/>
      <c r="BV223" s="78"/>
      <c r="BW223" s="78"/>
      <c r="BX223" s="78"/>
      <c r="BY223" s="78"/>
      <c r="BZ223" s="78"/>
      <c r="CA223" s="78"/>
      <c r="CB223" s="78"/>
      <c r="CC223" s="78"/>
      <c r="CD223" s="78"/>
      <c r="CE223" s="78"/>
      <c r="CF223" s="78"/>
      <c r="CG223" s="78"/>
      <c r="CH223" s="78"/>
      <c r="CI223" s="78"/>
      <c r="CJ223" s="78"/>
      <c r="CK223" s="78"/>
      <c r="CL223" s="78"/>
      <c r="CM223" s="78"/>
      <c r="CN223" s="78"/>
      <c r="CO223" s="78"/>
      <c r="CP223" s="78"/>
      <c r="CQ223" s="78"/>
      <c r="CR223" s="78"/>
      <c r="CS223" s="78"/>
      <c r="CT223" s="78"/>
      <c r="CU223" s="78"/>
      <c r="CV223" s="78"/>
      <c r="CW223" s="78"/>
      <c r="CX223" s="78"/>
      <c r="CY223" s="78"/>
      <c r="CZ223" s="78"/>
      <c r="DA223" s="78"/>
      <c r="DB223" s="78"/>
      <c r="DC223" s="78"/>
      <c r="DD223" s="78"/>
      <c r="DE223" s="78"/>
      <c r="DF223" s="78"/>
      <c r="DG223" s="78"/>
      <c r="DH223" s="78"/>
      <c r="DI223" s="78"/>
      <c r="DJ223" s="78"/>
      <c r="DK223" s="78"/>
      <c r="DL223" s="78"/>
      <c r="DM223" s="78"/>
      <c r="DN223" s="78"/>
      <c r="DO223" s="78"/>
      <c r="DP223" s="78"/>
      <c r="DQ223" s="78"/>
      <c r="DR223" s="78"/>
      <c r="DS223" s="78"/>
      <c r="DT223" s="78"/>
      <c r="DU223" s="78"/>
      <c r="DV223" s="78"/>
      <c r="DW223" s="78"/>
      <c r="DX223" s="78"/>
      <c r="DY223" s="78"/>
      <c r="DZ223" s="78"/>
      <c r="EA223" s="78"/>
      <c r="EB223" s="78"/>
      <c r="EC223" s="78"/>
      <c r="ED223" s="78"/>
      <c r="EE223" s="78"/>
      <c r="EF223" s="78"/>
      <c r="EG223" s="78"/>
      <c r="EH223" s="78"/>
      <c r="EI223" s="78"/>
      <c r="EJ223" s="78"/>
      <c r="EK223" s="78"/>
      <c r="EL223" s="78"/>
      <c r="EM223" s="78"/>
      <c r="EN223" s="91"/>
      <c r="EO223" s="91"/>
      <c r="EP223" s="91"/>
      <c r="EQ223" s="91"/>
      <c r="ER223" s="91"/>
      <c r="ES223" s="91"/>
    </row>
    <row r="224" spans="1:149" outlineLevel="1">
      <c r="A224" s="29" t="str">
        <f t="shared" si="32"/>
        <v>PROPERTY_ENERGY_CERTIFICATEPNL_SUMMER_WINDOWS_VALUE</v>
      </c>
      <c r="B224" s="67" t="s">
        <v>26</v>
      </c>
      <c r="C224" s="68" t="s">
        <v>54</v>
      </c>
      <c r="D224" s="64" t="s">
        <v>40</v>
      </c>
      <c r="E224" s="66" t="s">
        <v>123</v>
      </c>
      <c r="F224" s="66" t="s">
        <v>173</v>
      </c>
      <c r="G224" s="64" t="str">
        <f>INDEX(Auxiliar!$B$16:$B$24,MATCH(Plano_V3!H224,Auxiliar!$C$16:$C$24,0),1)</f>
        <v>1. Concluído</v>
      </c>
      <c r="H224" s="64">
        <f>VLOOKUP(A224,'Aux - pivots1'!$A:$B,2,0)</f>
        <v>1</v>
      </c>
      <c r="I224" s="180">
        <f>SUMIFS(Table1[Estimação (horas)],Table1[Tabela],Plano_V3!E224,Table1[Campo],Plano_V3!F224)</f>
        <v>4.0999999999999996</v>
      </c>
      <c r="J224" s="180">
        <f t="shared" si="33"/>
        <v>0.51249999999999996</v>
      </c>
      <c r="K224" s="180">
        <f>SUMIFS(Table1[Horas efetivas],Table1[Tabela],Plano_V3!E224,Table1[Campo],Plano_V3!F224)</f>
        <v>4.0999999999999996</v>
      </c>
      <c r="L224" s="180">
        <f t="shared" si="34"/>
        <v>0.51249999999999996</v>
      </c>
      <c r="M224" s="174"/>
      <c r="N224" s="174">
        <f t="shared" si="35"/>
        <v>1</v>
      </c>
      <c r="O224" s="174">
        <f t="shared" si="30"/>
        <v>1</v>
      </c>
      <c r="P224" s="87" t="s">
        <v>124</v>
      </c>
      <c r="Q224" s="90">
        <f t="shared" si="31"/>
        <v>0.51249999999999996</v>
      </c>
      <c r="R224" s="78"/>
      <c r="S224" s="78"/>
      <c r="T224" s="78"/>
      <c r="U224" s="78"/>
      <c r="V224" s="78"/>
      <c r="W224" s="78"/>
      <c r="X224" s="78"/>
      <c r="Y224" s="78"/>
      <c r="Z224" s="78"/>
      <c r="AA224" s="78"/>
      <c r="AB224" s="78"/>
      <c r="AC224" s="78"/>
      <c r="AD224" s="78"/>
      <c r="AE224" s="78"/>
      <c r="AF224" s="78"/>
      <c r="AG224" s="78"/>
      <c r="AH224" s="78"/>
      <c r="AI224" s="78"/>
      <c r="AJ224" s="78"/>
      <c r="AK224" s="78"/>
      <c r="AL224" s="78"/>
      <c r="AM224" s="78"/>
      <c r="AN224" s="78"/>
      <c r="AO224" s="78"/>
      <c r="AP224" s="78"/>
      <c r="AQ224" s="78"/>
      <c r="AR224" s="78"/>
      <c r="AS224" s="78"/>
      <c r="AT224" s="78"/>
      <c r="AU224" s="78"/>
      <c r="AV224" s="78"/>
      <c r="AW224" s="78"/>
      <c r="AX224" s="78"/>
      <c r="AY224" s="91"/>
      <c r="AZ224" s="78"/>
      <c r="BA224" s="78"/>
      <c r="BB224" s="78"/>
      <c r="BC224" s="78"/>
      <c r="BD224" s="78"/>
      <c r="BE224" s="78"/>
      <c r="BF224" s="78"/>
      <c r="BG224" s="78"/>
      <c r="BH224" s="78"/>
      <c r="BI224" s="78"/>
      <c r="BJ224" s="78"/>
      <c r="BK224" s="78"/>
      <c r="BL224" s="78"/>
      <c r="BM224" s="78"/>
      <c r="BN224" s="78"/>
      <c r="BO224" s="78"/>
      <c r="BP224" s="78"/>
      <c r="BQ224" s="78"/>
      <c r="BR224" s="78"/>
      <c r="BS224" s="78"/>
      <c r="BT224" s="78"/>
      <c r="BU224" s="78"/>
      <c r="BV224" s="78"/>
      <c r="BW224" s="78"/>
      <c r="BX224" s="78"/>
      <c r="BY224" s="78"/>
      <c r="BZ224" s="78"/>
      <c r="CA224" s="78"/>
      <c r="CB224" s="78"/>
      <c r="CC224" s="78"/>
      <c r="CD224" s="78"/>
      <c r="CE224" s="78"/>
      <c r="CF224" s="78"/>
      <c r="CG224" s="78"/>
      <c r="CH224" s="78"/>
      <c r="CI224" s="78"/>
      <c r="CJ224" s="78"/>
      <c r="CK224" s="78"/>
      <c r="CL224" s="78"/>
      <c r="CM224" s="78"/>
      <c r="CN224" s="78"/>
      <c r="CO224" s="78"/>
      <c r="CP224" s="78"/>
      <c r="CQ224" s="78"/>
      <c r="CR224" s="78"/>
      <c r="CS224" s="78"/>
      <c r="CT224" s="78"/>
      <c r="CU224" s="78"/>
      <c r="CV224" s="78"/>
      <c r="CW224" s="78"/>
      <c r="CX224" s="78"/>
      <c r="CY224" s="78"/>
      <c r="CZ224" s="78"/>
      <c r="DA224" s="78"/>
      <c r="DB224" s="78"/>
      <c r="DC224" s="78"/>
      <c r="DD224" s="78"/>
      <c r="DE224" s="78"/>
      <c r="DF224" s="78"/>
      <c r="DG224" s="78"/>
      <c r="DH224" s="78"/>
      <c r="DI224" s="78"/>
      <c r="DJ224" s="78"/>
      <c r="DK224" s="78"/>
      <c r="DL224" s="78"/>
      <c r="DM224" s="78"/>
      <c r="DN224" s="78"/>
      <c r="DO224" s="78"/>
      <c r="DP224" s="78"/>
      <c r="DQ224" s="78"/>
      <c r="DR224" s="78"/>
      <c r="DS224" s="78"/>
      <c r="DT224" s="78"/>
      <c r="DU224" s="78"/>
      <c r="DV224" s="78"/>
      <c r="DW224" s="78"/>
      <c r="DX224" s="78"/>
      <c r="DY224" s="78"/>
      <c r="DZ224" s="78"/>
      <c r="EA224" s="78"/>
      <c r="EB224" s="78"/>
      <c r="EC224" s="78"/>
      <c r="ED224" s="78"/>
      <c r="EE224" s="78"/>
      <c r="EF224" s="78"/>
      <c r="EG224" s="78"/>
      <c r="EH224" s="78"/>
      <c r="EI224" s="78"/>
      <c r="EJ224" s="78"/>
      <c r="EK224" s="78"/>
      <c r="EL224" s="78"/>
      <c r="EM224" s="78"/>
      <c r="EN224" s="91"/>
      <c r="EO224" s="91"/>
      <c r="EP224" s="91"/>
      <c r="EQ224" s="91"/>
      <c r="ER224" s="91"/>
      <c r="ES224" s="91"/>
    </row>
    <row r="225" spans="1:149" outlineLevel="1">
      <c r="A225" s="29" t="str">
        <f t="shared" si="32"/>
        <v>PROPERTY_ENERGY_CERTIFICATEPNL_SUMMER_WALLS_DOORS_VALUE</v>
      </c>
      <c r="B225" s="67" t="s">
        <v>26</v>
      </c>
      <c r="C225" s="68" t="s">
        <v>54</v>
      </c>
      <c r="D225" s="64" t="s">
        <v>40</v>
      </c>
      <c r="E225" s="66" t="s">
        <v>123</v>
      </c>
      <c r="F225" s="66" t="s">
        <v>174</v>
      </c>
      <c r="G225" s="64" t="str">
        <f>INDEX(Auxiliar!$B$16:$B$24,MATCH(Plano_V3!H225,Auxiliar!$C$16:$C$24,0),1)</f>
        <v>1. Concluído</v>
      </c>
      <c r="H225" s="64">
        <f>VLOOKUP(A225,'Aux - pivots1'!$A:$B,2,0)</f>
        <v>1</v>
      </c>
      <c r="I225" s="180">
        <f>SUMIFS(Table1[Estimação (horas)],Table1[Tabela],Plano_V3!E225,Table1[Campo],Plano_V3!F225)</f>
        <v>4.0999999999999996</v>
      </c>
      <c r="J225" s="180">
        <f t="shared" si="33"/>
        <v>0.51249999999999996</v>
      </c>
      <c r="K225" s="180">
        <f>SUMIFS(Table1[Horas efetivas],Table1[Tabela],Plano_V3!E225,Table1[Campo],Plano_V3!F225)</f>
        <v>4.0999999999999996</v>
      </c>
      <c r="L225" s="180">
        <f t="shared" si="34"/>
        <v>0.51249999999999996</v>
      </c>
      <c r="M225" s="174"/>
      <c r="N225" s="174">
        <f t="shared" si="35"/>
        <v>1</v>
      </c>
      <c r="O225" s="174">
        <f t="shared" si="30"/>
        <v>1</v>
      </c>
      <c r="P225" s="87" t="s">
        <v>124</v>
      </c>
      <c r="Q225" s="90">
        <f t="shared" si="31"/>
        <v>0.51249999999999996</v>
      </c>
      <c r="R225" s="78"/>
      <c r="S225" s="78"/>
      <c r="T225" s="78"/>
      <c r="U225" s="78"/>
      <c r="V225" s="78"/>
      <c r="W225" s="78"/>
      <c r="X225" s="78"/>
      <c r="Y225" s="78"/>
      <c r="Z225" s="78"/>
      <c r="AA225" s="78"/>
      <c r="AB225" s="78"/>
      <c r="AC225" s="78"/>
      <c r="AD225" s="78"/>
      <c r="AE225" s="78"/>
      <c r="AF225" s="78"/>
      <c r="AG225" s="78"/>
      <c r="AH225" s="78"/>
      <c r="AI225" s="78"/>
      <c r="AJ225" s="78"/>
      <c r="AK225" s="78"/>
      <c r="AL225" s="78"/>
      <c r="AM225" s="78"/>
      <c r="AN225" s="78"/>
      <c r="AO225" s="78"/>
      <c r="AP225" s="78"/>
      <c r="AQ225" s="78"/>
      <c r="AR225" s="78"/>
      <c r="AS225" s="78"/>
      <c r="AT225" s="78"/>
      <c r="AU225" s="78"/>
      <c r="AV225" s="78"/>
      <c r="AW225" s="78"/>
      <c r="AX225" s="78"/>
      <c r="AY225" s="91"/>
      <c r="AZ225" s="78"/>
      <c r="BA225" s="78"/>
      <c r="BB225" s="78"/>
      <c r="BC225" s="78"/>
      <c r="BD225" s="78"/>
      <c r="BE225" s="78"/>
      <c r="BF225" s="78"/>
      <c r="BG225" s="78"/>
      <c r="BH225" s="78"/>
      <c r="BI225" s="78"/>
      <c r="BJ225" s="78"/>
      <c r="BK225" s="78"/>
      <c r="BL225" s="78"/>
      <c r="BM225" s="78"/>
      <c r="BN225" s="78"/>
      <c r="BO225" s="78"/>
      <c r="BP225" s="78"/>
      <c r="BQ225" s="78"/>
      <c r="BR225" s="78"/>
      <c r="BS225" s="78"/>
      <c r="BT225" s="78"/>
      <c r="BU225" s="78"/>
      <c r="BV225" s="78"/>
      <c r="BW225" s="78"/>
      <c r="BX225" s="78"/>
      <c r="BY225" s="78"/>
      <c r="BZ225" s="78"/>
      <c r="CA225" s="78"/>
      <c r="CB225" s="78"/>
      <c r="CC225" s="78"/>
      <c r="CD225" s="78"/>
      <c r="CE225" s="78"/>
      <c r="CF225" s="78"/>
      <c r="CG225" s="78"/>
      <c r="CH225" s="78"/>
      <c r="CI225" s="78"/>
      <c r="CJ225" s="78"/>
      <c r="CK225" s="78"/>
      <c r="CL225" s="78"/>
      <c r="CM225" s="78"/>
      <c r="CN225" s="78"/>
      <c r="CO225" s="78"/>
      <c r="CP225" s="78"/>
      <c r="CQ225" s="78"/>
      <c r="CR225" s="78"/>
      <c r="CS225" s="78"/>
      <c r="CT225" s="78"/>
      <c r="CU225" s="78"/>
      <c r="CV225" s="78"/>
      <c r="CW225" s="78"/>
      <c r="CX225" s="78"/>
      <c r="CY225" s="78"/>
      <c r="CZ225" s="78"/>
      <c r="DA225" s="78"/>
      <c r="DB225" s="78"/>
      <c r="DC225" s="78"/>
      <c r="DD225" s="78"/>
      <c r="DE225" s="78"/>
      <c r="DF225" s="78"/>
      <c r="DG225" s="78"/>
      <c r="DH225" s="78"/>
      <c r="DI225" s="78"/>
      <c r="DJ225" s="78"/>
      <c r="DK225" s="78"/>
      <c r="DL225" s="78"/>
      <c r="DM225" s="78"/>
      <c r="DN225" s="78"/>
      <c r="DO225" s="78"/>
      <c r="DP225" s="78"/>
      <c r="DQ225" s="78"/>
      <c r="DR225" s="78"/>
      <c r="DS225" s="78"/>
      <c r="DT225" s="78"/>
      <c r="DU225" s="78"/>
      <c r="DV225" s="78"/>
      <c r="DW225" s="78"/>
      <c r="DX225" s="78"/>
      <c r="DY225" s="78"/>
      <c r="DZ225" s="78"/>
      <c r="EA225" s="78"/>
      <c r="EB225" s="78"/>
      <c r="EC225" s="78"/>
      <c r="ED225" s="78"/>
      <c r="EE225" s="78"/>
      <c r="EF225" s="78"/>
      <c r="EG225" s="78"/>
      <c r="EH225" s="78"/>
      <c r="EI225" s="78"/>
      <c r="EJ225" s="78"/>
      <c r="EK225" s="78"/>
      <c r="EL225" s="78"/>
      <c r="EM225" s="78"/>
      <c r="EN225" s="91"/>
      <c r="EO225" s="91"/>
      <c r="EP225" s="91"/>
      <c r="EQ225" s="91"/>
      <c r="ER225" s="91"/>
      <c r="ES225" s="91"/>
    </row>
    <row r="226" spans="1:149" outlineLevel="1">
      <c r="A226" s="29" t="str">
        <f t="shared" si="32"/>
        <v>PROPERTY_ENERGY_CERTIFICATEPNL_SUMMER_REF_VALUE</v>
      </c>
      <c r="B226" s="67" t="s">
        <v>26</v>
      </c>
      <c r="C226" s="68" t="s">
        <v>54</v>
      </c>
      <c r="D226" s="64" t="s">
        <v>40</v>
      </c>
      <c r="E226" s="66" t="s">
        <v>123</v>
      </c>
      <c r="F226" s="66" t="s">
        <v>175</v>
      </c>
      <c r="G226" s="64" t="str">
        <f>INDEX(Auxiliar!$B$16:$B$24,MATCH(Plano_V3!H226,Auxiliar!$C$16:$C$24,0),1)</f>
        <v>1. Concluído</v>
      </c>
      <c r="H226" s="64">
        <f>VLOOKUP(A226,'Aux - pivots1'!$A:$B,2,0)</f>
        <v>1</v>
      </c>
      <c r="I226" s="180">
        <f>SUMIFS(Table1[Estimação (horas)],Table1[Tabela],Plano_V3!E226,Table1[Campo],Plano_V3!F226)</f>
        <v>4.0999999999999996</v>
      </c>
      <c r="J226" s="180">
        <f t="shared" si="33"/>
        <v>0.51249999999999996</v>
      </c>
      <c r="K226" s="180">
        <f>SUMIFS(Table1[Horas efetivas],Table1[Tabela],Plano_V3!E226,Table1[Campo],Plano_V3!F226)</f>
        <v>4.0999999999999996</v>
      </c>
      <c r="L226" s="180">
        <f t="shared" si="34"/>
        <v>0.51249999999999996</v>
      </c>
      <c r="M226" s="174"/>
      <c r="N226" s="174">
        <f t="shared" si="35"/>
        <v>1</v>
      </c>
      <c r="O226" s="174">
        <f t="shared" si="30"/>
        <v>1</v>
      </c>
      <c r="P226" s="87" t="s">
        <v>124</v>
      </c>
      <c r="Q226" s="90">
        <f t="shared" si="31"/>
        <v>0.51249999999999996</v>
      </c>
      <c r="R226" s="78"/>
      <c r="S226" s="78"/>
      <c r="T226" s="78"/>
      <c r="U226" s="78"/>
      <c r="V226" s="78"/>
      <c r="W226" s="78"/>
      <c r="X226" s="78"/>
      <c r="Y226" s="78"/>
      <c r="Z226" s="78"/>
      <c r="AA226" s="78"/>
      <c r="AB226" s="78"/>
      <c r="AC226" s="78"/>
      <c r="AD226" s="78"/>
      <c r="AE226" s="78"/>
      <c r="AF226" s="78"/>
      <c r="AG226" s="78"/>
      <c r="AH226" s="78"/>
      <c r="AI226" s="78"/>
      <c r="AJ226" s="78"/>
      <c r="AK226" s="78"/>
      <c r="AL226" s="78"/>
      <c r="AM226" s="78"/>
      <c r="AN226" s="78"/>
      <c r="AO226" s="78"/>
      <c r="AP226" s="78"/>
      <c r="AQ226" s="78"/>
      <c r="AR226" s="78"/>
      <c r="AS226" s="78"/>
      <c r="AT226" s="78"/>
      <c r="AU226" s="78"/>
      <c r="AV226" s="78"/>
      <c r="AW226" s="78"/>
      <c r="AX226" s="78"/>
      <c r="AY226" s="91"/>
      <c r="AZ226" s="78"/>
      <c r="BA226" s="78"/>
      <c r="BB226" s="78"/>
      <c r="BC226" s="78"/>
      <c r="BD226" s="78"/>
      <c r="BE226" s="78"/>
      <c r="BF226" s="78"/>
      <c r="BG226" s="78"/>
      <c r="BH226" s="78"/>
      <c r="BI226" s="78"/>
      <c r="BJ226" s="78"/>
      <c r="BK226" s="78"/>
      <c r="BL226" s="78"/>
      <c r="BM226" s="78"/>
      <c r="BN226" s="78"/>
      <c r="BO226" s="78"/>
      <c r="BP226" s="78"/>
      <c r="BQ226" s="78"/>
      <c r="BR226" s="78"/>
      <c r="BS226" s="78"/>
      <c r="BT226" s="78"/>
      <c r="BU226" s="78"/>
      <c r="BV226" s="78"/>
      <c r="BW226" s="78"/>
      <c r="BX226" s="78"/>
      <c r="BY226" s="78"/>
      <c r="BZ226" s="78"/>
      <c r="CA226" s="78"/>
      <c r="CB226" s="78"/>
      <c r="CC226" s="78"/>
      <c r="CD226" s="78"/>
      <c r="CE226" s="78"/>
      <c r="CF226" s="78"/>
      <c r="CG226" s="78"/>
      <c r="CH226" s="78"/>
      <c r="CI226" s="78"/>
      <c r="CJ226" s="78"/>
      <c r="CK226" s="78"/>
      <c r="CL226" s="78"/>
      <c r="CM226" s="78"/>
      <c r="CN226" s="78"/>
      <c r="CO226" s="78"/>
      <c r="CP226" s="78"/>
      <c r="CQ226" s="78"/>
      <c r="CR226" s="78"/>
      <c r="CS226" s="78"/>
      <c r="CT226" s="78"/>
      <c r="CU226" s="78"/>
      <c r="CV226" s="78"/>
      <c r="CW226" s="78"/>
      <c r="CX226" s="78"/>
      <c r="CY226" s="78"/>
      <c r="CZ226" s="78"/>
      <c r="DA226" s="78"/>
      <c r="DB226" s="78"/>
      <c r="DC226" s="78"/>
      <c r="DD226" s="78"/>
      <c r="DE226" s="78"/>
      <c r="DF226" s="78"/>
      <c r="DG226" s="78"/>
      <c r="DH226" s="78"/>
      <c r="DI226" s="78"/>
      <c r="DJ226" s="78"/>
      <c r="DK226" s="78"/>
      <c r="DL226" s="78"/>
      <c r="DM226" s="78"/>
      <c r="DN226" s="78"/>
      <c r="DO226" s="78"/>
      <c r="DP226" s="78"/>
      <c r="DQ226" s="78"/>
      <c r="DR226" s="78"/>
      <c r="DS226" s="78"/>
      <c r="DT226" s="78"/>
      <c r="DU226" s="78"/>
      <c r="DV226" s="78"/>
      <c r="DW226" s="78"/>
      <c r="DX226" s="78"/>
      <c r="DY226" s="78"/>
      <c r="DZ226" s="78"/>
      <c r="EA226" s="78"/>
      <c r="EB226" s="78"/>
      <c r="EC226" s="78"/>
      <c r="ED226" s="78"/>
      <c r="EE226" s="78"/>
      <c r="EF226" s="78"/>
      <c r="EG226" s="78"/>
      <c r="EH226" s="78"/>
      <c r="EI226" s="78"/>
      <c r="EJ226" s="78"/>
      <c r="EK226" s="78"/>
      <c r="EL226" s="78"/>
      <c r="EM226" s="78"/>
      <c r="EN226" s="91"/>
      <c r="EO226" s="91"/>
      <c r="EP226" s="91"/>
      <c r="EQ226" s="91"/>
      <c r="ER226" s="91"/>
      <c r="ES226" s="91"/>
    </row>
    <row r="227" spans="1:149" outlineLevel="1">
      <c r="A227" s="29" t="str">
        <f t="shared" si="32"/>
        <v>PROPERTY_ENERGY_CERTIFICATEINVOICE_RED_ANNUAL_ESTMTD_VALUE</v>
      </c>
      <c r="B227" s="67" t="s">
        <v>26</v>
      </c>
      <c r="C227" s="68" t="s">
        <v>54</v>
      </c>
      <c r="D227" s="64" t="s">
        <v>40</v>
      </c>
      <c r="E227" s="66" t="s">
        <v>123</v>
      </c>
      <c r="F227" s="66" t="s">
        <v>176</v>
      </c>
      <c r="G227" s="64" t="str">
        <f>INDEX(Auxiliar!$B$16:$B$24,MATCH(Plano_V3!H227,Auxiliar!$C$16:$C$24,0),1)</f>
        <v>1. Concluído</v>
      </c>
      <c r="H227" s="64">
        <f>VLOOKUP(A227,'Aux - pivots1'!$A:$B,2,0)</f>
        <v>1</v>
      </c>
      <c r="I227" s="180">
        <f>SUMIFS(Table1[Estimação (horas)],Table1[Tabela],Plano_V3!E227,Table1[Campo],Plano_V3!F227)</f>
        <v>4.0999999999999996</v>
      </c>
      <c r="J227" s="180">
        <f t="shared" si="33"/>
        <v>0.51249999999999996</v>
      </c>
      <c r="K227" s="180">
        <f>SUMIFS(Table1[Horas efetivas],Table1[Tabela],Plano_V3!E227,Table1[Campo],Plano_V3!F227)</f>
        <v>4.0999999999999996</v>
      </c>
      <c r="L227" s="180">
        <f t="shared" si="34"/>
        <v>0.51249999999999996</v>
      </c>
      <c r="M227" s="174"/>
      <c r="N227" s="174">
        <f t="shared" si="35"/>
        <v>1</v>
      </c>
      <c r="O227" s="174">
        <f t="shared" si="30"/>
        <v>1</v>
      </c>
      <c r="P227" s="87" t="s">
        <v>124</v>
      </c>
      <c r="Q227" s="90">
        <f t="shared" si="31"/>
        <v>0.51249999999999996</v>
      </c>
      <c r="R227" s="78"/>
      <c r="S227" s="78"/>
      <c r="T227" s="78"/>
      <c r="U227" s="78"/>
      <c r="V227" s="78"/>
      <c r="W227" s="78"/>
      <c r="X227" s="78"/>
      <c r="Y227" s="78"/>
      <c r="Z227" s="78"/>
      <c r="AA227" s="78"/>
      <c r="AB227" s="78"/>
      <c r="AC227" s="78"/>
      <c r="AD227" s="78"/>
      <c r="AE227" s="78"/>
      <c r="AF227" s="78"/>
      <c r="AG227" s="78"/>
      <c r="AH227" s="78"/>
      <c r="AI227" s="78"/>
      <c r="AJ227" s="78"/>
      <c r="AK227" s="78"/>
      <c r="AL227" s="78"/>
      <c r="AM227" s="78"/>
      <c r="AN227" s="78"/>
      <c r="AO227" s="78"/>
      <c r="AP227" s="78"/>
      <c r="AQ227" s="78"/>
      <c r="AR227" s="78"/>
      <c r="AS227" s="78"/>
      <c r="AT227" s="78"/>
      <c r="AU227" s="78"/>
      <c r="AV227" s="78"/>
      <c r="AW227" s="78"/>
      <c r="AX227" s="78"/>
      <c r="AY227" s="91"/>
      <c r="AZ227" s="78"/>
      <c r="BA227" s="78"/>
      <c r="BB227" s="78"/>
      <c r="BC227" s="78"/>
      <c r="BD227" s="78"/>
      <c r="BE227" s="78"/>
      <c r="BF227" s="78"/>
      <c r="BG227" s="78"/>
      <c r="BH227" s="78"/>
      <c r="BI227" s="78"/>
      <c r="BJ227" s="78"/>
      <c r="BK227" s="78"/>
      <c r="BL227" s="78"/>
      <c r="BM227" s="78"/>
      <c r="BN227" s="78"/>
      <c r="BO227" s="78"/>
      <c r="BP227" s="78"/>
      <c r="BQ227" s="78"/>
      <c r="BR227" s="78"/>
      <c r="BS227" s="78"/>
      <c r="BT227" s="78"/>
      <c r="BU227" s="78"/>
      <c r="BV227" s="78"/>
      <c r="BW227" s="78"/>
      <c r="BX227" s="78"/>
      <c r="BY227" s="78"/>
      <c r="BZ227" s="78"/>
      <c r="CA227" s="78"/>
      <c r="CB227" s="78"/>
      <c r="CC227" s="78"/>
      <c r="CD227" s="78"/>
      <c r="CE227" s="78"/>
      <c r="CF227" s="78"/>
      <c r="CG227" s="78"/>
      <c r="CH227" s="78"/>
      <c r="CI227" s="78"/>
      <c r="CJ227" s="78"/>
      <c r="CK227" s="78"/>
      <c r="CL227" s="78"/>
      <c r="CM227" s="78"/>
      <c r="CN227" s="78"/>
      <c r="CO227" s="78"/>
      <c r="CP227" s="78"/>
      <c r="CQ227" s="78"/>
      <c r="CR227" s="78"/>
      <c r="CS227" s="78"/>
      <c r="CT227" s="78"/>
      <c r="CU227" s="78"/>
      <c r="CV227" s="78"/>
      <c r="CW227" s="78"/>
      <c r="CX227" s="78"/>
      <c r="CY227" s="78"/>
      <c r="CZ227" s="78"/>
      <c r="DA227" s="78"/>
      <c r="DB227" s="78"/>
      <c r="DC227" s="78"/>
      <c r="DD227" s="78"/>
      <c r="DE227" s="78"/>
      <c r="DF227" s="78"/>
      <c r="DG227" s="78"/>
      <c r="DH227" s="78"/>
      <c r="DI227" s="78"/>
      <c r="DJ227" s="78"/>
      <c r="DK227" s="78"/>
      <c r="DL227" s="78"/>
      <c r="DM227" s="78"/>
      <c r="DN227" s="78"/>
      <c r="DO227" s="78"/>
      <c r="DP227" s="78"/>
      <c r="DQ227" s="78"/>
      <c r="DR227" s="78"/>
      <c r="DS227" s="78"/>
      <c r="DT227" s="78"/>
      <c r="DU227" s="78"/>
      <c r="DV227" s="78"/>
      <c r="DW227" s="78"/>
      <c r="DX227" s="78"/>
      <c r="DY227" s="78"/>
      <c r="DZ227" s="78"/>
      <c r="EA227" s="78"/>
      <c r="EB227" s="78"/>
      <c r="EC227" s="78"/>
      <c r="ED227" s="78"/>
      <c r="EE227" s="78"/>
      <c r="EF227" s="78"/>
      <c r="EG227" s="78"/>
      <c r="EH227" s="78"/>
      <c r="EI227" s="78"/>
      <c r="EJ227" s="78"/>
      <c r="EK227" s="78"/>
      <c r="EL227" s="78"/>
      <c r="EM227" s="78"/>
      <c r="EN227" s="91"/>
      <c r="EO227" s="91"/>
      <c r="EP227" s="91"/>
      <c r="EQ227" s="91"/>
      <c r="ER227" s="91"/>
      <c r="ES227" s="91"/>
    </row>
    <row r="228" spans="1:149" outlineLevel="1">
      <c r="A228" s="29" t="str">
        <f t="shared" si="32"/>
        <v>PROPERTY_ENERGY_CERTIFICATETEMPERATURE_OUTDOOR_AVG_VALUE</v>
      </c>
      <c r="B228" s="67" t="s">
        <v>26</v>
      </c>
      <c r="C228" s="68" t="s">
        <v>54</v>
      </c>
      <c r="D228" s="64" t="s">
        <v>40</v>
      </c>
      <c r="E228" s="66" t="s">
        <v>123</v>
      </c>
      <c r="F228" s="66" t="s">
        <v>177</v>
      </c>
      <c r="G228" s="64" t="str">
        <f>INDEX(Auxiliar!$B$16:$B$24,MATCH(Plano_V3!H228,Auxiliar!$C$16:$C$24,0),1)</f>
        <v>1. Concluído</v>
      </c>
      <c r="H228" s="64">
        <f>VLOOKUP(A228,'Aux - pivots1'!$A:$B,2,0)</f>
        <v>1</v>
      </c>
      <c r="I228" s="180">
        <f>SUMIFS(Table1[Estimação (horas)],Table1[Tabela],Plano_V3!E228,Table1[Campo],Plano_V3!F228)</f>
        <v>4.0999999999999996</v>
      </c>
      <c r="J228" s="180">
        <f t="shared" si="33"/>
        <v>0.51249999999999996</v>
      </c>
      <c r="K228" s="180">
        <f>SUMIFS(Table1[Horas efetivas],Table1[Tabela],Plano_V3!E228,Table1[Campo],Plano_V3!F228)</f>
        <v>4.0999999999999996</v>
      </c>
      <c r="L228" s="180">
        <f t="shared" si="34"/>
        <v>0.51249999999999996</v>
      </c>
      <c r="M228" s="174"/>
      <c r="N228" s="174">
        <f t="shared" si="35"/>
        <v>1</v>
      </c>
      <c r="O228" s="174">
        <f t="shared" si="30"/>
        <v>1</v>
      </c>
      <c r="P228" s="87" t="s">
        <v>124</v>
      </c>
      <c r="Q228" s="90">
        <f t="shared" si="31"/>
        <v>0.51249999999999996</v>
      </c>
      <c r="R228" s="78"/>
      <c r="S228" s="78"/>
      <c r="T228" s="78"/>
      <c r="U228" s="78"/>
      <c r="V228" s="78"/>
      <c r="W228" s="78"/>
      <c r="X228" s="78"/>
      <c r="Y228" s="78"/>
      <c r="Z228" s="78"/>
      <c r="AA228" s="78"/>
      <c r="AB228" s="78"/>
      <c r="AC228" s="78"/>
      <c r="AD228" s="78"/>
      <c r="AE228" s="78"/>
      <c r="AF228" s="78"/>
      <c r="AG228" s="78"/>
      <c r="AH228" s="78"/>
      <c r="AI228" s="78"/>
      <c r="AJ228" s="78"/>
      <c r="AK228" s="78"/>
      <c r="AL228" s="78"/>
      <c r="AM228" s="78"/>
      <c r="AN228" s="78"/>
      <c r="AO228" s="78"/>
      <c r="AP228" s="78"/>
      <c r="AQ228" s="78"/>
      <c r="AR228" s="78"/>
      <c r="AS228" s="78"/>
      <c r="AT228" s="78"/>
      <c r="AU228" s="78"/>
      <c r="AV228" s="78"/>
      <c r="AW228" s="78"/>
      <c r="AX228" s="78"/>
      <c r="AY228" s="91"/>
      <c r="AZ228" s="78"/>
      <c r="BA228" s="78"/>
      <c r="BB228" s="78"/>
      <c r="BC228" s="78"/>
      <c r="BD228" s="78"/>
      <c r="BE228" s="78"/>
      <c r="BF228" s="78"/>
      <c r="BG228" s="78"/>
      <c r="BH228" s="78"/>
      <c r="BI228" s="78"/>
      <c r="BJ228" s="78"/>
      <c r="BK228" s="78"/>
      <c r="BL228" s="78"/>
      <c r="BM228" s="78"/>
      <c r="BN228" s="78"/>
      <c r="BO228" s="78"/>
      <c r="BP228" s="78"/>
      <c r="BQ228" s="78"/>
      <c r="BR228" s="78"/>
      <c r="BS228" s="78"/>
      <c r="BT228" s="78"/>
      <c r="BU228" s="78"/>
      <c r="BV228" s="78"/>
      <c r="BW228" s="78"/>
      <c r="BX228" s="78"/>
      <c r="BY228" s="78"/>
      <c r="BZ228" s="78"/>
      <c r="CA228" s="78"/>
      <c r="CB228" s="78"/>
      <c r="CC228" s="78"/>
      <c r="CD228" s="78"/>
      <c r="CE228" s="78"/>
      <c r="CF228" s="78"/>
      <c r="CG228" s="78"/>
      <c r="CH228" s="78"/>
      <c r="CI228" s="78"/>
      <c r="CJ228" s="78"/>
      <c r="CK228" s="78"/>
      <c r="CL228" s="78"/>
      <c r="CM228" s="78"/>
      <c r="CN228" s="78"/>
      <c r="CO228" s="78"/>
      <c r="CP228" s="78"/>
      <c r="CQ228" s="78"/>
      <c r="CR228" s="78"/>
      <c r="CS228" s="78"/>
      <c r="CT228" s="78"/>
      <c r="CU228" s="78"/>
      <c r="CV228" s="78"/>
      <c r="CW228" s="78"/>
      <c r="CX228" s="78"/>
      <c r="CY228" s="78"/>
      <c r="CZ228" s="78"/>
      <c r="DA228" s="78"/>
      <c r="DB228" s="78"/>
      <c r="DC228" s="78"/>
      <c r="DD228" s="78"/>
      <c r="DE228" s="78"/>
      <c r="DF228" s="78"/>
      <c r="DG228" s="78"/>
      <c r="DH228" s="78"/>
      <c r="DI228" s="78"/>
      <c r="DJ228" s="78"/>
      <c r="DK228" s="78"/>
      <c r="DL228" s="78"/>
      <c r="DM228" s="78"/>
      <c r="DN228" s="78"/>
      <c r="DO228" s="78"/>
      <c r="DP228" s="78"/>
      <c r="DQ228" s="78"/>
      <c r="DR228" s="78"/>
      <c r="DS228" s="78"/>
      <c r="DT228" s="78"/>
      <c r="DU228" s="78"/>
      <c r="DV228" s="78"/>
      <c r="DW228" s="78"/>
      <c r="DX228" s="78"/>
      <c r="DY228" s="78"/>
      <c r="DZ228" s="78"/>
      <c r="EA228" s="78"/>
      <c r="EB228" s="78"/>
      <c r="EC228" s="78"/>
      <c r="ED228" s="78"/>
      <c r="EE228" s="78"/>
      <c r="EF228" s="78"/>
      <c r="EG228" s="78"/>
      <c r="EH228" s="78"/>
      <c r="EI228" s="78"/>
      <c r="EJ228" s="78"/>
      <c r="EK228" s="78"/>
      <c r="EL228" s="78"/>
      <c r="EM228" s="78"/>
      <c r="EN228" s="91"/>
      <c r="EO228" s="91"/>
      <c r="EP228" s="91"/>
      <c r="EQ228" s="91"/>
      <c r="ER228" s="91"/>
      <c r="ES228" s="91"/>
    </row>
    <row r="229" spans="1:149" outlineLevel="1">
      <c r="A229" s="29" t="str">
        <f t="shared" si="32"/>
        <v>PROPERTY_ENERGY_CERTIFICATECLIMATE_ZONE_WINTER</v>
      </c>
      <c r="B229" s="67" t="s">
        <v>26</v>
      </c>
      <c r="C229" s="68" t="s">
        <v>54</v>
      </c>
      <c r="D229" s="64" t="s">
        <v>40</v>
      </c>
      <c r="E229" s="66" t="s">
        <v>123</v>
      </c>
      <c r="F229" s="66" t="s">
        <v>178</v>
      </c>
      <c r="G229" s="64" t="str">
        <f>INDEX(Auxiliar!$B$16:$B$24,MATCH(Plano_V3!H229,Auxiliar!$C$16:$C$24,0),1)</f>
        <v>1. Concluído</v>
      </c>
      <c r="H229" s="64">
        <f>VLOOKUP(A229,'Aux - pivots1'!$A:$B,2,0)</f>
        <v>1</v>
      </c>
      <c r="I229" s="180">
        <f>SUMIFS(Table1[Estimação (horas)],Table1[Tabela],Plano_V3!E229,Table1[Campo],Plano_V3!F229)</f>
        <v>4.0999999999999996</v>
      </c>
      <c r="J229" s="180">
        <f t="shared" si="33"/>
        <v>0.51249999999999996</v>
      </c>
      <c r="K229" s="180">
        <f>SUMIFS(Table1[Horas efetivas],Table1[Tabela],Plano_V3!E229,Table1[Campo],Plano_V3!F229)</f>
        <v>4.0999999999999996</v>
      </c>
      <c r="L229" s="180">
        <f t="shared" si="34"/>
        <v>0.51249999999999996</v>
      </c>
      <c r="M229" s="174"/>
      <c r="N229" s="174">
        <f t="shared" si="35"/>
        <v>1</v>
      </c>
      <c r="O229" s="174">
        <f t="shared" si="30"/>
        <v>1</v>
      </c>
      <c r="P229" s="87" t="s">
        <v>124</v>
      </c>
      <c r="Q229" s="90">
        <f t="shared" si="31"/>
        <v>0.51249999999999996</v>
      </c>
      <c r="R229" s="78"/>
      <c r="S229" s="78"/>
      <c r="T229" s="78"/>
      <c r="U229" s="78"/>
      <c r="V229" s="78"/>
      <c r="W229" s="78"/>
      <c r="X229" s="78"/>
      <c r="Y229" s="78"/>
      <c r="Z229" s="78"/>
      <c r="AA229" s="78"/>
      <c r="AB229" s="78"/>
      <c r="AC229" s="78"/>
      <c r="AD229" s="78"/>
      <c r="AE229" s="78"/>
      <c r="AF229" s="78"/>
      <c r="AG229" s="78"/>
      <c r="AH229" s="78"/>
      <c r="AI229" s="78"/>
      <c r="AJ229" s="78"/>
      <c r="AK229" s="78"/>
      <c r="AL229" s="78"/>
      <c r="AM229" s="78"/>
      <c r="AN229" s="78"/>
      <c r="AO229" s="78"/>
      <c r="AP229" s="78"/>
      <c r="AQ229" s="78"/>
      <c r="AR229" s="78"/>
      <c r="AS229" s="78"/>
      <c r="AT229" s="78"/>
      <c r="AU229" s="78"/>
      <c r="AV229" s="78"/>
      <c r="AW229" s="78"/>
      <c r="AX229" s="78"/>
      <c r="AY229" s="91"/>
      <c r="AZ229" s="78"/>
      <c r="BA229" s="78"/>
      <c r="BB229" s="78"/>
      <c r="BC229" s="78"/>
      <c r="BD229" s="78"/>
      <c r="BE229" s="78"/>
      <c r="BF229" s="78"/>
      <c r="BG229" s="78"/>
      <c r="BH229" s="78"/>
      <c r="BI229" s="78"/>
      <c r="BJ229" s="78"/>
      <c r="BK229" s="78"/>
      <c r="BL229" s="78"/>
      <c r="BM229" s="78"/>
      <c r="BN229" s="78"/>
      <c r="BO229" s="78"/>
      <c r="BP229" s="78"/>
      <c r="BQ229" s="78"/>
      <c r="BR229" s="78"/>
      <c r="BS229" s="78"/>
      <c r="BT229" s="78"/>
      <c r="BU229" s="78"/>
      <c r="BV229" s="78"/>
      <c r="BW229" s="78"/>
      <c r="BX229" s="78"/>
      <c r="BY229" s="78"/>
      <c r="BZ229" s="78"/>
      <c r="CA229" s="78"/>
      <c r="CB229" s="78"/>
      <c r="CC229" s="78"/>
      <c r="CD229" s="78"/>
      <c r="CE229" s="78"/>
      <c r="CF229" s="78"/>
      <c r="CG229" s="78"/>
      <c r="CH229" s="78"/>
      <c r="CI229" s="78"/>
      <c r="CJ229" s="78"/>
      <c r="CK229" s="78"/>
      <c r="CL229" s="78"/>
      <c r="CM229" s="78"/>
      <c r="CN229" s="78"/>
      <c r="CO229" s="78"/>
      <c r="CP229" s="78"/>
      <c r="CQ229" s="78"/>
      <c r="CR229" s="78"/>
      <c r="CS229" s="78"/>
      <c r="CT229" s="78"/>
      <c r="CU229" s="78"/>
      <c r="CV229" s="78"/>
      <c r="CW229" s="78"/>
      <c r="CX229" s="78"/>
      <c r="CY229" s="78"/>
      <c r="CZ229" s="78"/>
      <c r="DA229" s="78"/>
      <c r="DB229" s="78"/>
      <c r="DC229" s="78"/>
      <c r="DD229" s="78"/>
      <c r="DE229" s="78"/>
      <c r="DF229" s="78"/>
      <c r="DG229" s="78"/>
      <c r="DH229" s="78"/>
      <c r="DI229" s="78"/>
      <c r="DJ229" s="78"/>
      <c r="DK229" s="78"/>
      <c r="DL229" s="78"/>
      <c r="DM229" s="78"/>
      <c r="DN229" s="78"/>
      <c r="DO229" s="78"/>
      <c r="DP229" s="78"/>
      <c r="DQ229" s="78"/>
      <c r="DR229" s="78"/>
      <c r="DS229" s="78"/>
      <c r="DT229" s="78"/>
      <c r="DU229" s="78"/>
      <c r="DV229" s="78"/>
      <c r="DW229" s="78"/>
      <c r="DX229" s="78"/>
      <c r="DY229" s="78"/>
      <c r="DZ229" s="78"/>
      <c r="EA229" s="78"/>
      <c r="EB229" s="78"/>
      <c r="EC229" s="78"/>
      <c r="ED229" s="78"/>
      <c r="EE229" s="78"/>
      <c r="EF229" s="78"/>
      <c r="EG229" s="78"/>
      <c r="EH229" s="78"/>
      <c r="EI229" s="78"/>
      <c r="EJ229" s="78"/>
      <c r="EK229" s="78"/>
      <c r="EL229" s="78"/>
      <c r="EM229" s="78"/>
      <c r="EN229" s="91"/>
      <c r="EO229" s="91"/>
      <c r="EP229" s="91"/>
      <c r="EQ229" s="91"/>
      <c r="ER229" s="91"/>
      <c r="ES229" s="91"/>
    </row>
    <row r="230" spans="1:149" outlineLevel="1">
      <c r="A230" s="29" t="str">
        <f t="shared" si="32"/>
        <v>PROPERTY_ENERGY_CERTIFICATENET_FLOOR_AREA</v>
      </c>
      <c r="B230" s="67" t="s">
        <v>26</v>
      </c>
      <c r="C230" s="68" t="s">
        <v>54</v>
      </c>
      <c r="D230" s="64" t="s">
        <v>40</v>
      </c>
      <c r="E230" s="66" t="s">
        <v>123</v>
      </c>
      <c r="F230" s="66" t="s">
        <v>97</v>
      </c>
      <c r="G230" s="64" t="str">
        <f>INDEX(Auxiliar!$B$16:$B$24,MATCH(Plano_V3!H230,Auxiliar!$C$16:$C$24,0),1)</f>
        <v>1. Concluído</v>
      </c>
      <c r="H230" s="64">
        <f>VLOOKUP(A230,'Aux - pivots1'!$A:$B,2,0)</f>
        <v>1</v>
      </c>
      <c r="I230" s="180">
        <f>SUMIFS(Table1[Estimação (horas)],Table1[Tabela],Plano_V3!E230,Table1[Campo],Plano_V3!F230)</f>
        <v>4.0999999999999996</v>
      </c>
      <c r="J230" s="180">
        <f t="shared" ref="J230:J236" si="36">I230/8</f>
        <v>0.51249999999999996</v>
      </c>
      <c r="K230" s="180">
        <f>SUMIFS(Table1[Horas efetivas],Table1[Tabela],Plano_V3!E230,Table1[Campo],Plano_V3!F230)</f>
        <v>4.0999999999999996</v>
      </c>
      <c r="L230" s="180">
        <f t="shared" ref="L230:L236" si="37">K230/8</f>
        <v>0.51249999999999996</v>
      </c>
      <c r="M230" s="174"/>
      <c r="N230" s="174">
        <f t="shared" ref="N230:N236" si="38">L230/J230</f>
        <v>1</v>
      </c>
      <c r="O230" s="174">
        <f t="shared" si="30"/>
        <v>1</v>
      </c>
      <c r="P230" s="87" t="s">
        <v>124</v>
      </c>
      <c r="Q230" s="90">
        <f t="shared" ref="Q230:Q236" si="39">J230-SUM(R230:ES230)</f>
        <v>0.51249999999999996</v>
      </c>
      <c r="R230" s="78"/>
      <c r="S230" s="78"/>
      <c r="T230" s="78"/>
      <c r="U230" s="78"/>
      <c r="V230" s="78"/>
      <c r="W230" s="78"/>
      <c r="X230" s="78"/>
      <c r="Y230" s="78"/>
      <c r="Z230" s="78"/>
      <c r="AA230" s="78"/>
      <c r="AB230" s="78"/>
      <c r="AC230" s="78"/>
      <c r="AD230" s="78"/>
      <c r="AE230" s="78"/>
      <c r="AF230" s="78"/>
      <c r="AG230" s="78"/>
      <c r="AH230" s="78"/>
      <c r="AI230" s="78"/>
      <c r="AJ230" s="78"/>
      <c r="AK230" s="78"/>
      <c r="AL230" s="78"/>
      <c r="AM230" s="78"/>
      <c r="AN230" s="78"/>
      <c r="AO230" s="78"/>
      <c r="AP230" s="78"/>
      <c r="AQ230" s="78"/>
      <c r="AR230" s="78"/>
      <c r="AS230" s="78"/>
      <c r="AT230" s="78"/>
      <c r="AU230" s="78"/>
      <c r="AV230" s="78"/>
      <c r="AW230" s="78"/>
      <c r="AX230" s="78"/>
      <c r="AY230" s="91"/>
      <c r="AZ230" s="78"/>
      <c r="BA230" s="78"/>
      <c r="BB230" s="78"/>
      <c r="BC230" s="78"/>
      <c r="BD230" s="78"/>
      <c r="BE230" s="78"/>
      <c r="BF230" s="78"/>
      <c r="BG230" s="78"/>
      <c r="BH230" s="78"/>
      <c r="BI230" s="78"/>
      <c r="BJ230" s="78"/>
      <c r="BK230" s="78"/>
      <c r="BL230" s="78"/>
      <c r="BM230" s="78"/>
      <c r="BN230" s="78"/>
      <c r="BO230" s="78"/>
      <c r="BP230" s="78"/>
      <c r="BQ230" s="78"/>
      <c r="BR230" s="78"/>
      <c r="BS230" s="78"/>
      <c r="BT230" s="78"/>
      <c r="BU230" s="78"/>
      <c r="BV230" s="78"/>
      <c r="BW230" s="78"/>
      <c r="BX230" s="78"/>
      <c r="BY230" s="78"/>
      <c r="BZ230" s="78"/>
      <c r="CA230" s="78"/>
      <c r="CB230" s="78"/>
      <c r="CC230" s="78"/>
      <c r="CD230" s="78"/>
      <c r="CE230" s="78"/>
      <c r="CF230" s="78"/>
      <c r="CG230" s="78"/>
      <c r="CH230" s="78"/>
      <c r="CI230" s="78"/>
      <c r="CJ230" s="78"/>
      <c r="CK230" s="78"/>
      <c r="CL230" s="78"/>
      <c r="CM230" s="78"/>
      <c r="CN230" s="78"/>
      <c r="CO230" s="78"/>
      <c r="CP230" s="78"/>
      <c r="CQ230" s="78"/>
      <c r="CR230" s="78"/>
      <c r="CS230" s="78"/>
      <c r="CT230" s="78"/>
      <c r="CU230" s="78"/>
      <c r="CV230" s="78"/>
      <c r="CW230" s="78"/>
      <c r="CX230" s="78"/>
      <c r="CY230" s="78"/>
      <c r="CZ230" s="78"/>
      <c r="DA230" s="78"/>
      <c r="DB230" s="78"/>
      <c r="DC230" s="78"/>
      <c r="DD230" s="78"/>
      <c r="DE230" s="78"/>
      <c r="DF230" s="78"/>
      <c r="DG230" s="78"/>
      <c r="DH230" s="78"/>
      <c r="DI230" s="78"/>
      <c r="DJ230" s="78"/>
      <c r="DK230" s="78"/>
      <c r="DL230" s="78"/>
      <c r="DM230" s="78"/>
      <c r="DN230" s="78"/>
      <c r="DO230" s="78"/>
      <c r="DP230" s="78"/>
      <c r="DQ230" s="78"/>
      <c r="DR230" s="78"/>
      <c r="DS230" s="78"/>
      <c r="DT230" s="78"/>
      <c r="DU230" s="78"/>
      <c r="DV230" s="78"/>
      <c r="DW230" s="78"/>
      <c r="DX230" s="78"/>
      <c r="DY230" s="78"/>
      <c r="DZ230" s="78"/>
      <c r="EA230" s="78"/>
      <c r="EB230" s="78"/>
      <c r="EC230" s="78"/>
      <c r="ED230" s="78"/>
      <c r="EE230" s="78"/>
      <c r="EF230" s="78"/>
      <c r="EG230" s="78"/>
      <c r="EH230" s="78"/>
      <c r="EI230" s="78"/>
      <c r="EJ230" s="78"/>
      <c r="EK230" s="78"/>
      <c r="EL230" s="78"/>
      <c r="EM230" s="78"/>
      <c r="EN230" s="91"/>
      <c r="EO230" s="91"/>
      <c r="EP230" s="91"/>
      <c r="EQ230" s="91"/>
      <c r="ER230" s="91"/>
      <c r="ES230" s="91"/>
    </row>
    <row r="231" spans="1:149" outlineLevel="1">
      <c r="A231" s="29" t="str">
        <f t="shared" si="32"/>
        <v>PROPERTY_ENERGY_CERTIFICATECADASTRAL_REGISTER_CODE</v>
      </c>
      <c r="B231" s="67" t="s">
        <v>26</v>
      </c>
      <c r="C231" s="68" t="s">
        <v>54</v>
      </c>
      <c r="D231" s="64" t="s">
        <v>40</v>
      </c>
      <c r="E231" s="66" t="s">
        <v>123</v>
      </c>
      <c r="F231" s="66" t="s">
        <v>98</v>
      </c>
      <c r="G231" s="64" t="str">
        <f>INDEX(Auxiliar!$B$16:$B$24,MATCH(Plano_V3!H231,Auxiliar!$C$16:$C$24,0),1)</f>
        <v>1. Concluído</v>
      </c>
      <c r="H231" s="64">
        <f>VLOOKUP(A231,'Aux - pivots1'!$A:$B,2,0)</f>
        <v>1</v>
      </c>
      <c r="I231" s="180">
        <f>SUMIFS(Table1[Estimação (horas)],Table1[Tabela],Plano_V3!E231,Table1[Campo],Plano_V3!F231)</f>
        <v>4.0999999999999996</v>
      </c>
      <c r="J231" s="180">
        <f t="shared" si="36"/>
        <v>0.51249999999999996</v>
      </c>
      <c r="K231" s="180">
        <f>SUMIFS(Table1[Horas efetivas],Table1[Tabela],Plano_V3!E231,Table1[Campo],Plano_V3!F231)</f>
        <v>4.0999999999999996</v>
      </c>
      <c r="L231" s="180">
        <f t="shared" si="37"/>
        <v>0.51249999999999996</v>
      </c>
      <c r="M231" s="174"/>
      <c r="N231" s="174">
        <f t="shared" si="38"/>
        <v>1</v>
      </c>
      <c r="O231" s="174">
        <f t="shared" si="30"/>
        <v>1</v>
      </c>
      <c r="P231" s="87" t="s">
        <v>124</v>
      </c>
      <c r="Q231" s="90">
        <f t="shared" si="39"/>
        <v>0.51249999999999996</v>
      </c>
      <c r="R231" s="78"/>
      <c r="S231" s="78"/>
      <c r="T231" s="78"/>
      <c r="U231" s="78"/>
      <c r="V231" s="78"/>
      <c r="W231" s="78"/>
      <c r="X231" s="78"/>
      <c r="Y231" s="78"/>
      <c r="Z231" s="78"/>
      <c r="AA231" s="78"/>
      <c r="AB231" s="78"/>
      <c r="AC231" s="78"/>
      <c r="AD231" s="78"/>
      <c r="AE231" s="78"/>
      <c r="AF231" s="78"/>
      <c r="AG231" s="78"/>
      <c r="AH231" s="78"/>
      <c r="AI231" s="78"/>
      <c r="AJ231" s="78"/>
      <c r="AK231" s="78"/>
      <c r="AL231" s="78"/>
      <c r="AM231" s="78"/>
      <c r="AN231" s="78"/>
      <c r="AO231" s="78"/>
      <c r="AP231" s="78"/>
      <c r="AQ231" s="78"/>
      <c r="AR231" s="78"/>
      <c r="AS231" s="78"/>
      <c r="AT231" s="78"/>
      <c r="AU231" s="78"/>
      <c r="AV231" s="78"/>
      <c r="AW231" s="78"/>
      <c r="AX231" s="78"/>
      <c r="AY231" s="91"/>
      <c r="AZ231" s="78"/>
      <c r="BA231" s="78"/>
      <c r="BB231" s="78"/>
      <c r="BC231" s="78"/>
      <c r="BD231" s="78"/>
      <c r="BE231" s="78"/>
      <c r="BF231" s="78"/>
      <c r="BG231" s="78"/>
      <c r="BH231" s="78"/>
      <c r="BI231" s="78"/>
      <c r="BJ231" s="78"/>
      <c r="BK231" s="78"/>
      <c r="BL231" s="78"/>
      <c r="BM231" s="78"/>
      <c r="BN231" s="78"/>
      <c r="BO231" s="78"/>
      <c r="BP231" s="78"/>
      <c r="BQ231" s="78"/>
      <c r="BR231" s="78"/>
      <c r="BS231" s="78"/>
      <c r="BT231" s="78"/>
      <c r="BU231" s="78"/>
      <c r="BV231" s="78"/>
      <c r="BW231" s="78"/>
      <c r="BX231" s="78"/>
      <c r="BY231" s="78"/>
      <c r="BZ231" s="78"/>
      <c r="CA231" s="78"/>
      <c r="CB231" s="78"/>
      <c r="CC231" s="78"/>
      <c r="CD231" s="78"/>
      <c r="CE231" s="78"/>
      <c r="CF231" s="78"/>
      <c r="CG231" s="78"/>
      <c r="CH231" s="78"/>
      <c r="CI231" s="78"/>
      <c r="CJ231" s="78"/>
      <c r="CK231" s="78"/>
      <c r="CL231" s="78"/>
      <c r="CM231" s="78"/>
      <c r="CN231" s="78"/>
      <c r="CO231" s="78"/>
      <c r="CP231" s="78"/>
      <c r="CQ231" s="78"/>
      <c r="CR231" s="78"/>
      <c r="CS231" s="78"/>
      <c r="CT231" s="78"/>
      <c r="CU231" s="78"/>
      <c r="CV231" s="78"/>
      <c r="CW231" s="78"/>
      <c r="CX231" s="78"/>
      <c r="CY231" s="78"/>
      <c r="CZ231" s="78"/>
      <c r="DA231" s="78"/>
      <c r="DB231" s="78"/>
      <c r="DC231" s="78"/>
      <c r="DD231" s="78"/>
      <c r="DE231" s="78"/>
      <c r="DF231" s="78"/>
      <c r="DG231" s="78"/>
      <c r="DH231" s="78"/>
      <c r="DI231" s="78"/>
      <c r="DJ231" s="78"/>
      <c r="DK231" s="78"/>
      <c r="DL231" s="78"/>
      <c r="DM231" s="78"/>
      <c r="DN231" s="78"/>
      <c r="DO231" s="78"/>
      <c r="DP231" s="78"/>
      <c r="DQ231" s="78"/>
      <c r="DR231" s="78"/>
      <c r="DS231" s="78"/>
      <c r="DT231" s="78"/>
      <c r="DU231" s="78"/>
      <c r="DV231" s="78"/>
      <c r="DW231" s="78"/>
      <c r="DX231" s="78"/>
      <c r="DY231" s="78"/>
      <c r="DZ231" s="78"/>
      <c r="EA231" s="78"/>
      <c r="EB231" s="78"/>
      <c r="EC231" s="78"/>
      <c r="ED231" s="78"/>
      <c r="EE231" s="78"/>
      <c r="EF231" s="78"/>
      <c r="EG231" s="78"/>
      <c r="EH231" s="78"/>
      <c r="EI231" s="78"/>
      <c r="EJ231" s="78"/>
      <c r="EK231" s="78"/>
      <c r="EL231" s="78"/>
      <c r="EM231" s="78"/>
      <c r="EN231" s="91"/>
      <c r="EO231" s="91"/>
      <c r="EP231" s="91"/>
      <c r="EQ231" s="91"/>
      <c r="ER231" s="91"/>
      <c r="ES231" s="91"/>
    </row>
    <row r="232" spans="1:149" outlineLevel="1">
      <c r="A232" s="29" t="str">
        <f t="shared" si="32"/>
        <v>PROPERTY_ENERGY_CERTIFICATEDISTRICT_MUNICIP_PARISH_CODE</v>
      </c>
      <c r="B232" s="67" t="s">
        <v>26</v>
      </c>
      <c r="C232" s="68" t="s">
        <v>54</v>
      </c>
      <c r="D232" s="64" t="s">
        <v>40</v>
      </c>
      <c r="E232" s="66" t="s">
        <v>123</v>
      </c>
      <c r="F232" s="66" t="s">
        <v>101</v>
      </c>
      <c r="G232" s="64" t="str">
        <f>INDEX(Auxiliar!$B$16:$B$24,MATCH(Plano_V3!H232,Auxiliar!$C$16:$C$24,0),1)</f>
        <v>1. Concluído</v>
      </c>
      <c r="H232" s="64">
        <f>VLOOKUP(A232,'Aux - pivots1'!$A:$B,2,0)</f>
        <v>1</v>
      </c>
      <c r="I232" s="180">
        <f>SUMIFS(Table1[Estimação (horas)],Table1[Tabela],Plano_V3!E232,Table1[Campo],Plano_V3!F232)</f>
        <v>4.0999999999999996</v>
      </c>
      <c r="J232" s="180">
        <f t="shared" si="36"/>
        <v>0.51249999999999996</v>
      </c>
      <c r="K232" s="180">
        <f>SUMIFS(Table1[Horas efetivas],Table1[Tabela],Plano_V3!E232,Table1[Campo],Plano_V3!F232)</f>
        <v>4.0999999999999996</v>
      </c>
      <c r="L232" s="180">
        <f t="shared" si="37"/>
        <v>0.51249999999999996</v>
      </c>
      <c r="M232" s="174"/>
      <c r="N232" s="174">
        <f t="shared" si="38"/>
        <v>1</v>
      </c>
      <c r="O232" s="174">
        <f t="shared" si="30"/>
        <v>1</v>
      </c>
      <c r="P232" s="87" t="s">
        <v>124</v>
      </c>
      <c r="Q232" s="90">
        <f t="shared" si="39"/>
        <v>0.51249999999999996</v>
      </c>
      <c r="R232" s="78"/>
      <c r="S232" s="78"/>
      <c r="T232" s="78"/>
      <c r="U232" s="78"/>
      <c r="V232" s="78"/>
      <c r="W232" s="78"/>
      <c r="X232" s="78"/>
      <c r="Y232" s="78"/>
      <c r="Z232" s="78"/>
      <c r="AA232" s="78"/>
      <c r="AB232" s="78"/>
      <c r="AC232" s="78"/>
      <c r="AD232" s="78"/>
      <c r="AE232" s="78"/>
      <c r="AF232" s="78"/>
      <c r="AG232" s="78"/>
      <c r="AH232" s="78"/>
      <c r="AI232" s="78"/>
      <c r="AJ232" s="78"/>
      <c r="AK232" s="78"/>
      <c r="AL232" s="78"/>
      <c r="AM232" s="78"/>
      <c r="AN232" s="78"/>
      <c r="AO232" s="78"/>
      <c r="AP232" s="78"/>
      <c r="AQ232" s="78"/>
      <c r="AR232" s="78"/>
      <c r="AS232" s="78"/>
      <c r="AT232" s="78"/>
      <c r="AU232" s="78"/>
      <c r="AV232" s="78"/>
      <c r="AW232" s="78"/>
      <c r="AX232" s="78"/>
      <c r="AY232" s="91"/>
      <c r="AZ232" s="78"/>
      <c r="BA232" s="78"/>
      <c r="BB232" s="78"/>
      <c r="BC232" s="78"/>
      <c r="BD232" s="78"/>
      <c r="BE232" s="78"/>
      <c r="BF232" s="78"/>
      <c r="BG232" s="78"/>
      <c r="BH232" s="78"/>
      <c r="BI232" s="78"/>
      <c r="BJ232" s="78"/>
      <c r="BK232" s="78"/>
      <c r="BL232" s="78"/>
      <c r="BM232" s="78"/>
      <c r="BN232" s="78"/>
      <c r="BO232" s="78"/>
      <c r="BP232" s="78"/>
      <c r="BQ232" s="78"/>
      <c r="BR232" s="78"/>
      <c r="BS232" s="78"/>
      <c r="BT232" s="78"/>
      <c r="BU232" s="78"/>
      <c r="BV232" s="78"/>
      <c r="BW232" s="78"/>
      <c r="BX232" s="78"/>
      <c r="BY232" s="78"/>
      <c r="BZ232" s="78"/>
      <c r="CA232" s="78"/>
      <c r="CB232" s="78"/>
      <c r="CC232" s="78"/>
      <c r="CD232" s="78"/>
      <c r="CE232" s="78"/>
      <c r="CF232" s="78"/>
      <c r="CG232" s="78"/>
      <c r="CH232" s="78"/>
      <c r="CI232" s="78"/>
      <c r="CJ232" s="78"/>
      <c r="CK232" s="78"/>
      <c r="CL232" s="78"/>
      <c r="CM232" s="78"/>
      <c r="CN232" s="78"/>
      <c r="CO232" s="78"/>
      <c r="CP232" s="78"/>
      <c r="CQ232" s="78"/>
      <c r="CR232" s="78"/>
      <c r="CS232" s="78"/>
      <c r="CT232" s="78"/>
      <c r="CU232" s="78"/>
      <c r="CV232" s="78"/>
      <c r="CW232" s="78"/>
      <c r="CX232" s="78"/>
      <c r="CY232" s="78"/>
      <c r="CZ232" s="78"/>
      <c r="DA232" s="78"/>
      <c r="DB232" s="78"/>
      <c r="DC232" s="78"/>
      <c r="DD232" s="78"/>
      <c r="DE232" s="78"/>
      <c r="DF232" s="78"/>
      <c r="DG232" s="78"/>
      <c r="DH232" s="78"/>
      <c r="DI232" s="78"/>
      <c r="DJ232" s="78"/>
      <c r="DK232" s="78"/>
      <c r="DL232" s="78"/>
      <c r="DM232" s="78"/>
      <c r="DN232" s="78"/>
      <c r="DO232" s="78"/>
      <c r="DP232" s="78"/>
      <c r="DQ232" s="78"/>
      <c r="DR232" s="78"/>
      <c r="DS232" s="78"/>
      <c r="DT232" s="78"/>
      <c r="DU232" s="78"/>
      <c r="DV232" s="78"/>
      <c r="DW232" s="78"/>
      <c r="DX232" s="78"/>
      <c r="DY232" s="78"/>
      <c r="DZ232" s="78"/>
      <c r="EA232" s="78"/>
      <c r="EB232" s="78"/>
      <c r="EC232" s="78"/>
      <c r="ED232" s="78"/>
      <c r="EE232" s="78"/>
      <c r="EF232" s="78"/>
      <c r="EG232" s="78"/>
      <c r="EH232" s="78"/>
      <c r="EI232" s="78"/>
      <c r="EJ232" s="78"/>
      <c r="EK232" s="78"/>
      <c r="EL232" s="78"/>
      <c r="EM232" s="78"/>
      <c r="EN232" s="91"/>
      <c r="EO232" s="91"/>
      <c r="EP232" s="91"/>
      <c r="EQ232" s="91"/>
      <c r="ER232" s="91"/>
      <c r="ES232" s="91"/>
    </row>
    <row r="233" spans="1:149" outlineLevel="1">
      <c r="A233" s="29" t="str">
        <f t="shared" si="32"/>
        <v>PROPERTY_ENERGY_CERTIFICATEPROPERTY_PURPOSE_CODE</v>
      </c>
      <c r="B233" s="67" t="s">
        <v>26</v>
      </c>
      <c r="C233" s="68" t="s">
        <v>54</v>
      </c>
      <c r="D233" s="64" t="s">
        <v>40</v>
      </c>
      <c r="E233" s="66" t="s">
        <v>123</v>
      </c>
      <c r="F233" s="66" t="s">
        <v>102</v>
      </c>
      <c r="G233" s="64" t="str">
        <f>INDEX(Auxiliar!$B$16:$B$24,MATCH(Plano_V3!H233,Auxiliar!$C$16:$C$24,0),1)</f>
        <v>1. Concluído</v>
      </c>
      <c r="H233" s="64">
        <f>VLOOKUP(A233,'Aux - pivots1'!$A:$B,2,0)</f>
        <v>1</v>
      </c>
      <c r="I233" s="180">
        <f>SUMIFS(Table1[Estimação (horas)],Table1[Tabela],Plano_V3!E233,Table1[Campo],Plano_V3!F233)</f>
        <v>4.0999999999999996</v>
      </c>
      <c r="J233" s="180">
        <f t="shared" si="36"/>
        <v>0.51249999999999996</v>
      </c>
      <c r="K233" s="180">
        <f>SUMIFS(Table1[Horas efetivas],Table1[Tabela],Plano_V3!E233,Table1[Campo],Plano_V3!F233)</f>
        <v>4.0999999999999996</v>
      </c>
      <c r="L233" s="180">
        <f t="shared" si="37"/>
        <v>0.51249999999999996</v>
      </c>
      <c r="M233" s="174"/>
      <c r="N233" s="174">
        <f t="shared" si="38"/>
        <v>1</v>
      </c>
      <c r="O233" s="174">
        <f t="shared" si="30"/>
        <v>1</v>
      </c>
      <c r="P233" s="87" t="s">
        <v>124</v>
      </c>
      <c r="Q233" s="90">
        <f t="shared" si="39"/>
        <v>0.51249999999999996</v>
      </c>
      <c r="R233" s="78"/>
      <c r="S233" s="78"/>
      <c r="T233" s="78"/>
      <c r="U233" s="78"/>
      <c r="V233" s="78"/>
      <c r="W233" s="78"/>
      <c r="X233" s="78"/>
      <c r="Y233" s="78"/>
      <c r="Z233" s="78"/>
      <c r="AA233" s="78"/>
      <c r="AB233" s="78"/>
      <c r="AC233" s="78"/>
      <c r="AD233" s="78"/>
      <c r="AE233" s="78"/>
      <c r="AF233" s="78"/>
      <c r="AG233" s="78"/>
      <c r="AH233" s="78"/>
      <c r="AI233" s="78"/>
      <c r="AJ233" s="78"/>
      <c r="AK233" s="78"/>
      <c r="AL233" s="78"/>
      <c r="AM233" s="78"/>
      <c r="AN233" s="78"/>
      <c r="AO233" s="78"/>
      <c r="AP233" s="78"/>
      <c r="AQ233" s="78"/>
      <c r="AR233" s="78"/>
      <c r="AS233" s="78"/>
      <c r="AT233" s="78"/>
      <c r="AU233" s="78"/>
      <c r="AV233" s="78"/>
      <c r="AW233" s="78"/>
      <c r="AX233" s="78"/>
      <c r="AY233" s="91"/>
      <c r="AZ233" s="78"/>
      <c r="BA233" s="78"/>
      <c r="BB233" s="78"/>
      <c r="BC233" s="78"/>
      <c r="BD233" s="78"/>
      <c r="BE233" s="78"/>
      <c r="BF233" s="78"/>
      <c r="BG233" s="78"/>
      <c r="BH233" s="78"/>
      <c r="BI233" s="78"/>
      <c r="BJ233" s="78"/>
      <c r="BK233" s="78"/>
      <c r="BL233" s="78"/>
      <c r="BM233" s="78"/>
      <c r="BN233" s="78"/>
      <c r="BO233" s="78"/>
      <c r="BP233" s="78"/>
      <c r="BQ233" s="78"/>
      <c r="BR233" s="78"/>
      <c r="BS233" s="78"/>
      <c r="BT233" s="78"/>
      <c r="BU233" s="78"/>
      <c r="BV233" s="78"/>
      <c r="BW233" s="78"/>
      <c r="BX233" s="78"/>
      <c r="BY233" s="78"/>
      <c r="BZ233" s="78"/>
      <c r="CA233" s="78"/>
      <c r="CB233" s="78"/>
      <c r="CC233" s="78"/>
      <c r="CD233" s="78"/>
      <c r="CE233" s="78"/>
      <c r="CF233" s="78"/>
      <c r="CG233" s="78"/>
      <c r="CH233" s="78"/>
      <c r="CI233" s="78"/>
      <c r="CJ233" s="78"/>
      <c r="CK233" s="78"/>
      <c r="CL233" s="78"/>
      <c r="CM233" s="78"/>
      <c r="CN233" s="78"/>
      <c r="CO233" s="78"/>
      <c r="CP233" s="78"/>
      <c r="CQ233" s="78"/>
      <c r="CR233" s="78"/>
      <c r="CS233" s="78"/>
      <c r="CT233" s="78"/>
      <c r="CU233" s="78"/>
      <c r="CV233" s="78"/>
      <c r="CW233" s="78"/>
      <c r="CX233" s="78"/>
      <c r="CY233" s="78"/>
      <c r="CZ233" s="78"/>
      <c r="DA233" s="78"/>
      <c r="DB233" s="78"/>
      <c r="DC233" s="78"/>
      <c r="DD233" s="78"/>
      <c r="DE233" s="78"/>
      <c r="DF233" s="78"/>
      <c r="DG233" s="78"/>
      <c r="DH233" s="78"/>
      <c r="DI233" s="78"/>
      <c r="DJ233" s="78"/>
      <c r="DK233" s="78"/>
      <c r="DL233" s="78"/>
      <c r="DM233" s="78"/>
      <c r="DN233" s="78"/>
      <c r="DO233" s="78"/>
      <c r="DP233" s="78"/>
      <c r="DQ233" s="78"/>
      <c r="DR233" s="78"/>
      <c r="DS233" s="78"/>
      <c r="DT233" s="78"/>
      <c r="DU233" s="78"/>
      <c r="DV233" s="78"/>
      <c r="DW233" s="78"/>
      <c r="DX233" s="78"/>
      <c r="DY233" s="78"/>
      <c r="DZ233" s="78"/>
      <c r="EA233" s="78"/>
      <c r="EB233" s="78"/>
      <c r="EC233" s="78"/>
      <c r="ED233" s="78"/>
      <c r="EE233" s="78"/>
      <c r="EF233" s="78"/>
      <c r="EG233" s="78"/>
      <c r="EH233" s="78"/>
      <c r="EI233" s="78"/>
      <c r="EJ233" s="78"/>
      <c r="EK233" s="78"/>
      <c r="EL233" s="78"/>
      <c r="EM233" s="78"/>
      <c r="EN233" s="91"/>
      <c r="EO233" s="91"/>
      <c r="EP233" s="91"/>
      <c r="EQ233" s="91"/>
      <c r="ER233" s="91"/>
      <c r="ES233" s="91"/>
    </row>
    <row r="234" spans="1:149" outlineLevel="1">
      <c r="A234" s="29" t="str">
        <f t="shared" si="32"/>
        <v>PROPERTY_ENERGY_CERTIFICATEADDRESS_CODE</v>
      </c>
      <c r="B234" s="67" t="s">
        <v>26</v>
      </c>
      <c r="C234" s="68" t="s">
        <v>54</v>
      </c>
      <c r="D234" s="64" t="s">
        <v>40</v>
      </c>
      <c r="E234" s="66" t="s">
        <v>123</v>
      </c>
      <c r="F234" s="66" t="s">
        <v>104</v>
      </c>
      <c r="G234" s="64" t="str">
        <f>INDEX(Auxiliar!$B$16:$B$24,MATCH(Plano_V3!H234,Auxiliar!$C$16:$C$24,0),1)</f>
        <v>1. Concluído</v>
      </c>
      <c r="H234" s="64">
        <f>VLOOKUP(A234,'Aux - pivots1'!$A:$B,2,0)</f>
        <v>1</v>
      </c>
      <c r="I234" s="180">
        <f>SUMIFS(Table1[Estimação (horas)],Table1[Tabela],Plano_V3!E234,Table1[Campo],Plano_V3!F234)</f>
        <v>4.0999999999999996</v>
      </c>
      <c r="J234" s="180">
        <f t="shared" si="36"/>
        <v>0.51249999999999996</v>
      </c>
      <c r="K234" s="180">
        <f>SUMIFS(Table1[Horas efetivas],Table1[Tabela],Plano_V3!E234,Table1[Campo],Plano_V3!F234)</f>
        <v>4.0999999999999996</v>
      </c>
      <c r="L234" s="180">
        <f t="shared" si="37"/>
        <v>0.51249999999999996</v>
      </c>
      <c r="M234" s="174"/>
      <c r="N234" s="174">
        <f t="shared" si="38"/>
        <v>1</v>
      </c>
      <c r="O234" s="174">
        <f t="shared" si="30"/>
        <v>1</v>
      </c>
      <c r="P234" s="87" t="s">
        <v>124</v>
      </c>
      <c r="Q234" s="90">
        <f t="shared" si="39"/>
        <v>0.51249999999999996</v>
      </c>
      <c r="R234" s="78"/>
      <c r="S234" s="78"/>
      <c r="T234" s="78"/>
      <c r="U234" s="78"/>
      <c r="V234" s="78"/>
      <c r="W234" s="78"/>
      <c r="X234" s="78"/>
      <c r="Y234" s="78"/>
      <c r="Z234" s="78"/>
      <c r="AA234" s="78"/>
      <c r="AB234" s="78"/>
      <c r="AC234" s="78"/>
      <c r="AD234" s="78"/>
      <c r="AE234" s="78"/>
      <c r="AF234" s="78"/>
      <c r="AG234" s="78"/>
      <c r="AH234" s="78"/>
      <c r="AI234" s="78"/>
      <c r="AJ234" s="78"/>
      <c r="AK234" s="78"/>
      <c r="AL234" s="78"/>
      <c r="AM234" s="78"/>
      <c r="AN234" s="78"/>
      <c r="AO234" s="78"/>
      <c r="AP234" s="78"/>
      <c r="AQ234" s="78"/>
      <c r="AR234" s="78"/>
      <c r="AS234" s="78"/>
      <c r="AT234" s="78"/>
      <c r="AU234" s="78"/>
      <c r="AV234" s="78"/>
      <c r="AW234" s="78"/>
      <c r="AX234" s="78"/>
      <c r="AY234" s="91"/>
      <c r="AZ234" s="78"/>
      <c r="BA234" s="78"/>
      <c r="BB234" s="78"/>
      <c r="BC234" s="78"/>
      <c r="BD234" s="78"/>
      <c r="BE234" s="78"/>
      <c r="BF234" s="78"/>
      <c r="BG234" s="78"/>
      <c r="BH234" s="78"/>
      <c r="BI234" s="78"/>
      <c r="BJ234" s="78"/>
      <c r="BK234" s="78"/>
      <c r="BL234" s="78"/>
      <c r="BM234" s="78"/>
      <c r="BN234" s="78"/>
      <c r="BO234" s="78"/>
      <c r="BP234" s="78"/>
      <c r="BQ234" s="78"/>
      <c r="BR234" s="78"/>
      <c r="BS234" s="78"/>
      <c r="BT234" s="78"/>
      <c r="BU234" s="78"/>
      <c r="BV234" s="78"/>
      <c r="BW234" s="78"/>
      <c r="BX234" s="78"/>
      <c r="BY234" s="78"/>
      <c r="BZ234" s="78"/>
      <c r="CA234" s="78"/>
      <c r="CB234" s="78"/>
      <c r="CC234" s="78"/>
      <c r="CD234" s="78"/>
      <c r="CE234" s="78"/>
      <c r="CF234" s="78"/>
      <c r="CG234" s="78"/>
      <c r="CH234" s="78"/>
      <c r="CI234" s="78"/>
      <c r="CJ234" s="78"/>
      <c r="CK234" s="78"/>
      <c r="CL234" s="78"/>
      <c r="CM234" s="78"/>
      <c r="CN234" s="78"/>
      <c r="CO234" s="78"/>
      <c r="CP234" s="78"/>
      <c r="CQ234" s="78"/>
      <c r="CR234" s="78"/>
      <c r="CS234" s="78"/>
      <c r="CT234" s="78"/>
      <c r="CU234" s="78"/>
      <c r="CV234" s="78"/>
      <c r="CW234" s="78"/>
      <c r="CX234" s="78"/>
      <c r="CY234" s="78"/>
      <c r="CZ234" s="78"/>
      <c r="DA234" s="78"/>
      <c r="DB234" s="78"/>
      <c r="DC234" s="78"/>
      <c r="DD234" s="78"/>
      <c r="DE234" s="78"/>
      <c r="DF234" s="78"/>
      <c r="DG234" s="78"/>
      <c r="DH234" s="78"/>
      <c r="DI234" s="78"/>
      <c r="DJ234" s="78"/>
      <c r="DK234" s="78"/>
      <c r="DL234" s="78"/>
      <c r="DM234" s="78"/>
      <c r="DN234" s="78"/>
      <c r="DO234" s="78"/>
      <c r="DP234" s="78"/>
      <c r="DQ234" s="78"/>
      <c r="DR234" s="78"/>
      <c r="DS234" s="78"/>
      <c r="DT234" s="78"/>
      <c r="DU234" s="78"/>
      <c r="DV234" s="78"/>
      <c r="DW234" s="78"/>
      <c r="DX234" s="78"/>
      <c r="DY234" s="78"/>
      <c r="DZ234" s="78"/>
      <c r="EA234" s="78"/>
      <c r="EB234" s="78"/>
      <c r="EC234" s="78"/>
      <c r="ED234" s="78"/>
      <c r="EE234" s="78"/>
      <c r="EF234" s="78"/>
      <c r="EG234" s="78"/>
      <c r="EH234" s="78"/>
      <c r="EI234" s="78"/>
      <c r="EJ234" s="78"/>
      <c r="EK234" s="78"/>
      <c r="EL234" s="78"/>
      <c r="EM234" s="78"/>
      <c r="EN234" s="91"/>
      <c r="EO234" s="91"/>
      <c r="EP234" s="91"/>
      <c r="EQ234" s="91"/>
      <c r="ER234" s="91"/>
      <c r="ES234" s="91"/>
    </row>
    <row r="235" spans="1:149" outlineLevel="1">
      <c r="A235" s="29" t="str">
        <f t="shared" si="32"/>
        <v>PROPERTY_ENERGY_CERTIFICATEFLOOR_NUMBER</v>
      </c>
      <c r="B235" s="67" t="s">
        <v>26</v>
      </c>
      <c r="C235" s="68" t="s">
        <v>54</v>
      </c>
      <c r="D235" s="64" t="s">
        <v>40</v>
      </c>
      <c r="E235" s="66" t="s">
        <v>123</v>
      </c>
      <c r="F235" s="66" t="s">
        <v>111</v>
      </c>
      <c r="G235" s="64" t="str">
        <f>INDEX(Auxiliar!$B$16:$B$24,MATCH(Plano_V3!H235,Auxiliar!$C$16:$C$24,0),1)</f>
        <v>1. Concluído</v>
      </c>
      <c r="H235" s="64">
        <f>VLOOKUP(A235,'Aux - pivots1'!$A:$B,2,0)</f>
        <v>1</v>
      </c>
      <c r="I235" s="180">
        <f>SUMIFS(Table1[Estimação (horas)],Table1[Tabela],Plano_V3!E235,Table1[Campo],Plano_V3!F235)</f>
        <v>4.0999999999999996</v>
      </c>
      <c r="J235" s="180">
        <f t="shared" si="36"/>
        <v>0.51249999999999996</v>
      </c>
      <c r="K235" s="180">
        <f>SUMIFS(Table1[Horas efetivas],Table1[Tabela],Plano_V3!E235,Table1[Campo],Plano_V3!F235)</f>
        <v>4.0999999999999996</v>
      </c>
      <c r="L235" s="180">
        <f t="shared" si="37"/>
        <v>0.51249999999999996</v>
      </c>
      <c r="M235" s="174"/>
      <c r="N235" s="174">
        <f t="shared" si="38"/>
        <v>1</v>
      </c>
      <c r="O235" s="174">
        <f t="shared" si="30"/>
        <v>1</v>
      </c>
      <c r="P235" s="87" t="s">
        <v>124</v>
      </c>
      <c r="Q235" s="90">
        <f t="shared" si="39"/>
        <v>0.51249999999999996</v>
      </c>
      <c r="R235" s="78"/>
      <c r="S235" s="78"/>
      <c r="T235" s="78"/>
      <c r="U235" s="78"/>
      <c r="V235" s="78"/>
      <c r="W235" s="78"/>
      <c r="X235" s="78"/>
      <c r="Y235" s="78"/>
      <c r="Z235" s="78"/>
      <c r="AA235" s="78"/>
      <c r="AB235" s="78"/>
      <c r="AC235" s="78"/>
      <c r="AD235" s="78"/>
      <c r="AE235" s="78"/>
      <c r="AF235" s="78"/>
      <c r="AG235" s="78"/>
      <c r="AH235" s="78"/>
      <c r="AI235" s="78"/>
      <c r="AJ235" s="78"/>
      <c r="AK235" s="78"/>
      <c r="AL235" s="78"/>
      <c r="AM235" s="78"/>
      <c r="AN235" s="78"/>
      <c r="AO235" s="78"/>
      <c r="AP235" s="78"/>
      <c r="AQ235" s="78"/>
      <c r="AR235" s="78"/>
      <c r="AS235" s="78"/>
      <c r="AT235" s="78"/>
      <c r="AU235" s="78"/>
      <c r="AV235" s="78"/>
      <c r="AW235" s="78"/>
      <c r="AX235" s="78"/>
      <c r="AY235" s="91"/>
      <c r="AZ235" s="78"/>
      <c r="BA235" s="78"/>
      <c r="BB235" s="78"/>
      <c r="BC235" s="78"/>
      <c r="BD235" s="78"/>
      <c r="BE235" s="78"/>
      <c r="BF235" s="78"/>
      <c r="BG235" s="78"/>
      <c r="BH235" s="78"/>
      <c r="BI235" s="78"/>
      <c r="BJ235" s="78"/>
      <c r="BK235" s="78"/>
      <c r="BL235" s="78"/>
      <c r="BM235" s="78"/>
      <c r="BN235" s="78"/>
      <c r="BO235" s="78"/>
      <c r="BP235" s="78"/>
      <c r="BQ235" s="78"/>
      <c r="BR235" s="78"/>
      <c r="BS235" s="78"/>
      <c r="BT235" s="78"/>
      <c r="BU235" s="78"/>
      <c r="BV235" s="78"/>
      <c r="BW235" s="78"/>
      <c r="BX235" s="78"/>
      <c r="BY235" s="78"/>
      <c r="BZ235" s="78"/>
      <c r="CA235" s="78"/>
      <c r="CB235" s="78"/>
      <c r="CC235" s="78"/>
      <c r="CD235" s="78"/>
      <c r="CE235" s="78"/>
      <c r="CF235" s="78"/>
      <c r="CG235" s="78"/>
      <c r="CH235" s="78"/>
      <c r="CI235" s="78"/>
      <c r="CJ235" s="78"/>
      <c r="CK235" s="78"/>
      <c r="CL235" s="78"/>
      <c r="CM235" s="78"/>
      <c r="CN235" s="78"/>
      <c r="CO235" s="78"/>
      <c r="CP235" s="78"/>
      <c r="CQ235" s="78"/>
      <c r="CR235" s="78"/>
      <c r="CS235" s="78"/>
      <c r="CT235" s="78"/>
      <c r="CU235" s="78"/>
      <c r="CV235" s="78"/>
      <c r="CW235" s="78"/>
      <c r="CX235" s="78"/>
      <c r="CY235" s="78"/>
      <c r="CZ235" s="78"/>
      <c r="DA235" s="78"/>
      <c r="DB235" s="78"/>
      <c r="DC235" s="78"/>
      <c r="DD235" s="78"/>
      <c r="DE235" s="78"/>
      <c r="DF235" s="78"/>
      <c r="DG235" s="78"/>
      <c r="DH235" s="78"/>
      <c r="DI235" s="78"/>
      <c r="DJ235" s="78"/>
      <c r="DK235" s="78"/>
      <c r="DL235" s="78"/>
      <c r="DM235" s="78"/>
      <c r="DN235" s="78"/>
      <c r="DO235" s="78"/>
      <c r="DP235" s="78"/>
      <c r="DQ235" s="78"/>
      <c r="DR235" s="78"/>
      <c r="DS235" s="78"/>
      <c r="DT235" s="78"/>
      <c r="DU235" s="78"/>
      <c r="DV235" s="78"/>
      <c r="DW235" s="78"/>
      <c r="DX235" s="78"/>
      <c r="DY235" s="78"/>
      <c r="DZ235" s="78"/>
      <c r="EA235" s="78"/>
      <c r="EB235" s="78"/>
      <c r="EC235" s="78"/>
      <c r="ED235" s="78"/>
      <c r="EE235" s="78"/>
      <c r="EF235" s="78"/>
      <c r="EG235" s="78"/>
      <c r="EH235" s="78"/>
      <c r="EI235" s="78"/>
      <c r="EJ235" s="78"/>
      <c r="EK235" s="78"/>
      <c r="EL235" s="78"/>
      <c r="EM235" s="78"/>
      <c r="EN235" s="91"/>
      <c r="EO235" s="91"/>
      <c r="EP235" s="91"/>
      <c r="EQ235" s="91"/>
      <c r="ER235" s="91"/>
      <c r="ES235" s="91"/>
    </row>
    <row r="236" spans="1:149" outlineLevel="1">
      <c r="A236" s="29" t="str">
        <f t="shared" si="32"/>
        <v>PROPERTY_ENERGY_CERTIFICATELOCALITY</v>
      </c>
      <c r="B236" s="67" t="s">
        <v>26</v>
      </c>
      <c r="C236" s="68" t="s">
        <v>54</v>
      </c>
      <c r="D236" s="64" t="s">
        <v>40</v>
      </c>
      <c r="E236" s="66" t="s">
        <v>123</v>
      </c>
      <c r="F236" s="66" t="s">
        <v>112</v>
      </c>
      <c r="G236" s="64" t="str">
        <f>INDEX(Auxiliar!$B$16:$B$24,MATCH(Plano_V3!H236,Auxiliar!$C$16:$C$24,0),1)</f>
        <v>1. Concluído</v>
      </c>
      <c r="H236" s="64">
        <f>VLOOKUP(A236,'Aux - pivots1'!$A:$B,2,0)</f>
        <v>1</v>
      </c>
      <c r="I236" s="180">
        <f>SUMIFS(Table1[Estimação (horas)],Table1[Tabela],Plano_V3!E236,Table1[Campo],Plano_V3!F236)</f>
        <v>4.0999999999999996</v>
      </c>
      <c r="J236" s="180">
        <f t="shared" si="36"/>
        <v>0.51249999999999996</v>
      </c>
      <c r="K236" s="180">
        <f>SUMIFS(Table1[Horas efetivas],Table1[Tabela],Plano_V3!E236,Table1[Campo],Plano_V3!F236)</f>
        <v>4.0999999999999996</v>
      </c>
      <c r="L236" s="180">
        <f t="shared" si="37"/>
        <v>0.51249999999999996</v>
      </c>
      <c r="M236" s="174"/>
      <c r="N236" s="174">
        <f t="shared" si="38"/>
        <v>1</v>
      </c>
      <c r="O236" s="174">
        <f t="shared" si="30"/>
        <v>1</v>
      </c>
      <c r="P236" s="87" t="s">
        <v>124</v>
      </c>
      <c r="Q236" s="90">
        <f t="shared" si="39"/>
        <v>0.51249999999999996</v>
      </c>
      <c r="R236" s="78"/>
      <c r="S236" s="78"/>
      <c r="T236" s="78"/>
      <c r="U236" s="78"/>
      <c r="V236" s="78"/>
      <c r="W236" s="78"/>
      <c r="X236" s="78"/>
      <c r="Y236" s="78"/>
      <c r="Z236" s="78"/>
      <c r="AA236" s="78"/>
      <c r="AB236" s="78"/>
      <c r="AC236" s="78"/>
      <c r="AD236" s="78"/>
      <c r="AE236" s="78"/>
      <c r="AF236" s="78"/>
      <c r="AG236" s="78"/>
      <c r="AH236" s="78"/>
      <c r="AI236" s="78"/>
      <c r="AJ236" s="78"/>
      <c r="AK236" s="78"/>
      <c r="AL236" s="78"/>
      <c r="AM236" s="78"/>
      <c r="AN236" s="78"/>
      <c r="AO236" s="78"/>
      <c r="AP236" s="78"/>
      <c r="AQ236" s="78"/>
      <c r="AR236" s="78"/>
      <c r="AS236" s="78"/>
      <c r="AT236" s="78"/>
      <c r="AU236" s="78"/>
      <c r="AV236" s="78"/>
      <c r="AW236" s="78"/>
      <c r="AX236" s="78"/>
      <c r="AY236" s="91"/>
      <c r="AZ236" s="78"/>
      <c r="BA236" s="78"/>
      <c r="BB236" s="78"/>
      <c r="BC236" s="78"/>
      <c r="BD236" s="78"/>
      <c r="BE236" s="78"/>
      <c r="BF236" s="78"/>
      <c r="BG236" s="78"/>
      <c r="BH236" s="78"/>
      <c r="BI236" s="78"/>
      <c r="BJ236" s="78"/>
      <c r="BK236" s="78"/>
      <c r="BL236" s="78"/>
      <c r="BM236" s="78"/>
      <c r="BN236" s="78"/>
      <c r="BO236" s="78"/>
      <c r="BP236" s="78"/>
      <c r="BQ236" s="78"/>
      <c r="BR236" s="78"/>
      <c r="BS236" s="78"/>
      <c r="BT236" s="78"/>
      <c r="BU236" s="78"/>
      <c r="BV236" s="78"/>
      <c r="BW236" s="78"/>
      <c r="BX236" s="78"/>
      <c r="BY236" s="78"/>
      <c r="BZ236" s="78"/>
      <c r="CA236" s="78"/>
      <c r="CB236" s="78"/>
      <c r="CC236" s="78"/>
      <c r="CD236" s="78"/>
      <c r="CE236" s="78"/>
      <c r="CF236" s="78"/>
      <c r="CG236" s="78"/>
      <c r="CH236" s="78"/>
      <c r="CI236" s="78"/>
      <c r="CJ236" s="78"/>
      <c r="CK236" s="78"/>
      <c r="CL236" s="78"/>
      <c r="CM236" s="78"/>
      <c r="CN236" s="78"/>
      <c r="CO236" s="78"/>
      <c r="CP236" s="78"/>
      <c r="CQ236" s="78"/>
      <c r="CR236" s="78"/>
      <c r="CS236" s="78"/>
      <c r="CT236" s="78"/>
      <c r="CU236" s="78"/>
      <c r="CV236" s="78"/>
      <c r="CW236" s="78"/>
      <c r="CX236" s="78"/>
      <c r="CY236" s="78"/>
      <c r="CZ236" s="78"/>
      <c r="DA236" s="78"/>
      <c r="DB236" s="78"/>
      <c r="DC236" s="78"/>
      <c r="DD236" s="78"/>
      <c r="DE236" s="78"/>
      <c r="DF236" s="78"/>
      <c r="DG236" s="78"/>
      <c r="DH236" s="78"/>
      <c r="DI236" s="78"/>
      <c r="DJ236" s="78"/>
      <c r="DK236" s="78"/>
      <c r="DL236" s="78"/>
      <c r="DM236" s="78"/>
      <c r="DN236" s="78"/>
      <c r="DO236" s="78"/>
      <c r="DP236" s="78"/>
      <c r="DQ236" s="78"/>
      <c r="DR236" s="78"/>
      <c r="DS236" s="78"/>
      <c r="DT236" s="78"/>
      <c r="DU236" s="78"/>
      <c r="DV236" s="78"/>
      <c r="DW236" s="78"/>
      <c r="DX236" s="78"/>
      <c r="DY236" s="78"/>
      <c r="DZ236" s="78"/>
      <c r="EA236" s="78"/>
      <c r="EB236" s="78"/>
      <c r="EC236" s="78"/>
      <c r="ED236" s="78"/>
      <c r="EE236" s="78"/>
      <c r="EF236" s="78"/>
      <c r="EG236" s="78"/>
      <c r="EH236" s="78"/>
      <c r="EI236" s="78"/>
      <c r="EJ236" s="78"/>
      <c r="EK236" s="78"/>
      <c r="EL236" s="78"/>
      <c r="EM236" s="78"/>
      <c r="EN236" s="91"/>
      <c r="EO236" s="91"/>
      <c r="EP236" s="91"/>
      <c r="EQ236" s="91"/>
      <c r="ER236" s="91"/>
      <c r="ES236" s="91"/>
    </row>
    <row r="237" spans="1:149" outlineLevel="1">
      <c r="A237" s="29" t="str">
        <f t="shared" si="32"/>
        <v>PROPERTY_ENERGY_CERTIFICATECLIMATE_ZONE_SUMMER</v>
      </c>
      <c r="B237" s="67" t="s">
        <v>26</v>
      </c>
      <c r="C237" s="68" t="s">
        <v>54</v>
      </c>
      <c r="D237" s="64" t="s">
        <v>40</v>
      </c>
      <c r="E237" s="66" t="s">
        <v>123</v>
      </c>
      <c r="F237" s="66" t="s">
        <v>179</v>
      </c>
      <c r="G237" s="64" t="str">
        <f>INDEX(Auxiliar!$B$16:$B$24,MATCH(Plano_V3!H237,Auxiliar!$C$16:$C$24,0),1)</f>
        <v>1. Concluído</v>
      </c>
      <c r="H237" s="64">
        <f>VLOOKUP(A237,'Aux - pivots1'!$A:$B,2,0)</f>
        <v>1</v>
      </c>
      <c r="I237" s="180">
        <f>SUMIFS(Table1[Estimação (horas)],Table1[Tabela],Plano_V3!E237,Table1[Campo],Plano_V3!F237)</f>
        <v>4.0999999999999996</v>
      </c>
      <c r="J237" s="180">
        <f t="shared" si="33"/>
        <v>0.51249999999999996</v>
      </c>
      <c r="K237" s="180">
        <f>SUMIFS(Table1[Horas efetivas],Table1[Tabela],Plano_V3!E237,Table1[Campo],Plano_V3!F237)</f>
        <v>4.0999999999999996</v>
      </c>
      <c r="L237" s="180">
        <f t="shared" si="34"/>
        <v>0.51249999999999996</v>
      </c>
      <c r="M237" s="174"/>
      <c r="N237" s="174">
        <f t="shared" si="35"/>
        <v>1</v>
      </c>
      <c r="O237" s="174">
        <f t="shared" si="30"/>
        <v>1</v>
      </c>
      <c r="P237" s="87" t="s">
        <v>124</v>
      </c>
      <c r="Q237" s="90">
        <f t="shared" si="31"/>
        <v>0.51249999999999996</v>
      </c>
      <c r="R237" s="78"/>
      <c r="S237" s="78"/>
      <c r="T237" s="78"/>
      <c r="U237" s="78"/>
      <c r="V237" s="78"/>
      <c r="W237" s="78"/>
      <c r="X237" s="78"/>
      <c r="Y237" s="78"/>
      <c r="Z237" s="78"/>
      <c r="AA237" s="78"/>
      <c r="AB237" s="78"/>
      <c r="AC237" s="78"/>
      <c r="AD237" s="78"/>
      <c r="AE237" s="78"/>
      <c r="AF237" s="78"/>
      <c r="AG237" s="78"/>
      <c r="AH237" s="78"/>
      <c r="AI237" s="78"/>
      <c r="AJ237" s="78"/>
      <c r="AK237" s="78"/>
      <c r="AL237" s="78"/>
      <c r="AM237" s="78"/>
      <c r="AN237" s="78"/>
      <c r="AO237" s="78"/>
      <c r="AP237" s="78"/>
      <c r="AQ237" s="78"/>
      <c r="AR237" s="78"/>
      <c r="AS237" s="78"/>
      <c r="AT237" s="78"/>
      <c r="AU237" s="78"/>
      <c r="AV237" s="78"/>
      <c r="AW237" s="78"/>
      <c r="AX237" s="78"/>
      <c r="AY237" s="91"/>
      <c r="AZ237" s="78"/>
      <c r="BA237" s="78"/>
      <c r="BB237" s="78"/>
      <c r="BC237" s="78"/>
      <c r="BD237" s="78"/>
      <c r="BE237" s="78"/>
      <c r="BF237" s="78"/>
      <c r="BG237" s="78"/>
      <c r="BH237" s="78"/>
      <c r="BI237" s="78"/>
      <c r="BJ237" s="78"/>
      <c r="BK237" s="78"/>
      <c r="BL237" s="78"/>
      <c r="BM237" s="78"/>
      <c r="BN237" s="78"/>
      <c r="BO237" s="78"/>
      <c r="BP237" s="78"/>
      <c r="BQ237" s="78"/>
      <c r="BR237" s="78"/>
      <c r="BS237" s="78"/>
      <c r="BT237" s="78"/>
      <c r="BU237" s="78"/>
      <c r="BV237" s="78"/>
      <c r="BW237" s="78"/>
      <c r="BX237" s="78"/>
      <c r="BY237" s="78"/>
      <c r="BZ237" s="78"/>
      <c r="CA237" s="78"/>
      <c r="CB237" s="78"/>
      <c r="CC237" s="78"/>
      <c r="CD237" s="78"/>
      <c r="CE237" s="78"/>
      <c r="CF237" s="78"/>
      <c r="CG237" s="78"/>
      <c r="CH237" s="78"/>
      <c r="CI237" s="78"/>
      <c r="CJ237" s="78"/>
      <c r="CK237" s="78"/>
      <c r="CL237" s="78"/>
      <c r="CM237" s="78"/>
      <c r="CN237" s="78"/>
      <c r="CO237" s="78"/>
      <c r="CP237" s="78"/>
      <c r="CQ237" s="78"/>
      <c r="CR237" s="78"/>
      <c r="CS237" s="78"/>
      <c r="CT237" s="78"/>
      <c r="CU237" s="78"/>
      <c r="CV237" s="78"/>
      <c r="CW237" s="78"/>
      <c r="CX237" s="78"/>
      <c r="CY237" s="78"/>
      <c r="CZ237" s="78"/>
      <c r="DA237" s="78"/>
      <c r="DB237" s="78"/>
      <c r="DC237" s="78"/>
      <c r="DD237" s="78"/>
      <c r="DE237" s="78"/>
      <c r="DF237" s="78"/>
      <c r="DG237" s="78"/>
      <c r="DH237" s="78"/>
      <c r="DI237" s="78"/>
      <c r="DJ237" s="78"/>
      <c r="DK237" s="78"/>
      <c r="DL237" s="78"/>
      <c r="DM237" s="78"/>
      <c r="DN237" s="78"/>
      <c r="DO237" s="78"/>
      <c r="DP237" s="78"/>
      <c r="DQ237" s="78"/>
      <c r="DR237" s="78"/>
      <c r="DS237" s="78"/>
      <c r="DT237" s="78"/>
      <c r="DU237" s="78"/>
      <c r="DV237" s="78"/>
      <c r="DW237" s="78"/>
      <c r="DX237" s="78"/>
      <c r="DY237" s="78"/>
      <c r="DZ237" s="78"/>
      <c r="EA237" s="78"/>
      <c r="EB237" s="78"/>
      <c r="EC237" s="78"/>
      <c r="ED237" s="78"/>
      <c r="EE237" s="78"/>
      <c r="EF237" s="78"/>
      <c r="EG237" s="78"/>
      <c r="EH237" s="78"/>
      <c r="EI237" s="78"/>
      <c r="EJ237" s="78"/>
      <c r="EK237" s="78"/>
      <c r="EL237" s="78"/>
      <c r="EM237" s="78"/>
      <c r="EN237" s="91"/>
      <c r="EO237" s="91"/>
      <c r="EP237" s="91"/>
      <c r="EQ237" s="91"/>
      <c r="ER237" s="91"/>
      <c r="ES237" s="91"/>
    </row>
    <row r="238" spans="1:149" outlineLevel="1">
      <c r="A238" s="29" t="str">
        <f>E238&amp;F238</f>
        <v>PROPERTY_ENERGY_CERTIFICATEPRMRY_ENRGY_DMND_RFRNC_VL</v>
      </c>
      <c r="B238" s="67" t="s">
        <v>26</v>
      </c>
      <c r="C238" s="68" t="s">
        <v>54</v>
      </c>
      <c r="D238" s="64" t="s">
        <v>40</v>
      </c>
      <c r="E238" s="66" t="s">
        <v>123</v>
      </c>
      <c r="F238" s="66" t="s">
        <v>2264</v>
      </c>
      <c r="G238" s="64" t="str">
        <f>INDEX(Auxiliar!$B$16:$B$24,MATCH(Plano_V3!H238,Auxiliar!$C$16:$C$24,0),1)</f>
        <v>1. Concluído</v>
      </c>
      <c r="H238" s="64">
        <f>VLOOKUP(A238,'Aux - pivots1'!$A:$B,2,0)</f>
        <v>1</v>
      </c>
      <c r="I238" s="180" t="e">
        <f>SUMIFS(Table1[Estimação (horas)],Table1[Tabela],Plano_V3!E238,Table1[Campo],Plano_V3!F238)</f>
        <v>#N/A</v>
      </c>
      <c r="J238" s="180" t="e">
        <f>I238/8</f>
        <v>#N/A</v>
      </c>
      <c r="K238" s="180" t="e">
        <f>SUMIFS(Table1[Horas efetivas],Table1[Tabela],Plano_V3!E238,Table1[Campo],Plano_V3!F238)</f>
        <v>#N/A</v>
      </c>
      <c r="L238" s="180" t="e">
        <f>K238/8</f>
        <v>#N/A</v>
      </c>
      <c r="M238" s="174"/>
      <c r="N238" s="174" t="e">
        <f>L238/J238</f>
        <v>#N/A</v>
      </c>
      <c r="O238" s="174" t="e">
        <f>N238-M238</f>
        <v>#N/A</v>
      </c>
      <c r="P238" s="87" t="s">
        <v>124</v>
      </c>
      <c r="Q238" s="90" t="e">
        <f>J238-SUM(R238:ES238)</f>
        <v>#N/A</v>
      </c>
      <c r="R238" s="78"/>
      <c r="S238" s="78"/>
      <c r="T238" s="78"/>
      <c r="U238" s="78"/>
      <c r="V238" s="78"/>
      <c r="W238" s="78"/>
      <c r="X238" s="78"/>
      <c r="Y238" s="78"/>
      <c r="Z238" s="78"/>
      <c r="AA238" s="78"/>
      <c r="AB238" s="78"/>
      <c r="AC238" s="78"/>
      <c r="AD238" s="78"/>
      <c r="AE238" s="78"/>
      <c r="AF238" s="78"/>
      <c r="AG238" s="78"/>
      <c r="AH238" s="78"/>
      <c r="AI238" s="78"/>
      <c r="AJ238" s="78"/>
      <c r="AK238" s="78"/>
      <c r="AL238" s="78"/>
      <c r="AM238" s="78"/>
      <c r="AN238" s="78"/>
      <c r="AO238" s="78"/>
      <c r="AP238" s="78"/>
      <c r="AQ238" s="78"/>
      <c r="AR238" s="78"/>
      <c r="AS238" s="78"/>
      <c r="AT238" s="78"/>
      <c r="AU238" s="78"/>
      <c r="AV238" s="78"/>
      <c r="AW238" s="78"/>
      <c r="AX238" s="78"/>
      <c r="AY238" s="91"/>
      <c r="AZ238" s="78"/>
      <c r="BA238" s="78"/>
      <c r="BB238" s="78"/>
      <c r="BC238" s="78"/>
      <c r="BD238" s="78"/>
      <c r="BE238" s="78"/>
      <c r="BF238" s="78"/>
      <c r="BG238" s="78"/>
      <c r="BH238" s="78"/>
      <c r="BI238" s="78"/>
      <c r="BJ238" s="78"/>
      <c r="BK238" s="78"/>
      <c r="BL238" s="78"/>
      <c r="BM238" s="78"/>
      <c r="BN238" s="78"/>
      <c r="BO238" s="78"/>
      <c r="BP238" s="78"/>
      <c r="BQ238" s="78"/>
      <c r="BR238" s="78"/>
      <c r="BS238" s="78"/>
      <c r="BT238" s="78"/>
      <c r="BU238" s="78"/>
      <c r="BV238" s="78"/>
      <c r="BW238" s="78"/>
      <c r="BX238" s="78"/>
      <c r="BY238" s="78"/>
      <c r="BZ238" s="78"/>
      <c r="CA238" s="78"/>
      <c r="CB238" s="78"/>
      <c r="CC238" s="78"/>
      <c r="CD238" s="78"/>
      <c r="CE238" s="78"/>
      <c r="CF238" s="78"/>
      <c r="CG238" s="78"/>
      <c r="CH238" s="78"/>
      <c r="CI238" s="78"/>
      <c r="CJ238" s="78"/>
      <c r="CK238" s="78"/>
      <c r="CL238" s="78"/>
      <c r="CM238" s="78"/>
      <c r="CN238" s="78"/>
      <c r="CO238" s="78"/>
      <c r="CP238" s="78"/>
      <c r="CQ238" s="78"/>
      <c r="CR238" s="78"/>
      <c r="CS238" s="78"/>
      <c r="CT238" s="78"/>
      <c r="CU238" s="78"/>
      <c r="CV238" s="78"/>
      <c r="CW238" s="78"/>
      <c r="CX238" s="78"/>
      <c r="CY238" s="78"/>
      <c r="CZ238" s="78"/>
      <c r="DA238" s="78"/>
      <c r="DB238" s="78"/>
      <c r="DC238" s="78"/>
      <c r="DD238" s="78"/>
      <c r="DE238" s="78"/>
      <c r="DF238" s="78"/>
      <c r="DG238" s="78"/>
      <c r="DH238" s="78"/>
      <c r="DI238" s="78"/>
      <c r="DJ238" s="78"/>
      <c r="DK238" s="78"/>
      <c r="DL238" s="78"/>
      <c r="DM238" s="78"/>
      <c r="DN238" s="78"/>
      <c r="DO238" s="78"/>
      <c r="DP238" s="78"/>
      <c r="DQ238" s="78"/>
      <c r="DR238" s="78"/>
      <c r="DS238" s="78"/>
      <c r="DT238" s="78"/>
      <c r="DU238" s="78"/>
      <c r="DV238" s="78"/>
      <c r="DW238" s="78"/>
      <c r="DX238" s="78"/>
      <c r="DY238" s="78"/>
      <c r="DZ238" s="78"/>
      <c r="EA238" s="78"/>
      <c r="EB238" s="78"/>
      <c r="EC238" s="78"/>
      <c r="ED238" s="78"/>
      <c r="EE238" s="78"/>
      <c r="EF238" s="78"/>
      <c r="EG238" s="78"/>
      <c r="EH238" s="78"/>
      <c r="EI238" s="78"/>
      <c r="EJ238" s="78"/>
      <c r="EK238" s="78"/>
      <c r="EL238" s="78"/>
      <c r="EM238" s="78"/>
      <c r="EN238" s="91"/>
      <c r="EO238" s="91"/>
      <c r="EP238" s="91"/>
      <c r="EQ238" s="91"/>
      <c r="ER238" s="91"/>
      <c r="ES238" s="91"/>
    </row>
    <row r="239" spans="1:149" outlineLevel="1">
      <c r="A239" s="29" t="str">
        <f t="shared" si="32"/>
        <v>PROPERTY_ENERGY_CERTIFICATECURRENT_ENERGY_RATING_PERCENTAGE</v>
      </c>
      <c r="B239" s="67"/>
      <c r="C239" s="68"/>
      <c r="D239" s="64" t="s">
        <v>40</v>
      </c>
      <c r="E239" s="66" t="s">
        <v>123</v>
      </c>
      <c r="F239" s="66" t="s">
        <v>1957</v>
      </c>
      <c r="G239" s="64" t="str">
        <f>INDEX(Auxiliar!$B$16:$B$24,MATCH(Plano_V3!H239,Auxiliar!$C$16:$C$24,0),1)</f>
        <v>1. Concluído</v>
      </c>
      <c r="H239" s="64">
        <f>VLOOKUP(A239,'Aux - pivots1'!$A:$B,2,0)</f>
        <v>1</v>
      </c>
      <c r="I239" s="180">
        <f>SUMIFS(Table1[Estimação (horas)],Table1[Tabela],Plano_V3!E239,Table1[Campo],Plano_V3!F239)</f>
        <v>4.0999999999999996</v>
      </c>
      <c r="J239" s="180">
        <f>I239/8</f>
        <v>0.51249999999999996</v>
      </c>
      <c r="K239" s="180">
        <f>SUMIFS(Table1[Horas efetivas],Table1[Tabela],Plano_V3!E239,Table1[Campo],Plano_V3!F239)</f>
        <v>4.0999999999999996</v>
      </c>
      <c r="L239" s="180">
        <f>K239/8</f>
        <v>0.51249999999999996</v>
      </c>
      <c r="M239" s="174"/>
      <c r="N239" s="174">
        <f>L239/J239</f>
        <v>1</v>
      </c>
      <c r="O239" s="174">
        <f>N239-M239</f>
        <v>1</v>
      </c>
      <c r="P239" s="87" t="s">
        <v>124</v>
      </c>
      <c r="Q239" s="90"/>
      <c r="R239" s="78"/>
      <c r="S239" s="78"/>
      <c r="T239" s="78"/>
      <c r="U239" s="78"/>
      <c r="V239" s="78"/>
      <c r="W239" s="78"/>
      <c r="X239" s="78"/>
      <c r="Y239" s="78"/>
      <c r="Z239" s="78"/>
      <c r="AA239" s="78"/>
      <c r="AB239" s="78"/>
      <c r="AC239" s="78"/>
      <c r="AD239" s="78"/>
      <c r="AE239" s="78"/>
      <c r="AF239" s="78"/>
      <c r="AG239" s="78"/>
      <c r="AH239" s="78"/>
      <c r="AI239" s="78"/>
      <c r="AJ239" s="78"/>
      <c r="AK239" s="78"/>
      <c r="AL239" s="78"/>
      <c r="AM239" s="78"/>
      <c r="AN239" s="78"/>
      <c r="AO239" s="78"/>
      <c r="AP239" s="78"/>
      <c r="AQ239" s="78"/>
      <c r="AR239" s="78"/>
      <c r="AS239" s="78"/>
      <c r="AT239" s="78"/>
      <c r="AU239" s="78"/>
      <c r="AV239" s="78"/>
      <c r="AW239" s="78"/>
      <c r="AX239" s="78"/>
      <c r="AY239" s="91"/>
      <c r="AZ239" s="78"/>
      <c r="BA239" s="78"/>
      <c r="BB239" s="78"/>
      <c r="BC239" s="78"/>
      <c r="BD239" s="78"/>
      <c r="BE239" s="78"/>
      <c r="BF239" s="78"/>
      <c r="BG239" s="78"/>
      <c r="BH239" s="78"/>
      <c r="BI239" s="78"/>
      <c r="BJ239" s="78"/>
      <c r="BK239" s="78"/>
      <c r="BL239" s="78"/>
      <c r="BM239" s="78"/>
      <c r="BN239" s="78"/>
      <c r="BO239" s="78"/>
      <c r="BP239" s="78"/>
      <c r="BQ239" s="78"/>
      <c r="BR239" s="78"/>
      <c r="BS239" s="78"/>
      <c r="BT239" s="78"/>
      <c r="BU239" s="78"/>
      <c r="BV239" s="78"/>
      <c r="BW239" s="78"/>
      <c r="BX239" s="78"/>
      <c r="BY239" s="78"/>
      <c r="BZ239" s="78"/>
      <c r="CA239" s="78"/>
      <c r="CB239" s="78"/>
      <c r="CC239" s="78"/>
      <c r="CD239" s="78"/>
      <c r="CE239" s="78"/>
      <c r="CF239" s="78"/>
      <c r="CG239" s="78"/>
      <c r="CH239" s="78"/>
      <c r="CI239" s="78"/>
      <c r="CJ239" s="78"/>
      <c r="CK239" s="78"/>
      <c r="CL239" s="78"/>
      <c r="CM239" s="78"/>
      <c r="CN239" s="78"/>
      <c r="CO239" s="78"/>
      <c r="CP239" s="78"/>
      <c r="CQ239" s="78"/>
      <c r="CR239" s="78"/>
      <c r="CS239" s="78"/>
      <c r="CT239" s="78"/>
      <c r="CU239" s="78"/>
      <c r="CV239" s="78"/>
      <c r="CW239" s="78"/>
      <c r="CX239" s="78"/>
      <c r="CY239" s="78"/>
      <c r="CZ239" s="78"/>
      <c r="DA239" s="78"/>
      <c r="DB239" s="78"/>
      <c r="DC239" s="78"/>
      <c r="DD239" s="78"/>
      <c r="DE239" s="78"/>
      <c r="DF239" s="78"/>
      <c r="DG239" s="78"/>
      <c r="DH239" s="78"/>
      <c r="DI239" s="78"/>
      <c r="DJ239" s="78"/>
      <c r="DK239" s="78"/>
      <c r="DL239" s="78"/>
      <c r="DM239" s="78"/>
      <c r="DN239" s="78"/>
      <c r="DO239" s="78"/>
      <c r="DP239" s="78"/>
      <c r="DQ239" s="78"/>
      <c r="DR239" s="78"/>
      <c r="DS239" s="78"/>
      <c r="DT239" s="78"/>
      <c r="DU239" s="78"/>
      <c r="DV239" s="78"/>
      <c r="DW239" s="78"/>
      <c r="DX239" s="78"/>
      <c r="DY239" s="78"/>
      <c r="DZ239" s="78"/>
      <c r="EA239" s="78"/>
      <c r="EB239" s="78"/>
      <c r="EC239" s="78"/>
      <c r="ED239" s="78"/>
      <c r="EE239" s="78"/>
      <c r="EF239" s="78"/>
      <c r="EG239" s="78"/>
      <c r="EH239" s="78"/>
      <c r="EI239" s="78"/>
      <c r="EJ239" s="78"/>
      <c r="EK239" s="78"/>
      <c r="EL239" s="78"/>
      <c r="EM239" s="78"/>
      <c r="EN239" s="91"/>
      <c r="EO239" s="91"/>
      <c r="EP239" s="91"/>
      <c r="EQ239" s="91"/>
      <c r="ER239" s="91"/>
      <c r="ES239" s="91"/>
    </row>
    <row r="240" spans="1:149" outlineLevel="1">
      <c r="A240" s="29" t="str">
        <f t="shared" si="32"/>
        <v>PROPERTY_ENERGY_CERTIFICATEGPS_LATITUDE</v>
      </c>
      <c r="B240" s="67"/>
      <c r="C240" s="68"/>
      <c r="D240" s="64" t="s">
        <v>40</v>
      </c>
      <c r="E240" s="66" t="s">
        <v>123</v>
      </c>
      <c r="F240" s="66" t="s">
        <v>2426</v>
      </c>
      <c r="G240" s="64" t="str">
        <f>INDEX(Auxiliar!$B$16:$B$24,MATCH(Plano_V3!H240,Auxiliar!$C$16:$C$24,0),1)</f>
        <v>1. Concluído</v>
      </c>
      <c r="H240" s="64">
        <f>VLOOKUP(A240,'Aux - pivots1'!$A:$B,2,0)</f>
        <v>1</v>
      </c>
      <c r="I240" s="180">
        <f>SUMIFS(Table1[Estimação (horas)],Table1[Tabela],Plano_V3!E240,Table1[Campo],Plano_V3!F240)</f>
        <v>2</v>
      </c>
      <c r="J240" s="180">
        <f>I240/8</f>
        <v>0.25</v>
      </c>
      <c r="K240" s="180">
        <f>SUMIFS(Table1[Horas efetivas],Table1[Tabela],Plano_V3!E240,Table1[Campo],Plano_V3!F240)</f>
        <v>2</v>
      </c>
      <c r="L240" s="180"/>
      <c r="M240" s="174"/>
      <c r="N240" s="174"/>
      <c r="O240" s="174"/>
      <c r="P240" s="87"/>
      <c r="Q240" s="90"/>
      <c r="R240" s="78"/>
      <c r="S240" s="78"/>
      <c r="T240" s="78"/>
      <c r="U240" s="78"/>
      <c r="V240" s="78"/>
      <c r="W240" s="78"/>
      <c r="X240" s="78"/>
      <c r="Y240" s="78"/>
      <c r="Z240" s="78"/>
      <c r="AA240" s="78"/>
      <c r="AB240" s="78"/>
      <c r="AC240" s="78"/>
      <c r="AD240" s="78"/>
      <c r="AE240" s="78"/>
      <c r="AF240" s="78"/>
      <c r="AG240" s="78"/>
      <c r="AH240" s="78"/>
      <c r="AI240" s="78"/>
      <c r="AJ240" s="78"/>
      <c r="AK240" s="78"/>
      <c r="AL240" s="78"/>
      <c r="AM240" s="78"/>
      <c r="AN240" s="78"/>
      <c r="AO240" s="78"/>
      <c r="AP240" s="78"/>
      <c r="AQ240" s="78"/>
      <c r="AR240" s="78"/>
      <c r="AS240" s="78"/>
      <c r="AT240" s="78"/>
      <c r="AU240" s="78"/>
      <c r="AV240" s="78"/>
      <c r="AW240" s="78"/>
      <c r="AX240" s="78"/>
      <c r="AY240" s="91"/>
      <c r="AZ240" s="78"/>
      <c r="BA240" s="78"/>
      <c r="BB240" s="78"/>
      <c r="BC240" s="78"/>
      <c r="BD240" s="78"/>
      <c r="BE240" s="78"/>
      <c r="BF240" s="78"/>
      <c r="BG240" s="78"/>
      <c r="BH240" s="78"/>
      <c r="BI240" s="78"/>
      <c r="BJ240" s="78"/>
      <c r="BK240" s="78"/>
      <c r="BL240" s="78"/>
      <c r="BM240" s="78"/>
      <c r="BN240" s="78"/>
      <c r="BO240" s="78"/>
      <c r="BP240" s="78"/>
      <c r="BQ240" s="78"/>
      <c r="BR240" s="78"/>
      <c r="BS240" s="78"/>
      <c r="BT240" s="78"/>
      <c r="BU240" s="78"/>
      <c r="BV240" s="78"/>
      <c r="BW240" s="78"/>
      <c r="BX240" s="78"/>
      <c r="BY240" s="78"/>
      <c r="BZ240" s="78"/>
      <c r="CA240" s="78"/>
      <c r="CB240" s="78"/>
      <c r="CC240" s="78"/>
      <c r="CD240" s="78"/>
      <c r="CE240" s="78"/>
      <c r="CF240" s="78"/>
      <c r="CG240" s="78"/>
      <c r="CH240" s="78"/>
      <c r="CI240" s="78"/>
      <c r="CJ240" s="78"/>
      <c r="CK240" s="78"/>
      <c r="CL240" s="78"/>
      <c r="CM240" s="78"/>
      <c r="CN240" s="78"/>
      <c r="CO240" s="78"/>
      <c r="CP240" s="78"/>
      <c r="CQ240" s="78"/>
      <c r="CR240" s="78"/>
      <c r="CS240" s="78"/>
      <c r="CT240" s="78"/>
      <c r="CU240" s="78"/>
      <c r="CV240" s="78"/>
      <c r="CW240" s="78"/>
      <c r="CX240" s="78"/>
      <c r="CY240" s="78"/>
      <c r="CZ240" s="78"/>
      <c r="DA240" s="78"/>
      <c r="DB240" s="78"/>
      <c r="DC240" s="78"/>
      <c r="DD240" s="78"/>
      <c r="DE240" s="78"/>
      <c r="DF240" s="78"/>
      <c r="DG240" s="78"/>
      <c r="DH240" s="78"/>
      <c r="DI240" s="78"/>
      <c r="DJ240" s="78"/>
      <c r="DK240" s="78"/>
      <c r="DL240" s="78"/>
      <c r="DM240" s="78"/>
      <c r="DN240" s="78"/>
      <c r="DO240" s="78"/>
      <c r="DP240" s="78"/>
      <c r="DQ240" s="78"/>
      <c r="DR240" s="78"/>
      <c r="DS240" s="78"/>
      <c r="DT240" s="78"/>
      <c r="DU240" s="78"/>
      <c r="DV240" s="78"/>
      <c r="DW240" s="78"/>
      <c r="DX240" s="78"/>
      <c r="DY240" s="78"/>
      <c r="DZ240" s="78"/>
      <c r="EA240" s="78"/>
      <c r="EB240" s="78"/>
      <c r="EC240" s="78"/>
      <c r="ED240" s="78"/>
      <c r="EE240" s="78"/>
      <c r="EF240" s="78"/>
      <c r="EG240" s="78"/>
      <c r="EH240" s="78"/>
      <c r="EI240" s="78"/>
      <c r="EJ240" s="78"/>
      <c r="EK240" s="78"/>
      <c r="EL240" s="78"/>
      <c r="EM240" s="78"/>
      <c r="EN240" s="91"/>
      <c r="EO240" s="91"/>
      <c r="EP240" s="91"/>
      <c r="EQ240" s="91"/>
      <c r="ER240" s="91"/>
      <c r="ES240" s="91"/>
    </row>
    <row r="241" spans="1:16384" outlineLevel="1">
      <c r="A241" s="29" t="str">
        <f t="shared" si="32"/>
        <v>PROPERTY_ENERGY_CERTIFICATEGPS_LONGITUDE</v>
      </c>
      <c r="B241" s="67"/>
      <c r="C241" s="68"/>
      <c r="D241" s="64" t="s">
        <v>40</v>
      </c>
      <c r="E241" s="66" t="s">
        <v>123</v>
      </c>
      <c r="F241" s="66" t="s">
        <v>2427</v>
      </c>
      <c r="G241" s="64" t="str">
        <f>INDEX(Auxiliar!$B$16:$B$24,MATCH(Plano_V3!H241,Auxiliar!$C$16:$C$24,0),1)</f>
        <v>1. Concluído</v>
      </c>
      <c r="H241" s="64">
        <f>VLOOKUP(A241,'Aux - pivots1'!$A:$B,2,0)</f>
        <v>1</v>
      </c>
      <c r="I241" s="180">
        <f>SUMIFS(Table1[Estimação (horas)],Table1[Tabela],Plano_V3!E241,Table1[Campo],Plano_V3!F241)</f>
        <v>2</v>
      </c>
      <c r="J241" s="180">
        <f>I241/8</f>
        <v>0.25</v>
      </c>
      <c r="K241" s="180">
        <f>SUMIFS(Table1[Horas efetivas],Table1[Tabela],Plano_V3!E241,Table1[Campo],Plano_V3!F241)</f>
        <v>2</v>
      </c>
      <c r="L241" s="180"/>
      <c r="M241" s="174"/>
      <c r="N241" s="174"/>
      <c r="O241" s="174"/>
      <c r="P241" s="87"/>
      <c r="Q241" s="90"/>
      <c r="R241" s="78"/>
      <c r="S241" s="78"/>
      <c r="T241" s="78"/>
      <c r="U241" s="78"/>
      <c r="V241" s="78"/>
      <c r="W241" s="78"/>
      <c r="X241" s="78"/>
      <c r="Y241" s="78"/>
      <c r="Z241" s="78"/>
      <c r="AA241" s="78"/>
      <c r="AB241" s="78"/>
      <c r="AC241" s="78"/>
      <c r="AD241" s="78"/>
      <c r="AE241" s="78"/>
      <c r="AF241" s="78"/>
      <c r="AG241" s="78"/>
      <c r="AH241" s="78"/>
      <c r="AI241" s="78"/>
      <c r="AJ241" s="78"/>
      <c r="AK241" s="78"/>
      <c r="AL241" s="78"/>
      <c r="AM241" s="78"/>
      <c r="AN241" s="78"/>
      <c r="AO241" s="78"/>
      <c r="AP241" s="78"/>
      <c r="AQ241" s="78"/>
      <c r="AR241" s="78"/>
      <c r="AS241" s="78"/>
      <c r="AT241" s="78"/>
      <c r="AU241" s="78"/>
      <c r="AV241" s="78"/>
      <c r="AW241" s="78"/>
      <c r="AX241" s="78"/>
      <c r="AY241" s="91"/>
      <c r="AZ241" s="78"/>
      <c r="BA241" s="78"/>
      <c r="BB241" s="78"/>
      <c r="BC241" s="78"/>
      <c r="BD241" s="78"/>
      <c r="BE241" s="78"/>
      <c r="BF241" s="78"/>
      <c r="BG241" s="78"/>
      <c r="BH241" s="78"/>
      <c r="BI241" s="78"/>
      <c r="BJ241" s="78"/>
      <c r="BK241" s="78"/>
      <c r="BL241" s="78"/>
      <c r="BM241" s="78"/>
      <c r="BN241" s="78"/>
      <c r="BO241" s="78"/>
      <c r="BP241" s="78"/>
      <c r="BQ241" s="78"/>
      <c r="BR241" s="78"/>
      <c r="BS241" s="78"/>
      <c r="BT241" s="78"/>
      <c r="BU241" s="78"/>
      <c r="BV241" s="78"/>
      <c r="BW241" s="78"/>
      <c r="BX241" s="78"/>
      <c r="BY241" s="78"/>
      <c r="BZ241" s="78"/>
      <c r="CA241" s="78"/>
      <c r="CB241" s="78"/>
      <c r="CC241" s="78"/>
      <c r="CD241" s="78"/>
      <c r="CE241" s="78"/>
      <c r="CF241" s="78"/>
      <c r="CG241" s="78"/>
      <c r="CH241" s="78"/>
      <c r="CI241" s="78"/>
      <c r="CJ241" s="78"/>
      <c r="CK241" s="78"/>
      <c r="CL241" s="78"/>
      <c r="CM241" s="78"/>
      <c r="CN241" s="78"/>
      <c r="CO241" s="78"/>
      <c r="CP241" s="78"/>
      <c r="CQ241" s="78"/>
      <c r="CR241" s="78"/>
      <c r="CS241" s="78"/>
      <c r="CT241" s="78"/>
      <c r="CU241" s="78"/>
      <c r="CV241" s="78"/>
      <c r="CW241" s="78"/>
      <c r="CX241" s="78"/>
      <c r="CY241" s="78"/>
      <c r="CZ241" s="78"/>
      <c r="DA241" s="78"/>
      <c r="DB241" s="78"/>
      <c r="DC241" s="78"/>
      <c r="DD241" s="78"/>
      <c r="DE241" s="78"/>
      <c r="DF241" s="78"/>
      <c r="DG241" s="78"/>
      <c r="DH241" s="78"/>
      <c r="DI241" s="78"/>
      <c r="DJ241" s="78"/>
      <c r="DK241" s="78"/>
      <c r="DL241" s="78"/>
      <c r="DM241" s="78"/>
      <c r="DN241" s="78"/>
      <c r="DO241" s="78"/>
      <c r="DP241" s="78"/>
      <c r="DQ241" s="78"/>
      <c r="DR241" s="78"/>
      <c r="DS241" s="78"/>
      <c r="DT241" s="78"/>
      <c r="DU241" s="78"/>
      <c r="DV241" s="78"/>
      <c r="DW241" s="78"/>
      <c r="DX241" s="78"/>
      <c r="DY241" s="78"/>
      <c r="DZ241" s="78"/>
      <c r="EA241" s="78"/>
      <c r="EB241" s="78"/>
      <c r="EC241" s="78"/>
      <c r="ED241" s="78"/>
      <c r="EE241" s="78"/>
      <c r="EF241" s="78"/>
      <c r="EG241" s="78"/>
      <c r="EH241" s="78"/>
      <c r="EI241" s="78"/>
      <c r="EJ241" s="78"/>
      <c r="EK241" s="78"/>
      <c r="EL241" s="78"/>
      <c r="EM241" s="78"/>
      <c r="EN241" s="91"/>
      <c r="EO241" s="91"/>
      <c r="EP241" s="91"/>
      <c r="EQ241" s="91"/>
      <c r="ER241" s="91"/>
      <c r="ES241" s="91"/>
    </row>
    <row r="242" spans="1:16384" outlineLevel="1">
      <c r="A242" s="29" t="str">
        <f t="shared" si="32"/>
        <v>Re-testesn.a.</v>
      </c>
      <c r="B242" s="67" t="s">
        <v>26</v>
      </c>
      <c r="C242" s="68" t="s">
        <v>54</v>
      </c>
      <c r="D242" s="64" t="s">
        <v>40</v>
      </c>
      <c r="E242" s="66" t="s">
        <v>53</v>
      </c>
      <c r="F242" s="64" t="s">
        <v>38</v>
      </c>
      <c r="G242" s="64"/>
      <c r="H242" s="64"/>
      <c r="I242" s="180">
        <f>SUM(I75:I237)*$D$7</f>
        <v>93.100000000000293</v>
      </c>
      <c r="J242" s="180">
        <f>I242/8</f>
        <v>11.637500000000037</v>
      </c>
      <c r="K242" s="180">
        <f>SUM(K75:K237)*$D$7</f>
        <v>92.325000000000287</v>
      </c>
      <c r="L242" s="180">
        <f>K242/8</f>
        <v>11.540625000000036</v>
      </c>
      <c r="M242" s="174"/>
      <c r="N242" s="174">
        <f t="shared" si="35"/>
        <v>0.99167561761546719</v>
      </c>
      <c r="O242" s="174">
        <f t="shared" si="30"/>
        <v>0.99167561761546719</v>
      </c>
      <c r="P242" s="87"/>
      <c r="Q242" s="90">
        <f t="shared" si="31"/>
        <v>11.637500000000037</v>
      </c>
      <c r="R242" s="78"/>
      <c r="S242" s="78"/>
      <c r="T242" s="78"/>
      <c r="U242" s="78"/>
      <c r="V242" s="78"/>
      <c r="W242" s="78"/>
      <c r="X242" s="78"/>
      <c r="Y242" s="78"/>
      <c r="Z242" s="78"/>
      <c r="AA242" s="78"/>
      <c r="AB242" s="78"/>
      <c r="AC242" s="78"/>
      <c r="AD242" s="78"/>
      <c r="AE242" s="78"/>
      <c r="AF242" s="78"/>
      <c r="AG242" s="78"/>
      <c r="AH242" s="78"/>
      <c r="AI242" s="78"/>
      <c r="AJ242" s="78"/>
      <c r="AK242" s="78"/>
      <c r="AL242" s="78"/>
      <c r="AM242" s="78"/>
      <c r="AN242" s="78"/>
      <c r="AO242" s="78"/>
      <c r="AP242" s="78"/>
      <c r="AQ242" s="78"/>
      <c r="AR242" s="78"/>
      <c r="AS242" s="78"/>
      <c r="AT242" s="78"/>
      <c r="AU242" s="78"/>
      <c r="AV242" s="78"/>
      <c r="AW242" s="78"/>
      <c r="AX242" s="78"/>
      <c r="AY242" s="91"/>
      <c r="AZ242" s="78"/>
      <c r="BA242" s="78"/>
      <c r="BB242" s="78"/>
      <c r="BC242" s="78"/>
      <c r="BD242" s="78"/>
      <c r="BE242" s="78"/>
      <c r="BF242" s="78"/>
      <c r="BG242" s="78"/>
      <c r="BH242" s="78"/>
      <c r="BI242" s="78"/>
      <c r="BJ242" s="78"/>
      <c r="BK242" s="78"/>
      <c r="BL242" s="78"/>
      <c r="BM242" s="78"/>
      <c r="BN242" s="78"/>
      <c r="BO242" s="78"/>
      <c r="BP242" s="78"/>
      <c r="BQ242" s="78"/>
      <c r="BR242" s="78"/>
      <c r="BS242" s="78"/>
      <c r="BT242" s="78"/>
      <c r="BU242" s="78"/>
      <c r="BV242" s="78"/>
      <c r="BW242" s="78"/>
      <c r="BX242" s="78"/>
      <c r="BY242" s="78"/>
      <c r="BZ242" s="78"/>
      <c r="CA242" s="78"/>
      <c r="CB242" s="78"/>
      <c r="CC242" s="78"/>
      <c r="CD242" s="78"/>
      <c r="CE242" s="78"/>
      <c r="CF242" s="78"/>
      <c r="CG242" s="78"/>
      <c r="CH242" s="78"/>
      <c r="CI242" s="78"/>
      <c r="CJ242" s="78"/>
      <c r="CK242" s="78"/>
      <c r="CL242" s="78"/>
      <c r="CM242" s="78"/>
      <c r="CN242" s="78"/>
      <c r="CO242" s="78"/>
      <c r="CP242" s="78"/>
      <c r="CQ242" s="78"/>
      <c r="CR242" s="78"/>
      <c r="CS242" s="78"/>
      <c r="CT242" s="78"/>
      <c r="CU242" s="78"/>
      <c r="CV242" s="78"/>
      <c r="CW242" s="78"/>
      <c r="CX242" s="78"/>
      <c r="CY242" s="78"/>
      <c r="CZ242" s="78"/>
      <c r="DA242" s="78"/>
      <c r="DB242" s="78"/>
      <c r="DC242" s="78"/>
      <c r="DD242" s="78"/>
      <c r="DE242" s="78"/>
      <c r="DF242" s="78"/>
      <c r="DG242" s="78"/>
      <c r="DH242" s="78"/>
      <c r="DI242" s="78"/>
      <c r="DJ242" s="78"/>
      <c r="DK242" s="78"/>
      <c r="DL242" s="78"/>
      <c r="DM242" s="78"/>
      <c r="DN242" s="78"/>
      <c r="DO242" s="78"/>
      <c r="DP242" s="78"/>
      <c r="DQ242" s="78"/>
      <c r="DR242" s="78"/>
      <c r="DS242" s="78"/>
      <c r="DT242" s="78"/>
      <c r="DU242" s="78"/>
      <c r="DV242" s="78"/>
      <c r="DW242" s="78"/>
      <c r="DX242" s="78"/>
      <c r="DY242" s="78"/>
      <c r="DZ242" s="78"/>
      <c r="EA242" s="78"/>
      <c r="EB242" s="78"/>
      <c r="EC242" s="78"/>
      <c r="ED242" s="78"/>
      <c r="EE242" s="78"/>
      <c r="EF242" s="78"/>
      <c r="EG242" s="78"/>
      <c r="EH242" s="78"/>
      <c r="EI242" s="78"/>
      <c r="EJ242" s="78"/>
      <c r="EK242" s="78"/>
      <c r="EL242" s="78"/>
      <c r="EM242" s="78"/>
      <c r="EN242" s="91"/>
      <c r="EO242" s="91"/>
      <c r="EP242" s="91"/>
      <c r="EQ242" s="91"/>
      <c r="ER242" s="91"/>
      <c r="ES242" s="91"/>
    </row>
    <row r="243" spans="1:16384" ht="66">
      <c r="A243" s="29" t="str">
        <f t="shared" ref="A243:A274" si="40">E243&amp;F243</f>
        <v/>
      </c>
      <c r="B243" s="63" t="s">
        <v>26</v>
      </c>
      <c r="C243" s="96" t="s">
        <v>181</v>
      </c>
      <c r="D243" s="96"/>
      <c r="E243" s="103"/>
      <c r="F243" s="96"/>
      <c r="G243" s="96"/>
      <c r="H243" s="96"/>
      <c r="I243" s="179" t="e">
        <f>SUM(I244:I451)</f>
        <v>#N/A</v>
      </c>
      <c r="J243" s="179" t="e">
        <f>ROUNDUP(I243/8,0)</f>
        <v>#N/A</v>
      </c>
      <c r="K243" s="179" t="e">
        <f>SUM(K244:K451)</f>
        <v>#N/A</v>
      </c>
      <c r="L243" s="179" t="e">
        <f>ROUNDUP(K243/8,0)</f>
        <v>#N/A</v>
      </c>
      <c r="M243" s="178" t="e">
        <f>SUMIFS(R243:ES243,$R$9:$ES$9,"S")/J243</f>
        <v>#N/A</v>
      </c>
      <c r="N243" s="178">
        <f>IFERROR(L243/J243,0)</f>
        <v>0</v>
      </c>
      <c r="O243" s="178" t="e">
        <f t="shared" si="30"/>
        <v>#N/A</v>
      </c>
      <c r="P243" s="185" t="s">
        <v>1844</v>
      </c>
      <c r="Q243" s="90" t="e">
        <f t="shared" si="31"/>
        <v>#N/A</v>
      </c>
      <c r="R243" s="78"/>
      <c r="S243" s="78"/>
      <c r="T243" s="78"/>
      <c r="U243" s="78"/>
      <c r="V243" s="78"/>
      <c r="W243" s="78"/>
      <c r="X243" s="78"/>
      <c r="Y243" s="78"/>
      <c r="Z243" s="78"/>
      <c r="AA243" s="78"/>
      <c r="AB243" s="78"/>
      <c r="AC243" s="78">
        <v>0.5</v>
      </c>
      <c r="AD243" s="78">
        <v>0.5</v>
      </c>
      <c r="AE243" s="78">
        <v>1</v>
      </c>
      <c r="AF243" s="78">
        <v>1</v>
      </c>
      <c r="AG243" s="189"/>
      <c r="AH243" s="78">
        <v>0.5</v>
      </c>
      <c r="AI243" s="189"/>
      <c r="AJ243" s="189"/>
      <c r="AK243" s="78">
        <v>0.5</v>
      </c>
      <c r="AL243" s="78">
        <v>0.5</v>
      </c>
      <c r="AM243" s="78">
        <v>2</v>
      </c>
      <c r="AN243" s="78">
        <v>2</v>
      </c>
      <c r="AO243" s="78">
        <v>1.5</v>
      </c>
      <c r="AP243" s="78">
        <v>1.5</v>
      </c>
      <c r="AQ243" s="78">
        <v>1.5</v>
      </c>
      <c r="AR243" s="78">
        <v>2</v>
      </c>
      <c r="AS243" s="78">
        <v>2</v>
      </c>
      <c r="AT243" s="78">
        <v>2</v>
      </c>
      <c r="AU243" s="78">
        <v>2</v>
      </c>
      <c r="AV243" s="78">
        <v>1</v>
      </c>
      <c r="AW243" s="78">
        <v>1</v>
      </c>
      <c r="AX243" s="78"/>
      <c r="AY243" s="91"/>
      <c r="AZ243" s="78"/>
      <c r="BA243" s="78"/>
      <c r="BB243" s="78"/>
      <c r="BC243" s="78"/>
      <c r="BD243" s="78"/>
      <c r="BE243" s="78"/>
      <c r="BF243" s="78"/>
      <c r="BG243" s="78"/>
      <c r="BH243" s="78"/>
      <c r="BI243" s="78"/>
      <c r="BJ243" s="78"/>
      <c r="BK243" s="78"/>
      <c r="BL243" s="78"/>
      <c r="BM243" s="78"/>
      <c r="BN243" s="78"/>
      <c r="BO243" s="78"/>
      <c r="BP243" s="78"/>
      <c r="BQ243" s="78"/>
      <c r="BR243" s="78"/>
      <c r="BS243" s="78"/>
      <c r="BT243" s="78"/>
      <c r="BU243" s="78"/>
      <c r="BV243" s="78"/>
      <c r="BW243" s="78"/>
      <c r="BX243" s="78"/>
      <c r="BY243" s="78"/>
      <c r="BZ243" s="78"/>
      <c r="CA243" s="78"/>
      <c r="CB243" s="78"/>
      <c r="CC243" s="78"/>
      <c r="CD243" s="78"/>
      <c r="CE243" s="78"/>
      <c r="CF243" s="78"/>
      <c r="CG243" s="78"/>
      <c r="CH243" s="78"/>
      <c r="CI243" s="78"/>
      <c r="CJ243" s="78"/>
      <c r="CK243" s="78"/>
      <c r="CL243" s="78"/>
      <c r="CM243" s="78"/>
      <c r="CN243" s="78"/>
      <c r="CO243" s="78"/>
      <c r="CP243" s="78"/>
      <c r="CQ243" s="78"/>
      <c r="CR243" s="78"/>
      <c r="CS243" s="78"/>
      <c r="CT243" s="78"/>
      <c r="CU243" s="78"/>
      <c r="CV243" s="78"/>
      <c r="CW243" s="78"/>
      <c r="CX243" s="78"/>
      <c r="CY243" s="78"/>
      <c r="CZ243" s="78"/>
      <c r="DA243" s="78"/>
      <c r="DB243" s="78"/>
      <c r="DC243" s="78"/>
      <c r="DD243" s="78"/>
      <c r="DE243" s="78"/>
      <c r="DF243" s="78"/>
      <c r="DG243" s="78"/>
      <c r="DH243" s="78"/>
      <c r="DI243" s="78"/>
      <c r="DJ243" s="78"/>
      <c r="DK243" s="78"/>
      <c r="DL243" s="78"/>
      <c r="DM243" s="78"/>
      <c r="DN243" s="78"/>
      <c r="DO243" s="78"/>
      <c r="DP243" s="78"/>
      <c r="DQ243" s="78"/>
      <c r="DR243" s="78"/>
      <c r="DS243" s="78"/>
      <c r="DT243" s="78"/>
      <c r="DU243" s="78"/>
      <c r="DV243" s="78"/>
      <c r="DW243" s="78"/>
      <c r="DX243" s="78"/>
      <c r="DY243" s="78"/>
      <c r="DZ243" s="78"/>
      <c r="EA243" s="78"/>
      <c r="EB243" s="78"/>
      <c r="EC243" s="78"/>
      <c r="ED243" s="78"/>
      <c r="EE243" s="78"/>
      <c r="EF243" s="78"/>
      <c r="EG243" s="78"/>
      <c r="EH243" s="78"/>
      <c r="EI243" s="78"/>
      <c r="EJ243" s="78"/>
      <c r="EK243" s="78"/>
      <c r="EL243" s="78"/>
      <c r="EM243" s="78"/>
      <c r="EN243" s="91"/>
      <c r="EO243" s="91"/>
      <c r="EP243" s="91"/>
      <c r="EQ243" s="91"/>
      <c r="ER243" s="91"/>
      <c r="ES243" s="91"/>
    </row>
    <row r="244" spans="1:16384" outlineLevel="1">
      <c r="A244" s="29" t="str">
        <f t="shared" si="40"/>
        <v>modesg_param_sfics_taxon_europeian.a.</v>
      </c>
      <c r="B244" s="67" t="s">
        <v>26</v>
      </c>
      <c r="C244" s="68" t="s">
        <v>181</v>
      </c>
      <c r="D244" s="64" t="s">
        <v>36</v>
      </c>
      <c r="E244" s="66" t="s">
        <v>2096</v>
      </c>
      <c r="F244" s="64" t="s">
        <v>38</v>
      </c>
      <c r="G244" s="64" t="str">
        <f>INDEX(Auxiliar!$B$16:$B$24,MATCH(Plano_V3!H244,Auxiliar!$C$16:$C$24,0),1)</f>
        <v>1. Concluído</v>
      </c>
      <c r="H244" s="64">
        <f>VLOOKUP(A244,'Aux - pivots1'!$A:$B,2,0)</f>
        <v>1</v>
      </c>
      <c r="I244" s="180">
        <f>SUMIFS(Table1[Estimação (horas)],Table1[Tabela],Plano_V3!E244,Table1[Campo],Plano_V3!F244)</f>
        <v>8.5</v>
      </c>
      <c r="J244" s="180">
        <f t="shared" ref="J244:J330" si="41">I244/8</f>
        <v>1.0625</v>
      </c>
      <c r="K244" s="180">
        <f>SUMIFS(Table1[Horas efetivas],Table1[Tabela],Plano_V3!E244,Table1[Campo],Plano_V3!F244)</f>
        <v>8.5</v>
      </c>
      <c r="L244" s="180">
        <f>K244/8</f>
        <v>1.0625</v>
      </c>
      <c r="M244" s="174"/>
      <c r="N244" s="174">
        <f>L244/J244</f>
        <v>1</v>
      </c>
      <c r="O244" s="174">
        <f t="shared" si="30"/>
        <v>1</v>
      </c>
      <c r="P244" s="89" t="s">
        <v>39</v>
      </c>
      <c r="Q244" s="90">
        <f t="shared" si="31"/>
        <v>1.0625</v>
      </c>
      <c r="R244" s="78"/>
      <c r="S244" s="78"/>
      <c r="T244" s="78"/>
      <c r="U244" s="78"/>
      <c r="V244" s="78"/>
      <c r="W244" s="78"/>
      <c r="X244" s="78"/>
      <c r="Y244" s="78"/>
      <c r="Z244" s="78"/>
      <c r="AA244" s="78"/>
      <c r="AB244" s="78"/>
      <c r="AC244" s="78"/>
      <c r="AD244" s="78"/>
      <c r="AE244" s="78"/>
      <c r="AF244" s="78"/>
      <c r="AG244" s="78"/>
      <c r="AH244" s="78"/>
      <c r="AI244" s="78"/>
      <c r="AJ244" s="78"/>
      <c r="AK244" s="78"/>
      <c r="AL244" s="78"/>
      <c r="AM244" s="78"/>
      <c r="AN244" s="78"/>
      <c r="AO244" s="78"/>
      <c r="AP244" s="78"/>
      <c r="AQ244" s="78"/>
      <c r="AR244" s="78"/>
      <c r="AS244" s="78"/>
      <c r="AT244" s="78"/>
      <c r="AU244" s="78"/>
      <c r="AV244" s="78"/>
      <c r="AW244" s="78"/>
      <c r="AX244" s="78"/>
      <c r="AY244" s="91"/>
      <c r="AZ244" s="78"/>
      <c r="BA244" s="78"/>
      <c r="BB244" s="78"/>
      <c r="BC244" s="78"/>
      <c r="BD244" s="78"/>
      <c r="BE244" s="78"/>
      <c r="BF244" s="78"/>
      <c r="BG244" s="78"/>
      <c r="BH244" s="78"/>
      <c r="BI244" s="78"/>
      <c r="BJ244" s="78"/>
      <c r="BK244" s="78"/>
      <c r="BL244" s="78"/>
      <c r="BM244" s="78"/>
      <c r="BN244" s="78"/>
      <c r="BO244" s="78"/>
      <c r="BP244" s="78"/>
      <c r="BQ244" s="78"/>
      <c r="BR244" s="78"/>
      <c r="BS244" s="78"/>
      <c r="BT244" s="78"/>
      <c r="BU244" s="78"/>
      <c r="BV244" s="78"/>
      <c r="BW244" s="78"/>
      <c r="BX244" s="78"/>
      <c r="BY244" s="78"/>
      <c r="BZ244" s="78"/>
      <c r="CA244" s="78"/>
      <c r="CB244" s="78"/>
      <c r="CC244" s="78"/>
      <c r="CD244" s="78"/>
      <c r="CE244" s="78"/>
      <c r="CF244" s="78"/>
      <c r="CG244" s="78"/>
      <c r="CH244" s="78"/>
      <c r="CI244" s="78"/>
      <c r="CJ244" s="78"/>
      <c r="CK244" s="78"/>
      <c r="CL244" s="78"/>
      <c r="CM244" s="78"/>
      <c r="CN244" s="78"/>
      <c r="CO244" s="78"/>
      <c r="CP244" s="78"/>
      <c r="CQ244" s="78"/>
      <c r="CR244" s="78"/>
      <c r="CS244" s="78"/>
      <c r="CT244" s="78"/>
      <c r="CU244" s="78"/>
      <c r="CV244" s="78"/>
      <c r="CW244" s="78"/>
      <c r="CX244" s="78"/>
      <c r="CY244" s="78"/>
      <c r="CZ244" s="78"/>
      <c r="DA244" s="78"/>
      <c r="DB244" s="78"/>
      <c r="DC244" s="78"/>
      <c r="DD244" s="78"/>
      <c r="DE244" s="78"/>
      <c r="DF244" s="78"/>
      <c r="DG244" s="78"/>
      <c r="DH244" s="78"/>
      <c r="DI244" s="78"/>
      <c r="DJ244" s="78"/>
      <c r="DK244" s="78"/>
      <c r="DL244" s="78"/>
      <c r="DM244" s="78"/>
      <c r="DN244" s="78"/>
      <c r="DO244" s="78"/>
      <c r="DP244" s="78"/>
      <c r="DQ244" s="78"/>
      <c r="DR244" s="78"/>
      <c r="DS244" s="78"/>
      <c r="DT244" s="78"/>
      <c r="DU244" s="78"/>
      <c r="DV244" s="78"/>
      <c r="DW244" s="78"/>
      <c r="DX244" s="78"/>
      <c r="DY244" s="78"/>
      <c r="DZ244" s="78"/>
      <c r="EA244" s="78"/>
      <c r="EB244" s="78"/>
      <c r="EC244" s="78"/>
      <c r="ED244" s="78"/>
      <c r="EE244" s="78"/>
      <c r="EF244" s="78"/>
      <c r="EG244" s="78"/>
      <c r="EH244" s="78"/>
      <c r="EI244" s="78"/>
      <c r="EJ244" s="78"/>
      <c r="EK244" s="78"/>
      <c r="EL244" s="78"/>
      <c r="EM244" s="78"/>
      <c r="EN244" s="91"/>
      <c r="EO244" s="91"/>
      <c r="EP244" s="91"/>
      <c r="EQ244" s="91"/>
      <c r="ER244" s="91"/>
      <c r="ES244" s="91"/>
    </row>
    <row r="245" spans="1:16384" outlineLevel="1">
      <c r="A245" s="29" t="str">
        <f t="shared" si="40"/>
        <v>modesg_param_sfics_taxon_europeiacod_regra</v>
      </c>
      <c r="B245" s="67" t="s">
        <v>26</v>
      </c>
      <c r="C245" s="68" t="s">
        <v>181</v>
      </c>
      <c r="D245" s="64" t="s">
        <v>40</v>
      </c>
      <c r="E245" s="66" t="s">
        <v>2096</v>
      </c>
      <c r="F245" s="64" t="s">
        <v>191</v>
      </c>
      <c r="G245" s="64" t="str">
        <f>INDEX(Auxiliar!$B$16:$B$24,MATCH(Plano_V3!H245,Auxiliar!$C$16:$C$24,0),1)</f>
        <v>1. Concluído</v>
      </c>
      <c r="H245" s="64">
        <f>VLOOKUP(A245,'Aux - pivots1'!$A:$B,2,0)</f>
        <v>1</v>
      </c>
      <c r="I245" s="180" t="e">
        <f>SUMIFS(Table1[Estimação (horas)],Table1[Tabela],Plano_V3!E245,Table1[Campo],Plano_V3!F245)</f>
        <v>#N/A</v>
      </c>
      <c r="J245" s="180" t="e">
        <f t="shared" si="41"/>
        <v>#N/A</v>
      </c>
      <c r="K245" s="180" t="e">
        <f>SUMIFS(Table1[Horas efetivas],Table1[Tabela],Plano_V3!E245,Table1[Campo],Plano_V3!F245)</f>
        <v>#N/A</v>
      </c>
      <c r="L245" s="180" t="e">
        <f t="shared" ref="L245:L331" si="42">K245/8</f>
        <v>#N/A</v>
      </c>
      <c r="M245" s="174"/>
      <c r="N245" s="174" t="e">
        <f t="shared" ref="N245:N331" si="43">L245/J245</f>
        <v>#N/A</v>
      </c>
      <c r="O245" s="174" t="e">
        <f t="shared" si="30"/>
        <v>#N/A</v>
      </c>
      <c r="P245" s="89" t="s">
        <v>39</v>
      </c>
      <c r="Q245" s="90" t="e">
        <f t="shared" si="31"/>
        <v>#N/A</v>
      </c>
      <c r="R245" s="78"/>
      <c r="S245" s="78"/>
      <c r="T245" s="78"/>
      <c r="U245" s="78"/>
      <c r="V245" s="78"/>
      <c r="W245" s="78"/>
      <c r="X245" s="78"/>
      <c r="Y245" s="78"/>
      <c r="Z245" s="78"/>
      <c r="AA245" s="78"/>
      <c r="AB245" s="78"/>
      <c r="AC245" s="78"/>
      <c r="AD245" s="78"/>
      <c r="AE245" s="78"/>
      <c r="AF245" s="78"/>
      <c r="AG245" s="78"/>
      <c r="AH245" s="78"/>
      <c r="AI245" s="78"/>
      <c r="AJ245" s="78"/>
      <c r="AK245" s="78"/>
      <c r="AL245" s="78"/>
      <c r="AM245" s="78"/>
      <c r="AN245" s="78"/>
      <c r="AO245" s="78"/>
      <c r="AP245" s="78"/>
      <c r="AQ245" s="78"/>
      <c r="AR245" s="78"/>
      <c r="AS245" s="78"/>
      <c r="AT245" s="78"/>
      <c r="AU245" s="78"/>
      <c r="AV245" s="78"/>
      <c r="AW245" s="78"/>
      <c r="AX245" s="78"/>
      <c r="AY245" s="91"/>
      <c r="AZ245" s="78"/>
      <c r="BA245" s="78"/>
      <c r="BB245" s="78"/>
      <c r="BC245" s="78"/>
      <c r="BD245" s="78"/>
      <c r="BE245" s="78"/>
      <c r="BF245" s="78"/>
      <c r="BG245" s="78"/>
      <c r="BH245" s="78"/>
      <c r="BI245" s="78"/>
      <c r="BJ245" s="78"/>
      <c r="BK245" s="78"/>
      <c r="BL245" s="78"/>
      <c r="BM245" s="78"/>
      <c r="BN245" s="78"/>
      <c r="BO245" s="78"/>
      <c r="BP245" s="78"/>
      <c r="BQ245" s="78"/>
      <c r="BR245" s="78"/>
      <c r="BS245" s="78"/>
      <c r="BT245" s="78"/>
      <c r="BU245" s="78"/>
      <c r="BV245" s="78"/>
      <c r="BW245" s="78"/>
      <c r="BX245" s="78"/>
      <c r="BY245" s="78"/>
      <c r="BZ245" s="78"/>
      <c r="CA245" s="78"/>
      <c r="CB245" s="78"/>
      <c r="CC245" s="78"/>
      <c r="CD245" s="78"/>
      <c r="CE245" s="78"/>
      <c r="CF245" s="78"/>
      <c r="CG245" s="78"/>
      <c r="CH245" s="78"/>
      <c r="CI245" s="78"/>
      <c r="CJ245" s="78"/>
      <c r="CK245" s="78"/>
      <c r="CL245" s="78"/>
      <c r="CM245" s="78"/>
      <c r="CN245" s="78"/>
      <c r="CO245" s="78"/>
      <c r="CP245" s="78"/>
      <c r="CQ245" s="78"/>
      <c r="CR245" s="78"/>
      <c r="CS245" s="78"/>
      <c r="CT245" s="78"/>
      <c r="CU245" s="78"/>
      <c r="CV245" s="78"/>
      <c r="CW245" s="78"/>
      <c r="CX245" s="78"/>
      <c r="CY245" s="78"/>
      <c r="CZ245" s="78"/>
      <c r="DA245" s="78"/>
      <c r="DB245" s="78"/>
      <c r="DC245" s="78"/>
      <c r="DD245" s="78"/>
      <c r="DE245" s="78"/>
      <c r="DF245" s="78"/>
      <c r="DG245" s="78"/>
      <c r="DH245" s="78"/>
      <c r="DI245" s="78"/>
      <c r="DJ245" s="78"/>
      <c r="DK245" s="78"/>
      <c r="DL245" s="78"/>
      <c r="DM245" s="78"/>
      <c r="DN245" s="78"/>
      <c r="DO245" s="78"/>
      <c r="DP245" s="78"/>
      <c r="DQ245" s="78"/>
      <c r="DR245" s="78"/>
      <c r="DS245" s="78"/>
      <c r="DT245" s="78"/>
      <c r="DU245" s="78"/>
      <c r="DV245" s="78"/>
      <c r="DW245" s="78"/>
      <c r="DX245" s="78"/>
      <c r="DY245" s="78"/>
      <c r="DZ245" s="78"/>
      <c r="EA245" s="78"/>
      <c r="EB245" s="78"/>
      <c r="EC245" s="78"/>
      <c r="ED245" s="78"/>
      <c r="EE245" s="78"/>
      <c r="EF245" s="78"/>
      <c r="EG245" s="78"/>
      <c r="EH245" s="78"/>
      <c r="EI245" s="78"/>
      <c r="EJ245" s="78"/>
      <c r="EK245" s="78"/>
      <c r="EL245" s="78"/>
      <c r="EM245" s="78"/>
      <c r="EN245" s="91"/>
      <c r="EO245" s="91"/>
      <c r="EP245" s="91"/>
      <c r="EQ245" s="91"/>
      <c r="ER245" s="91"/>
      <c r="ES245" s="91"/>
    </row>
    <row r="246" spans="1:16384" outlineLevel="1">
      <c r="A246" s="29" t="str">
        <f t="shared" si="40"/>
        <v>modesg_param_sfics_taxon_europeianivel</v>
      </c>
      <c r="B246" s="67" t="s">
        <v>26</v>
      </c>
      <c r="C246" s="68" t="s">
        <v>181</v>
      </c>
      <c r="D246" s="64" t="s">
        <v>40</v>
      </c>
      <c r="E246" s="66" t="s">
        <v>2096</v>
      </c>
      <c r="F246" s="64" t="s">
        <v>2407</v>
      </c>
      <c r="G246" s="64" t="str">
        <f>INDEX(Auxiliar!$B$16:$B$24,MATCH(Plano_V3!H246,Auxiliar!$C$16:$C$24,0),1)</f>
        <v>0. Cancelado</v>
      </c>
      <c r="H246" s="64">
        <f>VLOOKUP(A246,'Aux - pivots1'!$A:$B,2,0)</f>
        <v>0</v>
      </c>
      <c r="I246" s="180" t="e">
        <f>SUMIFS(Table1[Estimação (horas)],Table1[Tabela],Plano_V3!E246,Table1[Campo],Plano_V3!F246)</f>
        <v>#N/A</v>
      </c>
      <c r="J246" s="180" t="e">
        <f t="shared" si="41"/>
        <v>#N/A</v>
      </c>
      <c r="K246" s="180" t="e">
        <f>SUMIFS(Table1[Horas efetivas],Table1[Tabela],Plano_V3!E246,Table1[Campo],Plano_V3!F246)</f>
        <v>#N/A</v>
      </c>
      <c r="L246" s="180" t="e">
        <f t="shared" si="42"/>
        <v>#N/A</v>
      </c>
      <c r="M246" s="174"/>
      <c r="N246" s="174" t="e">
        <f t="shared" si="43"/>
        <v>#N/A</v>
      </c>
      <c r="O246" s="174" t="e">
        <f t="shared" si="30"/>
        <v>#N/A</v>
      </c>
      <c r="P246" s="89" t="s">
        <v>39</v>
      </c>
      <c r="Q246" s="90" t="e">
        <f t="shared" si="31"/>
        <v>#N/A</v>
      </c>
      <c r="R246" s="78"/>
      <c r="S246" s="78"/>
      <c r="T246" s="78"/>
      <c r="U246" s="78"/>
      <c r="V246" s="78"/>
      <c r="W246" s="78"/>
      <c r="X246" s="78"/>
      <c r="Y246" s="78"/>
      <c r="Z246" s="78"/>
      <c r="AA246" s="78"/>
      <c r="AB246" s="78"/>
      <c r="AC246" s="78"/>
      <c r="AD246" s="78"/>
      <c r="AE246" s="78"/>
      <c r="AF246" s="78"/>
      <c r="AG246" s="78"/>
      <c r="AH246" s="78"/>
      <c r="AI246" s="78"/>
      <c r="AJ246" s="78"/>
      <c r="AK246" s="78"/>
      <c r="AL246" s="78"/>
      <c r="AM246" s="78"/>
      <c r="AN246" s="78"/>
      <c r="AO246" s="78"/>
      <c r="AP246" s="78"/>
      <c r="AQ246" s="78"/>
      <c r="AR246" s="78"/>
      <c r="AS246" s="78"/>
      <c r="AT246" s="78"/>
      <c r="AU246" s="78"/>
      <c r="AV246" s="78"/>
      <c r="AW246" s="78"/>
      <c r="AX246" s="78"/>
      <c r="AY246" s="91"/>
      <c r="AZ246" s="78"/>
      <c r="BA246" s="78"/>
      <c r="BB246" s="78"/>
      <c r="BC246" s="78"/>
      <c r="BD246" s="78"/>
      <c r="BE246" s="78"/>
      <c r="BF246" s="78"/>
      <c r="BG246" s="78"/>
      <c r="BH246" s="78"/>
      <c r="BI246" s="78"/>
      <c r="BJ246" s="78"/>
      <c r="BK246" s="78"/>
      <c r="BL246" s="78"/>
      <c r="BM246" s="78"/>
      <c r="BN246" s="78"/>
      <c r="BO246" s="78"/>
      <c r="BP246" s="78"/>
      <c r="BQ246" s="78"/>
      <c r="BR246" s="78"/>
      <c r="BS246" s="78"/>
      <c r="BT246" s="78"/>
      <c r="BU246" s="78"/>
      <c r="BV246" s="78"/>
      <c r="BW246" s="78"/>
      <c r="BX246" s="78"/>
      <c r="BY246" s="78"/>
      <c r="BZ246" s="78"/>
      <c r="CA246" s="78"/>
      <c r="CB246" s="78"/>
      <c r="CC246" s="78"/>
      <c r="CD246" s="78"/>
      <c r="CE246" s="78"/>
      <c r="CF246" s="78"/>
      <c r="CG246" s="78"/>
      <c r="CH246" s="78"/>
      <c r="CI246" s="78"/>
      <c r="CJ246" s="78"/>
      <c r="CK246" s="78"/>
      <c r="CL246" s="78"/>
      <c r="CM246" s="78"/>
      <c r="CN246" s="78"/>
      <c r="CO246" s="78"/>
      <c r="CP246" s="78"/>
      <c r="CQ246" s="78"/>
      <c r="CR246" s="78"/>
      <c r="CS246" s="78"/>
      <c r="CT246" s="78"/>
      <c r="CU246" s="78"/>
      <c r="CV246" s="78"/>
      <c r="CW246" s="78"/>
      <c r="CX246" s="78"/>
      <c r="CY246" s="78"/>
      <c r="CZ246" s="78"/>
      <c r="DA246" s="78"/>
      <c r="DB246" s="78"/>
      <c r="DC246" s="78"/>
      <c r="DD246" s="78"/>
      <c r="DE246" s="78"/>
      <c r="DF246" s="78"/>
      <c r="DG246" s="78"/>
      <c r="DH246" s="78"/>
      <c r="DI246" s="78"/>
      <c r="DJ246" s="78"/>
      <c r="DK246" s="78"/>
      <c r="DL246" s="78"/>
      <c r="DM246" s="78"/>
      <c r="DN246" s="78"/>
      <c r="DO246" s="78"/>
      <c r="DP246" s="78"/>
      <c r="DQ246" s="78"/>
      <c r="DR246" s="78"/>
      <c r="DS246" s="78"/>
      <c r="DT246" s="78"/>
      <c r="DU246" s="78"/>
      <c r="DV246" s="78"/>
      <c r="DW246" s="78"/>
      <c r="DX246" s="78"/>
      <c r="DY246" s="78"/>
      <c r="DZ246" s="78"/>
      <c r="EA246" s="78"/>
      <c r="EB246" s="78"/>
      <c r="EC246" s="78"/>
      <c r="ED246" s="78"/>
      <c r="EE246" s="78"/>
      <c r="EF246" s="78"/>
      <c r="EG246" s="78"/>
      <c r="EH246" s="78"/>
      <c r="EI246" s="78"/>
      <c r="EJ246" s="78"/>
      <c r="EK246" s="78"/>
      <c r="EL246" s="78"/>
      <c r="EM246" s="78"/>
      <c r="EN246" s="91"/>
      <c r="EO246" s="91"/>
      <c r="EP246" s="91"/>
      <c r="EQ246" s="91"/>
      <c r="ER246" s="91"/>
      <c r="ES246" s="91"/>
    </row>
    <row r="247" spans="1:16384" outlineLevel="1">
      <c r="A247" s="29" t="str">
        <f t="shared" si="40"/>
        <v>modesg_param_sfics_taxon_europeiagrupo_regra</v>
      </c>
      <c r="B247" s="67" t="s">
        <v>26</v>
      </c>
      <c r="C247" s="68" t="s">
        <v>181</v>
      </c>
      <c r="D247" s="64" t="s">
        <v>40</v>
      </c>
      <c r="E247" s="66" t="s">
        <v>2096</v>
      </c>
      <c r="F247" s="64" t="s">
        <v>2415</v>
      </c>
      <c r="G247" s="64" t="str">
        <f>INDEX(Auxiliar!$B$16:$B$24,MATCH(Plano_V3!H247,Auxiliar!$C$16:$C$24,0),1)</f>
        <v>0. Cancelado</v>
      </c>
      <c r="H247" s="64">
        <f>VLOOKUP(A247,'Aux - pivots1'!$A:$B,2,0)</f>
        <v>0</v>
      </c>
      <c r="I247" s="180" t="e">
        <f>SUMIFS(Table1[Estimação (horas)],Table1[Tabela],Plano_V3!E247,Table1[Campo],Plano_V3!F247)</f>
        <v>#N/A</v>
      </c>
      <c r="J247" s="180" t="e">
        <f>I247/8</f>
        <v>#N/A</v>
      </c>
      <c r="K247" s="180" t="e">
        <f>SUMIFS(Table1[Horas efetivas],Table1[Tabela],Plano_V3!E247,Table1[Campo],Plano_V3!F247)</f>
        <v>#N/A</v>
      </c>
      <c r="L247" s="180" t="e">
        <f>K247/8</f>
        <v>#N/A</v>
      </c>
      <c r="M247" s="174"/>
      <c r="N247" s="174" t="e">
        <f>L247/J247</f>
        <v>#N/A</v>
      </c>
      <c r="O247" s="174" t="e">
        <f>N247-M247</f>
        <v>#N/A</v>
      </c>
      <c r="P247" s="89" t="s">
        <v>39</v>
      </c>
      <c r="Q247" s="29" t="e">
        <f t="shared" ref="Q247:CB247" si="44">U247&amp;V247</f>
        <v>#REF!</v>
      </c>
      <c r="R247" s="29" t="e">
        <f t="shared" si="44"/>
        <v>#REF!</v>
      </c>
      <c r="S247" s="29" t="e">
        <f t="shared" si="44"/>
        <v>#REF!</v>
      </c>
      <c r="T247" s="29" t="e">
        <f t="shared" si="44"/>
        <v>#REF!</v>
      </c>
      <c r="U247" s="29" t="e">
        <f t="shared" si="44"/>
        <v>#REF!</v>
      </c>
      <c r="V247" s="29" t="e">
        <f t="shared" si="44"/>
        <v>#REF!</v>
      </c>
      <c r="W247" s="29" t="e">
        <f t="shared" si="44"/>
        <v>#REF!</v>
      </c>
      <c r="X247" s="29" t="e">
        <f t="shared" si="44"/>
        <v>#REF!</v>
      </c>
      <c r="Y247" s="29" t="e">
        <f t="shared" si="44"/>
        <v>#REF!</v>
      </c>
      <c r="Z247" s="29" t="e">
        <f t="shared" si="44"/>
        <v>#REF!</v>
      </c>
      <c r="AA247" s="29" t="e">
        <f t="shared" si="44"/>
        <v>#REF!</v>
      </c>
      <c r="AB247" s="29" t="e">
        <f t="shared" si="44"/>
        <v>#REF!</v>
      </c>
      <c r="AC247" s="29" t="e">
        <f t="shared" si="44"/>
        <v>#REF!</v>
      </c>
      <c r="AD247" s="29" t="e">
        <f t="shared" si="44"/>
        <v>#REF!</v>
      </c>
      <c r="AE247" s="29" t="e">
        <f t="shared" si="44"/>
        <v>#REF!</v>
      </c>
      <c r="AF247" s="29" t="e">
        <f t="shared" si="44"/>
        <v>#REF!</v>
      </c>
      <c r="AG247" s="29" t="e">
        <f t="shared" si="44"/>
        <v>#REF!</v>
      </c>
      <c r="AH247" s="29" t="e">
        <f t="shared" si="44"/>
        <v>#REF!</v>
      </c>
      <c r="AI247" s="29" t="e">
        <f t="shared" si="44"/>
        <v>#REF!</v>
      </c>
      <c r="AJ247" s="29" t="e">
        <f t="shared" si="44"/>
        <v>#REF!</v>
      </c>
      <c r="AK247" s="29" t="e">
        <f t="shared" si="44"/>
        <v>#REF!</v>
      </c>
      <c r="AL247" s="29" t="e">
        <f t="shared" si="44"/>
        <v>#REF!</v>
      </c>
      <c r="AM247" s="29" t="e">
        <f t="shared" si="44"/>
        <v>#REF!</v>
      </c>
      <c r="AN247" s="29" t="e">
        <f t="shared" si="44"/>
        <v>#REF!</v>
      </c>
      <c r="AO247" s="29" t="e">
        <f t="shared" si="44"/>
        <v>#REF!</v>
      </c>
      <c r="AP247" s="29" t="e">
        <f t="shared" si="44"/>
        <v>#REF!</v>
      </c>
      <c r="AQ247" s="29" t="e">
        <f t="shared" si="44"/>
        <v>#REF!</v>
      </c>
      <c r="AR247" s="29" t="e">
        <f t="shared" si="44"/>
        <v>#REF!</v>
      </c>
      <c r="AS247" s="29" t="e">
        <f t="shared" si="44"/>
        <v>#REF!</v>
      </c>
      <c r="AT247" s="29" t="e">
        <f t="shared" si="44"/>
        <v>#REF!</v>
      </c>
      <c r="AU247" s="29" t="e">
        <f t="shared" si="44"/>
        <v>#REF!</v>
      </c>
      <c r="AV247" s="29" t="e">
        <f t="shared" si="44"/>
        <v>#REF!</v>
      </c>
      <c r="AW247" s="29" t="e">
        <f t="shared" si="44"/>
        <v>#REF!</v>
      </c>
      <c r="AX247" s="29" t="e">
        <f t="shared" si="44"/>
        <v>#REF!</v>
      </c>
      <c r="AY247" s="29" t="e">
        <f t="shared" si="44"/>
        <v>#REF!</v>
      </c>
      <c r="AZ247" s="29" t="e">
        <f t="shared" si="44"/>
        <v>#REF!</v>
      </c>
      <c r="BA247" s="29" t="e">
        <f t="shared" si="44"/>
        <v>#REF!</v>
      </c>
      <c r="BB247" s="29" t="e">
        <f t="shared" si="44"/>
        <v>#REF!</v>
      </c>
      <c r="BC247" s="29" t="e">
        <f t="shared" si="44"/>
        <v>#REF!</v>
      </c>
      <c r="BD247" s="29" t="e">
        <f t="shared" si="44"/>
        <v>#REF!</v>
      </c>
      <c r="BE247" s="29" t="e">
        <f t="shared" si="44"/>
        <v>#REF!</v>
      </c>
      <c r="BF247" s="29" t="e">
        <f t="shared" si="44"/>
        <v>#REF!</v>
      </c>
      <c r="BG247" s="29" t="e">
        <f t="shared" si="44"/>
        <v>#REF!</v>
      </c>
      <c r="BH247" s="29" t="e">
        <f t="shared" si="44"/>
        <v>#REF!</v>
      </c>
      <c r="BI247" s="29" t="e">
        <f t="shared" si="44"/>
        <v>#REF!</v>
      </c>
      <c r="BJ247" s="29" t="e">
        <f t="shared" si="44"/>
        <v>#REF!</v>
      </c>
      <c r="BK247" s="29" t="e">
        <f t="shared" si="44"/>
        <v>#REF!</v>
      </c>
      <c r="BL247" s="29" t="e">
        <f t="shared" si="44"/>
        <v>#REF!</v>
      </c>
      <c r="BM247" s="29" t="e">
        <f t="shared" si="44"/>
        <v>#REF!</v>
      </c>
      <c r="BN247" s="29" t="e">
        <f t="shared" si="44"/>
        <v>#REF!</v>
      </c>
      <c r="BO247" s="29" t="e">
        <f t="shared" si="44"/>
        <v>#REF!</v>
      </c>
      <c r="BP247" s="29" t="e">
        <f t="shared" si="44"/>
        <v>#REF!</v>
      </c>
      <c r="BQ247" s="29" t="e">
        <f t="shared" si="44"/>
        <v>#REF!</v>
      </c>
      <c r="BR247" s="29" t="e">
        <f t="shared" si="44"/>
        <v>#REF!</v>
      </c>
      <c r="BS247" s="29" t="e">
        <f t="shared" si="44"/>
        <v>#REF!</v>
      </c>
      <c r="BT247" s="29" t="e">
        <f t="shared" si="44"/>
        <v>#REF!</v>
      </c>
      <c r="BU247" s="29" t="e">
        <f t="shared" si="44"/>
        <v>#REF!</v>
      </c>
      <c r="BV247" s="29" t="e">
        <f t="shared" si="44"/>
        <v>#REF!</v>
      </c>
      <c r="BW247" s="29" t="e">
        <f t="shared" si="44"/>
        <v>#REF!</v>
      </c>
      <c r="BX247" s="29" t="e">
        <f t="shared" si="44"/>
        <v>#REF!</v>
      </c>
      <c r="BY247" s="29" t="e">
        <f t="shared" si="44"/>
        <v>#REF!</v>
      </c>
      <c r="BZ247" s="29" t="e">
        <f t="shared" si="44"/>
        <v>#REF!</v>
      </c>
      <c r="CA247" s="29" t="e">
        <f t="shared" si="44"/>
        <v>#REF!</v>
      </c>
      <c r="CB247" s="29" t="e">
        <f t="shared" si="44"/>
        <v>#REF!</v>
      </c>
      <c r="CC247" s="29" t="e">
        <f t="shared" ref="CC247:EN247" si="45">CG247&amp;CH247</f>
        <v>#REF!</v>
      </c>
      <c r="CD247" s="29" t="e">
        <f t="shared" si="45"/>
        <v>#REF!</v>
      </c>
      <c r="CE247" s="29" t="e">
        <f t="shared" si="45"/>
        <v>#REF!</v>
      </c>
      <c r="CF247" s="29" t="e">
        <f t="shared" si="45"/>
        <v>#REF!</v>
      </c>
      <c r="CG247" s="29" t="e">
        <f t="shared" si="45"/>
        <v>#REF!</v>
      </c>
      <c r="CH247" s="29" t="e">
        <f t="shared" si="45"/>
        <v>#REF!</v>
      </c>
      <c r="CI247" s="29" t="e">
        <f t="shared" si="45"/>
        <v>#REF!</v>
      </c>
      <c r="CJ247" s="29" t="e">
        <f t="shared" si="45"/>
        <v>#REF!</v>
      </c>
      <c r="CK247" s="29" t="e">
        <f t="shared" si="45"/>
        <v>#REF!</v>
      </c>
      <c r="CL247" s="29" t="e">
        <f t="shared" si="45"/>
        <v>#REF!</v>
      </c>
      <c r="CM247" s="29" t="e">
        <f t="shared" si="45"/>
        <v>#REF!</v>
      </c>
      <c r="CN247" s="29" t="e">
        <f t="shared" si="45"/>
        <v>#REF!</v>
      </c>
      <c r="CO247" s="29" t="e">
        <f t="shared" si="45"/>
        <v>#REF!</v>
      </c>
      <c r="CP247" s="29" t="e">
        <f t="shared" si="45"/>
        <v>#REF!</v>
      </c>
      <c r="CQ247" s="29" t="e">
        <f t="shared" si="45"/>
        <v>#REF!</v>
      </c>
      <c r="CR247" s="29" t="e">
        <f t="shared" si="45"/>
        <v>#REF!</v>
      </c>
      <c r="CS247" s="29" t="e">
        <f t="shared" si="45"/>
        <v>#REF!</v>
      </c>
      <c r="CT247" s="29" t="e">
        <f t="shared" si="45"/>
        <v>#REF!</v>
      </c>
      <c r="CU247" s="29" t="e">
        <f t="shared" si="45"/>
        <v>#REF!</v>
      </c>
      <c r="CV247" s="29" t="e">
        <f t="shared" si="45"/>
        <v>#REF!</v>
      </c>
      <c r="CW247" s="29" t="e">
        <f t="shared" si="45"/>
        <v>#REF!</v>
      </c>
      <c r="CX247" s="29" t="e">
        <f t="shared" si="45"/>
        <v>#REF!</v>
      </c>
      <c r="CY247" s="29" t="e">
        <f t="shared" si="45"/>
        <v>#REF!</v>
      </c>
      <c r="CZ247" s="29" t="e">
        <f t="shared" si="45"/>
        <v>#REF!</v>
      </c>
      <c r="DA247" s="29" t="e">
        <f t="shared" si="45"/>
        <v>#REF!</v>
      </c>
      <c r="DB247" s="29" t="e">
        <f t="shared" si="45"/>
        <v>#REF!</v>
      </c>
      <c r="DC247" s="29" t="e">
        <f t="shared" si="45"/>
        <v>#REF!</v>
      </c>
      <c r="DD247" s="29" t="e">
        <f t="shared" si="45"/>
        <v>#REF!</v>
      </c>
      <c r="DE247" s="29" t="e">
        <f t="shared" si="45"/>
        <v>#REF!</v>
      </c>
      <c r="DF247" s="29" t="e">
        <f t="shared" si="45"/>
        <v>#REF!</v>
      </c>
      <c r="DG247" s="29" t="e">
        <f t="shared" si="45"/>
        <v>#REF!</v>
      </c>
      <c r="DH247" s="29" t="e">
        <f t="shared" si="45"/>
        <v>#REF!</v>
      </c>
      <c r="DI247" s="29" t="e">
        <f t="shared" si="45"/>
        <v>#REF!</v>
      </c>
      <c r="DJ247" s="29" t="e">
        <f t="shared" si="45"/>
        <v>#REF!</v>
      </c>
      <c r="DK247" s="29" t="e">
        <f t="shared" si="45"/>
        <v>#REF!</v>
      </c>
      <c r="DL247" s="29" t="e">
        <f t="shared" si="45"/>
        <v>#REF!</v>
      </c>
      <c r="DM247" s="29" t="e">
        <f t="shared" si="45"/>
        <v>#REF!</v>
      </c>
      <c r="DN247" s="29" t="e">
        <f t="shared" si="45"/>
        <v>#REF!</v>
      </c>
      <c r="DO247" s="29" t="e">
        <f t="shared" si="45"/>
        <v>#REF!</v>
      </c>
      <c r="DP247" s="29" t="e">
        <f t="shared" si="45"/>
        <v>#REF!</v>
      </c>
      <c r="DQ247" s="29" t="e">
        <f t="shared" si="45"/>
        <v>#REF!</v>
      </c>
      <c r="DR247" s="29" t="e">
        <f t="shared" si="45"/>
        <v>#REF!</v>
      </c>
      <c r="DS247" s="29" t="e">
        <f t="shared" si="45"/>
        <v>#REF!</v>
      </c>
      <c r="DT247" s="29" t="e">
        <f t="shared" si="45"/>
        <v>#REF!</v>
      </c>
      <c r="DU247" s="29" t="e">
        <f t="shared" si="45"/>
        <v>#REF!</v>
      </c>
      <c r="DV247" s="29" t="e">
        <f t="shared" si="45"/>
        <v>#REF!</v>
      </c>
      <c r="DW247" s="29" t="e">
        <f t="shared" si="45"/>
        <v>#REF!</v>
      </c>
      <c r="DX247" s="29" t="e">
        <f t="shared" si="45"/>
        <v>#REF!</v>
      </c>
      <c r="DY247" s="29" t="e">
        <f t="shared" si="45"/>
        <v>#REF!</v>
      </c>
      <c r="DZ247" s="29" t="e">
        <f t="shared" si="45"/>
        <v>#REF!</v>
      </c>
      <c r="EA247" s="29" t="e">
        <f t="shared" si="45"/>
        <v>#REF!</v>
      </c>
      <c r="EB247" s="29" t="e">
        <f t="shared" si="45"/>
        <v>#REF!</v>
      </c>
      <c r="EC247" s="29" t="e">
        <f t="shared" si="45"/>
        <v>#REF!</v>
      </c>
      <c r="ED247" s="29" t="e">
        <f t="shared" si="45"/>
        <v>#REF!</v>
      </c>
      <c r="EE247" s="29" t="e">
        <f t="shared" si="45"/>
        <v>#REF!</v>
      </c>
      <c r="EF247" s="29" t="e">
        <f t="shared" si="45"/>
        <v>#REF!</v>
      </c>
      <c r="EG247" s="29" t="e">
        <f t="shared" si="45"/>
        <v>#REF!</v>
      </c>
      <c r="EH247" s="29" t="e">
        <f t="shared" si="45"/>
        <v>#REF!</v>
      </c>
      <c r="EI247" s="29" t="e">
        <f t="shared" si="45"/>
        <v>#REF!</v>
      </c>
      <c r="EJ247" s="29" t="e">
        <f t="shared" si="45"/>
        <v>#REF!</v>
      </c>
      <c r="EK247" s="29" t="e">
        <f t="shared" si="45"/>
        <v>#REF!</v>
      </c>
      <c r="EL247" s="29" t="e">
        <f t="shared" si="45"/>
        <v>#REF!</v>
      </c>
      <c r="EM247" s="29" t="e">
        <f t="shared" si="45"/>
        <v>#REF!</v>
      </c>
      <c r="EN247" s="29" t="e">
        <f t="shared" si="45"/>
        <v>#REF!</v>
      </c>
      <c r="EO247" s="29" t="e">
        <f t="shared" ref="EO247:GZ247" si="46">ES247&amp;ET247</f>
        <v>#REF!</v>
      </c>
      <c r="EP247" s="29" t="e">
        <f t="shared" si="46"/>
        <v>#REF!</v>
      </c>
      <c r="EQ247" s="29" t="e">
        <f t="shared" si="46"/>
        <v>#REF!</v>
      </c>
      <c r="ER247" s="29" t="e">
        <f t="shared" si="46"/>
        <v>#REF!</v>
      </c>
      <c r="ES247" s="29" t="e">
        <f t="shared" si="46"/>
        <v>#REF!</v>
      </c>
      <c r="ET247" s="29" t="e">
        <f t="shared" si="46"/>
        <v>#REF!</v>
      </c>
      <c r="EU247" s="29" t="e">
        <f t="shared" si="46"/>
        <v>#REF!</v>
      </c>
      <c r="EV247" s="29" t="e">
        <f t="shared" si="46"/>
        <v>#REF!</v>
      </c>
      <c r="EW247" s="29" t="e">
        <f t="shared" si="46"/>
        <v>#REF!</v>
      </c>
      <c r="EX247" s="29" t="e">
        <f t="shared" si="46"/>
        <v>#REF!</v>
      </c>
      <c r="EY247" s="29" t="e">
        <f t="shared" si="46"/>
        <v>#REF!</v>
      </c>
      <c r="EZ247" s="29" t="e">
        <f t="shared" si="46"/>
        <v>#REF!</v>
      </c>
      <c r="FA247" s="29" t="e">
        <f t="shared" si="46"/>
        <v>#REF!</v>
      </c>
      <c r="FB247" s="29" t="e">
        <f t="shared" si="46"/>
        <v>#REF!</v>
      </c>
      <c r="FC247" s="29" t="e">
        <f t="shared" si="46"/>
        <v>#REF!</v>
      </c>
      <c r="FD247" s="29" t="e">
        <f t="shared" si="46"/>
        <v>#REF!</v>
      </c>
      <c r="FE247" s="29" t="e">
        <f t="shared" si="46"/>
        <v>#REF!</v>
      </c>
      <c r="FF247" s="29" t="e">
        <f t="shared" si="46"/>
        <v>#REF!</v>
      </c>
      <c r="FG247" s="29" t="e">
        <f t="shared" si="46"/>
        <v>#REF!</v>
      </c>
      <c r="FH247" s="29" t="e">
        <f t="shared" si="46"/>
        <v>#REF!</v>
      </c>
      <c r="FI247" s="29" t="e">
        <f t="shared" si="46"/>
        <v>#REF!</v>
      </c>
      <c r="FJ247" s="29" t="e">
        <f t="shared" si="46"/>
        <v>#REF!</v>
      </c>
      <c r="FK247" s="29" t="e">
        <f t="shared" si="46"/>
        <v>#REF!</v>
      </c>
      <c r="FL247" s="29" t="e">
        <f t="shared" si="46"/>
        <v>#REF!</v>
      </c>
      <c r="FM247" s="29" t="e">
        <f t="shared" si="46"/>
        <v>#REF!</v>
      </c>
      <c r="FN247" s="29" t="e">
        <f t="shared" si="46"/>
        <v>#REF!</v>
      </c>
      <c r="FO247" s="29" t="e">
        <f t="shared" si="46"/>
        <v>#REF!</v>
      </c>
      <c r="FP247" s="29" t="e">
        <f t="shared" si="46"/>
        <v>#REF!</v>
      </c>
      <c r="FQ247" s="29" t="e">
        <f t="shared" si="46"/>
        <v>#REF!</v>
      </c>
      <c r="FR247" s="29" t="e">
        <f t="shared" si="46"/>
        <v>#REF!</v>
      </c>
      <c r="FS247" s="29" t="e">
        <f t="shared" si="46"/>
        <v>#REF!</v>
      </c>
      <c r="FT247" s="29" t="e">
        <f t="shared" si="46"/>
        <v>#REF!</v>
      </c>
      <c r="FU247" s="29" t="e">
        <f t="shared" si="46"/>
        <v>#REF!</v>
      </c>
      <c r="FV247" s="29" t="e">
        <f t="shared" si="46"/>
        <v>#REF!</v>
      </c>
      <c r="FW247" s="29" t="e">
        <f t="shared" si="46"/>
        <v>#REF!</v>
      </c>
      <c r="FX247" s="29" t="e">
        <f t="shared" si="46"/>
        <v>#REF!</v>
      </c>
      <c r="FY247" s="29" t="e">
        <f t="shared" si="46"/>
        <v>#REF!</v>
      </c>
      <c r="FZ247" s="29" t="e">
        <f t="shared" si="46"/>
        <v>#REF!</v>
      </c>
      <c r="GA247" s="29" t="e">
        <f t="shared" si="46"/>
        <v>#REF!</v>
      </c>
      <c r="GB247" s="29" t="e">
        <f t="shared" si="46"/>
        <v>#REF!</v>
      </c>
      <c r="GC247" s="29" t="e">
        <f t="shared" si="46"/>
        <v>#REF!</v>
      </c>
      <c r="GD247" s="29" t="e">
        <f t="shared" si="46"/>
        <v>#REF!</v>
      </c>
      <c r="GE247" s="29" t="e">
        <f t="shared" si="46"/>
        <v>#REF!</v>
      </c>
      <c r="GF247" s="29" t="e">
        <f t="shared" si="46"/>
        <v>#REF!</v>
      </c>
      <c r="GG247" s="29" t="e">
        <f t="shared" si="46"/>
        <v>#REF!</v>
      </c>
      <c r="GH247" s="29" t="e">
        <f t="shared" si="46"/>
        <v>#REF!</v>
      </c>
      <c r="GI247" s="29" t="e">
        <f t="shared" si="46"/>
        <v>#REF!</v>
      </c>
      <c r="GJ247" s="29" t="e">
        <f t="shared" si="46"/>
        <v>#REF!</v>
      </c>
      <c r="GK247" s="29" t="e">
        <f t="shared" si="46"/>
        <v>#REF!</v>
      </c>
      <c r="GL247" s="29" t="e">
        <f t="shared" si="46"/>
        <v>#REF!</v>
      </c>
      <c r="GM247" s="29" t="e">
        <f t="shared" si="46"/>
        <v>#REF!</v>
      </c>
      <c r="GN247" s="29" t="e">
        <f t="shared" si="46"/>
        <v>#REF!</v>
      </c>
      <c r="GO247" s="29" t="e">
        <f t="shared" si="46"/>
        <v>#REF!</v>
      </c>
      <c r="GP247" s="29" t="e">
        <f t="shared" si="46"/>
        <v>#REF!</v>
      </c>
      <c r="GQ247" s="29" t="e">
        <f t="shared" si="46"/>
        <v>#REF!</v>
      </c>
      <c r="GR247" s="29" t="e">
        <f t="shared" si="46"/>
        <v>#REF!</v>
      </c>
      <c r="GS247" s="29" t="e">
        <f t="shared" si="46"/>
        <v>#REF!</v>
      </c>
      <c r="GT247" s="29" t="e">
        <f t="shared" si="46"/>
        <v>#REF!</v>
      </c>
      <c r="GU247" s="29" t="e">
        <f t="shared" si="46"/>
        <v>#REF!</v>
      </c>
      <c r="GV247" s="29" t="e">
        <f t="shared" si="46"/>
        <v>#REF!</v>
      </c>
      <c r="GW247" s="29" t="e">
        <f t="shared" si="46"/>
        <v>#REF!</v>
      </c>
      <c r="GX247" s="29" t="e">
        <f t="shared" si="46"/>
        <v>#REF!</v>
      </c>
      <c r="GY247" s="29" t="e">
        <f t="shared" si="46"/>
        <v>#REF!</v>
      </c>
      <c r="GZ247" s="29" t="e">
        <f t="shared" si="46"/>
        <v>#REF!</v>
      </c>
      <c r="HA247" s="29" t="e">
        <f t="shared" ref="HA247:JL247" si="47">HE247&amp;HF247</f>
        <v>#REF!</v>
      </c>
      <c r="HB247" s="29" t="e">
        <f t="shared" si="47"/>
        <v>#REF!</v>
      </c>
      <c r="HC247" s="29" t="e">
        <f t="shared" si="47"/>
        <v>#REF!</v>
      </c>
      <c r="HD247" s="29" t="e">
        <f t="shared" si="47"/>
        <v>#REF!</v>
      </c>
      <c r="HE247" s="29" t="e">
        <f t="shared" si="47"/>
        <v>#REF!</v>
      </c>
      <c r="HF247" s="29" t="e">
        <f t="shared" si="47"/>
        <v>#REF!</v>
      </c>
      <c r="HG247" s="29" t="e">
        <f t="shared" si="47"/>
        <v>#REF!</v>
      </c>
      <c r="HH247" s="29" t="e">
        <f t="shared" si="47"/>
        <v>#REF!</v>
      </c>
      <c r="HI247" s="29" t="e">
        <f t="shared" si="47"/>
        <v>#REF!</v>
      </c>
      <c r="HJ247" s="29" t="e">
        <f t="shared" si="47"/>
        <v>#REF!</v>
      </c>
      <c r="HK247" s="29" t="e">
        <f t="shared" si="47"/>
        <v>#REF!</v>
      </c>
      <c r="HL247" s="29" t="e">
        <f t="shared" si="47"/>
        <v>#REF!</v>
      </c>
      <c r="HM247" s="29" t="e">
        <f t="shared" si="47"/>
        <v>#REF!</v>
      </c>
      <c r="HN247" s="29" t="e">
        <f t="shared" si="47"/>
        <v>#REF!</v>
      </c>
      <c r="HO247" s="29" t="e">
        <f t="shared" si="47"/>
        <v>#REF!</v>
      </c>
      <c r="HP247" s="29" t="e">
        <f t="shared" si="47"/>
        <v>#REF!</v>
      </c>
      <c r="HQ247" s="29" t="e">
        <f t="shared" si="47"/>
        <v>#REF!</v>
      </c>
      <c r="HR247" s="29" t="e">
        <f t="shared" si="47"/>
        <v>#REF!</v>
      </c>
      <c r="HS247" s="29" t="e">
        <f t="shared" si="47"/>
        <v>#REF!</v>
      </c>
      <c r="HT247" s="29" t="e">
        <f t="shared" si="47"/>
        <v>#REF!</v>
      </c>
      <c r="HU247" s="29" t="e">
        <f t="shared" si="47"/>
        <v>#REF!</v>
      </c>
      <c r="HV247" s="29" t="e">
        <f t="shared" si="47"/>
        <v>#REF!</v>
      </c>
      <c r="HW247" s="29" t="e">
        <f t="shared" si="47"/>
        <v>#REF!</v>
      </c>
      <c r="HX247" s="29" t="e">
        <f t="shared" si="47"/>
        <v>#REF!</v>
      </c>
      <c r="HY247" s="29" t="e">
        <f t="shared" si="47"/>
        <v>#REF!</v>
      </c>
      <c r="HZ247" s="29" t="e">
        <f t="shared" si="47"/>
        <v>#REF!</v>
      </c>
      <c r="IA247" s="29" t="e">
        <f t="shared" si="47"/>
        <v>#REF!</v>
      </c>
      <c r="IB247" s="29" t="e">
        <f t="shared" si="47"/>
        <v>#REF!</v>
      </c>
      <c r="IC247" s="29" t="e">
        <f t="shared" si="47"/>
        <v>#REF!</v>
      </c>
      <c r="ID247" s="29" t="e">
        <f t="shared" si="47"/>
        <v>#REF!</v>
      </c>
      <c r="IE247" s="29" t="e">
        <f t="shared" si="47"/>
        <v>#REF!</v>
      </c>
      <c r="IF247" s="29" t="e">
        <f t="shared" si="47"/>
        <v>#REF!</v>
      </c>
      <c r="IG247" s="29" t="e">
        <f t="shared" si="47"/>
        <v>#REF!</v>
      </c>
      <c r="IH247" s="29" t="e">
        <f t="shared" si="47"/>
        <v>#REF!</v>
      </c>
      <c r="II247" s="29" t="e">
        <f t="shared" si="47"/>
        <v>#REF!</v>
      </c>
      <c r="IJ247" s="29" t="e">
        <f t="shared" si="47"/>
        <v>#REF!</v>
      </c>
      <c r="IK247" s="29" t="e">
        <f t="shared" si="47"/>
        <v>#REF!</v>
      </c>
      <c r="IL247" s="29" t="e">
        <f t="shared" si="47"/>
        <v>#REF!</v>
      </c>
      <c r="IM247" s="29" t="e">
        <f t="shared" si="47"/>
        <v>#REF!</v>
      </c>
      <c r="IN247" s="29" t="e">
        <f t="shared" si="47"/>
        <v>#REF!</v>
      </c>
      <c r="IO247" s="29" t="e">
        <f t="shared" si="47"/>
        <v>#REF!</v>
      </c>
      <c r="IP247" s="29" t="e">
        <f t="shared" si="47"/>
        <v>#REF!</v>
      </c>
      <c r="IQ247" s="29" t="e">
        <f t="shared" si="47"/>
        <v>#REF!</v>
      </c>
      <c r="IR247" s="29" t="e">
        <f t="shared" si="47"/>
        <v>#REF!</v>
      </c>
      <c r="IS247" s="29" t="e">
        <f t="shared" si="47"/>
        <v>#REF!</v>
      </c>
      <c r="IT247" s="29" t="e">
        <f t="shared" si="47"/>
        <v>#REF!</v>
      </c>
      <c r="IU247" s="29" t="e">
        <f t="shared" si="47"/>
        <v>#REF!</v>
      </c>
      <c r="IV247" s="29" t="e">
        <f t="shared" si="47"/>
        <v>#REF!</v>
      </c>
      <c r="IW247" s="29" t="e">
        <f t="shared" si="47"/>
        <v>#REF!</v>
      </c>
      <c r="IX247" s="29" t="e">
        <f t="shared" si="47"/>
        <v>#REF!</v>
      </c>
      <c r="IY247" s="29" t="e">
        <f t="shared" si="47"/>
        <v>#REF!</v>
      </c>
      <c r="IZ247" s="29" t="e">
        <f t="shared" si="47"/>
        <v>#REF!</v>
      </c>
      <c r="JA247" s="29" t="e">
        <f t="shared" si="47"/>
        <v>#REF!</v>
      </c>
      <c r="JB247" s="29" t="e">
        <f t="shared" si="47"/>
        <v>#REF!</v>
      </c>
      <c r="JC247" s="29" t="e">
        <f t="shared" si="47"/>
        <v>#REF!</v>
      </c>
      <c r="JD247" s="29" t="e">
        <f t="shared" si="47"/>
        <v>#REF!</v>
      </c>
      <c r="JE247" s="29" t="e">
        <f t="shared" si="47"/>
        <v>#REF!</v>
      </c>
      <c r="JF247" s="29" t="e">
        <f t="shared" si="47"/>
        <v>#REF!</v>
      </c>
      <c r="JG247" s="29" t="e">
        <f t="shared" si="47"/>
        <v>#REF!</v>
      </c>
      <c r="JH247" s="29" t="e">
        <f t="shared" si="47"/>
        <v>#REF!</v>
      </c>
      <c r="JI247" s="29" t="e">
        <f t="shared" si="47"/>
        <v>#REF!</v>
      </c>
      <c r="JJ247" s="29" t="e">
        <f t="shared" si="47"/>
        <v>#REF!</v>
      </c>
      <c r="JK247" s="29" t="e">
        <f t="shared" si="47"/>
        <v>#REF!</v>
      </c>
      <c r="JL247" s="29" t="e">
        <f t="shared" si="47"/>
        <v>#REF!</v>
      </c>
      <c r="JM247" s="29" t="e">
        <f t="shared" ref="JM247:LX247" si="48">JQ247&amp;JR247</f>
        <v>#REF!</v>
      </c>
      <c r="JN247" s="29" t="e">
        <f t="shared" si="48"/>
        <v>#REF!</v>
      </c>
      <c r="JO247" s="29" t="e">
        <f t="shared" si="48"/>
        <v>#REF!</v>
      </c>
      <c r="JP247" s="29" t="e">
        <f t="shared" si="48"/>
        <v>#REF!</v>
      </c>
      <c r="JQ247" s="29" t="e">
        <f t="shared" si="48"/>
        <v>#REF!</v>
      </c>
      <c r="JR247" s="29" t="e">
        <f t="shared" si="48"/>
        <v>#REF!</v>
      </c>
      <c r="JS247" s="29" t="e">
        <f t="shared" si="48"/>
        <v>#REF!</v>
      </c>
      <c r="JT247" s="29" t="e">
        <f t="shared" si="48"/>
        <v>#REF!</v>
      </c>
      <c r="JU247" s="29" t="e">
        <f t="shared" si="48"/>
        <v>#REF!</v>
      </c>
      <c r="JV247" s="29" t="e">
        <f t="shared" si="48"/>
        <v>#REF!</v>
      </c>
      <c r="JW247" s="29" t="e">
        <f t="shared" si="48"/>
        <v>#REF!</v>
      </c>
      <c r="JX247" s="29" t="e">
        <f t="shared" si="48"/>
        <v>#REF!</v>
      </c>
      <c r="JY247" s="29" t="e">
        <f t="shared" si="48"/>
        <v>#REF!</v>
      </c>
      <c r="JZ247" s="29" t="e">
        <f t="shared" si="48"/>
        <v>#REF!</v>
      </c>
      <c r="KA247" s="29" t="e">
        <f t="shared" si="48"/>
        <v>#REF!</v>
      </c>
      <c r="KB247" s="29" t="e">
        <f t="shared" si="48"/>
        <v>#REF!</v>
      </c>
      <c r="KC247" s="29" t="e">
        <f t="shared" si="48"/>
        <v>#REF!</v>
      </c>
      <c r="KD247" s="29" t="e">
        <f t="shared" si="48"/>
        <v>#REF!</v>
      </c>
      <c r="KE247" s="29" t="e">
        <f t="shared" si="48"/>
        <v>#REF!</v>
      </c>
      <c r="KF247" s="29" t="e">
        <f t="shared" si="48"/>
        <v>#REF!</v>
      </c>
      <c r="KG247" s="29" t="e">
        <f t="shared" si="48"/>
        <v>#REF!</v>
      </c>
      <c r="KH247" s="29" t="e">
        <f t="shared" si="48"/>
        <v>#REF!</v>
      </c>
      <c r="KI247" s="29" t="e">
        <f t="shared" si="48"/>
        <v>#REF!</v>
      </c>
      <c r="KJ247" s="29" t="e">
        <f t="shared" si="48"/>
        <v>#REF!</v>
      </c>
      <c r="KK247" s="29" t="e">
        <f t="shared" si="48"/>
        <v>#REF!</v>
      </c>
      <c r="KL247" s="29" t="e">
        <f t="shared" si="48"/>
        <v>#REF!</v>
      </c>
      <c r="KM247" s="29" t="e">
        <f t="shared" si="48"/>
        <v>#REF!</v>
      </c>
      <c r="KN247" s="29" t="e">
        <f t="shared" si="48"/>
        <v>#REF!</v>
      </c>
      <c r="KO247" s="29" t="e">
        <f t="shared" si="48"/>
        <v>#REF!</v>
      </c>
      <c r="KP247" s="29" t="e">
        <f t="shared" si="48"/>
        <v>#REF!</v>
      </c>
      <c r="KQ247" s="29" t="e">
        <f t="shared" si="48"/>
        <v>#REF!</v>
      </c>
      <c r="KR247" s="29" t="e">
        <f t="shared" si="48"/>
        <v>#REF!</v>
      </c>
      <c r="KS247" s="29" t="e">
        <f t="shared" si="48"/>
        <v>#REF!</v>
      </c>
      <c r="KT247" s="29" t="e">
        <f t="shared" si="48"/>
        <v>#REF!</v>
      </c>
      <c r="KU247" s="29" t="e">
        <f t="shared" si="48"/>
        <v>#REF!</v>
      </c>
      <c r="KV247" s="29" t="e">
        <f t="shared" si="48"/>
        <v>#REF!</v>
      </c>
      <c r="KW247" s="29" t="e">
        <f t="shared" si="48"/>
        <v>#REF!</v>
      </c>
      <c r="KX247" s="29" t="e">
        <f t="shared" si="48"/>
        <v>#REF!</v>
      </c>
      <c r="KY247" s="29" t="e">
        <f t="shared" si="48"/>
        <v>#REF!</v>
      </c>
      <c r="KZ247" s="29" t="e">
        <f t="shared" si="48"/>
        <v>#REF!</v>
      </c>
      <c r="LA247" s="29" t="e">
        <f t="shared" si="48"/>
        <v>#REF!</v>
      </c>
      <c r="LB247" s="29" t="e">
        <f t="shared" si="48"/>
        <v>#REF!</v>
      </c>
      <c r="LC247" s="29" t="e">
        <f t="shared" si="48"/>
        <v>#REF!</v>
      </c>
      <c r="LD247" s="29" t="e">
        <f t="shared" si="48"/>
        <v>#REF!</v>
      </c>
      <c r="LE247" s="29" t="e">
        <f t="shared" si="48"/>
        <v>#REF!</v>
      </c>
      <c r="LF247" s="29" t="e">
        <f t="shared" si="48"/>
        <v>#REF!</v>
      </c>
      <c r="LG247" s="29" t="e">
        <f t="shared" si="48"/>
        <v>#REF!</v>
      </c>
      <c r="LH247" s="29" t="e">
        <f t="shared" si="48"/>
        <v>#REF!</v>
      </c>
      <c r="LI247" s="29" t="e">
        <f t="shared" si="48"/>
        <v>#REF!</v>
      </c>
      <c r="LJ247" s="29" t="e">
        <f t="shared" si="48"/>
        <v>#REF!</v>
      </c>
      <c r="LK247" s="29" t="e">
        <f t="shared" si="48"/>
        <v>#REF!</v>
      </c>
      <c r="LL247" s="29" t="e">
        <f t="shared" si="48"/>
        <v>#REF!</v>
      </c>
      <c r="LM247" s="29" t="e">
        <f t="shared" si="48"/>
        <v>#REF!</v>
      </c>
      <c r="LN247" s="29" t="e">
        <f t="shared" si="48"/>
        <v>#REF!</v>
      </c>
      <c r="LO247" s="29" t="e">
        <f t="shared" si="48"/>
        <v>#REF!</v>
      </c>
      <c r="LP247" s="29" t="e">
        <f t="shared" si="48"/>
        <v>#REF!</v>
      </c>
      <c r="LQ247" s="29" t="e">
        <f t="shared" si="48"/>
        <v>#REF!</v>
      </c>
      <c r="LR247" s="29" t="e">
        <f t="shared" si="48"/>
        <v>#REF!</v>
      </c>
      <c r="LS247" s="29" t="e">
        <f t="shared" si="48"/>
        <v>#REF!</v>
      </c>
      <c r="LT247" s="29" t="e">
        <f t="shared" si="48"/>
        <v>#REF!</v>
      </c>
      <c r="LU247" s="29" t="e">
        <f t="shared" si="48"/>
        <v>#REF!</v>
      </c>
      <c r="LV247" s="29" t="e">
        <f t="shared" si="48"/>
        <v>#REF!</v>
      </c>
      <c r="LW247" s="29" t="e">
        <f t="shared" si="48"/>
        <v>#REF!</v>
      </c>
      <c r="LX247" s="29" t="e">
        <f t="shared" si="48"/>
        <v>#REF!</v>
      </c>
      <c r="LY247" s="29" t="e">
        <f t="shared" ref="LY247:OJ247" si="49">MC247&amp;MD247</f>
        <v>#REF!</v>
      </c>
      <c r="LZ247" s="29" t="e">
        <f t="shared" si="49"/>
        <v>#REF!</v>
      </c>
      <c r="MA247" s="29" t="e">
        <f t="shared" si="49"/>
        <v>#REF!</v>
      </c>
      <c r="MB247" s="29" t="e">
        <f t="shared" si="49"/>
        <v>#REF!</v>
      </c>
      <c r="MC247" s="29" t="e">
        <f t="shared" si="49"/>
        <v>#REF!</v>
      </c>
      <c r="MD247" s="29" t="e">
        <f t="shared" si="49"/>
        <v>#REF!</v>
      </c>
      <c r="ME247" s="29" t="e">
        <f t="shared" si="49"/>
        <v>#REF!</v>
      </c>
      <c r="MF247" s="29" t="e">
        <f t="shared" si="49"/>
        <v>#REF!</v>
      </c>
      <c r="MG247" s="29" t="e">
        <f t="shared" si="49"/>
        <v>#REF!</v>
      </c>
      <c r="MH247" s="29" t="e">
        <f t="shared" si="49"/>
        <v>#REF!</v>
      </c>
      <c r="MI247" s="29" t="e">
        <f t="shared" si="49"/>
        <v>#REF!</v>
      </c>
      <c r="MJ247" s="29" t="e">
        <f t="shared" si="49"/>
        <v>#REF!</v>
      </c>
      <c r="MK247" s="29" t="e">
        <f t="shared" si="49"/>
        <v>#REF!</v>
      </c>
      <c r="ML247" s="29" t="e">
        <f t="shared" si="49"/>
        <v>#REF!</v>
      </c>
      <c r="MM247" s="29" t="e">
        <f t="shared" si="49"/>
        <v>#REF!</v>
      </c>
      <c r="MN247" s="29" t="e">
        <f t="shared" si="49"/>
        <v>#REF!</v>
      </c>
      <c r="MO247" s="29" t="e">
        <f t="shared" si="49"/>
        <v>#REF!</v>
      </c>
      <c r="MP247" s="29" t="e">
        <f t="shared" si="49"/>
        <v>#REF!</v>
      </c>
      <c r="MQ247" s="29" t="e">
        <f t="shared" si="49"/>
        <v>#REF!</v>
      </c>
      <c r="MR247" s="29" t="e">
        <f t="shared" si="49"/>
        <v>#REF!</v>
      </c>
      <c r="MS247" s="29" t="e">
        <f t="shared" si="49"/>
        <v>#REF!</v>
      </c>
      <c r="MT247" s="29" t="e">
        <f t="shared" si="49"/>
        <v>#REF!</v>
      </c>
      <c r="MU247" s="29" t="e">
        <f t="shared" si="49"/>
        <v>#REF!</v>
      </c>
      <c r="MV247" s="29" t="e">
        <f t="shared" si="49"/>
        <v>#REF!</v>
      </c>
      <c r="MW247" s="29" t="e">
        <f t="shared" si="49"/>
        <v>#REF!</v>
      </c>
      <c r="MX247" s="29" t="e">
        <f t="shared" si="49"/>
        <v>#REF!</v>
      </c>
      <c r="MY247" s="29" t="e">
        <f t="shared" si="49"/>
        <v>#REF!</v>
      </c>
      <c r="MZ247" s="29" t="e">
        <f t="shared" si="49"/>
        <v>#REF!</v>
      </c>
      <c r="NA247" s="29" t="e">
        <f t="shared" si="49"/>
        <v>#REF!</v>
      </c>
      <c r="NB247" s="29" t="e">
        <f t="shared" si="49"/>
        <v>#REF!</v>
      </c>
      <c r="NC247" s="29" t="e">
        <f t="shared" si="49"/>
        <v>#REF!</v>
      </c>
      <c r="ND247" s="29" t="e">
        <f t="shared" si="49"/>
        <v>#REF!</v>
      </c>
      <c r="NE247" s="29" t="e">
        <f t="shared" si="49"/>
        <v>#REF!</v>
      </c>
      <c r="NF247" s="29" t="e">
        <f t="shared" si="49"/>
        <v>#REF!</v>
      </c>
      <c r="NG247" s="29" t="e">
        <f t="shared" si="49"/>
        <v>#REF!</v>
      </c>
      <c r="NH247" s="29" t="e">
        <f t="shared" si="49"/>
        <v>#REF!</v>
      </c>
      <c r="NI247" s="29" t="e">
        <f t="shared" si="49"/>
        <v>#REF!</v>
      </c>
      <c r="NJ247" s="29" t="e">
        <f t="shared" si="49"/>
        <v>#REF!</v>
      </c>
      <c r="NK247" s="29" t="e">
        <f t="shared" si="49"/>
        <v>#REF!</v>
      </c>
      <c r="NL247" s="29" t="e">
        <f t="shared" si="49"/>
        <v>#REF!</v>
      </c>
      <c r="NM247" s="29" t="e">
        <f t="shared" si="49"/>
        <v>#REF!</v>
      </c>
      <c r="NN247" s="29" t="e">
        <f t="shared" si="49"/>
        <v>#REF!</v>
      </c>
      <c r="NO247" s="29" t="e">
        <f t="shared" si="49"/>
        <v>#REF!</v>
      </c>
      <c r="NP247" s="29" t="e">
        <f t="shared" si="49"/>
        <v>#REF!</v>
      </c>
      <c r="NQ247" s="29" t="e">
        <f t="shared" si="49"/>
        <v>#REF!</v>
      </c>
      <c r="NR247" s="29" t="e">
        <f t="shared" si="49"/>
        <v>#REF!</v>
      </c>
      <c r="NS247" s="29" t="e">
        <f t="shared" si="49"/>
        <v>#REF!</v>
      </c>
      <c r="NT247" s="29" t="e">
        <f t="shared" si="49"/>
        <v>#REF!</v>
      </c>
      <c r="NU247" s="29" t="e">
        <f t="shared" si="49"/>
        <v>#REF!</v>
      </c>
      <c r="NV247" s="29" t="e">
        <f t="shared" si="49"/>
        <v>#REF!</v>
      </c>
      <c r="NW247" s="29" t="e">
        <f t="shared" si="49"/>
        <v>#REF!</v>
      </c>
      <c r="NX247" s="29" t="e">
        <f t="shared" si="49"/>
        <v>#REF!</v>
      </c>
      <c r="NY247" s="29" t="e">
        <f t="shared" si="49"/>
        <v>#REF!</v>
      </c>
      <c r="NZ247" s="29" t="e">
        <f t="shared" si="49"/>
        <v>#REF!</v>
      </c>
      <c r="OA247" s="29" t="e">
        <f t="shared" si="49"/>
        <v>#REF!</v>
      </c>
      <c r="OB247" s="29" t="e">
        <f t="shared" si="49"/>
        <v>#REF!</v>
      </c>
      <c r="OC247" s="29" t="e">
        <f t="shared" si="49"/>
        <v>#REF!</v>
      </c>
      <c r="OD247" s="29" t="e">
        <f t="shared" si="49"/>
        <v>#REF!</v>
      </c>
      <c r="OE247" s="29" t="e">
        <f t="shared" si="49"/>
        <v>#REF!</v>
      </c>
      <c r="OF247" s="29" t="e">
        <f t="shared" si="49"/>
        <v>#REF!</v>
      </c>
      <c r="OG247" s="29" t="e">
        <f t="shared" si="49"/>
        <v>#REF!</v>
      </c>
      <c r="OH247" s="29" t="e">
        <f t="shared" si="49"/>
        <v>#REF!</v>
      </c>
      <c r="OI247" s="29" t="e">
        <f t="shared" si="49"/>
        <v>#REF!</v>
      </c>
      <c r="OJ247" s="29" t="e">
        <f t="shared" si="49"/>
        <v>#REF!</v>
      </c>
      <c r="OK247" s="29" t="e">
        <f t="shared" ref="OK247:QV247" si="50">OO247&amp;OP247</f>
        <v>#REF!</v>
      </c>
      <c r="OL247" s="29" t="e">
        <f t="shared" si="50"/>
        <v>#REF!</v>
      </c>
      <c r="OM247" s="29" t="e">
        <f t="shared" si="50"/>
        <v>#REF!</v>
      </c>
      <c r="ON247" s="29" t="e">
        <f t="shared" si="50"/>
        <v>#REF!</v>
      </c>
      <c r="OO247" s="29" t="e">
        <f t="shared" si="50"/>
        <v>#REF!</v>
      </c>
      <c r="OP247" s="29" t="e">
        <f t="shared" si="50"/>
        <v>#REF!</v>
      </c>
      <c r="OQ247" s="29" t="e">
        <f t="shared" si="50"/>
        <v>#REF!</v>
      </c>
      <c r="OR247" s="29" t="e">
        <f t="shared" si="50"/>
        <v>#REF!</v>
      </c>
      <c r="OS247" s="29" t="e">
        <f t="shared" si="50"/>
        <v>#REF!</v>
      </c>
      <c r="OT247" s="29" t="e">
        <f t="shared" si="50"/>
        <v>#REF!</v>
      </c>
      <c r="OU247" s="29" t="e">
        <f t="shared" si="50"/>
        <v>#REF!</v>
      </c>
      <c r="OV247" s="29" t="e">
        <f t="shared" si="50"/>
        <v>#REF!</v>
      </c>
      <c r="OW247" s="29" t="e">
        <f t="shared" si="50"/>
        <v>#REF!</v>
      </c>
      <c r="OX247" s="29" t="e">
        <f t="shared" si="50"/>
        <v>#REF!</v>
      </c>
      <c r="OY247" s="29" t="e">
        <f t="shared" si="50"/>
        <v>#REF!</v>
      </c>
      <c r="OZ247" s="29" t="e">
        <f t="shared" si="50"/>
        <v>#REF!</v>
      </c>
      <c r="PA247" s="29" t="e">
        <f t="shared" si="50"/>
        <v>#REF!</v>
      </c>
      <c r="PB247" s="29" t="e">
        <f t="shared" si="50"/>
        <v>#REF!</v>
      </c>
      <c r="PC247" s="29" t="e">
        <f t="shared" si="50"/>
        <v>#REF!</v>
      </c>
      <c r="PD247" s="29" t="e">
        <f t="shared" si="50"/>
        <v>#REF!</v>
      </c>
      <c r="PE247" s="29" t="e">
        <f t="shared" si="50"/>
        <v>#REF!</v>
      </c>
      <c r="PF247" s="29" t="e">
        <f t="shared" si="50"/>
        <v>#REF!</v>
      </c>
      <c r="PG247" s="29" t="e">
        <f t="shared" si="50"/>
        <v>#REF!</v>
      </c>
      <c r="PH247" s="29" t="e">
        <f t="shared" si="50"/>
        <v>#REF!</v>
      </c>
      <c r="PI247" s="29" t="e">
        <f t="shared" si="50"/>
        <v>#REF!</v>
      </c>
      <c r="PJ247" s="29" t="e">
        <f t="shared" si="50"/>
        <v>#REF!</v>
      </c>
      <c r="PK247" s="29" t="e">
        <f t="shared" si="50"/>
        <v>#REF!</v>
      </c>
      <c r="PL247" s="29" t="e">
        <f t="shared" si="50"/>
        <v>#REF!</v>
      </c>
      <c r="PM247" s="29" t="e">
        <f t="shared" si="50"/>
        <v>#REF!</v>
      </c>
      <c r="PN247" s="29" t="e">
        <f t="shared" si="50"/>
        <v>#REF!</v>
      </c>
      <c r="PO247" s="29" t="e">
        <f t="shared" si="50"/>
        <v>#REF!</v>
      </c>
      <c r="PP247" s="29" t="e">
        <f t="shared" si="50"/>
        <v>#REF!</v>
      </c>
      <c r="PQ247" s="29" t="e">
        <f t="shared" si="50"/>
        <v>#REF!</v>
      </c>
      <c r="PR247" s="29" t="e">
        <f t="shared" si="50"/>
        <v>#REF!</v>
      </c>
      <c r="PS247" s="29" t="e">
        <f t="shared" si="50"/>
        <v>#REF!</v>
      </c>
      <c r="PT247" s="29" t="e">
        <f t="shared" si="50"/>
        <v>#REF!</v>
      </c>
      <c r="PU247" s="29" t="e">
        <f t="shared" si="50"/>
        <v>#REF!</v>
      </c>
      <c r="PV247" s="29" t="e">
        <f t="shared" si="50"/>
        <v>#REF!</v>
      </c>
      <c r="PW247" s="29" t="e">
        <f t="shared" si="50"/>
        <v>#REF!</v>
      </c>
      <c r="PX247" s="29" t="e">
        <f t="shared" si="50"/>
        <v>#REF!</v>
      </c>
      <c r="PY247" s="29" t="e">
        <f t="shared" si="50"/>
        <v>#REF!</v>
      </c>
      <c r="PZ247" s="29" t="e">
        <f t="shared" si="50"/>
        <v>#REF!</v>
      </c>
      <c r="QA247" s="29" t="e">
        <f t="shared" si="50"/>
        <v>#REF!</v>
      </c>
      <c r="QB247" s="29" t="e">
        <f t="shared" si="50"/>
        <v>#REF!</v>
      </c>
      <c r="QC247" s="29" t="e">
        <f t="shared" si="50"/>
        <v>#REF!</v>
      </c>
      <c r="QD247" s="29" t="e">
        <f t="shared" si="50"/>
        <v>#REF!</v>
      </c>
      <c r="QE247" s="29" t="e">
        <f t="shared" si="50"/>
        <v>#REF!</v>
      </c>
      <c r="QF247" s="29" t="e">
        <f t="shared" si="50"/>
        <v>#REF!</v>
      </c>
      <c r="QG247" s="29" t="e">
        <f t="shared" si="50"/>
        <v>#REF!</v>
      </c>
      <c r="QH247" s="29" t="e">
        <f t="shared" si="50"/>
        <v>#REF!</v>
      </c>
      <c r="QI247" s="29" t="e">
        <f t="shared" si="50"/>
        <v>#REF!</v>
      </c>
      <c r="QJ247" s="29" t="e">
        <f t="shared" si="50"/>
        <v>#REF!</v>
      </c>
      <c r="QK247" s="29" t="e">
        <f t="shared" si="50"/>
        <v>#REF!</v>
      </c>
      <c r="QL247" s="29" t="e">
        <f t="shared" si="50"/>
        <v>#REF!</v>
      </c>
      <c r="QM247" s="29" t="e">
        <f t="shared" si="50"/>
        <v>#REF!</v>
      </c>
      <c r="QN247" s="29" t="e">
        <f t="shared" si="50"/>
        <v>#REF!</v>
      </c>
      <c r="QO247" s="29" t="e">
        <f t="shared" si="50"/>
        <v>#REF!</v>
      </c>
      <c r="QP247" s="29" t="e">
        <f t="shared" si="50"/>
        <v>#REF!</v>
      </c>
      <c r="QQ247" s="29" t="e">
        <f t="shared" si="50"/>
        <v>#REF!</v>
      </c>
      <c r="QR247" s="29" t="e">
        <f t="shared" si="50"/>
        <v>#REF!</v>
      </c>
      <c r="QS247" s="29" t="e">
        <f t="shared" si="50"/>
        <v>#REF!</v>
      </c>
      <c r="QT247" s="29" t="e">
        <f t="shared" si="50"/>
        <v>#REF!</v>
      </c>
      <c r="QU247" s="29" t="e">
        <f t="shared" si="50"/>
        <v>#REF!</v>
      </c>
      <c r="QV247" s="29" t="e">
        <f t="shared" si="50"/>
        <v>#REF!</v>
      </c>
      <c r="QW247" s="29" t="e">
        <f t="shared" ref="QW247:TH247" si="51">RA247&amp;RB247</f>
        <v>#REF!</v>
      </c>
      <c r="QX247" s="29" t="e">
        <f t="shared" si="51"/>
        <v>#REF!</v>
      </c>
      <c r="QY247" s="29" t="e">
        <f t="shared" si="51"/>
        <v>#REF!</v>
      </c>
      <c r="QZ247" s="29" t="e">
        <f t="shared" si="51"/>
        <v>#REF!</v>
      </c>
      <c r="RA247" s="29" t="e">
        <f t="shared" si="51"/>
        <v>#REF!</v>
      </c>
      <c r="RB247" s="29" t="e">
        <f t="shared" si="51"/>
        <v>#REF!</v>
      </c>
      <c r="RC247" s="29" t="e">
        <f t="shared" si="51"/>
        <v>#REF!</v>
      </c>
      <c r="RD247" s="29" t="e">
        <f t="shared" si="51"/>
        <v>#REF!</v>
      </c>
      <c r="RE247" s="29" t="e">
        <f t="shared" si="51"/>
        <v>#REF!</v>
      </c>
      <c r="RF247" s="29" t="e">
        <f t="shared" si="51"/>
        <v>#REF!</v>
      </c>
      <c r="RG247" s="29" t="e">
        <f t="shared" si="51"/>
        <v>#REF!</v>
      </c>
      <c r="RH247" s="29" t="e">
        <f t="shared" si="51"/>
        <v>#REF!</v>
      </c>
      <c r="RI247" s="29" t="e">
        <f t="shared" si="51"/>
        <v>#REF!</v>
      </c>
      <c r="RJ247" s="29" t="e">
        <f t="shared" si="51"/>
        <v>#REF!</v>
      </c>
      <c r="RK247" s="29" t="e">
        <f t="shared" si="51"/>
        <v>#REF!</v>
      </c>
      <c r="RL247" s="29" t="e">
        <f t="shared" si="51"/>
        <v>#REF!</v>
      </c>
      <c r="RM247" s="29" t="e">
        <f t="shared" si="51"/>
        <v>#REF!</v>
      </c>
      <c r="RN247" s="29" t="e">
        <f t="shared" si="51"/>
        <v>#REF!</v>
      </c>
      <c r="RO247" s="29" t="e">
        <f t="shared" si="51"/>
        <v>#REF!</v>
      </c>
      <c r="RP247" s="29" t="e">
        <f t="shared" si="51"/>
        <v>#REF!</v>
      </c>
      <c r="RQ247" s="29" t="e">
        <f t="shared" si="51"/>
        <v>#REF!</v>
      </c>
      <c r="RR247" s="29" t="e">
        <f t="shared" si="51"/>
        <v>#REF!</v>
      </c>
      <c r="RS247" s="29" t="e">
        <f t="shared" si="51"/>
        <v>#REF!</v>
      </c>
      <c r="RT247" s="29" t="e">
        <f t="shared" si="51"/>
        <v>#REF!</v>
      </c>
      <c r="RU247" s="29" t="e">
        <f t="shared" si="51"/>
        <v>#REF!</v>
      </c>
      <c r="RV247" s="29" t="e">
        <f t="shared" si="51"/>
        <v>#REF!</v>
      </c>
      <c r="RW247" s="29" t="e">
        <f t="shared" si="51"/>
        <v>#REF!</v>
      </c>
      <c r="RX247" s="29" t="e">
        <f t="shared" si="51"/>
        <v>#REF!</v>
      </c>
      <c r="RY247" s="29" t="e">
        <f t="shared" si="51"/>
        <v>#REF!</v>
      </c>
      <c r="RZ247" s="29" t="e">
        <f t="shared" si="51"/>
        <v>#REF!</v>
      </c>
      <c r="SA247" s="29" t="e">
        <f t="shared" si="51"/>
        <v>#REF!</v>
      </c>
      <c r="SB247" s="29" t="e">
        <f t="shared" si="51"/>
        <v>#REF!</v>
      </c>
      <c r="SC247" s="29" t="e">
        <f t="shared" si="51"/>
        <v>#REF!</v>
      </c>
      <c r="SD247" s="29" t="e">
        <f t="shared" si="51"/>
        <v>#REF!</v>
      </c>
      <c r="SE247" s="29" t="e">
        <f t="shared" si="51"/>
        <v>#REF!</v>
      </c>
      <c r="SF247" s="29" t="e">
        <f t="shared" si="51"/>
        <v>#REF!</v>
      </c>
      <c r="SG247" s="29" t="e">
        <f t="shared" si="51"/>
        <v>#REF!</v>
      </c>
      <c r="SH247" s="29" t="e">
        <f t="shared" si="51"/>
        <v>#REF!</v>
      </c>
      <c r="SI247" s="29" t="e">
        <f t="shared" si="51"/>
        <v>#REF!</v>
      </c>
      <c r="SJ247" s="29" t="e">
        <f t="shared" si="51"/>
        <v>#REF!</v>
      </c>
      <c r="SK247" s="29" t="e">
        <f t="shared" si="51"/>
        <v>#REF!</v>
      </c>
      <c r="SL247" s="29" t="e">
        <f t="shared" si="51"/>
        <v>#REF!</v>
      </c>
      <c r="SM247" s="29" t="e">
        <f t="shared" si="51"/>
        <v>#REF!</v>
      </c>
      <c r="SN247" s="29" t="e">
        <f t="shared" si="51"/>
        <v>#REF!</v>
      </c>
      <c r="SO247" s="29" t="e">
        <f t="shared" si="51"/>
        <v>#REF!</v>
      </c>
      <c r="SP247" s="29" t="e">
        <f t="shared" si="51"/>
        <v>#REF!</v>
      </c>
      <c r="SQ247" s="29" t="e">
        <f t="shared" si="51"/>
        <v>#REF!</v>
      </c>
      <c r="SR247" s="29" t="e">
        <f t="shared" si="51"/>
        <v>#REF!</v>
      </c>
      <c r="SS247" s="29" t="e">
        <f t="shared" si="51"/>
        <v>#REF!</v>
      </c>
      <c r="ST247" s="29" t="e">
        <f t="shared" si="51"/>
        <v>#REF!</v>
      </c>
      <c r="SU247" s="29" t="e">
        <f t="shared" si="51"/>
        <v>#REF!</v>
      </c>
      <c r="SV247" s="29" t="e">
        <f t="shared" si="51"/>
        <v>#REF!</v>
      </c>
      <c r="SW247" s="29" t="e">
        <f t="shared" si="51"/>
        <v>#REF!</v>
      </c>
      <c r="SX247" s="29" t="e">
        <f t="shared" si="51"/>
        <v>#REF!</v>
      </c>
      <c r="SY247" s="29" t="e">
        <f t="shared" si="51"/>
        <v>#REF!</v>
      </c>
      <c r="SZ247" s="29" t="e">
        <f t="shared" si="51"/>
        <v>#REF!</v>
      </c>
      <c r="TA247" s="29" t="e">
        <f t="shared" si="51"/>
        <v>#REF!</v>
      </c>
      <c r="TB247" s="29" t="e">
        <f t="shared" si="51"/>
        <v>#REF!</v>
      </c>
      <c r="TC247" s="29" t="e">
        <f t="shared" si="51"/>
        <v>#REF!</v>
      </c>
      <c r="TD247" s="29" t="e">
        <f t="shared" si="51"/>
        <v>#REF!</v>
      </c>
      <c r="TE247" s="29" t="e">
        <f t="shared" si="51"/>
        <v>#REF!</v>
      </c>
      <c r="TF247" s="29" t="e">
        <f t="shared" si="51"/>
        <v>#REF!</v>
      </c>
      <c r="TG247" s="29" t="e">
        <f t="shared" si="51"/>
        <v>#REF!</v>
      </c>
      <c r="TH247" s="29" t="e">
        <f t="shared" si="51"/>
        <v>#REF!</v>
      </c>
      <c r="TI247" s="29" t="e">
        <f t="shared" ref="TI247:VT247" si="52">TM247&amp;TN247</f>
        <v>#REF!</v>
      </c>
      <c r="TJ247" s="29" t="e">
        <f t="shared" si="52"/>
        <v>#REF!</v>
      </c>
      <c r="TK247" s="29" t="e">
        <f t="shared" si="52"/>
        <v>#REF!</v>
      </c>
      <c r="TL247" s="29" t="e">
        <f t="shared" si="52"/>
        <v>#REF!</v>
      </c>
      <c r="TM247" s="29" t="e">
        <f t="shared" si="52"/>
        <v>#REF!</v>
      </c>
      <c r="TN247" s="29" t="e">
        <f t="shared" si="52"/>
        <v>#REF!</v>
      </c>
      <c r="TO247" s="29" t="e">
        <f t="shared" si="52"/>
        <v>#REF!</v>
      </c>
      <c r="TP247" s="29" t="e">
        <f t="shared" si="52"/>
        <v>#REF!</v>
      </c>
      <c r="TQ247" s="29" t="e">
        <f t="shared" si="52"/>
        <v>#REF!</v>
      </c>
      <c r="TR247" s="29" t="e">
        <f t="shared" si="52"/>
        <v>#REF!</v>
      </c>
      <c r="TS247" s="29" t="e">
        <f t="shared" si="52"/>
        <v>#REF!</v>
      </c>
      <c r="TT247" s="29" t="e">
        <f t="shared" si="52"/>
        <v>#REF!</v>
      </c>
      <c r="TU247" s="29" t="e">
        <f t="shared" si="52"/>
        <v>#REF!</v>
      </c>
      <c r="TV247" s="29" t="e">
        <f t="shared" si="52"/>
        <v>#REF!</v>
      </c>
      <c r="TW247" s="29" t="e">
        <f t="shared" si="52"/>
        <v>#REF!</v>
      </c>
      <c r="TX247" s="29" t="e">
        <f t="shared" si="52"/>
        <v>#REF!</v>
      </c>
      <c r="TY247" s="29" t="e">
        <f t="shared" si="52"/>
        <v>#REF!</v>
      </c>
      <c r="TZ247" s="29" t="e">
        <f t="shared" si="52"/>
        <v>#REF!</v>
      </c>
      <c r="UA247" s="29" t="e">
        <f t="shared" si="52"/>
        <v>#REF!</v>
      </c>
      <c r="UB247" s="29" t="e">
        <f t="shared" si="52"/>
        <v>#REF!</v>
      </c>
      <c r="UC247" s="29" t="e">
        <f t="shared" si="52"/>
        <v>#REF!</v>
      </c>
      <c r="UD247" s="29" t="e">
        <f t="shared" si="52"/>
        <v>#REF!</v>
      </c>
      <c r="UE247" s="29" t="e">
        <f t="shared" si="52"/>
        <v>#REF!</v>
      </c>
      <c r="UF247" s="29" t="e">
        <f t="shared" si="52"/>
        <v>#REF!</v>
      </c>
      <c r="UG247" s="29" t="e">
        <f t="shared" si="52"/>
        <v>#REF!</v>
      </c>
      <c r="UH247" s="29" t="e">
        <f t="shared" si="52"/>
        <v>#REF!</v>
      </c>
      <c r="UI247" s="29" t="e">
        <f t="shared" si="52"/>
        <v>#REF!</v>
      </c>
      <c r="UJ247" s="29" t="e">
        <f t="shared" si="52"/>
        <v>#REF!</v>
      </c>
      <c r="UK247" s="29" t="e">
        <f t="shared" si="52"/>
        <v>#REF!</v>
      </c>
      <c r="UL247" s="29" t="e">
        <f t="shared" si="52"/>
        <v>#REF!</v>
      </c>
      <c r="UM247" s="29" t="e">
        <f t="shared" si="52"/>
        <v>#REF!</v>
      </c>
      <c r="UN247" s="29" t="e">
        <f t="shared" si="52"/>
        <v>#REF!</v>
      </c>
      <c r="UO247" s="29" t="e">
        <f t="shared" si="52"/>
        <v>#REF!</v>
      </c>
      <c r="UP247" s="29" t="e">
        <f t="shared" si="52"/>
        <v>#REF!</v>
      </c>
      <c r="UQ247" s="29" t="e">
        <f t="shared" si="52"/>
        <v>#REF!</v>
      </c>
      <c r="UR247" s="29" t="e">
        <f t="shared" si="52"/>
        <v>#REF!</v>
      </c>
      <c r="US247" s="29" t="e">
        <f t="shared" si="52"/>
        <v>#REF!</v>
      </c>
      <c r="UT247" s="29" t="e">
        <f t="shared" si="52"/>
        <v>#REF!</v>
      </c>
      <c r="UU247" s="29" t="e">
        <f t="shared" si="52"/>
        <v>#REF!</v>
      </c>
      <c r="UV247" s="29" t="e">
        <f t="shared" si="52"/>
        <v>#REF!</v>
      </c>
      <c r="UW247" s="29" t="e">
        <f t="shared" si="52"/>
        <v>#REF!</v>
      </c>
      <c r="UX247" s="29" t="e">
        <f t="shared" si="52"/>
        <v>#REF!</v>
      </c>
      <c r="UY247" s="29" t="e">
        <f t="shared" si="52"/>
        <v>#REF!</v>
      </c>
      <c r="UZ247" s="29" t="e">
        <f t="shared" si="52"/>
        <v>#REF!</v>
      </c>
      <c r="VA247" s="29" t="e">
        <f t="shared" si="52"/>
        <v>#REF!</v>
      </c>
      <c r="VB247" s="29" t="e">
        <f t="shared" si="52"/>
        <v>#REF!</v>
      </c>
      <c r="VC247" s="29" t="e">
        <f t="shared" si="52"/>
        <v>#REF!</v>
      </c>
      <c r="VD247" s="29" t="e">
        <f t="shared" si="52"/>
        <v>#REF!</v>
      </c>
      <c r="VE247" s="29" t="e">
        <f t="shared" si="52"/>
        <v>#REF!</v>
      </c>
      <c r="VF247" s="29" t="e">
        <f t="shared" si="52"/>
        <v>#REF!</v>
      </c>
      <c r="VG247" s="29" t="e">
        <f t="shared" si="52"/>
        <v>#REF!</v>
      </c>
      <c r="VH247" s="29" t="e">
        <f t="shared" si="52"/>
        <v>#REF!</v>
      </c>
      <c r="VI247" s="29" t="e">
        <f t="shared" si="52"/>
        <v>#REF!</v>
      </c>
      <c r="VJ247" s="29" t="e">
        <f t="shared" si="52"/>
        <v>#REF!</v>
      </c>
      <c r="VK247" s="29" t="e">
        <f t="shared" si="52"/>
        <v>#REF!</v>
      </c>
      <c r="VL247" s="29" t="e">
        <f t="shared" si="52"/>
        <v>#REF!</v>
      </c>
      <c r="VM247" s="29" t="e">
        <f t="shared" si="52"/>
        <v>#REF!</v>
      </c>
      <c r="VN247" s="29" t="e">
        <f t="shared" si="52"/>
        <v>#REF!</v>
      </c>
      <c r="VO247" s="29" t="e">
        <f t="shared" si="52"/>
        <v>#REF!</v>
      </c>
      <c r="VP247" s="29" t="e">
        <f t="shared" si="52"/>
        <v>#REF!</v>
      </c>
      <c r="VQ247" s="29" t="e">
        <f t="shared" si="52"/>
        <v>#REF!</v>
      </c>
      <c r="VR247" s="29" t="e">
        <f t="shared" si="52"/>
        <v>#REF!</v>
      </c>
      <c r="VS247" s="29" t="e">
        <f t="shared" si="52"/>
        <v>#REF!</v>
      </c>
      <c r="VT247" s="29" t="e">
        <f t="shared" si="52"/>
        <v>#REF!</v>
      </c>
      <c r="VU247" s="29" t="e">
        <f t="shared" ref="VU247:YF247" si="53">VY247&amp;VZ247</f>
        <v>#REF!</v>
      </c>
      <c r="VV247" s="29" t="e">
        <f t="shared" si="53"/>
        <v>#REF!</v>
      </c>
      <c r="VW247" s="29" t="e">
        <f t="shared" si="53"/>
        <v>#REF!</v>
      </c>
      <c r="VX247" s="29" t="e">
        <f t="shared" si="53"/>
        <v>#REF!</v>
      </c>
      <c r="VY247" s="29" t="e">
        <f t="shared" si="53"/>
        <v>#REF!</v>
      </c>
      <c r="VZ247" s="29" t="e">
        <f t="shared" si="53"/>
        <v>#REF!</v>
      </c>
      <c r="WA247" s="29" t="e">
        <f t="shared" si="53"/>
        <v>#REF!</v>
      </c>
      <c r="WB247" s="29" t="e">
        <f t="shared" si="53"/>
        <v>#REF!</v>
      </c>
      <c r="WC247" s="29" t="e">
        <f t="shared" si="53"/>
        <v>#REF!</v>
      </c>
      <c r="WD247" s="29" t="e">
        <f t="shared" si="53"/>
        <v>#REF!</v>
      </c>
      <c r="WE247" s="29" t="e">
        <f t="shared" si="53"/>
        <v>#REF!</v>
      </c>
      <c r="WF247" s="29" t="e">
        <f t="shared" si="53"/>
        <v>#REF!</v>
      </c>
      <c r="WG247" s="29" t="e">
        <f t="shared" si="53"/>
        <v>#REF!</v>
      </c>
      <c r="WH247" s="29" t="e">
        <f t="shared" si="53"/>
        <v>#REF!</v>
      </c>
      <c r="WI247" s="29" t="e">
        <f t="shared" si="53"/>
        <v>#REF!</v>
      </c>
      <c r="WJ247" s="29" t="e">
        <f t="shared" si="53"/>
        <v>#REF!</v>
      </c>
      <c r="WK247" s="29" t="e">
        <f t="shared" si="53"/>
        <v>#REF!</v>
      </c>
      <c r="WL247" s="29" t="e">
        <f t="shared" si="53"/>
        <v>#REF!</v>
      </c>
      <c r="WM247" s="29" t="e">
        <f t="shared" si="53"/>
        <v>#REF!</v>
      </c>
      <c r="WN247" s="29" t="e">
        <f t="shared" si="53"/>
        <v>#REF!</v>
      </c>
      <c r="WO247" s="29" t="e">
        <f t="shared" si="53"/>
        <v>#REF!</v>
      </c>
      <c r="WP247" s="29" t="e">
        <f t="shared" si="53"/>
        <v>#REF!</v>
      </c>
      <c r="WQ247" s="29" t="e">
        <f t="shared" si="53"/>
        <v>#REF!</v>
      </c>
      <c r="WR247" s="29" t="e">
        <f t="shared" si="53"/>
        <v>#REF!</v>
      </c>
      <c r="WS247" s="29" t="e">
        <f t="shared" si="53"/>
        <v>#REF!</v>
      </c>
      <c r="WT247" s="29" t="e">
        <f t="shared" si="53"/>
        <v>#REF!</v>
      </c>
      <c r="WU247" s="29" t="e">
        <f t="shared" si="53"/>
        <v>#REF!</v>
      </c>
      <c r="WV247" s="29" t="e">
        <f t="shared" si="53"/>
        <v>#REF!</v>
      </c>
      <c r="WW247" s="29" t="e">
        <f t="shared" si="53"/>
        <v>#REF!</v>
      </c>
      <c r="WX247" s="29" t="e">
        <f t="shared" si="53"/>
        <v>#REF!</v>
      </c>
      <c r="WY247" s="29" t="e">
        <f t="shared" si="53"/>
        <v>#REF!</v>
      </c>
      <c r="WZ247" s="29" t="e">
        <f t="shared" si="53"/>
        <v>#REF!</v>
      </c>
      <c r="XA247" s="29" t="e">
        <f t="shared" si="53"/>
        <v>#REF!</v>
      </c>
      <c r="XB247" s="29" t="e">
        <f t="shared" si="53"/>
        <v>#REF!</v>
      </c>
      <c r="XC247" s="29" t="e">
        <f t="shared" si="53"/>
        <v>#REF!</v>
      </c>
      <c r="XD247" s="29" t="e">
        <f t="shared" si="53"/>
        <v>#REF!</v>
      </c>
      <c r="XE247" s="29" t="e">
        <f t="shared" si="53"/>
        <v>#REF!</v>
      </c>
      <c r="XF247" s="29" t="e">
        <f t="shared" si="53"/>
        <v>#REF!</v>
      </c>
      <c r="XG247" s="29" t="e">
        <f t="shared" si="53"/>
        <v>#REF!</v>
      </c>
      <c r="XH247" s="29" t="e">
        <f t="shared" si="53"/>
        <v>#REF!</v>
      </c>
      <c r="XI247" s="29" t="e">
        <f t="shared" si="53"/>
        <v>#REF!</v>
      </c>
      <c r="XJ247" s="29" t="e">
        <f t="shared" si="53"/>
        <v>#REF!</v>
      </c>
      <c r="XK247" s="29" t="e">
        <f t="shared" si="53"/>
        <v>#REF!</v>
      </c>
      <c r="XL247" s="29" t="e">
        <f t="shared" si="53"/>
        <v>#REF!</v>
      </c>
      <c r="XM247" s="29" t="e">
        <f t="shared" si="53"/>
        <v>#REF!</v>
      </c>
      <c r="XN247" s="29" t="e">
        <f t="shared" si="53"/>
        <v>#REF!</v>
      </c>
      <c r="XO247" s="29" t="e">
        <f t="shared" si="53"/>
        <v>#REF!</v>
      </c>
      <c r="XP247" s="29" t="e">
        <f t="shared" si="53"/>
        <v>#REF!</v>
      </c>
      <c r="XQ247" s="29" t="e">
        <f t="shared" si="53"/>
        <v>#REF!</v>
      </c>
      <c r="XR247" s="29" t="e">
        <f t="shared" si="53"/>
        <v>#REF!</v>
      </c>
      <c r="XS247" s="29" t="e">
        <f t="shared" si="53"/>
        <v>#REF!</v>
      </c>
      <c r="XT247" s="29" t="e">
        <f t="shared" si="53"/>
        <v>#REF!</v>
      </c>
      <c r="XU247" s="29" t="e">
        <f t="shared" si="53"/>
        <v>#REF!</v>
      </c>
      <c r="XV247" s="29" t="e">
        <f t="shared" si="53"/>
        <v>#REF!</v>
      </c>
      <c r="XW247" s="29" t="e">
        <f t="shared" si="53"/>
        <v>#REF!</v>
      </c>
      <c r="XX247" s="29" t="e">
        <f t="shared" si="53"/>
        <v>#REF!</v>
      </c>
      <c r="XY247" s="29" t="e">
        <f t="shared" si="53"/>
        <v>#REF!</v>
      </c>
      <c r="XZ247" s="29" t="e">
        <f t="shared" si="53"/>
        <v>#REF!</v>
      </c>
      <c r="YA247" s="29" t="e">
        <f t="shared" si="53"/>
        <v>#REF!</v>
      </c>
      <c r="YB247" s="29" t="e">
        <f t="shared" si="53"/>
        <v>#REF!</v>
      </c>
      <c r="YC247" s="29" t="e">
        <f t="shared" si="53"/>
        <v>#REF!</v>
      </c>
      <c r="YD247" s="29" t="e">
        <f t="shared" si="53"/>
        <v>#REF!</v>
      </c>
      <c r="YE247" s="29" t="e">
        <f t="shared" si="53"/>
        <v>#REF!</v>
      </c>
      <c r="YF247" s="29" t="e">
        <f t="shared" si="53"/>
        <v>#REF!</v>
      </c>
      <c r="YG247" s="29" t="e">
        <f t="shared" ref="YG247:AAR247" si="54">YK247&amp;YL247</f>
        <v>#REF!</v>
      </c>
      <c r="YH247" s="29" t="e">
        <f t="shared" si="54"/>
        <v>#REF!</v>
      </c>
      <c r="YI247" s="29" t="e">
        <f t="shared" si="54"/>
        <v>#REF!</v>
      </c>
      <c r="YJ247" s="29" t="e">
        <f t="shared" si="54"/>
        <v>#REF!</v>
      </c>
      <c r="YK247" s="29" t="e">
        <f t="shared" si="54"/>
        <v>#REF!</v>
      </c>
      <c r="YL247" s="29" t="e">
        <f t="shared" si="54"/>
        <v>#REF!</v>
      </c>
      <c r="YM247" s="29" t="e">
        <f t="shared" si="54"/>
        <v>#REF!</v>
      </c>
      <c r="YN247" s="29" t="e">
        <f t="shared" si="54"/>
        <v>#REF!</v>
      </c>
      <c r="YO247" s="29" t="e">
        <f t="shared" si="54"/>
        <v>#REF!</v>
      </c>
      <c r="YP247" s="29" t="e">
        <f t="shared" si="54"/>
        <v>#REF!</v>
      </c>
      <c r="YQ247" s="29" t="e">
        <f t="shared" si="54"/>
        <v>#REF!</v>
      </c>
      <c r="YR247" s="29" t="e">
        <f t="shared" si="54"/>
        <v>#REF!</v>
      </c>
      <c r="YS247" s="29" t="e">
        <f t="shared" si="54"/>
        <v>#REF!</v>
      </c>
      <c r="YT247" s="29" t="e">
        <f t="shared" si="54"/>
        <v>#REF!</v>
      </c>
      <c r="YU247" s="29" t="e">
        <f t="shared" si="54"/>
        <v>#REF!</v>
      </c>
      <c r="YV247" s="29" t="e">
        <f t="shared" si="54"/>
        <v>#REF!</v>
      </c>
      <c r="YW247" s="29" t="e">
        <f t="shared" si="54"/>
        <v>#REF!</v>
      </c>
      <c r="YX247" s="29" t="e">
        <f t="shared" si="54"/>
        <v>#REF!</v>
      </c>
      <c r="YY247" s="29" t="e">
        <f t="shared" si="54"/>
        <v>#REF!</v>
      </c>
      <c r="YZ247" s="29" t="e">
        <f t="shared" si="54"/>
        <v>#REF!</v>
      </c>
      <c r="ZA247" s="29" t="e">
        <f t="shared" si="54"/>
        <v>#REF!</v>
      </c>
      <c r="ZB247" s="29" t="e">
        <f t="shared" si="54"/>
        <v>#REF!</v>
      </c>
      <c r="ZC247" s="29" t="e">
        <f t="shared" si="54"/>
        <v>#REF!</v>
      </c>
      <c r="ZD247" s="29" t="e">
        <f t="shared" si="54"/>
        <v>#REF!</v>
      </c>
      <c r="ZE247" s="29" t="e">
        <f t="shared" si="54"/>
        <v>#REF!</v>
      </c>
      <c r="ZF247" s="29" t="e">
        <f t="shared" si="54"/>
        <v>#REF!</v>
      </c>
      <c r="ZG247" s="29" t="e">
        <f t="shared" si="54"/>
        <v>#REF!</v>
      </c>
      <c r="ZH247" s="29" t="e">
        <f t="shared" si="54"/>
        <v>#REF!</v>
      </c>
      <c r="ZI247" s="29" t="e">
        <f t="shared" si="54"/>
        <v>#REF!</v>
      </c>
      <c r="ZJ247" s="29" t="e">
        <f t="shared" si="54"/>
        <v>#REF!</v>
      </c>
      <c r="ZK247" s="29" t="e">
        <f t="shared" si="54"/>
        <v>#REF!</v>
      </c>
      <c r="ZL247" s="29" t="e">
        <f t="shared" si="54"/>
        <v>#REF!</v>
      </c>
      <c r="ZM247" s="29" t="e">
        <f t="shared" si="54"/>
        <v>#REF!</v>
      </c>
      <c r="ZN247" s="29" t="e">
        <f t="shared" si="54"/>
        <v>#REF!</v>
      </c>
      <c r="ZO247" s="29" t="e">
        <f t="shared" si="54"/>
        <v>#REF!</v>
      </c>
      <c r="ZP247" s="29" t="e">
        <f t="shared" si="54"/>
        <v>#REF!</v>
      </c>
      <c r="ZQ247" s="29" t="e">
        <f t="shared" si="54"/>
        <v>#REF!</v>
      </c>
      <c r="ZR247" s="29" t="e">
        <f t="shared" si="54"/>
        <v>#REF!</v>
      </c>
      <c r="ZS247" s="29" t="e">
        <f t="shared" si="54"/>
        <v>#REF!</v>
      </c>
      <c r="ZT247" s="29" t="e">
        <f t="shared" si="54"/>
        <v>#REF!</v>
      </c>
      <c r="ZU247" s="29" t="e">
        <f t="shared" si="54"/>
        <v>#REF!</v>
      </c>
      <c r="ZV247" s="29" t="e">
        <f t="shared" si="54"/>
        <v>#REF!</v>
      </c>
      <c r="ZW247" s="29" t="e">
        <f t="shared" si="54"/>
        <v>#REF!</v>
      </c>
      <c r="ZX247" s="29" t="e">
        <f t="shared" si="54"/>
        <v>#REF!</v>
      </c>
      <c r="ZY247" s="29" t="e">
        <f t="shared" si="54"/>
        <v>#REF!</v>
      </c>
      <c r="ZZ247" s="29" t="e">
        <f t="shared" si="54"/>
        <v>#REF!</v>
      </c>
      <c r="AAA247" s="29" t="e">
        <f t="shared" si="54"/>
        <v>#REF!</v>
      </c>
      <c r="AAB247" s="29" t="e">
        <f t="shared" si="54"/>
        <v>#REF!</v>
      </c>
      <c r="AAC247" s="29" t="e">
        <f t="shared" si="54"/>
        <v>#REF!</v>
      </c>
      <c r="AAD247" s="29" t="e">
        <f t="shared" si="54"/>
        <v>#REF!</v>
      </c>
      <c r="AAE247" s="29" t="e">
        <f t="shared" si="54"/>
        <v>#REF!</v>
      </c>
      <c r="AAF247" s="29" t="e">
        <f t="shared" si="54"/>
        <v>#REF!</v>
      </c>
      <c r="AAG247" s="29" t="e">
        <f t="shared" si="54"/>
        <v>#REF!</v>
      </c>
      <c r="AAH247" s="29" t="e">
        <f t="shared" si="54"/>
        <v>#REF!</v>
      </c>
      <c r="AAI247" s="29" t="e">
        <f t="shared" si="54"/>
        <v>#REF!</v>
      </c>
      <c r="AAJ247" s="29" t="e">
        <f t="shared" si="54"/>
        <v>#REF!</v>
      </c>
      <c r="AAK247" s="29" t="e">
        <f t="shared" si="54"/>
        <v>#REF!</v>
      </c>
      <c r="AAL247" s="29" t="e">
        <f t="shared" si="54"/>
        <v>#REF!</v>
      </c>
      <c r="AAM247" s="29" t="e">
        <f t="shared" si="54"/>
        <v>#REF!</v>
      </c>
      <c r="AAN247" s="29" t="e">
        <f t="shared" si="54"/>
        <v>#REF!</v>
      </c>
      <c r="AAO247" s="29" t="e">
        <f t="shared" si="54"/>
        <v>#REF!</v>
      </c>
      <c r="AAP247" s="29" t="e">
        <f t="shared" si="54"/>
        <v>#REF!</v>
      </c>
      <c r="AAQ247" s="29" t="e">
        <f t="shared" si="54"/>
        <v>#REF!</v>
      </c>
      <c r="AAR247" s="29" t="e">
        <f t="shared" si="54"/>
        <v>#REF!</v>
      </c>
      <c r="AAS247" s="29" t="e">
        <f t="shared" ref="AAS247:ADD247" si="55">AAW247&amp;AAX247</f>
        <v>#REF!</v>
      </c>
      <c r="AAT247" s="29" t="e">
        <f t="shared" si="55"/>
        <v>#REF!</v>
      </c>
      <c r="AAU247" s="29" t="e">
        <f t="shared" si="55"/>
        <v>#REF!</v>
      </c>
      <c r="AAV247" s="29" t="e">
        <f t="shared" si="55"/>
        <v>#REF!</v>
      </c>
      <c r="AAW247" s="29" t="e">
        <f t="shared" si="55"/>
        <v>#REF!</v>
      </c>
      <c r="AAX247" s="29" t="e">
        <f t="shared" si="55"/>
        <v>#REF!</v>
      </c>
      <c r="AAY247" s="29" t="e">
        <f t="shared" si="55"/>
        <v>#REF!</v>
      </c>
      <c r="AAZ247" s="29" t="e">
        <f t="shared" si="55"/>
        <v>#REF!</v>
      </c>
      <c r="ABA247" s="29" t="e">
        <f t="shared" si="55"/>
        <v>#REF!</v>
      </c>
      <c r="ABB247" s="29" t="e">
        <f t="shared" si="55"/>
        <v>#REF!</v>
      </c>
      <c r="ABC247" s="29" t="e">
        <f t="shared" si="55"/>
        <v>#REF!</v>
      </c>
      <c r="ABD247" s="29" t="e">
        <f t="shared" si="55"/>
        <v>#REF!</v>
      </c>
      <c r="ABE247" s="29" t="e">
        <f t="shared" si="55"/>
        <v>#REF!</v>
      </c>
      <c r="ABF247" s="29" t="e">
        <f t="shared" si="55"/>
        <v>#REF!</v>
      </c>
      <c r="ABG247" s="29" t="e">
        <f t="shared" si="55"/>
        <v>#REF!</v>
      </c>
      <c r="ABH247" s="29" t="e">
        <f t="shared" si="55"/>
        <v>#REF!</v>
      </c>
      <c r="ABI247" s="29" t="e">
        <f t="shared" si="55"/>
        <v>#REF!</v>
      </c>
      <c r="ABJ247" s="29" t="e">
        <f t="shared" si="55"/>
        <v>#REF!</v>
      </c>
      <c r="ABK247" s="29" t="e">
        <f t="shared" si="55"/>
        <v>#REF!</v>
      </c>
      <c r="ABL247" s="29" t="e">
        <f t="shared" si="55"/>
        <v>#REF!</v>
      </c>
      <c r="ABM247" s="29" t="e">
        <f t="shared" si="55"/>
        <v>#REF!</v>
      </c>
      <c r="ABN247" s="29" t="e">
        <f t="shared" si="55"/>
        <v>#REF!</v>
      </c>
      <c r="ABO247" s="29" t="e">
        <f t="shared" si="55"/>
        <v>#REF!</v>
      </c>
      <c r="ABP247" s="29" t="e">
        <f t="shared" si="55"/>
        <v>#REF!</v>
      </c>
      <c r="ABQ247" s="29" t="e">
        <f t="shared" si="55"/>
        <v>#REF!</v>
      </c>
      <c r="ABR247" s="29" t="e">
        <f t="shared" si="55"/>
        <v>#REF!</v>
      </c>
      <c r="ABS247" s="29" t="e">
        <f t="shared" si="55"/>
        <v>#REF!</v>
      </c>
      <c r="ABT247" s="29" t="e">
        <f t="shared" si="55"/>
        <v>#REF!</v>
      </c>
      <c r="ABU247" s="29" t="e">
        <f t="shared" si="55"/>
        <v>#REF!</v>
      </c>
      <c r="ABV247" s="29" t="e">
        <f t="shared" si="55"/>
        <v>#REF!</v>
      </c>
      <c r="ABW247" s="29" t="e">
        <f t="shared" si="55"/>
        <v>#REF!</v>
      </c>
      <c r="ABX247" s="29" t="e">
        <f t="shared" si="55"/>
        <v>#REF!</v>
      </c>
      <c r="ABY247" s="29" t="e">
        <f t="shared" si="55"/>
        <v>#REF!</v>
      </c>
      <c r="ABZ247" s="29" t="e">
        <f t="shared" si="55"/>
        <v>#REF!</v>
      </c>
      <c r="ACA247" s="29" t="e">
        <f t="shared" si="55"/>
        <v>#REF!</v>
      </c>
      <c r="ACB247" s="29" t="e">
        <f t="shared" si="55"/>
        <v>#REF!</v>
      </c>
      <c r="ACC247" s="29" t="e">
        <f t="shared" si="55"/>
        <v>#REF!</v>
      </c>
      <c r="ACD247" s="29" t="e">
        <f t="shared" si="55"/>
        <v>#REF!</v>
      </c>
      <c r="ACE247" s="29" t="e">
        <f t="shared" si="55"/>
        <v>#REF!</v>
      </c>
      <c r="ACF247" s="29" t="e">
        <f t="shared" si="55"/>
        <v>#REF!</v>
      </c>
      <c r="ACG247" s="29" t="e">
        <f t="shared" si="55"/>
        <v>#REF!</v>
      </c>
      <c r="ACH247" s="29" t="e">
        <f t="shared" si="55"/>
        <v>#REF!</v>
      </c>
      <c r="ACI247" s="29" t="e">
        <f t="shared" si="55"/>
        <v>#REF!</v>
      </c>
      <c r="ACJ247" s="29" t="e">
        <f t="shared" si="55"/>
        <v>#REF!</v>
      </c>
      <c r="ACK247" s="29" t="e">
        <f t="shared" si="55"/>
        <v>#REF!</v>
      </c>
      <c r="ACL247" s="29" t="e">
        <f t="shared" si="55"/>
        <v>#REF!</v>
      </c>
      <c r="ACM247" s="29" t="e">
        <f t="shared" si="55"/>
        <v>#REF!</v>
      </c>
      <c r="ACN247" s="29" t="e">
        <f t="shared" si="55"/>
        <v>#REF!</v>
      </c>
      <c r="ACO247" s="29" t="e">
        <f t="shared" si="55"/>
        <v>#REF!</v>
      </c>
      <c r="ACP247" s="29" t="e">
        <f t="shared" si="55"/>
        <v>#REF!</v>
      </c>
      <c r="ACQ247" s="29" t="e">
        <f t="shared" si="55"/>
        <v>#REF!</v>
      </c>
      <c r="ACR247" s="29" t="e">
        <f t="shared" si="55"/>
        <v>#REF!</v>
      </c>
      <c r="ACS247" s="29" t="e">
        <f t="shared" si="55"/>
        <v>#REF!</v>
      </c>
      <c r="ACT247" s="29" t="e">
        <f t="shared" si="55"/>
        <v>#REF!</v>
      </c>
      <c r="ACU247" s="29" t="e">
        <f t="shared" si="55"/>
        <v>#REF!</v>
      </c>
      <c r="ACV247" s="29" t="e">
        <f t="shared" si="55"/>
        <v>#REF!</v>
      </c>
      <c r="ACW247" s="29" t="e">
        <f t="shared" si="55"/>
        <v>#REF!</v>
      </c>
      <c r="ACX247" s="29" t="e">
        <f t="shared" si="55"/>
        <v>#REF!</v>
      </c>
      <c r="ACY247" s="29" t="e">
        <f t="shared" si="55"/>
        <v>#REF!</v>
      </c>
      <c r="ACZ247" s="29" t="e">
        <f t="shared" si="55"/>
        <v>#REF!</v>
      </c>
      <c r="ADA247" s="29" t="e">
        <f t="shared" si="55"/>
        <v>#REF!</v>
      </c>
      <c r="ADB247" s="29" t="e">
        <f t="shared" si="55"/>
        <v>#REF!</v>
      </c>
      <c r="ADC247" s="29" t="e">
        <f t="shared" si="55"/>
        <v>#REF!</v>
      </c>
      <c r="ADD247" s="29" t="e">
        <f t="shared" si="55"/>
        <v>#REF!</v>
      </c>
      <c r="ADE247" s="29" t="e">
        <f t="shared" ref="ADE247:AFP247" si="56">ADI247&amp;ADJ247</f>
        <v>#REF!</v>
      </c>
      <c r="ADF247" s="29" t="e">
        <f t="shared" si="56"/>
        <v>#REF!</v>
      </c>
      <c r="ADG247" s="29" t="e">
        <f t="shared" si="56"/>
        <v>#REF!</v>
      </c>
      <c r="ADH247" s="29" t="e">
        <f t="shared" si="56"/>
        <v>#REF!</v>
      </c>
      <c r="ADI247" s="29" t="e">
        <f t="shared" si="56"/>
        <v>#REF!</v>
      </c>
      <c r="ADJ247" s="29" t="e">
        <f t="shared" si="56"/>
        <v>#REF!</v>
      </c>
      <c r="ADK247" s="29" t="e">
        <f t="shared" si="56"/>
        <v>#REF!</v>
      </c>
      <c r="ADL247" s="29" t="e">
        <f t="shared" si="56"/>
        <v>#REF!</v>
      </c>
      <c r="ADM247" s="29" t="e">
        <f t="shared" si="56"/>
        <v>#REF!</v>
      </c>
      <c r="ADN247" s="29" t="e">
        <f t="shared" si="56"/>
        <v>#REF!</v>
      </c>
      <c r="ADO247" s="29" t="e">
        <f t="shared" si="56"/>
        <v>#REF!</v>
      </c>
      <c r="ADP247" s="29" t="e">
        <f t="shared" si="56"/>
        <v>#REF!</v>
      </c>
      <c r="ADQ247" s="29" t="e">
        <f t="shared" si="56"/>
        <v>#REF!</v>
      </c>
      <c r="ADR247" s="29" t="e">
        <f t="shared" si="56"/>
        <v>#REF!</v>
      </c>
      <c r="ADS247" s="29" t="e">
        <f t="shared" si="56"/>
        <v>#REF!</v>
      </c>
      <c r="ADT247" s="29" t="e">
        <f t="shared" si="56"/>
        <v>#REF!</v>
      </c>
      <c r="ADU247" s="29" t="e">
        <f t="shared" si="56"/>
        <v>#REF!</v>
      </c>
      <c r="ADV247" s="29" t="e">
        <f t="shared" si="56"/>
        <v>#REF!</v>
      </c>
      <c r="ADW247" s="29" t="e">
        <f t="shared" si="56"/>
        <v>#REF!</v>
      </c>
      <c r="ADX247" s="29" t="e">
        <f t="shared" si="56"/>
        <v>#REF!</v>
      </c>
      <c r="ADY247" s="29" t="e">
        <f t="shared" si="56"/>
        <v>#REF!</v>
      </c>
      <c r="ADZ247" s="29" t="e">
        <f t="shared" si="56"/>
        <v>#REF!</v>
      </c>
      <c r="AEA247" s="29" t="e">
        <f t="shared" si="56"/>
        <v>#REF!</v>
      </c>
      <c r="AEB247" s="29" t="e">
        <f t="shared" si="56"/>
        <v>#REF!</v>
      </c>
      <c r="AEC247" s="29" t="e">
        <f t="shared" si="56"/>
        <v>#REF!</v>
      </c>
      <c r="AED247" s="29" t="e">
        <f t="shared" si="56"/>
        <v>#REF!</v>
      </c>
      <c r="AEE247" s="29" t="e">
        <f t="shared" si="56"/>
        <v>#REF!</v>
      </c>
      <c r="AEF247" s="29" t="e">
        <f t="shared" si="56"/>
        <v>#REF!</v>
      </c>
      <c r="AEG247" s="29" t="e">
        <f t="shared" si="56"/>
        <v>#REF!</v>
      </c>
      <c r="AEH247" s="29" t="e">
        <f t="shared" si="56"/>
        <v>#REF!</v>
      </c>
      <c r="AEI247" s="29" t="e">
        <f t="shared" si="56"/>
        <v>#REF!</v>
      </c>
      <c r="AEJ247" s="29" t="e">
        <f t="shared" si="56"/>
        <v>#REF!</v>
      </c>
      <c r="AEK247" s="29" t="e">
        <f t="shared" si="56"/>
        <v>#REF!</v>
      </c>
      <c r="AEL247" s="29" t="e">
        <f t="shared" si="56"/>
        <v>#REF!</v>
      </c>
      <c r="AEM247" s="29" t="e">
        <f t="shared" si="56"/>
        <v>#REF!</v>
      </c>
      <c r="AEN247" s="29" t="e">
        <f t="shared" si="56"/>
        <v>#REF!</v>
      </c>
      <c r="AEO247" s="29" t="e">
        <f t="shared" si="56"/>
        <v>#REF!</v>
      </c>
      <c r="AEP247" s="29" t="e">
        <f t="shared" si="56"/>
        <v>#REF!</v>
      </c>
      <c r="AEQ247" s="29" t="e">
        <f t="shared" si="56"/>
        <v>#REF!</v>
      </c>
      <c r="AER247" s="29" t="e">
        <f t="shared" si="56"/>
        <v>#REF!</v>
      </c>
      <c r="AES247" s="29" t="e">
        <f t="shared" si="56"/>
        <v>#REF!</v>
      </c>
      <c r="AET247" s="29" t="e">
        <f t="shared" si="56"/>
        <v>#REF!</v>
      </c>
      <c r="AEU247" s="29" t="e">
        <f t="shared" si="56"/>
        <v>#REF!</v>
      </c>
      <c r="AEV247" s="29" t="e">
        <f t="shared" si="56"/>
        <v>#REF!</v>
      </c>
      <c r="AEW247" s="29" t="e">
        <f t="shared" si="56"/>
        <v>#REF!</v>
      </c>
      <c r="AEX247" s="29" t="e">
        <f t="shared" si="56"/>
        <v>#REF!</v>
      </c>
      <c r="AEY247" s="29" t="e">
        <f t="shared" si="56"/>
        <v>#REF!</v>
      </c>
      <c r="AEZ247" s="29" t="e">
        <f t="shared" si="56"/>
        <v>#REF!</v>
      </c>
      <c r="AFA247" s="29" t="e">
        <f t="shared" si="56"/>
        <v>#REF!</v>
      </c>
      <c r="AFB247" s="29" t="e">
        <f t="shared" si="56"/>
        <v>#REF!</v>
      </c>
      <c r="AFC247" s="29" t="e">
        <f t="shared" si="56"/>
        <v>#REF!</v>
      </c>
      <c r="AFD247" s="29" t="e">
        <f t="shared" si="56"/>
        <v>#REF!</v>
      </c>
      <c r="AFE247" s="29" t="e">
        <f t="shared" si="56"/>
        <v>#REF!</v>
      </c>
      <c r="AFF247" s="29" t="e">
        <f t="shared" si="56"/>
        <v>#REF!</v>
      </c>
      <c r="AFG247" s="29" t="e">
        <f t="shared" si="56"/>
        <v>#REF!</v>
      </c>
      <c r="AFH247" s="29" t="e">
        <f t="shared" si="56"/>
        <v>#REF!</v>
      </c>
      <c r="AFI247" s="29" t="e">
        <f t="shared" si="56"/>
        <v>#REF!</v>
      </c>
      <c r="AFJ247" s="29" t="e">
        <f t="shared" si="56"/>
        <v>#REF!</v>
      </c>
      <c r="AFK247" s="29" t="e">
        <f t="shared" si="56"/>
        <v>#REF!</v>
      </c>
      <c r="AFL247" s="29" t="e">
        <f t="shared" si="56"/>
        <v>#REF!</v>
      </c>
      <c r="AFM247" s="29" t="e">
        <f t="shared" si="56"/>
        <v>#REF!</v>
      </c>
      <c r="AFN247" s="29" t="e">
        <f t="shared" si="56"/>
        <v>#REF!</v>
      </c>
      <c r="AFO247" s="29" t="e">
        <f t="shared" si="56"/>
        <v>#REF!</v>
      </c>
      <c r="AFP247" s="29" t="e">
        <f t="shared" si="56"/>
        <v>#REF!</v>
      </c>
      <c r="AFQ247" s="29" t="e">
        <f t="shared" ref="AFQ247:AIB247" si="57">AFU247&amp;AFV247</f>
        <v>#REF!</v>
      </c>
      <c r="AFR247" s="29" t="e">
        <f t="shared" si="57"/>
        <v>#REF!</v>
      </c>
      <c r="AFS247" s="29" t="e">
        <f t="shared" si="57"/>
        <v>#REF!</v>
      </c>
      <c r="AFT247" s="29" t="e">
        <f t="shared" si="57"/>
        <v>#REF!</v>
      </c>
      <c r="AFU247" s="29" t="e">
        <f t="shared" si="57"/>
        <v>#REF!</v>
      </c>
      <c r="AFV247" s="29" t="e">
        <f t="shared" si="57"/>
        <v>#REF!</v>
      </c>
      <c r="AFW247" s="29" t="e">
        <f t="shared" si="57"/>
        <v>#REF!</v>
      </c>
      <c r="AFX247" s="29" t="e">
        <f t="shared" si="57"/>
        <v>#REF!</v>
      </c>
      <c r="AFY247" s="29" t="e">
        <f t="shared" si="57"/>
        <v>#REF!</v>
      </c>
      <c r="AFZ247" s="29" t="e">
        <f t="shared" si="57"/>
        <v>#REF!</v>
      </c>
      <c r="AGA247" s="29" t="e">
        <f t="shared" si="57"/>
        <v>#REF!</v>
      </c>
      <c r="AGB247" s="29" t="e">
        <f t="shared" si="57"/>
        <v>#REF!</v>
      </c>
      <c r="AGC247" s="29" t="e">
        <f t="shared" si="57"/>
        <v>#REF!</v>
      </c>
      <c r="AGD247" s="29" t="e">
        <f t="shared" si="57"/>
        <v>#REF!</v>
      </c>
      <c r="AGE247" s="29" t="e">
        <f t="shared" si="57"/>
        <v>#REF!</v>
      </c>
      <c r="AGF247" s="29" t="e">
        <f t="shared" si="57"/>
        <v>#REF!</v>
      </c>
      <c r="AGG247" s="29" t="e">
        <f t="shared" si="57"/>
        <v>#REF!</v>
      </c>
      <c r="AGH247" s="29" t="e">
        <f t="shared" si="57"/>
        <v>#REF!</v>
      </c>
      <c r="AGI247" s="29" t="e">
        <f t="shared" si="57"/>
        <v>#REF!</v>
      </c>
      <c r="AGJ247" s="29" t="e">
        <f t="shared" si="57"/>
        <v>#REF!</v>
      </c>
      <c r="AGK247" s="29" t="e">
        <f t="shared" si="57"/>
        <v>#REF!</v>
      </c>
      <c r="AGL247" s="29" t="e">
        <f t="shared" si="57"/>
        <v>#REF!</v>
      </c>
      <c r="AGM247" s="29" t="e">
        <f t="shared" si="57"/>
        <v>#REF!</v>
      </c>
      <c r="AGN247" s="29" t="e">
        <f t="shared" si="57"/>
        <v>#REF!</v>
      </c>
      <c r="AGO247" s="29" t="e">
        <f t="shared" si="57"/>
        <v>#REF!</v>
      </c>
      <c r="AGP247" s="29" t="e">
        <f t="shared" si="57"/>
        <v>#REF!</v>
      </c>
      <c r="AGQ247" s="29" t="e">
        <f t="shared" si="57"/>
        <v>#REF!</v>
      </c>
      <c r="AGR247" s="29" t="e">
        <f t="shared" si="57"/>
        <v>#REF!</v>
      </c>
      <c r="AGS247" s="29" t="e">
        <f t="shared" si="57"/>
        <v>#REF!</v>
      </c>
      <c r="AGT247" s="29" t="e">
        <f t="shared" si="57"/>
        <v>#REF!</v>
      </c>
      <c r="AGU247" s="29" t="e">
        <f t="shared" si="57"/>
        <v>#REF!</v>
      </c>
      <c r="AGV247" s="29" t="e">
        <f t="shared" si="57"/>
        <v>#REF!</v>
      </c>
      <c r="AGW247" s="29" t="e">
        <f t="shared" si="57"/>
        <v>#REF!</v>
      </c>
      <c r="AGX247" s="29" t="e">
        <f t="shared" si="57"/>
        <v>#REF!</v>
      </c>
      <c r="AGY247" s="29" t="e">
        <f t="shared" si="57"/>
        <v>#REF!</v>
      </c>
      <c r="AGZ247" s="29" t="e">
        <f t="shared" si="57"/>
        <v>#REF!</v>
      </c>
      <c r="AHA247" s="29" t="e">
        <f t="shared" si="57"/>
        <v>#REF!</v>
      </c>
      <c r="AHB247" s="29" t="e">
        <f t="shared" si="57"/>
        <v>#REF!</v>
      </c>
      <c r="AHC247" s="29" t="e">
        <f t="shared" si="57"/>
        <v>#REF!</v>
      </c>
      <c r="AHD247" s="29" t="e">
        <f t="shared" si="57"/>
        <v>#REF!</v>
      </c>
      <c r="AHE247" s="29" t="e">
        <f t="shared" si="57"/>
        <v>#REF!</v>
      </c>
      <c r="AHF247" s="29" t="e">
        <f t="shared" si="57"/>
        <v>#REF!</v>
      </c>
      <c r="AHG247" s="29" t="e">
        <f t="shared" si="57"/>
        <v>#REF!</v>
      </c>
      <c r="AHH247" s="29" t="e">
        <f t="shared" si="57"/>
        <v>#REF!</v>
      </c>
      <c r="AHI247" s="29" t="e">
        <f t="shared" si="57"/>
        <v>#REF!</v>
      </c>
      <c r="AHJ247" s="29" t="e">
        <f t="shared" si="57"/>
        <v>#REF!</v>
      </c>
      <c r="AHK247" s="29" t="e">
        <f t="shared" si="57"/>
        <v>#REF!</v>
      </c>
      <c r="AHL247" s="29" t="e">
        <f t="shared" si="57"/>
        <v>#REF!</v>
      </c>
      <c r="AHM247" s="29" t="e">
        <f t="shared" si="57"/>
        <v>#REF!</v>
      </c>
      <c r="AHN247" s="29" t="e">
        <f t="shared" si="57"/>
        <v>#REF!</v>
      </c>
      <c r="AHO247" s="29" t="e">
        <f t="shared" si="57"/>
        <v>#REF!</v>
      </c>
      <c r="AHP247" s="29" t="e">
        <f t="shared" si="57"/>
        <v>#REF!</v>
      </c>
      <c r="AHQ247" s="29" t="e">
        <f t="shared" si="57"/>
        <v>#REF!</v>
      </c>
      <c r="AHR247" s="29" t="e">
        <f t="shared" si="57"/>
        <v>#REF!</v>
      </c>
      <c r="AHS247" s="29" t="e">
        <f t="shared" si="57"/>
        <v>#REF!</v>
      </c>
      <c r="AHT247" s="29" t="e">
        <f t="shared" si="57"/>
        <v>#REF!</v>
      </c>
      <c r="AHU247" s="29" t="e">
        <f t="shared" si="57"/>
        <v>#REF!</v>
      </c>
      <c r="AHV247" s="29" t="e">
        <f t="shared" si="57"/>
        <v>#REF!</v>
      </c>
      <c r="AHW247" s="29" t="e">
        <f t="shared" si="57"/>
        <v>#REF!</v>
      </c>
      <c r="AHX247" s="29" t="e">
        <f t="shared" si="57"/>
        <v>#REF!</v>
      </c>
      <c r="AHY247" s="29" t="e">
        <f t="shared" si="57"/>
        <v>#REF!</v>
      </c>
      <c r="AHZ247" s="29" t="e">
        <f t="shared" si="57"/>
        <v>#REF!</v>
      </c>
      <c r="AIA247" s="29" t="e">
        <f t="shared" si="57"/>
        <v>#REF!</v>
      </c>
      <c r="AIB247" s="29" t="e">
        <f t="shared" si="57"/>
        <v>#REF!</v>
      </c>
      <c r="AIC247" s="29" t="e">
        <f t="shared" ref="AIC247:AKN247" si="58">AIG247&amp;AIH247</f>
        <v>#REF!</v>
      </c>
      <c r="AID247" s="29" t="e">
        <f t="shared" si="58"/>
        <v>#REF!</v>
      </c>
      <c r="AIE247" s="29" t="e">
        <f t="shared" si="58"/>
        <v>#REF!</v>
      </c>
      <c r="AIF247" s="29" t="e">
        <f t="shared" si="58"/>
        <v>#REF!</v>
      </c>
      <c r="AIG247" s="29" t="e">
        <f t="shared" si="58"/>
        <v>#REF!</v>
      </c>
      <c r="AIH247" s="29" t="e">
        <f t="shared" si="58"/>
        <v>#REF!</v>
      </c>
      <c r="AII247" s="29" t="e">
        <f t="shared" si="58"/>
        <v>#REF!</v>
      </c>
      <c r="AIJ247" s="29" t="e">
        <f t="shared" si="58"/>
        <v>#REF!</v>
      </c>
      <c r="AIK247" s="29" t="e">
        <f t="shared" si="58"/>
        <v>#REF!</v>
      </c>
      <c r="AIL247" s="29" t="e">
        <f t="shared" si="58"/>
        <v>#REF!</v>
      </c>
      <c r="AIM247" s="29" t="e">
        <f t="shared" si="58"/>
        <v>#REF!</v>
      </c>
      <c r="AIN247" s="29" t="e">
        <f t="shared" si="58"/>
        <v>#REF!</v>
      </c>
      <c r="AIO247" s="29" t="e">
        <f t="shared" si="58"/>
        <v>#REF!</v>
      </c>
      <c r="AIP247" s="29" t="e">
        <f t="shared" si="58"/>
        <v>#REF!</v>
      </c>
      <c r="AIQ247" s="29" t="e">
        <f t="shared" si="58"/>
        <v>#REF!</v>
      </c>
      <c r="AIR247" s="29" t="e">
        <f t="shared" si="58"/>
        <v>#REF!</v>
      </c>
      <c r="AIS247" s="29" t="e">
        <f t="shared" si="58"/>
        <v>#REF!</v>
      </c>
      <c r="AIT247" s="29" t="e">
        <f t="shared" si="58"/>
        <v>#REF!</v>
      </c>
      <c r="AIU247" s="29" t="e">
        <f t="shared" si="58"/>
        <v>#REF!</v>
      </c>
      <c r="AIV247" s="29" t="e">
        <f t="shared" si="58"/>
        <v>#REF!</v>
      </c>
      <c r="AIW247" s="29" t="e">
        <f t="shared" si="58"/>
        <v>#REF!</v>
      </c>
      <c r="AIX247" s="29" t="e">
        <f t="shared" si="58"/>
        <v>#REF!</v>
      </c>
      <c r="AIY247" s="29" t="e">
        <f t="shared" si="58"/>
        <v>#REF!</v>
      </c>
      <c r="AIZ247" s="29" t="e">
        <f t="shared" si="58"/>
        <v>#REF!</v>
      </c>
      <c r="AJA247" s="29" t="e">
        <f t="shared" si="58"/>
        <v>#REF!</v>
      </c>
      <c r="AJB247" s="29" t="e">
        <f t="shared" si="58"/>
        <v>#REF!</v>
      </c>
      <c r="AJC247" s="29" t="e">
        <f t="shared" si="58"/>
        <v>#REF!</v>
      </c>
      <c r="AJD247" s="29" t="e">
        <f t="shared" si="58"/>
        <v>#REF!</v>
      </c>
      <c r="AJE247" s="29" t="e">
        <f t="shared" si="58"/>
        <v>#REF!</v>
      </c>
      <c r="AJF247" s="29" t="e">
        <f t="shared" si="58"/>
        <v>#REF!</v>
      </c>
      <c r="AJG247" s="29" t="e">
        <f t="shared" si="58"/>
        <v>#REF!</v>
      </c>
      <c r="AJH247" s="29" t="e">
        <f t="shared" si="58"/>
        <v>#REF!</v>
      </c>
      <c r="AJI247" s="29" t="e">
        <f t="shared" si="58"/>
        <v>#REF!</v>
      </c>
      <c r="AJJ247" s="29" t="e">
        <f t="shared" si="58"/>
        <v>#REF!</v>
      </c>
      <c r="AJK247" s="29" t="e">
        <f t="shared" si="58"/>
        <v>#REF!</v>
      </c>
      <c r="AJL247" s="29" t="e">
        <f t="shared" si="58"/>
        <v>#REF!</v>
      </c>
      <c r="AJM247" s="29" t="e">
        <f t="shared" si="58"/>
        <v>#REF!</v>
      </c>
      <c r="AJN247" s="29" t="e">
        <f t="shared" si="58"/>
        <v>#REF!</v>
      </c>
      <c r="AJO247" s="29" t="e">
        <f t="shared" si="58"/>
        <v>#REF!</v>
      </c>
      <c r="AJP247" s="29" t="e">
        <f t="shared" si="58"/>
        <v>#REF!</v>
      </c>
      <c r="AJQ247" s="29" t="e">
        <f t="shared" si="58"/>
        <v>#REF!</v>
      </c>
      <c r="AJR247" s="29" t="e">
        <f t="shared" si="58"/>
        <v>#REF!</v>
      </c>
      <c r="AJS247" s="29" t="e">
        <f t="shared" si="58"/>
        <v>#REF!</v>
      </c>
      <c r="AJT247" s="29" t="e">
        <f t="shared" si="58"/>
        <v>#REF!</v>
      </c>
      <c r="AJU247" s="29" t="e">
        <f t="shared" si="58"/>
        <v>#REF!</v>
      </c>
      <c r="AJV247" s="29" t="e">
        <f t="shared" si="58"/>
        <v>#REF!</v>
      </c>
      <c r="AJW247" s="29" t="e">
        <f t="shared" si="58"/>
        <v>#REF!</v>
      </c>
      <c r="AJX247" s="29" t="e">
        <f t="shared" si="58"/>
        <v>#REF!</v>
      </c>
      <c r="AJY247" s="29" t="e">
        <f t="shared" si="58"/>
        <v>#REF!</v>
      </c>
      <c r="AJZ247" s="29" t="e">
        <f t="shared" si="58"/>
        <v>#REF!</v>
      </c>
      <c r="AKA247" s="29" t="e">
        <f t="shared" si="58"/>
        <v>#REF!</v>
      </c>
      <c r="AKB247" s="29" t="e">
        <f t="shared" si="58"/>
        <v>#REF!</v>
      </c>
      <c r="AKC247" s="29" t="e">
        <f t="shared" si="58"/>
        <v>#REF!</v>
      </c>
      <c r="AKD247" s="29" t="e">
        <f t="shared" si="58"/>
        <v>#REF!</v>
      </c>
      <c r="AKE247" s="29" t="e">
        <f t="shared" si="58"/>
        <v>#REF!</v>
      </c>
      <c r="AKF247" s="29" t="e">
        <f t="shared" si="58"/>
        <v>#REF!</v>
      </c>
      <c r="AKG247" s="29" t="e">
        <f t="shared" si="58"/>
        <v>#REF!</v>
      </c>
      <c r="AKH247" s="29" t="e">
        <f t="shared" si="58"/>
        <v>#REF!</v>
      </c>
      <c r="AKI247" s="29" t="e">
        <f t="shared" si="58"/>
        <v>#REF!</v>
      </c>
      <c r="AKJ247" s="29" t="e">
        <f t="shared" si="58"/>
        <v>#REF!</v>
      </c>
      <c r="AKK247" s="29" t="e">
        <f t="shared" si="58"/>
        <v>#REF!</v>
      </c>
      <c r="AKL247" s="29" t="e">
        <f t="shared" si="58"/>
        <v>#REF!</v>
      </c>
      <c r="AKM247" s="29" t="e">
        <f t="shared" si="58"/>
        <v>#REF!</v>
      </c>
      <c r="AKN247" s="29" t="e">
        <f t="shared" si="58"/>
        <v>#REF!</v>
      </c>
      <c r="AKO247" s="29" t="e">
        <f t="shared" ref="AKO247:AMZ247" si="59">AKS247&amp;AKT247</f>
        <v>#REF!</v>
      </c>
      <c r="AKP247" s="29" t="e">
        <f t="shared" si="59"/>
        <v>#REF!</v>
      </c>
      <c r="AKQ247" s="29" t="e">
        <f t="shared" si="59"/>
        <v>#REF!</v>
      </c>
      <c r="AKR247" s="29" t="e">
        <f t="shared" si="59"/>
        <v>#REF!</v>
      </c>
      <c r="AKS247" s="29" t="e">
        <f t="shared" si="59"/>
        <v>#REF!</v>
      </c>
      <c r="AKT247" s="29" t="e">
        <f t="shared" si="59"/>
        <v>#REF!</v>
      </c>
      <c r="AKU247" s="29" t="e">
        <f t="shared" si="59"/>
        <v>#REF!</v>
      </c>
      <c r="AKV247" s="29" t="e">
        <f t="shared" si="59"/>
        <v>#REF!</v>
      </c>
      <c r="AKW247" s="29" t="e">
        <f t="shared" si="59"/>
        <v>#REF!</v>
      </c>
      <c r="AKX247" s="29" t="e">
        <f t="shared" si="59"/>
        <v>#REF!</v>
      </c>
      <c r="AKY247" s="29" t="e">
        <f t="shared" si="59"/>
        <v>#REF!</v>
      </c>
      <c r="AKZ247" s="29" t="e">
        <f t="shared" si="59"/>
        <v>#REF!</v>
      </c>
      <c r="ALA247" s="29" t="e">
        <f t="shared" si="59"/>
        <v>#REF!</v>
      </c>
      <c r="ALB247" s="29" t="e">
        <f t="shared" si="59"/>
        <v>#REF!</v>
      </c>
      <c r="ALC247" s="29" t="e">
        <f t="shared" si="59"/>
        <v>#REF!</v>
      </c>
      <c r="ALD247" s="29" t="e">
        <f t="shared" si="59"/>
        <v>#REF!</v>
      </c>
      <c r="ALE247" s="29" t="e">
        <f t="shared" si="59"/>
        <v>#REF!</v>
      </c>
      <c r="ALF247" s="29" t="e">
        <f t="shared" si="59"/>
        <v>#REF!</v>
      </c>
      <c r="ALG247" s="29" t="e">
        <f t="shared" si="59"/>
        <v>#REF!</v>
      </c>
      <c r="ALH247" s="29" t="e">
        <f t="shared" si="59"/>
        <v>#REF!</v>
      </c>
      <c r="ALI247" s="29" t="e">
        <f t="shared" si="59"/>
        <v>#REF!</v>
      </c>
      <c r="ALJ247" s="29" t="e">
        <f t="shared" si="59"/>
        <v>#REF!</v>
      </c>
      <c r="ALK247" s="29" t="e">
        <f t="shared" si="59"/>
        <v>#REF!</v>
      </c>
      <c r="ALL247" s="29" t="e">
        <f t="shared" si="59"/>
        <v>#REF!</v>
      </c>
      <c r="ALM247" s="29" t="e">
        <f t="shared" si="59"/>
        <v>#REF!</v>
      </c>
      <c r="ALN247" s="29" t="e">
        <f t="shared" si="59"/>
        <v>#REF!</v>
      </c>
      <c r="ALO247" s="29" t="e">
        <f t="shared" si="59"/>
        <v>#REF!</v>
      </c>
      <c r="ALP247" s="29" t="e">
        <f t="shared" si="59"/>
        <v>#REF!</v>
      </c>
      <c r="ALQ247" s="29" t="e">
        <f t="shared" si="59"/>
        <v>#REF!</v>
      </c>
      <c r="ALR247" s="29" t="e">
        <f t="shared" si="59"/>
        <v>#REF!</v>
      </c>
      <c r="ALS247" s="29" t="e">
        <f t="shared" si="59"/>
        <v>#REF!</v>
      </c>
      <c r="ALT247" s="29" t="e">
        <f t="shared" si="59"/>
        <v>#REF!</v>
      </c>
      <c r="ALU247" s="29" t="e">
        <f t="shared" si="59"/>
        <v>#REF!</v>
      </c>
      <c r="ALV247" s="29" t="e">
        <f t="shared" si="59"/>
        <v>#REF!</v>
      </c>
      <c r="ALW247" s="29" t="e">
        <f t="shared" si="59"/>
        <v>#REF!</v>
      </c>
      <c r="ALX247" s="29" t="e">
        <f t="shared" si="59"/>
        <v>#REF!</v>
      </c>
      <c r="ALY247" s="29" t="e">
        <f t="shared" si="59"/>
        <v>#REF!</v>
      </c>
      <c r="ALZ247" s="29" t="e">
        <f t="shared" si="59"/>
        <v>#REF!</v>
      </c>
      <c r="AMA247" s="29" t="e">
        <f t="shared" si="59"/>
        <v>#REF!</v>
      </c>
      <c r="AMB247" s="29" t="e">
        <f t="shared" si="59"/>
        <v>#REF!</v>
      </c>
      <c r="AMC247" s="29" t="e">
        <f t="shared" si="59"/>
        <v>#REF!</v>
      </c>
      <c r="AMD247" s="29" t="e">
        <f t="shared" si="59"/>
        <v>#REF!</v>
      </c>
      <c r="AME247" s="29" t="e">
        <f t="shared" si="59"/>
        <v>#REF!</v>
      </c>
      <c r="AMF247" s="29" t="e">
        <f t="shared" si="59"/>
        <v>#REF!</v>
      </c>
      <c r="AMG247" s="29" t="e">
        <f t="shared" si="59"/>
        <v>#REF!</v>
      </c>
      <c r="AMH247" s="29" t="e">
        <f t="shared" si="59"/>
        <v>#REF!</v>
      </c>
      <c r="AMI247" s="29" t="e">
        <f t="shared" si="59"/>
        <v>#REF!</v>
      </c>
      <c r="AMJ247" s="29" t="e">
        <f t="shared" si="59"/>
        <v>#REF!</v>
      </c>
      <c r="AMK247" s="29" t="e">
        <f t="shared" si="59"/>
        <v>#REF!</v>
      </c>
      <c r="AML247" s="29" t="e">
        <f t="shared" si="59"/>
        <v>#REF!</v>
      </c>
      <c r="AMM247" s="29" t="e">
        <f t="shared" si="59"/>
        <v>#REF!</v>
      </c>
      <c r="AMN247" s="29" t="e">
        <f t="shared" si="59"/>
        <v>#REF!</v>
      </c>
      <c r="AMO247" s="29" t="e">
        <f t="shared" si="59"/>
        <v>#REF!</v>
      </c>
      <c r="AMP247" s="29" t="e">
        <f t="shared" si="59"/>
        <v>#REF!</v>
      </c>
      <c r="AMQ247" s="29" t="e">
        <f t="shared" si="59"/>
        <v>#REF!</v>
      </c>
      <c r="AMR247" s="29" t="e">
        <f t="shared" si="59"/>
        <v>#REF!</v>
      </c>
      <c r="AMS247" s="29" t="e">
        <f t="shared" si="59"/>
        <v>#REF!</v>
      </c>
      <c r="AMT247" s="29" t="e">
        <f t="shared" si="59"/>
        <v>#REF!</v>
      </c>
      <c r="AMU247" s="29" t="e">
        <f t="shared" si="59"/>
        <v>#REF!</v>
      </c>
      <c r="AMV247" s="29" t="e">
        <f t="shared" si="59"/>
        <v>#REF!</v>
      </c>
      <c r="AMW247" s="29" t="e">
        <f t="shared" si="59"/>
        <v>#REF!</v>
      </c>
      <c r="AMX247" s="29" t="e">
        <f t="shared" si="59"/>
        <v>#REF!</v>
      </c>
      <c r="AMY247" s="29" t="e">
        <f t="shared" si="59"/>
        <v>#REF!</v>
      </c>
      <c r="AMZ247" s="29" t="e">
        <f t="shared" si="59"/>
        <v>#REF!</v>
      </c>
      <c r="ANA247" s="29" t="e">
        <f t="shared" ref="ANA247:APL247" si="60">ANE247&amp;ANF247</f>
        <v>#REF!</v>
      </c>
      <c r="ANB247" s="29" t="e">
        <f t="shared" si="60"/>
        <v>#REF!</v>
      </c>
      <c r="ANC247" s="29" t="e">
        <f t="shared" si="60"/>
        <v>#REF!</v>
      </c>
      <c r="AND247" s="29" t="e">
        <f t="shared" si="60"/>
        <v>#REF!</v>
      </c>
      <c r="ANE247" s="29" t="e">
        <f t="shared" si="60"/>
        <v>#REF!</v>
      </c>
      <c r="ANF247" s="29" t="e">
        <f t="shared" si="60"/>
        <v>#REF!</v>
      </c>
      <c r="ANG247" s="29" t="e">
        <f t="shared" si="60"/>
        <v>#REF!</v>
      </c>
      <c r="ANH247" s="29" t="e">
        <f t="shared" si="60"/>
        <v>#REF!</v>
      </c>
      <c r="ANI247" s="29" t="e">
        <f t="shared" si="60"/>
        <v>#REF!</v>
      </c>
      <c r="ANJ247" s="29" t="e">
        <f t="shared" si="60"/>
        <v>#REF!</v>
      </c>
      <c r="ANK247" s="29" t="e">
        <f t="shared" si="60"/>
        <v>#REF!</v>
      </c>
      <c r="ANL247" s="29" t="e">
        <f t="shared" si="60"/>
        <v>#REF!</v>
      </c>
      <c r="ANM247" s="29" t="e">
        <f t="shared" si="60"/>
        <v>#REF!</v>
      </c>
      <c r="ANN247" s="29" t="e">
        <f t="shared" si="60"/>
        <v>#REF!</v>
      </c>
      <c r="ANO247" s="29" t="e">
        <f t="shared" si="60"/>
        <v>#REF!</v>
      </c>
      <c r="ANP247" s="29" t="e">
        <f t="shared" si="60"/>
        <v>#REF!</v>
      </c>
      <c r="ANQ247" s="29" t="e">
        <f t="shared" si="60"/>
        <v>#REF!</v>
      </c>
      <c r="ANR247" s="29" t="e">
        <f t="shared" si="60"/>
        <v>#REF!</v>
      </c>
      <c r="ANS247" s="29" t="e">
        <f t="shared" si="60"/>
        <v>#REF!</v>
      </c>
      <c r="ANT247" s="29" t="e">
        <f t="shared" si="60"/>
        <v>#REF!</v>
      </c>
      <c r="ANU247" s="29" t="e">
        <f t="shared" si="60"/>
        <v>#REF!</v>
      </c>
      <c r="ANV247" s="29" t="e">
        <f t="shared" si="60"/>
        <v>#REF!</v>
      </c>
      <c r="ANW247" s="29" t="e">
        <f t="shared" si="60"/>
        <v>#REF!</v>
      </c>
      <c r="ANX247" s="29" t="e">
        <f t="shared" si="60"/>
        <v>#REF!</v>
      </c>
      <c r="ANY247" s="29" t="e">
        <f t="shared" si="60"/>
        <v>#REF!</v>
      </c>
      <c r="ANZ247" s="29" t="e">
        <f t="shared" si="60"/>
        <v>#REF!</v>
      </c>
      <c r="AOA247" s="29" t="e">
        <f t="shared" si="60"/>
        <v>#REF!</v>
      </c>
      <c r="AOB247" s="29" t="e">
        <f t="shared" si="60"/>
        <v>#REF!</v>
      </c>
      <c r="AOC247" s="29" t="e">
        <f t="shared" si="60"/>
        <v>#REF!</v>
      </c>
      <c r="AOD247" s="29" t="e">
        <f t="shared" si="60"/>
        <v>#REF!</v>
      </c>
      <c r="AOE247" s="29" t="e">
        <f t="shared" si="60"/>
        <v>#REF!</v>
      </c>
      <c r="AOF247" s="29" t="e">
        <f t="shared" si="60"/>
        <v>#REF!</v>
      </c>
      <c r="AOG247" s="29" t="e">
        <f t="shared" si="60"/>
        <v>#REF!</v>
      </c>
      <c r="AOH247" s="29" t="e">
        <f t="shared" si="60"/>
        <v>#REF!</v>
      </c>
      <c r="AOI247" s="29" t="e">
        <f t="shared" si="60"/>
        <v>#REF!</v>
      </c>
      <c r="AOJ247" s="29" t="e">
        <f t="shared" si="60"/>
        <v>#REF!</v>
      </c>
      <c r="AOK247" s="29" t="e">
        <f t="shared" si="60"/>
        <v>#REF!</v>
      </c>
      <c r="AOL247" s="29" t="e">
        <f t="shared" si="60"/>
        <v>#REF!</v>
      </c>
      <c r="AOM247" s="29" t="e">
        <f t="shared" si="60"/>
        <v>#REF!</v>
      </c>
      <c r="AON247" s="29" t="e">
        <f t="shared" si="60"/>
        <v>#REF!</v>
      </c>
      <c r="AOO247" s="29" t="e">
        <f t="shared" si="60"/>
        <v>#REF!</v>
      </c>
      <c r="AOP247" s="29" t="e">
        <f t="shared" si="60"/>
        <v>#REF!</v>
      </c>
      <c r="AOQ247" s="29" t="e">
        <f t="shared" si="60"/>
        <v>#REF!</v>
      </c>
      <c r="AOR247" s="29" t="e">
        <f t="shared" si="60"/>
        <v>#REF!</v>
      </c>
      <c r="AOS247" s="29" t="e">
        <f t="shared" si="60"/>
        <v>#REF!</v>
      </c>
      <c r="AOT247" s="29" t="e">
        <f t="shared" si="60"/>
        <v>#REF!</v>
      </c>
      <c r="AOU247" s="29" t="e">
        <f t="shared" si="60"/>
        <v>#REF!</v>
      </c>
      <c r="AOV247" s="29" t="e">
        <f t="shared" si="60"/>
        <v>#REF!</v>
      </c>
      <c r="AOW247" s="29" t="e">
        <f t="shared" si="60"/>
        <v>#REF!</v>
      </c>
      <c r="AOX247" s="29" t="e">
        <f t="shared" si="60"/>
        <v>#REF!</v>
      </c>
      <c r="AOY247" s="29" t="e">
        <f t="shared" si="60"/>
        <v>#REF!</v>
      </c>
      <c r="AOZ247" s="29" t="e">
        <f t="shared" si="60"/>
        <v>#REF!</v>
      </c>
      <c r="APA247" s="29" t="e">
        <f t="shared" si="60"/>
        <v>#REF!</v>
      </c>
      <c r="APB247" s="29" t="e">
        <f t="shared" si="60"/>
        <v>#REF!</v>
      </c>
      <c r="APC247" s="29" t="e">
        <f t="shared" si="60"/>
        <v>#REF!</v>
      </c>
      <c r="APD247" s="29" t="e">
        <f t="shared" si="60"/>
        <v>#REF!</v>
      </c>
      <c r="APE247" s="29" t="e">
        <f t="shared" si="60"/>
        <v>#REF!</v>
      </c>
      <c r="APF247" s="29" t="e">
        <f t="shared" si="60"/>
        <v>#REF!</v>
      </c>
      <c r="APG247" s="29" t="e">
        <f t="shared" si="60"/>
        <v>#REF!</v>
      </c>
      <c r="APH247" s="29" t="e">
        <f t="shared" si="60"/>
        <v>#REF!</v>
      </c>
      <c r="API247" s="29" t="e">
        <f t="shared" si="60"/>
        <v>#REF!</v>
      </c>
      <c r="APJ247" s="29" t="e">
        <f t="shared" si="60"/>
        <v>#REF!</v>
      </c>
      <c r="APK247" s="29" t="e">
        <f t="shared" si="60"/>
        <v>#REF!</v>
      </c>
      <c r="APL247" s="29" t="e">
        <f t="shared" si="60"/>
        <v>#REF!</v>
      </c>
      <c r="APM247" s="29" t="e">
        <f t="shared" ref="APM247:ARX247" si="61">APQ247&amp;APR247</f>
        <v>#REF!</v>
      </c>
      <c r="APN247" s="29" t="e">
        <f t="shared" si="61"/>
        <v>#REF!</v>
      </c>
      <c r="APO247" s="29" t="e">
        <f t="shared" si="61"/>
        <v>#REF!</v>
      </c>
      <c r="APP247" s="29" t="e">
        <f t="shared" si="61"/>
        <v>#REF!</v>
      </c>
      <c r="APQ247" s="29" t="e">
        <f t="shared" si="61"/>
        <v>#REF!</v>
      </c>
      <c r="APR247" s="29" t="e">
        <f t="shared" si="61"/>
        <v>#REF!</v>
      </c>
      <c r="APS247" s="29" t="e">
        <f t="shared" si="61"/>
        <v>#REF!</v>
      </c>
      <c r="APT247" s="29" t="e">
        <f t="shared" si="61"/>
        <v>#REF!</v>
      </c>
      <c r="APU247" s="29" t="e">
        <f t="shared" si="61"/>
        <v>#REF!</v>
      </c>
      <c r="APV247" s="29" t="e">
        <f t="shared" si="61"/>
        <v>#REF!</v>
      </c>
      <c r="APW247" s="29" t="e">
        <f t="shared" si="61"/>
        <v>#REF!</v>
      </c>
      <c r="APX247" s="29" t="e">
        <f t="shared" si="61"/>
        <v>#REF!</v>
      </c>
      <c r="APY247" s="29" t="e">
        <f t="shared" si="61"/>
        <v>#REF!</v>
      </c>
      <c r="APZ247" s="29" t="e">
        <f t="shared" si="61"/>
        <v>#REF!</v>
      </c>
      <c r="AQA247" s="29" t="e">
        <f t="shared" si="61"/>
        <v>#REF!</v>
      </c>
      <c r="AQB247" s="29" t="e">
        <f t="shared" si="61"/>
        <v>#REF!</v>
      </c>
      <c r="AQC247" s="29" t="e">
        <f t="shared" si="61"/>
        <v>#REF!</v>
      </c>
      <c r="AQD247" s="29" t="e">
        <f t="shared" si="61"/>
        <v>#REF!</v>
      </c>
      <c r="AQE247" s="29" t="e">
        <f t="shared" si="61"/>
        <v>#REF!</v>
      </c>
      <c r="AQF247" s="29" t="e">
        <f t="shared" si="61"/>
        <v>#REF!</v>
      </c>
      <c r="AQG247" s="29" t="e">
        <f t="shared" si="61"/>
        <v>#REF!</v>
      </c>
      <c r="AQH247" s="29" t="e">
        <f t="shared" si="61"/>
        <v>#REF!</v>
      </c>
      <c r="AQI247" s="29" t="e">
        <f t="shared" si="61"/>
        <v>#REF!</v>
      </c>
      <c r="AQJ247" s="29" t="e">
        <f t="shared" si="61"/>
        <v>#REF!</v>
      </c>
      <c r="AQK247" s="29" t="e">
        <f t="shared" si="61"/>
        <v>#REF!</v>
      </c>
      <c r="AQL247" s="29" t="e">
        <f t="shared" si="61"/>
        <v>#REF!</v>
      </c>
      <c r="AQM247" s="29" t="e">
        <f t="shared" si="61"/>
        <v>#REF!</v>
      </c>
      <c r="AQN247" s="29" t="e">
        <f t="shared" si="61"/>
        <v>#REF!</v>
      </c>
      <c r="AQO247" s="29" t="e">
        <f t="shared" si="61"/>
        <v>#REF!</v>
      </c>
      <c r="AQP247" s="29" t="e">
        <f t="shared" si="61"/>
        <v>#REF!</v>
      </c>
      <c r="AQQ247" s="29" t="e">
        <f t="shared" si="61"/>
        <v>#REF!</v>
      </c>
      <c r="AQR247" s="29" t="e">
        <f t="shared" si="61"/>
        <v>#REF!</v>
      </c>
      <c r="AQS247" s="29" t="e">
        <f t="shared" si="61"/>
        <v>#REF!</v>
      </c>
      <c r="AQT247" s="29" t="e">
        <f t="shared" si="61"/>
        <v>#REF!</v>
      </c>
      <c r="AQU247" s="29" t="e">
        <f t="shared" si="61"/>
        <v>#REF!</v>
      </c>
      <c r="AQV247" s="29" t="e">
        <f t="shared" si="61"/>
        <v>#REF!</v>
      </c>
      <c r="AQW247" s="29" t="e">
        <f t="shared" si="61"/>
        <v>#REF!</v>
      </c>
      <c r="AQX247" s="29" t="e">
        <f t="shared" si="61"/>
        <v>#REF!</v>
      </c>
      <c r="AQY247" s="29" t="e">
        <f t="shared" si="61"/>
        <v>#REF!</v>
      </c>
      <c r="AQZ247" s="29" t="e">
        <f t="shared" si="61"/>
        <v>#REF!</v>
      </c>
      <c r="ARA247" s="29" t="e">
        <f t="shared" si="61"/>
        <v>#REF!</v>
      </c>
      <c r="ARB247" s="29" t="e">
        <f t="shared" si="61"/>
        <v>#REF!</v>
      </c>
      <c r="ARC247" s="29" t="e">
        <f t="shared" si="61"/>
        <v>#REF!</v>
      </c>
      <c r="ARD247" s="29" t="e">
        <f t="shared" si="61"/>
        <v>#REF!</v>
      </c>
      <c r="ARE247" s="29" t="e">
        <f t="shared" si="61"/>
        <v>#REF!</v>
      </c>
      <c r="ARF247" s="29" t="e">
        <f t="shared" si="61"/>
        <v>#REF!</v>
      </c>
      <c r="ARG247" s="29" t="e">
        <f t="shared" si="61"/>
        <v>#REF!</v>
      </c>
      <c r="ARH247" s="29" t="e">
        <f t="shared" si="61"/>
        <v>#REF!</v>
      </c>
      <c r="ARI247" s="29" t="e">
        <f t="shared" si="61"/>
        <v>#REF!</v>
      </c>
      <c r="ARJ247" s="29" t="e">
        <f t="shared" si="61"/>
        <v>#REF!</v>
      </c>
      <c r="ARK247" s="29" t="e">
        <f t="shared" si="61"/>
        <v>#REF!</v>
      </c>
      <c r="ARL247" s="29" t="e">
        <f t="shared" si="61"/>
        <v>#REF!</v>
      </c>
      <c r="ARM247" s="29" t="e">
        <f t="shared" si="61"/>
        <v>#REF!</v>
      </c>
      <c r="ARN247" s="29" t="e">
        <f t="shared" si="61"/>
        <v>#REF!</v>
      </c>
      <c r="ARO247" s="29" t="e">
        <f t="shared" si="61"/>
        <v>#REF!</v>
      </c>
      <c r="ARP247" s="29" t="e">
        <f t="shared" si="61"/>
        <v>#REF!</v>
      </c>
      <c r="ARQ247" s="29" t="e">
        <f t="shared" si="61"/>
        <v>#REF!</v>
      </c>
      <c r="ARR247" s="29" t="e">
        <f t="shared" si="61"/>
        <v>#REF!</v>
      </c>
      <c r="ARS247" s="29" t="e">
        <f t="shared" si="61"/>
        <v>#REF!</v>
      </c>
      <c r="ART247" s="29" t="e">
        <f t="shared" si="61"/>
        <v>#REF!</v>
      </c>
      <c r="ARU247" s="29" t="e">
        <f t="shared" si="61"/>
        <v>#REF!</v>
      </c>
      <c r="ARV247" s="29" t="e">
        <f t="shared" si="61"/>
        <v>#REF!</v>
      </c>
      <c r="ARW247" s="29" t="e">
        <f t="shared" si="61"/>
        <v>#REF!</v>
      </c>
      <c r="ARX247" s="29" t="e">
        <f t="shared" si="61"/>
        <v>#REF!</v>
      </c>
      <c r="ARY247" s="29" t="e">
        <f t="shared" ref="ARY247:AUJ247" si="62">ASC247&amp;ASD247</f>
        <v>#REF!</v>
      </c>
      <c r="ARZ247" s="29" t="e">
        <f t="shared" si="62"/>
        <v>#REF!</v>
      </c>
      <c r="ASA247" s="29" t="e">
        <f t="shared" si="62"/>
        <v>#REF!</v>
      </c>
      <c r="ASB247" s="29" t="e">
        <f t="shared" si="62"/>
        <v>#REF!</v>
      </c>
      <c r="ASC247" s="29" t="e">
        <f t="shared" si="62"/>
        <v>#REF!</v>
      </c>
      <c r="ASD247" s="29" t="e">
        <f t="shared" si="62"/>
        <v>#REF!</v>
      </c>
      <c r="ASE247" s="29" t="e">
        <f t="shared" si="62"/>
        <v>#REF!</v>
      </c>
      <c r="ASF247" s="29" t="e">
        <f t="shared" si="62"/>
        <v>#REF!</v>
      </c>
      <c r="ASG247" s="29" t="e">
        <f t="shared" si="62"/>
        <v>#REF!</v>
      </c>
      <c r="ASH247" s="29" t="e">
        <f t="shared" si="62"/>
        <v>#REF!</v>
      </c>
      <c r="ASI247" s="29" t="e">
        <f t="shared" si="62"/>
        <v>#REF!</v>
      </c>
      <c r="ASJ247" s="29" t="e">
        <f t="shared" si="62"/>
        <v>#REF!</v>
      </c>
      <c r="ASK247" s="29" t="e">
        <f t="shared" si="62"/>
        <v>#REF!</v>
      </c>
      <c r="ASL247" s="29" t="e">
        <f t="shared" si="62"/>
        <v>#REF!</v>
      </c>
      <c r="ASM247" s="29" t="e">
        <f t="shared" si="62"/>
        <v>#REF!</v>
      </c>
      <c r="ASN247" s="29" t="e">
        <f t="shared" si="62"/>
        <v>#REF!</v>
      </c>
      <c r="ASO247" s="29" t="e">
        <f t="shared" si="62"/>
        <v>#REF!</v>
      </c>
      <c r="ASP247" s="29" t="e">
        <f t="shared" si="62"/>
        <v>#REF!</v>
      </c>
      <c r="ASQ247" s="29" t="e">
        <f t="shared" si="62"/>
        <v>#REF!</v>
      </c>
      <c r="ASR247" s="29" t="e">
        <f t="shared" si="62"/>
        <v>#REF!</v>
      </c>
      <c r="ASS247" s="29" t="e">
        <f t="shared" si="62"/>
        <v>#REF!</v>
      </c>
      <c r="AST247" s="29" t="e">
        <f t="shared" si="62"/>
        <v>#REF!</v>
      </c>
      <c r="ASU247" s="29" t="e">
        <f t="shared" si="62"/>
        <v>#REF!</v>
      </c>
      <c r="ASV247" s="29" t="e">
        <f t="shared" si="62"/>
        <v>#REF!</v>
      </c>
      <c r="ASW247" s="29" t="e">
        <f t="shared" si="62"/>
        <v>#REF!</v>
      </c>
      <c r="ASX247" s="29" t="e">
        <f t="shared" si="62"/>
        <v>#REF!</v>
      </c>
      <c r="ASY247" s="29" t="e">
        <f t="shared" si="62"/>
        <v>#REF!</v>
      </c>
      <c r="ASZ247" s="29" t="e">
        <f t="shared" si="62"/>
        <v>#REF!</v>
      </c>
      <c r="ATA247" s="29" t="e">
        <f t="shared" si="62"/>
        <v>#REF!</v>
      </c>
      <c r="ATB247" s="29" t="e">
        <f t="shared" si="62"/>
        <v>#REF!</v>
      </c>
      <c r="ATC247" s="29" t="e">
        <f t="shared" si="62"/>
        <v>#REF!</v>
      </c>
      <c r="ATD247" s="29" t="e">
        <f t="shared" si="62"/>
        <v>#REF!</v>
      </c>
      <c r="ATE247" s="29" t="e">
        <f t="shared" si="62"/>
        <v>#REF!</v>
      </c>
      <c r="ATF247" s="29" t="e">
        <f t="shared" si="62"/>
        <v>#REF!</v>
      </c>
      <c r="ATG247" s="29" t="e">
        <f t="shared" si="62"/>
        <v>#REF!</v>
      </c>
      <c r="ATH247" s="29" t="e">
        <f t="shared" si="62"/>
        <v>#REF!</v>
      </c>
      <c r="ATI247" s="29" t="e">
        <f t="shared" si="62"/>
        <v>#REF!</v>
      </c>
      <c r="ATJ247" s="29" t="e">
        <f t="shared" si="62"/>
        <v>#REF!</v>
      </c>
      <c r="ATK247" s="29" t="e">
        <f t="shared" si="62"/>
        <v>#REF!</v>
      </c>
      <c r="ATL247" s="29" t="e">
        <f t="shared" si="62"/>
        <v>#REF!</v>
      </c>
      <c r="ATM247" s="29" t="e">
        <f t="shared" si="62"/>
        <v>#REF!</v>
      </c>
      <c r="ATN247" s="29" t="e">
        <f t="shared" si="62"/>
        <v>#REF!</v>
      </c>
      <c r="ATO247" s="29" t="e">
        <f t="shared" si="62"/>
        <v>#REF!</v>
      </c>
      <c r="ATP247" s="29" t="e">
        <f t="shared" si="62"/>
        <v>#REF!</v>
      </c>
      <c r="ATQ247" s="29" t="e">
        <f t="shared" si="62"/>
        <v>#REF!</v>
      </c>
      <c r="ATR247" s="29" t="e">
        <f t="shared" si="62"/>
        <v>#REF!</v>
      </c>
      <c r="ATS247" s="29" t="e">
        <f t="shared" si="62"/>
        <v>#REF!</v>
      </c>
      <c r="ATT247" s="29" t="e">
        <f t="shared" si="62"/>
        <v>#REF!</v>
      </c>
      <c r="ATU247" s="29" t="e">
        <f t="shared" si="62"/>
        <v>#REF!</v>
      </c>
      <c r="ATV247" s="29" t="e">
        <f t="shared" si="62"/>
        <v>#REF!</v>
      </c>
      <c r="ATW247" s="29" t="e">
        <f t="shared" si="62"/>
        <v>#REF!</v>
      </c>
      <c r="ATX247" s="29" t="e">
        <f t="shared" si="62"/>
        <v>#REF!</v>
      </c>
      <c r="ATY247" s="29" t="e">
        <f t="shared" si="62"/>
        <v>#REF!</v>
      </c>
      <c r="ATZ247" s="29" t="e">
        <f t="shared" si="62"/>
        <v>#REF!</v>
      </c>
      <c r="AUA247" s="29" t="e">
        <f t="shared" si="62"/>
        <v>#REF!</v>
      </c>
      <c r="AUB247" s="29" t="e">
        <f t="shared" si="62"/>
        <v>#REF!</v>
      </c>
      <c r="AUC247" s="29" t="e">
        <f t="shared" si="62"/>
        <v>#REF!</v>
      </c>
      <c r="AUD247" s="29" t="e">
        <f t="shared" si="62"/>
        <v>#REF!</v>
      </c>
      <c r="AUE247" s="29" t="e">
        <f t="shared" si="62"/>
        <v>#REF!</v>
      </c>
      <c r="AUF247" s="29" t="e">
        <f t="shared" si="62"/>
        <v>#REF!</v>
      </c>
      <c r="AUG247" s="29" t="e">
        <f t="shared" si="62"/>
        <v>#REF!</v>
      </c>
      <c r="AUH247" s="29" t="e">
        <f t="shared" si="62"/>
        <v>#REF!</v>
      </c>
      <c r="AUI247" s="29" t="e">
        <f t="shared" si="62"/>
        <v>#REF!</v>
      </c>
      <c r="AUJ247" s="29" t="e">
        <f t="shared" si="62"/>
        <v>#REF!</v>
      </c>
      <c r="AUK247" s="29" t="e">
        <f t="shared" ref="AUK247:AWV247" si="63">AUO247&amp;AUP247</f>
        <v>#REF!</v>
      </c>
      <c r="AUL247" s="29" t="e">
        <f t="shared" si="63"/>
        <v>#REF!</v>
      </c>
      <c r="AUM247" s="29" t="e">
        <f t="shared" si="63"/>
        <v>#REF!</v>
      </c>
      <c r="AUN247" s="29" t="e">
        <f t="shared" si="63"/>
        <v>#REF!</v>
      </c>
      <c r="AUO247" s="29" t="e">
        <f t="shared" si="63"/>
        <v>#REF!</v>
      </c>
      <c r="AUP247" s="29" t="e">
        <f t="shared" si="63"/>
        <v>#REF!</v>
      </c>
      <c r="AUQ247" s="29" t="e">
        <f t="shared" si="63"/>
        <v>#REF!</v>
      </c>
      <c r="AUR247" s="29" t="e">
        <f t="shared" si="63"/>
        <v>#REF!</v>
      </c>
      <c r="AUS247" s="29" t="e">
        <f t="shared" si="63"/>
        <v>#REF!</v>
      </c>
      <c r="AUT247" s="29" t="e">
        <f t="shared" si="63"/>
        <v>#REF!</v>
      </c>
      <c r="AUU247" s="29" t="e">
        <f t="shared" si="63"/>
        <v>#REF!</v>
      </c>
      <c r="AUV247" s="29" t="e">
        <f t="shared" si="63"/>
        <v>#REF!</v>
      </c>
      <c r="AUW247" s="29" t="e">
        <f t="shared" si="63"/>
        <v>#REF!</v>
      </c>
      <c r="AUX247" s="29" t="e">
        <f t="shared" si="63"/>
        <v>#REF!</v>
      </c>
      <c r="AUY247" s="29" t="e">
        <f t="shared" si="63"/>
        <v>#REF!</v>
      </c>
      <c r="AUZ247" s="29" t="e">
        <f t="shared" si="63"/>
        <v>#REF!</v>
      </c>
      <c r="AVA247" s="29" t="e">
        <f t="shared" si="63"/>
        <v>#REF!</v>
      </c>
      <c r="AVB247" s="29" t="e">
        <f t="shared" si="63"/>
        <v>#REF!</v>
      </c>
      <c r="AVC247" s="29" t="e">
        <f t="shared" si="63"/>
        <v>#REF!</v>
      </c>
      <c r="AVD247" s="29" t="e">
        <f t="shared" si="63"/>
        <v>#REF!</v>
      </c>
      <c r="AVE247" s="29" t="e">
        <f t="shared" si="63"/>
        <v>#REF!</v>
      </c>
      <c r="AVF247" s="29" t="e">
        <f t="shared" si="63"/>
        <v>#REF!</v>
      </c>
      <c r="AVG247" s="29" t="e">
        <f t="shared" si="63"/>
        <v>#REF!</v>
      </c>
      <c r="AVH247" s="29" t="e">
        <f t="shared" si="63"/>
        <v>#REF!</v>
      </c>
      <c r="AVI247" s="29" t="e">
        <f t="shared" si="63"/>
        <v>#REF!</v>
      </c>
      <c r="AVJ247" s="29" t="e">
        <f t="shared" si="63"/>
        <v>#REF!</v>
      </c>
      <c r="AVK247" s="29" t="e">
        <f t="shared" si="63"/>
        <v>#REF!</v>
      </c>
      <c r="AVL247" s="29" t="e">
        <f t="shared" si="63"/>
        <v>#REF!</v>
      </c>
      <c r="AVM247" s="29" t="e">
        <f t="shared" si="63"/>
        <v>#REF!</v>
      </c>
      <c r="AVN247" s="29" t="e">
        <f t="shared" si="63"/>
        <v>#REF!</v>
      </c>
      <c r="AVO247" s="29" t="e">
        <f t="shared" si="63"/>
        <v>#REF!</v>
      </c>
      <c r="AVP247" s="29" t="e">
        <f t="shared" si="63"/>
        <v>#REF!</v>
      </c>
      <c r="AVQ247" s="29" t="e">
        <f t="shared" si="63"/>
        <v>#REF!</v>
      </c>
      <c r="AVR247" s="29" t="e">
        <f t="shared" si="63"/>
        <v>#REF!</v>
      </c>
      <c r="AVS247" s="29" t="e">
        <f t="shared" si="63"/>
        <v>#REF!</v>
      </c>
      <c r="AVT247" s="29" t="e">
        <f t="shared" si="63"/>
        <v>#REF!</v>
      </c>
      <c r="AVU247" s="29" t="e">
        <f t="shared" si="63"/>
        <v>#REF!</v>
      </c>
      <c r="AVV247" s="29" t="e">
        <f t="shared" si="63"/>
        <v>#REF!</v>
      </c>
      <c r="AVW247" s="29" t="e">
        <f t="shared" si="63"/>
        <v>#REF!</v>
      </c>
      <c r="AVX247" s="29" t="e">
        <f t="shared" si="63"/>
        <v>#REF!</v>
      </c>
      <c r="AVY247" s="29" t="e">
        <f t="shared" si="63"/>
        <v>#REF!</v>
      </c>
      <c r="AVZ247" s="29" t="e">
        <f t="shared" si="63"/>
        <v>#REF!</v>
      </c>
      <c r="AWA247" s="29" t="e">
        <f t="shared" si="63"/>
        <v>#REF!</v>
      </c>
      <c r="AWB247" s="29" t="e">
        <f t="shared" si="63"/>
        <v>#REF!</v>
      </c>
      <c r="AWC247" s="29" t="e">
        <f t="shared" si="63"/>
        <v>#REF!</v>
      </c>
      <c r="AWD247" s="29" t="e">
        <f t="shared" si="63"/>
        <v>#REF!</v>
      </c>
      <c r="AWE247" s="29" t="e">
        <f t="shared" si="63"/>
        <v>#REF!</v>
      </c>
      <c r="AWF247" s="29" t="e">
        <f t="shared" si="63"/>
        <v>#REF!</v>
      </c>
      <c r="AWG247" s="29" t="e">
        <f t="shared" si="63"/>
        <v>#REF!</v>
      </c>
      <c r="AWH247" s="29" t="e">
        <f t="shared" si="63"/>
        <v>#REF!</v>
      </c>
      <c r="AWI247" s="29" t="e">
        <f t="shared" si="63"/>
        <v>#REF!</v>
      </c>
      <c r="AWJ247" s="29" t="e">
        <f t="shared" si="63"/>
        <v>#REF!</v>
      </c>
      <c r="AWK247" s="29" t="e">
        <f t="shared" si="63"/>
        <v>#REF!</v>
      </c>
      <c r="AWL247" s="29" t="e">
        <f t="shared" si="63"/>
        <v>#REF!</v>
      </c>
      <c r="AWM247" s="29" t="e">
        <f t="shared" si="63"/>
        <v>#REF!</v>
      </c>
      <c r="AWN247" s="29" t="e">
        <f t="shared" si="63"/>
        <v>#REF!</v>
      </c>
      <c r="AWO247" s="29" t="e">
        <f t="shared" si="63"/>
        <v>#REF!</v>
      </c>
      <c r="AWP247" s="29" t="e">
        <f t="shared" si="63"/>
        <v>#REF!</v>
      </c>
      <c r="AWQ247" s="29" t="e">
        <f t="shared" si="63"/>
        <v>#REF!</v>
      </c>
      <c r="AWR247" s="29" t="e">
        <f t="shared" si="63"/>
        <v>#REF!</v>
      </c>
      <c r="AWS247" s="29" t="e">
        <f t="shared" si="63"/>
        <v>#REF!</v>
      </c>
      <c r="AWT247" s="29" t="e">
        <f t="shared" si="63"/>
        <v>#REF!</v>
      </c>
      <c r="AWU247" s="29" t="e">
        <f t="shared" si="63"/>
        <v>#REF!</v>
      </c>
      <c r="AWV247" s="29" t="e">
        <f t="shared" si="63"/>
        <v>#REF!</v>
      </c>
      <c r="AWW247" s="29" t="e">
        <f t="shared" ref="AWW247:AZH247" si="64">AXA247&amp;AXB247</f>
        <v>#REF!</v>
      </c>
      <c r="AWX247" s="29" t="e">
        <f t="shared" si="64"/>
        <v>#REF!</v>
      </c>
      <c r="AWY247" s="29" t="e">
        <f t="shared" si="64"/>
        <v>#REF!</v>
      </c>
      <c r="AWZ247" s="29" t="e">
        <f t="shared" si="64"/>
        <v>#REF!</v>
      </c>
      <c r="AXA247" s="29" t="e">
        <f t="shared" si="64"/>
        <v>#REF!</v>
      </c>
      <c r="AXB247" s="29" t="e">
        <f t="shared" si="64"/>
        <v>#REF!</v>
      </c>
      <c r="AXC247" s="29" t="e">
        <f t="shared" si="64"/>
        <v>#REF!</v>
      </c>
      <c r="AXD247" s="29" t="e">
        <f t="shared" si="64"/>
        <v>#REF!</v>
      </c>
      <c r="AXE247" s="29" t="e">
        <f t="shared" si="64"/>
        <v>#REF!</v>
      </c>
      <c r="AXF247" s="29" t="e">
        <f t="shared" si="64"/>
        <v>#REF!</v>
      </c>
      <c r="AXG247" s="29" t="e">
        <f t="shared" si="64"/>
        <v>#REF!</v>
      </c>
      <c r="AXH247" s="29" t="e">
        <f t="shared" si="64"/>
        <v>#REF!</v>
      </c>
      <c r="AXI247" s="29" t="e">
        <f t="shared" si="64"/>
        <v>#REF!</v>
      </c>
      <c r="AXJ247" s="29" t="e">
        <f t="shared" si="64"/>
        <v>#REF!</v>
      </c>
      <c r="AXK247" s="29" t="e">
        <f t="shared" si="64"/>
        <v>#REF!</v>
      </c>
      <c r="AXL247" s="29" t="e">
        <f t="shared" si="64"/>
        <v>#REF!</v>
      </c>
      <c r="AXM247" s="29" t="e">
        <f t="shared" si="64"/>
        <v>#REF!</v>
      </c>
      <c r="AXN247" s="29" t="e">
        <f t="shared" si="64"/>
        <v>#REF!</v>
      </c>
      <c r="AXO247" s="29" t="e">
        <f t="shared" si="64"/>
        <v>#REF!</v>
      </c>
      <c r="AXP247" s="29" t="e">
        <f t="shared" si="64"/>
        <v>#REF!</v>
      </c>
      <c r="AXQ247" s="29" t="e">
        <f t="shared" si="64"/>
        <v>#REF!</v>
      </c>
      <c r="AXR247" s="29" t="e">
        <f t="shared" si="64"/>
        <v>#REF!</v>
      </c>
      <c r="AXS247" s="29" t="e">
        <f t="shared" si="64"/>
        <v>#REF!</v>
      </c>
      <c r="AXT247" s="29" t="e">
        <f t="shared" si="64"/>
        <v>#REF!</v>
      </c>
      <c r="AXU247" s="29" t="e">
        <f t="shared" si="64"/>
        <v>#REF!</v>
      </c>
      <c r="AXV247" s="29" t="e">
        <f t="shared" si="64"/>
        <v>#REF!</v>
      </c>
      <c r="AXW247" s="29" t="e">
        <f t="shared" si="64"/>
        <v>#REF!</v>
      </c>
      <c r="AXX247" s="29" t="e">
        <f t="shared" si="64"/>
        <v>#REF!</v>
      </c>
      <c r="AXY247" s="29" t="e">
        <f t="shared" si="64"/>
        <v>#REF!</v>
      </c>
      <c r="AXZ247" s="29" t="e">
        <f t="shared" si="64"/>
        <v>#REF!</v>
      </c>
      <c r="AYA247" s="29" t="e">
        <f t="shared" si="64"/>
        <v>#REF!</v>
      </c>
      <c r="AYB247" s="29" t="e">
        <f t="shared" si="64"/>
        <v>#REF!</v>
      </c>
      <c r="AYC247" s="29" t="e">
        <f t="shared" si="64"/>
        <v>#REF!</v>
      </c>
      <c r="AYD247" s="29" t="e">
        <f t="shared" si="64"/>
        <v>#REF!</v>
      </c>
      <c r="AYE247" s="29" t="e">
        <f t="shared" si="64"/>
        <v>#REF!</v>
      </c>
      <c r="AYF247" s="29" t="e">
        <f t="shared" si="64"/>
        <v>#REF!</v>
      </c>
      <c r="AYG247" s="29" t="e">
        <f t="shared" si="64"/>
        <v>#REF!</v>
      </c>
      <c r="AYH247" s="29" t="e">
        <f t="shared" si="64"/>
        <v>#REF!</v>
      </c>
      <c r="AYI247" s="29" t="e">
        <f t="shared" si="64"/>
        <v>#REF!</v>
      </c>
      <c r="AYJ247" s="29" t="e">
        <f t="shared" si="64"/>
        <v>#REF!</v>
      </c>
      <c r="AYK247" s="29" t="e">
        <f t="shared" si="64"/>
        <v>#REF!</v>
      </c>
      <c r="AYL247" s="29" t="e">
        <f t="shared" si="64"/>
        <v>#REF!</v>
      </c>
      <c r="AYM247" s="29" t="e">
        <f t="shared" si="64"/>
        <v>#REF!</v>
      </c>
      <c r="AYN247" s="29" t="e">
        <f t="shared" si="64"/>
        <v>#REF!</v>
      </c>
      <c r="AYO247" s="29" t="e">
        <f t="shared" si="64"/>
        <v>#REF!</v>
      </c>
      <c r="AYP247" s="29" t="e">
        <f t="shared" si="64"/>
        <v>#REF!</v>
      </c>
      <c r="AYQ247" s="29" t="e">
        <f t="shared" si="64"/>
        <v>#REF!</v>
      </c>
      <c r="AYR247" s="29" t="e">
        <f t="shared" si="64"/>
        <v>#REF!</v>
      </c>
      <c r="AYS247" s="29" t="e">
        <f t="shared" si="64"/>
        <v>#REF!</v>
      </c>
      <c r="AYT247" s="29" t="e">
        <f t="shared" si="64"/>
        <v>#REF!</v>
      </c>
      <c r="AYU247" s="29" t="e">
        <f t="shared" si="64"/>
        <v>#REF!</v>
      </c>
      <c r="AYV247" s="29" t="e">
        <f t="shared" si="64"/>
        <v>#REF!</v>
      </c>
      <c r="AYW247" s="29" t="e">
        <f t="shared" si="64"/>
        <v>#REF!</v>
      </c>
      <c r="AYX247" s="29" t="e">
        <f t="shared" si="64"/>
        <v>#REF!</v>
      </c>
      <c r="AYY247" s="29" t="e">
        <f t="shared" si="64"/>
        <v>#REF!</v>
      </c>
      <c r="AYZ247" s="29" t="e">
        <f t="shared" si="64"/>
        <v>#REF!</v>
      </c>
      <c r="AZA247" s="29" t="e">
        <f t="shared" si="64"/>
        <v>#REF!</v>
      </c>
      <c r="AZB247" s="29" t="e">
        <f t="shared" si="64"/>
        <v>#REF!</v>
      </c>
      <c r="AZC247" s="29" t="e">
        <f t="shared" si="64"/>
        <v>#REF!</v>
      </c>
      <c r="AZD247" s="29" t="e">
        <f t="shared" si="64"/>
        <v>#REF!</v>
      </c>
      <c r="AZE247" s="29" t="e">
        <f t="shared" si="64"/>
        <v>#REF!</v>
      </c>
      <c r="AZF247" s="29" t="e">
        <f t="shared" si="64"/>
        <v>#REF!</v>
      </c>
      <c r="AZG247" s="29" t="e">
        <f t="shared" si="64"/>
        <v>#REF!</v>
      </c>
      <c r="AZH247" s="29" t="e">
        <f t="shared" si="64"/>
        <v>#REF!</v>
      </c>
      <c r="AZI247" s="29" t="e">
        <f t="shared" ref="AZI247:BBT247" si="65">AZM247&amp;AZN247</f>
        <v>#REF!</v>
      </c>
      <c r="AZJ247" s="29" t="e">
        <f t="shared" si="65"/>
        <v>#REF!</v>
      </c>
      <c r="AZK247" s="29" t="e">
        <f t="shared" si="65"/>
        <v>#REF!</v>
      </c>
      <c r="AZL247" s="29" t="e">
        <f t="shared" si="65"/>
        <v>#REF!</v>
      </c>
      <c r="AZM247" s="29" t="e">
        <f t="shared" si="65"/>
        <v>#REF!</v>
      </c>
      <c r="AZN247" s="29" t="e">
        <f t="shared" si="65"/>
        <v>#REF!</v>
      </c>
      <c r="AZO247" s="29" t="e">
        <f t="shared" si="65"/>
        <v>#REF!</v>
      </c>
      <c r="AZP247" s="29" t="e">
        <f t="shared" si="65"/>
        <v>#REF!</v>
      </c>
      <c r="AZQ247" s="29" t="e">
        <f t="shared" si="65"/>
        <v>#REF!</v>
      </c>
      <c r="AZR247" s="29" t="e">
        <f t="shared" si="65"/>
        <v>#REF!</v>
      </c>
      <c r="AZS247" s="29" t="e">
        <f t="shared" si="65"/>
        <v>#REF!</v>
      </c>
      <c r="AZT247" s="29" t="e">
        <f t="shared" si="65"/>
        <v>#REF!</v>
      </c>
      <c r="AZU247" s="29" t="e">
        <f t="shared" si="65"/>
        <v>#REF!</v>
      </c>
      <c r="AZV247" s="29" t="e">
        <f t="shared" si="65"/>
        <v>#REF!</v>
      </c>
      <c r="AZW247" s="29" t="e">
        <f t="shared" si="65"/>
        <v>#REF!</v>
      </c>
      <c r="AZX247" s="29" t="e">
        <f t="shared" si="65"/>
        <v>#REF!</v>
      </c>
      <c r="AZY247" s="29" t="e">
        <f t="shared" si="65"/>
        <v>#REF!</v>
      </c>
      <c r="AZZ247" s="29" t="e">
        <f t="shared" si="65"/>
        <v>#REF!</v>
      </c>
      <c r="BAA247" s="29" t="e">
        <f t="shared" si="65"/>
        <v>#REF!</v>
      </c>
      <c r="BAB247" s="29" t="e">
        <f t="shared" si="65"/>
        <v>#REF!</v>
      </c>
      <c r="BAC247" s="29" t="e">
        <f t="shared" si="65"/>
        <v>#REF!</v>
      </c>
      <c r="BAD247" s="29" t="e">
        <f t="shared" si="65"/>
        <v>#REF!</v>
      </c>
      <c r="BAE247" s="29" t="e">
        <f t="shared" si="65"/>
        <v>#REF!</v>
      </c>
      <c r="BAF247" s="29" t="e">
        <f t="shared" si="65"/>
        <v>#REF!</v>
      </c>
      <c r="BAG247" s="29" t="e">
        <f t="shared" si="65"/>
        <v>#REF!</v>
      </c>
      <c r="BAH247" s="29" t="e">
        <f t="shared" si="65"/>
        <v>#REF!</v>
      </c>
      <c r="BAI247" s="29" t="e">
        <f t="shared" si="65"/>
        <v>#REF!</v>
      </c>
      <c r="BAJ247" s="29" t="e">
        <f t="shared" si="65"/>
        <v>#REF!</v>
      </c>
      <c r="BAK247" s="29" t="e">
        <f t="shared" si="65"/>
        <v>#REF!</v>
      </c>
      <c r="BAL247" s="29" t="e">
        <f t="shared" si="65"/>
        <v>#REF!</v>
      </c>
      <c r="BAM247" s="29" t="e">
        <f t="shared" si="65"/>
        <v>#REF!</v>
      </c>
      <c r="BAN247" s="29" t="e">
        <f t="shared" si="65"/>
        <v>#REF!</v>
      </c>
      <c r="BAO247" s="29" t="e">
        <f t="shared" si="65"/>
        <v>#REF!</v>
      </c>
      <c r="BAP247" s="29" t="e">
        <f t="shared" si="65"/>
        <v>#REF!</v>
      </c>
      <c r="BAQ247" s="29" t="e">
        <f t="shared" si="65"/>
        <v>#REF!</v>
      </c>
      <c r="BAR247" s="29" t="e">
        <f t="shared" si="65"/>
        <v>#REF!</v>
      </c>
      <c r="BAS247" s="29" t="e">
        <f t="shared" si="65"/>
        <v>#REF!</v>
      </c>
      <c r="BAT247" s="29" t="e">
        <f t="shared" si="65"/>
        <v>#REF!</v>
      </c>
      <c r="BAU247" s="29" t="e">
        <f t="shared" si="65"/>
        <v>#REF!</v>
      </c>
      <c r="BAV247" s="29" t="e">
        <f t="shared" si="65"/>
        <v>#REF!</v>
      </c>
      <c r="BAW247" s="29" t="e">
        <f t="shared" si="65"/>
        <v>#REF!</v>
      </c>
      <c r="BAX247" s="29" t="e">
        <f t="shared" si="65"/>
        <v>#REF!</v>
      </c>
      <c r="BAY247" s="29" t="e">
        <f t="shared" si="65"/>
        <v>#REF!</v>
      </c>
      <c r="BAZ247" s="29" t="e">
        <f t="shared" si="65"/>
        <v>#REF!</v>
      </c>
      <c r="BBA247" s="29" t="e">
        <f t="shared" si="65"/>
        <v>#REF!</v>
      </c>
      <c r="BBB247" s="29" t="e">
        <f t="shared" si="65"/>
        <v>#REF!</v>
      </c>
      <c r="BBC247" s="29" t="e">
        <f t="shared" si="65"/>
        <v>#REF!</v>
      </c>
      <c r="BBD247" s="29" t="e">
        <f t="shared" si="65"/>
        <v>#REF!</v>
      </c>
      <c r="BBE247" s="29" t="e">
        <f t="shared" si="65"/>
        <v>#REF!</v>
      </c>
      <c r="BBF247" s="29" t="e">
        <f t="shared" si="65"/>
        <v>#REF!</v>
      </c>
      <c r="BBG247" s="29" t="e">
        <f t="shared" si="65"/>
        <v>#REF!</v>
      </c>
      <c r="BBH247" s="29" t="e">
        <f t="shared" si="65"/>
        <v>#REF!</v>
      </c>
      <c r="BBI247" s="29" t="e">
        <f t="shared" si="65"/>
        <v>#REF!</v>
      </c>
      <c r="BBJ247" s="29" t="e">
        <f t="shared" si="65"/>
        <v>#REF!</v>
      </c>
      <c r="BBK247" s="29" t="e">
        <f t="shared" si="65"/>
        <v>#REF!</v>
      </c>
      <c r="BBL247" s="29" t="e">
        <f t="shared" si="65"/>
        <v>#REF!</v>
      </c>
      <c r="BBM247" s="29" t="e">
        <f t="shared" si="65"/>
        <v>#REF!</v>
      </c>
      <c r="BBN247" s="29" t="e">
        <f t="shared" si="65"/>
        <v>#REF!</v>
      </c>
      <c r="BBO247" s="29" t="e">
        <f t="shared" si="65"/>
        <v>#REF!</v>
      </c>
      <c r="BBP247" s="29" t="e">
        <f t="shared" si="65"/>
        <v>#REF!</v>
      </c>
      <c r="BBQ247" s="29" t="e">
        <f t="shared" si="65"/>
        <v>#REF!</v>
      </c>
      <c r="BBR247" s="29" t="e">
        <f t="shared" si="65"/>
        <v>#REF!</v>
      </c>
      <c r="BBS247" s="29" t="e">
        <f t="shared" si="65"/>
        <v>#REF!</v>
      </c>
      <c r="BBT247" s="29" t="e">
        <f t="shared" si="65"/>
        <v>#REF!</v>
      </c>
      <c r="BBU247" s="29" t="e">
        <f t="shared" ref="BBU247:BEF247" si="66">BBY247&amp;BBZ247</f>
        <v>#REF!</v>
      </c>
      <c r="BBV247" s="29" t="e">
        <f t="shared" si="66"/>
        <v>#REF!</v>
      </c>
      <c r="BBW247" s="29" t="e">
        <f t="shared" si="66"/>
        <v>#REF!</v>
      </c>
      <c r="BBX247" s="29" t="e">
        <f t="shared" si="66"/>
        <v>#REF!</v>
      </c>
      <c r="BBY247" s="29" t="e">
        <f t="shared" si="66"/>
        <v>#REF!</v>
      </c>
      <c r="BBZ247" s="29" t="e">
        <f t="shared" si="66"/>
        <v>#REF!</v>
      </c>
      <c r="BCA247" s="29" t="e">
        <f t="shared" si="66"/>
        <v>#REF!</v>
      </c>
      <c r="BCB247" s="29" t="e">
        <f t="shared" si="66"/>
        <v>#REF!</v>
      </c>
      <c r="BCC247" s="29" t="e">
        <f t="shared" si="66"/>
        <v>#REF!</v>
      </c>
      <c r="BCD247" s="29" t="e">
        <f t="shared" si="66"/>
        <v>#REF!</v>
      </c>
      <c r="BCE247" s="29" t="e">
        <f t="shared" si="66"/>
        <v>#REF!</v>
      </c>
      <c r="BCF247" s="29" t="e">
        <f t="shared" si="66"/>
        <v>#REF!</v>
      </c>
      <c r="BCG247" s="29" t="e">
        <f t="shared" si="66"/>
        <v>#REF!</v>
      </c>
      <c r="BCH247" s="29" t="e">
        <f t="shared" si="66"/>
        <v>#REF!</v>
      </c>
      <c r="BCI247" s="29" t="e">
        <f t="shared" si="66"/>
        <v>#REF!</v>
      </c>
      <c r="BCJ247" s="29" t="e">
        <f t="shared" si="66"/>
        <v>#REF!</v>
      </c>
      <c r="BCK247" s="29" t="e">
        <f t="shared" si="66"/>
        <v>#REF!</v>
      </c>
      <c r="BCL247" s="29" t="e">
        <f t="shared" si="66"/>
        <v>#REF!</v>
      </c>
      <c r="BCM247" s="29" t="e">
        <f t="shared" si="66"/>
        <v>#REF!</v>
      </c>
      <c r="BCN247" s="29" t="e">
        <f t="shared" si="66"/>
        <v>#REF!</v>
      </c>
      <c r="BCO247" s="29" t="e">
        <f t="shared" si="66"/>
        <v>#REF!</v>
      </c>
      <c r="BCP247" s="29" t="e">
        <f t="shared" si="66"/>
        <v>#REF!</v>
      </c>
      <c r="BCQ247" s="29" t="e">
        <f t="shared" si="66"/>
        <v>#REF!</v>
      </c>
      <c r="BCR247" s="29" t="e">
        <f t="shared" si="66"/>
        <v>#REF!</v>
      </c>
      <c r="BCS247" s="29" t="e">
        <f t="shared" si="66"/>
        <v>#REF!</v>
      </c>
      <c r="BCT247" s="29" t="e">
        <f t="shared" si="66"/>
        <v>#REF!</v>
      </c>
      <c r="BCU247" s="29" t="e">
        <f t="shared" si="66"/>
        <v>#REF!</v>
      </c>
      <c r="BCV247" s="29" t="e">
        <f t="shared" si="66"/>
        <v>#REF!</v>
      </c>
      <c r="BCW247" s="29" t="e">
        <f t="shared" si="66"/>
        <v>#REF!</v>
      </c>
      <c r="BCX247" s="29" t="e">
        <f t="shared" si="66"/>
        <v>#REF!</v>
      </c>
      <c r="BCY247" s="29" t="e">
        <f t="shared" si="66"/>
        <v>#REF!</v>
      </c>
      <c r="BCZ247" s="29" t="e">
        <f t="shared" si="66"/>
        <v>#REF!</v>
      </c>
      <c r="BDA247" s="29" t="e">
        <f t="shared" si="66"/>
        <v>#REF!</v>
      </c>
      <c r="BDB247" s="29" t="e">
        <f t="shared" si="66"/>
        <v>#REF!</v>
      </c>
      <c r="BDC247" s="29" t="e">
        <f t="shared" si="66"/>
        <v>#REF!</v>
      </c>
      <c r="BDD247" s="29" t="e">
        <f t="shared" si="66"/>
        <v>#REF!</v>
      </c>
      <c r="BDE247" s="29" t="e">
        <f t="shared" si="66"/>
        <v>#REF!</v>
      </c>
      <c r="BDF247" s="29" t="e">
        <f t="shared" si="66"/>
        <v>#REF!</v>
      </c>
      <c r="BDG247" s="29" t="e">
        <f t="shared" si="66"/>
        <v>#REF!</v>
      </c>
      <c r="BDH247" s="29" t="e">
        <f t="shared" si="66"/>
        <v>#REF!</v>
      </c>
      <c r="BDI247" s="29" t="e">
        <f t="shared" si="66"/>
        <v>#REF!</v>
      </c>
      <c r="BDJ247" s="29" t="e">
        <f t="shared" si="66"/>
        <v>#REF!</v>
      </c>
      <c r="BDK247" s="29" t="e">
        <f t="shared" si="66"/>
        <v>#REF!</v>
      </c>
      <c r="BDL247" s="29" t="e">
        <f t="shared" si="66"/>
        <v>#REF!</v>
      </c>
      <c r="BDM247" s="29" t="e">
        <f t="shared" si="66"/>
        <v>#REF!</v>
      </c>
      <c r="BDN247" s="29" t="e">
        <f t="shared" si="66"/>
        <v>#REF!</v>
      </c>
      <c r="BDO247" s="29" t="e">
        <f t="shared" si="66"/>
        <v>#REF!</v>
      </c>
      <c r="BDP247" s="29" t="e">
        <f t="shared" si="66"/>
        <v>#REF!</v>
      </c>
      <c r="BDQ247" s="29" t="e">
        <f t="shared" si="66"/>
        <v>#REF!</v>
      </c>
      <c r="BDR247" s="29" t="e">
        <f t="shared" si="66"/>
        <v>#REF!</v>
      </c>
      <c r="BDS247" s="29" t="e">
        <f t="shared" si="66"/>
        <v>#REF!</v>
      </c>
      <c r="BDT247" s="29" t="e">
        <f t="shared" si="66"/>
        <v>#REF!</v>
      </c>
      <c r="BDU247" s="29" t="e">
        <f t="shared" si="66"/>
        <v>#REF!</v>
      </c>
      <c r="BDV247" s="29" t="e">
        <f t="shared" si="66"/>
        <v>#REF!</v>
      </c>
      <c r="BDW247" s="29" t="e">
        <f t="shared" si="66"/>
        <v>#REF!</v>
      </c>
      <c r="BDX247" s="29" t="e">
        <f t="shared" si="66"/>
        <v>#REF!</v>
      </c>
      <c r="BDY247" s="29" t="e">
        <f t="shared" si="66"/>
        <v>#REF!</v>
      </c>
      <c r="BDZ247" s="29" t="e">
        <f t="shared" si="66"/>
        <v>#REF!</v>
      </c>
      <c r="BEA247" s="29" t="e">
        <f t="shared" si="66"/>
        <v>#REF!</v>
      </c>
      <c r="BEB247" s="29" t="e">
        <f t="shared" si="66"/>
        <v>#REF!</v>
      </c>
      <c r="BEC247" s="29" t="e">
        <f t="shared" si="66"/>
        <v>#REF!</v>
      </c>
      <c r="BED247" s="29" t="e">
        <f t="shared" si="66"/>
        <v>#REF!</v>
      </c>
      <c r="BEE247" s="29" t="e">
        <f t="shared" si="66"/>
        <v>#REF!</v>
      </c>
      <c r="BEF247" s="29" t="e">
        <f t="shared" si="66"/>
        <v>#REF!</v>
      </c>
      <c r="BEG247" s="29" t="e">
        <f t="shared" ref="BEG247:BGR247" si="67">BEK247&amp;BEL247</f>
        <v>#REF!</v>
      </c>
      <c r="BEH247" s="29" t="e">
        <f t="shared" si="67"/>
        <v>#REF!</v>
      </c>
      <c r="BEI247" s="29" t="e">
        <f t="shared" si="67"/>
        <v>#REF!</v>
      </c>
      <c r="BEJ247" s="29" t="e">
        <f t="shared" si="67"/>
        <v>#REF!</v>
      </c>
      <c r="BEK247" s="29" t="e">
        <f t="shared" si="67"/>
        <v>#REF!</v>
      </c>
      <c r="BEL247" s="29" t="e">
        <f t="shared" si="67"/>
        <v>#REF!</v>
      </c>
      <c r="BEM247" s="29" t="e">
        <f t="shared" si="67"/>
        <v>#REF!</v>
      </c>
      <c r="BEN247" s="29" t="e">
        <f t="shared" si="67"/>
        <v>#REF!</v>
      </c>
      <c r="BEO247" s="29" t="e">
        <f t="shared" si="67"/>
        <v>#REF!</v>
      </c>
      <c r="BEP247" s="29" t="e">
        <f t="shared" si="67"/>
        <v>#REF!</v>
      </c>
      <c r="BEQ247" s="29" t="e">
        <f t="shared" si="67"/>
        <v>#REF!</v>
      </c>
      <c r="BER247" s="29" t="e">
        <f t="shared" si="67"/>
        <v>#REF!</v>
      </c>
      <c r="BES247" s="29" t="e">
        <f t="shared" si="67"/>
        <v>#REF!</v>
      </c>
      <c r="BET247" s="29" t="e">
        <f t="shared" si="67"/>
        <v>#REF!</v>
      </c>
      <c r="BEU247" s="29" t="e">
        <f t="shared" si="67"/>
        <v>#REF!</v>
      </c>
      <c r="BEV247" s="29" t="e">
        <f t="shared" si="67"/>
        <v>#REF!</v>
      </c>
      <c r="BEW247" s="29" t="e">
        <f t="shared" si="67"/>
        <v>#REF!</v>
      </c>
      <c r="BEX247" s="29" t="e">
        <f t="shared" si="67"/>
        <v>#REF!</v>
      </c>
      <c r="BEY247" s="29" t="e">
        <f t="shared" si="67"/>
        <v>#REF!</v>
      </c>
      <c r="BEZ247" s="29" t="e">
        <f t="shared" si="67"/>
        <v>#REF!</v>
      </c>
      <c r="BFA247" s="29" t="e">
        <f t="shared" si="67"/>
        <v>#REF!</v>
      </c>
      <c r="BFB247" s="29" t="e">
        <f t="shared" si="67"/>
        <v>#REF!</v>
      </c>
      <c r="BFC247" s="29" t="e">
        <f t="shared" si="67"/>
        <v>#REF!</v>
      </c>
      <c r="BFD247" s="29" t="e">
        <f t="shared" si="67"/>
        <v>#REF!</v>
      </c>
      <c r="BFE247" s="29" t="e">
        <f t="shared" si="67"/>
        <v>#REF!</v>
      </c>
      <c r="BFF247" s="29" t="e">
        <f t="shared" si="67"/>
        <v>#REF!</v>
      </c>
      <c r="BFG247" s="29" t="e">
        <f t="shared" si="67"/>
        <v>#REF!</v>
      </c>
      <c r="BFH247" s="29" t="e">
        <f t="shared" si="67"/>
        <v>#REF!</v>
      </c>
      <c r="BFI247" s="29" t="e">
        <f t="shared" si="67"/>
        <v>#REF!</v>
      </c>
      <c r="BFJ247" s="29" t="e">
        <f t="shared" si="67"/>
        <v>#REF!</v>
      </c>
      <c r="BFK247" s="29" t="e">
        <f t="shared" si="67"/>
        <v>#REF!</v>
      </c>
      <c r="BFL247" s="29" t="e">
        <f t="shared" si="67"/>
        <v>#REF!</v>
      </c>
      <c r="BFM247" s="29" t="e">
        <f t="shared" si="67"/>
        <v>#REF!</v>
      </c>
      <c r="BFN247" s="29" t="e">
        <f t="shared" si="67"/>
        <v>#REF!</v>
      </c>
      <c r="BFO247" s="29" t="e">
        <f t="shared" si="67"/>
        <v>#REF!</v>
      </c>
      <c r="BFP247" s="29" t="e">
        <f t="shared" si="67"/>
        <v>#REF!</v>
      </c>
      <c r="BFQ247" s="29" t="e">
        <f t="shared" si="67"/>
        <v>#REF!</v>
      </c>
      <c r="BFR247" s="29" t="e">
        <f t="shared" si="67"/>
        <v>#REF!</v>
      </c>
      <c r="BFS247" s="29" t="e">
        <f t="shared" si="67"/>
        <v>#REF!</v>
      </c>
      <c r="BFT247" s="29" t="e">
        <f t="shared" si="67"/>
        <v>#REF!</v>
      </c>
      <c r="BFU247" s="29" t="e">
        <f t="shared" si="67"/>
        <v>#REF!</v>
      </c>
      <c r="BFV247" s="29" t="e">
        <f t="shared" si="67"/>
        <v>#REF!</v>
      </c>
      <c r="BFW247" s="29" t="e">
        <f t="shared" si="67"/>
        <v>#REF!</v>
      </c>
      <c r="BFX247" s="29" t="e">
        <f t="shared" si="67"/>
        <v>#REF!</v>
      </c>
      <c r="BFY247" s="29" t="e">
        <f t="shared" si="67"/>
        <v>#REF!</v>
      </c>
      <c r="BFZ247" s="29" t="e">
        <f t="shared" si="67"/>
        <v>#REF!</v>
      </c>
      <c r="BGA247" s="29" t="e">
        <f t="shared" si="67"/>
        <v>#REF!</v>
      </c>
      <c r="BGB247" s="29" t="e">
        <f t="shared" si="67"/>
        <v>#REF!</v>
      </c>
      <c r="BGC247" s="29" t="e">
        <f t="shared" si="67"/>
        <v>#REF!</v>
      </c>
      <c r="BGD247" s="29" t="e">
        <f t="shared" si="67"/>
        <v>#REF!</v>
      </c>
      <c r="BGE247" s="29" t="e">
        <f t="shared" si="67"/>
        <v>#REF!</v>
      </c>
      <c r="BGF247" s="29" t="e">
        <f t="shared" si="67"/>
        <v>#REF!</v>
      </c>
      <c r="BGG247" s="29" t="e">
        <f t="shared" si="67"/>
        <v>#REF!</v>
      </c>
      <c r="BGH247" s="29" t="e">
        <f t="shared" si="67"/>
        <v>#REF!</v>
      </c>
      <c r="BGI247" s="29" t="e">
        <f t="shared" si="67"/>
        <v>#REF!</v>
      </c>
      <c r="BGJ247" s="29" t="e">
        <f t="shared" si="67"/>
        <v>#REF!</v>
      </c>
      <c r="BGK247" s="29" t="e">
        <f t="shared" si="67"/>
        <v>#REF!</v>
      </c>
      <c r="BGL247" s="29" t="e">
        <f t="shared" si="67"/>
        <v>#REF!</v>
      </c>
      <c r="BGM247" s="29" t="e">
        <f t="shared" si="67"/>
        <v>#REF!</v>
      </c>
      <c r="BGN247" s="29" t="e">
        <f t="shared" si="67"/>
        <v>#REF!</v>
      </c>
      <c r="BGO247" s="29" t="e">
        <f t="shared" si="67"/>
        <v>#REF!</v>
      </c>
      <c r="BGP247" s="29" t="e">
        <f t="shared" si="67"/>
        <v>#REF!</v>
      </c>
      <c r="BGQ247" s="29" t="e">
        <f t="shared" si="67"/>
        <v>#REF!</v>
      </c>
      <c r="BGR247" s="29" t="e">
        <f t="shared" si="67"/>
        <v>#REF!</v>
      </c>
      <c r="BGS247" s="29" t="e">
        <f t="shared" ref="BGS247:BJD247" si="68">BGW247&amp;BGX247</f>
        <v>#REF!</v>
      </c>
      <c r="BGT247" s="29" t="e">
        <f t="shared" si="68"/>
        <v>#REF!</v>
      </c>
      <c r="BGU247" s="29" t="e">
        <f t="shared" si="68"/>
        <v>#REF!</v>
      </c>
      <c r="BGV247" s="29" t="e">
        <f t="shared" si="68"/>
        <v>#REF!</v>
      </c>
      <c r="BGW247" s="29" t="e">
        <f t="shared" si="68"/>
        <v>#REF!</v>
      </c>
      <c r="BGX247" s="29" t="e">
        <f t="shared" si="68"/>
        <v>#REF!</v>
      </c>
      <c r="BGY247" s="29" t="e">
        <f t="shared" si="68"/>
        <v>#REF!</v>
      </c>
      <c r="BGZ247" s="29" t="e">
        <f t="shared" si="68"/>
        <v>#REF!</v>
      </c>
      <c r="BHA247" s="29" t="e">
        <f t="shared" si="68"/>
        <v>#REF!</v>
      </c>
      <c r="BHB247" s="29" t="e">
        <f t="shared" si="68"/>
        <v>#REF!</v>
      </c>
      <c r="BHC247" s="29" t="e">
        <f t="shared" si="68"/>
        <v>#REF!</v>
      </c>
      <c r="BHD247" s="29" t="e">
        <f t="shared" si="68"/>
        <v>#REF!</v>
      </c>
      <c r="BHE247" s="29" t="e">
        <f t="shared" si="68"/>
        <v>#REF!</v>
      </c>
      <c r="BHF247" s="29" t="e">
        <f t="shared" si="68"/>
        <v>#REF!</v>
      </c>
      <c r="BHG247" s="29" t="e">
        <f t="shared" si="68"/>
        <v>#REF!</v>
      </c>
      <c r="BHH247" s="29" t="e">
        <f t="shared" si="68"/>
        <v>#REF!</v>
      </c>
      <c r="BHI247" s="29" t="e">
        <f t="shared" si="68"/>
        <v>#REF!</v>
      </c>
      <c r="BHJ247" s="29" t="e">
        <f t="shared" si="68"/>
        <v>#REF!</v>
      </c>
      <c r="BHK247" s="29" t="e">
        <f t="shared" si="68"/>
        <v>#REF!</v>
      </c>
      <c r="BHL247" s="29" t="e">
        <f t="shared" si="68"/>
        <v>#REF!</v>
      </c>
      <c r="BHM247" s="29" t="e">
        <f t="shared" si="68"/>
        <v>#REF!</v>
      </c>
      <c r="BHN247" s="29" t="e">
        <f t="shared" si="68"/>
        <v>#REF!</v>
      </c>
      <c r="BHO247" s="29" t="e">
        <f t="shared" si="68"/>
        <v>#REF!</v>
      </c>
      <c r="BHP247" s="29" t="e">
        <f t="shared" si="68"/>
        <v>#REF!</v>
      </c>
      <c r="BHQ247" s="29" t="e">
        <f t="shared" si="68"/>
        <v>#REF!</v>
      </c>
      <c r="BHR247" s="29" t="e">
        <f t="shared" si="68"/>
        <v>#REF!</v>
      </c>
      <c r="BHS247" s="29" t="e">
        <f t="shared" si="68"/>
        <v>#REF!</v>
      </c>
      <c r="BHT247" s="29" t="e">
        <f t="shared" si="68"/>
        <v>#REF!</v>
      </c>
      <c r="BHU247" s="29" t="e">
        <f t="shared" si="68"/>
        <v>#REF!</v>
      </c>
      <c r="BHV247" s="29" t="e">
        <f t="shared" si="68"/>
        <v>#REF!</v>
      </c>
      <c r="BHW247" s="29" t="e">
        <f t="shared" si="68"/>
        <v>#REF!</v>
      </c>
      <c r="BHX247" s="29" t="e">
        <f t="shared" si="68"/>
        <v>#REF!</v>
      </c>
      <c r="BHY247" s="29" t="e">
        <f t="shared" si="68"/>
        <v>#REF!</v>
      </c>
      <c r="BHZ247" s="29" t="e">
        <f t="shared" si="68"/>
        <v>#REF!</v>
      </c>
      <c r="BIA247" s="29" t="e">
        <f t="shared" si="68"/>
        <v>#REF!</v>
      </c>
      <c r="BIB247" s="29" t="e">
        <f t="shared" si="68"/>
        <v>#REF!</v>
      </c>
      <c r="BIC247" s="29" t="e">
        <f t="shared" si="68"/>
        <v>#REF!</v>
      </c>
      <c r="BID247" s="29" t="e">
        <f t="shared" si="68"/>
        <v>#REF!</v>
      </c>
      <c r="BIE247" s="29" t="e">
        <f t="shared" si="68"/>
        <v>#REF!</v>
      </c>
      <c r="BIF247" s="29" t="e">
        <f t="shared" si="68"/>
        <v>#REF!</v>
      </c>
      <c r="BIG247" s="29" t="e">
        <f t="shared" si="68"/>
        <v>#REF!</v>
      </c>
      <c r="BIH247" s="29" t="e">
        <f t="shared" si="68"/>
        <v>#REF!</v>
      </c>
      <c r="BII247" s="29" t="e">
        <f t="shared" si="68"/>
        <v>#REF!</v>
      </c>
      <c r="BIJ247" s="29" t="e">
        <f t="shared" si="68"/>
        <v>#REF!</v>
      </c>
      <c r="BIK247" s="29" t="e">
        <f t="shared" si="68"/>
        <v>#REF!</v>
      </c>
      <c r="BIL247" s="29" t="e">
        <f t="shared" si="68"/>
        <v>#REF!</v>
      </c>
      <c r="BIM247" s="29" t="e">
        <f t="shared" si="68"/>
        <v>#REF!</v>
      </c>
      <c r="BIN247" s="29" t="e">
        <f t="shared" si="68"/>
        <v>#REF!</v>
      </c>
      <c r="BIO247" s="29" t="e">
        <f t="shared" si="68"/>
        <v>#REF!</v>
      </c>
      <c r="BIP247" s="29" t="e">
        <f t="shared" si="68"/>
        <v>#REF!</v>
      </c>
      <c r="BIQ247" s="29" t="e">
        <f t="shared" si="68"/>
        <v>#REF!</v>
      </c>
      <c r="BIR247" s="29" t="e">
        <f t="shared" si="68"/>
        <v>#REF!</v>
      </c>
      <c r="BIS247" s="29" t="e">
        <f t="shared" si="68"/>
        <v>#REF!</v>
      </c>
      <c r="BIT247" s="29" t="e">
        <f t="shared" si="68"/>
        <v>#REF!</v>
      </c>
      <c r="BIU247" s="29" t="e">
        <f t="shared" si="68"/>
        <v>#REF!</v>
      </c>
      <c r="BIV247" s="29" t="e">
        <f t="shared" si="68"/>
        <v>#REF!</v>
      </c>
      <c r="BIW247" s="29" t="e">
        <f t="shared" si="68"/>
        <v>#REF!</v>
      </c>
      <c r="BIX247" s="29" t="e">
        <f t="shared" si="68"/>
        <v>#REF!</v>
      </c>
      <c r="BIY247" s="29" t="e">
        <f t="shared" si="68"/>
        <v>#REF!</v>
      </c>
      <c r="BIZ247" s="29" t="e">
        <f t="shared" si="68"/>
        <v>#REF!</v>
      </c>
      <c r="BJA247" s="29" t="e">
        <f t="shared" si="68"/>
        <v>#REF!</v>
      </c>
      <c r="BJB247" s="29" t="e">
        <f t="shared" si="68"/>
        <v>#REF!</v>
      </c>
      <c r="BJC247" s="29" t="e">
        <f t="shared" si="68"/>
        <v>#REF!</v>
      </c>
      <c r="BJD247" s="29" t="e">
        <f t="shared" si="68"/>
        <v>#REF!</v>
      </c>
      <c r="BJE247" s="29" t="e">
        <f t="shared" ref="BJE247:BLP247" si="69">BJI247&amp;BJJ247</f>
        <v>#REF!</v>
      </c>
      <c r="BJF247" s="29" t="e">
        <f t="shared" si="69"/>
        <v>#REF!</v>
      </c>
      <c r="BJG247" s="29" t="e">
        <f t="shared" si="69"/>
        <v>#REF!</v>
      </c>
      <c r="BJH247" s="29" t="e">
        <f t="shared" si="69"/>
        <v>#REF!</v>
      </c>
      <c r="BJI247" s="29" t="e">
        <f t="shared" si="69"/>
        <v>#REF!</v>
      </c>
      <c r="BJJ247" s="29" t="e">
        <f t="shared" si="69"/>
        <v>#REF!</v>
      </c>
      <c r="BJK247" s="29" t="e">
        <f t="shared" si="69"/>
        <v>#REF!</v>
      </c>
      <c r="BJL247" s="29" t="e">
        <f t="shared" si="69"/>
        <v>#REF!</v>
      </c>
      <c r="BJM247" s="29" t="e">
        <f t="shared" si="69"/>
        <v>#REF!</v>
      </c>
      <c r="BJN247" s="29" t="e">
        <f t="shared" si="69"/>
        <v>#REF!</v>
      </c>
      <c r="BJO247" s="29" t="e">
        <f t="shared" si="69"/>
        <v>#REF!</v>
      </c>
      <c r="BJP247" s="29" t="e">
        <f t="shared" si="69"/>
        <v>#REF!</v>
      </c>
      <c r="BJQ247" s="29" t="e">
        <f t="shared" si="69"/>
        <v>#REF!</v>
      </c>
      <c r="BJR247" s="29" t="e">
        <f t="shared" si="69"/>
        <v>#REF!</v>
      </c>
      <c r="BJS247" s="29" t="e">
        <f t="shared" si="69"/>
        <v>#REF!</v>
      </c>
      <c r="BJT247" s="29" t="e">
        <f t="shared" si="69"/>
        <v>#REF!</v>
      </c>
      <c r="BJU247" s="29" t="e">
        <f t="shared" si="69"/>
        <v>#REF!</v>
      </c>
      <c r="BJV247" s="29" t="e">
        <f t="shared" si="69"/>
        <v>#REF!</v>
      </c>
      <c r="BJW247" s="29" t="e">
        <f t="shared" si="69"/>
        <v>#REF!</v>
      </c>
      <c r="BJX247" s="29" t="e">
        <f t="shared" si="69"/>
        <v>#REF!</v>
      </c>
      <c r="BJY247" s="29" t="e">
        <f t="shared" si="69"/>
        <v>#REF!</v>
      </c>
      <c r="BJZ247" s="29" t="e">
        <f t="shared" si="69"/>
        <v>#REF!</v>
      </c>
      <c r="BKA247" s="29" t="e">
        <f t="shared" si="69"/>
        <v>#REF!</v>
      </c>
      <c r="BKB247" s="29" t="e">
        <f t="shared" si="69"/>
        <v>#REF!</v>
      </c>
      <c r="BKC247" s="29" t="e">
        <f t="shared" si="69"/>
        <v>#REF!</v>
      </c>
      <c r="BKD247" s="29" t="e">
        <f t="shared" si="69"/>
        <v>#REF!</v>
      </c>
      <c r="BKE247" s="29" t="e">
        <f t="shared" si="69"/>
        <v>#REF!</v>
      </c>
      <c r="BKF247" s="29" t="e">
        <f t="shared" si="69"/>
        <v>#REF!</v>
      </c>
      <c r="BKG247" s="29" t="e">
        <f t="shared" si="69"/>
        <v>#REF!</v>
      </c>
      <c r="BKH247" s="29" t="e">
        <f t="shared" si="69"/>
        <v>#REF!</v>
      </c>
      <c r="BKI247" s="29" t="e">
        <f t="shared" si="69"/>
        <v>#REF!</v>
      </c>
      <c r="BKJ247" s="29" t="e">
        <f t="shared" si="69"/>
        <v>#REF!</v>
      </c>
      <c r="BKK247" s="29" t="e">
        <f t="shared" si="69"/>
        <v>#REF!</v>
      </c>
      <c r="BKL247" s="29" t="e">
        <f t="shared" si="69"/>
        <v>#REF!</v>
      </c>
      <c r="BKM247" s="29" t="e">
        <f t="shared" si="69"/>
        <v>#REF!</v>
      </c>
      <c r="BKN247" s="29" t="e">
        <f t="shared" si="69"/>
        <v>#REF!</v>
      </c>
      <c r="BKO247" s="29" t="e">
        <f t="shared" si="69"/>
        <v>#REF!</v>
      </c>
      <c r="BKP247" s="29" t="e">
        <f t="shared" si="69"/>
        <v>#REF!</v>
      </c>
      <c r="BKQ247" s="29" t="e">
        <f t="shared" si="69"/>
        <v>#REF!</v>
      </c>
      <c r="BKR247" s="29" t="e">
        <f t="shared" si="69"/>
        <v>#REF!</v>
      </c>
      <c r="BKS247" s="29" t="e">
        <f t="shared" si="69"/>
        <v>#REF!</v>
      </c>
      <c r="BKT247" s="29" t="e">
        <f t="shared" si="69"/>
        <v>#REF!</v>
      </c>
      <c r="BKU247" s="29" t="e">
        <f t="shared" si="69"/>
        <v>#REF!</v>
      </c>
      <c r="BKV247" s="29" t="e">
        <f t="shared" si="69"/>
        <v>#REF!</v>
      </c>
      <c r="BKW247" s="29" t="e">
        <f t="shared" si="69"/>
        <v>#REF!</v>
      </c>
      <c r="BKX247" s="29" t="e">
        <f t="shared" si="69"/>
        <v>#REF!</v>
      </c>
      <c r="BKY247" s="29" t="e">
        <f t="shared" si="69"/>
        <v>#REF!</v>
      </c>
      <c r="BKZ247" s="29" t="e">
        <f t="shared" si="69"/>
        <v>#REF!</v>
      </c>
      <c r="BLA247" s="29" t="e">
        <f t="shared" si="69"/>
        <v>#REF!</v>
      </c>
      <c r="BLB247" s="29" t="e">
        <f t="shared" si="69"/>
        <v>#REF!</v>
      </c>
      <c r="BLC247" s="29" t="e">
        <f t="shared" si="69"/>
        <v>#REF!</v>
      </c>
      <c r="BLD247" s="29" t="e">
        <f t="shared" si="69"/>
        <v>#REF!</v>
      </c>
      <c r="BLE247" s="29" t="e">
        <f t="shared" si="69"/>
        <v>#REF!</v>
      </c>
      <c r="BLF247" s="29" t="e">
        <f t="shared" si="69"/>
        <v>#REF!</v>
      </c>
      <c r="BLG247" s="29" t="e">
        <f t="shared" si="69"/>
        <v>#REF!</v>
      </c>
      <c r="BLH247" s="29" t="e">
        <f t="shared" si="69"/>
        <v>#REF!</v>
      </c>
      <c r="BLI247" s="29" t="e">
        <f t="shared" si="69"/>
        <v>#REF!</v>
      </c>
      <c r="BLJ247" s="29" t="e">
        <f t="shared" si="69"/>
        <v>#REF!</v>
      </c>
      <c r="BLK247" s="29" t="e">
        <f t="shared" si="69"/>
        <v>#REF!</v>
      </c>
      <c r="BLL247" s="29" t="e">
        <f t="shared" si="69"/>
        <v>#REF!</v>
      </c>
      <c r="BLM247" s="29" t="e">
        <f t="shared" si="69"/>
        <v>#REF!</v>
      </c>
      <c r="BLN247" s="29" t="e">
        <f t="shared" si="69"/>
        <v>#REF!</v>
      </c>
      <c r="BLO247" s="29" t="e">
        <f t="shared" si="69"/>
        <v>#REF!</v>
      </c>
      <c r="BLP247" s="29" t="e">
        <f t="shared" si="69"/>
        <v>#REF!</v>
      </c>
      <c r="BLQ247" s="29" t="e">
        <f t="shared" ref="BLQ247:BOB247" si="70">BLU247&amp;BLV247</f>
        <v>#REF!</v>
      </c>
      <c r="BLR247" s="29" t="e">
        <f t="shared" si="70"/>
        <v>#REF!</v>
      </c>
      <c r="BLS247" s="29" t="e">
        <f t="shared" si="70"/>
        <v>#REF!</v>
      </c>
      <c r="BLT247" s="29" t="e">
        <f t="shared" si="70"/>
        <v>#REF!</v>
      </c>
      <c r="BLU247" s="29" t="e">
        <f t="shared" si="70"/>
        <v>#REF!</v>
      </c>
      <c r="BLV247" s="29" t="e">
        <f t="shared" si="70"/>
        <v>#REF!</v>
      </c>
      <c r="BLW247" s="29" t="e">
        <f t="shared" si="70"/>
        <v>#REF!</v>
      </c>
      <c r="BLX247" s="29" t="e">
        <f t="shared" si="70"/>
        <v>#REF!</v>
      </c>
      <c r="BLY247" s="29" t="e">
        <f t="shared" si="70"/>
        <v>#REF!</v>
      </c>
      <c r="BLZ247" s="29" t="e">
        <f t="shared" si="70"/>
        <v>#REF!</v>
      </c>
      <c r="BMA247" s="29" t="e">
        <f t="shared" si="70"/>
        <v>#REF!</v>
      </c>
      <c r="BMB247" s="29" t="e">
        <f t="shared" si="70"/>
        <v>#REF!</v>
      </c>
      <c r="BMC247" s="29" t="e">
        <f t="shared" si="70"/>
        <v>#REF!</v>
      </c>
      <c r="BMD247" s="29" t="e">
        <f t="shared" si="70"/>
        <v>#REF!</v>
      </c>
      <c r="BME247" s="29" t="e">
        <f t="shared" si="70"/>
        <v>#REF!</v>
      </c>
      <c r="BMF247" s="29" t="e">
        <f t="shared" si="70"/>
        <v>#REF!</v>
      </c>
      <c r="BMG247" s="29" t="e">
        <f t="shared" si="70"/>
        <v>#REF!</v>
      </c>
      <c r="BMH247" s="29" t="e">
        <f t="shared" si="70"/>
        <v>#REF!</v>
      </c>
      <c r="BMI247" s="29" t="e">
        <f t="shared" si="70"/>
        <v>#REF!</v>
      </c>
      <c r="BMJ247" s="29" t="e">
        <f t="shared" si="70"/>
        <v>#REF!</v>
      </c>
      <c r="BMK247" s="29" t="e">
        <f t="shared" si="70"/>
        <v>#REF!</v>
      </c>
      <c r="BML247" s="29" t="e">
        <f t="shared" si="70"/>
        <v>#REF!</v>
      </c>
      <c r="BMM247" s="29" t="e">
        <f t="shared" si="70"/>
        <v>#REF!</v>
      </c>
      <c r="BMN247" s="29" t="e">
        <f t="shared" si="70"/>
        <v>#REF!</v>
      </c>
      <c r="BMO247" s="29" t="e">
        <f t="shared" si="70"/>
        <v>#REF!</v>
      </c>
      <c r="BMP247" s="29" t="e">
        <f t="shared" si="70"/>
        <v>#REF!</v>
      </c>
      <c r="BMQ247" s="29" t="e">
        <f t="shared" si="70"/>
        <v>#REF!</v>
      </c>
      <c r="BMR247" s="29" t="e">
        <f t="shared" si="70"/>
        <v>#REF!</v>
      </c>
      <c r="BMS247" s="29" t="e">
        <f t="shared" si="70"/>
        <v>#REF!</v>
      </c>
      <c r="BMT247" s="29" t="e">
        <f t="shared" si="70"/>
        <v>#REF!</v>
      </c>
      <c r="BMU247" s="29" t="e">
        <f t="shared" si="70"/>
        <v>#REF!</v>
      </c>
      <c r="BMV247" s="29" t="e">
        <f t="shared" si="70"/>
        <v>#REF!</v>
      </c>
      <c r="BMW247" s="29" t="e">
        <f t="shared" si="70"/>
        <v>#REF!</v>
      </c>
      <c r="BMX247" s="29" t="e">
        <f t="shared" si="70"/>
        <v>#REF!</v>
      </c>
      <c r="BMY247" s="29" t="e">
        <f t="shared" si="70"/>
        <v>#REF!</v>
      </c>
      <c r="BMZ247" s="29" t="e">
        <f t="shared" si="70"/>
        <v>#REF!</v>
      </c>
      <c r="BNA247" s="29" t="e">
        <f t="shared" si="70"/>
        <v>#REF!</v>
      </c>
      <c r="BNB247" s="29" t="e">
        <f t="shared" si="70"/>
        <v>#REF!</v>
      </c>
      <c r="BNC247" s="29" t="e">
        <f t="shared" si="70"/>
        <v>#REF!</v>
      </c>
      <c r="BND247" s="29" t="e">
        <f t="shared" si="70"/>
        <v>#REF!</v>
      </c>
      <c r="BNE247" s="29" t="e">
        <f t="shared" si="70"/>
        <v>#REF!</v>
      </c>
      <c r="BNF247" s="29" t="e">
        <f t="shared" si="70"/>
        <v>#REF!</v>
      </c>
      <c r="BNG247" s="29" t="e">
        <f t="shared" si="70"/>
        <v>#REF!</v>
      </c>
      <c r="BNH247" s="29" t="e">
        <f t="shared" si="70"/>
        <v>#REF!</v>
      </c>
      <c r="BNI247" s="29" t="e">
        <f t="shared" si="70"/>
        <v>#REF!</v>
      </c>
      <c r="BNJ247" s="29" t="e">
        <f t="shared" si="70"/>
        <v>#REF!</v>
      </c>
      <c r="BNK247" s="29" t="e">
        <f t="shared" si="70"/>
        <v>#REF!</v>
      </c>
      <c r="BNL247" s="29" t="e">
        <f t="shared" si="70"/>
        <v>#REF!</v>
      </c>
      <c r="BNM247" s="29" t="e">
        <f t="shared" si="70"/>
        <v>#REF!</v>
      </c>
      <c r="BNN247" s="29" t="e">
        <f t="shared" si="70"/>
        <v>#REF!</v>
      </c>
      <c r="BNO247" s="29" t="e">
        <f t="shared" si="70"/>
        <v>#REF!</v>
      </c>
      <c r="BNP247" s="29" t="e">
        <f t="shared" si="70"/>
        <v>#REF!</v>
      </c>
      <c r="BNQ247" s="29" t="e">
        <f t="shared" si="70"/>
        <v>#REF!</v>
      </c>
      <c r="BNR247" s="29" t="e">
        <f t="shared" si="70"/>
        <v>#REF!</v>
      </c>
      <c r="BNS247" s="29" t="e">
        <f t="shared" si="70"/>
        <v>#REF!</v>
      </c>
      <c r="BNT247" s="29" t="e">
        <f t="shared" si="70"/>
        <v>#REF!</v>
      </c>
      <c r="BNU247" s="29" t="e">
        <f t="shared" si="70"/>
        <v>#REF!</v>
      </c>
      <c r="BNV247" s="29" t="e">
        <f t="shared" si="70"/>
        <v>#REF!</v>
      </c>
      <c r="BNW247" s="29" t="e">
        <f t="shared" si="70"/>
        <v>#REF!</v>
      </c>
      <c r="BNX247" s="29" t="e">
        <f t="shared" si="70"/>
        <v>#REF!</v>
      </c>
      <c r="BNY247" s="29" t="e">
        <f t="shared" si="70"/>
        <v>#REF!</v>
      </c>
      <c r="BNZ247" s="29" t="e">
        <f t="shared" si="70"/>
        <v>#REF!</v>
      </c>
      <c r="BOA247" s="29" t="e">
        <f t="shared" si="70"/>
        <v>#REF!</v>
      </c>
      <c r="BOB247" s="29" t="e">
        <f t="shared" si="70"/>
        <v>#REF!</v>
      </c>
      <c r="BOC247" s="29" t="e">
        <f t="shared" ref="BOC247:BQN247" si="71">BOG247&amp;BOH247</f>
        <v>#REF!</v>
      </c>
      <c r="BOD247" s="29" t="e">
        <f t="shared" si="71"/>
        <v>#REF!</v>
      </c>
      <c r="BOE247" s="29" t="e">
        <f t="shared" si="71"/>
        <v>#REF!</v>
      </c>
      <c r="BOF247" s="29" t="e">
        <f t="shared" si="71"/>
        <v>#REF!</v>
      </c>
      <c r="BOG247" s="29" t="e">
        <f t="shared" si="71"/>
        <v>#REF!</v>
      </c>
      <c r="BOH247" s="29" t="e">
        <f t="shared" si="71"/>
        <v>#REF!</v>
      </c>
      <c r="BOI247" s="29" t="e">
        <f t="shared" si="71"/>
        <v>#REF!</v>
      </c>
      <c r="BOJ247" s="29" t="e">
        <f t="shared" si="71"/>
        <v>#REF!</v>
      </c>
      <c r="BOK247" s="29" t="e">
        <f t="shared" si="71"/>
        <v>#REF!</v>
      </c>
      <c r="BOL247" s="29" t="e">
        <f t="shared" si="71"/>
        <v>#REF!</v>
      </c>
      <c r="BOM247" s="29" t="e">
        <f t="shared" si="71"/>
        <v>#REF!</v>
      </c>
      <c r="BON247" s="29" t="e">
        <f t="shared" si="71"/>
        <v>#REF!</v>
      </c>
      <c r="BOO247" s="29" t="e">
        <f t="shared" si="71"/>
        <v>#REF!</v>
      </c>
      <c r="BOP247" s="29" t="e">
        <f t="shared" si="71"/>
        <v>#REF!</v>
      </c>
      <c r="BOQ247" s="29" t="e">
        <f t="shared" si="71"/>
        <v>#REF!</v>
      </c>
      <c r="BOR247" s="29" t="e">
        <f t="shared" si="71"/>
        <v>#REF!</v>
      </c>
      <c r="BOS247" s="29" t="e">
        <f t="shared" si="71"/>
        <v>#REF!</v>
      </c>
      <c r="BOT247" s="29" t="e">
        <f t="shared" si="71"/>
        <v>#REF!</v>
      </c>
      <c r="BOU247" s="29" t="e">
        <f t="shared" si="71"/>
        <v>#REF!</v>
      </c>
      <c r="BOV247" s="29" t="e">
        <f t="shared" si="71"/>
        <v>#REF!</v>
      </c>
      <c r="BOW247" s="29" t="e">
        <f t="shared" si="71"/>
        <v>#REF!</v>
      </c>
      <c r="BOX247" s="29" t="e">
        <f t="shared" si="71"/>
        <v>#REF!</v>
      </c>
      <c r="BOY247" s="29" t="e">
        <f t="shared" si="71"/>
        <v>#REF!</v>
      </c>
      <c r="BOZ247" s="29" t="e">
        <f t="shared" si="71"/>
        <v>#REF!</v>
      </c>
      <c r="BPA247" s="29" t="e">
        <f t="shared" si="71"/>
        <v>#REF!</v>
      </c>
      <c r="BPB247" s="29" t="e">
        <f t="shared" si="71"/>
        <v>#REF!</v>
      </c>
      <c r="BPC247" s="29" t="e">
        <f t="shared" si="71"/>
        <v>#REF!</v>
      </c>
      <c r="BPD247" s="29" t="e">
        <f t="shared" si="71"/>
        <v>#REF!</v>
      </c>
      <c r="BPE247" s="29" t="e">
        <f t="shared" si="71"/>
        <v>#REF!</v>
      </c>
      <c r="BPF247" s="29" t="e">
        <f t="shared" si="71"/>
        <v>#REF!</v>
      </c>
      <c r="BPG247" s="29" t="e">
        <f t="shared" si="71"/>
        <v>#REF!</v>
      </c>
      <c r="BPH247" s="29" t="e">
        <f t="shared" si="71"/>
        <v>#REF!</v>
      </c>
      <c r="BPI247" s="29" t="e">
        <f t="shared" si="71"/>
        <v>#REF!</v>
      </c>
      <c r="BPJ247" s="29" t="e">
        <f t="shared" si="71"/>
        <v>#REF!</v>
      </c>
      <c r="BPK247" s="29" t="e">
        <f t="shared" si="71"/>
        <v>#REF!</v>
      </c>
      <c r="BPL247" s="29" t="e">
        <f t="shared" si="71"/>
        <v>#REF!</v>
      </c>
      <c r="BPM247" s="29" t="e">
        <f t="shared" si="71"/>
        <v>#REF!</v>
      </c>
      <c r="BPN247" s="29" t="e">
        <f t="shared" si="71"/>
        <v>#REF!</v>
      </c>
      <c r="BPO247" s="29" t="e">
        <f t="shared" si="71"/>
        <v>#REF!</v>
      </c>
      <c r="BPP247" s="29" t="e">
        <f t="shared" si="71"/>
        <v>#REF!</v>
      </c>
      <c r="BPQ247" s="29" t="e">
        <f t="shared" si="71"/>
        <v>#REF!</v>
      </c>
      <c r="BPR247" s="29" t="e">
        <f t="shared" si="71"/>
        <v>#REF!</v>
      </c>
      <c r="BPS247" s="29" t="e">
        <f t="shared" si="71"/>
        <v>#REF!</v>
      </c>
      <c r="BPT247" s="29" t="e">
        <f t="shared" si="71"/>
        <v>#REF!</v>
      </c>
      <c r="BPU247" s="29" t="e">
        <f t="shared" si="71"/>
        <v>#REF!</v>
      </c>
      <c r="BPV247" s="29" t="e">
        <f t="shared" si="71"/>
        <v>#REF!</v>
      </c>
      <c r="BPW247" s="29" t="e">
        <f t="shared" si="71"/>
        <v>#REF!</v>
      </c>
      <c r="BPX247" s="29" t="e">
        <f t="shared" si="71"/>
        <v>#REF!</v>
      </c>
      <c r="BPY247" s="29" t="e">
        <f t="shared" si="71"/>
        <v>#REF!</v>
      </c>
      <c r="BPZ247" s="29" t="e">
        <f t="shared" si="71"/>
        <v>#REF!</v>
      </c>
      <c r="BQA247" s="29" t="e">
        <f t="shared" si="71"/>
        <v>#REF!</v>
      </c>
      <c r="BQB247" s="29" t="e">
        <f t="shared" si="71"/>
        <v>#REF!</v>
      </c>
      <c r="BQC247" s="29" t="e">
        <f t="shared" si="71"/>
        <v>#REF!</v>
      </c>
      <c r="BQD247" s="29" t="e">
        <f t="shared" si="71"/>
        <v>#REF!</v>
      </c>
      <c r="BQE247" s="29" t="e">
        <f t="shared" si="71"/>
        <v>#REF!</v>
      </c>
      <c r="BQF247" s="29" t="e">
        <f t="shared" si="71"/>
        <v>#REF!</v>
      </c>
      <c r="BQG247" s="29" t="e">
        <f t="shared" si="71"/>
        <v>#REF!</v>
      </c>
      <c r="BQH247" s="29" t="e">
        <f t="shared" si="71"/>
        <v>#REF!</v>
      </c>
      <c r="BQI247" s="29" t="e">
        <f t="shared" si="71"/>
        <v>#REF!</v>
      </c>
      <c r="BQJ247" s="29" t="e">
        <f t="shared" si="71"/>
        <v>#REF!</v>
      </c>
      <c r="BQK247" s="29" t="e">
        <f t="shared" si="71"/>
        <v>#REF!</v>
      </c>
      <c r="BQL247" s="29" t="e">
        <f t="shared" si="71"/>
        <v>#REF!</v>
      </c>
      <c r="BQM247" s="29" t="e">
        <f t="shared" si="71"/>
        <v>#REF!</v>
      </c>
      <c r="BQN247" s="29" t="e">
        <f t="shared" si="71"/>
        <v>#REF!</v>
      </c>
      <c r="BQO247" s="29" t="e">
        <f t="shared" ref="BQO247:BSZ247" si="72">BQS247&amp;BQT247</f>
        <v>#REF!</v>
      </c>
      <c r="BQP247" s="29" t="e">
        <f t="shared" si="72"/>
        <v>#REF!</v>
      </c>
      <c r="BQQ247" s="29" t="e">
        <f t="shared" si="72"/>
        <v>#REF!</v>
      </c>
      <c r="BQR247" s="29" t="e">
        <f t="shared" si="72"/>
        <v>#REF!</v>
      </c>
      <c r="BQS247" s="29" t="e">
        <f t="shared" si="72"/>
        <v>#REF!</v>
      </c>
      <c r="BQT247" s="29" t="e">
        <f t="shared" si="72"/>
        <v>#REF!</v>
      </c>
      <c r="BQU247" s="29" t="e">
        <f t="shared" si="72"/>
        <v>#REF!</v>
      </c>
      <c r="BQV247" s="29" t="e">
        <f t="shared" si="72"/>
        <v>#REF!</v>
      </c>
      <c r="BQW247" s="29" t="e">
        <f t="shared" si="72"/>
        <v>#REF!</v>
      </c>
      <c r="BQX247" s="29" t="e">
        <f t="shared" si="72"/>
        <v>#REF!</v>
      </c>
      <c r="BQY247" s="29" t="e">
        <f t="shared" si="72"/>
        <v>#REF!</v>
      </c>
      <c r="BQZ247" s="29" t="e">
        <f t="shared" si="72"/>
        <v>#REF!</v>
      </c>
      <c r="BRA247" s="29" t="e">
        <f t="shared" si="72"/>
        <v>#REF!</v>
      </c>
      <c r="BRB247" s="29" t="e">
        <f t="shared" si="72"/>
        <v>#REF!</v>
      </c>
      <c r="BRC247" s="29" t="e">
        <f t="shared" si="72"/>
        <v>#REF!</v>
      </c>
      <c r="BRD247" s="29" t="e">
        <f t="shared" si="72"/>
        <v>#REF!</v>
      </c>
      <c r="BRE247" s="29" t="e">
        <f t="shared" si="72"/>
        <v>#REF!</v>
      </c>
      <c r="BRF247" s="29" t="e">
        <f t="shared" si="72"/>
        <v>#REF!</v>
      </c>
      <c r="BRG247" s="29" t="e">
        <f t="shared" si="72"/>
        <v>#REF!</v>
      </c>
      <c r="BRH247" s="29" t="e">
        <f t="shared" si="72"/>
        <v>#REF!</v>
      </c>
      <c r="BRI247" s="29" t="e">
        <f t="shared" si="72"/>
        <v>#REF!</v>
      </c>
      <c r="BRJ247" s="29" t="e">
        <f t="shared" si="72"/>
        <v>#REF!</v>
      </c>
      <c r="BRK247" s="29" t="e">
        <f t="shared" si="72"/>
        <v>#REF!</v>
      </c>
      <c r="BRL247" s="29" t="e">
        <f t="shared" si="72"/>
        <v>#REF!</v>
      </c>
      <c r="BRM247" s="29" t="e">
        <f t="shared" si="72"/>
        <v>#REF!</v>
      </c>
      <c r="BRN247" s="29" t="e">
        <f t="shared" si="72"/>
        <v>#REF!</v>
      </c>
      <c r="BRO247" s="29" t="e">
        <f t="shared" si="72"/>
        <v>#REF!</v>
      </c>
      <c r="BRP247" s="29" t="e">
        <f t="shared" si="72"/>
        <v>#REF!</v>
      </c>
      <c r="BRQ247" s="29" t="e">
        <f t="shared" si="72"/>
        <v>#REF!</v>
      </c>
      <c r="BRR247" s="29" t="e">
        <f t="shared" si="72"/>
        <v>#REF!</v>
      </c>
      <c r="BRS247" s="29" t="e">
        <f t="shared" si="72"/>
        <v>#REF!</v>
      </c>
      <c r="BRT247" s="29" t="e">
        <f t="shared" si="72"/>
        <v>#REF!</v>
      </c>
      <c r="BRU247" s="29" t="e">
        <f t="shared" si="72"/>
        <v>#REF!</v>
      </c>
      <c r="BRV247" s="29" t="e">
        <f t="shared" si="72"/>
        <v>#REF!</v>
      </c>
      <c r="BRW247" s="29" t="e">
        <f t="shared" si="72"/>
        <v>#REF!</v>
      </c>
      <c r="BRX247" s="29" t="e">
        <f t="shared" si="72"/>
        <v>#REF!</v>
      </c>
      <c r="BRY247" s="29" t="e">
        <f t="shared" si="72"/>
        <v>#REF!</v>
      </c>
      <c r="BRZ247" s="29" t="e">
        <f t="shared" si="72"/>
        <v>#REF!</v>
      </c>
      <c r="BSA247" s="29" t="e">
        <f t="shared" si="72"/>
        <v>#REF!</v>
      </c>
      <c r="BSB247" s="29" t="e">
        <f t="shared" si="72"/>
        <v>#REF!</v>
      </c>
      <c r="BSC247" s="29" t="e">
        <f t="shared" si="72"/>
        <v>#REF!</v>
      </c>
      <c r="BSD247" s="29" t="e">
        <f t="shared" si="72"/>
        <v>#REF!</v>
      </c>
      <c r="BSE247" s="29" t="e">
        <f t="shared" si="72"/>
        <v>#REF!</v>
      </c>
      <c r="BSF247" s="29" t="e">
        <f t="shared" si="72"/>
        <v>#REF!</v>
      </c>
      <c r="BSG247" s="29" t="e">
        <f t="shared" si="72"/>
        <v>#REF!</v>
      </c>
      <c r="BSH247" s="29" t="e">
        <f t="shared" si="72"/>
        <v>#REF!</v>
      </c>
      <c r="BSI247" s="29" t="e">
        <f t="shared" si="72"/>
        <v>#REF!</v>
      </c>
      <c r="BSJ247" s="29" t="e">
        <f t="shared" si="72"/>
        <v>#REF!</v>
      </c>
      <c r="BSK247" s="29" t="e">
        <f t="shared" si="72"/>
        <v>#REF!</v>
      </c>
      <c r="BSL247" s="29" t="e">
        <f t="shared" si="72"/>
        <v>#REF!</v>
      </c>
      <c r="BSM247" s="29" t="e">
        <f t="shared" si="72"/>
        <v>#REF!</v>
      </c>
      <c r="BSN247" s="29" t="e">
        <f t="shared" si="72"/>
        <v>#REF!</v>
      </c>
      <c r="BSO247" s="29" t="e">
        <f t="shared" si="72"/>
        <v>#REF!</v>
      </c>
      <c r="BSP247" s="29" t="e">
        <f t="shared" si="72"/>
        <v>#REF!</v>
      </c>
      <c r="BSQ247" s="29" t="e">
        <f t="shared" si="72"/>
        <v>#REF!</v>
      </c>
      <c r="BSR247" s="29" t="e">
        <f t="shared" si="72"/>
        <v>#REF!</v>
      </c>
      <c r="BSS247" s="29" t="e">
        <f t="shared" si="72"/>
        <v>#REF!</v>
      </c>
      <c r="BST247" s="29" t="e">
        <f t="shared" si="72"/>
        <v>#REF!</v>
      </c>
      <c r="BSU247" s="29" t="e">
        <f t="shared" si="72"/>
        <v>#REF!</v>
      </c>
      <c r="BSV247" s="29" t="e">
        <f t="shared" si="72"/>
        <v>#REF!</v>
      </c>
      <c r="BSW247" s="29" t="e">
        <f t="shared" si="72"/>
        <v>#REF!</v>
      </c>
      <c r="BSX247" s="29" t="e">
        <f t="shared" si="72"/>
        <v>#REF!</v>
      </c>
      <c r="BSY247" s="29" t="e">
        <f t="shared" si="72"/>
        <v>#REF!</v>
      </c>
      <c r="BSZ247" s="29" t="e">
        <f t="shared" si="72"/>
        <v>#REF!</v>
      </c>
      <c r="BTA247" s="29" t="e">
        <f t="shared" ref="BTA247:BVL247" si="73">BTE247&amp;BTF247</f>
        <v>#REF!</v>
      </c>
      <c r="BTB247" s="29" t="e">
        <f t="shared" si="73"/>
        <v>#REF!</v>
      </c>
      <c r="BTC247" s="29" t="e">
        <f t="shared" si="73"/>
        <v>#REF!</v>
      </c>
      <c r="BTD247" s="29" t="e">
        <f t="shared" si="73"/>
        <v>#REF!</v>
      </c>
      <c r="BTE247" s="29" t="e">
        <f t="shared" si="73"/>
        <v>#REF!</v>
      </c>
      <c r="BTF247" s="29" t="e">
        <f t="shared" si="73"/>
        <v>#REF!</v>
      </c>
      <c r="BTG247" s="29" t="e">
        <f t="shared" si="73"/>
        <v>#REF!</v>
      </c>
      <c r="BTH247" s="29" t="e">
        <f t="shared" si="73"/>
        <v>#REF!</v>
      </c>
      <c r="BTI247" s="29" t="e">
        <f t="shared" si="73"/>
        <v>#REF!</v>
      </c>
      <c r="BTJ247" s="29" t="e">
        <f t="shared" si="73"/>
        <v>#REF!</v>
      </c>
      <c r="BTK247" s="29" t="e">
        <f t="shared" si="73"/>
        <v>#REF!</v>
      </c>
      <c r="BTL247" s="29" t="e">
        <f t="shared" si="73"/>
        <v>#REF!</v>
      </c>
      <c r="BTM247" s="29" t="e">
        <f t="shared" si="73"/>
        <v>#REF!</v>
      </c>
      <c r="BTN247" s="29" t="e">
        <f t="shared" si="73"/>
        <v>#REF!</v>
      </c>
      <c r="BTO247" s="29" t="e">
        <f t="shared" si="73"/>
        <v>#REF!</v>
      </c>
      <c r="BTP247" s="29" t="e">
        <f t="shared" si="73"/>
        <v>#REF!</v>
      </c>
      <c r="BTQ247" s="29" t="e">
        <f t="shared" si="73"/>
        <v>#REF!</v>
      </c>
      <c r="BTR247" s="29" t="e">
        <f t="shared" si="73"/>
        <v>#REF!</v>
      </c>
      <c r="BTS247" s="29" t="e">
        <f t="shared" si="73"/>
        <v>#REF!</v>
      </c>
      <c r="BTT247" s="29" t="e">
        <f t="shared" si="73"/>
        <v>#REF!</v>
      </c>
      <c r="BTU247" s="29" t="e">
        <f t="shared" si="73"/>
        <v>#REF!</v>
      </c>
      <c r="BTV247" s="29" t="e">
        <f t="shared" si="73"/>
        <v>#REF!</v>
      </c>
      <c r="BTW247" s="29" t="e">
        <f t="shared" si="73"/>
        <v>#REF!</v>
      </c>
      <c r="BTX247" s="29" t="e">
        <f t="shared" si="73"/>
        <v>#REF!</v>
      </c>
      <c r="BTY247" s="29" t="e">
        <f t="shared" si="73"/>
        <v>#REF!</v>
      </c>
      <c r="BTZ247" s="29" t="e">
        <f t="shared" si="73"/>
        <v>#REF!</v>
      </c>
      <c r="BUA247" s="29" t="e">
        <f t="shared" si="73"/>
        <v>#REF!</v>
      </c>
      <c r="BUB247" s="29" t="e">
        <f t="shared" si="73"/>
        <v>#REF!</v>
      </c>
      <c r="BUC247" s="29" t="e">
        <f t="shared" si="73"/>
        <v>#REF!</v>
      </c>
      <c r="BUD247" s="29" t="e">
        <f t="shared" si="73"/>
        <v>#REF!</v>
      </c>
      <c r="BUE247" s="29" t="e">
        <f t="shared" si="73"/>
        <v>#REF!</v>
      </c>
      <c r="BUF247" s="29" t="e">
        <f t="shared" si="73"/>
        <v>#REF!</v>
      </c>
      <c r="BUG247" s="29" t="e">
        <f t="shared" si="73"/>
        <v>#REF!</v>
      </c>
      <c r="BUH247" s="29" t="e">
        <f t="shared" si="73"/>
        <v>#REF!</v>
      </c>
      <c r="BUI247" s="29" t="e">
        <f t="shared" si="73"/>
        <v>#REF!</v>
      </c>
      <c r="BUJ247" s="29" t="e">
        <f t="shared" si="73"/>
        <v>#REF!</v>
      </c>
      <c r="BUK247" s="29" t="e">
        <f t="shared" si="73"/>
        <v>#REF!</v>
      </c>
      <c r="BUL247" s="29" t="e">
        <f t="shared" si="73"/>
        <v>#REF!</v>
      </c>
      <c r="BUM247" s="29" t="e">
        <f t="shared" si="73"/>
        <v>#REF!</v>
      </c>
      <c r="BUN247" s="29" t="e">
        <f t="shared" si="73"/>
        <v>#REF!</v>
      </c>
      <c r="BUO247" s="29" t="e">
        <f t="shared" si="73"/>
        <v>#REF!</v>
      </c>
      <c r="BUP247" s="29" t="e">
        <f t="shared" si="73"/>
        <v>#REF!</v>
      </c>
      <c r="BUQ247" s="29" t="e">
        <f t="shared" si="73"/>
        <v>#REF!</v>
      </c>
      <c r="BUR247" s="29" t="e">
        <f t="shared" si="73"/>
        <v>#REF!</v>
      </c>
      <c r="BUS247" s="29" t="e">
        <f t="shared" si="73"/>
        <v>#REF!</v>
      </c>
      <c r="BUT247" s="29" t="e">
        <f t="shared" si="73"/>
        <v>#REF!</v>
      </c>
      <c r="BUU247" s="29" t="e">
        <f t="shared" si="73"/>
        <v>#REF!</v>
      </c>
      <c r="BUV247" s="29" t="e">
        <f t="shared" si="73"/>
        <v>#REF!</v>
      </c>
      <c r="BUW247" s="29" t="e">
        <f t="shared" si="73"/>
        <v>#REF!</v>
      </c>
      <c r="BUX247" s="29" t="e">
        <f t="shared" si="73"/>
        <v>#REF!</v>
      </c>
      <c r="BUY247" s="29" t="e">
        <f t="shared" si="73"/>
        <v>#REF!</v>
      </c>
      <c r="BUZ247" s="29" t="e">
        <f t="shared" si="73"/>
        <v>#REF!</v>
      </c>
      <c r="BVA247" s="29" t="e">
        <f t="shared" si="73"/>
        <v>#REF!</v>
      </c>
      <c r="BVB247" s="29" t="e">
        <f t="shared" si="73"/>
        <v>#REF!</v>
      </c>
      <c r="BVC247" s="29" t="e">
        <f t="shared" si="73"/>
        <v>#REF!</v>
      </c>
      <c r="BVD247" s="29" t="e">
        <f t="shared" si="73"/>
        <v>#REF!</v>
      </c>
      <c r="BVE247" s="29" t="e">
        <f t="shared" si="73"/>
        <v>#REF!</v>
      </c>
      <c r="BVF247" s="29" t="e">
        <f t="shared" si="73"/>
        <v>#REF!</v>
      </c>
      <c r="BVG247" s="29" t="e">
        <f t="shared" si="73"/>
        <v>#REF!</v>
      </c>
      <c r="BVH247" s="29" t="e">
        <f t="shared" si="73"/>
        <v>#REF!</v>
      </c>
      <c r="BVI247" s="29" t="e">
        <f t="shared" si="73"/>
        <v>#REF!</v>
      </c>
      <c r="BVJ247" s="29" t="e">
        <f t="shared" si="73"/>
        <v>#REF!</v>
      </c>
      <c r="BVK247" s="29" t="e">
        <f t="shared" si="73"/>
        <v>#REF!</v>
      </c>
      <c r="BVL247" s="29" t="e">
        <f t="shared" si="73"/>
        <v>#REF!</v>
      </c>
      <c r="BVM247" s="29" t="e">
        <f t="shared" ref="BVM247:BXX247" si="74">BVQ247&amp;BVR247</f>
        <v>#REF!</v>
      </c>
      <c r="BVN247" s="29" t="e">
        <f t="shared" si="74"/>
        <v>#REF!</v>
      </c>
      <c r="BVO247" s="29" t="e">
        <f t="shared" si="74"/>
        <v>#REF!</v>
      </c>
      <c r="BVP247" s="29" t="e">
        <f t="shared" si="74"/>
        <v>#REF!</v>
      </c>
      <c r="BVQ247" s="29" t="e">
        <f t="shared" si="74"/>
        <v>#REF!</v>
      </c>
      <c r="BVR247" s="29" t="e">
        <f t="shared" si="74"/>
        <v>#REF!</v>
      </c>
      <c r="BVS247" s="29" t="e">
        <f t="shared" si="74"/>
        <v>#REF!</v>
      </c>
      <c r="BVT247" s="29" t="e">
        <f t="shared" si="74"/>
        <v>#REF!</v>
      </c>
      <c r="BVU247" s="29" t="e">
        <f t="shared" si="74"/>
        <v>#REF!</v>
      </c>
      <c r="BVV247" s="29" t="e">
        <f t="shared" si="74"/>
        <v>#REF!</v>
      </c>
      <c r="BVW247" s="29" t="e">
        <f t="shared" si="74"/>
        <v>#REF!</v>
      </c>
      <c r="BVX247" s="29" t="e">
        <f t="shared" si="74"/>
        <v>#REF!</v>
      </c>
      <c r="BVY247" s="29" t="e">
        <f t="shared" si="74"/>
        <v>#REF!</v>
      </c>
      <c r="BVZ247" s="29" t="e">
        <f t="shared" si="74"/>
        <v>#REF!</v>
      </c>
      <c r="BWA247" s="29" t="e">
        <f t="shared" si="74"/>
        <v>#REF!</v>
      </c>
      <c r="BWB247" s="29" t="e">
        <f t="shared" si="74"/>
        <v>#REF!</v>
      </c>
      <c r="BWC247" s="29" t="e">
        <f t="shared" si="74"/>
        <v>#REF!</v>
      </c>
      <c r="BWD247" s="29" t="e">
        <f t="shared" si="74"/>
        <v>#REF!</v>
      </c>
      <c r="BWE247" s="29" t="e">
        <f t="shared" si="74"/>
        <v>#REF!</v>
      </c>
      <c r="BWF247" s="29" t="e">
        <f t="shared" si="74"/>
        <v>#REF!</v>
      </c>
      <c r="BWG247" s="29" t="e">
        <f t="shared" si="74"/>
        <v>#REF!</v>
      </c>
      <c r="BWH247" s="29" t="e">
        <f t="shared" si="74"/>
        <v>#REF!</v>
      </c>
      <c r="BWI247" s="29" t="e">
        <f t="shared" si="74"/>
        <v>#REF!</v>
      </c>
      <c r="BWJ247" s="29" t="e">
        <f t="shared" si="74"/>
        <v>#REF!</v>
      </c>
      <c r="BWK247" s="29" t="e">
        <f t="shared" si="74"/>
        <v>#REF!</v>
      </c>
      <c r="BWL247" s="29" t="e">
        <f t="shared" si="74"/>
        <v>#REF!</v>
      </c>
      <c r="BWM247" s="29" t="e">
        <f t="shared" si="74"/>
        <v>#REF!</v>
      </c>
      <c r="BWN247" s="29" t="e">
        <f t="shared" si="74"/>
        <v>#REF!</v>
      </c>
      <c r="BWO247" s="29" t="e">
        <f t="shared" si="74"/>
        <v>#REF!</v>
      </c>
      <c r="BWP247" s="29" t="e">
        <f t="shared" si="74"/>
        <v>#REF!</v>
      </c>
      <c r="BWQ247" s="29" t="e">
        <f t="shared" si="74"/>
        <v>#REF!</v>
      </c>
      <c r="BWR247" s="29" t="e">
        <f t="shared" si="74"/>
        <v>#REF!</v>
      </c>
      <c r="BWS247" s="29" t="e">
        <f t="shared" si="74"/>
        <v>#REF!</v>
      </c>
      <c r="BWT247" s="29" t="e">
        <f t="shared" si="74"/>
        <v>#REF!</v>
      </c>
      <c r="BWU247" s="29" t="e">
        <f t="shared" si="74"/>
        <v>#REF!</v>
      </c>
      <c r="BWV247" s="29" t="e">
        <f t="shared" si="74"/>
        <v>#REF!</v>
      </c>
      <c r="BWW247" s="29" t="e">
        <f t="shared" si="74"/>
        <v>#REF!</v>
      </c>
      <c r="BWX247" s="29" t="e">
        <f t="shared" si="74"/>
        <v>#REF!</v>
      </c>
      <c r="BWY247" s="29" t="e">
        <f t="shared" si="74"/>
        <v>#REF!</v>
      </c>
      <c r="BWZ247" s="29" t="e">
        <f t="shared" si="74"/>
        <v>#REF!</v>
      </c>
      <c r="BXA247" s="29" t="e">
        <f t="shared" si="74"/>
        <v>#REF!</v>
      </c>
      <c r="BXB247" s="29" t="e">
        <f t="shared" si="74"/>
        <v>#REF!</v>
      </c>
      <c r="BXC247" s="29" t="e">
        <f t="shared" si="74"/>
        <v>#REF!</v>
      </c>
      <c r="BXD247" s="29" t="e">
        <f t="shared" si="74"/>
        <v>#REF!</v>
      </c>
      <c r="BXE247" s="29" t="e">
        <f t="shared" si="74"/>
        <v>#REF!</v>
      </c>
      <c r="BXF247" s="29" t="e">
        <f t="shared" si="74"/>
        <v>#REF!</v>
      </c>
      <c r="BXG247" s="29" t="e">
        <f t="shared" si="74"/>
        <v>#REF!</v>
      </c>
      <c r="BXH247" s="29" t="e">
        <f t="shared" si="74"/>
        <v>#REF!</v>
      </c>
      <c r="BXI247" s="29" t="e">
        <f t="shared" si="74"/>
        <v>#REF!</v>
      </c>
      <c r="BXJ247" s="29" t="e">
        <f t="shared" si="74"/>
        <v>#REF!</v>
      </c>
      <c r="BXK247" s="29" t="e">
        <f t="shared" si="74"/>
        <v>#REF!</v>
      </c>
      <c r="BXL247" s="29" t="e">
        <f t="shared" si="74"/>
        <v>#REF!</v>
      </c>
      <c r="BXM247" s="29" t="e">
        <f t="shared" si="74"/>
        <v>#REF!</v>
      </c>
      <c r="BXN247" s="29" t="e">
        <f t="shared" si="74"/>
        <v>#REF!</v>
      </c>
      <c r="BXO247" s="29" t="e">
        <f t="shared" si="74"/>
        <v>#REF!</v>
      </c>
      <c r="BXP247" s="29" t="e">
        <f t="shared" si="74"/>
        <v>#REF!</v>
      </c>
      <c r="BXQ247" s="29" t="e">
        <f t="shared" si="74"/>
        <v>#REF!</v>
      </c>
      <c r="BXR247" s="29" t="e">
        <f t="shared" si="74"/>
        <v>#REF!</v>
      </c>
      <c r="BXS247" s="29" t="e">
        <f t="shared" si="74"/>
        <v>#REF!</v>
      </c>
      <c r="BXT247" s="29" t="e">
        <f t="shared" si="74"/>
        <v>#REF!</v>
      </c>
      <c r="BXU247" s="29" t="e">
        <f t="shared" si="74"/>
        <v>#REF!</v>
      </c>
      <c r="BXV247" s="29" t="e">
        <f t="shared" si="74"/>
        <v>#REF!</v>
      </c>
      <c r="BXW247" s="29" t="e">
        <f t="shared" si="74"/>
        <v>#REF!</v>
      </c>
      <c r="BXX247" s="29" t="e">
        <f t="shared" si="74"/>
        <v>#REF!</v>
      </c>
      <c r="BXY247" s="29" t="e">
        <f t="shared" ref="BXY247:CAJ247" si="75">BYC247&amp;BYD247</f>
        <v>#REF!</v>
      </c>
      <c r="BXZ247" s="29" t="e">
        <f t="shared" si="75"/>
        <v>#REF!</v>
      </c>
      <c r="BYA247" s="29" t="e">
        <f t="shared" si="75"/>
        <v>#REF!</v>
      </c>
      <c r="BYB247" s="29" t="e">
        <f t="shared" si="75"/>
        <v>#REF!</v>
      </c>
      <c r="BYC247" s="29" t="e">
        <f t="shared" si="75"/>
        <v>#REF!</v>
      </c>
      <c r="BYD247" s="29" t="e">
        <f t="shared" si="75"/>
        <v>#REF!</v>
      </c>
      <c r="BYE247" s="29" t="e">
        <f t="shared" si="75"/>
        <v>#REF!</v>
      </c>
      <c r="BYF247" s="29" t="e">
        <f t="shared" si="75"/>
        <v>#REF!</v>
      </c>
      <c r="BYG247" s="29" t="e">
        <f t="shared" si="75"/>
        <v>#REF!</v>
      </c>
      <c r="BYH247" s="29" t="e">
        <f t="shared" si="75"/>
        <v>#REF!</v>
      </c>
      <c r="BYI247" s="29" t="e">
        <f t="shared" si="75"/>
        <v>#REF!</v>
      </c>
      <c r="BYJ247" s="29" t="e">
        <f t="shared" si="75"/>
        <v>#REF!</v>
      </c>
      <c r="BYK247" s="29" t="e">
        <f t="shared" si="75"/>
        <v>#REF!</v>
      </c>
      <c r="BYL247" s="29" t="e">
        <f t="shared" si="75"/>
        <v>#REF!</v>
      </c>
      <c r="BYM247" s="29" t="e">
        <f t="shared" si="75"/>
        <v>#REF!</v>
      </c>
      <c r="BYN247" s="29" t="e">
        <f t="shared" si="75"/>
        <v>#REF!</v>
      </c>
      <c r="BYO247" s="29" t="e">
        <f t="shared" si="75"/>
        <v>#REF!</v>
      </c>
      <c r="BYP247" s="29" t="e">
        <f t="shared" si="75"/>
        <v>#REF!</v>
      </c>
      <c r="BYQ247" s="29" t="e">
        <f t="shared" si="75"/>
        <v>#REF!</v>
      </c>
      <c r="BYR247" s="29" t="e">
        <f t="shared" si="75"/>
        <v>#REF!</v>
      </c>
      <c r="BYS247" s="29" t="e">
        <f t="shared" si="75"/>
        <v>#REF!</v>
      </c>
      <c r="BYT247" s="29" t="e">
        <f t="shared" si="75"/>
        <v>#REF!</v>
      </c>
      <c r="BYU247" s="29" t="e">
        <f t="shared" si="75"/>
        <v>#REF!</v>
      </c>
      <c r="BYV247" s="29" t="e">
        <f t="shared" si="75"/>
        <v>#REF!</v>
      </c>
      <c r="BYW247" s="29" t="e">
        <f t="shared" si="75"/>
        <v>#REF!</v>
      </c>
      <c r="BYX247" s="29" t="e">
        <f t="shared" si="75"/>
        <v>#REF!</v>
      </c>
      <c r="BYY247" s="29" t="e">
        <f t="shared" si="75"/>
        <v>#REF!</v>
      </c>
      <c r="BYZ247" s="29" t="e">
        <f t="shared" si="75"/>
        <v>#REF!</v>
      </c>
      <c r="BZA247" s="29" t="e">
        <f t="shared" si="75"/>
        <v>#REF!</v>
      </c>
      <c r="BZB247" s="29" t="e">
        <f t="shared" si="75"/>
        <v>#REF!</v>
      </c>
      <c r="BZC247" s="29" t="e">
        <f t="shared" si="75"/>
        <v>#REF!</v>
      </c>
      <c r="BZD247" s="29" t="e">
        <f t="shared" si="75"/>
        <v>#REF!</v>
      </c>
      <c r="BZE247" s="29" t="e">
        <f t="shared" si="75"/>
        <v>#REF!</v>
      </c>
      <c r="BZF247" s="29" t="e">
        <f t="shared" si="75"/>
        <v>#REF!</v>
      </c>
      <c r="BZG247" s="29" t="e">
        <f t="shared" si="75"/>
        <v>#REF!</v>
      </c>
      <c r="BZH247" s="29" t="e">
        <f t="shared" si="75"/>
        <v>#REF!</v>
      </c>
      <c r="BZI247" s="29" t="e">
        <f t="shared" si="75"/>
        <v>#REF!</v>
      </c>
      <c r="BZJ247" s="29" t="e">
        <f t="shared" si="75"/>
        <v>#REF!</v>
      </c>
      <c r="BZK247" s="29" t="e">
        <f t="shared" si="75"/>
        <v>#REF!</v>
      </c>
      <c r="BZL247" s="29" t="e">
        <f t="shared" si="75"/>
        <v>#REF!</v>
      </c>
      <c r="BZM247" s="29" t="e">
        <f t="shared" si="75"/>
        <v>#REF!</v>
      </c>
      <c r="BZN247" s="29" t="e">
        <f t="shared" si="75"/>
        <v>#REF!</v>
      </c>
      <c r="BZO247" s="29" t="e">
        <f t="shared" si="75"/>
        <v>#REF!</v>
      </c>
      <c r="BZP247" s="29" t="e">
        <f t="shared" si="75"/>
        <v>#REF!</v>
      </c>
      <c r="BZQ247" s="29" t="e">
        <f t="shared" si="75"/>
        <v>#REF!</v>
      </c>
      <c r="BZR247" s="29" t="e">
        <f t="shared" si="75"/>
        <v>#REF!</v>
      </c>
      <c r="BZS247" s="29" t="e">
        <f t="shared" si="75"/>
        <v>#REF!</v>
      </c>
      <c r="BZT247" s="29" t="e">
        <f t="shared" si="75"/>
        <v>#REF!</v>
      </c>
      <c r="BZU247" s="29" t="e">
        <f t="shared" si="75"/>
        <v>#REF!</v>
      </c>
      <c r="BZV247" s="29" t="e">
        <f t="shared" si="75"/>
        <v>#REF!</v>
      </c>
      <c r="BZW247" s="29" t="e">
        <f t="shared" si="75"/>
        <v>#REF!</v>
      </c>
      <c r="BZX247" s="29" t="e">
        <f t="shared" si="75"/>
        <v>#REF!</v>
      </c>
      <c r="BZY247" s="29" t="e">
        <f t="shared" si="75"/>
        <v>#REF!</v>
      </c>
      <c r="BZZ247" s="29" t="e">
        <f t="shared" si="75"/>
        <v>#REF!</v>
      </c>
      <c r="CAA247" s="29" t="e">
        <f t="shared" si="75"/>
        <v>#REF!</v>
      </c>
      <c r="CAB247" s="29" t="e">
        <f t="shared" si="75"/>
        <v>#REF!</v>
      </c>
      <c r="CAC247" s="29" t="e">
        <f t="shared" si="75"/>
        <v>#REF!</v>
      </c>
      <c r="CAD247" s="29" t="e">
        <f t="shared" si="75"/>
        <v>#REF!</v>
      </c>
      <c r="CAE247" s="29" t="e">
        <f t="shared" si="75"/>
        <v>#REF!</v>
      </c>
      <c r="CAF247" s="29" t="e">
        <f t="shared" si="75"/>
        <v>#REF!</v>
      </c>
      <c r="CAG247" s="29" t="e">
        <f t="shared" si="75"/>
        <v>#REF!</v>
      </c>
      <c r="CAH247" s="29" t="e">
        <f t="shared" si="75"/>
        <v>#REF!</v>
      </c>
      <c r="CAI247" s="29" t="e">
        <f t="shared" si="75"/>
        <v>#REF!</v>
      </c>
      <c r="CAJ247" s="29" t="e">
        <f t="shared" si="75"/>
        <v>#REF!</v>
      </c>
      <c r="CAK247" s="29" t="e">
        <f t="shared" ref="CAK247:CCV247" si="76">CAO247&amp;CAP247</f>
        <v>#REF!</v>
      </c>
      <c r="CAL247" s="29" t="e">
        <f t="shared" si="76"/>
        <v>#REF!</v>
      </c>
      <c r="CAM247" s="29" t="e">
        <f t="shared" si="76"/>
        <v>#REF!</v>
      </c>
      <c r="CAN247" s="29" t="e">
        <f t="shared" si="76"/>
        <v>#REF!</v>
      </c>
      <c r="CAO247" s="29" t="e">
        <f t="shared" si="76"/>
        <v>#REF!</v>
      </c>
      <c r="CAP247" s="29" t="e">
        <f t="shared" si="76"/>
        <v>#REF!</v>
      </c>
      <c r="CAQ247" s="29" t="e">
        <f t="shared" si="76"/>
        <v>#REF!</v>
      </c>
      <c r="CAR247" s="29" t="e">
        <f t="shared" si="76"/>
        <v>#REF!</v>
      </c>
      <c r="CAS247" s="29" t="e">
        <f t="shared" si="76"/>
        <v>#REF!</v>
      </c>
      <c r="CAT247" s="29" t="e">
        <f t="shared" si="76"/>
        <v>#REF!</v>
      </c>
      <c r="CAU247" s="29" t="e">
        <f t="shared" si="76"/>
        <v>#REF!</v>
      </c>
      <c r="CAV247" s="29" t="e">
        <f t="shared" si="76"/>
        <v>#REF!</v>
      </c>
      <c r="CAW247" s="29" t="e">
        <f t="shared" si="76"/>
        <v>#REF!</v>
      </c>
      <c r="CAX247" s="29" t="e">
        <f t="shared" si="76"/>
        <v>#REF!</v>
      </c>
      <c r="CAY247" s="29" t="e">
        <f t="shared" si="76"/>
        <v>#REF!</v>
      </c>
      <c r="CAZ247" s="29" t="e">
        <f t="shared" si="76"/>
        <v>#REF!</v>
      </c>
      <c r="CBA247" s="29" t="e">
        <f t="shared" si="76"/>
        <v>#REF!</v>
      </c>
      <c r="CBB247" s="29" t="e">
        <f t="shared" si="76"/>
        <v>#REF!</v>
      </c>
      <c r="CBC247" s="29" t="e">
        <f t="shared" si="76"/>
        <v>#REF!</v>
      </c>
      <c r="CBD247" s="29" t="e">
        <f t="shared" si="76"/>
        <v>#REF!</v>
      </c>
      <c r="CBE247" s="29" t="e">
        <f t="shared" si="76"/>
        <v>#REF!</v>
      </c>
      <c r="CBF247" s="29" t="e">
        <f t="shared" si="76"/>
        <v>#REF!</v>
      </c>
      <c r="CBG247" s="29" t="e">
        <f t="shared" si="76"/>
        <v>#REF!</v>
      </c>
      <c r="CBH247" s="29" t="e">
        <f t="shared" si="76"/>
        <v>#REF!</v>
      </c>
      <c r="CBI247" s="29" t="e">
        <f t="shared" si="76"/>
        <v>#REF!</v>
      </c>
      <c r="CBJ247" s="29" t="e">
        <f t="shared" si="76"/>
        <v>#REF!</v>
      </c>
      <c r="CBK247" s="29" t="e">
        <f t="shared" si="76"/>
        <v>#REF!</v>
      </c>
      <c r="CBL247" s="29" t="e">
        <f t="shared" si="76"/>
        <v>#REF!</v>
      </c>
      <c r="CBM247" s="29" t="e">
        <f t="shared" si="76"/>
        <v>#REF!</v>
      </c>
      <c r="CBN247" s="29" t="e">
        <f t="shared" si="76"/>
        <v>#REF!</v>
      </c>
      <c r="CBO247" s="29" t="e">
        <f t="shared" si="76"/>
        <v>#REF!</v>
      </c>
      <c r="CBP247" s="29" t="e">
        <f t="shared" si="76"/>
        <v>#REF!</v>
      </c>
      <c r="CBQ247" s="29" t="e">
        <f t="shared" si="76"/>
        <v>#REF!</v>
      </c>
      <c r="CBR247" s="29" t="e">
        <f t="shared" si="76"/>
        <v>#REF!</v>
      </c>
      <c r="CBS247" s="29" t="e">
        <f t="shared" si="76"/>
        <v>#REF!</v>
      </c>
      <c r="CBT247" s="29" t="e">
        <f t="shared" si="76"/>
        <v>#REF!</v>
      </c>
      <c r="CBU247" s="29" t="e">
        <f t="shared" si="76"/>
        <v>#REF!</v>
      </c>
      <c r="CBV247" s="29" t="e">
        <f t="shared" si="76"/>
        <v>#REF!</v>
      </c>
      <c r="CBW247" s="29" t="e">
        <f t="shared" si="76"/>
        <v>#REF!</v>
      </c>
      <c r="CBX247" s="29" t="e">
        <f t="shared" si="76"/>
        <v>#REF!</v>
      </c>
      <c r="CBY247" s="29" t="e">
        <f t="shared" si="76"/>
        <v>#REF!</v>
      </c>
      <c r="CBZ247" s="29" t="e">
        <f t="shared" si="76"/>
        <v>#REF!</v>
      </c>
      <c r="CCA247" s="29" t="e">
        <f t="shared" si="76"/>
        <v>#REF!</v>
      </c>
      <c r="CCB247" s="29" t="e">
        <f t="shared" si="76"/>
        <v>#REF!</v>
      </c>
      <c r="CCC247" s="29" t="e">
        <f t="shared" si="76"/>
        <v>#REF!</v>
      </c>
      <c r="CCD247" s="29" t="e">
        <f t="shared" si="76"/>
        <v>#REF!</v>
      </c>
      <c r="CCE247" s="29" t="e">
        <f t="shared" si="76"/>
        <v>#REF!</v>
      </c>
      <c r="CCF247" s="29" t="e">
        <f t="shared" si="76"/>
        <v>#REF!</v>
      </c>
      <c r="CCG247" s="29" t="e">
        <f t="shared" si="76"/>
        <v>#REF!</v>
      </c>
      <c r="CCH247" s="29" t="e">
        <f t="shared" si="76"/>
        <v>#REF!</v>
      </c>
      <c r="CCI247" s="29" t="e">
        <f t="shared" si="76"/>
        <v>#REF!</v>
      </c>
      <c r="CCJ247" s="29" t="e">
        <f t="shared" si="76"/>
        <v>#REF!</v>
      </c>
      <c r="CCK247" s="29" t="e">
        <f t="shared" si="76"/>
        <v>#REF!</v>
      </c>
      <c r="CCL247" s="29" t="e">
        <f t="shared" si="76"/>
        <v>#REF!</v>
      </c>
      <c r="CCM247" s="29" t="e">
        <f t="shared" si="76"/>
        <v>#REF!</v>
      </c>
      <c r="CCN247" s="29" t="e">
        <f t="shared" si="76"/>
        <v>#REF!</v>
      </c>
      <c r="CCO247" s="29" t="e">
        <f t="shared" si="76"/>
        <v>#REF!</v>
      </c>
      <c r="CCP247" s="29" t="e">
        <f t="shared" si="76"/>
        <v>#REF!</v>
      </c>
      <c r="CCQ247" s="29" t="e">
        <f t="shared" si="76"/>
        <v>#REF!</v>
      </c>
      <c r="CCR247" s="29" t="e">
        <f t="shared" si="76"/>
        <v>#REF!</v>
      </c>
      <c r="CCS247" s="29" t="e">
        <f t="shared" si="76"/>
        <v>#REF!</v>
      </c>
      <c r="CCT247" s="29" t="e">
        <f t="shared" si="76"/>
        <v>#REF!</v>
      </c>
      <c r="CCU247" s="29" t="e">
        <f t="shared" si="76"/>
        <v>#REF!</v>
      </c>
      <c r="CCV247" s="29" t="e">
        <f t="shared" si="76"/>
        <v>#REF!</v>
      </c>
      <c r="CCW247" s="29" t="e">
        <f t="shared" ref="CCW247:CFH247" si="77">CDA247&amp;CDB247</f>
        <v>#REF!</v>
      </c>
      <c r="CCX247" s="29" t="e">
        <f t="shared" si="77"/>
        <v>#REF!</v>
      </c>
      <c r="CCY247" s="29" t="e">
        <f t="shared" si="77"/>
        <v>#REF!</v>
      </c>
      <c r="CCZ247" s="29" t="e">
        <f t="shared" si="77"/>
        <v>#REF!</v>
      </c>
      <c r="CDA247" s="29" t="e">
        <f t="shared" si="77"/>
        <v>#REF!</v>
      </c>
      <c r="CDB247" s="29" t="e">
        <f t="shared" si="77"/>
        <v>#REF!</v>
      </c>
      <c r="CDC247" s="29" t="e">
        <f t="shared" si="77"/>
        <v>#REF!</v>
      </c>
      <c r="CDD247" s="29" t="e">
        <f t="shared" si="77"/>
        <v>#REF!</v>
      </c>
      <c r="CDE247" s="29" t="e">
        <f t="shared" si="77"/>
        <v>#REF!</v>
      </c>
      <c r="CDF247" s="29" t="e">
        <f t="shared" si="77"/>
        <v>#REF!</v>
      </c>
      <c r="CDG247" s="29" t="e">
        <f t="shared" si="77"/>
        <v>#REF!</v>
      </c>
      <c r="CDH247" s="29" t="e">
        <f t="shared" si="77"/>
        <v>#REF!</v>
      </c>
      <c r="CDI247" s="29" t="e">
        <f t="shared" si="77"/>
        <v>#REF!</v>
      </c>
      <c r="CDJ247" s="29" t="e">
        <f t="shared" si="77"/>
        <v>#REF!</v>
      </c>
      <c r="CDK247" s="29" t="e">
        <f t="shared" si="77"/>
        <v>#REF!</v>
      </c>
      <c r="CDL247" s="29" t="e">
        <f t="shared" si="77"/>
        <v>#REF!</v>
      </c>
      <c r="CDM247" s="29" t="e">
        <f t="shared" si="77"/>
        <v>#REF!</v>
      </c>
      <c r="CDN247" s="29" t="e">
        <f t="shared" si="77"/>
        <v>#REF!</v>
      </c>
      <c r="CDO247" s="29" t="e">
        <f t="shared" si="77"/>
        <v>#REF!</v>
      </c>
      <c r="CDP247" s="29" t="e">
        <f t="shared" si="77"/>
        <v>#REF!</v>
      </c>
      <c r="CDQ247" s="29" t="e">
        <f t="shared" si="77"/>
        <v>#REF!</v>
      </c>
      <c r="CDR247" s="29" t="e">
        <f t="shared" si="77"/>
        <v>#REF!</v>
      </c>
      <c r="CDS247" s="29" t="e">
        <f t="shared" si="77"/>
        <v>#REF!</v>
      </c>
      <c r="CDT247" s="29" t="e">
        <f t="shared" si="77"/>
        <v>#REF!</v>
      </c>
      <c r="CDU247" s="29" t="e">
        <f t="shared" si="77"/>
        <v>#REF!</v>
      </c>
      <c r="CDV247" s="29" t="e">
        <f t="shared" si="77"/>
        <v>#REF!</v>
      </c>
      <c r="CDW247" s="29" t="e">
        <f t="shared" si="77"/>
        <v>#REF!</v>
      </c>
      <c r="CDX247" s="29" t="e">
        <f t="shared" si="77"/>
        <v>#REF!</v>
      </c>
      <c r="CDY247" s="29" t="e">
        <f t="shared" si="77"/>
        <v>#REF!</v>
      </c>
      <c r="CDZ247" s="29" t="e">
        <f t="shared" si="77"/>
        <v>#REF!</v>
      </c>
      <c r="CEA247" s="29" t="e">
        <f t="shared" si="77"/>
        <v>#REF!</v>
      </c>
      <c r="CEB247" s="29" t="e">
        <f t="shared" si="77"/>
        <v>#REF!</v>
      </c>
      <c r="CEC247" s="29" t="e">
        <f t="shared" si="77"/>
        <v>#REF!</v>
      </c>
      <c r="CED247" s="29" t="e">
        <f t="shared" si="77"/>
        <v>#REF!</v>
      </c>
      <c r="CEE247" s="29" t="e">
        <f t="shared" si="77"/>
        <v>#REF!</v>
      </c>
      <c r="CEF247" s="29" t="e">
        <f t="shared" si="77"/>
        <v>#REF!</v>
      </c>
      <c r="CEG247" s="29" t="e">
        <f t="shared" si="77"/>
        <v>#REF!</v>
      </c>
      <c r="CEH247" s="29" t="e">
        <f t="shared" si="77"/>
        <v>#REF!</v>
      </c>
      <c r="CEI247" s="29" t="e">
        <f t="shared" si="77"/>
        <v>#REF!</v>
      </c>
      <c r="CEJ247" s="29" t="e">
        <f t="shared" si="77"/>
        <v>#REF!</v>
      </c>
      <c r="CEK247" s="29" t="e">
        <f t="shared" si="77"/>
        <v>#REF!</v>
      </c>
      <c r="CEL247" s="29" t="e">
        <f t="shared" si="77"/>
        <v>#REF!</v>
      </c>
      <c r="CEM247" s="29" t="e">
        <f t="shared" si="77"/>
        <v>#REF!</v>
      </c>
      <c r="CEN247" s="29" t="e">
        <f t="shared" si="77"/>
        <v>#REF!</v>
      </c>
      <c r="CEO247" s="29" t="e">
        <f t="shared" si="77"/>
        <v>#REF!</v>
      </c>
      <c r="CEP247" s="29" t="e">
        <f t="shared" si="77"/>
        <v>#REF!</v>
      </c>
      <c r="CEQ247" s="29" t="e">
        <f t="shared" si="77"/>
        <v>#REF!</v>
      </c>
      <c r="CER247" s="29" t="e">
        <f t="shared" si="77"/>
        <v>#REF!</v>
      </c>
      <c r="CES247" s="29" t="e">
        <f t="shared" si="77"/>
        <v>#REF!</v>
      </c>
      <c r="CET247" s="29" t="e">
        <f t="shared" si="77"/>
        <v>#REF!</v>
      </c>
      <c r="CEU247" s="29" t="e">
        <f t="shared" si="77"/>
        <v>#REF!</v>
      </c>
      <c r="CEV247" s="29" t="e">
        <f t="shared" si="77"/>
        <v>#REF!</v>
      </c>
      <c r="CEW247" s="29" t="e">
        <f t="shared" si="77"/>
        <v>#REF!</v>
      </c>
      <c r="CEX247" s="29" t="e">
        <f t="shared" si="77"/>
        <v>#REF!</v>
      </c>
      <c r="CEY247" s="29" t="e">
        <f t="shared" si="77"/>
        <v>#REF!</v>
      </c>
      <c r="CEZ247" s="29" t="e">
        <f t="shared" si="77"/>
        <v>#REF!</v>
      </c>
      <c r="CFA247" s="29" t="e">
        <f t="shared" si="77"/>
        <v>#REF!</v>
      </c>
      <c r="CFB247" s="29" t="e">
        <f t="shared" si="77"/>
        <v>#REF!</v>
      </c>
      <c r="CFC247" s="29" t="e">
        <f t="shared" si="77"/>
        <v>#REF!</v>
      </c>
      <c r="CFD247" s="29" t="e">
        <f t="shared" si="77"/>
        <v>#REF!</v>
      </c>
      <c r="CFE247" s="29" t="e">
        <f t="shared" si="77"/>
        <v>#REF!</v>
      </c>
      <c r="CFF247" s="29" t="e">
        <f t="shared" si="77"/>
        <v>#REF!</v>
      </c>
      <c r="CFG247" s="29" t="e">
        <f t="shared" si="77"/>
        <v>#REF!</v>
      </c>
      <c r="CFH247" s="29" t="e">
        <f t="shared" si="77"/>
        <v>#REF!</v>
      </c>
      <c r="CFI247" s="29" t="e">
        <f t="shared" ref="CFI247:CHT247" si="78">CFM247&amp;CFN247</f>
        <v>#REF!</v>
      </c>
      <c r="CFJ247" s="29" t="e">
        <f t="shared" si="78"/>
        <v>#REF!</v>
      </c>
      <c r="CFK247" s="29" t="e">
        <f t="shared" si="78"/>
        <v>#REF!</v>
      </c>
      <c r="CFL247" s="29" t="e">
        <f t="shared" si="78"/>
        <v>#REF!</v>
      </c>
      <c r="CFM247" s="29" t="e">
        <f t="shared" si="78"/>
        <v>#REF!</v>
      </c>
      <c r="CFN247" s="29" t="e">
        <f t="shared" si="78"/>
        <v>#REF!</v>
      </c>
      <c r="CFO247" s="29" t="e">
        <f t="shared" si="78"/>
        <v>#REF!</v>
      </c>
      <c r="CFP247" s="29" t="e">
        <f t="shared" si="78"/>
        <v>#REF!</v>
      </c>
      <c r="CFQ247" s="29" t="e">
        <f t="shared" si="78"/>
        <v>#REF!</v>
      </c>
      <c r="CFR247" s="29" t="e">
        <f t="shared" si="78"/>
        <v>#REF!</v>
      </c>
      <c r="CFS247" s="29" t="e">
        <f t="shared" si="78"/>
        <v>#REF!</v>
      </c>
      <c r="CFT247" s="29" t="e">
        <f t="shared" si="78"/>
        <v>#REF!</v>
      </c>
      <c r="CFU247" s="29" t="e">
        <f t="shared" si="78"/>
        <v>#REF!</v>
      </c>
      <c r="CFV247" s="29" t="e">
        <f t="shared" si="78"/>
        <v>#REF!</v>
      </c>
      <c r="CFW247" s="29" t="e">
        <f t="shared" si="78"/>
        <v>#REF!</v>
      </c>
      <c r="CFX247" s="29" t="e">
        <f t="shared" si="78"/>
        <v>#REF!</v>
      </c>
      <c r="CFY247" s="29" t="e">
        <f t="shared" si="78"/>
        <v>#REF!</v>
      </c>
      <c r="CFZ247" s="29" t="e">
        <f t="shared" si="78"/>
        <v>#REF!</v>
      </c>
      <c r="CGA247" s="29" t="e">
        <f t="shared" si="78"/>
        <v>#REF!</v>
      </c>
      <c r="CGB247" s="29" t="e">
        <f t="shared" si="78"/>
        <v>#REF!</v>
      </c>
      <c r="CGC247" s="29" t="e">
        <f t="shared" si="78"/>
        <v>#REF!</v>
      </c>
      <c r="CGD247" s="29" t="e">
        <f t="shared" si="78"/>
        <v>#REF!</v>
      </c>
      <c r="CGE247" s="29" t="e">
        <f t="shared" si="78"/>
        <v>#REF!</v>
      </c>
      <c r="CGF247" s="29" t="e">
        <f t="shared" si="78"/>
        <v>#REF!</v>
      </c>
      <c r="CGG247" s="29" t="e">
        <f t="shared" si="78"/>
        <v>#REF!</v>
      </c>
      <c r="CGH247" s="29" t="e">
        <f t="shared" si="78"/>
        <v>#REF!</v>
      </c>
      <c r="CGI247" s="29" t="e">
        <f t="shared" si="78"/>
        <v>#REF!</v>
      </c>
      <c r="CGJ247" s="29" t="e">
        <f t="shared" si="78"/>
        <v>#REF!</v>
      </c>
      <c r="CGK247" s="29" t="e">
        <f t="shared" si="78"/>
        <v>#REF!</v>
      </c>
      <c r="CGL247" s="29" t="e">
        <f t="shared" si="78"/>
        <v>#REF!</v>
      </c>
      <c r="CGM247" s="29" t="e">
        <f t="shared" si="78"/>
        <v>#REF!</v>
      </c>
      <c r="CGN247" s="29" t="e">
        <f t="shared" si="78"/>
        <v>#REF!</v>
      </c>
      <c r="CGO247" s="29" t="e">
        <f t="shared" si="78"/>
        <v>#REF!</v>
      </c>
      <c r="CGP247" s="29" t="e">
        <f t="shared" si="78"/>
        <v>#REF!</v>
      </c>
      <c r="CGQ247" s="29" t="e">
        <f t="shared" si="78"/>
        <v>#REF!</v>
      </c>
      <c r="CGR247" s="29" t="e">
        <f t="shared" si="78"/>
        <v>#REF!</v>
      </c>
      <c r="CGS247" s="29" t="e">
        <f t="shared" si="78"/>
        <v>#REF!</v>
      </c>
      <c r="CGT247" s="29" t="e">
        <f t="shared" si="78"/>
        <v>#REF!</v>
      </c>
      <c r="CGU247" s="29" t="e">
        <f t="shared" si="78"/>
        <v>#REF!</v>
      </c>
      <c r="CGV247" s="29" t="e">
        <f t="shared" si="78"/>
        <v>#REF!</v>
      </c>
      <c r="CGW247" s="29" t="e">
        <f t="shared" si="78"/>
        <v>#REF!</v>
      </c>
      <c r="CGX247" s="29" t="e">
        <f t="shared" si="78"/>
        <v>#REF!</v>
      </c>
      <c r="CGY247" s="29" t="e">
        <f t="shared" si="78"/>
        <v>#REF!</v>
      </c>
      <c r="CGZ247" s="29" t="e">
        <f t="shared" si="78"/>
        <v>#REF!</v>
      </c>
      <c r="CHA247" s="29" t="e">
        <f t="shared" si="78"/>
        <v>#REF!</v>
      </c>
      <c r="CHB247" s="29" t="e">
        <f t="shared" si="78"/>
        <v>#REF!</v>
      </c>
      <c r="CHC247" s="29" t="e">
        <f t="shared" si="78"/>
        <v>#REF!</v>
      </c>
      <c r="CHD247" s="29" t="e">
        <f t="shared" si="78"/>
        <v>#REF!</v>
      </c>
      <c r="CHE247" s="29" t="e">
        <f t="shared" si="78"/>
        <v>#REF!</v>
      </c>
      <c r="CHF247" s="29" t="e">
        <f t="shared" si="78"/>
        <v>#REF!</v>
      </c>
      <c r="CHG247" s="29" t="e">
        <f t="shared" si="78"/>
        <v>#REF!</v>
      </c>
      <c r="CHH247" s="29" t="e">
        <f t="shared" si="78"/>
        <v>#REF!</v>
      </c>
      <c r="CHI247" s="29" t="e">
        <f t="shared" si="78"/>
        <v>#REF!</v>
      </c>
      <c r="CHJ247" s="29" t="e">
        <f t="shared" si="78"/>
        <v>#REF!</v>
      </c>
      <c r="CHK247" s="29" t="e">
        <f t="shared" si="78"/>
        <v>#REF!</v>
      </c>
      <c r="CHL247" s="29" t="e">
        <f t="shared" si="78"/>
        <v>#REF!</v>
      </c>
      <c r="CHM247" s="29" t="e">
        <f t="shared" si="78"/>
        <v>#REF!</v>
      </c>
      <c r="CHN247" s="29" t="e">
        <f t="shared" si="78"/>
        <v>#REF!</v>
      </c>
      <c r="CHO247" s="29" t="e">
        <f t="shared" si="78"/>
        <v>#REF!</v>
      </c>
      <c r="CHP247" s="29" t="e">
        <f t="shared" si="78"/>
        <v>#REF!</v>
      </c>
      <c r="CHQ247" s="29" t="e">
        <f t="shared" si="78"/>
        <v>#REF!</v>
      </c>
      <c r="CHR247" s="29" t="e">
        <f t="shared" si="78"/>
        <v>#REF!</v>
      </c>
      <c r="CHS247" s="29" t="e">
        <f t="shared" si="78"/>
        <v>#REF!</v>
      </c>
      <c r="CHT247" s="29" t="e">
        <f t="shared" si="78"/>
        <v>#REF!</v>
      </c>
      <c r="CHU247" s="29" t="e">
        <f t="shared" ref="CHU247:CKF247" si="79">CHY247&amp;CHZ247</f>
        <v>#REF!</v>
      </c>
      <c r="CHV247" s="29" t="e">
        <f t="shared" si="79"/>
        <v>#REF!</v>
      </c>
      <c r="CHW247" s="29" t="e">
        <f t="shared" si="79"/>
        <v>#REF!</v>
      </c>
      <c r="CHX247" s="29" t="e">
        <f t="shared" si="79"/>
        <v>#REF!</v>
      </c>
      <c r="CHY247" s="29" t="e">
        <f t="shared" si="79"/>
        <v>#REF!</v>
      </c>
      <c r="CHZ247" s="29" t="e">
        <f t="shared" si="79"/>
        <v>#REF!</v>
      </c>
      <c r="CIA247" s="29" t="e">
        <f t="shared" si="79"/>
        <v>#REF!</v>
      </c>
      <c r="CIB247" s="29" t="e">
        <f t="shared" si="79"/>
        <v>#REF!</v>
      </c>
      <c r="CIC247" s="29" t="e">
        <f t="shared" si="79"/>
        <v>#REF!</v>
      </c>
      <c r="CID247" s="29" t="e">
        <f t="shared" si="79"/>
        <v>#REF!</v>
      </c>
      <c r="CIE247" s="29" t="e">
        <f t="shared" si="79"/>
        <v>#REF!</v>
      </c>
      <c r="CIF247" s="29" t="e">
        <f t="shared" si="79"/>
        <v>#REF!</v>
      </c>
      <c r="CIG247" s="29" t="e">
        <f t="shared" si="79"/>
        <v>#REF!</v>
      </c>
      <c r="CIH247" s="29" t="e">
        <f t="shared" si="79"/>
        <v>#REF!</v>
      </c>
      <c r="CII247" s="29" t="e">
        <f t="shared" si="79"/>
        <v>#REF!</v>
      </c>
      <c r="CIJ247" s="29" t="e">
        <f t="shared" si="79"/>
        <v>#REF!</v>
      </c>
      <c r="CIK247" s="29" t="e">
        <f t="shared" si="79"/>
        <v>#REF!</v>
      </c>
      <c r="CIL247" s="29" t="e">
        <f t="shared" si="79"/>
        <v>#REF!</v>
      </c>
      <c r="CIM247" s="29" t="e">
        <f t="shared" si="79"/>
        <v>#REF!</v>
      </c>
      <c r="CIN247" s="29" t="e">
        <f t="shared" si="79"/>
        <v>#REF!</v>
      </c>
      <c r="CIO247" s="29" t="e">
        <f t="shared" si="79"/>
        <v>#REF!</v>
      </c>
      <c r="CIP247" s="29" t="e">
        <f t="shared" si="79"/>
        <v>#REF!</v>
      </c>
      <c r="CIQ247" s="29" t="e">
        <f t="shared" si="79"/>
        <v>#REF!</v>
      </c>
      <c r="CIR247" s="29" t="e">
        <f t="shared" si="79"/>
        <v>#REF!</v>
      </c>
      <c r="CIS247" s="29" t="e">
        <f t="shared" si="79"/>
        <v>#REF!</v>
      </c>
      <c r="CIT247" s="29" t="e">
        <f t="shared" si="79"/>
        <v>#REF!</v>
      </c>
      <c r="CIU247" s="29" t="e">
        <f t="shared" si="79"/>
        <v>#REF!</v>
      </c>
      <c r="CIV247" s="29" t="e">
        <f t="shared" si="79"/>
        <v>#REF!</v>
      </c>
      <c r="CIW247" s="29" t="e">
        <f t="shared" si="79"/>
        <v>#REF!</v>
      </c>
      <c r="CIX247" s="29" t="e">
        <f t="shared" si="79"/>
        <v>#REF!</v>
      </c>
      <c r="CIY247" s="29" t="e">
        <f t="shared" si="79"/>
        <v>#REF!</v>
      </c>
      <c r="CIZ247" s="29" t="e">
        <f t="shared" si="79"/>
        <v>#REF!</v>
      </c>
      <c r="CJA247" s="29" t="e">
        <f t="shared" si="79"/>
        <v>#REF!</v>
      </c>
      <c r="CJB247" s="29" t="e">
        <f t="shared" si="79"/>
        <v>#REF!</v>
      </c>
      <c r="CJC247" s="29" t="e">
        <f t="shared" si="79"/>
        <v>#REF!</v>
      </c>
      <c r="CJD247" s="29" t="e">
        <f t="shared" si="79"/>
        <v>#REF!</v>
      </c>
      <c r="CJE247" s="29" t="e">
        <f t="shared" si="79"/>
        <v>#REF!</v>
      </c>
      <c r="CJF247" s="29" t="e">
        <f t="shared" si="79"/>
        <v>#REF!</v>
      </c>
      <c r="CJG247" s="29" t="e">
        <f t="shared" si="79"/>
        <v>#REF!</v>
      </c>
      <c r="CJH247" s="29" t="e">
        <f t="shared" si="79"/>
        <v>#REF!</v>
      </c>
      <c r="CJI247" s="29" t="e">
        <f t="shared" si="79"/>
        <v>#REF!</v>
      </c>
      <c r="CJJ247" s="29" t="e">
        <f t="shared" si="79"/>
        <v>#REF!</v>
      </c>
      <c r="CJK247" s="29" t="e">
        <f t="shared" si="79"/>
        <v>#REF!</v>
      </c>
      <c r="CJL247" s="29" t="e">
        <f t="shared" si="79"/>
        <v>#REF!</v>
      </c>
      <c r="CJM247" s="29" t="e">
        <f t="shared" si="79"/>
        <v>#REF!</v>
      </c>
      <c r="CJN247" s="29" t="e">
        <f t="shared" si="79"/>
        <v>#REF!</v>
      </c>
      <c r="CJO247" s="29" t="e">
        <f t="shared" si="79"/>
        <v>#REF!</v>
      </c>
      <c r="CJP247" s="29" t="e">
        <f t="shared" si="79"/>
        <v>#REF!</v>
      </c>
      <c r="CJQ247" s="29" t="e">
        <f t="shared" si="79"/>
        <v>#REF!</v>
      </c>
      <c r="CJR247" s="29" t="e">
        <f t="shared" si="79"/>
        <v>#REF!</v>
      </c>
      <c r="CJS247" s="29" t="e">
        <f t="shared" si="79"/>
        <v>#REF!</v>
      </c>
      <c r="CJT247" s="29" t="e">
        <f t="shared" si="79"/>
        <v>#REF!</v>
      </c>
      <c r="CJU247" s="29" t="e">
        <f t="shared" si="79"/>
        <v>#REF!</v>
      </c>
      <c r="CJV247" s="29" t="e">
        <f t="shared" si="79"/>
        <v>#REF!</v>
      </c>
      <c r="CJW247" s="29" t="e">
        <f t="shared" si="79"/>
        <v>#REF!</v>
      </c>
      <c r="CJX247" s="29" t="e">
        <f t="shared" si="79"/>
        <v>#REF!</v>
      </c>
      <c r="CJY247" s="29" t="e">
        <f t="shared" si="79"/>
        <v>#REF!</v>
      </c>
      <c r="CJZ247" s="29" t="e">
        <f t="shared" si="79"/>
        <v>#REF!</v>
      </c>
      <c r="CKA247" s="29" t="e">
        <f t="shared" si="79"/>
        <v>#REF!</v>
      </c>
      <c r="CKB247" s="29" t="e">
        <f t="shared" si="79"/>
        <v>#REF!</v>
      </c>
      <c r="CKC247" s="29" t="e">
        <f t="shared" si="79"/>
        <v>#REF!</v>
      </c>
      <c r="CKD247" s="29" t="e">
        <f t="shared" si="79"/>
        <v>#REF!</v>
      </c>
      <c r="CKE247" s="29" t="e">
        <f t="shared" si="79"/>
        <v>#REF!</v>
      </c>
      <c r="CKF247" s="29" t="e">
        <f t="shared" si="79"/>
        <v>#REF!</v>
      </c>
      <c r="CKG247" s="29" t="e">
        <f t="shared" ref="CKG247:CMR247" si="80">CKK247&amp;CKL247</f>
        <v>#REF!</v>
      </c>
      <c r="CKH247" s="29" t="e">
        <f t="shared" si="80"/>
        <v>#REF!</v>
      </c>
      <c r="CKI247" s="29" t="e">
        <f t="shared" si="80"/>
        <v>#REF!</v>
      </c>
      <c r="CKJ247" s="29" t="e">
        <f t="shared" si="80"/>
        <v>#REF!</v>
      </c>
      <c r="CKK247" s="29" t="e">
        <f t="shared" si="80"/>
        <v>#REF!</v>
      </c>
      <c r="CKL247" s="29" t="e">
        <f t="shared" si="80"/>
        <v>#REF!</v>
      </c>
      <c r="CKM247" s="29" t="e">
        <f t="shared" si="80"/>
        <v>#REF!</v>
      </c>
      <c r="CKN247" s="29" t="e">
        <f t="shared" si="80"/>
        <v>#REF!</v>
      </c>
      <c r="CKO247" s="29" t="e">
        <f t="shared" si="80"/>
        <v>#REF!</v>
      </c>
      <c r="CKP247" s="29" t="e">
        <f t="shared" si="80"/>
        <v>#REF!</v>
      </c>
      <c r="CKQ247" s="29" t="e">
        <f t="shared" si="80"/>
        <v>#REF!</v>
      </c>
      <c r="CKR247" s="29" t="e">
        <f t="shared" si="80"/>
        <v>#REF!</v>
      </c>
      <c r="CKS247" s="29" t="e">
        <f t="shared" si="80"/>
        <v>#REF!</v>
      </c>
      <c r="CKT247" s="29" t="e">
        <f t="shared" si="80"/>
        <v>#REF!</v>
      </c>
      <c r="CKU247" s="29" t="e">
        <f t="shared" si="80"/>
        <v>#REF!</v>
      </c>
      <c r="CKV247" s="29" t="e">
        <f t="shared" si="80"/>
        <v>#REF!</v>
      </c>
      <c r="CKW247" s="29" t="e">
        <f t="shared" si="80"/>
        <v>#REF!</v>
      </c>
      <c r="CKX247" s="29" t="e">
        <f t="shared" si="80"/>
        <v>#REF!</v>
      </c>
      <c r="CKY247" s="29" t="e">
        <f t="shared" si="80"/>
        <v>#REF!</v>
      </c>
      <c r="CKZ247" s="29" t="e">
        <f t="shared" si="80"/>
        <v>#REF!</v>
      </c>
      <c r="CLA247" s="29" t="e">
        <f t="shared" si="80"/>
        <v>#REF!</v>
      </c>
      <c r="CLB247" s="29" t="e">
        <f t="shared" si="80"/>
        <v>#REF!</v>
      </c>
      <c r="CLC247" s="29" t="e">
        <f t="shared" si="80"/>
        <v>#REF!</v>
      </c>
      <c r="CLD247" s="29" t="e">
        <f t="shared" si="80"/>
        <v>#REF!</v>
      </c>
      <c r="CLE247" s="29" t="e">
        <f t="shared" si="80"/>
        <v>#REF!</v>
      </c>
      <c r="CLF247" s="29" t="e">
        <f t="shared" si="80"/>
        <v>#REF!</v>
      </c>
      <c r="CLG247" s="29" t="e">
        <f t="shared" si="80"/>
        <v>#REF!</v>
      </c>
      <c r="CLH247" s="29" t="e">
        <f t="shared" si="80"/>
        <v>#REF!</v>
      </c>
      <c r="CLI247" s="29" t="e">
        <f t="shared" si="80"/>
        <v>#REF!</v>
      </c>
      <c r="CLJ247" s="29" t="e">
        <f t="shared" si="80"/>
        <v>#REF!</v>
      </c>
      <c r="CLK247" s="29" t="e">
        <f t="shared" si="80"/>
        <v>#REF!</v>
      </c>
      <c r="CLL247" s="29" t="e">
        <f t="shared" si="80"/>
        <v>#REF!</v>
      </c>
      <c r="CLM247" s="29" t="e">
        <f t="shared" si="80"/>
        <v>#REF!</v>
      </c>
      <c r="CLN247" s="29" t="e">
        <f t="shared" si="80"/>
        <v>#REF!</v>
      </c>
      <c r="CLO247" s="29" t="e">
        <f t="shared" si="80"/>
        <v>#REF!</v>
      </c>
      <c r="CLP247" s="29" t="e">
        <f t="shared" si="80"/>
        <v>#REF!</v>
      </c>
      <c r="CLQ247" s="29" t="e">
        <f t="shared" si="80"/>
        <v>#REF!</v>
      </c>
      <c r="CLR247" s="29" t="e">
        <f t="shared" si="80"/>
        <v>#REF!</v>
      </c>
      <c r="CLS247" s="29" t="e">
        <f t="shared" si="80"/>
        <v>#REF!</v>
      </c>
      <c r="CLT247" s="29" t="e">
        <f t="shared" si="80"/>
        <v>#REF!</v>
      </c>
      <c r="CLU247" s="29" t="e">
        <f t="shared" si="80"/>
        <v>#REF!</v>
      </c>
      <c r="CLV247" s="29" t="e">
        <f t="shared" si="80"/>
        <v>#REF!</v>
      </c>
      <c r="CLW247" s="29" t="e">
        <f t="shared" si="80"/>
        <v>#REF!</v>
      </c>
      <c r="CLX247" s="29" t="e">
        <f t="shared" si="80"/>
        <v>#REF!</v>
      </c>
      <c r="CLY247" s="29" t="e">
        <f t="shared" si="80"/>
        <v>#REF!</v>
      </c>
      <c r="CLZ247" s="29" t="e">
        <f t="shared" si="80"/>
        <v>#REF!</v>
      </c>
      <c r="CMA247" s="29" t="e">
        <f t="shared" si="80"/>
        <v>#REF!</v>
      </c>
      <c r="CMB247" s="29" t="e">
        <f t="shared" si="80"/>
        <v>#REF!</v>
      </c>
      <c r="CMC247" s="29" t="e">
        <f t="shared" si="80"/>
        <v>#REF!</v>
      </c>
      <c r="CMD247" s="29" t="e">
        <f t="shared" si="80"/>
        <v>#REF!</v>
      </c>
      <c r="CME247" s="29" t="e">
        <f t="shared" si="80"/>
        <v>#REF!</v>
      </c>
      <c r="CMF247" s="29" t="e">
        <f t="shared" si="80"/>
        <v>#REF!</v>
      </c>
      <c r="CMG247" s="29" t="e">
        <f t="shared" si="80"/>
        <v>#REF!</v>
      </c>
      <c r="CMH247" s="29" t="e">
        <f t="shared" si="80"/>
        <v>#REF!</v>
      </c>
      <c r="CMI247" s="29" t="e">
        <f t="shared" si="80"/>
        <v>#REF!</v>
      </c>
      <c r="CMJ247" s="29" t="e">
        <f t="shared" si="80"/>
        <v>#REF!</v>
      </c>
      <c r="CMK247" s="29" t="e">
        <f t="shared" si="80"/>
        <v>#REF!</v>
      </c>
      <c r="CML247" s="29" t="e">
        <f t="shared" si="80"/>
        <v>#REF!</v>
      </c>
      <c r="CMM247" s="29" t="e">
        <f t="shared" si="80"/>
        <v>#REF!</v>
      </c>
      <c r="CMN247" s="29" t="e">
        <f t="shared" si="80"/>
        <v>#REF!</v>
      </c>
      <c r="CMO247" s="29" t="e">
        <f t="shared" si="80"/>
        <v>#REF!</v>
      </c>
      <c r="CMP247" s="29" t="e">
        <f t="shared" si="80"/>
        <v>#REF!</v>
      </c>
      <c r="CMQ247" s="29" t="e">
        <f t="shared" si="80"/>
        <v>#REF!</v>
      </c>
      <c r="CMR247" s="29" t="e">
        <f t="shared" si="80"/>
        <v>#REF!</v>
      </c>
      <c r="CMS247" s="29" t="e">
        <f t="shared" ref="CMS247:CPD247" si="81">CMW247&amp;CMX247</f>
        <v>#REF!</v>
      </c>
      <c r="CMT247" s="29" t="e">
        <f t="shared" si="81"/>
        <v>#REF!</v>
      </c>
      <c r="CMU247" s="29" t="e">
        <f t="shared" si="81"/>
        <v>#REF!</v>
      </c>
      <c r="CMV247" s="29" t="e">
        <f t="shared" si="81"/>
        <v>#REF!</v>
      </c>
      <c r="CMW247" s="29" t="e">
        <f t="shared" si="81"/>
        <v>#REF!</v>
      </c>
      <c r="CMX247" s="29" t="e">
        <f t="shared" si="81"/>
        <v>#REF!</v>
      </c>
      <c r="CMY247" s="29" t="e">
        <f t="shared" si="81"/>
        <v>#REF!</v>
      </c>
      <c r="CMZ247" s="29" t="e">
        <f t="shared" si="81"/>
        <v>#REF!</v>
      </c>
      <c r="CNA247" s="29" t="e">
        <f t="shared" si="81"/>
        <v>#REF!</v>
      </c>
      <c r="CNB247" s="29" t="e">
        <f t="shared" si="81"/>
        <v>#REF!</v>
      </c>
      <c r="CNC247" s="29" t="e">
        <f t="shared" si="81"/>
        <v>#REF!</v>
      </c>
      <c r="CND247" s="29" t="e">
        <f t="shared" si="81"/>
        <v>#REF!</v>
      </c>
      <c r="CNE247" s="29" t="e">
        <f t="shared" si="81"/>
        <v>#REF!</v>
      </c>
      <c r="CNF247" s="29" t="e">
        <f t="shared" si="81"/>
        <v>#REF!</v>
      </c>
      <c r="CNG247" s="29" t="e">
        <f t="shared" si="81"/>
        <v>#REF!</v>
      </c>
      <c r="CNH247" s="29" t="e">
        <f t="shared" si="81"/>
        <v>#REF!</v>
      </c>
      <c r="CNI247" s="29" t="e">
        <f t="shared" si="81"/>
        <v>#REF!</v>
      </c>
      <c r="CNJ247" s="29" t="e">
        <f t="shared" si="81"/>
        <v>#REF!</v>
      </c>
      <c r="CNK247" s="29" t="e">
        <f t="shared" si="81"/>
        <v>#REF!</v>
      </c>
      <c r="CNL247" s="29" t="e">
        <f t="shared" si="81"/>
        <v>#REF!</v>
      </c>
      <c r="CNM247" s="29" t="e">
        <f t="shared" si="81"/>
        <v>#REF!</v>
      </c>
      <c r="CNN247" s="29" t="e">
        <f t="shared" si="81"/>
        <v>#REF!</v>
      </c>
      <c r="CNO247" s="29" t="e">
        <f t="shared" si="81"/>
        <v>#REF!</v>
      </c>
      <c r="CNP247" s="29" t="e">
        <f t="shared" si="81"/>
        <v>#REF!</v>
      </c>
      <c r="CNQ247" s="29" t="e">
        <f t="shared" si="81"/>
        <v>#REF!</v>
      </c>
      <c r="CNR247" s="29" t="e">
        <f t="shared" si="81"/>
        <v>#REF!</v>
      </c>
      <c r="CNS247" s="29" t="e">
        <f t="shared" si="81"/>
        <v>#REF!</v>
      </c>
      <c r="CNT247" s="29" t="e">
        <f t="shared" si="81"/>
        <v>#REF!</v>
      </c>
      <c r="CNU247" s="29" t="e">
        <f t="shared" si="81"/>
        <v>#REF!</v>
      </c>
      <c r="CNV247" s="29" t="e">
        <f t="shared" si="81"/>
        <v>#REF!</v>
      </c>
      <c r="CNW247" s="29" t="e">
        <f t="shared" si="81"/>
        <v>#REF!</v>
      </c>
      <c r="CNX247" s="29" t="e">
        <f t="shared" si="81"/>
        <v>#REF!</v>
      </c>
      <c r="CNY247" s="29" t="e">
        <f t="shared" si="81"/>
        <v>#REF!</v>
      </c>
      <c r="CNZ247" s="29" t="e">
        <f t="shared" si="81"/>
        <v>#REF!</v>
      </c>
      <c r="COA247" s="29" t="e">
        <f t="shared" si="81"/>
        <v>#REF!</v>
      </c>
      <c r="COB247" s="29" t="e">
        <f t="shared" si="81"/>
        <v>#REF!</v>
      </c>
      <c r="COC247" s="29" t="e">
        <f t="shared" si="81"/>
        <v>#REF!</v>
      </c>
      <c r="COD247" s="29" t="e">
        <f t="shared" si="81"/>
        <v>#REF!</v>
      </c>
      <c r="COE247" s="29" t="e">
        <f t="shared" si="81"/>
        <v>#REF!</v>
      </c>
      <c r="COF247" s="29" t="e">
        <f t="shared" si="81"/>
        <v>#REF!</v>
      </c>
      <c r="COG247" s="29" t="e">
        <f t="shared" si="81"/>
        <v>#REF!</v>
      </c>
      <c r="COH247" s="29" t="e">
        <f t="shared" si="81"/>
        <v>#REF!</v>
      </c>
      <c r="COI247" s="29" t="e">
        <f t="shared" si="81"/>
        <v>#REF!</v>
      </c>
      <c r="COJ247" s="29" t="e">
        <f t="shared" si="81"/>
        <v>#REF!</v>
      </c>
      <c r="COK247" s="29" t="e">
        <f t="shared" si="81"/>
        <v>#REF!</v>
      </c>
      <c r="COL247" s="29" t="e">
        <f t="shared" si="81"/>
        <v>#REF!</v>
      </c>
      <c r="COM247" s="29" t="e">
        <f t="shared" si="81"/>
        <v>#REF!</v>
      </c>
      <c r="CON247" s="29" t="e">
        <f t="shared" si="81"/>
        <v>#REF!</v>
      </c>
      <c r="COO247" s="29" t="e">
        <f t="shared" si="81"/>
        <v>#REF!</v>
      </c>
      <c r="COP247" s="29" t="e">
        <f t="shared" si="81"/>
        <v>#REF!</v>
      </c>
      <c r="COQ247" s="29" t="e">
        <f t="shared" si="81"/>
        <v>#REF!</v>
      </c>
      <c r="COR247" s="29" t="e">
        <f t="shared" si="81"/>
        <v>#REF!</v>
      </c>
      <c r="COS247" s="29" t="e">
        <f t="shared" si="81"/>
        <v>#REF!</v>
      </c>
      <c r="COT247" s="29" t="e">
        <f t="shared" si="81"/>
        <v>#REF!</v>
      </c>
      <c r="COU247" s="29" t="e">
        <f t="shared" si="81"/>
        <v>#REF!</v>
      </c>
      <c r="COV247" s="29" t="e">
        <f t="shared" si="81"/>
        <v>#REF!</v>
      </c>
      <c r="COW247" s="29" t="e">
        <f t="shared" si="81"/>
        <v>#REF!</v>
      </c>
      <c r="COX247" s="29" t="e">
        <f t="shared" si="81"/>
        <v>#REF!</v>
      </c>
      <c r="COY247" s="29" t="e">
        <f t="shared" si="81"/>
        <v>#REF!</v>
      </c>
      <c r="COZ247" s="29" t="e">
        <f t="shared" si="81"/>
        <v>#REF!</v>
      </c>
      <c r="CPA247" s="29" t="e">
        <f t="shared" si="81"/>
        <v>#REF!</v>
      </c>
      <c r="CPB247" s="29" t="e">
        <f t="shared" si="81"/>
        <v>#REF!</v>
      </c>
      <c r="CPC247" s="29" t="e">
        <f t="shared" si="81"/>
        <v>#REF!</v>
      </c>
      <c r="CPD247" s="29" t="e">
        <f t="shared" si="81"/>
        <v>#REF!</v>
      </c>
      <c r="CPE247" s="29" t="e">
        <f t="shared" ref="CPE247:CRP247" si="82">CPI247&amp;CPJ247</f>
        <v>#REF!</v>
      </c>
      <c r="CPF247" s="29" t="e">
        <f t="shared" si="82"/>
        <v>#REF!</v>
      </c>
      <c r="CPG247" s="29" t="e">
        <f t="shared" si="82"/>
        <v>#REF!</v>
      </c>
      <c r="CPH247" s="29" t="e">
        <f t="shared" si="82"/>
        <v>#REF!</v>
      </c>
      <c r="CPI247" s="29" t="e">
        <f t="shared" si="82"/>
        <v>#REF!</v>
      </c>
      <c r="CPJ247" s="29" t="e">
        <f t="shared" si="82"/>
        <v>#REF!</v>
      </c>
      <c r="CPK247" s="29" t="e">
        <f t="shared" si="82"/>
        <v>#REF!</v>
      </c>
      <c r="CPL247" s="29" t="e">
        <f t="shared" si="82"/>
        <v>#REF!</v>
      </c>
      <c r="CPM247" s="29" t="e">
        <f t="shared" si="82"/>
        <v>#REF!</v>
      </c>
      <c r="CPN247" s="29" t="e">
        <f t="shared" si="82"/>
        <v>#REF!</v>
      </c>
      <c r="CPO247" s="29" t="e">
        <f t="shared" si="82"/>
        <v>#REF!</v>
      </c>
      <c r="CPP247" s="29" t="e">
        <f t="shared" si="82"/>
        <v>#REF!</v>
      </c>
      <c r="CPQ247" s="29" t="e">
        <f t="shared" si="82"/>
        <v>#REF!</v>
      </c>
      <c r="CPR247" s="29" t="e">
        <f t="shared" si="82"/>
        <v>#REF!</v>
      </c>
      <c r="CPS247" s="29" t="e">
        <f t="shared" si="82"/>
        <v>#REF!</v>
      </c>
      <c r="CPT247" s="29" t="e">
        <f t="shared" si="82"/>
        <v>#REF!</v>
      </c>
      <c r="CPU247" s="29" t="e">
        <f t="shared" si="82"/>
        <v>#REF!</v>
      </c>
      <c r="CPV247" s="29" t="e">
        <f t="shared" si="82"/>
        <v>#REF!</v>
      </c>
      <c r="CPW247" s="29" t="e">
        <f t="shared" si="82"/>
        <v>#REF!</v>
      </c>
      <c r="CPX247" s="29" t="e">
        <f t="shared" si="82"/>
        <v>#REF!</v>
      </c>
      <c r="CPY247" s="29" t="e">
        <f t="shared" si="82"/>
        <v>#REF!</v>
      </c>
      <c r="CPZ247" s="29" t="e">
        <f t="shared" si="82"/>
        <v>#REF!</v>
      </c>
      <c r="CQA247" s="29" t="e">
        <f t="shared" si="82"/>
        <v>#REF!</v>
      </c>
      <c r="CQB247" s="29" t="e">
        <f t="shared" si="82"/>
        <v>#REF!</v>
      </c>
      <c r="CQC247" s="29" t="e">
        <f t="shared" si="82"/>
        <v>#REF!</v>
      </c>
      <c r="CQD247" s="29" t="e">
        <f t="shared" si="82"/>
        <v>#REF!</v>
      </c>
      <c r="CQE247" s="29" t="e">
        <f t="shared" si="82"/>
        <v>#REF!</v>
      </c>
      <c r="CQF247" s="29" t="e">
        <f t="shared" si="82"/>
        <v>#REF!</v>
      </c>
      <c r="CQG247" s="29" t="e">
        <f t="shared" si="82"/>
        <v>#REF!</v>
      </c>
      <c r="CQH247" s="29" t="e">
        <f t="shared" si="82"/>
        <v>#REF!</v>
      </c>
      <c r="CQI247" s="29" t="e">
        <f t="shared" si="82"/>
        <v>#REF!</v>
      </c>
      <c r="CQJ247" s="29" t="e">
        <f t="shared" si="82"/>
        <v>#REF!</v>
      </c>
      <c r="CQK247" s="29" t="e">
        <f t="shared" si="82"/>
        <v>#REF!</v>
      </c>
      <c r="CQL247" s="29" t="e">
        <f t="shared" si="82"/>
        <v>#REF!</v>
      </c>
      <c r="CQM247" s="29" t="e">
        <f t="shared" si="82"/>
        <v>#REF!</v>
      </c>
      <c r="CQN247" s="29" t="e">
        <f t="shared" si="82"/>
        <v>#REF!</v>
      </c>
      <c r="CQO247" s="29" t="e">
        <f t="shared" si="82"/>
        <v>#REF!</v>
      </c>
      <c r="CQP247" s="29" t="e">
        <f t="shared" si="82"/>
        <v>#REF!</v>
      </c>
      <c r="CQQ247" s="29" t="e">
        <f t="shared" si="82"/>
        <v>#REF!</v>
      </c>
      <c r="CQR247" s="29" t="e">
        <f t="shared" si="82"/>
        <v>#REF!</v>
      </c>
      <c r="CQS247" s="29" t="e">
        <f t="shared" si="82"/>
        <v>#REF!</v>
      </c>
      <c r="CQT247" s="29" t="e">
        <f t="shared" si="82"/>
        <v>#REF!</v>
      </c>
      <c r="CQU247" s="29" t="e">
        <f t="shared" si="82"/>
        <v>#REF!</v>
      </c>
      <c r="CQV247" s="29" t="e">
        <f t="shared" si="82"/>
        <v>#REF!</v>
      </c>
      <c r="CQW247" s="29" t="e">
        <f t="shared" si="82"/>
        <v>#REF!</v>
      </c>
      <c r="CQX247" s="29" t="e">
        <f t="shared" si="82"/>
        <v>#REF!</v>
      </c>
      <c r="CQY247" s="29" t="e">
        <f t="shared" si="82"/>
        <v>#REF!</v>
      </c>
      <c r="CQZ247" s="29" t="e">
        <f t="shared" si="82"/>
        <v>#REF!</v>
      </c>
      <c r="CRA247" s="29" t="e">
        <f t="shared" si="82"/>
        <v>#REF!</v>
      </c>
      <c r="CRB247" s="29" t="e">
        <f t="shared" si="82"/>
        <v>#REF!</v>
      </c>
      <c r="CRC247" s="29" t="e">
        <f t="shared" si="82"/>
        <v>#REF!</v>
      </c>
      <c r="CRD247" s="29" t="e">
        <f t="shared" si="82"/>
        <v>#REF!</v>
      </c>
      <c r="CRE247" s="29" t="e">
        <f t="shared" si="82"/>
        <v>#REF!</v>
      </c>
      <c r="CRF247" s="29" t="e">
        <f t="shared" si="82"/>
        <v>#REF!</v>
      </c>
      <c r="CRG247" s="29" t="e">
        <f t="shared" si="82"/>
        <v>#REF!</v>
      </c>
      <c r="CRH247" s="29" t="e">
        <f t="shared" si="82"/>
        <v>#REF!</v>
      </c>
      <c r="CRI247" s="29" t="e">
        <f t="shared" si="82"/>
        <v>#REF!</v>
      </c>
      <c r="CRJ247" s="29" t="e">
        <f t="shared" si="82"/>
        <v>#REF!</v>
      </c>
      <c r="CRK247" s="29" t="e">
        <f t="shared" si="82"/>
        <v>#REF!</v>
      </c>
      <c r="CRL247" s="29" t="e">
        <f t="shared" si="82"/>
        <v>#REF!</v>
      </c>
      <c r="CRM247" s="29" t="e">
        <f t="shared" si="82"/>
        <v>#REF!</v>
      </c>
      <c r="CRN247" s="29" t="e">
        <f t="shared" si="82"/>
        <v>#REF!</v>
      </c>
      <c r="CRO247" s="29" t="e">
        <f t="shared" si="82"/>
        <v>#REF!</v>
      </c>
      <c r="CRP247" s="29" t="e">
        <f t="shared" si="82"/>
        <v>#REF!</v>
      </c>
      <c r="CRQ247" s="29" t="e">
        <f t="shared" ref="CRQ247:CUB247" si="83">CRU247&amp;CRV247</f>
        <v>#REF!</v>
      </c>
      <c r="CRR247" s="29" t="e">
        <f t="shared" si="83"/>
        <v>#REF!</v>
      </c>
      <c r="CRS247" s="29" t="e">
        <f t="shared" si="83"/>
        <v>#REF!</v>
      </c>
      <c r="CRT247" s="29" t="e">
        <f t="shared" si="83"/>
        <v>#REF!</v>
      </c>
      <c r="CRU247" s="29" t="e">
        <f t="shared" si="83"/>
        <v>#REF!</v>
      </c>
      <c r="CRV247" s="29" t="e">
        <f t="shared" si="83"/>
        <v>#REF!</v>
      </c>
      <c r="CRW247" s="29" t="e">
        <f t="shared" si="83"/>
        <v>#REF!</v>
      </c>
      <c r="CRX247" s="29" t="e">
        <f t="shared" si="83"/>
        <v>#REF!</v>
      </c>
      <c r="CRY247" s="29" t="e">
        <f t="shared" si="83"/>
        <v>#REF!</v>
      </c>
      <c r="CRZ247" s="29" t="e">
        <f t="shared" si="83"/>
        <v>#REF!</v>
      </c>
      <c r="CSA247" s="29" t="e">
        <f t="shared" si="83"/>
        <v>#REF!</v>
      </c>
      <c r="CSB247" s="29" t="e">
        <f t="shared" si="83"/>
        <v>#REF!</v>
      </c>
      <c r="CSC247" s="29" t="e">
        <f t="shared" si="83"/>
        <v>#REF!</v>
      </c>
      <c r="CSD247" s="29" t="e">
        <f t="shared" si="83"/>
        <v>#REF!</v>
      </c>
      <c r="CSE247" s="29" t="e">
        <f t="shared" si="83"/>
        <v>#REF!</v>
      </c>
      <c r="CSF247" s="29" t="e">
        <f t="shared" si="83"/>
        <v>#REF!</v>
      </c>
      <c r="CSG247" s="29" t="e">
        <f t="shared" si="83"/>
        <v>#REF!</v>
      </c>
      <c r="CSH247" s="29" t="e">
        <f t="shared" si="83"/>
        <v>#REF!</v>
      </c>
      <c r="CSI247" s="29" t="e">
        <f t="shared" si="83"/>
        <v>#REF!</v>
      </c>
      <c r="CSJ247" s="29" t="e">
        <f t="shared" si="83"/>
        <v>#REF!</v>
      </c>
      <c r="CSK247" s="29" t="e">
        <f t="shared" si="83"/>
        <v>#REF!</v>
      </c>
      <c r="CSL247" s="29" t="e">
        <f t="shared" si="83"/>
        <v>#REF!</v>
      </c>
      <c r="CSM247" s="29" t="e">
        <f t="shared" si="83"/>
        <v>#REF!</v>
      </c>
      <c r="CSN247" s="29" t="e">
        <f t="shared" si="83"/>
        <v>#REF!</v>
      </c>
      <c r="CSO247" s="29" t="e">
        <f t="shared" si="83"/>
        <v>#REF!</v>
      </c>
      <c r="CSP247" s="29" t="e">
        <f t="shared" si="83"/>
        <v>#REF!</v>
      </c>
      <c r="CSQ247" s="29" t="e">
        <f t="shared" si="83"/>
        <v>#REF!</v>
      </c>
      <c r="CSR247" s="29" t="e">
        <f t="shared" si="83"/>
        <v>#REF!</v>
      </c>
      <c r="CSS247" s="29" t="e">
        <f t="shared" si="83"/>
        <v>#REF!</v>
      </c>
      <c r="CST247" s="29" t="e">
        <f t="shared" si="83"/>
        <v>#REF!</v>
      </c>
      <c r="CSU247" s="29" t="e">
        <f t="shared" si="83"/>
        <v>#REF!</v>
      </c>
      <c r="CSV247" s="29" t="e">
        <f t="shared" si="83"/>
        <v>#REF!</v>
      </c>
      <c r="CSW247" s="29" t="e">
        <f t="shared" si="83"/>
        <v>#REF!</v>
      </c>
      <c r="CSX247" s="29" t="e">
        <f t="shared" si="83"/>
        <v>#REF!</v>
      </c>
      <c r="CSY247" s="29" t="e">
        <f t="shared" si="83"/>
        <v>#REF!</v>
      </c>
      <c r="CSZ247" s="29" t="e">
        <f t="shared" si="83"/>
        <v>#REF!</v>
      </c>
      <c r="CTA247" s="29" t="e">
        <f t="shared" si="83"/>
        <v>#REF!</v>
      </c>
      <c r="CTB247" s="29" t="e">
        <f t="shared" si="83"/>
        <v>#REF!</v>
      </c>
      <c r="CTC247" s="29" t="e">
        <f t="shared" si="83"/>
        <v>#REF!</v>
      </c>
      <c r="CTD247" s="29" t="e">
        <f t="shared" si="83"/>
        <v>#REF!</v>
      </c>
      <c r="CTE247" s="29" t="e">
        <f t="shared" si="83"/>
        <v>#REF!</v>
      </c>
      <c r="CTF247" s="29" t="e">
        <f t="shared" si="83"/>
        <v>#REF!</v>
      </c>
      <c r="CTG247" s="29" t="e">
        <f t="shared" si="83"/>
        <v>#REF!</v>
      </c>
      <c r="CTH247" s="29" t="e">
        <f t="shared" si="83"/>
        <v>#REF!</v>
      </c>
      <c r="CTI247" s="29" t="e">
        <f t="shared" si="83"/>
        <v>#REF!</v>
      </c>
      <c r="CTJ247" s="29" t="e">
        <f t="shared" si="83"/>
        <v>#REF!</v>
      </c>
      <c r="CTK247" s="29" t="e">
        <f t="shared" si="83"/>
        <v>#REF!</v>
      </c>
      <c r="CTL247" s="29" t="e">
        <f t="shared" si="83"/>
        <v>#REF!</v>
      </c>
      <c r="CTM247" s="29" t="e">
        <f t="shared" si="83"/>
        <v>#REF!</v>
      </c>
      <c r="CTN247" s="29" t="e">
        <f t="shared" si="83"/>
        <v>#REF!</v>
      </c>
      <c r="CTO247" s="29" t="e">
        <f t="shared" si="83"/>
        <v>#REF!</v>
      </c>
      <c r="CTP247" s="29" t="e">
        <f t="shared" si="83"/>
        <v>#REF!</v>
      </c>
      <c r="CTQ247" s="29" t="e">
        <f t="shared" si="83"/>
        <v>#REF!</v>
      </c>
      <c r="CTR247" s="29" t="e">
        <f t="shared" si="83"/>
        <v>#REF!</v>
      </c>
      <c r="CTS247" s="29" t="e">
        <f t="shared" si="83"/>
        <v>#REF!</v>
      </c>
      <c r="CTT247" s="29" t="e">
        <f t="shared" si="83"/>
        <v>#REF!</v>
      </c>
      <c r="CTU247" s="29" t="e">
        <f t="shared" si="83"/>
        <v>#REF!</v>
      </c>
      <c r="CTV247" s="29" t="e">
        <f t="shared" si="83"/>
        <v>#REF!</v>
      </c>
      <c r="CTW247" s="29" t="e">
        <f t="shared" si="83"/>
        <v>#REF!</v>
      </c>
      <c r="CTX247" s="29" t="e">
        <f t="shared" si="83"/>
        <v>#REF!</v>
      </c>
      <c r="CTY247" s="29" t="e">
        <f t="shared" si="83"/>
        <v>#REF!</v>
      </c>
      <c r="CTZ247" s="29" t="e">
        <f t="shared" si="83"/>
        <v>#REF!</v>
      </c>
      <c r="CUA247" s="29" t="e">
        <f t="shared" si="83"/>
        <v>#REF!</v>
      </c>
      <c r="CUB247" s="29" t="e">
        <f t="shared" si="83"/>
        <v>#REF!</v>
      </c>
      <c r="CUC247" s="29" t="e">
        <f t="shared" ref="CUC247:CWN247" si="84">CUG247&amp;CUH247</f>
        <v>#REF!</v>
      </c>
      <c r="CUD247" s="29" t="e">
        <f t="shared" si="84"/>
        <v>#REF!</v>
      </c>
      <c r="CUE247" s="29" t="e">
        <f t="shared" si="84"/>
        <v>#REF!</v>
      </c>
      <c r="CUF247" s="29" t="e">
        <f t="shared" si="84"/>
        <v>#REF!</v>
      </c>
      <c r="CUG247" s="29" t="e">
        <f t="shared" si="84"/>
        <v>#REF!</v>
      </c>
      <c r="CUH247" s="29" t="e">
        <f t="shared" si="84"/>
        <v>#REF!</v>
      </c>
      <c r="CUI247" s="29" t="e">
        <f t="shared" si="84"/>
        <v>#REF!</v>
      </c>
      <c r="CUJ247" s="29" t="e">
        <f t="shared" si="84"/>
        <v>#REF!</v>
      </c>
      <c r="CUK247" s="29" t="e">
        <f t="shared" si="84"/>
        <v>#REF!</v>
      </c>
      <c r="CUL247" s="29" t="e">
        <f t="shared" si="84"/>
        <v>#REF!</v>
      </c>
      <c r="CUM247" s="29" t="e">
        <f t="shared" si="84"/>
        <v>#REF!</v>
      </c>
      <c r="CUN247" s="29" t="e">
        <f t="shared" si="84"/>
        <v>#REF!</v>
      </c>
      <c r="CUO247" s="29" t="e">
        <f t="shared" si="84"/>
        <v>#REF!</v>
      </c>
      <c r="CUP247" s="29" t="e">
        <f t="shared" si="84"/>
        <v>#REF!</v>
      </c>
      <c r="CUQ247" s="29" t="e">
        <f t="shared" si="84"/>
        <v>#REF!</v>
      </c>
      <c r="CUR247" s="29" t="e">
        <f t="shared" si="84"/>
        <v>#REF!</v>
      </c>
      <c r="CUS247" s="29" t="e">
        <f t="shared" si="84"/>
        <v>#REF!</v>
      </c>
      <c r="CUT247" s="29" t="e">
        <f t="shared" si="84"/>
        <v>#REF!</v>
      </c>
      <c r="CUU247" s="29" t="e">
        <f t="shared" si="84"/>
        <v>#REF!</v>
      </c>
      <c r="CUV247" s="29" t="e">
        <f t="shared" si="84"/>
        <v>#REF!</v>
      </c>
      <c r="CUW247" s="29" t="e">
        <f t="shared" si="84"/>
        <v>#REF!</v>
      </c>
      <c r="CUX247" s="29" t="e">
        <f t="shared" si="84"/>
        <v>#REF!</v>
      </c>
      <c r="CUY247" s="29" t="e">
        <f t="shared" si="84"/>
        <v>#REF!</v>
      </c>
      <c r="CUZ247" s="29" t="e">
        <f t="shared" si="84"/>
        <v>#REF!</v>
      </c>
      <c r="CVA247" s="29" t="e">
        <f t="shared" si="84"/>
        <v>#REF!</v>
      </c>
      <c r="CVB247" s="29" t="e">
        <f t="shared" si="84"/>
        <v>#REF!</v>
      </c>
      <c r="CVC247" s="29" t="e">
        <f t="shared" si="84"/>
        <v>#REF!</v>
      </c>
      <c r="CVD247" s="29" t="e">
        <f t="shared" si="84"/>
        <v>#REF!</v>
      </c>
      <c r="CVE247" s="29" t="e">
        <f t="shared" si="84"/>
        <v>#REF!</v>
      </c>
      <c r="CVF247" s="29" t="e">
        <f t="shared" si="84"/>
        <v>#REF!</v>
      </c>
      <c r="CVG247" s="29" t="e">
        <f t="shared" si="84"/>
        <v>#REF!</v>
      </c>
      <c r="CVH247" s="29" t="e">
        <f t="shared" si="84"/>
        <v>#REF!</v>
      </c>
      <c r="CVI247" s="29" t="e">
        <f t="shared" si="84"/>
        <v>#REF!</v>
      </c>
      <c r="CVJ247" s="29" t="e">
        <f t="shared" si="84"/>
        <v>#REF!</v>
      </c>
      <c r="CVK247" s="29" t="e">
        <f t="shared" si="84"/>
        <v>#REF!</v>
      </c>
      <c r="CVL247" s="29" t="e">
        <f t="shared" si="84"/>
        <v>#REF!</v>
      </c>
      <c r="CVM247" s="29" t="e">
        <f t="shared" si="84"/>
        <v>#REF!</v>
      </c>
      <c r="CVN247" s="29" t="e">
        <f t="shared" si="84"/>
        <v>#REF!</v>
      </c>
      <c r="CVO247" s="29" t="e">
        <f t="shared" si="84"/>
        <v>#REF!</v>
      </c>
      <c r="CVP247" s="29" t="e">
        <f t="shared" si="84"/>
        <v>#REF!</v>
      </c>
      <c r="CVQ247" s="29" t="e">
        <f t="shared" si="84"/>
        <v>#REF!</v>
      </c>
      <c r="CVR247" s="29" t="e">
        <f t="shared" si="84"/>
        <v>#REF!</v>
      </c>
      <c r="CVS247" s="29" t="e">
        <f t="shared" si="84"/>
        <v>#REF!</v>
      </c>
      <c r="CVT247" s="29" t="e">
        <f t="shared" si="84"/>
        <v>#REF!</v>
      </c>
      <c r="CVU247" s="29" t="e">
        <f t="shared" si="84"/>
        <v>#REF!</v>
      </c>
      <c r="CVV247" s="29" t="e">
        <f t="shared" si="84"/>
        <v>#REF!</v>
      </c>
      <c r="CVW247" s="29" t="e">
        <f t="shared" si="84"/>
        <v>#REF!</v>
      </c>
      <c r="CVX247" s="29" t="e">
        <f t="shared" si="84"/>
        <v>#REF!</v>
      </c>
      <c r="CVY247" s="29" t="e">
        <f t="shared" si="84"/>
        <v>#REF!</v>
      </c>
      <c r="CVZ247" s="29" t="e">
        <f t="shared" si="84"/>
        <v>#REF!</v>
      </c>
      <c r="CWA247" s="29" t="e">
        <f t="shared" si="84"/>
        <v>#REF!</v>
      </c>
      <c r="CWB247" s="29" t="e">
        <f t="shared" si="84"/>
        <v>#REF!</v>
      </c>
      <c r="CWC247" s="29" t="e">
        <f t="shared" si="84"/>
        <v>#REF!</v>
      </c>
      <c r="CWD247" s="29" t="e">
        <f t="shared" si="84"/>
        <v>#REF!</v>
      </c>
      <c r="CWE247" s="29" t="e">
        <f t="shared" si="84"/>
        <v>#REF!</v>
      </c>
      <c r="CWF247" s="29" t="e">
        <f t="shared" si="84"/>
        <v>#REF!</v>
      </c>
      <c r="CWG247" s="29" t="e">
        <f t="shared" si="84"/>
        <v>#REF!</v>
      </c>
      <c r="CWH247" s="29" t="e">
        <f t="shared" si="84"/>
        <v>#REF!</v>
      </c>
      <c r="CWI247" s="29" t="e">
        <f t="shared" si="84"/>
        <v>#REF!</v>
      </c>
      <c r="CWJ247" s="29" t="e">
        <f t="shared" si="84"/>
        <v>#REF!</v>
      </c>
      <c r="CWK247" s="29" t="e">
        <f t="shared" si="84"/>
        <v>#REF!</v>
      </c>
      <c r="CWL247" s="29" t="e">
        <f t="shared" si="84"/>
        <v>#REF!</v>
      </c>
      <c r="CWM247" s="29" t="e">
        <f t="shared" si="84"/>
        <v>#REF!</v>
      </c>
      <c r="CWN247" s="29" t="e">
        <f t="shared" si="84"/>
        <v>#REF!</v>
      </c>
      <c r="CWO247" s="29" t="e">
        <f t="shared" ref="CWO247:CYZ247" si="85">CWS247&amp;CWT247</f>
        <v>#REF!</v>
      </c>
      <c r="CWP247" s="29" t="e">
        <f t="shared" si="85"/>
        <v>#REF!</v>
      </c>
      <c r="CWQ247" s="29" t="e">
        <f t="shared" si="85"/>
        <v>#REF!</v>
      </c>
      <c r="CWR247" s="29" t="e">
        <f t="shared" si="85"/>
        <v>#REF!</v>
      </c>
      <c r="CWS247" s="29" t="e">
        <f t="shared" si="85"/>
        <v>#REF!</v>
      </c>
      <c r="CWT247" s="29" t="e">
        <f t="shared" si="85"/>
        <v>#REF!</v>
      </c>
      <c r="CWU247" s="29" t="e">
        <f t="shared" si="85"/>
        <v>#REF!</v>
      </c>
      <c r="CWV247" s="29" t="e">
        <f t="shared" si="85"/>
        <v>#REF!</v>
      </c>
      <c r="CWW247" s="29" t="e">
        <f t="shared" si="85"/>
        <v>#REF!</v>
      </c>
      <c r="CWX247" s="29" t="e">
        <f t="shared" si="85"/>
        <v>#REF!</v>
      </c>
      <c r="CWY247" s="29" t="e">
        <f t="shared" si="85"/>
        <v>#REF!</v>
      </c>
      <c r="CWZ247" s="29" t="e">
        <f t="shared" si="85"/>
        <v>#REF!</v>
      </c>
      <c r="CXA247" s="29" t="e">
        <f t="shared" si="85"/>
        <v>#REF!</v>
      </c>
      <c r="CXB247" s="29" t="e">
        <f t="shared" si="85"/>
        <v>#REF!</v>
      </c>
      <c r="CXC247" s="29" t="e">
        <f t="shared" si="85"/>
        <v>#REF!</v>
      </c>
      <c r="CXD247" s="29" t="e">
        <f t="shared" si="85"/>
        <v>#REF!</v>
      </c>
      <c r="CXE247" s="29" t="e">
        <f t="shared" si="85"/>
        <v>#REF!</v>
      </c>
      <c r="CXF247" s="29" t="e">
        <f t="shared" si="85"/>
        <v>#REF!</v>
      </c>
      <c r="CXG247" s="29" t="e">
        <f t="shared" si="85"/>
        <v>#REF!</v>
      </c>
      <c r="CXH247" s="29" t="e">
        <f t="shared" si="85"/>
        <v>#REF!</v>
      </c>
      <c r="CXI247" s="29" t="e">
        <f t="shared" si="85"/>
        <v>#REF!</v>
      </c>
      <c r="CXJ247" s="29" t="e">
        <f t="shared" si="85"/>
        <v>#REF!</v>
      </c>
      <c r="CXK247" s="29" t="e">
        <f t="shared" si="85"/>
        <v>#REF!</v>
      </c>
      <c r="CXL247" s="29" t="e">
        <f t="shared" si="85"/>
        <v>#REF!</v>
      </c>
      <c r="CXM247" s="29" t="e">
        <f t="shared" si="85"/>
        <v>#REF!</v>
      </c>
      <c r="CXN247" s="29" t="e">
        <f t="shared" si="85"/>
        <v>#REF!</v>
      </c>
      <c r="CXO247" s="29" t="e">
        <f t="shared" si="85"/>
        <v>#REF!</v>
      </c>
      <c r="CXP247" s="29" t="e">
        <f t="shared" si="85"/>
        <v>#REF!</v>
      </c>
      <c r="CXQ247" s="29" t="e">
        <f t="shared" si="85"/>
        <v>#REF!</v>
      </c>
      <c r="CXR247" s="29" t="e">
        <f t="shared" si="85"/>
        <v>#REF!</v>
      </c>
      <c r="CXS247" s="29" t="e">
        <f t="shared" si="85"/>
        <v>#REF!</v>
      </c>
      <c r="CXT247" s="29" t="e">
        <f t="shared" si="85"/>
        <v>#REF!</v>
      </c>
      <c r="CXU247" s="29" t="e">
        <f t="shared" si="85"/>
        <v>#REF!</v>
      </c>
      <c r="CXV247" s="29" t="e">
        <f t="shared" si="85"/>
        <v>#REF!</v>
      </c>
      <c r="CXW247" s="29" t="e">
        <f t="shared" si="85"/>
        <v>#REF!</v>
      </c>
      <c r="CXX247" s="29" t="e">
        <f t="shared" si="85"/>
        <v>#REF!</v>
      </c>
      <c r="CXY247" s="29" t="e">
        <f t="shared" si="85"/>
        <v>#REF!</v>
      </c>
      <c r="CXZ247" s="29" t="e">
        <f t="shared" si="85"/>
        <v>#REF!</v>
      </c>
      <c r="CYA247" s="29" t="e">
        <f t="shared" si="85"/>
        <v>#REF!</v>
      </c>
      <c r="CYB247" s="29" t="e">
        <f t="shared" si="85"/>
        <v>#REF!</v>
      </c>
      <c r="CYC247" s="29" t="e">
        <f t="shared" si="85"/>
        <v>#REF!</v>
      </c>
      <c r="CYD247" s="29" t="e">
        <f t="shared" si="85"/>
        <v>#REF!</v>
      </c>
      <c r="CYE247" s="29" t="e">
        <f t="shared" si="85"/>
        <v>#REF!</v>
      </c>
      <c r="CYF247" s="29" t="e">
        <f t="shared" si="85"/>
        <v>#REF!</v>
      </c>
      <c r="CYG247" s="29" t="e">
        <f t="shared" si="85"/>
        <v>#REF!</v>
      </c>
      <c r="CYH247" s="29" t="e">
        <f t="shared" si="85"/>
        <v>#REF!</v>
      </c>
      <c r="CYI247" s="29" t="e">
        <f t="shared" si="85"/>
        <v>#REF!</v>
      </c>
      <c r="CYJ247" s="29" t="e">
        <f t="shared" si="85"/>
        <v>#REF!</v>
      </c>
      <c r="CYK247" s="29" t="e">
        <f t="shared" si="85"/>
        <v>#REF!</v>
      </c>
      <c r="CYL247" s="29" t="e">
        <f t="shared" si="85"/>
        <v>#REF!</v>
      </c>
      <c r="CYM247" s="29" t="e">
        <f t="shared" si="85"/>
        <v>#REF!</v>
      </c>
      <c r="CYN247" s="29" t="e">
        <f t="shared" si="85"/>
        <v>#REF!</v>
      </c>
      <c r="CYO247" s="29" t="e">
        <f t="shared" si="85"/>
        <v>#REF!</v>
      </c>
      <c r="CYP247" s="29" t="e">
        <f t="shared" si="85"/>
        <v>#REF!</v>
      </c>
      <c r="CYQ247" s="29" t="e">
        <f t="shared" si="85"/>
        <v>#REF!</v>
      </c>
      <c r="CYR247" s="29" t="e">
        <f t="shared" si="85"/>
        <v>#REF!</v>
      </c>
      <c r="CYS247" s="29" t="e">
        <f t="shared" si="85"/>
        <v>#REF!</v>
      </c>
      <c r="CYT247" s="29" t="e">
        <f t="shared" si="85"/>
        <v>#REF!</v>
      </c>
      <c r="CYU247" s="29" t="e">
        <f t="shared" si="85"/>
        <v>#REF!</v>
      </c>
      <c r="CYV247" s="29" t="e">
        <f t="shared" si="85"/>
        <v>#REF!</v>
      </c>
      <c r="CYW247" s="29" t="e">
        <f t="shared" si="85"/>
        <v>#REF!</v>
      </c>
      <c r="CYX247" s="29" t="e">
        <f t="shared" si="85"/>
        <v>#REF!</v>
      </c>
      <c r="CYY247" s="29" t="e">
        <f t="shared" si="85"/>
        <v>#REF!</v>
      </c>
      <c r="CYZ247" s="29" t="e">
        <f t="shared" si="85"/>
        <v>#REF!</v>
      </c>
      <c r="CZA247" s="29" t="e">
        <f t="shared" ref="CZA247:DBL247" si="86">CZE247&amp;CZF247</f>
        <v>#REF!</v>
      </c>
      <c r="CZB247" s="29" t="e">
        <f t="shared" si="86"/>
        <v>#REF!</v>
      </c>
      <c r="CZC247" s="29" t="e">
        <f t="shared" si="86"/>
        <v>#REF!</v>
      </c>
      <c r="CZD247" s="29" t="e">
        <f t="shared" si="86"/>
        <v>#REF!</v>
      </c>
      <c r="CZE247" s="29" t="e">
        <f t="shared" si="86"/>
        <v>#REF!</v>
      </c>
      <c r="CZF247" s="29" t="e">
        <f t="shared" si="86"/>
        <v>#REF!</v>
      </c>
      <c r="CZG247" s="29" t="e">
        <f t="shared" si="86"/>
        <v>#REF!</v>
      </c>
      <c r="CZH247" s="29" t="e">
        <f t="shared" si="86"/>
        <v>#REF!</v>
      </c>
      <c r="CZI247" s="29" t="e">
        <f t="shared" si="86"/>
        <v>#REF!</v>
      </c>
      <c r="CZJ247" s="29" t="e">
        <f t="shared" si="86"/>
        <v>#REF!</v>
      </c>
      <c r="CZK247" s="29" t="e">
        <f t="shared" si="86"/>
        <v>#REF!</v>
      </c>
      <c r="CZL247" s="29" t="e">
        <f t="shared" si="86"/>
        <v>#REF!</v>
      </c>
      <c r="CZM247" s="29" t="e">
        <f t="shared" si="86"/>
        <v>#REF!</v>
      </c>
      <c r="CZN247" s="29" t="e">
        <f t="shared" si="86"/>
        <v>#REF!</v>
      </c>
      <c r="CZO247" s="29" t="e">
        <f t="shared" si="86"/>
        <v>#REF!</v>
      </c>
      <c r="CZP247" s="29" t="e">
        <f t="shared" si="86"/>
        <v>#REF!</v>
      </c>
      <c r="CZQ247" s="29" t="e">
        <f t="shared" si="86"/>
        <v>#REF!</v>
      </c>
      <c r="CZR247" s="29" t="e">
        <f t="shared" si="86"/>
        <v>#REF!</v>
      </c>
      <c r="CZS247" s="29" t="e">
        <f t="shared" si="86"/>
        <v>#REF!</v>
      </c>
      <c r="CZT247" s="29" t="e">
        <f t="shared" si="86"/>
        <v>#REF!</v>
      </c>
      <c r="CZU247" s="29" t="e">
        <f t="shared" si="86"/>
        <v>#REF!</v>
      </c>
      <c r="CZV247" s="29" t="e">
        <f t="shared" si="86"/>
        <v>#REF!</v>
      </c>
      <c r="CZW247" s="29" t="e">
        <f t="shared" si="86"/>
        <v>#REF!</v>
      </c>
      <c r="CZX247" s="29" t="e">
        <f t="shared" si="86"/>
        <v>#REF!</v>
      </c>
      <c r="CZY247" s="29" t="e">
        <f t="shared" si="86"/>
        <v>#REF!</v>
      </c>
      <c r="CZZ247" s="29" t="e">
        <f t="shared" si="86"/>
        <v>#REF!</v>
      </c>
      <c r="DAA247" s="29" t="e">
        <f t="shared" si="86"/>
        <v>#REF!</v>
      </c>
      <c r="DAB247" s="29" t="e">
        <f t="shared" si="86"/>
        <v>#REF!</v>
      </c>
      <c r="DAC247" s="29" t="e">
        <f t="shared" si="86"/>
        <v>#REF!</v>
      </c>
      <c r="DAD247" s="29" t="e">
        <f t="shared" si="86"/>
        <v>#REF!</v>
      </c>
      <c r="DAE247" s="29" t="e">
        <f t="shared" si="86"/>
        <v>#REF!</v>
      </c>
      <c r="DAF247" s="29" t="e">
        <f t="shared" si="86"/>
        <v>#REF!</v>
      </c>
      <c r="DAG247" s="29" t="e">
        <f t="shared" si="86"/>
        <v>#REF!</v>
      </c>
      <c r="DAH247" s="29" t="e">
        <f t="shared" si="86"/>
        <v>#REF!</v>
      </c>
      <c r="DAI247" s="29" t="e">
        <f t="shared" si="86"/>
        <v>#REF!</v>
      </c>
      <c r="DAJ247" s="29" t="e">
        <f t="shared" si="86"/>
        <v>#REF!</v>
      </c>
      <c r="DAK247" s="29" t="e">
        <f t="shared" si="86"/>
        <v>#REF!</v>
      </c>
      <c r="DAL247" s="29" t="e">
        <f t="shared" si="86"/>
        <v>#REF!</v>
      </c>
      <c r="DAM247" s="29" t="e">
        <f t="shared" si="86"/>
        <v>#REF!</v>
      </c>
      <c r="DAN247" s="29" t="e">
        <f t="shared" si="86"/>
        <v>#REF!</v>
      </c>
      <c r="DAO247" s="29" t="e">
        <f t="shared" si="86"/>
        <v>#REF!</v>
      </c>
      <c r="DAP247" s="29" t="e">
        <f t="shared" si="86"/>
        <v>#REF!</v>
      </c>
      <c r="DAQ247" s="29" t="e">
        <f t="shared" si="86"/>
        <v>#REF!</v>
      </c>
      <c r="DAR247" s="29" t="e">
        <f t="shared" si="86"/>
        <v>#REF!</v>
      </c>
      <c r="DAS247" s="29" t="e">
        <f t="shared" si="86"/>
        <v>#REF!</v>
      </c>
      <c r="DAT247" s="29" t="e">
        <f t="shared" si="86"/>
        <v>#REF!</v>
      </c>
      <c r="DAU247" s="29" t="e">
        <f t="shared" si="86"/>
        <v>#REF!</v>
      </c>
      <c r="DAV247" s="29" t="e">
        <f t="shared" si="86"/>
        <v>#REF!</v>
      </c>
      <c r="DAW247" s="29" t="e">
        <f t="shared" si="86"/>
        <v>#REF!</v>
      </c>
      <c r="DAX247" s="29" t="e">
        <f t="shared" si="86"/>
        <v>#REF!</v>
      </c>
      <c r="DAY247" s="29" t="e">
        <f t="shared" si="86"/>
        <v>#REF!</v>
      </c>
      <c r="DAZ247" s="29" t="e">
        <f t="shared" si="86"/>
        <v>#REF!</v>
      </c>
      <c r="DBA247" s="29" t="e">
        <f t="shared" si="86"/>
        <v>#REF!</v>
      </c>
      <c r="DBB247" s="29" t="e">
        <f t="shared" si="86"/>
        <v>#REF!</v>
      </c>
      <c r="DBC247" s="29" t="e">
        <f t="shared" si="86"/>
        <v>#REF!</v>
      </c>
      <c r="DBD247" s="29" t="e">
        <f t="shared" si="86"/>
        <v>#REF!</v>
      </c>
      <c r="DBE247" s="29" t="e">
        <f t="shared" si="86"/>
        <v>#REF!</v>
      </c>
      <c r="DBF247" s="29" t="e">
        <f t="shared" si="86"/>
        <v>#REF!</v>
      </c>
      <c r="DBG247" s="29" t="e">
        <f t="shared" si="86"/>
        <v>#REF!</v>
      </c>
      <c r="DBH247" s="29" t="e">
        <f t="shared" si="86"/>
        <v>#REF!</v>
      </c>
      <c r="DBI247" s="29" t="e">
        <f t="shared" si="86"/>
        <v>#REF!</v>
      </c>
      <c r="DBJ247" s="29" t="e">
        <f t="shared" si="86"/>
        <v>#REF!</v>
      </c>
      <c r="DBK247" s="29" t="e">
        <f t="shared" si="86"/>
        <v>#REF!</v>
      </c>
      <c r="DBL247" s="29" t="e">
        <f t="shared" si="86"/>
        <v>#REF!</v>
      </c>
      <c r="DBM247" s="29" t="e">
        <f t="shared" ref="DBM247:DDX247" si="87">DBQ247&amp;DBR247</f>
        <v>#REF!</v>
      </c>
      <c r="DBN247" s="29" t="e">
        <f t="shared" si="87"/>
        <v>#REF!</v>
      </c>
      <c r="DBO247" s="29" t="e">
        <f t="shared" si="87"/>
        <v>#REF!</v>
      </c>
      <c r="DBP247" s="29" t="e">
        <f t="shared" si="87"/>
        <v>#REF!</v>
      </c>
      <c r="DBQ247" s="29" t="e">
        <f t="shared" si="87"/>
        <v>#REF!</v>
      </c>
      <c r="DBR247" s="29" t="e">
        <f t="shared" si="87"/>
        <v>#REF!</v>
      </c>
      <c r="DBS247" s="29" t="e">
        <f t="shared" si="87"/>
        <v>#REF!</v>
      </c>
      <c r="DBT247" s="29" t="e">
        <f t="shared" si="87"/>
        <v>#REF!</v>
      </c>
      <c r="DBU247" s="29" t="e">
        <f t="shared" si="87"/>
        <v>#REF!</v>
      </c>
      <c r="DBV247" s="29" t="e">
        <f t="shared" si="87"/>
        <v>#REF!</v>
      </c>
      <c r="DBW247" s="29" t="e">
        <f t="shared" si="87"/>
        <v>#REF!</v>
      </c>
      <c r="DBX247" s="29" t="e">
        <f t="shared" si="87"/>
        <v>#REF!</v>
      </c>
      <c r="DBY247" s="29" t="e">
        <f t="shared" si="87"/>
        <v>#REF!</v>
      </c>
      <c r="DBZ247" s="29" t="e">
        <f t="shared" si="87"/>
        <v>#REF!</v>
      </c>
      <c r="DCA247" s="29" t="e">
        <f t="shared" si="87"/>
        <v>#REF!</v>
      </c>
      <c r="DCB247" s="29" t="e">
        <f t="shared" si="87"/>
        <v>#REF!</v>
      </c>
      <c r="DCC247" s="29" t="e">
        <f t="shared" si="87"/>
        <v>#REF!</v>
      </c>
      <c r="DCD247" s="29" t="e">
        <f t="shared" si="87"/>
        <v>#REF!</v>
      </c>
      <c r="DCE247" s="29" t="e">
        <f t="shared" si="87"/>
        <v>#REF!</v>
      </c>
      <c r="DCF247" s="29" t="e">
        <f t="shared" si="87"/>
        <v>#REF!</v>
      </c>
      <c r="DCG247" s="29" t="e">
        <f t="shared" si="87"/>
        <v>#REF!</v>
      </c>
      <c r="DCH247" s="29" t="e">
        <f t="shared" si="87"/>
        <v>#REF!</v>
      </c>
      <c r="DCI247" s="29" t="e">
        <f t="shared" si="87"/>
        <v>#REF!</v>
      </c>
      <c r="DCJ247" s="29" t="e">
        <f t="shared" si="87"/>
        <v>#REF!</v>
      </c>
      <c r="DCK247" s="29" t="e">
        <f t="shared" si="87"/>
        <v>#REF!</v>
      </c>
      <c r="DCL247" s="29" t="e">
        <f t="shared" si="87"/>
        <v>#REF!</v>
      </c>
      <c r="DCM247" s="29" t="e">
        <f t="shared" si="87"/>
        <v>#REF!</v>
      </c>
      <c r="DCN247" s="29" t="e">
        <f t="shared" si="87"/>
        <v>#REF!</v>
      </c>
      <c r="DCO247" s="29" t="e">
        <f t="shared" si="87"/>
        <v>#REF!</v>
      </c>
      <c r="DCP247" s="29" t="e">
        <f t="shared" si="87"/>
        <v>#REF!</v>
      </c>
      <c r="DCQ247" s="29" t="e">
        <f t="shared" si="87"/>
        <v>#REF!</v>
      </c>
      <c r="DCR247" s="29" t="e">
        <f t="shared" si="87"/>
        <v>#REF!</v>
      </c>
      <c r="DCS247" s="29" t="e">
        <f t="shared" si="87"/>
        <v>#REF!</v>
      </c>
      <c r="DCT247" s="29" t="e">
        <f t="shared" si="87"/>
        <v>#REF!</v>
      </c>
      <c r="DCU247" s="29" t="e">
        <f t="shared" si="87"/>
        <v>#REF!</v>
      </c>
      <c r="DCV247" s="29" t="e">
        <f t="shared" si="87"/>
        <v>#REF!</v>
      </c>
      <c r="DCW247" s="29" t="e">
        <f t="shared" si="87"/>
        <v>#REF!</v>
      </c>
      <c r="DCX247" s="29" t="e">
        <f t="shared" si="87"/>
        <v>#REF!</v>
      </c>
      <c r="DCY247" s="29" t="e">
        <f t="shared" si="87"/>
        <v>#REF!</v>
      </c>
      <c r="DCZ247" s="29" t="e">
        <f t="shared" si="87"/>
        <v>#REF!</v>
      </c>
      <c r="DDA247" s="29" t="e">
        <f t="shared" si="87"/>
        <v>#REF!</v>
      </c>
      <c r="DDB247" s="29" t="e">
        <f t="shared" si="87"/>
        <v>#REF!</v>
      </c>
      <c r="DDC247" s="29" t="e">
        <f t="shared" si="87"/>
        <v>#REF!</v>
      </c>
      <c r="DDD247" s="29" t="e">
        <f t="shared" si="87"/>
        <v>#REF!</v>
      </c>
      <c r="DDE247" s="29" t="e">
        <f t="shared" si="87"/>
        <v>#REF!</v>
      </c>
      <c r="DDF247" s="29" t="e">
        <f t="shared" si="87"/>
        <v>#REF!</v>
      </c>
      <c r="DDG247" s="29" t="e">
        <f t="shared" si="87"/>
        <v>#REF!</v>
      </c>
      <c r="DDH247" s="29" t="e">
        <f t="shared" si="87"/>
        <v>#REF!</v>
      </c>
      <c r="DDI247" s="29" t="e">
        <f t="shared" si="87"/>
        <v>#REF!</v>
      </c>
      <c r="DDJ247" s="29" t="e">
        <f t="shared" si="87"/>
        <v>#REF!</v>
      </c>
      <c r="DDK247" s="29" t="e">
        <f t="shared" si="87"/>
        <v>#REF!</v>
      </c>
      <c r="DDL247" s="29" t="e">
        <f t="shared" si="87"/>
        <v>#REF!</v>
      </c>
      <c r="DDM247" s="29" t="e">
        <f t="shared" si="87"/>
        <v>#REF!</v>
      </c>
      <c r="DDN247" s="29" t="e">
        <f t="shared" si="87"/>
        <v>#REF!</v>
      </c>
      <c r="DDO247" s="29" t="e">
        <f t="shared" si="87"/>
        <v>#REF!</v>
      </c>
      <c r="DDP247" s="29" t="e">
        <f t="shared" si="87"/>
        <v>#REF!</v>
      </c>
      <c r="DDQ247" s="29" t="e">
        <f t="shared" si="87"/>
        <v>#REF!</v>
      </c>
      <c r="DDR247" s="29" t="e">
        <f t="shared" si="87"/>
        <v>#REF!</v>
      </c>
      <c r="DDS247" s="29" t="e">
        <f t="shared" si="87"/>
        <v>#REF!</v>
      </c>
      <c r="DDT247" s="29" t="e">
        <f t="shared" si="87"/>
        <v>#REF!</v>
      </c>
      <c r="DDU247" s="29" t="e">
        <f t="shared" si="87"/>
        <v>#REF!</v>
      </c>
      <c r="DDV247" s="29" t="e">
        <f t="shared" si="87"/>
        <v>#REF!</v>
      </c>
      <c r="DDW247" s="29" t="e">
        <f t="shared" si="87"/>
        <v>#REF!</v>
      </c>
      <c r="DDX247" s="29" t="e">
        <f t="shared" si="87"/>
        <v>#REF!</v>
      </c>
      <c r="DDY247" s="29" t="e">
        <f t="shared" ref="DDY247:DGJ247" si="88">DEC247&amp;DED247</f>
        <v>#REF!</v>
      </c>
      <c r="DDZ247" s="29" t="e">
        <f t="shared" si="88"/>
        <v>#REF!</v>
      </c>
      <c r="DEA247" s="29" t="e">
        <f t="shared" si="88"/>
        <v>#REF!</v>
      </c>
      <c r="DEB247" s="29" t="e">
        <f t="shared" si="88"/>
        <v>#REF!</v>
      </c>
      <c r="DEC247" s="29" t="e">
        <f t="shared" si="88"/>
        <v>#REF!</v>
      </c>
      <c r="DED247" s="29" t="e">
        <f t="shared" si="88"/>
        <v>#REF!</v>
      </c>
      <c r="DEE247" s="29" t="e">
        <f t="shared" si="88"/>
        <v>#REF!</v>
      </c>
      <c r="DEF247" s="29" t="e">
        <f t="shared" si="88"/>
        <v>#REF!</v>
      </c>
      <c r="DEG247" s="29" t="e">
        <f t="shared" si="88"/>
        <v>#REF!</v>
      </c>
      <c r="DEH247" s="29" t="e">
        <f t="shared" si="88"/>
        <v>#REF!</v>
      </c>
      <c r="DEI247" s="29" t="e">
        <f t="shared" si="88"/>
        <v>#REF!</v>
      </c>
      <c r="DEJ247" s="29" t="e">
        <f t="shared" si="88"/>
        <v>#REF!</v>
      </c>
      <c r="DEK247" s="29" t="e">
        <f t="shared" si="88"/>
        <v>#REF!</v>
      </c>
      <c r="DEL247" s="29" t="e">
        <f t="shared" si="88"/>
        <v>#REF!</v>
      </c>
      <c r="DEM247" s="29" t="e">
        <f t="shared" si="88"/>
        <v>#REF!</v>
      </c>
      <c r="DEN247" s="29" t="e">
        <f t="shared" si="88"/>
        <v>#REF!</v>
      </c>
      <c r="DEO247" s="29" t="e">
        <f t="shared" si="88"/>
        <v>#REF!</v>
      </c>
      <c r="DEP247" s="29" t="e">
        <f t="shared" si="88"/>
        <v>#REF!</v>
      </c>
      <c r="DEQ247" s="29" t="e">
        <f t="shared" si="88"/>
        <v>#REF!</v>
      </c>
      <c r="DER247" s="29" t="e">
        <f t="shared" si="88"/>
        <v>#REF!</v>
      </c>
      <c r="DES247" s="29" t="e">
        <f t="shared" si="88"/>
        <v>#REF!</v>
      </c>
      <c r="DET247" s="29" t="e">
        <f t="shared" si="88"/>
        <v>#REF!</v>
      </c>
      <c r="DEU247" s="29" t="e">
        <f t="shared" si="88"/>
        <v>#REF!</v>
      </c>
      <c r="DEV247" s="29" t="e">
        <f t="shared" si="88"/>
        <v>#REF!</v>
      </c>
      <c r="DEW247" s="29" t="e">
        <f t="shared" si="88"/>
        <v>#REF!</v>
      </c>
      <c r="DEX247" s="29" t="e">
        <f t="shared" si="88"/>
        <v>#REF!</v>
      </c>
      <c r="DEY247" s="29" t="e">
        <f t="shared" si="88"/>
        <v>#REF!</v>
      </c>
      <c r="DEZ247" s="29" t="e">
        <f t="shared" si="88"/>
        <v>#REF!</v>
      </c>
      <c r="DFA247" s="29" t="e">
        <f t="shared" si="88"/>
        <v>#REF!</v>
      </c>
      <c r="DFB247" s="29" t="e">
        <f t="shared" si="88"/>
        <v>#REF!</v>
      </c>
      <c r="DFC247" s="29" t="e">
        <f t="shared" si="88"/>
        <v>#REF!</v>
      </c>
      <c r="DFD247" s="29" t="e">
        <f t="shared" si="88"/>
        <v>#REF!</v>
      </c>
      <c r="DFE247" s="29" t="e">
        <f t="shared" si="88"/>
        <v>#REF!</v>
      </c>
      <c r="DFF247" s="29" t="e">
        <f t="shared" si="88"/>
        <v>#REF!</v>
      </c>
      <c r="DFG247" s="29" t="e">
        <f t="shared" si="88"/>
        <v>#REF!</v>
      </c>
      <c r="DFH247" s="29" t="e">
        <f t="shared" si="88"/>
        <v>#REF!</v>
      </c>
      <c r="DFI247" s="29" t="e">
        <f t="shared" si="88"/>
        <v>#REF!</v>
      </c>
      <c r="DFJ247" s="29" t="e">
        <f t="shared" si="88"/>
        <v>#REF!</v>
      </c>
      <c r="DFK247" s="29" t="e">
        <f t="shared" si="88"/>
        <v>#REF!</v>
      </c>
      <c r="DFL247" s="29" t="e">
        <f t="shared" si="88"/>
        <v>#REF!</v>
      </c>
      <c r="DFM247" s="29" t="e">
        <f t="shared" si="88"/>
        <v>#REF!</v>
      </c>
      <c r="DFN247" s="29" t="e">
        <f t="shared" si="88"/>
        <v>#REF!</v>
      </c>
      <c r="DFO247" s="29" t="e">
        <f t="shared" si="88"/>
        <v>#REF!</v>
      </c>
      <c r="DFP247" s="29" t="e">
        <f t="shared" si="88"/>
        <v>#REF!</v>
      </c>
      <c r="DFQ247" s="29" t="e">
        <f t="shared" si="88"/>
        <v>#REF!</v>
      </c>
      <c r="DFR247" s="29" t="e">
        <f t="shared" si="88"/>
        <v>#REF!</v>
      </c>
      <c r="DFS247" s="29" t="e">
        <f t="shared" si="88"/>
        <v>#REF!</v>
      </c>
      <c r="DFT247" s="29" t="e">
        <f t="shared" si="88"/>
        <v>#REF!</v>
      </c>
      <c r="DFU247" s="29" t="e">
        <f t="shared" si="88"/>
        <v>#REF!</v>
      </c>
      <c r="DFV247" s="29" t="e">
        <f t="shared" si="88"/>
        <v>#REF!</v>
      </c>
      <c r="DFW247" s="29" t="e">
        <f t="shared" si="88"/>
        <v>#REF!</v>
      </c>
      <c r="DFX247" s="29" t="e">
        <f t="shared" si="88"/>
        <v>#REF!</v>
      </c>
      <c r="DFY247" s="29" t="e">
        <f t="shared" si="88"/>
        <v>#REF!</v>
      </c>
      <c r="DFZ247" s="29" t="e">
        <f t="shared" si="88"/>
        <v>#REF!</v>
      </c>
      <c r="DGA247" s="29" t="e">
        <f t="shared" si="88"/>
        <v>#REF!</v>
      </c>
      <c r="DGB247" s="29" t="e">
        <f t="shared" si="88"/>
        <v>#REF!</v>
      </c>
      <c r="DGC247" s="29" t="e">
        <f t="shared" si="88"/>
        <v>#REF!</v>
      </c>
      <c r="DGD247" s="29" t="e">
        <f t="shared" si="88"/>
        <v>#REF!</v>
      </c>
      <c r="DGE247" s="29" t="e">
        <f t="shared" si="88"/>
        <v>#REF!</v>
      </c>
      <c r="DGF247" s="29" t="e">
        <f t="shared" si="88"/>
        <v>#REF!</v>
      </c>
      <c r="DGG247" s="29" t="e">
        <f t="shared" si="88"/>
        <v>#REF!</v>
      </c>
      <c r="DGH247" s="29" t="e">
        <f t="shared" si="88"/>
        <v>#REF!</v>
      </c>
      <c r="DGI247" s="29" t="e">
        <f t="shared" si="88"/>
        <v>#REF!</v>
      </c>
      <c r="DGJ247" s="29" t="e">
        <f t="shared" si="88"/>
        <v>#REF!</v>
      </c>
      <c r="DGK247" s="29" t="e">
        <f t="shared" ref="DGK247:DIV247" si="89">DGO247&amp;DGP247</f>
        <v>#REF!</v>
      </c>
      <c r="DGL247" s="29" t="e">
        <f t="shared" si="89"/>
        <v>#REF!</v>
      </c>
      <c r="DGM247" s="29" t="e">
        <f t="shared" si="89"/>
        <v>#REF!</v>
      </c>
      <c r="DGN247" s="29" t="e">
        <f t="shared" si="89"/>
        <v>#REF!</v>
      </c>
      <c r="DGO247" s="29" t="e">
        <f t="shared" si="89"/>
        <v>#REF!</v>
      </c>
      <c r="DGP247" s="29" t="e">
        <f t="shared" si="89"/>
        <v>#REF!</v>
      </c>
      <c r="DGQ247" s="29" t="e">
        <f t="shared" si="89"/>
        <v>#REF!</v>
      </c>
      <c r="DGR247" s="29" t="e">
        <f t="shared" si="89"/>
        <v>#REF!</v>
      </c>
      <c r="DGS247" s="29" t="e">
        <f t="shared" si="89"/>
        <v>#REF!</v>
      </c>
      <c r="DGT247" s="29" t="e">
        <f t="shared" si="89"/>
        <v>#REF!</v>
      </c>
      <c r="DGU247" s="29" t="e">
        <f t="shared" si="89"/>
        <v>#REF!</v>
      </c>
      <c r="DGV247" s="29" t="e">
        <f t="shared" si="89"/>
        <v>#REF!</v>
      </c>
      <c r="DGW247" s="29" t="e">
        <f t="shared" si="89"/>
        <v>#REF!</v>
      </c>
      <c r="DGX247" s="29" t="e">
        <f t="shared" si="89"/>
        <v>#REF!</v>
      </c>
      <c r="DGY247" s="29" t="e">
        <f t="shared" si="89"/>
        <v>#REF!</v>
      </c>
      <c r="DGZ247" s="29" t="e">
        <f t="shared" si="89"/>
        <v>#REF!</v>
      </c>
      <c r="DHA247" s="29" t="e">
        <f t="shared" si="89"/>
        <v>#REF!</v>
      </c>
      <c r="DHB247" s="29" t="e">
        <f t="shared" si="89"/>
        <v>#REF!</v>
      </c>
      <c r="DHC247" s="29" t="e">
        <f t="shared" si="89"/>
        <v>#REF!</v>
      </c>
      <c r="DHD247" s="29" t="e">
        <f t="shared" si="89"/>
        <v>#REF!</v>
      </c>
      <c r="DHE247" s="29" t="e">
        <f t="shared" si="89"/>
        <v>#REF!</v>
      </c>
      <c r="DHF247" s="29" t="e">
        <f t="shared" si="89"/>
        <v>#REF!</v>
      </c>
      <c r="DHG247" s="29" t="e">
        <f t="shared" si="89"/>
        <v>#REF!</v>
      </c>
      <c r="DHH247" s="29" t="e">
        <f t="shared" si="89"/>
        <v>#REF!</v>
      </c>
      <c r="DHI247" s="29" t="e">
        <f t="shared" si="89"/>
        <v>#REF!</v>
      </c>
      <c r="DHJ247" s="29" t="e">
        <f t="shared" si="89"/>
        <v>#REF!</v>
      </c>
      <c r="DHK247" s="29" t="e">
        <f t="shared" si="89"/>
        <v>#REF!</v>
      </c>
      <c r="DHL247" s="29" t="e">
        <f t="shared" si="89"/>
        <v>#REF!</v>
      </c>
      <c r="DHM247" s="29" t="e">
        <f t="shared" si="89"/>
        <v>#REF!</v>
      </c>
      <c r="DHN247" s="29" t="e">
        <f t="shared" si="89"/>
        <v>#REF!</v>
      </c>
      <c r="DHO247" s="29" t="e">
        <f t="shared" si="89"/>
        <v>#REF!</v>
      </c>
      <c r="DHP247" s="29" t="e">
        <f t="shared" si="89"/>
        <v>#REF!</v>
      </c>
      <c r="DHQ247" s="29" t="e">
        <f t="shared" si="89"/>
        <v>#REF!</v>
      </c>
      <c r="DHR247" s="29" t="e">
        <f t="shared" si="89"/>
        <v>#REF!</v>
      </c>
      <c r="DHS247" s="29" t="e">
        <f t="shared" si="89"/>
        <v>#REF!</v>
      </c>
      <c r="DHT247" s="29" t="e">
        <f t="shared" si="89"/>
        <v>#REF!</v>
      </c>
      <c r="DHU247" s="29" t="e">
        <f t="shared" si="89"/>
        <v>#REF!</v>
      </c>
      <c r="DHV247" s="29" t="e">
        <f t="shared" si="89"/>
        <v>#REF!</v>
      </c>
      <c r="DHW247" s="29" t="e">
        <f t="shared" si="89"/>
        <v>#REF!</v>
      </c>
      <c r="DHX247" s="29" t="e">
        <f t="shared" si="89"/>
        <v>#REF!</v>
      </c>
      <c r="DHY247" s="29" t="e">
        <f t="shared" si="89"/>
        <v>#REF!</v>
      </c>
      <c r="DHZ247" s="29" t="e">
        <f t="shared" si="89"/>
        <v>#REF!</v>
      </c>
      <c r="DIA247" s="29" t="e">
        <f t="shared" si="89"/>
        <v>#REF!</v>
      </c>
      <c r="DIB247" s="29" t="e">
        <f t="shared" si="89"/>
        <v>#REF!</v>
      </c>
      <c r="DIC247" s="29" t="e">
        <f t="shared" si="89"/>
        <v>#REF!</v>
      </c>
      <c r="DID247" s="29" t="e">
        <f t="shared" si="89"/>
        <v>#REF!</v>
      </c>
      <c r="DIE247" s="29" t="e">
        <f t="shared" si="89"/>
        <v>#REF!</v>
      </c>
      <c r="DIF247" s="29" t="e">
        <f t="shared" si="89"/>
        <v>#REF!</v>
      </c>
      <c r="DIG247" s="29" t="e">
        <f t="shared" si="89"/>
        <v>#REF!</v>
      </c>
      <c r="DIH247" s="29" t="e">
        <f t="shared" si="89"/>
        <v>#REF!</v>
      </c>
      <c r="DII247" s="29" t="e">
        <f t="shared" si="89"/>
        <v>#REF!</v>
      </c>
      <c r="DIJ247" s="29" t="e">
        <f t="shared" si="89"/>
        <v>#REF!</v>
      </c>
      <c r="DIK247" s="29" t="e">
        <f t="shared" si="89"/>
        <v>#REF!</v>
      </c>
      <c r="DIL247" s="29" t="e">
        <f t="shared" si="89"/>
        <v>#REF!</v>
      </c>
      <c r="DIM247" s="29" t="e">
        <f t="shared" si="89"/>
        <v>#REF!</v>
      </c>
      <c r="DIN247" s="29" t="e">
        <f t="shared" si="89"/>
        <v>#REF!</v>
      </c>
      <c r="DIO247" s="29" t="e">
        <f t="shared" si="89"/>
        <v>#REF!</v>
      </c>
      <c r="DIP247" s="29" t="e">
        <f t="shared" si="89"/>
        <v>#REF!</v>
      </c>
      <c r="DIQ247" s="29" t="e">
        <f t="shared" si="89"/>
        <v>#REF!</v>
      </c>
      <c r="DIR247" s="29" t="e">
        <f t="shared" si="89"/>
        <v>#REF!</v>
      </c>
      <c r="DIS247" s="29" t="e">
        <f t="shared" si="89"/>
        <v>#REF!</v>
      </c>
      <c r="DIT247" s="29" t="e">
        <f t="shared" si="89"/>
        <v>#REF!</v>
      </c>
      <c r="DIU247" s="29" t="e">
        <f t="shared" si="89"/>
        <v>#REF!</v>
      </c>
      <c r="DIV247" s="29" t="e">
        <f t="shared" si="89"/>
        <v>#REF!</v>
      </c>
      <c r="DIW247" s="29" t="e">
        <f t="shared" ref="DIW247:DLH247" si="90">DJA247&amp;DJB247</f>
        <v>#REF!</v>
      </c>
      <c r="DIX247" s="29" t="e">
        <f t="shared" si="90"/>
        <v>#REF!</v>
      </c>
      <c r="DIY247" s="29" t="e">
        <f t="shared" si="90"/>
        <v>#REF!</v>
      </c>
      <c r="DIZ247" s="29" t="e">
        <f t="shared" si="90"/>
        <v>#REF!</v>
      </c>
      <c r="DJA247" s="29" t="e">
        <f t="shared" si="90"/>
        <v>#REF!</v>
      </c>
      <c r="DJB247" s="29" t="e">
        <f t="shared" si="90"/>
        <v>#REF!</v>
      </c>
      <c r="DJC247" s="29" t="e">
        <f t="shared" si="90"/>
        <v>#REF!</v>
      </c>
      <c r="DJD247" s="29" t="e">
        <f t="shared" si="90"/>
        <v>#REF!</v>
      </c>
      <c r="DJE247" s="29" t="e">
        <f t="shared" si="90"/>
        <v>#REF!</v>
      </c>
      <c r="DJF247" s="29" t="e">
        <f t="shared" si="90"/>
        <v>#REF!</v>
      </c>
      <c r="DJG247" s="29" t="e">
        <f t="shared" si="90"/>
        <v>#REF!</v>
      </c>
      <c r="DJH247" s="29" t="e">
        <f t="shared" si="90"/>
        <v>#REF!</v>
      </c>
      <c r="DJI247" s="29" t="e">
        <f t="shared" si="90"/>
        <v>#REF!</v>
      </c>
      <c r="DJJ247" s="29" t="e">
        <f t="shared" si="90"/>
        <v>#REF!</v>
      </c>
      <c r="DJK247" s="29" t="e">
        <f t="shared" si="90"/>
        <v>#REF!</v>
      </c>
      <c r="DJL247" s="29" t="e">
        <f t="shared" si="90"/>
        <v>#REF!</v>
      </c>
      <c r="DJM247" s="29" t="e">
        <f t="shared" si="90"/>
        <v>#REF!</v>
      </c>
      <c r="DJN247" s="29" t="e">
        <f t="shared" si="90"/>
        <v>#REF!</v>
      </c>
      <c r="DJO247" s="29" t="e">
        <f t="shared" si="90"/>
        <v>#REF!</v>
      </c>
      <c r="DJP247" s="29" t="e">
        <f t="shared" si="90"/>
        <v>#REF!</v>
      </c>
      <c r="DJQ247" s="29" t="e">
        <f t="shared" si="90"/>
        <v>#REF!</v>
      </c>
      <c r="DJR247" s="29" t="e">
        <f t="shared" si="90"/>
        <v>#REF!</v>
      </c>
      <c r="DJS247" s="29" t="e">
        <f t="shared" si="90"/>
        <v>#REF!</v>
      </c>
      <c r="DJT247" s="29" t="e">
        <f t="shared" si="90"/>
        <v>#REF!</v>
      </c>
      <c r="DJU247" s="29" t="e">
        <f t="shared" si="90"/>
        <v>#REF!</v>
      </c>
      <c r="DJV247" s="29" t="e">
        <f t="shared" si="90"/>
        <v>#REF!</v>
      </c>
      <c r="DJW247" s="29" t="e">
        <f t="shared" si="90"/>
        <v>#REF!</v>
      </c>
      <c r="DJX247" s="29" t="e">
        <f t="shared" si="90"/>
        <v>#REF!</v>
      </c>
      <c r="DJY247" s="29" t="e">
        <f t="shared" si="90"/>
        <v>#REF!</v>
      </c>
      <c r="DJZ247" s="29" t="e">
        <f t="shared" si="90"/>
        <v>#REF!</v>
      </c>
      <c r="DKA247" s="29" t="e">
        <f t="shared" si="90"/>
        <v>#REF!</v>
      </c>
      <c r="DKB247" s="29" t="e">
        <f t="shared" si="90"/>
        <v>#REF!</v>
      </c>
      <c r="DKC247" s="29" t="e">
        <f t="shared" si="90"/>
        <v>#REF!</v>
      </c>
      <c r="DKD247" s="29" t="e">
        <f t="shared" si="90"/>
        <v>#REF!</v>
      </c>
      <c r="DKE247" s="29" t="e">
        <f t="shared" si="90"/>
        <v>#REF!</v>
      </c>
      <c r="DKF247" s="29" t="e">
        <f t="shared" si="90"/>
        <v>#REF!</v>
      </c>
      <c r="DKG247" s="29" t="e">
        <f t="shared" si="90"/>
        <v>#REF!</v>
      </c>
      <c r="DKH247" s="29" t="e">
        <f t="shared" si="90"/>
        <v>#REF!</v>
      </c>
      <c r="DKI247" s="29" t="e">
        <f t="shared" si="90"/>
        <v>#REF!</v>
      </c>
      <c r="DKJ247" s="29" t="e">
        <f t="shared" si="90"/>
        <v>#REF!</v>
      </c>
      <c r="DKK247" s="29" t="e">
        <f t="shared" si="90"/>
        <v>#REF!</v>
      </c>
      <c r="DKL247" s="29" t="e">
        <f t="shared" si="90"/>
        <v>#REF!</v>
      </c>
      <c r="DKM247" s="29" t="e">
        <f t="shared" si="90"/>
        <v>#REF!</v>
      </c>
      <c r="DKN247" s="29" t="e">
        <f t="shared" si="90"/>
        <v>#REF!</v>
      </c>
      <c r="DKO247" s="29" t="e">
        <f t="shared" si="90"/>
        <v>#REF!</v>
      </c>
      <c r="DKP247" s="29" t="e">
        <f t="shared" si="90"/>
        <v>#REF!</v>
      </c>
      <c r="DKQ247" s="29" t="e">
        <f t="shared" si="90"/>
        <v>#REF!</v>
      </c>
      <c r="DKR247" s="29" t="e">
        <f t="shared" si="90"/>
        <v>#REF!</v>
      </c>
      <c r="DKS247" s="29" t="e">
        <f t="shared" si="90"/>
        <v>#REF!</v>
      </c>
      <c r="DKT247" s="29" t="e">
        <f t="shared" si="90"/>
        <v>#REF!</v>
      </c>
      <c r="DKU247" s="29" t="e">
        <f t="shared" si="90"/>
        <v>#REF!</v>
      </c>
      <c r="DKV247" s="29" t="e">
        <f t="shared" si="90"/>
        <v>#REF!</v>
      </c>
      <c r="DKW247" s="29" t="e">
        <f t="shared" si="90"/>
        <v>#REF!</v>
      </c>
      <c r="DKX247" s="29" t="e">
        <f t="shared" si="90"/>
        <v>#REF!</v>
      </c>
      <c r="DKY247" s="29" t="e">
        <f t="shared" si="90"/>
        <v>#REF!</v>
      </c>
      <c r="DKZ247" s="29" t="e">
        <f t="shared" si="90"/>
        <v>#REF!</v>
      </c>
      <c r="DLA247" s="29" t="e">
        <f t="shared" si="90"/>
        <v>#REF!</v>
      </c>
      <c r="DLB247" s="29" t="e">
        <f t="shared" si="90"/>
        <v>#REF!</v>
      </c>
      <c r="DLC247" s="29" t="e">
        <f t="shared" si="90"/>
        <v>#REF!</v>
      </c>
      <c r="DLD247" s="29" t="e">
        <f t="shared" si="90"/>
        <v>#REF!</v>
      </c>
      <c r="DLE247" s="29" t="e">
        <f t="shared" si="90"/>
        <v>#REF!</v>
      </c>
      <c r="DLF247" s="29" t="e">
        <f t="shared" si="90"/>
        <v>#REF!</v>
      </c>
      <c r="DLG247" s="29" t="e">
        <f t="shared" si="90"/>
        <v>#REF!</v>
      </c>
      <c r="DLH247" s="29" t="e">
        <f t="shared" si="90"/>
        <v>#REF!</v>
      </c>
      <c r="DLI247" s="29" t="e">
        <f t="shared" ref="DLI247:DNT247" si="91">DLM247&amp;DLN247</f>
        <v>#REF!</v>
      </c>
      <c r="DLJ247" s="29" t="e">
        <f t="shared" si="91"/>
        <v>#REF!</v>
      </c>
      <c r="DLK247" s="29" t="e">
        <f t="shared" si="91"/>
        <v>#REF!</v>
      </c>
      <c r="DLL247" s="29" t="e">
        <f t="shared" si="91"/>
        <v>#REF!</v>
      </c>
      <c r="DLM247" s="29" t="e">
        <f t="shared" si="91"/>
        <v>#REF!</v>
      </c>
      <c r="DLN247" s="29" t="e">
        <f t="shared" si="91"/>
        <v>#REF!</v>
      </c>
      <c r="DLO247" s="29" t="e">
        <f t="shared" si="91"/>
        <v>#REF!</v>
      </c>
      <c r="DLP247" s="29" t="e">
        <f t="shared" si="91"/>
        <v>#REF!</v>
      </c>
      <c r="DLQ247" s="29" t="e">
        <f t="shared" si="91"/>
        <v>#REF!</v>
      </c>
      <c r="DLR247" s="29" t="e">
        <f t="shared" si="91"/>
        <v>#REF!</v>
      </c>
      <c r="DLS247" s="29" t="e">
        <f t="shared" si="91"/>
        <v>#REF!</v>
      </c>
      <c r="DLT247" s="29" t="e">
        <f t="shared" si="91"/>
        <v>#REF!</v>
      </c>
      <c r="DLU247" s="29" t="e">
        <f t="shared" si="91"/>
        <v>#REF!</v>
      </c>
      <c r="DLV247" s="29" t="e">
        <f t="shared" si="91"/>
        <v>#REF!</v>
      </c>
      <c r="DLW247" s="29" t="e">
        <f t="shared" si="91"/>
        <v>#REF!</v>
      </c>
      <c r="DLX247" s="29" t="e">
        <f t="shared" si="91"/>
        <v>#REF!</v>
      </c>
      <c r="DLY247" s="29" t="e">
        <f t="shared" si="91"/>
        <v>#REF!</v>
      </c>
      <c r="DLZ247" s="29" t="e">
        <f t="shared" si="91"/>
        <v>#REF!</v>
      </c>
      <c r="DMA247" s="29" t="e">
        <f t="shared" si="91"/>
        <v>#REF!</v>
      </c>
      <c r="DMB247" s="29" t="e">
        <f t="shared" si="91"/>
        <v>#REF!</v>
      </c>
      <c r="DMC247" s="29" t="e">
        <f t="shared" si="91"/>
        <v>#REF!</v>
      </c>
      <c r="DMD247" s="29" t="e">
        <f t="shared" si="91"/>
        <v>#REF!</v>
      </c>
      <c r="DME247" s="29" t="e">
        <f t="shared" si="91"/>
        <v>#REF!</v>
      </c>
      <c r="DMF247" s="29" t="e">
        <f t="shared" si="91"/>
        <v>#REF!</v>
      </c>
      <c r="DMG247" s="29" t="e">
        <f t="shared" si="91"/>
        <v>#REF!</v>
      </c>
      <c r="DMH247" s="29" t="e">
        <f t="shared" si="91"/>
        <v>#REF!</v>
      </c>
      <c r="DMI247" s="29" t="e">
        <f t="shared" si="91"/>
        <v>#REF!</v>
      </c>
      <c r="DMJ247" s="29" t="e">
        <f t="shared" si="91"/>
        <v>#REF!</v>
      </c>
      <c r="DMK247" s="29" t="e">
        <f t="shared" si="91"/>
        <v>#REF!</v>
      </c>
      <c r="DML247" s="29" t="e">
        <f t="shared" si="91"/>
        <v>#REF!</v>
      </c>
      <c r="DMM247" s="29" t="e">
        <f t="shared" si="91"/>
        <v>#REF!</v>
      </c>
      <c r="DMN247" s="29" t="e">
        <f t="shared" si="91"/>
        <v>#REF!</v>
      </c>
      <c r="DMO247" s="29" t="e">
        <f t="shared" si="91"/>
        <v>#REF!</v>
      </c>
      <c r="DMP247" s="29" t="e">
        <f t="shared" si="91"/>
        <v>#REF!</v>
      </c>
      <c r="DMQ247" s="29" t="e">
        <f t="shared" si="91"/>
        <v>#REF!</v>
      </c>
      <c r="DMR247" s="29" t="e">
        <f t="shared" si="91"/>
        <v>#REF!</v>
      </c>
      <c r="DMS247" s="29" t="e">
        <f t="shared" si="91"/>
        <v>#REF!</v>
      </c>
      <c r="DMT247" s="29" t="e">
        <f t="shared" si="91"/>
        <v>#REF!</v>
      </c>
      <c r="DMU247" s="29" t="e">
        <f t="shared" si="91"/>
        <v>#REF!</v>
      </c>
      <c r="DMV247" s="29" t="e">
        <f t="shared" si="91"/>
        <v>#REF!</v>
      </c>
      <c r="DMW247" s="29" t="e">
        <f t="shared" si="91"/>
        <v>#REF!</v>
      </c>
      <c r="DMX247" s="29" t="e">
        <f t="shared" si="91"/>
        <v>#REF!</v>
      </c>
      <c r="DMY247" s="29" t="e">
        <f t="shared" si="91"/>
        <v>#REF!</v>
      </c>
      <c r="DMZ247" s="29" t="e">
        <f t="shared" si="91"/>
        <v>#REF!</v>
      </c>
      <c r="DNA247" s="29" t="e">
        <f t="shared" si="91"/>
        <v>#REF!</v>
      </c>
      <c r="DNB247" s="29" t="e">
        <f t="shared" si="91"/>
        <v>#REF!</v>
      </c>
      <c r="DNC247" s="29" t="e">
        <f t="shared" si="91"/>
        <v>#REF!</v>
      </c>
      <c r="DND247" s="29" t="e">
        <f t="shared" si="91"/>
        <v>#REF!</v>
      </c>
      <c r="DNE247" s="29" t="e">
        <f t="shared" si="91"/>
        <v>#REF!</v>
      </c>
      <c r="DNF247" s="29" t="e">
        <f t="shared" si="91"/>
        <v>#REF!</v>
      </c>
      <c r="DNG247" s="29" t="e">
        <f t="shared" si="91"/>
        <v>#REF!</v>
      </c>
      <c r="DNH247" s="29" t="e">
        <f t="shared" si="91"/>
        <v>#REF!</v>
      </c>
      <c r="DNI247" s="29" t="e">
        <f t="shared" si="91"/>
        <v>#REF!</v>
      </c>
      <c r="DNJ247" s="29" t="e">
        <f t="shared" si="91"/>
        <v>#REF!</v>
      </c>
      <c r="DNK247" s="29" t="e">
        <f t="shared" si="91"/>
        <v>#REF!</v>
      </c>
      <c r="DNL247" s="29" t="e">
        <f t="shared" si="91"/>
        <v>#REF!</v>
      </c>
      <c r="DNM247" s="29" t="e">
        <f t="shared" si="91"/>
        <v>#REF!</v>
      </c>
      <c r="DNN247" s="29" t="e">
        <f t="shared" si="91"/>
        <v>#REF!</v>
      </c>
      <c r="DNO247" s="29" t="e">
        <f t="shared" si="91"/>
        <v>#REF!</v>
      </c>
      <c r="DNP247" s="29" t="e">
        <f t="shared" si="91"/>
        <v>#REF!</v>
      </c>
      <c r="DNQ247" s="29" t="e">
        <f t="shared" si="91"/>
        <v>#REF!</v>
      </c>
      <c r="DNR247" s="29" t="e">
        <f t="shared" si="91"/>
        <v>#REF!</v>
      </c>
      <c r="DNS247" s="29" t="e">
        <f t="shared" si="91"/>
        <v>#REF!</v>
      </c>
      <c r="DNT247" s="29" t="e">
        <f t="shared" si="91"/>
        <v>#REF!</v>
      </c>
      <c r="DNU247" s="29" t="e">
        <f t="shared" ref="DNU247:DQF247" si="92">DNY247&amp;DNZ247</f>
        <v>#REF!</v>
      </c>
      <c r="DNV247" s="29" t="e">
        <f t="shared" si="92"/>
        <v>#REF!</v>
      </c>
      <c r="DNW247" s="29" t="e">
        <f t="shared" si="92"/>
        <v>#REF!</v>
      </c>
      <c r="DNX247" s="29" t="e">
        <f t="shared" si="92"/>
        <v>#REF!</v>
      </c>
      <c r="DNY247" s="29" t="e">
        <f t="shared" si="92"/>
        <v>#REF!</v>
      </c>
      <c r="DNZ247" s="29" t="e">
        <f t="shared" si="92"/>
        <v>#REF!</v>
      </c>
      <c r="DOA247" s="29" t="e">
        <f t="shared" si="92"/>
        <v>#REF!</v>
      </c>
      <c r="DOB247" s="29" t="e">
        <f t="shared" si="92"/>
        <v>#REF!</v>
      </c>
      <c r="DOC247" s="29" t="e">
        <f t="shared" si="92"/>
        <v>#REF!</v>
      </c>
      <c r="DOD247" s="29" t="e">
        <f t="shared" si="92"/>
        <v>#REF!</v>
      </c>
      <c r="DOE247" s="29" t="e">
        <f t="shared" si="92"/>
        <v>#REF!</v>
      </c>
      <c r="DOF247" s="29" t="e">
        <f t="shared" si="92"/>
        <v>#REF!</v>
      </c>
      <c r="DOG247" s="29" t="e">
        <f t="shared" si="92"/>
        <v>#REF!</v>
      </c>
      <c r="DOH247" s="29" t="e">
        <f t="shared" si="92"/>
        <v>#REF!</v>
      </c>
      <c r="DOI247" s="29" t="e">
        <f t="shared" si="92"/>
        <v>#REF!</v>
      </c>
      <c r="DOJ247" s="29" t="e">
        <f t="shared" si="92"/>
        <v>#REF!</v>
      </c>
      <c r="DOK247" s="29" t="e">
        <f t="shared" si="92"/>
        <v>#REF!</v>
      </c>
      <c r="DOL247" s="29" t="e">
        <f t="shared" si="92"/>
        <v>#REF!</v>
      </c>
      <c r="DOM247" s="29" t="e">
        <f t="shared" si="92"/>
        <v>#REF!</v>
      </c>
      <c r="DON247" s="29" t="e">
        <f t="shared" si="92"/>
        <v>#REF!</v>
      </c>
      <c r="DOO247" s="29" t="e">
        <f t="shared" si="92"/>
        <v>#REF!</v>
      </c>
      <c r="DOP247" s="29" t="e">
        <f t="shared" si="92"/>
        <v>#REF!</v>
      </c>
      <c r="DOQ247" s="29" t="e">
        <f t="shared" si="92"/>
        <v>#REF!</v>
      </c>
      <c r="DOR247" s="29" t="e">
        <f t="shared" si="92"/>
        <v>#REF!</v>
      </c>
      <c r="DOS247" s="29" t="e">
        <f t="shared" si="92"/>
        <v>#REF!</v>
      </c>
      <c r="DOT247" s="29" t="e">
        <f t="shared" si="92"/>
        <v>#REF!</v>
      </c>
      <c r="DOU247" s="29" t="e">
        <f t="shared" si="92"/>
        <v>#REF!</v>
      </c>
      <c r="DOV247" s="29" t="e">
        <f t="shared" si="92"/>
        <v>#REF!</v>
      </c>
      <c r="DOW247" s="29" t="e">
        <f t="shared" si="92"/>
        <v>#REF!</v>
      </c>
      <c r="DOX247" s="29" t="e">
        <f t="shared" si="92"/>
        <v>#REF!</v>
      </c>
      <c r="DOY247" s="29" t="e">
        <f t="shared" si="92"/>
        <v>#REF!</v>
      </c>
      <c r="DOZ247" s="29" t="e">
        <f t="shared" si="92"/>
        <v>#REF!</v>
      </c>
      <c r="DPA247" s="29" t="e">
        <f t="shared" si="92"/>
        <v>#REF!</v>
      </c>
      <c r="DPB247" s="29" t="e">
        <f t="shared" si="92"/>
        <v>#REF!</v>
      </c>
      <c r="DPC247" s="29" t="e">
        <f t="shared" si="92"/>
        <v>#REF!</v>
      </c>
      <c r="DPD247" s="29" t="e">
        <f t="shared" si="92"/>
        <v>#REF!</v>
      </c>
      <c r="DPE247" s="29" t="e">
        <f t="shared" si="92"/>
        <v>#REF!</v>
      </c>
      <c r="DPF247" s="29" t="e">
        <f t="shared" si="92"/>
        <v>#REF!</v>
      </c>
      <c r="DPG247" s="29" t="e">
        <f t="shared" si="92"/>
        <v>#REF!</v>
      </c>
      <c r="DPH247" s="29" t="e">
        <f t="shared" si="92"/>
        <v>#REF!</v>
      </c>
      <c r="DPI247" s="29" t="e">
        <f t="shared" si="92"/>
        <v>#REF!</v>
      </c>
      <c r="DPJ247" s="29" t="e">
        <f t="shared" si="92"/>
        <v>#REF!</v>
      </c>
      <c r="DPK247" s="29" t="e">
        <f t="shared" si="92"/>
        <v>#REF!</v>
      </c>
      <c r="DPL247" s="29" t="e">
        <f t="shared" si="92"/>
        <v>#REF!</v>
      </c>
      <c r="DPM247" s="29" t="e">
        <f t="shared" si="92"/>
        <v>#REF!</v>
      </c>
      <c r="DPN247" s="29" t="e">
        <f t="shared" si="92"/>
        <v>#REF!</v>
      </c>
      <c r="DPO247" s="29" t="e">
        <f t="shared" si="92"/>
        <v>#REF!</v>
      </c>
      <c r="DPP247" s="29" t="e">
        <f t="shared" si="92"/>
        <v>#REF!</v>
      </c>
      <c r="DPQ247" s="29" t="e">
        <f t="shared" si="92"/>
        <v>#REF!</v>
      </c>
      <c r="DPR247" s="29" t="e">
        <f t="shared" si="92"/>
        <v>#REF!</v>
      </c>
      <c r="DPS247" s="29" t="e">
        <f t="shared" si="92"/>
        <v>#REF!</v>
      </c>
      <c r="DPT247" s="29" t="e">
        <f t="shared" si="92"/>
        <v>#REF!</v>
      </c>
      <c r="DPU247" s="29" t="e">
        <f t="shared" si="92"/>
        <v>#REF!</v>
      </c>
      <c r="DPV247" s="29" t="e">
        <f t="shared" si="92"/>
        <v>#REF!</v>
      </c>
      <c r="DPW247" s="29" t="e">
        <f t="shared" si="92"/>
        <v>#REF!</v>
      </c>
      <c r="DPX247" s="29" t="e">
        <f t="shared" si="92"/>
        <v>#REF!</v>
      </c>
      <c r="DPY247" s="29" t="e">
        <f t="shared" si="92"/>
        <v>#REF!</v>
      </c>
      <c r="DPZ247" s="29" t="e">
        <f t="shared" si="92"/>
        <v>#REF!</v>
      </c>
      <c r="DQA247" s="29" t="e">
        <f t="shared" si="92"/>
        <v>#REF!</v>
      </c>
      <c r="DQB247" s="29" t="e">
        <f t="shared" si="92"/>
        <v>#REF!</v>
      </c>
      <c r="DQC247" s="29" t="e">
        <f t="shared" si="92"/>
        <v>#REF!</v>
      </c>
      <c r="DQD247" s="29" t="e">
        <f t="shared" si="92"/>
        <v>#REF!</v>
      </c>
      <c r="DQE247" s="29" t="e">
        <f t="shared" si="92"/>
        <v>#REF!</v>
      </c>
      <c r="DQF247" s="29" t="e">
        <f t="shared" si="92"/>
        <v>#REF!</v>
      </c>
      <c r="DQG247" s="29" t="e">
        <f t="shared" ref="DQG247:DSR247" si="93">DQK247&amp;DQL247</f>
        <v>#REF!</v>
      </c>
      <c r="DQH247" s="29" t="e">
        <f t="shared" si="93"/>
        <v>#REF!</v>
      </c>
      <c r="DQI247" s="29" t="e">
        <f t="shared" si="93"/>
        <v>#REF!</v>
      </c>
      <c r="DQJ247" s="29" t="e">
        <f t="shared" si="93"/>
        <v>#REF!</v>
      </c>
      <c r="DQK247" s="29" t="e">
        <f t="shared" si="93"/>
        <v>#REF!</v>
      </c>
      <c r="DQL247" s="29" t="e">
        <f t="shared" si="93"/>
        <v>#REF!</v>
      </c>
      <c r="DQM247" s="29" t="e">
        <f t="shared" si="93"/>
        <v>#REF!</v>
      </c>
      <c r="DQN247" s="29" t="e">
        <f t="shared" si="93"/>
        <v>#REF!</v>
      </c>
      <c r="DQO247" s="29" t="e">
        <f t="shared" si="93"/>
        <v>#REF!</v>
      </c>
      <c r="DQP247" s="29" t="e">
        <f t="shared" si="93"/>
        <v>#REF!</v>
      </c>
      <c r="DQQ247" s="29" t="e">
        <f t="shared" si="93"/>
        <v>#REF!</v>
      </c>
      <c r="DQR247" s="29" t="e">
        <f t="shared" si="93"/>
        <v>#REF!</v>
      </c>
      <c r="DQS247" s="29" t="e">
        <f t="shared" si="93"/>
        <v>#REF!</v>
      </c>
      <c r="DQT247" s="29" t="e">
        <f t="shared" si="93"/>
        <v>#REF!</v>
      </c>
      <c r="DQU247" s="29" t="e">
        <f t="shared" si="93"/>
        <v>#REF!</v>
      </c>
      <c r="DQV247" s="29" t="e">
        <f t="shared" si="93"/>
        <v>#REF!</v>
      </c>
      <c r="DQW247" s="29" t="e">
        <f t="shared" si="93"/>
        <v>#REF!</v>
      </c>
      <c r="DQX247" s="29" t="e">
        <f t="shared" si="93"/>
        <v>#REF!</v>
      </c>
      <c r="DQY247" s="29" t="e">
        <f t="shared" si="93"/>
        <v>#REF!</v>
      </c>
      <c r="DQZ247" s="29" t="e">
        <f t="shared" si="93"/>
        <v>#REF!</v>
      </c>
      <c r="DRA247" s="29" t="e">
        <f t="shared" si="93"/>
        <v>#REF!</v>
      </c>
      <c r="DRB247" s="29" t="e">
        <f t="shared" si="93"/>
        <v>#REF!</v>
      </c>
      <c r="DRC247" s="29" t="e">
        <f t="shared" si="93"/>
        <v>#REF!</v>
      </c>
      <c r="DRD247" s="29" t="e">
        <f t="shared" si="93"/>
        <v>#REF!</v>
      </c>
      <c r="DRE247" s="29" t="e">
        <f t="shared" si="93"/>
        <v>#REF!</v>
      </c>
      <c r="DRF247" s="29" t="e">
        <f t="shared" si="93"/>
        <v>#REF!</v>
      </c>
      <c r="DRG247" s="29" t="e">
        <f t="shared" si="93"/>
        <v>#REF!</v>
      </c>
      <c r="DRH247" s="29" t="e">
        <f t="shared" si="93"/>
        <v>#REF!</v>
      </c>
      <c r="DRI247" s="29" t="e">
        <f t="shared" si="93"/>
        <v>#REF!</v>
      </c>
      <c r="DRJ247" s="29" t="e">
        <f t="shared" si="93"/>
        <v>#REF!</v>
      </c>
      <c r="DRK247" s="29" t="e">
        <f t="shared" si="93"/>
        <v>#REF!</v>
      </c>
      <c r="DRL247" s="29" t="e">
        <f t="shared" si="93"/>
        <v>#REF!</v>
      </c>
      <c r="DRM247" s="29" t="e">
        <f t="shared" si="93"/>
        <v>#REF!</v>
      </c>
      <c r="DRN247" s="29" t="e">
        <f t="shared" si="93"/>
        <v>#REF!</v>
      </c>
      <c r="DRO247" s="29" t="e">
        <f t="shared" si="93"/>
        <v>#REF!</v>
      </c>
      <c r="DRP247" s="29" t="e">
        <f t="shared" si="93"/>
        <v>#REF!</v>
      </c>
      <c r="DRQ247" s="29" t="e">
        <f t="shared" si="93"/>
        <v>#REF!</v>
      </c>
      <c r="DRR247" s="29" t="e">
        <f t="shared" si="93"/>
        <v>#REF!</v>
      </c>
      <c r="DRS247" s="29" t="e">
        <f t="shared" si="93"/>
        <v>#REF!</v>
      </c>
      <c r="DRT247" s="29" t="e">
        <f t="shared" si="93"/>
        <v>#REF!</v>
      </c>
      <c r="DRU247" s="29" t="e">
        <f t="shared" si="93"/>
        <v>#REF!</v>
      </c>
      <c r="DRV247" s="29" t="e">
        <f t="shared" si="93"/>
        <v>#REF!</v>
      </c>
      <c r="DRW247" s="29" t="e">
        <f t="shared" si="93"/>
        <v>#REF!</v>
      </c>
      <c r="DRX247" s="29" t="e">
        <f t="shared" si="93"/>
        <v>#REF!</v>
      </c>
      <c r="DRY247" s="29" t="e">
        <f t="shared" si="93"/>
        <v>#REF!</v>
      </c>
      <c r="DRZ247" s="29" t="e">
        <f t="shared" si="93"/>
        <v>#REF!</v>
      </c>
      <c r="DSA247" s="29" t="e">
        <f t="shared" si="93"/>
        <v>#REF!</v>
      </c>
      <c r="DSB247" s="29" t="e">
        <f t="shared" si="93"/>
        <v>#REF!</v>
      </c>
      <c r="DSC247" s="29" t="e">
        <f t="shared" si="93"/>
        <v>#REF!</v>
      </c>
      <c r="DSD247" s="29" t="e">
        <f t="shared" si="93"/>
        <v>#REF!</v>
      </c>
      <c r="DSE247" s="29" t="e">
        <f t="shared" si="93"/>
        <v>#REF!</v>
      </c>
      <c r="DSF247" s="29" t="e">
        <f t="shared" si="93"/>
        <v>#REF!</v>
      </c>
      <c r="DSG247" s="29" t="e">
        <f t="shared" si="93"/>
        <v>#REF!</v>
      </c>
      <c r="DSH247" s="29" t="e">
        <f t="shared" si="93"/>
        <v>#REF!</v>
      </c>
      <c r="DSI247" s="29" t="e">
        <f t="shared" si="93"/>
        <v>#REF!</v>
      </c>
      <c r="DSJ247" s="29" t="e">
        <f t="shared" si="93"/>
        <v>#REF!</v>
      </c>
      <c r="DSK247" s="29" t="e">
        <f t="shared" si="93"/>
        <v>#REF!</v>
      </c>
      <c r="DSL247" s="29" t="e">
        <f t="shared" si="93"/>
        <v>#REF!</v>
      </c>
      <c r="DSM247" s="29" t="e">
        <f t="shared" si="93"/>
        <v>#REF!</v>
      </c>
      <c r="DSN247" s="29" t="e">
        <f t="shared" si="93"/>
        <v>#REF!</v>
      </c>
      <c r="DSO247" s="29" t="e">
        <f t="shared" si="93"/>
        <v>#REF!</v>
      </c>
      <c r="DSP247" s="29" t="e">
        <f t="shared" si="93"/>
        <v>#REF!</v>
      </c>
      <c r="DSQ247" s="29" t="e">
        <f t="shared" si="93"/>
        <v>#REF!</v>
      </c>
      <c r="DSR247" s="29" t="e">
        <f t="shared" si="93"/>
        <v>#REF!</v>
      </c>
      <c r="DSS247" s="29" t="e">
        <f t="shared" ref="DSS247:DVD247" si="94">DSW247&amp;DSX247</f>
        <v>#REF!</v>
      </c>
      <c r="DST247" s="29" t="e">
        <f t="shared" si="94"/>
        <v>#REF!</v>
      </c>
      <c r="DSU247" s="29" t="e">
        <f t="shared" si="94"/>
        <v>#REF!</v>
      </c>
      <c r="DSV247" s="29" t="e">
        <f t="shared" si="94"/>
        <v>#REF!</v>
      </c>
      <c r="DSW247" s="29" t="e">
        <f t="shared" si="94"/>
        <v>#REF!</v>
      </c>
      <c r="DSX247" s="29" t="e">
        <f t="shared" si="94"/>
        <v>#REF!</v>
      </c>
      <c r="DSY247" s="29" t="e">
        <f t="shared" si="94"/>
        <v>#REF!</v>
      </c>
      <c r="DSZ247" s="29" t="e">
        <f t="shared" si="94"/>
        <v>#REF!</v>
      </c>
      <c r="DTA247" s="29" t="e">
        <f t="shared" si="94"/>
        <v>#REF!</v>
      </c>
      <c r="DTB247" s="29" t="e">
        <f t="shared" si="94"/>
        <v>#REF!</v>
      </c>
      <c r="DTC247" s="29" t="e">
        <f t="shared" si="94"/>
        <v>#REF!</v>
      </c>
      <c r="DTD247" s="29" t="e">
        <f t="shared" si="94"/>
        <v>#REF!</v>
      </c>
      <c r="DTE247" s="29" t="e">
        <f t="shared" si="94"/>
        <v>#REF!</v>
      </c>
      <c r="DTF247" s="29" t="e">
        <f t="shared" si="94"/>
        <v>#REF!</v>
      </c>
      <c r="DTG247" s="29" t="e">
        <f t="shared" si="94"/>
        <v>#REF!</v>
      </c>
      <c r="DTH247" s="29" t="e">
        <f t="shared" si="94"/>
        <v>#REF!</v>
      </c>
      <c r="DTI247" s="29" t="e">
        <f t="shared" si="94"/>
        <v>#REF!</v>
      </c>
      <c r="DTJ247" s="29" t="e">
        <f t="shared" si="94"/>
        <v>#REF!</v>
      </c>
      <c r="DTK247" s="29" t="e">
        <f t="shared" si="94"/>
        <v>#REF!</v>
      </c>
      <c r="DTL247" s="29" t="e">
        <f t="shared" si="94"/>
        <v>#REF!</v>
      </c>
      <c r="DTM247" s="29" t="e">
        <f t="shared" si="94"/>
        <v>#REF!</v>
      </c>
      <c r="DTN247" s="29" t="e">
        <f t="shared" si="94"/>
        <v>#REF!</v>
      </c>
      <c r="DTO247" s="29" t="e">
        <f t="shared" si="94"/>
        <v>#REF!</v>
      </c>
      <c r="DTP247" s="29" t="e">
        <f t="shared" si="94"/>
        <v>#REF!</v>
      </c>
      <c r="DTQ247" s="29" t="e">
        <f t="shared" si="94"/>
        <v>#REF!</v>
      </c>
      <c r="DTR247" s="29" t="e">
        <f t="shared" si="94"/>
        <v>#REF!</v>
      </c>
      <c r="DTS247" s="29" t="e">
        <f t="shared" si="94"/>
        <v>#REF!</v>
      </c>
      <c r="DTT247" s="29" t="e">
        <f t="shared" si="94"/>
        <v>#REF!</v>
      </c>
      <c r="DTU247" s="29" t="e">
        <f t="shared" si="94"/>
        <v>#REF!</v>
      </c>
      <c r="DTV247" s="29" t="e">
        <f t="shared" si="94"/>
        <v>#REF!</v>
      </c>
      <c r="DTW247" s="29" t="e">
        <f t="shared" si="94"/>
        <v>#REF!</v>
      </c>
      <c r="DTX247" s="29" t="e">
        <f t="shared" si="94"/>
        <v>#REF!</v>
      </c>
      <c r="DTY247" s="29" t="e">
        <f t="shared" si="94"/>
        <v>#REF!</v>
      </c>
      <c r="DTZ247" s="29" t="e">
        <f t="shared" si="94"/>
        <v>#REF!</v>
      </c>
      <c r="DUA247" s="29" t="e">
        <f t="shared" si="94"/>
        <v>#REF!</v>
      </c>
      <c r="DUB247" s="29" t="e">
        <f t="shared" si="94"/>
        <v>#REF!</v>
      </c>
      <c r="DUC247" s="29" t="e">
        <f t="shared" si="94"/>
        <v>#REF!</v>
      </c>
      <c r="DUD247" s="29" t="e">
        <f t="shared" si="94"/>
        <v>#REF!</v>
      </c>
      <c r="DUE247" s="29" t="e">
        <f t="shared" si="94"/>
        <v>#REF!</v>
      </c>
      <c r="DUF247" s="29" t="e">
        <f t="shared" si="94"/>
        <v>#REF!</v>
      </c>
      <c r="DUG247" s="29" t="e">
        <f t="shared" si="94"/>
        <v>#REF!</v>
      </c>
      <c r="DUH247" s="29" t="e">
        <f t="shared" si="94"/>
        <v>#REF!</v>
      </c>
      <c r="DUI247" s="29" t="e">
        <f t="shared" si="94"/>
        <v>#REF!</v>
      </c>
      <c r="DUJ247" s="29" t="e">
        <f t="shared" si="94"/>
        <v>#REF!</v>
      </c>
      <c r="DUK247" s="29" t="e">
        <f t="shared" si="94"/>
        <v>#REF!</v>
      </c>
      <c r="DUL247" s="29" t="e">
        <f t="shared" si="94"/>
        <v>#REF!</v>
      </c>
      <c r="DUM247" s="29" t="e">
        <f t="shared" si="94"/>
        <v>#REF!</v>
      </c>
      <c r="DUN247" s="29" t="e">
        <f t="shared" si="94"/>
        <v>#REF!</v>
      </c>
      <c r="DUO247" s="29" t="e">
        <f t="shared" si="94"/>
        <v>#REF!</v>
      </c>
      <c r="DUP247" s="29" t="e">
        <f t="shared" si="94"/>
        <v>#REF!</v>
      </c>
      <c r="DUQ247" s="29" t="e">
        <f t="shared" si="94"/>
        <v>#REF!</v>
      </c>
      <c r="DUR247" s="29" t="e">
        <f t="shared" si="94"/>
        <v>#REF!</v>
      </c>
      <c r="DUS247" s="29" t="e">
        <f t="shared" si="94"/>
        <v>#REF!</v>
      </c>
      <c r="DUT247" s="29" t="e">
        <f t="shared" si="94"/>
        <v>#REF!</v>
      </c>
      <c r="DUU247" s="29" t="e">
        <f t="shared" si="94"/>
        <v>#REF!</v>
      </c>
      <c r="DUV247" s="29" t="e">
        <f t="shared" si="94"/>
        <v>#REF!</v>
      </c>
      <c r="DUW247" s="29" t="e">
        <f t="shared" si="94"/>
        <v>#REF!</v>
      </c>
      <c r="DUX247" s="29" t="e">
        <f t="shared" si="94"/>
        <v>#REF!</v>
      </c>
      <c r="DUY247" s="29" t="e">
        <f t="shared" si="94"/>
        <v>#REF!</v>
      </c>
      <c r="DUZ247" s="29" t="e">
        <f t="shared" si="94"/>
        <v>#REF!</v>
      </c>
      <c r="DVA247" s="29" t="e">
        <f t="shared" si="94"/>
        <v>#REF!</v>
      </c>
      <c r="DVB247" s="29" t="e">
        <f t="shared" si="94"/>
        <v>#REF!</v>
      </c>
      <c r="DVC247" s="29" t="e">
        <f t="shared" si="94"/>
        <v>#REF!</v>
      </c>
      <c r="DVD247" s="29" t="e">
        <f t="shared" si="94"/>
        <v>#REF!</v>
      </c>
      <c r="DVE247" s="29" t="e">
        <f t="shared" ref="DVE247:DXP247" si="95">DVI247&amp;DVJ247</f>
        <v>#REF!</v>
      </c>
      <c r="DVF247" s="29" t="e">
        <f t="shared" si="95"/>
        <v>#REF!</v>
      </c>
      <c r="DVG247" s="29" t="e">
        <f t="shared" si="95"/>
        <v>#REF!</v>
      </c>
      <c r="DVH247" s="29" t="e">
        <f t="shared" si="95"/>
        <v>#REF!</v>
      </c>
      <c r="DVI247" s="29" t="e">
        <f t="shared" si="95"/>
        <v>#REF!</v>
      </c>
      <c r="DVJ247" s="29" t="e">
        <f t="shared" si="95"/>
        <v>#REF!</v>
      </c>
      <c r="DVK247" s="29" t="e">
        <f t="shared" si="95"/>
        <v>#REF!</v>
      </c>
      <c r="DVL247" s="29" t="e">
        <f t="shared" si="95"/>
        <v>#REF!</v>
      </c>
      <c r="DVM247" s="29" t="e">
        <f t="shared" si="95"/>
        <v>#REF!</v>
      </c>
      <c r="DVN247" s="29" t="e">
        <f t="shared" si="95"/>
        <v>#REF!</v>
      </c>
      <c r="DVO247" s="29" t="e">
        <f t="shared" si="95"/>
        <v>#REF!</v>
      </c>
      <c r="DVP247" s="29" t="e">
        <f t="shared" si="95"/>
        <v>#REF!</v>
      </c>
      <c r="DVQ247" s="29" t="e">
        <f t="shared" si="95"/>
        <v>#REF!</v>
      </c>
      <c r="DVR247" s="29" t="e">
        <f t="shared" si="95"/>
        <v>#REF!</v>
      </c>
      <c r="DVS247" s="29" t="e">
        <f t="shared" si="95"/>
        <v>#REF!</v>
      </c>
      <c r="DVT247" s="29" t="e">
        <f t="shared" si="95"/>
        <v>#REF!</v>
      </c>
      <c r="DVU247" s="29" t="e">
        <f t="shared" si="95"/>
        <v>#REF!</v>
      </c>
      <c r="DVV247" s="29" t="e">
        <f t="shared" si="95"/>
        <v>#REF!</v>
      </c>
      <c r="DVW247" s="29" t="e">
        <f t="shared" si="95"/>
        <v>#REF!</v>
      </c>
      <c r="DVX247" s="29" t="e">
        <f t="shared" si="95"/>
        <v>#REF!</v>
      </c>
      <c r="DVY247" s="29" t="e">
        <f t="shared" si="95"/>
        <v>#REF!</v>
      </c>
      <c r="DVZ247" s="29" t="e">
        <f t="shared" si="95"/>
        <v>#REF!</v>
      </c>
      <c r="DWA247" s="29" t="e">
        <f t="shared" si="95"/>
        <v>#REF!</v>
      </c>
      <c r="DWB247" s="29" t="e">
        <f t="shared" si="95"/>
        <v>#REF!</v>
      </c>
      <c r="DWC247" s="29" t="e">
        <f t="shared" si="95"/>
        <v>#REF!</v>
      </c>
      <c r="DWD247" s="29" t="e">
        <f t="shared" si="95"/>
        <v>#REF!</v>
      </c>
      <c r="DWE247" s="29" t="e">
        <f t="shared" si="95"/>
        <v>#REF!</v>
      </c>
      <c r="DWF247" s="29" t="e">
        <f t="shared" si="95"/>
        <v>#REF!</v>
      </c>
      <c r="DWG247" s="29" t="e">
        <f t="shared" si="95"/>
        <v>#REF!</v>
      </c>
      <c r="DWH247" s="29" t="e">
        <f t="shared" si="95"/>
        <v>#REF!</v>
      </c>
      <c r="DWI247" s="29" t="e">
        <f t="shared" si="95"/>
        <v>#REF!</v>
      </c>
      <c r="DWJ247" s="29" t="e">
        <f t="shared" si="95"/>
        <v>#REF!</v>
      </c>
      <c r="DWK247" s="29" t="e">
        <f t="shared" si="95"/>
        <v>#REF!</v>
      </c>
      <c r="DWL247" s="29" t="e">
        <f t="shared" si="95"/>
        <v>#REF!</v>
      </c>
      <c r="DWM247" s="29" t="e">
        <f t="shared" si="95"/>
        <v>#REF!</v>
      </c>
      <c r="DWN247" s="29" t="e">
        <f t="shared" si="95"/>
        <v>#REF!</v>
      </c>
      <c r="DWO247" s="29" t="e">
        <f t="shared" si="95"/>
        <v>#REF!</v>
      </c>
      <c r="DWP247" s="29" t="e">
        <f t="shared" si="95"/>
        <v>#REF!</v>
      </c>
      <c r="DWQ247" s="29" t="e">
        <f t="shared" si="95"/>
        <v>#REF!</v>
      </c>
      <c r="DWR247" s="29" t="e">
        <f t="shared" si="95"/>
        <v>#REF!</v>
      </c>
      <c r="DWS247" s="29" t="e">
        <f t="shared" si="95"/>
        <v>#REF!</v>
      </c>
      <c r="DWT247" s="29" t="e">
        <f t="shared" si="95"/>
        <v>#REF!</v>
      </c>
      <c r="DWU247" s="29" t="e">
        <f t="shared" si="95"/>
        <v>#REF!</v>
      </c>
      <c r="DWV247" s="29" t="e">
        <f t="shared" si="95"/>
        <v>#REF!</v>
      </c>
      <c r="DWW247" s="29" t="e">
        <f t="shared" si="95"/>
        <v>#REF!</v>
      </c>
      <c r="DWX247" s="29" t="e">
        <f t="shared" si="95"/>
        <v>#REF!</v>
      </c>
      <c r="DWY247" s="29" t="e">
        <f t="shared" si="95"/>
        <v>#REF!</v>
      </c>
      <c r="DWZ247" s="29" t="e">
        <f t="shared" si="95"/>
        <v>#REF!</v>
      </c>
      <c r="DXA247" s="29" t="e">
        <f t="shared" si="95"/>
        <v>#REF!</v>
      </c>
      <c r="DXB247" s="29" t="e">
        <f t="shared" si="95"/>
        <v>#REF!</v>
      </c>
      <c r="DXC247" s="29" t="e">
        <f t="shared" si="95"/>
        <v>#REF!</v>
      </c>
      <c r="DXD247" s="29" t="e">
        <f t="shared" si="95"/>
        <v>#REF!</v>
      </c>
      <c r="DXE247" s="29" t="e">
        <f t="shared" si="95"/>
        <v>#REF!</v>
      </c>
      <c r="DXF247" s="29" t="e">
        <f t="shared" si="95"/>
        <v>#REF!</v>
      </c>
      <c r="DXG247" s="29" t="e">
        <f t="shared" si="95"/>
        <v>#REF!</v>
      </c>
      <c r="DXH247" s="29" t="e">
        <f t="shared" si="95"/>
        <v>#REF!</v>
      </c>
      <c r="DXI247" s="29" t="e">
        <f t="shared" si="95"/>
        <v>#REF!</v>
      </c>
      <c r="DXJ247" s="29" t="e">
        <f t="shared" si="95"/>
        <v>#REF!</v>
      </c>
      <c r="DXK247" s="29" t="e">
        <f t="shared" si="95"/>
        <v>#REF!</v>
      </c>
      <c r="DXL247" s="29" t="e">
        <f t="shared" si="95"/>
        <v>#REF!</v>
      </c>
      <c r="DXM247" s="29" t="e">
        <f t="shared" si="95"/>
        <v>#REF!</v>
      </c>
      <c r="DXN247" s="29" t="e">
        <f t="shared" si="95"/>
        <v>#REF!</v>
      </c>
      <c r="DXO247" s="29" t="e">
        <f t="shared" si="95"/>
        <v>#REF!</v>
      </c>
      <c r="DXP247" s="29" t="e">
        <f t="shared" si="95"/>
        <v>#REF!</v>
      </c>
      <c r="DXQ247" s="29" t="e">
        <f t="shared" ref="DXQ247:EAB247" si="96">DXU247&amp;DXV247</f>
        <v>#REF!</v>
      </c>
      <c r="DXR247" s="29" t="e">
        <f t="shared" si="96"/>
        <v>#REF!</v>
      </c>
      <c r="DXS247" s="29" t="e">
        <f t="shared" si="96"/>
        <v>#REF!</v>
      </c>
      <c r="DXT247" s="29" t="e">
        <f t="shared" si="96"/>
        <v>#REF!</v>
      </c>
      <c r="DXU247" s="29" t="e">
        <f t="shared" si="96"/>
        <v>#REF!</v>
      </c>
      <c r="DXV247" s="29" t="e">
        <f t="shared" si="96"/>
        <v>#REF!</v>
      </c>
      <c r="DXW247" s="29" t="e">
        <f t="shared" si="96"/>
        <v>#REF!</v>
      </c>
      <c r="DXX247" s="29" t="e">
        <f t="shared" si="96"/>
        <v>#REF!</v>
      </c>
      <c r="DXY247" s="29" t="e">
        <f t="shared" si="96"/>
        <v>#REF!</v>
      </c>
      <c r="DXZ247" s="29" t="e">
        <f t="shared" si="96"/>
        <v>#REF!</v>
      </c>
      <c r="DYA247" s="29" t="e">
        <f t="shared" si="96"/>
        <v>#REF!</v>
      </c>
      <c r="DYB247" s="29" t="e">
        <f t="shared" si="96"/>
        <v>#REF!</v>
      </c>
      <c r="DYC247" s="29" t="e">
        <f t="shared" si="96"/>
        <v>#REF!</v>
      </c>
      <c r="DYD247" s="29" t="e">
        <f t="shared" si="96"/>
        <v>#REF!</v>
      </c>
      <c r="DYE247" s="29" t="e">
        <f t="shared" si="96"/>
        <v>#REF!</v>
      </c>
      <c r="DYF247" s="29" t="e">
        <f t="shared" si="96"/>
        <v>#REF!</v>
      </c>
      <c r="DYG247" s="29" t="e">
        <f t="shared" si="96"/>
        <v>#REF!</v>
      </c>
      <c r="DYH247" s="29" t="e">
        <f t="shared" si="96"/>
        <v>#REF!</v>
      </c>
      <c r="DYI247" s="29" t="e">
        <f t="shared" si="96"/>
        <v>#REF!</v>
      </c>
      <c r="DYJ247" s="29" t="e">
        <f t="shared" si="96"/>
        <v>#REF!</v>
      </c>
      <c r="DYK247" s="29" t="e">
        <f t="shared" si="96"/>
        <v>#REF!</v>
      </c>
      <c r="DYL247" s="29" t="e">
        <f t="shared" si="96"/>
        <v>#REF!</v>
      </c>
      <c r="DYM247" s="29" t="e">
        <f t="shared" si="96"/>
        <v>#REF!</v>
      </c>
      <c r="DYN247" s="29" t="e">
        <f t="shared" si="96"/>
        <v>#REF!</v>
      </c>
      <c r="DYO247" s="29" t="e">
        <f t="shared" si="96"/>
        <v>#REF!</v>
      </c>
      <c r="DYP247" s="29" t="e">
        <f t="shared" si="96"/>
        <v>#REF!</v>
      </c>
      <c r="DYQ247" s="29" t="e">
        <f t="shared" si="96"/>
        <v>#REF!</v>
      </c>
      <c r="DYR247" s="29" t="e">
        <f t="shared" si="96"/>
        <v>#REF!</v>
      </c>
      <c r="DYS247" s="29" t="e">
        <f t="shared" si="96"/>
        <v>#REF!</v>
      </c>
      <c r="DYT247" s="29" t="e">
        <f t="shared" si="96"/>
        <v>#REF!</v>
      </c>
      <c r="DYU247" s="29" t="e">
        <f t="shared" si="96"/>
        <v>#REF!</v>
      </c>
      <c r="DYV247" s="29" t="e">
        <f t="shared" si="96"/>
        <v>#REF!</v>
      </c>
      <c r="DYW247" s="29" t="e">
        <f t="shared" si="96"/>
        <v>#REF!</v>
      </c>
      <c r="DYX247" s="29" t="e">
        <f t="shared" si="96"/>
        <v>#REF!</v>
      </c>
      <c r="DYY247" s="29" t="e">
        <f t="shared" si="96"/>
        <v>#REF!</v>
      </c>
      <c r="DYZ247" s="29" t="e">
        <f t="shared" si="96"/>
        <v>#REF!</v>
      </c>
      <c r="DZA247" s="29" t="e">
        <f t="shared" si="96"/>
        <v>#REF!</v>
      </c>
      <c r="DZB247" s="29" t="e">
        <f t="shared" si="96"/>
        <v>#REF!</v>
      </c>
      <c r="DZC247" s="29" t="e">
        <f t="shared" si="96"/>
        <v>#REF!</v>
      </c>
      <c r="DZD247" s="29" t="e">
        <f t="shared" si="96"/>
        <v>#REF!</v>
      </c>
      <c r="DZE247" s="29" t="e">
        <f t="shared" si="96"/>
        <v>#REF!</v>
      </c>
      <c r="DZF247" s="29" t="e">
        <f t="shared" si="96"/>
        <v>#REF!</v>
      </c>
      <c r="DZG247" s="29" t="e">
        <f t="shared" si="96"/>
        <v>#REF!</v>
      </c>
      <c r="DZH247" s="29" t="e">
        <f t="shared" si="96"/>
        <v>#REF!</v>
      </c>
      <c r="DZI247" s="29" t="e">
        <f t="shared" si="96"/>
        <v>#REF!</v>
      </c>
      <c r="DZJ247" s="29" t="e">
        <f t="shared" si="96"/>
        <v>#REF!</v>
      </c>
      <c r="DZK247" s="29" t="e">
        <f t="shared" si="96"/>
        <v>#REF!</v>
      </c>
      <c r="DZL247" s="29" t="e">
        <f t="shared" si="96"/>
        <v>#REF!</v>
      </c>
      <c r="DZM247" s="29" t="e">
        <f t="shared" si="96"/>
        <v>#REF!</v>
      </c>
      <c r="DZN247" s="29" t="e">
        <f t="shared" si="96"/>
        <v>#REF!</v>
      </c>
      <c r="DZO247" s="29" t="e">
        <f t="shared" si="96"/>
        <v>#REF!</v>
      </c>
      <c r="DZP247" s="29" t="e">
        <f t="shared" si="96"/>
        <v>#REF!</v>
      </c>
      <c r="DZQ247" s="29" t="e">
        <f t="shared" si="96"/>
        <v>#REF!</v>
      </c>
      <c r="DZR247" s="29" t="e">
        <f t="shared" si="96"/>
        <v>#REF!</v>
      </c>
      <c r="DZS247" s="29" t="e">
        <f t="shared" si="96"/>
        <v>#REF!</v>
      </c>
      <c r="DZT247" s="29" t="e">
        <f t="shared" si="96"/>
        <v>#REF!</v>
      </c>
      <c r="DZU247" s="29" t="e">
        <f t="shared" si="96"/>
        <v>#REF!</v>
      </c>
      <c r="DZV247" s="29" t="e">
        <f t="shared" si="96"/>
        <v>#REF!</v>
      </c>
      <c r="DZW247" s="29" t="e">
        <f t="shared" si="96"/>
        <v>#REF!</v>
      </c>
      <c r="DZX247" s="29" t="e">
        <f t="shared" si="96"/>
        <v>#REF!</v>
      </c>
      <c r="DZY247" s="29" t="e">
        <f t="shared" si="96"/>
        <v>#REF!</v>
      </c>
      <c r="DZZ247" s="29" t="e">
        <f t="shared" si="96"/>
        <v>#REF!</v>
      </c>
      <c r="EAA247" s="29" t="e">
        <f t="shared" si="96"/>
        <v>#REF!</v>
      </c>
      <c r="EAB247" s="29" t="e">
        <f t="shared" si="96"/>
        <v>#REF!</v>
      </c>
      <c r="EAC247" s="29" t="e">
        <f t="shared" ref="EAC247:ECN247" si="97">EAG247&amp;EAH247</f>
        <v>#REF!</v>
      </c>
      <c r="EAD247" s="29" t="e">
        <f t="shared" si="97"/>
        <v>#REF!</v>
      </c>
      <c r="EAE247" s="29" t="e">
        <f t="shared" si="97"/>
        <v>#REF!</v>
      </c>
      <c r="EAF247" s="29" t="e">
        <f t="shared" si="97"/>
        <v>#REF!</v>
      </c>
      <c r="EAG247" s="29" t="e">
        <f t="shared" si="97"/>
        <v>#REF!</v>
      </c>
      <c r="EAH247" s="29" t="e">
        <f t="shared" si="97"/>
        <v>#REF!</v>
      </c>
      <c r="EAI247" s="29" t="e">
        <f t="shared" si="97"/>
        <v>#REF!</v>
      </c>
      <c r="EAJ247" s="29" t="e">
        <f t="shared" si="97"/>
        <v>#REF!</v>
      </c>
      <c r="EAK247" s="29" t="e">
        <f t="shared" si="97"/>
        <v>#REF!</v>
      </c>
      <c r="EAL247" s="29" t="e">
        <f t="shared" si="97"/>
        <v>#REF!</v>
      </c>
      <c r="EAM247" s="29" t="e">
        <f t="shared" si="97"/>
        <v>#REF!</v>
      </c>
      <c r="EAN247" s="29" t="e">
        <f t="shared" si="97"/>
        <v>#REF!</v>
      </c>
      <c r="EAO247" s="29" t="e">
        <f t="shared" si="97"/>
        <v>#REF!</v>
      </c>
      <c r="EAP247" s="29" t="e">
        <f t="shared" si="97"/>
        <v>#REF!</v>
      </c>
      <c r="EAQ247" s="29" t="e">
        <f t="shared" si="97"/>
        <v>#REF!</v>
      </c>
      <c r="EAR247" s="29" t="e">
        <f t="shared" si="97"/>
        <v>#REF!</v>
      </c>
      <c r="EAS247" s="29" t="e">
        <f t="shared" si="97"/>
        <v>#REF!</v>
      </c>
      <c r="EAT247" s="29" t="e">
        <f t="shared" si="97"/>
        <v>#REF!</v>
      </c>
      <c r="EAU247" s="29" t="e">
        <f t="shared" si="97"/>
        <v>#REF!</v>
      </c>
      <c r="EAV247" s="29" t="e">
        <f t="shared" si="97"/>
        <v>#REF!</v>
      </c>
      <c r="EAW247" s="29" t="e">
        <f t="shared" si="97"/>
        <v>#REF!</v>
      </c>
      <c r="EAX247" s="29" t="e">
        <f t="shared" si="97"/>
        <v>#REF!</v>
      </c>
      <c r="EAY247" s="29" t="e">
        <f t="shared" si="97"/>
        <v>#REF!</v>
      </c>
      <c r="EAZ247" s="29" t="e">
        <f t="shared" si="97"/>
        <v>#REF!</v>
      </c>
      <c r="EBA247" s="29" t="e">
        <f t="shared" si="97"/>
        <v>#REF!</v>
      </c>
      <c r="EBB247" s="29" t="e">
        <f t="shared" si="97"/>
        <v>#REF!</v>
      </c>
      <c r="EBC247" s="29" t="e">
        <f t="shared" si="97"/>
        <v>#REF!</v>
      </c>
      <c r="EBD247" s="29" t="e">
        <f t="shared" si="97"/>
        <v>#REF!</v>
      </c>
      <c r="EBE247" s="29" t="e">
        <f t="shared" si="97"/>
        <v>#REF!</v>
      </c>
      <c r="EBF247" s="29" t="e">
        <f t="shared" si="97"/>
        <v>#REF!</v>
      </c>
      <c r="EBG247" s="29" t="e">
        <f t="shared" si="97"/>
        <v>#REF!</v>
      </c>
      <c r="EBH247" s="29" t="e">
        <f t="shared" si="97"/>
        <v>#REF!</v>
      </c>
      <c r="EBI247" s="29" t="e">
        <f t="shared" si="97"/>
        <v>#REF!</v>
      </c>
      <c r="EBJ247" s="29" t="e">
        <f t="shared" si="97"/>
        <v>#REF!</v>
      </c>
      <c r="EBK247" s="29" t="e">
        <f t="shared" si="97"/>
        <v>#REF!</v>
      </c>
      <c r="EBL247" s="29" t="e">
        <f t="shared" si="97"/>
        <v>#REF!</v>
      </c>
      <c r="EBM247" s="29" t="e">
        <f t="shared" si="97"/>
        <v>#REF!</v>
      </c>
      <c r="EBN247" s="29" t="e">
        <f t="shared" si="97"/>
        <v>#REF!</v>
      </c>
      <c r="EBO247" s="29" t="e">
        <f t="shared" si="97"/>
        <v>#REF!</v>
      </c>
      <c r="EBP247" s="29" t="e">
        <f t="shared" si="97"/>
        <v>#REF!</v>
      </c>
      <c r="EBQ247" s="29" t="e">
        <f t="shared" si="97"/>
        <v>#REF!</v>
      </c>
      <c r="EBR247" s="29" t="e">
        <f t="shared" si="97"/>
        <v>#REF!</v>
      </c>
      <c r="EBS247" s="29" t="e">
        <f t="shared" si="97"/>
        <v>#REF!</v>
      </c>
      <c r="EBT247" s="29" t="e">
        <f t="shared" si="97"/>
        <v>#REF!</v>
      </c>
      <c r="EBU247" s="29" t="e">
        <f t="shared" si="97"/>
        <v>#REF!</v>
      </c>
      <c r="EBV247" s="29" t="e">
        <f t="shared" si="97"/>
        <v>#REF!</v>
      </c>
      <c r="EBW247" s="29" t="e">
        <f t="shared" si="97"/>
        <v>#REF!</v>
      </c>
      <c r="EBX247" s="29" t="e">
        <f t="shared" si="97"/>
        <v>#REF!</v>
      </c>
      <c r="EBY247" s="29" t="e">
        <f t="shared" si="97"/>
        <v>#REF!</v>
      </c>
      <c r="EBZ247" s="29" t="e">
        <f t="shared" si="97"/>
        <v>#REF!</v>
      </c>
      <c r="ECA247" s="29" t="e">
        <f t="shared" si="97"/>
        <v>#REF!</v>
      </c>
      <c r="ECB247" s="29" t="e">
        <f t="shared" si="97"/>
        <v>#REF!</v>
      </c>
      <c r="ECC247" s="29" t="e">
        <f t="shared" si="97"/>
        <v>#REF!</v>
      </c>
      <c r="ECD247" s="29" t="e">
        <f t="shared" si="97"/>
        <v>#REF!</v>
      </c>
      <c r="ECE247" s="29" t="e">
        <f t="shared" si="97"/>
        <v>#REF!</v>
      </c>
      <c r="ECF247" s="29" t="e">
        <f t="shared" si="97"/>
        <v>#REF!</v>
      </c>
      <c r="ECG247" s="29" t="e">
        <f t="shared" si="97"/>
        <v>#REF!</v>
      </c>
      <c r="ECH247" s="29" t="e">
        <f t="shared" si="97"/>
        <v>#REF!</v>
      </c>
      <c r="ECI247" s="29" t="e">
        <f t="shared" si="97"/>
        <v>#REF!</v>
      </c>
      <c r="ECJ247" s="29" t="e">
        <f t="shared" si="97"/>
        <v>#REF!</v>
      </c>
      <c r="ECK247" s="29" t="e">
        <f t="shared" si="97"/>
        <v>#REF!</v>
      </c>
      <c r="ECL247" s="29" t="e">
        <f t="shared" si="97"/>
        <v>#REF!</v>
      </c>
      <c r="ECM247" s="29" t="e">
        <f t="shared" si="97"/>
        <v>#REF!</v>
      </c>
      <c r="ECN247" s="29" t="e">
        <f t="shared" si="97"/>
        <v>#REF!</v>
      </c>
      <c r="ECO247" s="29" t="e">
        <f t="shared" ref="ECO247:EEZ247" si="98">ECS247&amp;ECT247</f>
        <v>#REF!</v>
      </c>
      <c r="ECP247" s="29" t="e">
        <f t="shared" si="98"/>
        <v>#REF!</v>
      </c>
      <c r="ECQ247" s="29" t="e">
        <f t="shared" si="98"/>
        <v>#REF!</v>
      </c>
      <c r="ECR247" s="29" t="e">
        <f t="shared" si="98"/>
        <v>#REF!</v>
      </c>
      <c r="ECS247" s="29" t="e">
        <f t="shared" si="98"/>
        <v>#REF!</v>
      </c>
      <c r="ECT247" s="29" t="e">
        <f t="shared" si="98"/>
        <v>#REF!</v>
      </c>
      <c r="ECU247" s="29" t="e">
        <f t="shared" si="98"/>
        <v>#REF!</v>
      </c>
      <c r="ECV247" s="29" t="e">
        <f t="shared" si="98"/>
        <v>#REF!</v>
      </c>
      <c r="ECW247" s="29" t="e">
        <f t="shared" si="98"/>
        <v>#REF!</v>
      </c>
      <c r="ECX247" s="29" t="e">
        <f t="shared" si="98"/>
        <v>#REF!</v>
      </c>
      <c r="ECY247" s="29" t="e">
        <f t="shared" si="98"/>
        <v>#REF!</v>
      </c>
      <c r="ECZ247" s="29" t="e">
        <f t="shared" si="98"/>
        <v>#REF!</v>
      </c>
      <c r="EDA247" s="29" t="e">
        <f t="shared" si="98"/>
        <v>#REF!</v>
      </c>
      <c r="EDB247" s="29" t="e">
        <f t="shared" si="98"/>
        <v>#REF!</v>
      </c>
      <c r="EDC247" s="29" t="e">
        <f t="shared" si="98"/>
        <v>#REF!</v>
      </c>
      <c r="EDD247" s="29" t="e">
        <f t="shared" si="98"/>
        <v>#REF!</v>
      </c>
      <c r="EDE247" s="29" t="e">
        <f t="shared" si="98"/>
        <v>#REF!</v>
      </c>
      <c r="EDF247" s="29" t="e">
        <f t="shared" si="98"/>
        <v>#REF!</v>
      </c>
      <c r="EDG247" s="29" t="e">
        <f t="shared" si="98"/>
        <v>#REF!</v>
      </c>
      <c r="EDH247" s="29" t="e">
        <f t="shared" si="98"/>
        <v>#REF!</v>
      </c>
      <c r="EDI247" s="29" t="e">
        <f t="shared" si="98"/>
        <v>#REF!</v>
      </c>
      <c r="EDJ247" s="29" t="e">
        <f t="shared" si="98"/>
        <v>#REF!</v>
      </c>
      <c r="EDK247" s="29" t="e">
        <f t="shared" si="98"/>
        <v>#REF!</v>
      </c>
      <c r="EDL247" s="29" t="e">
        <f t="shared" si="98"/>
        <v>#REF!</v>
      </c>
      <c r="EDM247" s="29" t="e">
        <f t="shared" si="98"/>
        <v>#REF!</v>
      </c>
      <c r="EDN247" s="29" t="e">
        <f t="shared" si="98"/>
        <v>#REF!</v>
      </c>
      <c r="EDO247" s="29" t="e">
        <f t="shared" si="98"/>
        <v>#REF!</v>
      </c>
      <c r="EDP247" s="29" t="e">
        <f t="shared" si="98"/>
        <v>#REF!</v>
      </c>
      <c r="EDQ247" s="29" t="e">
        <f t="shared" si="98"/>
        <v>#REF!</v>
      </c>
      <c r="EDR247" s="29" t="e">
        <f t="shared" si="98"/>
        <v>#REF!</v>
      </c>
      <c r="EDS247" s="29" t="e">
        <f t="shared" si="98"/>
        <v>#REF!</v>
      </c>
      <c r="EDT247" s="29" t="e">
        <f t="shared" si="98"/>
        <v>#REF!</v>
      </c>
      <c r="EDU247" s="29" t="e">
        <f t="shared" si="98"/>
        <v>#REF!</v>
      </c>
      <c r="EDV247" s="29" t="e">
        <f t="shared" si="98"/>
        <v>#REF!</v>
      </c>
      <c r="EDW247" s="29" t="e">
        <f t="shared" si="98"/>
        <v>#REF!</v>
      </c>
      <c r="EDX247" s="29" t="e">
        <f t="shared" si="98"/>
        <v>#REF!</v>
      </c>
      <c r="EDY247" s="29" t="e">
        <f t="shared" si="98"/>
        <v>#REF!</v>
      </c>
      <c r="EDZ247" s="29" t="e">
        <f t="shared" si="98"/>
        <v>#REF!</v>
      </c>
      <c r="EEA247" s="29" t="e">
        <f t="shared" si="98"/>
        <v>#REF!</v>
      </c>
      <c r="EEB247" s="29" t="e">
        <f t="shared" si="98"/>
        <v>#REF!</v>
      </c>
      <c r="EEC247" s="29" t="e">
        <f t="shared" si="98"/>
        <v>#REF!</v>
      </c>
      <c r="EED247" s="29" t="e">
        <f t="shared" si="98"/>
        <v>#REF!</v>
      </c>
      <c r="EEE247" s="29" t="e">
        <f t="shared" si="98"/>
        <v>#REF!</v>
      </c>
      <c r="EEF247" s="29" t="e">
        <f t="shared" si="98"/>
        <v>#REF!</v>
      </c>
      <c r="EEG247" s="29" t="e">
        <f t="shared" si="98"/>
        <v>#REF!</v>
      </c>
      <c r="EEH247" s="29" t="e">
        <f t="shared" si="98"/>
        <v>#REF!</v>
      </c>
      <c r="EEI247" s="29" t="e">
        <f t="shared" si="98"/>
        <v>#REF!</v>
      </c>
      <c r="EEJ247" s="29" t="e">
        <f t="shared" si="98"/>
        <v>#REF!</v>
      </c>
      <c r="EEK247" s="29" t="e">
        <f t="shared" si="98"/>
        <v>#REF!</v>
      </c>
      <c r="EEL247" s="29" t="e">
        <f t="shared" si="98"/>
        <v>#REF!</v>
      </c>
      <c r="EEM247" s="29" t="e">
        <f t="shared" si="98"/>
        <v>#REF!</v>
      </c>
      <c r="EEN247" s="29" t="e">
        <f t="shared" si="98"/>
        <v>#REF!</v>
      </c>
      <c r="EEO247" s="29" t="e">
        <f t="shared" si="98"/>
        <v>#REF!</v>
      </c>
      <c r="EEP247" s="29" t="e">
        <f t="shared" si="98"/>
        <v>#REF!</v>
      </c>
      <c r="EEQ247" s="29" t="e">
        <f t="shared" si="98"/>
        <v>#REF!</v>
      </c>
      <c r="EER247" s="29" t="e">
        <f t="shared" si="98"/>
        <v>#REF!</v>
      </c>
      <c r="EES247" s="29" t="e">
        <f t="shared" si="98"/>
        <v>#REF!</v>
      </c>
      <c r="EET247" s="29" t="e">
        <f t="shared" si="98"/>
        <v>#REF!</v>
      </c>
      <c r="EEU247" s="29" t="e">
        <f t="shared" si="98"/>
        <v>#REF!</v>
      </c>
      <c r="EEV247" s="29" t="e">
        <f t="shared" si="98"/>
        <v>#REF!</v>
      </c>
      <c r="EEW247" s="29" t="e">
        <f t="shared" si="98"/>
        <v>#REF!</v>
      </c>
      <c r="EEX247" s="29" t="e">
        <f t="shared" si="98"/>
        <v>#REF!</v>
      </c>
      <c r="EEY247" s="29" t="e">
        <f t="shared" si="98"/>
        <v>#REF!</v>
      </c>
      <c r="EEZ247" s="29" t="e">
        <f t="shared" si="98"/>
        <v>#REF!</v>
      </c>
      <c r="EFA247" s="29" t="e">
        <f t="shared" ref="EFA247:EHL247" si="99">EFE247&amp;EFF247</f>
        <v>#REF!</v>
      </c>
      <c r="EFB247" s="29" t="e">
        <f t="shared" si="99"/>
        <v>#REF!</v>
      </c>
      <c r="EFC247" s="29" t="e">
        <f t="shared" si="99"/>
        <v>#REF!</v>
      </c>
      <c r="EFD247" s="29" t="e">
        <f t="shared" si="99"/>
        <v>#REF!</v>
      </c>
      <c r="EFE247" s="29" t="e">
        <f t="shared" si="99"/>
        <v>#REF!</v>
      </c>
      <c r="EFF247" s="29" t="e">
        <f t="shared" si="99"/>
        <v>#REF!</v>
      </c>
      <c r="EFG247" s="29" t="e">
        <f t="shared" si="99"/>
        <v>#REF!</v>
      </c>
      <c r="EFH247" s="29" t="e">
        <f t="shared" si="99"/>
        <v>#REF!</v>
      </c>
      <c r="EFI247" s="29" t="e">
        <f t="shared" si="99"/>
        <v>#REF!</v>
      </c>
      <c r="EFJ247" s="29" t="e">
        <f t="shared" si="99"/>
        <v>#REF!</v>
      </c>
      <c r="EFK247" s="29" t="e">
        <f t="shared" si="99"/>
        <v>#REF!</v>
      </c>
      <c r="EFL247" s="29" t="e">
        <f t="shared" si="99"/>
        <v>#REF!</v>
      </c>
      <c r="EFM247" s="29" t="e">
        <f t="shared" si="99"/>
        <v>#REF!</v>
      </c>
      <c r="EFN247" s="29" t="e">
        <f t="shared" si="99"/>
        <v>#REF!</v>
      </c>
      <c r="EFO247" s="29" t="e">
        <f t="shared" si="99"/>
        <v>#REF!</v>
      </c>
      <c r="EFP247" s="29" t="e">
        <f t="shared" si="99"/>
        <v>#REF!</v>
      </c>
      <c r="EFQ247" s="29" t="e">
        <f t="shared" si="99"/>
        <v>#REF!</v>
      </c>
      <c r="EFR247" s="29" t="e">
        <f t="shared" si="99"/>
        <v>#REF!</v>
      </c>
      <c r="EFS247" s="29" t="e">
        <f t="shared" si="99"/>
        <v>#REF!</v>
      </c>
      <c r="EFT247" s="29" t="e">
        <f t="shared" si="99"/>
        <v>#REF!</v>
      </c>
      <c r="EFU247" s="29" t="e">
        <f t="shared" si="99"/>
        <v>#REF!</v>
      </c>
      <c r="EFV247" s="29" t="e">
        <f t="shared" si="99"/>
        <v>#REF!</v>
      </c>
      <c r="EFW247" s="29" t="e">
        <f t="shared" si="99"/>
        <v>#REF!</v>
      </c>
      <c r="EFX247" s="29" t="e">
        <f t="shared" si="99"/>
        <v>#REF!</v>
      </c>
      <c r="EFY247" s="29" t="e">
        <f t="shared" si="99"/>
        <v>#REF!</v>
      </c>
      <c r="EFZ247" s="29" t="e">
        <f t="shared" si="99"/>
        <v>#REF!</v>
      </c>
      <c r="EGA247" s="29" t="e">
        <f t="shared" si="99"/>
        <v>#REF!</v>
      </c>
      <c r="EGB247" s="29" t="e">
        <f t="shared" si="99"/>
        <v>#REF!</v>
      </c>
      <c r="EGC247" s="29" t="e">
        <f t="shared" si="99"/>
        <v>#REF!</v>
      </c>
      <c r="EGD247" s="29" t="e">
        <f t="shared" si="99"/>
        <v>#REF!</v>
      </c>
      <c r="EGE247" s="29" t="e">
        <f t="shared" si="99"/>
        <v>#REF!</v>
      </c>
      <c r="EGF247" s="29" t="e">
        <f t="shared" si="99"/>
        <v>#REF!</v>
      </c>
      <c r="EGG247" s="29" t="e">
        <f t="shared" si="99"/>
        <v>#REF!</v>
      </c>
      <c r="EGH247" s="29" t="e">
        <f t="shared" si="99"/>
        <v>#REF!</v>
      </c>
      <c r="EGI247" s="29" t="e">
        <f t="shared" si="99"/>
        <v>#REF!</v>
      </c>
      <c r="EGJ247" s="29" t="e">
        <f t="shared" si="99"/>
        <v>#REF!</v>
      </c>
      <c r="EGK247" s="29" t="e">
        <f t="shared" si="99"/>
        <v>#REF!</v>
      </c>
      <c r="EGL247" s="29" t="e">
        <f t="shared" si="99"/>
        <v>#REF!</v>
      </c>
      <c r="EGM247" s="29" t="e">
        <f t="shared" si="99"/>
        <v>#REF!</v>
      </c>
      <c r="EGN247" s="29" t="e">
        <f t="shared" si="99"/>
        <v>#REF!</v>
      </c>
      <c r="EGO247" s="29" t="e">
        <f t="shared" si="99"/>
        <v>#REF!</v>
      </c>
      <c r="EGP247" s="29" t="e">
        <f t="shared" si="99"/>
        <v>#REF!</v>
      </c>
      <c r="EGQ247" s="29" t="e">
        <f t="shared" si="99"/>
        <v>#REF!</v>
      </c>
      <c r="EGR247" s="29" t="e">
        <f t="shared" si="99"/>
        <v>#REF!</v>
      </c>
      <c r="EGS247" s="29" t="e">
        <f t="shared" si="99"/>
        <v>#REF!</v>
      </c>
      <c r="EGT247" s="29" t="e">
        <f t="shared" si="99"/>
        <v>#REF!</v>
      </c>
      <c r="EGU247" s="29" t="e">
        <f t="shared" si="99"/>
        <v>#REF!</v>
      </c>
      <c r="EGV247" s="29" t="e">
        <f t="shared" si="99"/>
        <v>#REF!</v>
      </c>
      <c r="EGW247" s="29" t="e">
        <f t="shared" si="99"/>
        <v>#REF!</v>
      </c>
      <c r="EGX247" s="29" t="e">
        <f t="shared" si="99"/>
        <v>#REF!</v>
      </c>
      <c r="EGY247" s="29" t="e">
        <f t="shared" si="99"/>
        <v>#REF!</v>
      </c>
      <c r="EGZ247" s="29" t="e">
        <f t="shared" si="99"/>
        <v>#REF!</v>
      </c>
      <c r="EHA247" s="29" t="e">
        <f t="shared" si="99"/>
        <v>#REF!</v>
      </c>
      <c r="EHB247" s="29" t="e">
        <f t="shared" si="99"/>
        <v>#REF!</v>
      </c>
      <c r="EHC247" s="29" t="e">
        <f t="shared" si="99"/>
        <v>#REF!</v>
      </c>
      <c r="EHD247" s="29" t="e">
        <f t="shared" si="99"/>
        <v>#REF!</v>
      </c>
      <c r="EHE247" s="29" t="e">
        <f t="shared" si="99"/>
        <v>#REF!</v>
      </c>
      <c r="EHF247" s="29" t="e">
        <f t="shared" si="99"/>
        <v>#REF!</v>
      </c>
      <c r="EHG247" s="29" t="e">
        <f t="shared" si="99"/>
        <v>#REF!</v>
      </c>
      <c r="EHH247" s="29" t="e">
        <f t="shared" si="99"/>
        <v>#REF!</v>
      </c>
      <c r="EHI247" s="29" t="e">
        <f t="shared" si="99"/>
        <v>#REF!</v>
      </c>
      <c r="EHJ247" s="29" t="e">
        <f t="shared" si="99"/>
        <v>#REF!</v>
      </c>
      <c r="EHK247" s="29" t="e">
        <f t="shared" si="99"/>
        <v>#REF!</v>
      </c>
      <c r="EHL247" s="29" t="e">
        <f t="shared" si="99"/>
        <v>#REF!</v>
      </c>
      <c r="EHM247" s="29" t="e">
        <f t="shared" ref="EHM247:EJX247" si="100">EHQ247&amp;EHR247</f>
        <v>#REF!</v>
      </c>
      <c r="EHN247" s="29" t="e">
        <f t="shared" si="100"/>
        <v>#REF!</v>
      </c>
      <c r="EHO247" s="29" t="e">
        <f t="shared" si="100"/>
        <v>#REF!</v>
      </c>
      <c r="EHP247" s="29" t="e">
        <f t="shared" si="100"/>
        <v>#REF!</v>
      </c>
      <c r="EHQ247" s="29" t="e">
        <f t="shared" si="100"/>
        <v>#REF!</v>
      </c>
      <c r="EHR247" s="29" t="e">
        <f t="shared" si="100"/>
        <v>#REF!</v>
      </c>
      <c r="EHS247" s="29" t="e">
        <f t="shared" si="100"/>
        <v>#REF!</v>
      </c>
      <c r="EHT247" s="29" t="e">
        <f t="shared" si="100"/>
        <v>#REF!</v>
      </c>
      <c r="EHU247" s="29" t="e">
        <f t="shared" si="100"/>
        <v>#REF!</v>
      </c>
      <c r="EHV247" s="29" t="e">
        <f t="shared" si="100"/>
        <v>#REF!</v>
      </c>
      <c r="EHW247" s="29" t="e">
        <f t="shared" si="100"/>
        <v>#REF!</v>
      </c>
      <c r="EHX247" s="29" t="e">
        <f t="shared" si="100"/>
        <v>#REF!</v>
      </c>
      <c r="EHY247" s="29" t="e">
        <f t="shared" si="100"/>
        <v>#REF!</v>
      </c>
      <c r="EHZ247" s="29" t="e">
        <f t="shared" si="100"/>
        <v>#REF!</v>
      </c>
      <c r="EIA247" s="29" t="e">
        <f t="shared" si="100"/>
        <v>#REF!</v>
      </c>
      <c r="EIB247" s="29" t="e">
        <f t="shared" si="100"/>
        <v>#REF!</v>
      </c>
      <c r="EIC247" s="29" t="e">
        <f t="shared" si="100"/>
        <v>#REF!</v>
      </c>
      <c r="EID247" s="29" t="e">
        <f t="shared" si="100"/>
        <v>#REF!</v>
      </c>
      <c r="EIE247" s="29" t="e">
        <f t="shared" si="100"/>
        <v>#REF!</v>
      </c>
      <c r="EIF247" s="29" t="e">
        <f t="shared" si="100"/>
        <v>#REF!</v>
      </c>
      <c r="EIG247" s="29" t="e">
        <f t="shared" si="100"/>
        <v>#REF!</v>
      </c>
      <c r="EIH247" s="29" t="e">
        <f t="shared" si="100"/>
        <v>#REF!</v>
      </c>
      <c r="EII247" s="29" t="e">
        <f t="shared" si="100"/>
        <v>#REF!</v>
      </c>
      <c r="EIJ247" s="29" t="e">
        <f t="shared" si="100"/>
        <v>#REF!</v>
      </c>
      <c r="EIK247" s="29" t="e">
        <f t="shared" si="100"/>
        <v>#REF!</v>
      </c>
      <c r="EIL247" s="29" t="e">
        <f t="shared" si="100"/>
        <v>#REF!</v>
      </c>
      <c r="EIM247" s="29" t="e">
        <f t="shared" si="100"/>
        <v>#REF!</v>
      </c>
      <c r="EIN247" s="29" t="e">
        <f t="shared" si="100"/>
        <v>#REF!</v>
      </c>
      <c r="EIO247" s="29" t="e">
        <f t="shared" si="100"/>
        <v>#REF!</v>
      </c>
      <c r="EIP247" s="29" t="e">
        <f t="shared" si="100"/>
        <v>#REF!</v>
      </c>
      <c r="EIQ247" s="29" t="e">
        <f t="shared" si="100"/>
        <v>#REF!</v>
      </c>
      <c r="EIR247" s="29" t="e">
        <f t="shared" si="100"/>
        <v>#REF!</v>
      </c>
      <c r="EIS247" s="29" t="e">
        <f t="shared" si="100"/>
        <v>#REF!</v>
      </c>
      <c r="EIT247" s="29" t="e">
        <f t="shared" si="100"/>
        <v>#REF!</v>
      </c>
      <c r="EIU247" s="29" t="e">
        <f t="shared" si="100"/>
        <v>#REF!</v>
      </c>
      <c r="EIV247" s="29" t="e">
        <f t="shared" si="100"/>
        <v>#REF!</v>
      </c>
      <c r="EIW247" s="29" t="e">
        <f t="shared" si="100"/>
        <v>#REF!</v>
      </c>
      <c r="EIX247" s="29" t="e">
        <f t="shared" si="100"/>
        <v>#REF!</v>
      </c>
      <c r="EIY247" s="29" t="e">
        <f t="shared" si="100"/>
        <v>#REF!</v>
      </c>
      <c r="EIZ247" s="29" t="e">
        <f t="shared" si="100"/>
        <v>#REF!</v>
      </c>
      <c r="EJA247" s="29" t="e">
        <f t="shared" si="100"/>
        <v>#REF!</v>
      </c>
      <c r="EJB247" s="29" t="e">
        <f t="shared" si="100"/>
        <v>#REF!</v>
      </c>
      <c r="EJC247" s="29" t="e">
        <f t="shared" si="100"/>
        <v>#REF!</v>
      </c>
      <c r="EJD247" s="29" t="e">
        <f t="shared" si="100"/>
        <v>#REF!</v>
      </c>
      <c r="EJE247" s="29" t="e">
        <f t="shared" si="100"/>
        <v>#REF!</v>
      </c>
      <c r="EJF247" s="29" t="e">
        <f t="shared" si="100"/>
        <v>#REF!</v>
      </c>
      <c r="EJG247" s="29" t="e">
        <f t="shared" si="100"/>
        <v>#REF!</v>
      </c>
      <c r="EJH247" s="29" t="e">
        <f t="shared" si="100"/>
        <v>#REF!</v>
      </c>
      <c r="EJI247" s="29" t="e">
        <f t="shared" si="100"/>
        <v>#REF!</v>
      </c>
      <c r="EJJ247" s="29" t="e">
        <f t="shared" si="100"/>
        <v>#REF!</v>
      </c>
      <c r="EJK247" s="29" t="e">
        <f t="shared" si="100"/>
        <v>#REF!</v>
      </c>
      <c r="EJL247" s="29" t="e">
        <f t="shared" si="100"/>
        <v>#REF!</v>
      </c>
      <c r="EJM247" s="29" t="e">
        <f t="shared" si="100"/>
        <v>#REF!</v>
      </c>
      <c r="EJN247" s="29" t="e">
        <f t="shared" si="100"/>
        <v>#REF!</v>
      </c>
      <c r="EJO247" s="29" t="e">
        <f t="shared" si="100"/>
        <v>#REF!</v>
      </c>
      <c r="EJP247" s="29" t="e">
        <f t="shared" si="100"/>
        <v>#REF!</v>
      </c>
      <c r="EJQ247" s="29" t="e">
        <f t="shared" si="100"/>
        <v>#REF!</v>
      </c>
      <c r="EJR247" s="29" t="e">
        <f t="shared" si="100"/>
        <v>#REF!</v>
      </c>
      <c r="EJS247" s="29" t="e">
        <f t="shared" si="100"/>
        <v>#REF!</v>
      </c>
      <c r="EJT247" s="29" t="e">
        <f t="shared" si="100"/>
        <v>#REF!</v>
      </c>
      <c r="EJU247" s="29" t="e">
        <f t="shared" si="100"/>
        <v>#REF!</v>
      </c>
      <c r="EJV247" s="29" t="e">
        <f t="shared" si="100"/>
        <v>#REF!</v>
      </c>
      <c r="EJW247" s="29" t="e">
        <f t="shared" si="100"/>
        <v>#REF!</v>
      </c>
      <c r="EJX247" s="29" t="e">
        <f t="shared" si="100"/>
        <v>#REF!</v>
      </c>
      <c r="EJY247" s="29" t="e">
        <f t="shared" ref="EJY247:EMJ247" si="101">EKC247&amp;EKD247</f>
        <v>#REF!</v>
      </c>
      <c r="EJZ247" s="29" t="e">
        <f t="shared" si="101"/>
        <v>#REF!</v>
      </c>
      <c r="EKA247" s="29" t="e">
        <f t="shared" si="101"/>
        <v>#REF!</v>
      </c>
      <c r="EKB247" s="29" t="e">
        <f t="shared" si="101"/>
        <v>#REF!</v>
      </c>
      <c r="EKC247" s="29" t="e">
        <f t="shared" si="101"/>
        <v>#REF!</v>
      </c>
      <c r="EKD247" s="29" t="e">
        <f t="shared" si="101"/>
        <v>#REF!</v>
      </c>
      <c r="EKE247" s="29" t="e">
        <f t="shared" si="101"/>
        <v>#REF!</v>
      </c>
      <c r="EKF247" s="29" t="e">
        <f t="shared" si="101"/>
        <v>#REF!</v>
      </c>
      <c r="EKG247" s="29" t="e">
        <f t="shared" si="101"/>
        <v>#REF!</v>
      </c>
      <c r="EKH247" s="29" t="e">
        <f t="shared" si="101"/>
        <v>#REF!</v>
      </c>
      <c r="EKI247" s="29" t="e">
        <f t="shared" si="101"/>
        <v>#REF!</v>
      </c>
      <c r="EKJ247" s="29" t="e">
        <f t="shared" si="101"/>
        <v>#REF!</v>
      </c>
      <c r="EKK247" s="29" t="e">
        <f t="shared" si="101"/>
        <v>#REF!</v>
      </c>
      <c r="EKL247" s="29" t="e">
        <f t="shared" si="101"/>
        <v>#REF!</v>
      </c>
      <c r="EKM247" s="29" t="e">
        <f t="shared" si="101"/>
        <v>#REF!</v>
      </c>
      <c r="EKN247" s="29" t="e">
        <f t="shared" si="101"/>
        <v>#REF!</v>
      </c>
      <c r="EKO247" s="29" t="e">
        <f t="shared" si="101"/>
        <v>#REF!</v>
      </c>
      <c r="EKP247" s="29" t="e">
        <f t="shared" si="101"/>
        <v>#REF!</v>
      </c>
      <c r="EKQ247" s="29" t="e">
        <f t="shared" si="101"/>
        <v>#REF!</v>
      </c>
      <c r="EKR247" s="29" t="e">
        <f t="shared" si="101"/>
        <v>#REF!</v>
      </c>
      <c r="EKS247" s="29" t="e">
        <f t="shared" si="101"/>
        <v>#REF!</v>
      </c>
      <c r="EKT247" s="29" t="e">
        <f t="shared" si="101"/>
        <v>#REF!</v>
      </c>
      <c r="EKU247" s="29" t="e">
        <f t="shared" si="101"/>
        <v>#REF!</v>
      </c>
      <c r="EKV247" s="29" t="e">
        <f t="shared" si="101"/>
        <v>#REF!</v>
      </c>
      <c r="EKW247" s="29" t="e">
        <f t="shared" si="101"/>
        <v>#REF!</v>
      </c>
      <c r="EKX247" s="29" t="e">
        <f t="shared" si="101"/>
        <v>#REF!</v>
      </c>
      <c r="EKY247" s="29" t="e">
        <f t="shared" si="101"/>
        <v>#REF!</v>
      </c>
      <c r="EKZ247" s="29" t="e">
        <f t="shared" si="101"/>
        <v>#REF!</v>
      </c>
      <c r="ELA247" s="29" t="e">
        <f t="shared" si="101"/>
        <v>#REF!</v>
      </c>
      <c r="ELB247" s="29" t="e">
        <f t="shared" si="101"/>
        <v>#REF!</v>
      </c>
      <c r="ELC247" s="29" t="e">
        <f t="shared" si="101"/>
        <v>#REF!</v>
      </c>
      <c r="ELD247" s="29" t="e">
        <f t="shared" si="101"/>
        <v>#REF!</v>
      </c>
      <c r="ELE247" s="29" t="e">
        <f t="shared" si="101"/>
        <v>#REF!</v>
      </c>
      <c r="ELF247" s="29" t="e">
        <f t="shared" si="101"/>
        <v>#REF!</v>
      </c>
      <c r="ELG247" s="29" t="e">
        <f t="shared" si="101"/>
        <v>#REF!</v>
      </c>
      <c r="ELH247" s="29" t="e">
        <f t="shared" si="101"/>
        <v>#REF!</v>
      </c>
      <c r="ELI247" s="29" t="e">
        <f t="shared" si="101"/>
        <v>#REF!</v>
      </c>
      <c r="ELJ247" s="29" t="e">
        <f t="shared" si="101"/>
        <v>#REF!</v>
      </c>
      <c r="ELK247" s="29" t="e">
        <f t="shared" si="101"/>
        <v>#REF!</v>
      </c>
      <c r="ELL247" s="29" t="e">
        <f t="shared" si="101"/>
        <v>#REF!</v>
      </c>
      <c r="ELM247" s="29" t="e">
        <f t="shared" si="101"/>
        <v>#REF!</v>
      </c>
      <c r="ELN247" s="29" t="e">
        <f t="shared" si="101"/>
        <v>#REF!</v>
      </c>
      <c r="ELO247" s="29" t="e">
        <f t="shared" si="101"/>
        <v>#REF!</v>
      </c>
      <c r="ELP247" s="29" t="e">
        <f t="shared" si="101"/>
        <v>#REF!</v>
      </c>
      <c r="ELQ247" s="29" t="e">
        <f t="shared" si="101"/>
        <v>#REF!</v>
      </c>
      <c r="ELR247" s="29" t="e">
        <f t="shared" si="101"/>
        <v>#REF!</v>
      </c>
      <c r="ELS247" s="29" t="e">
        <f t="shared" si="101"/>
        <v>#REF!</v>
      </c>
      <c r="ELT247" s="29" t="e">
        <f t="shared" si="101"/>
        <v>#REF!</v>
      </c>
      <c r="ELU247" s="29" t="e">
        <f t="shared" si="101"/>
        <v>#REF!</v>
      </c>
      <c r="ELV247" s="29" t="e">
        <f t="shared" si="101"/>
        <v>#REF!</v>
      </c>
      <c r="ELW247" s="29" t="e">
        <f t="shared" si="101"/>
        <v>#REF!</v>
      </c>
      <c r="ELX247" s="29" t="e">
        <f t="shared" si="101"/>
        <v>#REF!</v>
      </c>
      <c r="ELY247" s="29" t="e">
        <f t="shared" si="101"/>
        <v>#REF!</v>
      </c>
      <c r="ELZ247" s="29" t="e">
        <f t="shared" si="101"/>
        <v>#REF!</v>
      </c>
      <c r="EMA247" s="29" t="e">
        <f t="shared" si="101"/>
        <v>#REF!</v>
      </c>
      <c r="EMB247" s="29" t="e">
        <f t="shared" si="101"/>
        <v>#REF!</v>
      </c>
      <c r="EMC247" s="29" t="e">
        <f t="shared" si="101"/>
        <v>#REF!</v>
      </c>
      <c r="EMD247" s="29" t="e">
        <f t="shared" si="101"/>
        <v>#REF!</v>
      </c>
      <c r="EME247" s="29" t="e">
        <f t="shared" si="101"/>
        <v>#REF!</v>
      </c>
      <c r="EMF247" s="29" t="e">
        <f t="shared" si="101"/>
        <v>#REF!</v>
      </c>
      <c r="EMG247" s="29" t="e">
        <f t="shared" si="101"/>
        <v>#REF!</v>
      </c>
      <c r="EMH247" s="29" t="e">
        <f t="shared" si="101"/>
        <v>#REF!</v>
      </c>
      <c r="EMI247" s="29" t="e">
        <f t="shared" si="101"/>
        <v>#REF!</v>
      </c>
      <c r="EMJ247" s="29" t="e">
        <f t="shared" si="101"/>
        <v>#REF!</v>
      </c>
      <c r="EMK247" s="29" t="e">
        <f t="shared" ref="EMK247:EOV247" si="102">EMO247&amp;EMP247</f>
        <v>#REF!</v>
      </c>
      <c r="EML247" s="29" t="e">
        <f t="shared" si="102"/>
        <v>#REF!</v>
      </c>
      <c r="EMM247" s="29" t="e">
        <f t="shared" si="102"/>
        <v>#REF!</v>
      </c>
      <c r="EMN247" s="29" t="e">
        <f t="shared" si="102"/>
        <v>#REF!</v>
      </c>
      <c r="EMO247" s="29" t="e">
        <f t="shared" si="102"/>
        <v>#REF!</v>
      </c>
      <c r="EMP247" s="29" t="e">
        <f t="shared" si="102"/>
        <v>#REF!</v>
      </c>
      <c r="EMQ247" s="29" t="e">
        <f t="shared" si="102"/>
        <v>#REF!</v>
      </c>
      <c r="EMR247" s="29" t="e">
        <f t="shared" si="102"/>
        <v>#REF!</v>
      </c>
      <c r="EMS247" s="29" t="e">
        <f t="shared" si="102"/>
        <v>#REF!</v>
      </c>
      <c r="EMT247" s="29" t="e">
        <f t="shared" si="102"/>
        <v>#REF!</v>
      </c>
      <c r="EMU247" s="29" t="e">
        <f t="shared" si="102"/>
        <v>#REF!</v>
      </c>
      <c r="EMV247" s="29" t="e">
        <f t="shared" si="102"/>
        <v>#REF!</v>
      </c>
      <c r="EMW247" s="29" t="e">
        <f t="shared" si="102"/>
        <v>#REF!</v>
      </c>
      <c r="EMX247" s="29" t="e">
        <f t="shared" si="102"/>
        <v>#REF!</v>
      </c>
      <c r="EMY247" s="29" t="e">
        <f t="shared" si="102"/>
        <v>#REF!</v>
      </c>
      <c r="EMZ247" s="29" t="e">
        <f t="shared" si="102"/>
        <v>#REF!</v>
      </c>
      <c r="ENA247" s="29" t="e">
        <f t="shared" si="102"/>
        <v>#REF!</v>
      </c>
      <c r="ENB247" s="29" t="e">
        <f t="shared" si="102"/>
        <v>#REF!</v>
      </c>
      <c r="ENC247" s="29" t="e">
        <f t="shared" si="102"/>
        <v>#REF!</v>
      </c>
      <c r="END247" s="29" t="e">
        <f t="shared" si="102"/>
        <v>#REF!</v>
      </c>
      <c r="ENE247" s="29" t="e">
        <f t="shared" si="102"/>
        <v>#REF!</v>
      </c>
      <c r="ENF247" s="29" t="e">
        <f t="shared" si="102"/>
        <v>#REF!</v>
      </c>
      <c r="ENG247" s="29" t="e">
        <f t="shared" si="102"/>
        <v>#REF!</v>
      </c>
      <c r="ENH247" s="29" t="e">
        <f t="shared" si="102"/>
        <v>#REF!</v>
      </c>
      <c r="ENI247" s="29" t="e">
        <f t="shared" si="102"/>
        <v>#REF!</v>
      </c>
      <c r="ENJ247" s="29" t="e">
        <f t="shared" si="102"/>
        <v>#REF!</v>
      </c>
      <c r="ENK247" s="29" t="e">
        <f t="shared" si="102"/>
        <v>#REF!</v>
      </c>
      <c r="ENL247" s="29" t="e">
        <f t="shared" si="102"/>
        <v>#REF!</v>
      </c>
      <c r="ENM247" s="29" t="e">
        <f t="shared" si="102"/>
        <v>#REF!</v>
      </c>
      <c r="ENN247" s="29" t="e">
        <f t="shared" si="102"/>
        <v>#REF!</v>
      </c>
      <c r="ENO247" s="29" t="e">
        <f t="shared" si="102"/>
        <v>#REF!</v>
      </c>
      <c r="ENP247" s="29" t="e">
        <f t="shared" si="102"/>
        <v>#REF!</v>
      </c>
      <c r="ENQ247" s="29" t="e">
        <f t="shared" si="102"/>
        <v>#REF!</v>
      </c>
      <c r="ENR247" s="29" t="e">
        <f t="shared" si="102"/>
        <v>#REF!</v>
      </c>
      <c r="ENS247" s="29" t="e">
        <f t="shared" si="102"/>
        <v>#REF!</v>
      </c>
      <c r="ENT247" s="29" t="e">
        <f t="shared" si="102"/>
        <v>#REF!</v>
      </c>
      <c r="ENU247" s="29" t="e">
        <f t="shared" si="102"/>
        <v>#REF!</v>
      </c>
      <c r="ENV247" s="29" t="e">
        <f t="shared" si="102"/>
        <v>#REF!</v>
      </c>
      <c r="ENW247" s="29" t="e">
        <f t="shared" si="102"/>
        <v>#REF!</v>
      </c>
      <c r="ENX247" s="29" t="e">
        <f t="shared" si="102"/>
        <v>#REF!</v>
      </c>
      <c r="ENY247" s="29" t="e">
        <f t="shared" si="102"/>
        <v>#REF!</v>
      </c>
      <c r="ENZ247" s="29" t="e">
        <f t="shared" si="102"/>
        <v>#REF!</v>
      </c>
      <c r="EOA247" s="29" t="e">
        <f t="shared" si="102"/>
        <v>#REF!</v>
      </c>
      <c r="EOB247" s="29" t="e">
        <f t="shared" si="102"/>
        <v>#REF!</v>
      </c>
      <c r="EOC247" s="29" t="e">
        <f t="shared" si="102"/>
        <v>#REF!</v>
      </c>
      <c r="EOD247" s="29" t="e">
        <f t="shared" si="102"/>
        <v>#REF!</v>
      </c>
      <c r="EOE247" s="29" t="e">
        <f t="shared" si="102"/>
        <v>#REF!</v>
      </c>
      <c r="EOF247" s="29" t="e">
        <f t="shared" si="102"/>
        <v>#REF!</v>
      </c>
      <c r="EOG247" s="29" t="e">
        <f t="shared" si="102"/>
        <v>#REF!</v>
      </c>
      <c r="EOH247" s="29" t="e">
        <f t="shared" si="102"/>
        <v>#REF!</v>
      </c>
      <c r="EOI247" s="29" t="e">
        <f t="shared" si="102"/>
        <v>#REF!</v>
      </c>
      <c r="EOJ247" s="29" t="e">
        <f t="shared" si="102"/>
        <v>#REF!</v>
      </c>
      <c r="EOK247" s="29" t="e">
        <f t="shared" si="102"/>
        <v>#REF!</v>
      </c>
      <c r="EOL247" s="29" t="e">
        <f t="shared" si="102"/>
        <v>#REF!</v>
      </c>
      <c r="EOM247" s="29" t="e">
        <f t="shared" si="102"/>
        <v>#REF!</v>
      </c>
      <c r="EON247" s="29" t="e">
        <f t="shared" si="102"/>
        <v>#REF!</v>
      </c>
      <c r="EOO247" s="29" t="e">
        <f t="shared" si="102"/>
        <v>#REF!</v>
      </c>
      <c r="EOP247" s="29" t="e">
        <f t="shared" si="102"/>
        <v>#REF!</v>
      </c>
      <c r="EOQ247" s="29" t="e">
        <f t="shared" si="102"/>
        <v>#REF!</v>
      </c>
      <c r="EOR247" s="29" t="e">
        <f t="shared" si="102"/>
        <v>#REF!</v>
      </c>
      <c r="EOS247" s="29" t="e">
        <f t="shared" si="102"/>
        <v>#REF!</v>
      </c>
      <c r="EOT247" s="29" t="e">
        <f t="shared" si="102"/>
        <v>#REF!</v>
      </c>
      <c r="EOU247" s="29" t="e">
        <f t="shared" si="102"/>
        <v>#REF!</v>
      </c>
      <c r="EOV247" s="29" t="e">
        <f t="shared" si="102"/>
        <v>#REF!</v>
      </c>
      <c r="EOW247" s="29" t="e">
        <f t="shared" ref="EOW247:ERH247" si="103">EPA247&amp;EPB247</f>
        <v>#REF!</v>
      </c>
      <c r="EOX247" s="29" t="e">
        <f t="shared" si="103"/>
        <v>#REF!</v>
      </c>
      <c r="EOY247" s="29" t="e">
        <f t="shared" si="103"/>
        <v>#REF!</v>
      </c>
      <c r="EOZ247" s="29" t="e">
        <f t="shared" si="103"/>
        <v>#REF!</v>
      </c>
      <c r="EPA247" s="29" t="e">
        <f t="shared" si="103"/>
        <v>#REF!</v>
      </c>
      <c r="EPB247" s="29" t="e">
        <f t="shared" si="103"/>
        <v>#REF!</v>
      </c>
      <c r="EPC247" s="29" t="e">
        <f t="shared" si="103"/>
        <v>#REF!</v>
      </c>
      <c r="EPD247" s="29" t="e">
        <f t="shared" si="103"/>
        <v>#REF!</v>
      </c>
      <c r="EPE247" s="29" t="e">
        <f t="shared" si="103"/>
        <v>#REF!</v>
      </c>
      <c r="EPF247" s="29" t="e">
        <f t="shared" si="103"/>
        <v>#REF!</v>
      </c>
      <c r="EPG247" s="29" t="e">
        <f t="shared" si="103"/>
        <v>#REF!</v>
      </c>
      <c r="EPH247" s="29" t="e">
        <f t="shared" si="103"/>
        <v>#REF!</v>
      </c>
      <c r="EPI247" s="29" t="e">
        <f t="shared" si="103"/>
        <v>#REF!</v>
      </c>
      <c r="EPJ247" s="29" t="e">
        <f t="shared" si="103"/>
        <v>#REF!</v>
      </c>
      <c r="EPK247" s="29" t="e">
        <f t="shared" si="103"/>
        <v>#REF!</v>
      </c>
      <c r="EPL247" s="29" t="e">
        <f t="shared" si="103"/>
        <v>#REF!</v>
      </c>
      <c r="EPM247" s="29" t="e">
        <f t="shared" si="103"/>
        <v>#REF!</v>
      </c>
      <c r="EPN247" s="29" t="e">
        <f t="shared" si="103"/>
        <v>#REF!</v>
      </c>
      <c r="EPO247" s="29" t="e">
        <f t="shared" si="103"/>
        <v>#REF!</v>
      </c>
      <c r="EPP247" s="29" t="e">
        <f t="shared" si="103"/>
        <v>#REF!</v>
      </c>
      <c r="EPQ247" s="29" t="e">
        <f t="shared" si="103"/>
        <v>#REF!</v>
      </c>
      <c r="EPR247" s="29" t="e">
        <f t="shared" si="103"/>
        <v>#REF!</v>
      </c>
      <c r="EPS247" s="29" t="e">
        <f t="shared" si="103"/>
        <v>#REF!</v>
      </c>
      <c r="EPT247" s="29" t="e">
        <f t="shared" si="103"/>
        <v>#REF!</v>
      </c>
      <c r="EPU247" s="29" t="e">
        <f t="shared" si="103"/>
        <v>#REF!</v>
      </c>
      <c r="EPV247" s="29" t="e">
        <f t="shared" si="103"/>
        <v>#REF!</v>
      </c>
      <c r="EPW247" s="29" t="e">
        <f t="shared" si="103"/>
        <v>#REF!</v>
      </c>
      <c r="EPX247" s="29" t="e">
        <f t="shared" si="103"/>
        <v>#REF!</v>
      </c>
      <c r="EPY247" s="29" t="e">
        <f t="shared" si="103"/>
        <v>#REF!</v>
      </c>
      <c r="EPZ247" s="29" t="e">
        <f t="shared" si="103"/>
        <v>#REF!</v>
      </c>
      <c r="EQA247" s="29" t="e">
        <f t="shared" si="103"/>
        <v>#REF!</v>
      </c>
      <c r="EQB247" s="29" t="e">
        <f t="shared" si="103"/>
        <v>#REF!</v>
      </c>
      <c r="EQC247" s="29" t="e">
        <f t="shared" si="103"/>
        <v>#REF!</v>
      </c>
      <c r="EQD247" s="29" t="e">
        <f t="shared" si="103"/>
        <v>#REF!</v>
      </c>
      <c r="EQE247" s="29" t="e">
        <f t="shared" si="103"/>
        <v>#REF!</v>
      </c>
      <c r="EQF247" s="29" t="e">
        <f t="shared" si="103"/>
        <v>#REF!</v>
      </c>
      <c r="EQG247" s="29" t="e">
        <f t="shared" si="103"/>
        <v>#REF!</v>
      </c>
      <c r="EQH247" s="29" t="e">
        <f t="shared" si="103"/>
        <v>#REF!</v>
      </c>
      <c r="EQI247" s="29" t="e">
        <f t="shared" si="103"/>
        <v>#REF!</v>
      </c>
      <c r="EQJ247" s="29" t="e">
        <f t="shared" si="103"/>
        <v>#REF!</v>
      </c>
      <c r="EQK247" s="29" t="e">
        <f t="shared" si="103"/>
        <v>#REF!</v>
      </c>
      <c r="EQL247" s="29" t="e">
        <f t="shared" si="103"/>
        <v>#REF!</v>
      </c>
      <c r="EQM247" s="29" t="e">
        <f t="shared" si="103"/>
        <v>#REF!</v>
      </c>
      <c r="EQN247" s="29" t="e">
        <f t="shared" si="103"/>
        <v>#REF!</v>
      </c>
      <c r="EQO247" s="29" t="e">
        <f t="shared" si="103"/>
        <v>#REF!</v>
      </c>
      <c r="EQP247" s="29" t="e">
        <f t="shared" si="103"/>
        <v>#REF!</v>
      </c>
      <c r="EQQ247" s="29" t="e">
        <f t="shared" si="103"/>
        <v>#REF!</v>
      </c>
      <c r="EQR247" s="29" t="e">
        <f t="shared" si="103"/>
        <v>#REF!</v>
      </c>
      <c r="EQS247" s="29" t="e">
        <f t="shared" si="103"/>
        <v>#REF!</v>
      </c>
      <c r="EQT247" s="29" t="e">
        <f t="shared" si="103"/>
        <v>#REF!</v>
      </c>
      <c r="EQU247" s="29" t="e">
        <f t="shared" si="103"/>
        <v>#REF!</v>
      </c>
      <c r="EQV247" s="29" t="e">
        <f t="shared" si="103"/>
        <v>#REF!</v>
      </c>
      <c r="EQW247" s="29" t="e">
        <f t="shared" si="103"/>
        <v>#REF!</v>
      </c>
      <c r="EQX247" s="29" t="e">
        <f t="shared" si="103"/>
        <v>#REF!</v>
      </c>
      <c r="EQY247" s="29" t="e">
        <f t="shared" si="103"/>
        <v>#REF!</v>
      </c>
      <c r="EQZ247" s="29" t="e">
        <f t="shared" si="103"/>
        <v>#REF!</v>
      </c>
      <c r="ERA247" s="29" t="e">
        <f t="shared" si="103"/>
        <v>#REF!</v>
      </c>
      <c r="ERB247" s="29" t="e">
        <f t="shared" si="103"/>
        <v>#REF!</v>
      </c>
      <c r="ERC247" s="29" t="e">
        <f t="shared" si="103"/>
        <v>#REF!</v>
      </c>
      <c r="ERD247" s="29" t="e">
        <f t="shared" si="103"/>
        <v>#REF!</v>
      </c>
      <c r="ERE247" s="29" t="e">
        <f t="shared" si="103"/>
        <v>#REF!</v>
      </c>
      <c r="ERF247" s="29" t="e">
        <f t="shared" si="103"/>
        <v>#REF!</v>
      </c>
      <c r="ERG247" s="29" t="e">
        <f t="shared" si="103"/>
        <v>#REF!</v>
      </c>
      <c r="ERH247" s="29" t="e">
        <f t="shared" si="103"/>
        <v>#REF!</v>
      </c>
      <c r="ERI247" s="29" t="e">
        <f t="shared" ref="ERI247:ETT247" si="104">ERM247&amp;ERN247</f>
        <v>#REF!</v>
      </c>
      <c r="ERJ247" s="29" t="e">
        <f t="shared" si="104"/>
        <v>#REF!</v>
      </c>
      <c r="ERK247" s="29" t="e">
        <f t="shared" si="104"/>
        <v>#REF!</v>
      </c>
      <c r="ERL247" s="29" t="e">
        <f t="shared" si="104"/>
        <v>#REF!</v>
      </c>
      <c r="ERM247" s="29" t="e">
        <f t="shared" si="104"/>
        <v>#REF!</v>
      </c>
      <c r="ERN247" s="29" t="e">
        <f t="shared" si="104"/>
        <v>#REF!</v>
      </c>
      <c r="ERO247" s="29" t="e">
        <f t="shared" si="104"/>
        <v>#REF!</v>
      </c>
      <c r="ERP247" s="29" t="e">
        <f t="shared" si="104"/>
        <v>#REF!</v>
      </c>
      <c r="ERQ247" s="29" t="e">
        <f t="shared" si="104"/>
        <v>#REF!</v>
      </c>
      <c r="ERR247" s="29" t="e">
        <f t="shared" si="104"/>
        <v>#REF!</v>
      </c>
      <c r="ERS247" s="29" t="e">
        <f t="shared" si="104"/>
        <v>#REF!</v>
      </c>
      <c r="ERT247" s="29" t="e">
        <f t="shared" si="104"/>
        <v>#REF!</v>
      </c>
      <c r="ERU247" s="29" t="e">
        <f t="shared" si="104"/>
        <v>#REF!</v>
      </c>
      <c r="ERV247" s="29" t="e">
        <f t="shared" si="104"/>
        <v>#REF!</v>
      </c>
      <c r="ERW247" s="29" t="e">
        <f t="shared" si="104"/>
        <v>#REF!</v>
      </c>
      <c r="ERX247" s="29" t="e">
        <f t="shared" si="104"/>
        <v>#REF!</v>
      </c>
      <c r="ERY247" s="29" t="e">
        <f t="shared" si="104"/>
        <v>#REF!</v>
      </c>
      <c r="ERZ247" s="29" t="e">
        <f t="shared" si="104"/>
        <v>#REF!</v>
      </c>
      <c r="ESA247" s="29" t="e">
        <f t="shared" si="104"/>
        <v>#REF!</v>
      </c>
      <c r="ESB247" s="29" t="e">
        <f t="shared" si="104"/>
        <v>#REF!</v>
      </c>
      <c r="ESC247" s="29" t="e">
        <f t="shared" si="104"/>
        <v>#REF!</v>
      </c>
      <c r="ESD247" s="29" t="e">
        <f t="shared" si="104"/>
        <v>#REF!</v>
      </c>
      <c r="ESE247" s="29" t="e">
        <f t="shared" si="104"/>
        <v>#REF!</v>
      </c>
      <c r="ESF247" s="29" t="e">
        <f t="shared" si="104"/>
        <v>#REF!</v>
      </c>
      <c r="ESG247" s="29" t="e">
        <f t="shared" si="104"/>
        <v>#REF!</v>
      </c>
      <c r="ESH247" s="29" t="e">
        <f t="shared" si="104"/>
        <v>#REF!</v>
      </c>
      <c r="ESI247" s="29" t="e">
        <f t="shared" si="104"/>
        <v>#REF!</v>
      </c>
      <c r="ESJ247" s="29" t="e">
        <f t="shared" si="104"/>
        <v>#REF!</v>
      </c>
      <c r="ESK247" s="29" t="e">
        <f t="shared" si="104"/>
        <v>#REF!</v>
      </c>
      <c r="ESL247" s="29" t="e">
        <f t="shared" si="104"/>
        <v>#REF!</v>
      </c>
      <c r="ESM247" s="29" t="e">
        <f t="shared" si="104"/>
        <v>#REF!</v>
      </c>
      <c r="ESN247" s="29" t="e">
        <f t="shared" si="104"/>
        <v>#REF!</v>
      </c>
      <c r="ESO247" s="29" t="e">
        <f t="shared" si="104"/>
        <v>#REF!</v>
      </c>
      <c r="ESP247" s="29" t="e">
        <f t="shared" si="104"/>
        <v>#REF!</v>
      </c>
      <c r="ESQ247" s="29" t="e">
        <f t="shared" si="104"/>
        <v>#REF!</v>
      </c>
      <c r="ESR247" s="29" t="e">
        <f t="shared" si="104"/>
        <v>#REF!</v>
      </c>
      <c r="ESS247" s="29" t="e">
        <f t="shared" si="104"/>
        <v>#REF!</v>
      </c>
      <c r="EST247" s="29" t="e">
        <f t="shared" si="104"/>
        <v>#REF!</v>
      </c>
      <c r="ESU247" s="29" t="e">
        <f t="shared" si="104"/>
        <v>#REF!</v>
      </c>
      <c r="ESV247" s="29" t="e">
        <f t="shared" si="104"/>
        <v>#REF!</v>
      </c>
      <c r="ESW247" s="29" t="e">
        <f t="shared" si="104"/>
        <v>#REF!</v>
      </c>
      <c r="ESX247" s="29" t="e">
        <f t="shared" si="104"/>
        <v>#REF!</v>
      </c>
      <c r="ESY247" s="29" t="e">
        <f t="shared" si="104"/>
        <v>#REF!</v>
      </c>
      <c r="ESZ247" s="29" t="e">
        <f t="shared" si="104"/>
        <v>#REF!</v>
      </c>
      <c r="ETA247" s="29" t="e">
        <f t="shared" si="104"/>
        <v>#REF!</v>
      </c>
      <c r="ETB247" s="29" t="e">
        <f t="shared" si="104"/>
        <v>#REF!</v>
      </c>
      <c r="ETC247" s="29" t="e">
        <f t="shared" si="104"/>
        <v>#REF!</v>
      </c>
      <c r="ETD247" s="29" t="e">
        <f t="shared" si="104"/>
        <v>#REF!</v>
      </c>
      <c r="ETE247" s="29" t="e">
        <f t="shared" si="104"/>
        <v>#REF!</v>
      </c>
      <c r="ETF247" s="29" t="e">
        <f t="shared" si="104"/>
        <v>#REF!</v>
      </c>
      <c r="ETG247" s="29" t="e">
        <f t="shared" si="104"/>
        <v>#REF!</v>
      </c>
      <c r="ETH247" s="29" t="e">
        <f t="shared" si="104"/>
        <v>#REF!</v>
      </c>
      <c r="ETI247" s="29" t="e">
        <f t="shared" si="104"/>
        <v>#REF!</v>
      </c>
      <c r="ETJ247" s="29" t="e">
        <f t="shared" si="104"/>
        <v>#REF!</v>
      </c>
      <c r="ETK247" s="29" t="e">
        <f t="shared" si="104"/>
        <v>#REF!</v>
      </c>
      <c r="ETL247" s="29" t="e">
        <f t="shared" si="104"/>
        <v>#REF!</v>
      </c>
      <c r="ETM247" s="29" t="e">
        <f t="shared" si="104"/>
        <v>#REF!</v>
      </c>
      <c r="ETN247" s="29" t="e">
        <f t="shared" si="104"/>
        <v>#REF!</v>
      </c>
      <c r="ETO247" s="29" t="e">
        <f t="shared" si="104"/>
        <v>#REF!</v>
      </c>
      <c r="ETP247" s="29" t="e">
        <f t="shared" si="104"/>
        <v>#REF!</v>
      </c>
      <c r="ETQ247" s="29" t="e">
        <f t="shared" si="104"/>
        <v>#REF!</v>
      </c>
      <c r="ETR247" s="29" t="e">
        <f t="shared" si="104"/>
        <v>#REF!</v>
      </c>
      <c r="ETS247" s="29" t="e">
        <f t="shared" si="104"/>
        <v>#REF!</v>
      </c>
      <c r="ETT247" s="29" t="e">
        <f t="shared" si="104"/>
        <v>#REF!</v>
      </c>
      <c r="ETU247" s="29" t="e">
        <f t="shared" ref="ETU247:EWF247" si="105">ETY247&amp;ETZ247</f>
        <v>#REF!</v>
      </c>
      <c r="ETV247" s="29" t="e">
        <f t="shared" si="105"/>
        <v>#REF!</v>
      </c>
      <c r="ETW247" s="29" t="e">
        <f t="shared" si="105"/>
        <v>#REF!</v>
      </c>
      <c r="ETX247" s="29" t="e">
        <f t="shared" si="105"/>
        <v>#REF!</v>
      </c>
      <c r="ETY247" s="29" t="e">
        <f t="shared" si="105"/>
        <v>#REF!</v>
      </c>
      <c r="ETZ247" s="29" t="e">
        <f t="shared" si="105"/>
        <v>#REF!</v>
      </c>
      <c r="EUA247" s="29" t="e">
        <f t="shared" si="105"/>
        <v>#REF!</v>
      </c>
      <c r="EUB247" s="29" t="e">
        <f t="shared" si="105"/>
        <v>#REF!</v>
      </c>
      <c r="EUC247" s="29" t="e">
        <f t="shared" si="105"/>
        <v>#REF!</v>
      </c>
      <c r="EUD247" s="29" t="e">
        <f t="shared" si="105"/>
        <v>#REF!</v>
      </c>
      <c r="EUE247" s="29" t="e">
        <f t="shared" si="105"/>
        <v>#REF!</v>
      </c>
      <c r="EUF247" s="29" t="e">
        <f t="shared" si="105"/>
        <v>#REF!</v>
      </c>
      <c r="EUG247" s="29" t="e">
        <f t="shared" si="105"/>
        <v>#REF!</v>
      </c>
      <c r="EUH247" s="29" t="e">
        <f t="shared" si="105"/>
        <v>#REF!</v>
      </c>
      <c r="EUI247" s="29" t="e">
        <f t="shared" si="105"/>
        <v>#REF!</v>
      </c>
      <c r="EUJ247" s="29" t="e">
        <f t="shared" si="105"/>
        <v>#REF!</v>
      </c>
      <c r="EUK247" s="29" t="e">
        <f t="shared" si="105"/>
        <v>#REF!</v>
      </c>
      <c r="EUL247" s="29" t="e">
        <f t="shared" si="105"/>
        <v>#REF!</v>
      </c>
      <c r="EUM247" s="29" t="e">
        <f t="shared" si="105"/>
        <v>#REF!</v>
      </c>
      <c r="EUN247" s="29" t="e">
        <f t="shared" si="105"/>
        <v>#REF!</v>
      </c>
      <c r="EUO247" s="29" t="e">
        <f t="shared" si="105"/>
        <v>#REF!</v>
      </c>
      <c r="EUP247" s="29" t="e">
        <f t="shared" si="105"/>
        <v>#REF!</v>
      </c>
      <c r="EUQ247" s="29" t="e">
        <f t="shared" si="105"/>
        <v>#REF!</v>
      </c>
      <c r="EUR247" s="29" t="e">
        <f t="shared" si="105"/>
        <v>#REF!</v>
      </c>
      <c r="EUS247" s="29" t="e">
        <f t="shared" si="105"/>
        <v>#REF!</v>
      </c>
      <c r="EUT247" s="29" t="e">
        <f t="shared" si="105"/>
        <v>#REF!</v>
      </c>
      <c r="EUU247" s="29" t="e">
        <f t="shared" si="105"/>
        <v>#REF!</v>
      </c>
      <c r="EUV247" s="29" t="e">
        <f t="shared" si="105"/>
        <v>#REF!</v>
      </c>
      <c r="EUW247" s="29" t="e">
        <f t="shared" si="105"/>
        <v>#REF!</v>
      </c>
      <c r="EUX247" s="29" t="e">
        <f t="shared" si="105"/>
        <v>#REF!</v>
      </c>
      <c r="EUY247" s="29" t="e">
        <f t="shared" si="105"/>
        <v>#REF!</v>
      </c>
      <c r="EUZ247" s="29" t="e">
        <f t="shared" si="105"/>
        <v>#REF!</v>
      </c>
      <c r="EVA247" s="29" t="e">
        <f t="shared" si="105"/>
        <v>#REF!</v>
      </c>
      <c r="EVB247" s="29" t="e">
        <f t="shared" si="105"/>
        <v>#REF!</v>
      </c>
      <c r="EVC247" s="29" t="e">
        <f t="shared" si="105"/>
        <v>#REF!</v>
      </c>
      <c r="EVD247" s="29" t="e">
        <f t="shared" si="105"/>
        <v>#REF!</v>
      </c>
      <c r="EVE247" s="29" t="e">
        <f t="shared" si="105"/>
        <v>#REF!</v>
      </c>
      <c r="EVF247" s="29" t="e">
        <f t="shared" si="105"/>
        <v>#REF!</v>
      </c>
      <c r="EVG247" s="29" t="e">
        <f t="shared" si="105"/>
        <v>#REF!</v>
      </c>
      <c r="EVH247" s="29" t="e">
        <f t="shared" si="105"/>
        <v>#REF!</v>
      </c>
      <c r="EVI247" s="29" t="e">
        <f t="shared" si="105"/>
        <v>#REF!</v>
      </c>
      <c r="EVJ247" s="29" t="e">
        <f t="shared" si="105"/>
        <v>#REF!</v>
      </c>
      <c r="EVK247" s="29" t="e">
        <f t="shared" si="105"/>
        <v>#REF!</v>
      </c>
      <c r="EVL247" s="29" t="e">
        <f t="shared" si="105"/>
        <v>#REF!</v>
      </c>
      <c r="EVM247" s="29" t="e">
        <f t="shared" si="105"/>
        <v>#REF!</v>
      </c>
      <c r="EVN247" s="29" t="e">
        <f t="shared" si="105"/>
        <v>#REF!</v>
      </c>
      <c r="EVO247" s="29" t="e">
        <f t="shared" si="105"/>
        <v>#REF!</v>
      </c>
      <c r="EVP247" s="29" t="e">
        <f t="shared" si="105"/>
        <v>#REF!</v>
      </c>
      <c r="EVQ247" s="29" t="e">
        <f t="shared" si="105"/>
        <v>#REF!</v>
      </c>
      <c r="EVR247" s="29" t="e">
        <f t="shared" si="105"/>
        <v>#REF!</v>
      </c>
      <c r="EVS247" s="29" t="e">
        <f t="shared" si="105"/>
        <v>#REF!</v>
      </c>
      <c r="EVT247" s="29" t="e">
        <f t="shared" si="105"/>
        <v>#REF!</v>
      </c>
      <c r="EVU247" s="29" t="e">
        <f t="shared" si="105"/>
        <v>#REF!</v>
      </c>
      <c r="EVV247" s="29" t="e">
        <f t="shared" si="105"/>
        <v>#REF!</v>
      </c>
      <c r="EVW247" s="29" t="e">
        <f t="shared" si="105"/>
        <v>#REF!</v>
      </c>
      <c r="EVX247" s="29" t="e">
        <f t="shared" si="105"/>
        <v>#REF!</v>
      </c>
      <c r="EVY247" s="29" t="e">
        <f t="shared" si="105"/>
        <v>#REF!</v>
      </c>
      <c r="EVZ247" s="29" t="e">
        <f t="shared" si="105"/>
        <v>#REF!</v>
      </c>
      <c r="EWA247" s="29" t="e">
        <f t="shared" si="105"/>
        <v>#REF!</v>
      </c>
      <c r="EWB247" s="29" t="e">
        <f t="shared" si="105"/>
        <v>#REF!</v>
      </c>
      <c r="EWC247" s="29" t="e">
        <f t="shared" si="105"/>
        <v>#REF!</v>
      </c>
      <c r="EWD247" s="29" t="e">
        <f t="shared" si="105"/>
        <v>#REF!</v>
      </c>
      <c r="EWE247" s="29" t="e">
        <f t="shared" si="105"/>
        <v>#REF!</v>
      </c>
      <c r="EWF247" s="29" t="e">
        <f t="shared" si="105"/>
        <v>#REF!</v>
      </c>
      <c r="EWG247" s="29" t="e">
        <f t="shared" ref="EWG247:EYR247" si="106">EWK247&amp;EWL247</f>
        <v>#REF!</v>
      </c>
      <c r="EWH247" s="29" t="e">
        <f t="shared" si="106"/>
        <v>#REF!</v>
      </c>
      <c r="EWI247" s="29" t="e">
        <f t="shared" si="106"/>
        <v>#REF!</v>
      </c>
      <c r="EWJ247" s="29" t="e">
        <f t="shared" si="106"/>
        <v>#REF!</v>
      </c>
      <c r="EWK247" s="29" t="e">
        <f t="shared" si="106"/>
        <v>#REF!</v>
      </c>
      <c r="EWL247" s="29" t="e">
        <f t="shared" si="106"/>
        <v>#REF!</v>
      </c>
      <c r="EWM247" s="29" t="e">
        <f t="shared" si="106"/>
        <v>#REF!</v>
      </c>
      <c r="EWN247" s="29" t="e">
        <f t="shared" si="106"/>
        <v>#REF!</v>
      </c>
      <c r="EWO247" s="29" t="e">
        <f t="shared" si="106"/>
        <v>#REF!</v>
      </c>
      <c r="EWP247" s="29" t="e">
        <f t="shared" si="106"/>
        <v>#REF!</v>
      </c>
      <c r="EWQ247" s="29" t="e">
        <f t="shared" si="106"/>
        <v>#REF!</v>
      </c>
      <c r="EWR247" s="29" t="e">
        <f t="shared" si="106"/>
        <v>#REF!</v>
      </c>
      <c r="EWS247" s="29" t="e">
        <f t="shared" si="106"/>
        <v>#REF!</v>
      </c>
      <c r="EWT247" s="29" t="e">
        <f t="shared" si="106"/>
        <v>#REF!</v>
      </c>
      <c r="EWU247" s="29" t="e">
        <f t="shared" si="106"/>
        <v>#REF!</v>
      </c>
      <c r="EWV247" s="29" t="e">
        <f t="shared" si="106"/>
        <v>#REF!</v>
      </c>
      <c r="EWW247" s="29" t="e">
        <f t="shared" si="106"/>
        <v>#REF!</v>
      </c>
      <c r="EWX247" s="29" t="e">
        <f t="shared" si="106"/>
        <v>#REF!</v>
      </c>
      <c r="EWY247" s="29" t="e">
        <f t="shared" si="106"/>
        <v>#REF!</v>
      </c>
      <c r="EWZ247" s="29" t="e">
        <f t="shared" si="106"/>
        <v>#REF!</v>
      </c>
      <c r="EXA247" s="29" t="e">
        <f t="shared" si="106"/>
        <v>#REF!</v>
      </c>
      <c r="EXB247" s="29" t="e">
        <f t="shared" si="106"/>
        <v>#REF!</v>
      </c>
      <c r="EXC247" s="29" t="e">
        <f t="shared" si="106"/>
        <v>#REF!</v>
      </c>
      <c r="EXD247" s="29" t="e">
        <f t="shared" si="106"/>
        <v>#REF!</v>
      </c>
      <c r="EXE247" s="29" t="e">
        <f t="shared" si="106"/>
        <v>#REF!</v>
      </c>
      <c r="EXF247" s="29" t="e">
        <f t="shared" si="106"/>
        <v>#REF!</v>
      </c>
      <c r="EXG247" s="29" t="e">
        <f t="shared" si="106"/>
        <v>#REF!</v>
      </c>
      <c r="EXH247" s="29" t="e">
        <f t="shared" si="106"/>
        <v>#REF!</v>
      </c>
      <c r="EXI247" s="29" t="e">
        <f t="shared" si="106"/>
        <v>#REF!</v>
      </c>
      <c r="EXJ247" s="29" t="e">
        <f t="shared" si="106"/>
        <v>#REF!</v>
      </c>
      <c r="EXK247" s="29" t="e">
        <f t="shared" si="106"/>
        <v>#REF!</v>
      </c>
      <c r="EXL247" s="29" t="e">
        <f t="shared" si="106"/>
        <v>#REF!</v>
      </c>
      <c r="EXM247" s="29" t="e">
        <f t="shared" si="106"/>
        <v>#REF!</v>
      </c>
      <c r="EXN247" s="29" t="e">
        <f t="shared" si="106"/>
        <v>#REF!</v>
      </c>
      <c r="EXO247" s="29" t="e">
        <f t="shared" si="106"/>
        <v>#REF!</v>
      </c>
      <c r="EXP247" s="29" t="e">
        <f t="shared" si="106"/>
        <v>#REF!</v>
      </c>
      <c r="EXQ247" s="29" t="e">
        <f t="shared" si="106"/>
        <v>#REF!</v>
      </c>
      <c r="EXR247" s="29" t="e">
        <f t="shared" si="106"/>
        <v>#REF!</v>
      </c>
      <c r="EXS247" s="29" t="e">
        <f t="shared" si="106"/>
        <v>#REF!</v>
      </c>
      <c r="EXT247" s="29" t="e">
        <f t="shared" si="106"/>
        <v>#REF!</v>
      </c>
      <c r="EXU247" s="29" t="e">
        <f t="shared" si="106"/>
        <v>#REF!</v>
      </c>
      <c r="EXV247" s="29" t="e">
        <f t="shared" si="106"/>
        <v>#REF!</v>
      </c>
      <c r="EXW247" s="29" t="e">
        <f t="shared" si="106"/>
        <v>#REF!</v>
      </c>
      <c r="EXX247" s="29" t="e">
        <f t="shared" si="106"/>
        <v>#REF!</v>
      </c>
      <c r="EXY247" s="29" t="e">
        <f t="shared" si="106"/>
        <v>#REF!</v>
      </c>
      <c r="EXZ247" s="29" t="e">
        <f t="shared" si="106"/>
        <v>#REF!</v>
      </c>
      <c r="EYA247" s="29" t="e">
        <f t="shared" si="106"/>
        <v>#REF!</v>
      </c>
      <c r="EYB247" s="29" t="e">
        <f t="shared" si="106"/>
        <v>#REF!</v>
      </c>
      <c r="EYC247" s="29" t="e">
        <f t="shared" si="106"/>
        <v>#REF!</v>
      </c>
      <c r="EYD247" s="29" t="e">
        <f t="shared" si="106"/>
        <v>#REF!</v>
      </c>
      <c r="EYE247" s="29" t="e">
        <f t="shared" si="106"/>
        <v>#REF!</v>
      </c>
      <c r="EYF247" s="29" t="e">
        <f t="shared" si="106"/>
        <v>#REF!</v>
      </c>
      <c r="EYG247" s="29" t="e">
        <f t="shared" si="106"/>
        <v>#REF!</v>
      </c>
      <c r="EYH247" s="29" t="e">
        <f t="shared" si="106"/>
        <v>#REF!</v>
      </c>
      <c r="EYI247" s="29" t="e">
        <f t="shared" si="106"/>
        <v>#REF!</v>
      </c>
      <c r="EYJ247" s="29" t="e">
        <f t="shared" si="106"/>
        <v>#REF!</v>
      </c>
      <c r="EYK247" s="29" t="e">
        <f t="shared" si="106"/>
        <v>#REF!</v>
      </c>
      <c r="EYL247" s="29" t="e">
        <f t="shared" si="106"/>
        <v>#REF!</v>
      </c>
      <c r="EYM247" s="29" t="e">
        <f t="shared" si="106"/>
        <v>#REF!</v>
      </c>
      <c r="EYN247" s="29" t="e">
        <f t="shared" si="106"/>
        <v>#REF!</v>
      </c>
      <c r="EYO247" s="29" t="e">
        <f t="shared" si="106"/>
        <v>#REF!</v>
      </c>
      <c r="EYP247" s="29" t="e">
        <f t="shared" si="106"/>
        <v>#REF!</v>
      </c>
      <c r="EYQ247" s="29" t="e">
        <f t="shared" si="106"/>
        <v>#REF!</v>
      </c>
      <c r="EYR247" s="29" t="e">
        <f t="shared" si="106"/>
        <v>#REF!</v>
      </c>
      <c r="EYS247" s="29" t="e">
        <f t="shared" ref="EYS247:FBD247" si="107">EYW247&amp;EYX247</f>
        <v>#REF!</v>
      </c>
      <c r="EYT247" s="29" t="e">
        <f t="shared" si="107"/>
        <v>#REF!</v>
      </c>
      <c r="EYU247" s="29" t="e">
        <f t="shared" si="107"/>
        <v>#REF!</v>
      </c>
      <c r="EYV247" s="29" t="e">
        <f t="shared" si="107"/>
        <v>#REF!</v>
      </c>
      <c r="EYW247" s="29" t="e">
        <f t="shared" si="107"/>
        <v>#REF!</v>
      </c>
      <c r="EYX247" s="29" t="e">
        <f t="shared" si="107"/>
        <v>#REF!</v>
      </c>
      <c r="EYY247" s="29" t="e">
        <f t="shared" si="107"/>
        <v>#REF!</v>
      </c>
      <c r="EYZ247" s="29" t="e">
        <f t="shared" si="107"/>
        <v>#REF!</v>
      </c>
      <c r="EZA247" s="29" t="e">
        <f t="shared" si="107"/>
        <v>#REF!</v>
      </c>
      <c r="EZB247" s="29" t="e">
        <f t="shared" si="107"/>
        <v>#REF!</v>
      </c>
      <c r="EZC247" s="29" t="e">
        <f t="shared" si="107"/>
        <v>#REF!</v>
      </c>
      <c r="EZD247" s="29" t="e">
        <f t="shared" si="107"/>
        <v>#REF!</v>
      </c>
      <c r="EZE247" s="29" t="e">
        <f t="shared" si="107"/>
        <v>#REF!</v>
      </c>
      <c r="EZF247" s="29" t="e">
        <f t="shared" si="107"/>
        <v>#REF!</v>
      </c>
      <c r="EZG247" s="29" t="e">
        <f t="shared" si="107"/>
        <v>#REF!</v>
      </c>
      <c r="EZH247" s="29" t="e">
        <f t="shared" si="107"/>
        <v>#REF!</v>
      </c>
      <c r="EZI247" s="29" t="e">
        <f t="shared" si="107"/>
        <v>#REF!</v>
      </c>
      <c r="EZJ247" s="29" t="e">
        <f t="shared" si="107"/>
        <v>#REF!</v>
      </c>
      <c r="EZK247" s="29" t="e">
        <f t="shared" si="107"/>
        <v>#REF!</v>
      </c>
      <c r="EZL247" s="29" t="e">
        <f t="shared" si="107"/>
        <v>#REF!</v>
      </c>
      <c r="EZM247" s="29" t="e">
        <f t="shared" si="107"/>
        <v>#REF!</v>
      </c>
      <c r="EZN247" s="29" t="e">
        <f t="shared" si="107"/>
        <v>#REF!</v>
      </c>
      <c r="EZO247" s="29" t="e">
        <f t="shared" si="107"/>
        <v>#REF!</v>
      </c>
      <c r="EZP247" s="29" t="e">
        <f t="shared" si="107"/>
        <v>#REF!</v>
      </c>
      <c r="EZQ247" s="29" t="e">
        <f t="shared" si="107"/>
        <v>#REF!</v>
      </c>
      <c r="EZR247" s="29" t="e">
        <f t="shared" si="107"/>
        <v>#REF!</v>
      </c>
      <c r="EZS247" s="29" t="e">
        <f t="shared" si="107"/>
        <v>#REF!</v>
      </c>
      <c r="EZT247" s="29" t="e">
        <f t="shared" si="107"/>
        <v>#REF!</v>
      </c>
      <c r="EZU247" s="29" t="e">
        <f t="shared" si="107"/>
        <v>#REF!</v>
      </c>
      <c r="EZV247" s="29" t="e">
        <f t="shared" si="107"/>
        <v>#REF!</v>
      </c>
      <c r="EZW247" s="29" t="e">
        <f t="shared" si="107"/>
        <v>#REF!</v>
      </c>
      <c r="EZX247" s="29" t="e">
        <f t="shared" si="107"/>
        <v>#REF!</v>
      </c>
      <c r="EZY247" s="29" t="e">
        <f t="shared" si="107"/>
        <v>#REF!</v>
      </c>
      <c r="EZZ247" s="29" t="e">
        <f t="shared" si="107"/>
        <v>#REF!</v>
      </c>
      <c r="FAA247" s="29" t="e">
        <f t="shared" si="107"/>
        <v>#REF!</v>
      </c>
      <c r="FAB247" s="29" t="e">
        <f t="shared" si="107"/>
        <v>#REF!</v>
      </c>
      <c r="FAC247" s="29" t="e">
        <f t="shared" si="107"/>
        <v>#REF!</v>
      </c>
      <c r="FAD247" s="29" t="e">
        <f t="shared" si="107"/>
        <v>#REF!</v>
      </c>
      <c r="FAE247" s="29" t="e">
        <f t="shared" si="107"/>
        <v>#REF!</v>
      </c>
      <c r="FAF247" s="29" t="e">
        <f t="shared" si="107"/>
        <v>#REF!</v>
      </c>
      <c r="FAG247" s="29" t="e">
        <f t="shared" si="107"/>
        <v>#REF!</v>
      </c>
      <c r="FAH247" s="29" t="e">
        <f t="shared" si="107"/>
        <v>#REF!</v>
      </c>
      <c r="FAI247" s="29" t="e">
        <f t="shared" si="107"/>
        <v>#REF!</v>
      </c>
      <c r="FAJ247" s="29" t="e">
        <f t="shared" si="107"/>
        <v>#REF!</v>
      </c>
      <c r="FAK247" s="29" t="e">
        <f t="shared" si="107"/>
        <v>#REF!</v>
      </c>
      <c r="FAL247" s="29" t="e">
        <f t="shared" si="107"/>
        <v>#REF!</v>
      </c>
      <c r="FAM247" s="29" t="e">
        <f t="shared" si="107"/>
        <v>#REF!</v>
      </c>
      <c r="FAN247" s="29" t="e">
        <f t="shared" si="107"/>
        <v>#REF!</v>
      </c>
      <c r="FAO247" s="29" t="e">
        <f t="shared" si="107"/>
        <v>#REF!</v>
      </c>
      <c r="FAP247" s="29" t="e">
        <f t="shared" si="107"/>
        <v>#REF!</v>
      </c>
      <c r="FAQ247" s="29" t="e">
        <f t="shared" si="107"/>
        <v>#REF!</v>
      </c>
      <c r="FAR247" s="29" t="e">
        <f t="shared" si="107"/>
        <v>#REF!</v>
      </c>
      <c r="FAS247" s="29" t="e">
        <f t="shared" si="107"/>
        <v>#REF!</v>
      </c>
      <c r="FAT247" s="29" t="e">
        <f t="shared" si="107"/>
        <v>#REF!</v>
      </c>
      <c r="FAU247" s="29" t="e">
        <f t="shared" si="107"/>
        <v>#REF!</v>
      </c>
      <c r="FAV247" s="29" t="e">
        <f t="shared" si="107"/>
        <v>#REF!</v>
      </c>
      <c r="FAW247" s="29" t="e">
        <f t="shared" si="107"/>
        <v>#REF!</v>
      </c>
      <c r="FAX247" s="29" t="e">
        <f t="shared" si="107"/>
        <v>#REF!</v>
      </c>
      <c r="FAY247" s="29" t="e">
        <f t="shared" si="107"/>
        <v>#REF!</v>
      </c>
      <c r="FAZ247" s="29" t="e">
        <f t="shared" si="107"/>
        <v>#REF!</v>
      </c>
      <c r="FBA247" s="29" t="e">
        <f t="shared" si="107"/>
        <v>#REF!</v>
      </c>
      <c r="FBB247" s="29" t="e">
        <f t="shared" si="107"/>
        <v>#REF!</v>
      </c>
      <c r="FBC247" s="29" t="e">
        <f t="shared" si="107"/>
        <v>#REF!</v>
      </c>
      <c r="FBD247" s="29" t="e">
        <f t="shared" si="107"/>
        <v>#REF!</v>
      </c>
      <c r="FBE247" s="29" t="e">
        <f t="shared" ref="FBE247:FDP247" si="108">FBI247&amp;FBJ247</f>
        <v>#REF!</v>
      </c>
      <c r="FBF247" s="29" t="e">
        <f t="shared" si="108"/>
        <v>#REF!</v>
      </c>
      <c r="FBG247" s="29" t="e">
        <f t="shared" si="108"/>
        <v>#REF!</v>
      </c>
      <c r="FBH247" s="29" t="e">
        <f t="shared" si="108"/>
        <v>#REF!</v>
      </c>
      <c r="FBI247" s="29" t="e">
        <f t="shared" si="108"/>
        <v>#REF!</v>
      </c>
      <c r="FBJ247" s="29" t="e">
        <f t="shared" si="108"/>
        <v>#REF!</v>
      </c>
      <c r="FBK247" s="29" t="e">
        <f t="shared" si="108"/>
        <v>#REF!</v>
      </c>
      <c r="FBL247" s="29" t="e">
        <f t="shared" si="108"/>
        <v>#REF!</v>
      </c>
      <c r="FBM247" s="29" t="e">
        <f t="shared" si="108"/>
        <v>#REF!</v>
      </c>
      <c r="FBN247" s="29" t="e">
        <f t="shared" si="108"/>
        <v>#REF!</v>
      </c>
      <c r="FBO247" s="29" t="e">
        <f t="shared" si="108"/>
        <v>#REF!</v>
      </c>
      <c r="FBP247" s="29" t="e">
        <f t="shared" si="108"/>
        <v>#REF!</v>
      </c>
      <c r="FBQ247" s="29" t="e">
        <f t="shared" si="108"/>
        <v>#REF!</v>
      </c>
      <c r="FBR247" s="29" t="e">
        <f t="shared" si="108"/>
        <v>#REF!</v>
      </c>
      <c r="FBS247" s="29" t="e">
        <f t="shared" si="108"/>
        <v>#REF!</v>
      </c>
      <c r="FBT247" s="29" t="e">
        <f t="shared" si="108"/>
        <v>#REF!</v>
      </c>
      <c r="FBU247" s="29" t="e">
        <f t="shared" si="108"/>
        <v>#REF!</v>
      </c>
      <c r="FBV247" s="29" t="e">
        <f t="shared" si="108"/>
        <v>#REF!</v>
      </c>
      <c r="FBW247" s="29" t="e">
        <f t="shared" si="108"/>
        <v>#REF!</v>
      </c>
      <c r="FBX247" s="29" t="e">
        <f t="shared" si="108"/>
        <v>#REF!</v>
      </c>
      <c r="FBY247" s="29" t="e">
        <f t="shared" si="108"/>
        <v>#REF!</v>
      </c>
      <c r="FBZ247" s="29" t="e">
        <f t="shared" si="108"/>
        <v>#REF!</v>
      </c>
      <c r="FCA247" s="29" t="e">
        <f t="shared" si="108"/>
        <v>#REF!</v>
      </c>
      <c r="FCB247" s="29" t="e">
        <f t="shared" si="108"/>
        <v>#REF!</v>
      </c>
      <c r="FCC247" s="29" t="e">
        <f t="shared" si="108"/>
        <v>#REF!</v>
      </c>
      <c r="FCD247" s="29" t="e">
        <f t="shared" si="108"/>
        <v>#REF!</v>
      </c>
      <c r="FCE247" s="29" t="e">
        <f t="shared" si="108"/>
        <v>#REF!</v>
      </c>
      <c r="FCF247" s="29" t="e">
        <f t="shared" si="108"/>
        <v>#REF!</v>
      </c>
      <c r="FCG247" s="29" t="e">
        <f t="shared" si="108"/>
        <v>#REF!</v>
      </c>
      <c r="FCH247" s="29" t="e">
        <f t="shared" si="108"/>
        <v>#REF!</v>
      </c>
      <c r="FCI247" s="29" t="e">
        <f t="shared" si="108"/>
        <v>#REF!</v>
      </c>
      <c r="FCJ247" s="29" t="e">
        <f t="shared" si="108"/>
        <v>#REF!</v>
      </c>
      <c r="FCK247" s="29" t="e">
        <f t="shared" si="108"/>
        <v>#REF!</v>
      </c>
      <c r="FCL247" s="29" t="e">
        <f t="shared" si="108"/>
        <v>#REF!</v>
      </c>
      <c r="FCM247" s="29" t="e">
        <f t="shared" si="108"/>
        <v>#REF!</v>
      </c>
      <c r="FCN247" s="29" t="e">
        <f t="shared" si="108"/>
        <v>#REF!</v>
      </c>
      <c r="FCO247" s="29" t="e">
        <f t="shared" si="108"/>
        <v>#REF!</v>
      </c>
      <c r="FCP247" s="29" t="e">
        <f t="shared" si="108"/>
        <v>#REF!</v>
      </c>
      <c r="FCQ247" s="29" t="e">
        <f t="shared" si="108"/>
        <v>#REF!</v>
      </c>
      <c r="FCR247" s="29" t="e">
        <f t="shared" si="108"/>
        <v>#REF!</v>
      </c>
      <c r="FCS247" s="29" t="e">
        <f t="shared" si="108"/>
        <v>#REF!</v>
      </c>
      <c r="FCT247" s="29" t="e">
        <f t="shared" si="108"/>
        <v>#REF!</v>
      </c>
      <c r="FCU247" s="29" t="e">
        <f t="shared" si="108"/>
        <v>#REF!</v>
      </c>
      <c r="FCV247" s="29" t="e">
        <f t="shared" si="108"/>
        <v>#REF!</v>
      </c>
      <c r="FCW247" s="29" t="e">
        <f t="shared" si="108"/>
        <v>#REF!</v>
      </c>
      <c r="FCX247" s="29" t="e">
        <f t="shared" si="108"/>
        <v>#REF!</v>
      </c>
      <c r="FCY247" s="29" t="e">
        <f t="shared" si="108"/>
        <v>#REF!</v>
      </c>
      <c r="FCZ247" s="29" t="e">
        <f t="shared" si="108"/>
        <v>#REF!</v>
      </c>
      <c r="FDA247" s="29" t="e">
        <f t="shared" si="108"/>
        <v>#REF!</v>
      </c>
      <c r="FDB247" s="29" t="e">
        <f t="shared" si="108"/>
        <v>#REF!</v>
      </c>
      <c r="FDC247" s="29" t="e">
        <f t="shared" si="108"/>
        <v>#REF!</v>
      </c>
      <c r="FDD247" s="29" t="e">
        <f t="shared" si="108"/>
        <v>#REF!</v>
      </c>
      <c r="FDE247" s="29" t="e">
        <f t="shared" si="108"/>
        <v>#REF!</v>
      </c>
      <c r="FDF247" s="29" t="e">
        <f t="shared" si="108"/>
        <v>#REF!</v>
      </c>
      <c r="FDG247" s="29" t="e">
        <f t="shared" si="108"/>
        <v>#REF!</v>
      </c>
      <c r="FDH247" s="29" t="e">
        <f t="shared" si="108"/>
        <v>#REF!</v>
      </c>
      <c r="FDI247" s="29" t="e">
        <f t="shared" si="108"/>
        <v>#REF!</v>
      </c>
      <c r="FDJ247" s="29" t="e">
        <f t="shared" si="108"/>
        <v>#REF!</v>
      </c>
      <c r="FDK247" s="29" t="e">
        <f t="shared" si="108"/>
        <v>#REF!</v>
      </c>
      <c r="FDL247" s="29" t="e">
        <f t="shared" si="108"/>
        <v>#REF!</v>
      </c>
      <c r="FDM247" s="29" t="e">
        <f t="shared" si="108"/>
        <v>#REF!</v>
      </c>
      <c r="FDN247" s="29" t="e">
        <f t="shared" si="108"/>
        <v>#REF!</v>
      </c>
      <c r="FDO247" s="29" t="e">
        <f t="shared" si="108"/>
        <v>#REF!</v>
      </c>
      <c r="FDP247" s="29" t="e">
        <f t="shared" si="108"/>
        <v>#REF!</v>
      </c>
      <c r="FDQ247" s="29" t="e">
        <f t="shared" ref="FDQ247:FGB247" si="109">FDU247&amp;FDV247</f>
        <v>#REF!</v>
      </c>
      <c r="FDR247" s="29" t="e">
        <f t="shared" si="109"/>
        <v>#REF!</v>
      </c>
      <c r="FDS247" s="29" t="e">
        <f t="shared" si="109"/>
        <v>#REF!</v>
      </c>
      <c r="FDT247" s="29" t="e">
        <f t="shared" si="109"/>
        <v>#REF!</v>
      </c>
      <c r="FDU247" s="29" t="e">
        <f t="shared" si="109"/>
        <v>#REF!</v>
      </c>
      <c r="FDV247" s="29" t="e">
        <f t="shared" si="109"/>
        <v>#REF!</v>
      </c>
      <c r="FDW247" s="29" t="e">
        <f t="shared" si="109"/>
        <v>#REF!</v>
      </c>
      <c r="FDX247" s="29" t="e">
        <f t="shared" si="109"/>
        <v>#REF!</v>
      </c>
      <c r="FDY247" s="29" t="e">
        <f t="shared" si="109"/>
        <v>#REF!</v>
      </c>
      <c r="FDZ247" s="29" t="e">
        <f t="shared" si="109"/>
        <v>#REF!</v>
      </c>
      <c r="FEA247" s="29" t="e">
        <f t="shared" si="109"/>
        <v>#REF!</v>
      </c>
      <c r="FEB247" s="29" t="e">
        <f t="shared" si="109"/>
        <v>#REF!</v>
      </c>
      <c r="FEC247" s="29" t="e">
        <f t="shared" si="109"/>
        <v>#REF!</v>
      </c>
      <c r="FED247" s="29" t="e">
        <f t="shared" si="109"/>
        <v>#REF!</v>
      </c>
      <c r="FEE247" s="29" t="e">
        <f t="shared" si="109"/>
        <v>#REF!</v>
      </c>
      <c r="FEF247" s="29" t="e">
        <f t="shared" si="109"/>
        <v>#REF!</v>
      </c>
      <c r="FEG247" s="29" t="e">
        <f t="shared" si="109"/>
        <v>#REF!</v>
      </c>
      <c r="FEH247" s="29" t="e">
        <f t="shared" si="109"/>
        <v>#REF!</v>
      </c>
      <c r="FEI247" s="29" t="e">
        <f t="shared" si="109"/>
        <v>#REF!</v>
      </c>
      <c r="FEJ247" s="29" t="e">
        <f t="shared" si="109"/>
        <v>#REF!</v>
      </c>
      <c r="FEK247" s="29" t="e">
        <f t="shared" si="109"/>
        <v>#REF!</v>
      </c>
      <c r="FEL247" s="29" t="e">
        <f t="shared" si="109"/>
        <v>#REF!</v>
      </c>
      <c r="FEM247" s="29" t="e">
        <f t="shared" si="109"/>
        <v>#REF!</v>
      </c>
      <c r="FEN247" s="29" t="e">
        <f t="shared" si="109"/>
        <v>#REF!</v>
      </c>
      <c r="FEO247" s="29" t="e">
        <f t="shared" si="109"/>
        <v>#REF!</v>
      </c>
      <c r="FEP247" s="29" t="e">
        <f t="shared" si="109"/>
        <v>#REF!</v>
      </c>
      <c r="FEQ247" s="29" t="e">
        <f t="shared" si="109"/>
        <v>#REF!</v>
      </c>
      <c r="FER247" s="29" t="e">
        <f t="shared" si="109"/>
        <v>#REF!</v>
      </c>
      <c r="FES247" s="29" t="e">
        <f t="shared" si="109"/>
        <v>#REF!</v>
      </c>
      <c r="FET247" s="29" t="e">
        <f t="shared" si="109"/>
        <v>#REF!</v>
      </c>
      <c r="FEU247" s="29" t="e">
        <f t="shared" si="109"/>
        <v>#REF!</v>
      </c>
      <c r="FEV247" s="29" t="e">
        <f t="shared" si="109"/>
        <v>#REF!</v>
      </c>
      <c r="FEW247" s="29" t="e">
        <f t="shared" si="109"/>
        <v>#REF!</v>
      </c>
      <c r="FEX247" s="29" t="e">
        <f t="shared" si="109"/>
        <v>#REF!</v>
      </c>
      <c r="FEY247" s="29" t="e">
        <f t="shared" si="109"/>
        <v>#REF!</v>
      </c>
      <c r="FEZ247" s="29" t="e">
        <f t="shared" si="109"/>
        <v>#REF!</v>
      </c>
      <c r="FFA247" s="29" t="e">
        <f t="shared" si="109"/>
        <v>#REF!</v>
      </c>
      <c r="FFB247" s="29" t="e">
        <f t="shared" si="109"/>
        <v>#REF!</v>
      </c>
      <c r="FFC247" s="29" t="e">
        <f t="shared" si="109"/>
        <v>#REF!</v>
      </c>
      <c r="FFD247" s="29" t="e">
        <f t="shared" si="109"/>
        <v>#REF!</v>
      </c>
      <c r="FFE247" s="29" t="e">
        <f t="shared" si="109"/>
        <v>#REF!</v>
      </c>
      <c r="FFF247" s="29" t="e">
        <f t="shared" si="109"/>
        <v>#REF!</v>
      </c>
      <c r="FFG247" s="29" t="e">
        <f t="shared" si="109"/>
        <v>#REF!</v>
      </c>
      <c r="FFH247" s="29" t="e">
        <f t="shared" si="109"/>
        <v>#REF!</v>
      </c>
      <c r="FFI247" s="29" t="e">
        <f t="shared" si="109"/>
        <v>#REF!</v>
      </c>
      <c r="FFJ247" s="29" t="e">
        <f t="shared" si="109"/>
        <v>#REF!</v>
      </c>
      <c r="FFK247" s="29" t="e">
        <f t="shared" si="109"/>
        <v>#REF!</v>
      </c>
      <c r="FFL247" s="29" t="e">
        <f t="shared" si="109"/>
        <v>#REF!</v>
      </c>
      <c r="FFM247" s="29" t="e">
        <f t="shared" si="109"/>
        <v>#REF!</v>
      </c>
      <c r="FFN247" s="29" t="e">
        <f t="shared" si="109"/>
        <v>#REF!</v>
      </c>
      <c r="FFO247" s="29" t="e">
        <f t="shared" si="109"/>
        <v>#REF!</v>
      </c>
      <c r="FFP247" s="29" t="e">
        <f t="shared" si="109"/>
        <v>#REF!</v>
      </c>
      <c r="FFQ247" s="29" t="e">
        <f t="shared" si="109"/>
        <v>#REF!</v>
      </c>
      <c r="FFR247" s="29" t="e">
        <f t="shared" si="109"/>
        <v>#REF!</v>
      </c>
      <c r="FFS247" s="29" t="e">
        <f t="shared" si="109"/>
        <v>#REF!</v>
      </c>
      <c r="FFT247" s="29" t="e">
        <f t="shared" si="109"/>
        <v>#REF!</v>
      </c>
      <c r="FFU247" s="29" t="e">
        <f t="shared" si="109"/>
        <v>#REF!</v>
      </c>
      <c r="FFV247" s="29" t="e">
        <f t="shared" si="109"/>
        <v>#REF!</v>
      </c>
      <c r="FFW247" s="29" t="e">
        <f t="shared" si="109"/>
        <v>#REF!</v>
      </c>
      <c r="FFX247" s="29" t="e">
        <f t="shared" si="109"/>
        <v>#REF!</v>
      </c>
      <c r="FFY247" s="29" t="e">
        <f t="shared" si="109"/>
        <v>#REF!</v>
      </c>
      <c r="FFZ247" s="29" t="e">
        <f t="shared" si="109"/>
        <v>#REF!</v>
      </c>
      <c r="FGA247" s="29" t="e">
        <f t="shared" si="109"/>
        <v>#REF!</v>
      </c>
      <c r="FGB247" s="29" t="e">
        <f t="shared" si="109"/>
        <v>#REF!</v>
      </c>
      <c r="FGC247" s="29" t="e">
        <f t="shared" ref="FGC247:FIN247" si="110">FGG247&amp;FGH247</f>
        <v>#REF!</v>
      </c>
      <c r="FGD247" s="29" t="e">
        <f t="shared" si="110"/>
        <v>#REF!</v>
      </c>
      <c r="FGE247" s="29" t="e">
        <f t="shared" si="110"/>
        <v>#REF!</v>
      </c>
      <c r="FGF247" s="29" t="e">
        <f t="shared" si="110"/>
        <v>#REF!</v>
      </c>
      <c r="FGG247" s="29" t="e">
        <f t="shared" si="110"/>
        <v>#REF!</v>
      </c>
      <c r="FGH247" s="29" t="e">
        <f t="shared" si="110"/>
        <v>#REF!</v>
      </c>
      <c r="FGI247" s="29" t="e">
        <f t="shared" si="110"/>
        <v>#REF!</v>
      </c>
      <c r="FGJ247" s="29" t="e">
        <f t="shared" si="110"/>
        <v>#REF!</v>
      </c>
      <c r="FGK247" s="29" t="e">
        <f t="shared" si="110"/>
        <v>#REF!</v>
      </c>
      <c r="FGL247" s="29" t="e">
        <f t="shared" si="110"/>
        <v>#REF!</v>
      </c>
      <c r="FGM247" s="29" t="e">
        <f t="shared" si="110"/>
        <v>#REF!</v>
      </c>
      <c r="FGN247" s="29" t="e">
        <f t="shared" si="110"/>
        <v>#REF!</v>
      </c>
      <c r="FGO247" s="29" t="e">
        <f t="shared" si="110"/>
        <v>#REF!</v>
      </c>
      <c r="FGP247" s="29" t="e">
        <f t="shared" si="110"/>
        <v>#REF!</v>
      </c>
      <c r="FGQ247" s="29" t="e">
        <f t="shared" si="110"/>
        <v>#REF!</v>
      </c>
      <c r="FGR247" s="29" t="e">
        <f t="shared" si="110"/>
        <v>#REF!</v>
      </c>
      <c r="FGS247" s="29" t="e">
        <f t="shared" si="110"/>
        <v>#REF!</v>
      </c>
      <c r="FGT247" s="29" t="e">
        <f t="shared" si="110"/>
        <v>#REF!</v>
      </c>
      <c r="FGU247" s="29" t="e">
        <f t="shared" si="110"/>
        <v>#REF!</v>
      </c>
      <c r="FGV247" s="29" t="e">
        <f t="shared" si="110"/>
        <v>#REF!</v>
      </c>
      <c r="FGW247" s="29" t="e">
        <f t="shared" si="110"/>
        <v>#REF!</v>
      </c>
      <c r="FGX247" s="29" t="e">
        <f t="shared" si="110"/>
        <v>#REF!</v>
      </c>
      <c r="FGY247" s="29" t="e">
        <f t="shared" si="110"/>
        <v>#REF!</v>
      </c>
      <c r="FGZ247" s="29" t="e">
        <f t="shared" si="110"/>
        <v>#REF!</v>
      </c>
      <c r="FHA247" s="29" t="e">
        <f t="shared" si="110"/>
        <v>#REF!</v>
      </c>
      <c r="FHB247" s="29" t="e">
        <f t="shared" si="110"/>
        <v>#REF!</v>
      </c>
      <c r="FHC247" s="29" t="e">
        <f t="shared" si="110"/>
        <v>#REF!</v>
      </c>
      <c r="FHD247" s="29" t="e">
        <f t="shared" si="110"/>
        <v>#REF!</v>
      </c>
      <c r="FHE247" s="29" t="e">
        <f t="shared" si="110"/>
        <v>#REF!</v>
      </c>
      <c r="FHF247" s="29" t="e">
        <f t="shared" si="110"/>
        <v>#REF!</v>
      </c>
      <c r="FHG247" s="29" t="e">
        <f t="shared" si="110"/>
        <v>#REF!</v>
      </c>
      <c r="FHH247" s="29" t="e">
        <f t="shared" si="110"/>
        <v>#REF!</v>
      </c>
      <c r="FHI247" s="29" t="e">
        <f t="shared" si="110"/>
        <v>#REF!</v>
      </c>
      <c r="FHJ247" s="29" t="e">
        <f t="shared" si="110"/>
        <v>#REF!</v>
      </c>
      <c r="FHK247" s="29" t="e">
        <f t="shared" si="110"/>
        <v>#REF!</v>
      </c>
      <c r="FHL247" s="29" t="e">
        <f t="shared" si="110"/>
        <v>#REF!</v>
      </c>
      <c r="FHM247" s="29" t="e">
        <f t="shared" si="110"/>
        <v>#REF!</v>
      </c>
      <c r="FHN247" s="29" t="e">
        <f t="shared" si="110"/>
        <v>#REF!</v>
      </c>
      <c r="FHO247" s="29" t="e">
        <f t="shared" si="110"/>
        <v>#REF!</v>
      </c>
      <c r="FHP247" s="29" t="e">
        <f t="shared" si="110"/>
        <v>#REF!</v>
      </c>
      <c r="FHQ247" s="29" t="e">
        <f t="shared" si="110"/>
        <v>#REF!</v>
      </c>
      <c r="FHR247" s="29" t="e">
        <f t="shared" si="110"/>
        <v>#REF!</v>
      </c>
      <c r="FHS247" s="29" t="e">
        <f t="shared" si="110"/>
        <v>#REF!</v>
      </c>
      <c r="FHT247" s="29" t="e">
        <f t="shared" si="110"/>
        <v>#REF!</v>
      </c>
      <c r="FHU247" s="29" t="e">
        <f t="shared" si="110"/>
        <v>#REF!</v>
      </c>
      <c r="FHV247" s="29" t="e">
        <f t="shared" si="110"/>
        <v>#REF!</v>
      </c>
      <c r="FHW247" s="29" t="e">
        <f t="shared" si="110"/>
        <v>#REF!</v>
      </c>
      <c r="FHX247" s="29" t="e">
        <f t="shared" si="110"/>
        <v>#REF!</v>
      </c>
      <c r="FHY247" s="29" t="e">
        <f t="shared" si="110"/>
        <v>#REF!</v>
      </c>
      <c r="FHZ247" s="29" t="e">
        <f t="shared" si="110"/>
        <v>#REF!</v>
      </c>
      <c r="FIA247" s="29" t="e">
        <f t="shared" si="110"/>
        <v>#REF!</v>
      </c>
      <c r="FIB247" s="29" t="e">
        <f t="shared" si="110"/>
        <v>#REF!</v>
      </c>
      <c r="FIC247" s="29" t="e">
        <f t="shared" si="110"/>
        <v>#REF!</v>
      </c>
      <c r="FID247" s="29" t="e">
        <f t="shared" si="110"/>
        <v>#REF!</v>
      </c>
      <c r="FIE247" s="29" t="e">
        <f t="shared" si="110"/>
        <v>#REF!</v>
      </c>
      <c r="FIF247" s="29" t="e">
        <f t="shared" si="110"/>
        <v>#REF!</v>
      </c>
      <c r="FIG247" s="29" t="e">
        <f t="shared" si="110"/>
        <v>#REF!</v>
      </c>
      <c r="FIH247" s="29" t="e">
        <f t="shared" si="110"/>
        <v>#REF!</v>
      </c>
      <c r="FII247" s="29" t="e">
        <f t="shared" si="110"/>
        <v>#REF!</v>
      </c>
      <c r="FIJ247" s="29" t="e">
        <f t="shared" si="110"/>
        <v>#REF!</v>
      </c>
      <c r="FIK247" s="29" t="e">
        <f t="shared" si="110"/>
        <v>#REF!</v>
      </c>
      <c r="FIL247" s="29" t="e">
        <f t="shared" si="110"/>
        <v>#REF!</v>
      </c>
      <c r="FIM247" s="29" t="e">
        <f t="shared" si="110"/>
        <v>#REF!</v>
      </c>
      <c r="FIN247" s="29" t="e">
        <f t="shared" si="110"/>
        <v>#REF!</v>
      </c>
      <c r="FIO247" s="29" t="e">
        <f t="shared" ref="FIO247:FKZ247" si="111">FIS247&amp;FIT247</f>
        <v>#REF!</v>
      </c>
      <c r="FIP247" s="29" t="e">
        <f t="shared" si="111"/>
        <v>#REF!</v>
      </c>
      <c r="FIQ247" s="29" t="e">
        <f t="shared" si="111"/>
        <v>#REF!</v>
      </c>
      <c r="FIR247" s="29" t="e">
        <f t="shared" si="111"/>
        <v>#REF!</v>
      </c>
      <c r="FIS247" s="29" t="e">
        <f t="shared" si="111"/>
        <v>#REF!</v>
      </c>
      <c r="FIT247" s="29" t="e">
        <f t="shared" si="111"/>
        <v>#REF!</v>
      </c>
      <c r="FIU247" s="29" t="e">
        <f t="shared" si="111"/>
        <v>#REF!</v>
      </c>
      <c r="FIV247" s="29" t="e">
        <f t="shared" si="111"/>
        <v>#REF!</v>
      </c>
      <c r="FIW247" s="29" t="e">
        <f t="shared" si="111"/>
        <v>#REF!</v>
      </c>
      <c r="FIX247" s="29" t="e">
        <f t="shared" si="111"/>
        <v>#REF!</v>
      </c>
      <c r="FIY247" s="29" t="e">
        <f t="shared" si="111"/>
        <v>#REF!</v>
      </c>
      <c r="FIZ247" s="29" t="e">
        <f t="shared" si="111"/>
        <v>#REF!</v>
      </c>
      <c r="FJA247" s="29" t="e">
        <f t="shared" si="111"/>
        <v>#REF!</v>
      </c>
      <c r="FJB247" s="29" t="e">
        <f t="shared" si="111"/>
        <v>#REF!</v>
      </c>
      <c r="FJC247" s="29" t="e">
        <f t="shared" si="111"/>
        <v>#REF!</v>
      </c>
      <c r="FJD247" s="29" t="e">
        <f t="shared" si="111"/>
        <v>#REF!</v>
      </c>
      <c r="FJE247" s="29" t="e">
        <f t="shared" si="111"/>
        <v>#REF!</v>
      </c>
      <c r="FJF247" s="29" t="e">
        <f t="shared" si="111"/>
        <v>#REF!</v>
      </c>
      <c r="FJG247" s="29" t="e">
        <f t="shared" si="111"/>
        <v>#REF!</v>
      </c>
      <c r="FJH247" s="29" t="e">
        <f t="shared" si="111"/>
        <v>#REF!</v>
      </c>
      <c r="FJI247" s="29" t="e">
        <f t="shared" si="111"/>
        <v>#REF!</v>
      </c>
      <c r="FJJ247" s="29" t="e">
        <f t="shared" si="111"/>
        <v>#REF!</v>
      </c>
      <c r="FJK247" s="29" t="e">
        <f t="shared" si="111"/>
        <v>#REF!</v>
      </c>
      <c r="FJL247" s="29" t="e">
        <f t="shared" si="111"/>
        <v>#REF!</v>
      </c>
      <c r="FJM247" s="29" t="e">
        <f t="shared" si="111"/>
        <v>#REF!</v>
      </c>
      <c r="FJN247" s="29" t="e">
        <f t="shared" si="111"/>
        <v>#REF!</v>
      </c>
      <c r="FJO247" s="29" t="e">
        <f t="shared" si="111"/>
        <v>#REF!</v>
      </c>
      <c r="FJP247" s="29" t="e">
        <f t="shared" si="111"/>
        <v>#REF!</v>
      </c>
      <c r="FJQ247" s="29" t="e">
        <f t="shared" si="111"/>
        <v>#REF!</v>
      </c>
      <c r="FJR247" s="29" t="e">
        <f t="shared" si="111"/>
        <v>#REF!</v>
      </c>
      <c r="FJS247" s="29" t="e">
        <f t="shared" si="111"/>
        <v>#REF!</v>
      </c>
      <c r="FJT247" s="29" t="e">
        <f t="shared" si="111"/>
        <v>#REF!</v>
      </c>
      <c r="FJU247" s="29" t="e">
        <f t="shared" si="111"/>
        <v>#REF!</v>
      </c>
      <c r="FJV247" s="29" t="e">
        <f t="shared" si="111"/>
        <v>#REF!</v>
      </c>
      <c r="FJW247" s="29" t="e">
        <f t="shared" si="111"/>
        <v>#REF!</v>
      </c>
      <c r="FJX247" s="29" t="e">
        <f t="shared" si="111"/>
        <v>#REF!</v>
      </c>
      <c r="FJY247" s="29" t="e">
        <f t="shared" si="111"/>
        <v>#REF!</v>
      </c>
      <c r="FJZ247" s="29" t="e">
        <f t="shared" si="111"/>
        <v>#REF!</v>
      </c>
      <c r="FKA247" s="29" t="e">
        <f t="shared" si="111"/>
        <v>#REF!</v>
      </c>
      <c r="FKB247" s="29" t="e">
        <f t="shared" si="111"/>
        <v>#REF!</v>
      </c>
      <c r="FKC247" s="29" t="e">
        <f t="shared" si="111"/>
        <v>#REF!</v>
      </c>
      <c r="FKD247" s="29" t="e">
        <f t="shared" si="111"/>
        <v>#REF!</v>
      </c>
      <c r="FKE247" s="29" t="e">
        <f t="shared" si="111"/>
        <v>#REF!</v>
      </c>
      <c r="FKF247" s="29" t="e">
        <f t="shared" si="111"/>
        <v>#REF!</v>
      </c>
      <c r="FKG247" s="29" t="e">
        <f t="shared" si="111"/>
        <v>#REF!</v>
      </c>
      <c r="FKH247" s="29" t="e">
        <f t="shared" si="111"/>
        <v>#REF!</v>
      </c>
      <c r="FKI247" s="29" t="e">
        <f t="shared" si="111"/>
        <v>#REF!</v>
      </c>
      <c r="FKJ247" s="29" t="e">
        <f t="shared" si="111"/>
        <v>#REF!</v>
      </c>
      <c r="FKK247" s="29" t="e">
        <f t="shared" si="111"/>
        <v>#REF!</v>
      </c>
      <c r="FKL247" s="29" t="e">
        <f t="shared" si="111"/>
        <v>#REF!</v>
      </c>
      <c r="FKM247" s="29" t="e">
        <f t="shared" si="111"/>
        <v>#REF!</v>
      </c>
      <c r="FKN247" s="29" t="e">
        <f t="shared" si="111"/>
        <v>#REF!</v>
      </c>
      <c r="FKO247" s="29" t="e">
        <f t="shared" si="111"/>
        <v>#REF!</v>
      </c>
      <c r="FKP247" s="29" t="e">
        <f t="shared" si="111"/>
        <v>#REF!</v>
      </c>
      <c r="FKQ247" s="29" t="e">
        <f t="shared" si="111"/>
        <v>#REF!</v>
      </c>
      <c r="FKR247" s="29" t="e">
        <f t="shared" si="111"/>
        <v>#REF!</v>
      </c>
      <c r="FKS247" s="29" t="e">
        <f t="shared" si="111"/>
        <v>#REF!</v>
      </c>
      <c r="FKT247" s="29" t="e">
        <f t="shared" si="111"/>
        <v>#REF!</v>
      </c>
      <c r="FKU247" s="29" t="e">
        <f t="shared" si="111"/>
        <v>#REF!</v>
      </c>
      <c r="FKV247" s="29" t="e">
        <f t="shared" si="111"/>
        <v>#REF!</v>
      </c>
      <c r="FKW247" s="29" t="e">
        <f t="shared" si="111"/>
        <v>#REF!</v>
      </c>
      <c r="FKX247" s="29" t="e">
        <f t="shared" si="111"/>
        <v>#REF!</v>
      </c>
      <c r="FKY247" s="29" t="e">
        <f t="shared" si="111"/>
        <v>#REF!</v>
      </c>
      <c r="FKZ247" s="29" t="e">
        <f t="shared" si="111"/>
        <v>#REF!</v>
      </c>
      <c r="FLA247" s="29" t="e">
        <f t="shared" ref="FLA247:FNL247" si="112">FLE247&amp;FLF247</f>
        <v>#REF!</v>
      </c>
      <c r="FLB247" s="29" t="e">
        <f t="shared" si="112"/>
        <v>#REF!</v>
      </c>
      <c r="FLC247" s="29" t="e">
        <f t="shared" si="112"/>
        <v>#REF!</v>
      </c>
      <c r="FLD247" s="29" t="e">
        <f t="shared" si="112"/>
        <v>#REF!</v>
      </c>
      <c r="FLE247" s="29" t="e">
        <f t="shared" si="112"/>
        <v>#REF!</v>
      </c>
      <c r="FLF247" s="29" t="e">
        <f t="shared" si="112"/>
        <v>#REF!</v>
      </c>
      <c r="FLG247" s="29" t="e">
        <f t="shared" si="112"/>
        <v>#REF!</v>
      </c>
      <c r="FLH247" s="29" t="e">
        <f t="shared" si="112"/>
        <v>#REF!</v>
      </c>
      <c r="FLI247" s="29" t="e">
        <f t="shared" si="112"/>
        <v>#REF!</v>
      </c>
      <c r="FLJ247" s="29" t="e">
        <f t="shared" si="112"/>
        <v>#REF!</v>
      </c>
      <c r="FLK247" s="29" t="e">
        <f t="shared" si="112"/>
        <v>#REF!</v>
      </c>
      <c r="FLL247" s="29" t="e">
        <f t="shared" si="112"/>
        <v>#REF!</v>
      </c>
      <c r="FLM247" s="29" t="e">
        <f t="shared" si="112"/>
        <v>#REF!</v>
      </c>
      <c r="FLN247" s="29" t="e">
        <f t="shared" si="112"/>
        <v>#REF!</v>
      </c>
      <c r="FLO247" s="29" t="e">
        <f t="shared" si="112"/>
        <v>#REF!</v>
      </c>
      <c r="FLP247" s="29" t="e">
        <f t="shared" si="112"/>
        <v>#REF!</v>
      </c>
      <c r="FLQ247" s="29" t="e">
        <f t="shared" si="112"/>
        <v>#REF!</v>
      </c>
      <c r="FLR247" s="29" t="e">
        <f t="shared" si="112"/>
        <v>#REF!</v>
      </c>
      <c r="FLS247" s="29" t="e">
        <f t="shared" si="112"/>
        <v>#REF!</v>
      </c>
      <c r="FLT247" s="29" t="e">
        <f t="shared" si="112"/>
        <v>#REF!</v>
      </c>
      <c r="FLU247" s="29" t="e">
        <f t="shared" si="112"/>
        <v>#REF!</v>
      </c>
      <c r="FLV247" s="29" t="e">
        <f t="shared" si="112"/>
        <v>#REF!</v>
      </c>
      <c r="FLW247" s="29" t="e">
        <f t="shared" si="112"/>
        <v>#REF!</v>
      </c>
      <c r="FLX247" s="29" t="e">
        <f t="shared" si="112"/>
        <v>#REF!</v>
      </c>
      <c r="FLY247" s="29" t="e">
        <f t="shared" si="112"/>
        <v>#REF!</v>
      </c>
      <c r="FLZ247" s="29" t="e">
        <f t="shared" si="112"/>
        <v>#REF!</v>
      </c>
      <c r="FMA247" s="29" t="e">
        <f t="shared" si="112"/>
        <v>#REF!</v>
      </c>
      <c r="FMB247" s="29" t="e">
        <f t="shared" si="112"/>
        <v>#REF!</v>
      </c>
      <c r="FMC247" s="29" t="e">
        <f t="shared" si="112"/>
        <v>#REF!</v>
      </c>
      <c r="FMD247" s="29" t="e">
        <f t="shared" si="112"/>
        <v>#REF!</v>
      </c>
      <c r="FME247" s="29" t="e">
        <f t="shared" si="112"/>
        <v>#REF!</v>
      </c>
      <c r="FMF247" s="29" t="e">
        <f t="shared" si="112"/>
        <v>#REF!</v>
      </c>
      <c r="FMG247" s="29" t="e">
        <f t="shared" si="112"/>
        <v>#REF!</v>
      </c>
      <c r="FMH247" s="29" t="e">
        <f t="shared" si="112"/>
        <v>#REF!</v>
      </c>
      <c r="FMI247" s="29" t="e">
        <f t="shared" si="112"/>
        <v>#REF!</v>
      </c>
      <c r="FMJ247" s="29" t="e">
        <f t="shared" si="112"/>
        <v>#REF!</v>
      </c>
      <c r="FMK247" s="29" t="e">
        <f t="shared" si="112"/>
        <v>#REF!</v>
      </c>
      <c r="FML247" s="29" t="e">
        <f t="shared" si="112"/>
        <v>#REF!</v>
      </c>
      <c r="FMM247" s="29" t="e">
        <f t="shared" si="112"/>
        <v>#REF!</v>
      </c>
      <c r="FMN247" s="29" t="e">
        <f t="shared" si="112"/>
        <v>#REF!</v>
      </c>
      <c r="FMO247" s="29" t="e">
        <f t="shared" si="112"/>
        <v>#REF!</v>
      </c>
      <c r="FMP247" s="29" t="e">
        <f t="shared" si="112"/>
        <v>#REF!</v>
      </c>
      <c r="FMQ247" s="29" t="e">
        <f t="shared" si="112"/>
        <v>#REF!</v>
      </c>
      <c r="FMR247" s="29" t="e">
        <f t="shared" si="112"/>
        <v>#REF!</v>
      </c>
      <c r="FMS247" s="29" t="e">
        <f t="shared" si="112"/>
        <v>#REF!</v>
      </c>
      <c r="FMT247" s="29" t="e">
        <f t="shared" si="112"/>
        <v>#REF!</v>
      </c>
      <c r="FMU247" s="29" t="e">
        <f t="shared" si="112"/>
        <v>#REF!</v>
      </c>
      <c r="FMV247" s="29" t="e">
        <f t="shared" si="112"/>
        <v>#REF!</v>
      </c>
      <c r="FMW247" s="29" t="e">
        <f t="shared" si="112"/>
        <v>#REF!</v>
      </c>
      <c r="FMX247" s="29" t="e">
        <f t="shared" si="112"/>
        <v>#REF!</v>
      </c>
      <c r="FMY247" s="29" t="e">
        <f t="shared" si="112"/>
        <v>#REF!</v>
      </c>
      <c r="FMZ247" s="29" t="e">
        <f t="shared" si="112"/>
        <v>#REF!</v>
      </c>
      <c r="FNA247" s="29" t="e">
        <f t="shared" si="112"/>
        <v>#REF!</v>
      </c>
      <c r="FNB247" s="29" t="e">
        <f t="shared" si="112"/>
        <v>#REF!</v>
      </c>
      <c r="FNC247" s="29" t="e">
        <f t="shared" si="112"/>
        <v>#REF!</v>
      </c>
      <c r="FND247" s="29" t="e">
        <f t="shared" si="112"/>
        <v>#REF!</v>
      </c>
      <c r="FNE247" s="29" t="e">
        <f t="shared" si="112"/>
        <v>#REF!</v>
      </c>
      <c r="FNF247" s="29" t="e">
        <f t="shared" si="112"/>
        <v>#REF!</v>
      </c>
      <c r="FNG247" s="29" t="e">
        <f t="shared" si="112"/>
        <v>#REF!</v>
      </c>
      <c r="FNH247" s="29" t="e">
        <f t="shared" si="112"/>
        <v>#REF!</v>
      </c>
      <c r="FNI247" s="29" t="e">
        <f t="shared" si="112"/>
        <v>#REF!</v>
      </c>
      <c r="FNJ247" s="29" t="e">
        <f t="shared" si="112"/>
        <v>#REF!</v>
      </c>
      <c r="FNK247" s="29" t="e">
        <f t="shared" si="112"/>
        <v>#REF!</v>
      </c>
      <c r="FNL247" s="29" t="e">
        <f t="shared" si="112"/>
        <v>#REF!</v>
      </c>
      <c r="FNM247" s="29" t="e">
        <f t="shared" ref="FNM247:FPX247" si="113">FNQ247&amp;FNR247</f>
        <v>#REF!</v>
      </c>
      <c r="FNN247" s="29" t="e">
        <f t="shared" si="113"/>
        <v>#REF!</v>
      </c>
      <c r="FNO247" s="29" t="e">
        <f t="shared" si="113"/>
        <v>#REF!</v>
      </c>
      <c r="FNP247" s="29" t="e">
        <f t="shared" si="113"/>
        <v>#REF!</v>
      </c>
      <c r="FNQ247" s="29" t="e">
        <f t="shared" si="113"/>
        <v>#REF!</v>
      </c>
      <c r="FNR247" s="29" t="e">
        <f t="shared" si="113"/>
        <v>#REF!</v>
      </c>
      <c r="FNS247" s="29" t="e">
        <f t="shared" si="113"/>
        <v>#REF!</v>
      </c>
      <c r="FNT247" s="29" t="e">
        <f t="shared" si="113"/>
        <v>#REF!</v>
      </c>
      <c r="FNU247" s="29" t="e">
        <f t="shared" si="113"/>
        <v>#REF!</v>
      </c>
      <c r="FNV247" s="29" t="e">
        <f t="shared" si="113"/>
        <v>#REF!</v>
      </c>
      <c r="FNW247" s="29" t="e">
        <f t="shared" si="113"/>
        <v>#REF!</v>
      </c>
      <c r="FNX247" s="29" t="e">
        <f t="shared" si="113"/>
        <v>#REF!</v>
      </c>
      <c r="FNY247" s="29" t="e">
        <f t="shared" si="113"/>
        <v>#REF!</v>
      </c>
      <c r="FNZ247" s="29" t="e">
        <f t="shared" si="113"/>
        <v>#REF!</v>
      </c>
      <c r="FOA247" s="29" t="e">
        <f t="shared" si="113"/>
        <v>#REF!</v>
      </c>
      <c r="FOB247" s="29" t="e">
        <f t="shared" si="113"/>
        <v>#REF!</v>
      </c>
      <c r="FOC247" s="29" t="e">
        <f t="shared" si="113"/>
        <v>#REF!</v>
      </c>
      <c r="FOD247" s="29" t="e">
        <f t="shared" si="113"/>
        <v>#REF!</v>
      </c>
      <c r="FOE247" s="29" t="e">
        <f t="shared" si="113"/>
        <v>#REF!</v>
      </c>
      <c r="FOF247" s="29" t="e">
        <f t="shared" si="113"/>
        <v>#REF!</v>
      </c>
      <c r="FOG247" s="29" t="e">
        <f t="shared" si="113"/>
        <v>#REF!</v>
      </c>
      <c r="FOH247" s="29" t="e">
        <f t="shared" si="113"/>
        <v>#REF!</v>
      </c>
      <c r="FOI247" s="29" t="e">
        <f t="shared" si="113"/>
        <v>#REF!</v>
      </c>
      <c r="FOJ247" s="29" t="e">
        <f t="shared" si="113"/>
        <v>#REF!</v>
      </c>
      <c r="FOK247" s="29" t="e">
        <f t="shared" si="113"/>
        <v>#REF!</v>
      </c>
      <c r="FOL247" s="29" t="e">
        <f t="shared" si="113"/>
        <v>#REF!</v>
      </c>
      <c r="FOM247" s="29" t="e">
        <f t="shared" si="113"/>
        <v>#REF!</v>
      </c>
      <c r="FON247" s="29" t="e">
        <f t="shared" si="113"/>
        <v>#REF!</v>
      </c>
      <c r="FOO247" s="29" t="e">
        <f t="shared" si="113"/>
        <v>#REF!</v>
      </c>
      <c r="FOP247" s="29" t="e">
        <f t="shared" si="113"/>
        <v>#REF!</v>
      </c>
      <c r="FOQ247" s="29" t="e">
        <f t="shared" si="113"/>
        <v>#REF!</v>
      </c>
      <c r="FOR247" s="29" t="e">
        <f t="shared" si="113"/>
        <v>#REF!</v>
      </c>
      <c r="FOS247" s="29" t="e">
        <f t="shared" si="113"/>
        <v>#REF!</v>
      </c>
      <c r="FOT247" s="29" t="e">
        <f t="shared" si="113"/>
        <v>#REF!</v>
      </c>
      <c r="FOU247" s="29" t="e">
        <f t="shared" si="113"/>
        <v>#REF!</v>
      </c>
      <c r="FOV247" s="29" t="e">
        <f t="shared" si="113"/>
        <v>#REF!</v>
      </c>
      <c r="FOW247" s="29" t="e">
        <f t="shared" si="113"/>
        <v>#REF!</v>
      </c>
      <c r="FOX247" s="29" t="e">
        <f t="shared" si="113"/>
        <v>#REF!</v>
      </c>
      <c r="FOY247" s="29" t="e">
        <f t="shared" si="113"/>
        <v>#REF!</v>
      </c>
      <c r="FOZ247" s="29" t="e">
        <f t="shared" si="113"/>
        <v>#REF!</v>
      </c>
      <c r="FPA247" s="29" t="e">
        <f t="shared" si="113"/>
        <v>#REF!</v>
      </c>
      <c r="FPB247" s="29" t="e">
        <f t="shared" si="113"/>
        <v>#REF!</v>
      </c>
      <c r="FPC247" s="29" t="e">
        <f t="shared" si="113"/>
        <v>#REF!</v>
      </c>
      <c r="FPD247" s="29" t="e">
        <f t="shared" si="113"/>
        <v>#REF!</v>
      </c>
      <c r="FPE247" s="29" t="e">
        <f t="shared" si="113"/>
        <v>#REF!</v>
      </c>
      <c r="FPF247" s="29" t="e">
        <f t="shared" si="113"/>
        <v>#REF!</v>
      </c>
      <c r="FPG247" s="29" t="e">
        <f t="shared" si="113"/>
        <v>#REF!</v>
      </c>
      <c r="FPH247" s="29" t="e">
        <f t="shared" si="113"/>
        <v>#REF!</v>
      </c>
      <c r="FPI247" s="29" t="e">
        <f t="shared" si="113"/>
        <v>#REF!</v>
      </c>
      <c r="FPJ247" s="29" t="e">
        <f t="shared" si="113"/>
        <v>#REF!</v>
      </c>
      <c r="FPK247" s="29" t="e">
        <f t="shared" si="113"/>
        <v>#REF!</v>
      </c>
      <c r="FPL247" s="29" t="e">
        <f t="shared" si="113"/>
        <v>#REF!</v>
      </c>
      <c r="FPM247" s="29" t="e">
        <f t="shared" si="113"/>
        <v>#REF!</v>
      </c>
      <c r="FPN247" s="29" t="e">
        <f t="shared" si="113"/>
        <v>#REF!</v>
      </c>
      <c r="FPO247" s="29" t="e">
        <f t="shared" si="113"/>
        <v>#REF!</v>
      </c>
      <c r="FPP247" s="29" t="e">
        <f t="shared" si="113"/>
        <v>#REF!</v>
      </c>
      <c r="FPQ247" s="29" t="e">
        <f t="shared" si="113"/>
        <v>#REF!</v>
      </c>
      <c r="FPR247" s="29" t="e">
        <f t="shared" si="113"/>
        <v>#REF!</v>
      </c>
      <c r="FPS247" s="29" t="e">
        <f t="shared" si="113"/>
        <v>#REF!</v>
      </c>
      <c r="FPT247" s="29" t="e">
        <f t="shared" si="113"/>
        <v>#REF!</v>
      </c>
      <c r="FPU247" s="29" t="e">
        <f t="shared" si="113"/>
        <v>#REF!</v>
      </c>
      <c r="FPV247" s="29" t="e">
        <f t="shared" si="113"/>
        <v>#REF!</v>
      </c>
      <c r="FPW247" s="29" t="e">
        <f t="shared" si="113"/>
        <v>#REF!</v>
      </c>
      <c r="FPX247" s="29" t="e">
        <f t="shared" si="113"/>
        <v>#REF!</v>
      </c>
      <c r="FPY247" s="29" t="e">
        <f t="shared" ref="FPY247:FSJ247" si="114">FQC247&amp;FQD247</f>
        <v>#REF!</v>
      </c>
      <c r="FPZ247" s="29" t="e">
        <f t="shared" si="114"/>
        <v>#REF!</v>
      </c>
      <c r="FQA247" s="29" t="e">
        <f t="shared" si="114"/>
        <v>#REF!</v>
      </c>
      <c r="FQB247" s="29" t="e">
        <f t="shared" si="114"/>
        <v>#REF!</v>
      </c>
      <c r="FQC247" s="29" t="e">
        <f t="shared" si="114"/>
        <v>#REF!</v>
      </c>
      <c r="FQD247" s="29" t="e">
        <f t="shared" si="114"/>
        <v>#REF!</v>
      </c>
      <c r="FQE247" s="29" t="e">
        <f t="shared" si="114"/>
        <v>#REF!</v>
      </c>
      <c r="FQF247" s="29" t="e">
        <f t="shared" si="114"/>
        <v>#REF!</v>
      </c>
      <c r="FQG247" s="29" t="e">
        <f t="shared" si="114"/>
        <v>#REF!</v>
      </c>
      <c r="FQH247" s="29" t="e">
        <f t="shared" si="114"/>
        <v>#REF!</v>
      </c>
      <c r="FQI247" s="29" t="e">
        <f t="shared" si="114"/>
        <v>#REF!</v>
      </c>
      <c r="FQJ247" s="29" t="e">
        <f t="shared" si="114"/>
        <v>#REF!</v>
      </c>
      <c r="FQK247" s="29" t="e">
        <f t="shared" si="114"/>
        <v>#REF!</v>
      </c>
      <c r="FQL247" s="29" t="e">
        <f t="shared" si="114"/>
        <v>#REF!</v>
      </c>
      <c r="FQM247" s="29" t="e">
        <f t="shared" si="114"/>
        <v>#REF!</v>
      </c>
      <c r="FQN247" s="29" t="e">
        <f t="shared" si="114"/>
        <v>#REF!</v>
      </c>
      <c r="FQO247" s="29" t="e">
        <f t="shared" si="114"/>
        <v>#REF!</v>
      </c>
      <c r="FQP247" s="29" t="e">
        <f t="shared" si="114"/>
        <v>#REF!</v>
      </c>
      <c r="FQQ247" s="29" t="e">
        <f t="shared" si="114"/>
        <v>#REF!</v>
      </c>
      <c r="FQR247" s="29" t="e">
        <f t="shared" si="114"/>
        <v>#REF!</v>
      </c>
      <c r="FQS247" s="29" t="e">
        <f t="shared" si="114"/>
        <v>#REF!</v>
      </c>
      <c r="FQT247" s="29" t="e">
        <f t="shared" si="114"/>
        <v>#REF!</v>
      </c>
      <c r="FQU247" s="29" t="e">
        <f t="shared" si="114"/>
        <v>#REF!</v>
      </c>
      <c r="FQV247" s="29" t="e">
        <f t="shared" si="114"/>
        <v>#REF!</v>
      </c>
      <c r="FQW247" s="29" t="e">
        <f t="shared" si="114"/>
        <v>#REF!</v>
      </c>
      <c r="FQX247" s="29" t="e">
        <f t="shared" si="114"/>
        <v>#REF!</v>
      </c>
      <c r="FQY247" s="29" t="e">
        <f t="shared" si="114"/>
        <v>#REF!</v>
      </c>
      <c r="FQZ247" s="29" t="e">
        <f t="shared" si="114"/>
        <v>#REF!</v>
      </c>
      <c r="FRA247" s="29" t="e">
        <f t="shared" si="114"/>
        <v>#REF!</v>
      </c>
      <c r="FRB247" s="29" t="e">
        <f t="shared" si="114"/>
        <v>#REF!</v>
      </c>
      <c r="FRC247" s="29" t="e">
        <f t="shared" si="114"/>
        <v>#REF!</v>
      </c>
      <c r="FRD247" s="29" t="e">
        <f t="shared" si="114"/>
        <v>#REF!</v>
      </c>
      <c r="FRE247" s="29" t="e">
        <f t="shared" si="114"/>
        <v>#REF!</v>
      </c>
      <c r="FRF247" s="29" t="e">
        <f t="shared" si="114"/>
        <v>#REF!</v>
      </c>
      <c r="FRG247" s="29" t="e">
        <f t="shared" si="114"/>
        <v>#REF!</v>
      </c>
      <c r="FRH247" s="29" t="e">
        <f t="shared" si="114"/>
        <v>#REF!</v>
      </c>
      <c r="FRI247" s="29" t="e">
        <f t="shared" si="114"/>
        <v>#REF!</v>
      </c>
      <c r="FRJ247" s="29" t="e">
        <f t="shared" si="114"/>
        <v>#REF!</v>
      </c>
      <c r="FRK247" s="29" t="e">
        <f t="shared" si="114"/>
        <v>#REF!</v>
      </c>
      <c r="FRL247" s="29" t="e">
        <f t="shared" si="114"/>
        <v>#REF!</v>
      </c>
      <c r="FRM247" s="29" t="e">
        <f t="shared" si="114"/>
        <v>#REF!</v>
      </c>
      <c r="FRN247" s="29" t="e">
        <f t="shared" si="114"/>
        <v>#REF!</v>
      </c>
      <c r="FRO247" s="29" t="e">
        <f t="shared" si="114"/>
        <v>#REF!</v>
      </c>
      <c r="FRP247" s="29" t="e">
        <f t="shared" si="114"/>
        <v>#REF!</v>
      </c>
      <c r="FRQ247" s="29" t="e">
        <f t="shared" si="114"/>
        <v>#REF!</v>
      </c>
      <c r="FRR247" s="29" t="e">
        <f t="shared" si="114"/>
        <v>#REF!</v>
      </c>
      <c r="FRS247" s="29" t="e">
        <f t="shared" si="114"/>
        <v>#REF!</v>
      </c>
      <c r="FRT247" s="29" t="e">
        <f t="shared" si="114"/>
        <v>#REF!</v>
      </c>
      <c r="FRU247" s="29" t="e">
        <f t="shared" si="114"/>
        <v>#REF!</v>
      </c>
      <c r="FRV247" s="29" t="e">
        <f t="shared" si="114"/>
        <v>#REF!</v>
      </c>
      <c r="FRW247" s="29" t="e">
        <f t="shared" si="114"/>
        <v>#REF!</v>
      </c>
      <c r="FRX247" s="29" t="e">
        <f t="shared" si="114"/>
        <v>#REF!</v>
      </c>
      <c r="FRY247" s="29" t="e">
        <f t="shared" si="114"/>
        <v>#REF!</v>
      </c>
      <c r="FRZ247" s="29" t="e">
        <f t="shared" si="114"/>
        <v>#REF!</v>
      </c>
      <c r="FSA247" s="29" t="e">
        <f t="shared" si="114"/>
        <v>#REF!</v>
      </c>
      <c r="FSB247" s="29" t="e">
        <f t="shared" si="114"/>
        <v>#REF!</v>
      </c>
      <c r="FSC247" s="29" t="e">
        <f t="shared" si="114"/>
        <v>#REF!</v>
      </c>
      <c r="FSD247" s="29" t="e">
        <f t="shared" si="114"/>
        <v>#REF!</v>
      </c>
      <c r="FSE247" s="29" t="e">
        <f t="shared" si="114"/>
        <v>#REF!</v>
      </c>
      <c r="FSF247" s="29" t="e">
        <f t="shared" si="114"/>
        <v>#REF!</v>
      </c>
      <c r="FSG247" s="29" t="e">
        <f t="shared" si="114"/>
        <v>#REF!</v>
      </c>
      <c r="FSH247" s="29" t="e">
        <f t="shared" si="114"/>
        <v>#REF!</v>
      </c>
      <c r="FSI247" s="29" t="e">
        <f t="shared" si="114"/>
        <v>#REF!</v>
      </c>
      <c r="FSJ247" s="29" t="e">
        <f t="shared" si="114"/>
        <v>#REF!</v>
      </c>
      <c r="FSK247" s="29" t="e">
        <f t="shared" ref="FSK247:FUV247" si="115">FSO247&amp;FSP247</f>
        <v>#REF!</v>
      </c>
      <c r="FSL247" s="29" t="e">
        <f t="shared" si="115"/>
        <v>#REF!</v>
      </c>
      <c r="FSM247" s="29" t="e">
        <f t="shared" si="115"/>
        <v>#REF!</v>
      </c>
      <c r="FSN247" s="29" t="e">
        <f t="shared" si="115"/>
        <v>#REF!</v>
      </c>
      <c r="FSO247" s="29" t="e">
        <f t="shared" si="115"/>
        <v>#REF!</v>
      </c>
      <c r="FSP247" s="29" t="e">
        <f t="shared" si="115"/>
        <v>#REF!</v>
      </c>
      <c r="FSQ247" s="29" t="e">
        <f t="shared" si="115"/>
        <v>#REF!</v>
      </c>
      <c r="FSR247" s="29" t="e">
        <f t="shared" si="115"/>
        <v>#REF!</v>
      </c>
      <c r="FSS247" s="29" t="e">
        <f t="shared" si="115"/>
        <v>#REF!</v>
      </c>
      <c r="FST247" s="29" t="e">
        <f t="shared" si="115"/>
        <v>#REF!</v>
      </c>
      <c r="FSU247" s="29" t="e">
        <f t="shared" si="115"/>
        <v>#REF!</v>
      </c>
      <c r="FSV247" s="29" t="e">
        <f t="shared" si="115"/>
        <v>#REF!</v>
      </c>
      <c r="FSW247" s="29" t="e">
        <f t="shared" si="115"/>
        <v>#REF!</v>
      </c>
      <c r="FSX247" s="29" t="e">
        <f t="shared" si="115"/>
        <v>#REF!</v>
      </c>
      <c r="FSY247" s="29" t="e">
        <f t="shared" si="115"/>
        <v>#REF!</v>
      </c>
      <c r="FSZ247" s="29" t="e">
        <f t="shared" si="115"/>
        <v>#REF!</v>
      </c>
      <c r="FTA247" s="29" t="e">
        <f t="shared" si="115"/>
        <v>#REF!</v>
      </c>
      <c r="FTB247" s="29" t="e">
        <f t="shared" si="115"/>
        <v>#REF!</v>
      </c>
      <c r="FTC247" s="29" t="e">
        <f t="shared" si="115"/>
        <v>#REF!</v>
      </c>
      <c r="FTD247" s="29" t="e">
        <f t="shared" si="115"/>
        <v>#REF!</v>
      </c>
      <c r="FTE247" s="29" t="e">
        <f t="shared" si="115"/>
        <v>#REF!</v>
      </c>
      <c r="FTF247" s="29" t="e">
        <f t="shared" si="115"/>
        <v>#REF!</v>
      </c>
      <c r="FTG247" s="29" t="e">
        <f t="shared" si="115"/>
        <v>#REF!</v>
      </c>
      <c r="FTH247" s="29" t="e">
        <f t="shared" si="115"/>
        <v>#REF!</v>
      </c>
      <c r="FTI247" s="29" t="e">
        <f t="shared" si="115"/>
        <v>#REF!</v>
      </c>
      <c r="FTJ247" s="29" t="e">
        <f t="shared" si="115"/>
        <v>#REF!</v>
      </c>
      <c r="FTK247" s="29" t="e">
        <f t="shared" si="115"/>
        <v>#REF!</v>
      </c>
      <c r="FTL247" s="29" t="e">
        <f t="shared" si="115"/>
        <v>#REF!</v>
      </c>
      <c r="FTM247" s="29" t="e">
        <f t="shared" si="115"/>
        <v>#REF!</v>
      </c>
      <c r="FTN247" s="29" t="e">
        <f t="shared" si="115"/>
        <v>#REF!</v>
      </c>
      <c r="FTO247" s="29" t="e">
        <f t="shared" si="115"/>
        <v>#REF!</v>
      </c>
      <c r="FTP247" s="29" t="e">
        <f t="shared" si="115"/>
        <v>#REF!</v>
      </c>
      <c r="FTQ247" s="29" t="e">
        <f t="shared" si="115"/>
        <v>#REF!</v>
      </c>
      <c r="FTR247" s="29" t="e">
        <f t="shared" si="115"/>
        <v>#REF!</v>
      </c>
      <c r="FTS247" s="29" t="e">
        <f t="shared" si="115"/>
        <v>#REF!</v>
      </c>
      <c r="FTT247" s="29" t="e">
        <f t="shared" si="115"/>
        <v>#REF!</v>
      </c>
      <c r="FTU247" s="29" t="e">
        <f t="shared" si="115"/>
        <v>#REF!</v>
      </c>
      <c r="FTV247" s="29" t="e">
        <f t="shared" si="115"/>
        <v>#REF!</v>
      </c>
      <c r="FTW247" s="29" t="e">
        <f t="shared" si="115"/>
        <v>#REF!</v>
      </c>
      <c r="FTX247" s="29" t="e">
        <f t="shared" si="115"/>
        <v>#REF!</v>
      </c>
      <c r="FTY247" s="29" t="e">
        <f t="shared" si="115"/>
        <v>#REF!</v>
      </c>
      <c r="FTZ247" s="29" t="e">
        <f t="shared" si="115"/>
        <v>#REF!</v>
      </c>
      <c r="FUA247" s="29" t="e">
        <f t="shared" si="115"/>
        <v>#REF!</v>
      </c>
      <c r="FUB247" s="29" t="e">
        <f t="shared" si="115"/>
        <v>#REF!</v>
      </c>
      <c r="FUC247" s="29" t="e">
        <f t="shared" si="115"/>
        <v>#REF!</v>
      </c>
      <c r="FUD247" s="29" t="e">
        <f t="shared" si="115"/>
        <v>#REF!</v>
      </c>
      <c r="FUE247" s="29" t="e">
        <f t="shared" si="115"/>
        <v>#REF!</v>
      </c>
      <c r="FUF247" s="29" t="e">
        <f t="shared" si="115"/>
        <v>#REF!</v>
      </c>
      <c r="FUG247" s="29" t="e">
        <f t="shared" si="115"/>
        <v>#REF!</v>
      </c>
      <c r="FUH247" s="29" t="e">
        <f t="shared" si="115"/>
        <v>#REF!</v>
      </c>
      <c r="FUI247" s="29" t="e">
        <f t="shared" si="115"/>
        <v>#REF!</v>
      </c>
      <c r="FUJ247" s="29" t="e">
        <f t="shared" si="115"/>
        <v>#REF!</v>
      </c>
      <c r="FUK247" s="29" t="e">
        <f t="shared" si="115"/>
        <v>#REF!</v>
      </c>
      <c r="FUL247" s="29" t="e">
        <f t="shared" si="115"/>
        <v>#REF!</v>
      </c>
      <c r="FUM247" s="29" t="e">
        <f t="shared" si="115"/>
        <v>#REF!</v>
      </c>
      <c r="FUN247" s="29" t="e">
        <f t="shared" si="115"/>
        <v>#REF!</v>
      </c>
      <c r="FUO247" s="29" t="e">
        <f t="shared" si="115"/>
        <v>#REF!</v>
      </c>
      <c r="FUP247" s="29" t="e">
        <f t="shared" si="115"/>
        <v>#REF!</v>
      </c>
      <c r="FUQ247" s="29" t="e">
        <f t="shared" si="115"/>
        <v>#REF!</v>
      </c>
      <c r="FUR247" s="29" t="e">
        <f t="shared" si="115"/>
        <v>#REF!</v>
      </c>
      <c r="FUS247" s="29" t="e">
        <f t="shared" si="115"/>
        <v>#REF!</v>
      </c>
      <c r="FUT247" s="29" t="e">
        <f t="shared" si="115"/>
        <v>#REF!</v>
      </c>
      <c r="FUU247" s="29" t="e">
        <f t="shared" si="115"/>
        <v>#REF!</v>
      </c>
      <c r="FUV247" s="29" t="e">
        <f t="shared" si="115"/>
        <v>#REF!</v>
      </c>
      <c r="FUW247" s="29" t="e">
        <f t="shared" ref="FUW247:FXH247" si="116">FVA247&amp;FVB247</f>
        <v>#REF!</v>
      </c>
      <c r="FUX247" s="29" t="e">
        <f t="shared" si="116"/>
        <v>#REF!</v>
      </c>
      <c r="FUY247" s="29" t="e">
        <f t="shared" si="116"/>
        <v>#REF!</v>
      </c>
      <c r="FUZ247" s="29" t="e">
        <f t="shared" si="116"/>
        <v>#REF!</v>
      </c>
      <c r="FVA247" s="29" t="e">
        <f t="shared" si="116"/>
        <v>#REF!</v>
      </c>
      <c r="FVB247" s="29" t="e">
        <f t="shared" si="116"/>
        <v>#REF!</v>
      </c>
      <c r="FVC247" s="29" t="e">
        <f t="shared" si="116"/>
        <v>#REF!</v>
      </c>
      <c r="FVD247" s="29" t="e">
        <f t="shared" si="116"/>
        <v>#REF!</v>
      </c>
      <c r="FVE247" s="29" t="e">
        <f t="shared" si="116"/>
        <v>#REF!</v>
      </c>
      <c r="FVF247" s="29" t="e">
        <f t="shared" si="116"/>
        <v>#REF!</v>
      </c>
      <c r="FVG247" s="29" t="e">
        <f t="shared" si="116"/>
        <v>#REF!</v>
      </c>
      <c r="FVH247" s="29" t="e">
        <f t="shared" si="116"/>
        <v>#REF!</v>
      </c>
      <c r="FVI247" s="29" t="e">
        <f t="shared" si="116"/>
        <v>#REF!</v>
      </c>
      <c r="FVJ247" s="29" t="e">
        <f t="shared" si="116"/>
        <v>#REF!</v>
      </c>
      <c r="FVK247" s="29" t="e">
        <f t="shared" si="116"/>
        <v>#REF!</v>
      </c>
      <c r="FVL247" s="29" t="e">
        <f t="shared" si="116"/>
        <v>#REF!</v>
      </c>
      <c r="FVM247" s="29" t="e">
        <f t="shared" si="116"/>
        <v>#REF!</v>
      </c>
      <c r="FVN247" s="29" t="e">
        <f t="shared" si="116"/>
        <v>#REF!</v>
      </c>
      <c r="FVO247" s="29" t="e">
        <f t="shared" si="116"/>
        <v>#REF!</v>
      </c>
      <c r="FVP247" s="29" t="e">
        <f t="shared" si="116"/>
        <v>#REF!</v>
      </c>
      <c r="FVQ247" s="29" t="e">
        <f t="shared" si="116"/>
        <v>#REF!</v>
      </c>
      <c r="FVR247" s="29" t="e">
        <f t="shared" si="116"/>
        <v>#REF!</v>
      </c>
      <c r="FVS247" s="29" t="e">
        <f t="shared" si="116"/>
        <v>#REF!</v>
      </c>
      <c r="FVT247" s="29" t="e">
        <f t="shared" si="116"/>
        <v>#REF!</v>
      </c>
      <c r="FVU247" s="29" t="e">
        <f t="shared" si="116"/>
        <v>#REF!</v>
      </c>
      <c r="FVV247" s="29" t="e">
        <f t="shared" si="116"/>
        <v>#REF!</v>
      </c>
      <c r="FVW247" s="29" t="e">
        <f t="shared" si="116"/>
        <v>#REF!</v>
      </c>
      <c r="FVX247" s="29" t="e">
        <f t="shared" si="116"/>
        <v>#REF!</v>
      </c>
      <c r="FVY247" s="29" t="e">
        <f t="shared" si="116"/>
        <v>#REF!</v>
      </c>
      <c r="FVZ247" s="29" t="e">
        <f t="shared" si="116"/>
        <v>#REF!</v>
      </c>
      <c r="FWA247" s="29" t="e">
        <f t="shared" si="116"/>
        <v>#REF!</v>
      </c>
      <c r="FWB247" s="29" t="e">
        <f t="shared" si="116"/>
        <v>#REF!</v>
      </c>
      <c r="FWC247" s="29" t="e">
        <f t="shared" si="116"/>
        <v>#REF!</v>
      </c>
      <c r="FWD247" s="29" t="e">
        <f t="shared" si="116"/>
        <v>#REF!</v>
      </c>
      <c r="FWE247" s="29" t="e">
        <f t="shared" si="116"/>
        <v>#REF!</v>
      </c>
      <c r="FWF247" s="29" t="e">
        <f t="shared" si="116"/>
        <v>#REF!</v>
      </c>
      <c r="FWG247" s="29" t="e">
        <f t="shared" si="116"/>
        <v>#REF!</v>
      </c>
      <c r="FWH247" s="29" t="e">
        <f t="shared" si="116"/>
        <v>#REF!</v>
      </c>
      <c r="FWI247" s="29" t="e">
        <f t="shared" si="116"/>
        <v>#REF!</v>
      </c>
      <c r="FWJ247" s="29" t="e">
        <f t="shared" si="116"/>
        <v>#REF!</v>
      </c>
      <c r="FWK247" s="29" t="e">
        <f t="shared" si="116"/>
        <v>#REF!</v>
      </c>
      <c r="FWL247" s="29" t="e">
        <f t="shared" si="116"/>
        <v>#REF!</v>
      </c>
      <c r="FWM247" s="29" t="e">
        <f t="shared" si="116"/>
        <v>#REF!</v>
      </c>
      <c r="FWN247" s="29" t="e">
        <f t="shared" si="116"/>
        <v>#REF!</v>
      </c>
      <c r="FWO247" s="29" t="e">
        <f t="shared" si="116"/>
        <v>#REF!</v>
      </c>
      <c r="FWP247" s="29" t="e">
        <f t="shared" si="116"/>
        <v>#REF!</v>
      </c>
      <c r="FWQ247" s="29" t="e">
        <f t="shared" si="116"/>
        <v>#REF!</v>
      </c>
      <c r="FWR247" s="29" t="e">
        <f t="shared" si="116"/>
        <v>#REF!</v>
      </c>
      <c r="FWS247" s="29" t="e">
        <f t="shared" si="116"/>
        <v>#REF!</v>
      </c>
      <c r="FWT247" s="29" t="e">
        <f t="shared" si="116"/>
        <v>#REF!</v>
      </c>
      <c r="FWU247" s="29" t="e">
        <f t="shared" si="116"/>
        <v>#REF!</v>
      </c>
      <c r="FWV247" s="29" t="e">
        <f t="shared" si="116"/>
        <v>#REF!</v>
      </c>
      <c r="FWW247" s="29" t="e">
        <f t="shared" si="116"/>
        <v>#REF!</v>
      </c>
      <c r="FWX247" s="29" t="e">
        <f t="shared" si="116"/>
        <v>#REF!</v>
      </c>
      <c r="FWY247" s="29" t="e">
        <f t="shared" si="116"/>
        <v>#REF!</v>
      </c>
      <c r="FWZ247" s="29" t="e">
        <f t="shared" si="116"/>
        <v>#REF!</v>
      </c>
      <c r="FXA247" s="29" t="e">
        <f t="shared" si="116"/>
        <v>#REF!</v>
      </c>
      <c r="FXB247" s="29" t="e">
        <f t="shared" si="116"/>
        <v>#REF!</v>
      </c>
      <c r="FXC247" s="29" t="e">
        <f t="shared" si="116"/>
        <v>#REF!</v>
      </c>
      <c r="FXD247" s="29" t="e">
        <f t="shared" si="116"/>
        <v>#REF!</v>
      </c>
      <c r="FXE247" s="29" t="e">
        <f t="shared" si="116"/>
        <v>#REF!</v>
      </c>
      <c r="FXF247" s="29" t="e">
        <f t="shared" si="116"/>
        <v>#REF!</v>
      </c>
      <c r="FXG247" s="29" t="e">
        <f t="shared" si="116"/>
        <v>#REF!</v>
      </c>
      <c r="FXH247" s="29" t="e">
        <f t="shared" si="116"/>
        <v>#REF!</v>
      </c>
      <c r="FXI247" s="29" t="e">
        <f t="shared" ref="FXI247:FZT247" si="117">FXM247&amp;FXN247</f>
        <v>#REF!</v>
      </c>
      <c r="FXJ247" s="29" t="e">
        <f t="shared" si="117"/>
        <v>#REF!</v>
      </c>
      <c r="FXK247" s="29" t="e">
        <f t="shared" si="117"/>
        <v>#REF!</v>
      </c>
      <c r="FXL247" s="29" t="e">
        <f t="shared" si="117"/>
        <v>#REF!</v>
      </c>
      <c r="FXM247" s="29" t="e">
        <f t="shared" si="117"/>
        <v>#REF!</v>
      </c>
      <c r="FXN247" s="29" t="e">
        <f t="shared" si="117"/>
        <v>#REF!</v>
      </c>
      <c r="FXO247" s="29" t="e">
        <f t="shared" si="117"/>
        <v>#REF!</v>
      </c>
      <c r="FXP247" s="29" t="e">
        <f t="shared" si="117"/>
        <v>#REF!</v>
      </c>
      <c r="FXQ247" s="29" t="e">
        <f t="shared" si="117"/>
        <v>#REF!</v>
      </c>
      <c r="FXR247" s="29" t="e">
        <f t="shared" si="117"/>
        <v>#REF!</v>
      </c>
      <c r="FXS247" s="29" t="e">
        <f t="shared" si="117"/>
        <v>#REF!</v>
      </c>
      <c r="FXT247" s="29" t="e">
        <f t="shared" si="117"/>
        <v>#REF!</v>
      </c>
      <c r="FXU247" s="29" t="e">
        <f t="shared" si="117"/>
        <v>#REF!</v>
      </c>
      <c r="FXV247" s="29" t="e">
        <f t="shared" si="117"/>
        <v>#REF!</v>
      </c>
      <c r="FXW247" s="29" t="e">
        <f t="shared" si="117"/>
        <v>#REF!</v>
      </c>
      <c r="FXX247" s="29" t="e">
        <f t="shared" si="117"/>
        <v>#REF!</v>
      </c>
      <c r="FXY247" s="29" t="e">
        <f t="shared" si="117"/>
        <v>#REF!</v>
      </c>
      <c r="FXZ247" s="29" t="e">
        <f t="shared" si="117"/>
        <v>#REF!</v>
      </c>
      <c r="FYA247" s="29" t="e">
        <f t="shared" si="117"/>
        <v>#REF!</v>
      </c>
      <c r="FYB247" s="29" t="e">
        <f t="shared" si="117"/>
        <v>#REF!</v>
      </c>
      <c r="FYC247" s="29" t="e">
        <f t="shared" si="117"/>
        <v>#REF!</v>
      </c>
      <c r="FYD247" s="29" t="e">
        <f t="shared" si="117"/>
        <v>#REF!</v>
      </c>
      <c r="FYE247" s="29" t="e">
        <f t="shared" si="117"/>
        <v>#REF!</v>
      </c>
      <c r="FYF247" s="29" t="e">
        <f t="shared" si="117"/>
        <v>#REF!</v>
      </c>
      <c r="FYG247" s="29" t="e">
        <f t="shared" si="117"/>
        <v>#REF!</v>
      </c>
      <c r="FYH247" s="29" t="e">
        <f t="shared" si="117"/>
        <v>#REF!</v>
      </c>
      <c r="FYI247" s="29" t="e">
        <f t="shared" si="117"/>
        <v>#REF!</v>
      </c>
      <c r="FYJ247" s="29" t="e">
        <f t="shared" si="117"/>
        <v>#REF!</v>
      </c>
      <c r="FYK247" s="29" t="e">
        <f t="shared" si="117"/>
        <v>#REF!</v>
      </c>
      <c r="FYL247" s="29" t="e">
        <f t="shared" si="117"/>
        <v>#REF!</v>
      </c>
      <c r="FYM247" s="29" t="e">
        <f t="shared" si="117"/>
        <v>#REF!</v>
      </c>
      <c r="FYN247" s="29" t="e">
        <f t="shared" si="117"/>
        <v>#REF!</v>
      </c>
      <c r="FYO247" s="29" t="e">
        <f t="shared" si="117"/>
        <v>#REF!</v>
      </c>
      <c r="FYP247" s="29" t="e">
        <f t="shared" si="117"/>
        <v>#REF!</v>
      </c>
      <c r="FYQ247" s="29" t="e">
        <f t="shared" si="117"/>
        <v>#REF!</v>
      </c>
      <c r="FYR247" s="29" t="e">
        <f t="shared" si="117"/>
        <v>#REF!</v>
      </c>
      <c r="FYS247" s="29" t="e">
        <f t="shared" si="117"/>
        <v>#REF!</v>
      </c>
      <c r="FYT247" s="29" t="e">
        <f t="shared" si="117"/>
        <v>#REF!</v>
      </c>
      <c r="FYU247" s="29" t="e">
        <f t="shared" si="117"/>
        <v>#REF!</v>
      </c>
      <c r="FYV247" s="29" t="e">
        <f t="shared" si="117"/>
        <v>#REF!</v>
      </c>
      <c r="FYW247" s="29" t="e">
        <f t="shared" si="117"/>
        <v>#REF!</v>
      </c>
      <c r="FYX247" s="29" t="e">
        <f t="shared" si="117"/>
        <v>#REF!</v>
      </c>
      <c r="FYY247" s="29" t="e">
        <f t="shared" si="117"/>
        <v>#REF!</v>
      </c>
      <c r="FYZ247" s="29" t="e">
        <f t="shared" si="117"/>
        <v>#REF!</v>
      </c>
      <c r="FZA247" s="29" t="e">
        <f t="shared" si="117"/>
        <v>#REF!</v>
      </c>
      <c r="FZB247" s="29" t="e">
        <f t="shared" si="117"/>
        <v>#REF!</v>
      </c>
      <c r="FZC247" s="29" t="e">
        <f t="shared" si="117"/>
        <v>#REF!</v>
      </c>
      <c r="FZD247" s="29" t="e">
        <f t="shared" si="117"/>
        <v>#REF!</v>
      </c>
      <c r="FZE247" s="29" t="e">
        <f t="shared" si="117"/>
        <v>#REF!</v>
      </c>
      <c r="FZF247" s="29" t="e">
        <f t="shared" si="117"/>
        <v>#REF!</v>
      </c>
      <c r="FZG247" s="29" t="e">
        <f t="shared" si="117"/>
        <v>#REF!</v>
      </c>
      <c r="FZH247" s="29" t="e">
        <f t="shared" si="117"/>
        <v>#REF!</v>
      </c>
      <c r="FZI247" s="29" t="e">
        <f t="shared" si="117"/>
        <v>#REF!</v>
      </c>
      <c r="FZJ247" s="29" t="e">
        <f t="shared" si="117"/>
        <v>#REF!</v>
      </c>
      <c r="FZK247" s="29" t="e">
        <f t="shared" si="117"/>
        <v>#REF!</v>
      </c>
      <c r="FZL247" s="29" t="e">
        <f t="shared" si="117"/>
        <v>#REF!</v>
      </c>
      <c r="FZM247" s="29" t="e">
        <f t="shared" si="117"/>
        <v>#REF!</v>
      </c>
      <c r="FZN247" s="29" t="e">
        <f t="shared" si="117"/>
        <v>#REF!</v>
      </c>
      <c r="FZO247" s="29" t="e">
        <f t="shared" si="117"/>
        <v>#REF!</v>
      </c>
      <c r="FZP247" s="29" t="e">
        <f t="shared" si="117"/>
        <v>#REF!</v>
      </c>
      <c r="FZQ247" s="29" t="e">
        <f t="shared" si="117"/>
        <v>#REF!</v>
      </c>
      <c r="FZR247" s="29" t="e">
        <f t="shared" si="117"/>
        <v>#REF!</v>
      </c>
      <c r="FZS247" s="29" t="e">
        <f t="shared" si="117"/>
        <v>#REF!</v>
      </c>
      <c r="FZT247" s="29" t="e">
        <f t="shared" si="117"/>
        <v>#REF!</v>
      </c>
      <c r="FZU247" s="29" t="e">
        <f t="shared" ref="FZU247:GCF247" si="118">FZY247&amp;FZZ247</f>
        <v>#REF!</v>
      </c>
      <c r="FZV247" s="29" t="e">
        <f t="shared" si="118"/>
        <v>#REF!</v>
      </c>
      <c r="FZW247" s="29" t="e">
        <f t="shared" si="118"/>
        <v>#REF!</v>
      </c>
      <c r="FZX247" s="29" t="e">
        <f t="shared" si="118"/>
        <v>#REF!</v>
      </c>
      <c r="FZY247" s="29" t="e">
        <f t="shared" si="118"/>
        <v>#REF!</v>
      </c>
      <c r="FZZ247" s="29" t="e">
        <f t="shared" si="118"/>
        <v>#REF!</v>
      </c>
      <c r="GAA247" s="29" t="e">
        <f t="shared" si="118"/>
        <v>#REF!</v>
      </c>
      <c r="GAB247" s="29" t="e">
        <f t="shared" si="118"/>
        <v>#REF!</v>
      </c>
      <c r="GAC247" s="29" t="e">
        <f t="shared" si="118"/>
        <v>#REF!</v>
      </c>
      <c r="GAD247" s="29" t="e">
        <f t="shared" si="118"/>
        <v>#REF!</v>
      </c>
      <c r="GAE247" s="29" t="e">
        <f t="shared" si="118"/>
        <v>#REF!</v>
      </c>
      <c r="GAF247" s="29" t="e">
        <f t="shared" si="118"/>
        <v>#REF!</v>
      </c>
      <c r="GAG247" s="29" t="e">
        <f t="shared" si="118"/>
        <v>#REF!</v>
      </c>
      <c r="GAH247" s="29" t="e">
        <f t="shared" si="118"/>
        <v>#REF!</v>
      </c>
      <c r="GAI247" s="29" t="e">
        <f t="shared" si="118"/>
        <v>#REF!</v>
      </c>
      <c r="GAJ247" s="29" t="e">
        <f t="shared" si="118"/>
        <v>#REF!</v>
      </c>
      <c r="GAK247" s="29" t="e">
        <f t="shared" si="118"/>
        <v>#REF!</v>
      </c>
      <c r="GAL247" s="29" t="e">
        <f t="shared" si="118"/>
        <v>#REF!</v>
      </c>
      <c r="GAM247" s="29" t="e">
        <f t="shared" si="118"/>
        <v>#REF!</v>
      </c>
      <c r="GAN247" s="29" t="e">
        <f t="shared" si="118"/>
        <v>#REF!</v>
      </c>
      <c r="GAO247" s="29" t="e">
        <f t="shared" si="118"/>
        <v>#REF!</v>
      </c>
      <c r="GAP247" s="29" t="e">
        <f t="shared" si="118"/>
        <v>#REF!</v>
      </c>
      <c r="GAQ247" s="29" t="e">
        <f t="shared" si="118"/>
        <v>#REF!</v>
      </c>
      <c r="GAR247" s="29" t="e">
        <f t="shared" si="118"/>
        <v>#REF!</v>
      </c>
      <c r="GAS247" s="29" t="e">
        <f t="shared" si="118"/>
        <v>#REF!</v>
      </c>
      <c r="GAT247" s="29" t="e">
        <f t="shared" si="118"/>
        <v>#REF!</v>
      </c>
      <c r="GAU247" s="29" t="e">
        <f t="shared" si="118"/>
        <v>#REF!</v>
      </c>
      <c r="GAV247" s="29" t="e">
        <f t="shared" si="118"/>
        <v>#REF!</v>
      </c>
      <c r="GAW247" s="29" t="e">
        <f t="shared" si="118"/>
        <v>#REF!</v>
      </c>
      <c r="GAX247" s="29" t="e">
        <f t="shared" si="118"/>
        <v>#REF!</v>
      </c>
      <c r="GAY247" s="29" t="e">
        <f t="shared" si="118"/>
        <v>#REF!</v>
      </c>
      <c r="GAZ247" s="29" t="e">
        <f t="shared" si="118"/>
        <v>#REF!</v>
      </c>
      <c r="GBA247" s="29" t="e">
        <f t="shared" si="118"/>
        <v>#REF!</v>
      </c>
      <c r="GBB247" s="29" t="e">
        <f t="shared" si="118"/>
        <v>#REF!</v>
      </c>
      <c r="GBC247" s="29" t="e">
        <f t="shared" si="118"/>
        <v>#REF!</v>
      </c>
      <c r="GBD247" s="29" t="e">
        <f t="shared" si="118"/>
        <v>#REF!</v>
      </c>
      <c r="GBE247" s="29" t="e">
        <f t="shared" si="118"/>
        <v>#REF!</v>
      </c>
      <c r="GBF247" s="29" t="e">
        <f t="shared" si="118"/>
        <v>#REF!</v>
      </c>
      <c r="GBG247" s="29" t="e">
        <f t="shared" si="118"/>
        <v>#REF!</v>
      </c>
      <c r="GBH247" s="29" t="e">
        <f t="shared" si="118"/>
        <v>#REF!</v>
      </c>
      <c r="GBI247" s="29" t="e">
        <f t="shared" si="118"/>
        <v>#REF!</v>
      </c>
      <c r="GBJ247" s="29" t="e">
        <f t="shared" si="118"/>
        <v>#REF!</v>
      </c>
      <c r="GBK247" s="29" t="e">
        <f t="shared" si="118"/>
        <v>#REF!</v>
      </c>
      <c r="GBL247" s="29" t="e">
        <f t="shared" si="118"/>
        <v>#REF!</v>
      </c>
      <c r="GBM247" s="29" t="e">
        <f t="shared" si="118"/>
        <v>#REF!</v>
      </c>
      <c r="GBN247" s="29" t="e">
        <f t="shared" si="118"/>
        <v>#REF!</v>
      </c>
      <c r="GBO247" s="29" t="e">
        <f t="shared" si="118"/>
        <v>#REF!</v>
      </c>
      <c r="GBP247" s="29" t="e">
        <f t="shared" si="118"/>
        <v>#REF!</v>
      </c>
      <c r="GBQ247" s="29" t="e">
        <f t="shared" si="118"/>
        <v>#REF!</v>
      </c>
      <c r="GBR247" s="29" t="e">
        <f t="shared" si="118"/>
        <v>#REF!</v>
      </c>
      <c r="GBS247" s="29" t="e">
        <f t="shared" si="118"/>
        <v>#REF!</v>
      </c>
      <c r="GBT247" s="29" t="e">
        <f t="shared" si="118"/>
        <v>#REF!</v>
      </c>
      <c r="GBU247" s="29" t="e">
        <f t="shared" si="118"/>
        <v>#REF!</v>
      </c>
      <c r="GBV247" s="29" t="e">
        <f t="shared" si="118"/>
        <v>#REF!</v>
      </c>
      <c r="GBW247" s="29" t="e">
        <f t="shared" si="118"/>
        <v>#REF!</v>
      </c>
      <c r="GBX247" s="29" t="e">
        <f t="shared" si="118"/>
        <v>#REF!</v>
      </c>
      <c r="GBY247" s="29" t="e">
        <f t="shared" si="118"/>
        <v>#REF!</v>
      </c>
      <c r="GBZ247" s="29" t="e">
        <f t="shared" si="118"/>
        <v>#REF!</v>
      </c>
      <c r="GCA247" s="29" t="e">
        <f t="shared" si="118"/>
        <v>#REF!</v>
      </c>
      <c r="GCB247" s="29" t="e">
        <f t="shared" si="118"/>
        <v>#REF!</v>
      </c>
      <c r="GCC247" s="29" t="e">
        <f t="shared" si="118"/>
        <v>#REF!</v>
      </c>
      <c r="GCD247" s="29" t="e">
        <f t="shared" si="118"/>
        <v>#REF!</v>
      </c>
      <c r="GCE247" s="29" t="e">
        <f t="shared" si="118"/>
        <v>#REF!</v>
      </c>
      <c r="GCF247" s="29" t="e">
        <f t="shared" si="118"/>
        <v>#REF!</v>
      </c>
      <c r="GCG247" s="29" t="e">
        <f t="shared" ref="GCG247:GER247" si="119">GCK247&amp;GCL247</f>
        <v>#REF!</v>
      </c>
      <c r="GCH247" s="29" t="e">
        <f t="shared" si="119"/>
        <v>#REF!</v>
      </c>
      <c r="GCI247" s="29" t="e">
        <f t="shared" si="119"/>
        <v>#REF!</v>
      </c>
      <c r="GCJ247" s="29" t="e">
        <f t="shared" si="119"/>
        <v>#REF!</v>
      </c>
      <c r="GCK247" s="29" t="e">
        <f t="shared" si="119"/>
        <v>#REF!</v>
      </c>
      <c r="GCL247" s="29" t="e">
        <f t="shared" si="119"/>
        <v>#REF!</v>
      </c>
      <c r="GCM247" s="29" t="e">
        <f t="shared" si="119"/>
        <v>#REF!</v>
      </c>
      <c r="GCN247" s="29" t="e">
        <f t="shared" si="119"/>
        <v>#REF!</v>
      </c>
      <c r="GCO247" s="29" t="e">
        <f t="shared" si="119"/>
        <v>#REF!</v>
      </c>
      <c r="GCP247" s="29" t="e">
        <f t="shared" si="119"/>
        <v>#REF!</v>
      </c>
      <c r="GCQ247" s="29" t="e">
        <f t="shared" si="119"/>
        <v>#REF!</v>
      </c>
      <c r="GCR247" s="29" t="e">
        <f t="shared" si="119"/>
        <v>#REF!</v>
      </c>
      <c r="GCS247" s="29" t="e">
        <f t="shared" si="119"/>
        <v>#REF!</v>
      </c>
      <c r="GCT247" s="29" t="e">
        <f t="shared" si="119"/>
        <v>#REF!</v>
      </c>
      <c r="GCU247" s="29" t="e">
        <f t="shared" si="119"/>
        <v>#REF!</v>
      </c>
      <c r="GCV247" s="29" t="e">
        <f t="shared" si="119"/>
        <v>#REF!</v>
      </c>
      <c r="GCW247" s="29" t="e">
        <f t="shared" si="119"/>
        <v>#REF!</v>
      </c>
      <c r="GCX247" s="29" t="e">
        <f t="shared" si="119"/>
        <v>#REF!</v>
      </c>
      <c r="GCY247" s="29" t="e">
        <f t="shared" si="119"/>
        <v>#REF!</v>
      </c>
      <c r="GCZ247" s="29" t="e">
        <f t="shared" si="119"/>
        <v>#REF!</v>
      </c>
      <c r="GDA247" s="29" t="e">
        <f t="shared" si="119"/>
        <v>#REF!</v>
      </c>
      <c r="GDB247" s="29" t="e">
        <f t="shared" si="119"/>
        <v>#REF!</v>
      </c>
      <c r="GDC247" s="29" t="e">
        <f t="shared" si="119"/>
        <v>#REF!</v>
      </c>
      <c r="GDD247" s="29" t="e">
        <f t="shared" si="119"/>
        <v>#REF!</v>
      </c>
      <c r="GDE247" s="29" t="e">
        <f t="shared" si="119"/>
        <v>#REF!</v>
      </c>
      <c r="GDF247" s="29" t="e">
        <f t="shared" si="119"/>
        <v>#REF!</v>
      </c>
      <c r="GDG247" s="29" t="e">
        <f t="shared" si="119"/>
        <v>#REF!</v>
      </c>
      <c r="GDH247" s="29" t="e">
        <f t="shared" si="119"/>
        <v>#REF!</v>
      </c>
      <c r="GDI247" s="29" t="e">
        <f t="shared" si="119"/>
        <v>#REF!</v>
      </c>
      <c r="GDJ247" s="29" t="e">
        <f t="shared" si="119"/>
        <v>#REF!</v>
      </c>
      <c r="GDK247" s="29" t="e">
        <f t="shared" si="119"/>
        <v>#REF!</v>
      </c>
      <c r="GDL247" s="29" t="e">
        <f t="shared" si="119"/>
        <v>#REF!</v>
      </c>
      <c r="GDM247" s="29" t="e">
        <f t="shared" si="119"/>
        <v>#REF!</v>
      </c>
      <c r="GDN247" s="29" t="e">
        <f t="shared" si="119"/>
        <v>#REF!</v>
      </c>
      <c r="GDO247" s="29" t="e">
        <f t="shared" si="119"/>
        <v>#REF!</v>
      </c>
      <c r="GDP247" s="29" t="e">
        <f t="shared" si="119"/>
        <v>#REF!</v>
      </c>
      <c r="GDQ247" s="29" t="e">
        <f t="shared" si="119"/>
        <v>#REF!</v>
      </c>
      <c r="GDR247" s="29" t="e">
        <f t="shared" si="119"/>
        <v>#REF!</v>
      </c>
      <c r="GDS247" s="29" t="e">
        <f t="shared" si="119"/>
        <v>#REF!</v>
      </c>
      <c r="GDT247" s="29" t="e">
        <f t="shared" si="119"/>
        <v>#REF!</v>
      </c>
      <c r="GDU247" s="29" t="e">
        <f t="shared" si="119"/>
        <v>#REF!</v>
      </c>
      <c r="GDV247" s="29" t="e">
        <f t="shared" si="119"/>
        <v>#REF!</v>
      </c>
      <c r="GDW247" s="29" t="e">
        <f t="shared" si="119"/>
        <v>#REF!</v>
      </c>
      <c r="GDX247" s="29" t="e">
        <f t="shared" si="119"/>
        <v>#REF!</v>
      </c>
      <c r="GDY247" s="29" t="e">
        <f t="shared" si="119"/>
        <v>#REF!</v>
      </c>
      <c r="GDZ247" s="29" t="e">
        <f t="shared" si="119"/>
        <v>#REF!</v>
      </c>
      <c r="GEA247" s="29" t="e">
        <f t="shared" si="119"/>
        <v>#REF!</v>
      </c>
      <c r="GEB247" s="29" t="e">
        <f t="shared" si="119"/>
        <v>#REF!</v>
      </c>
      <c r="GEC247" s="29" t="e">
        <f t="shared" si="119"/>
        <v>#REF!</v>
      </c>
      <c r="GED247" s="29" t="e">
        <f t="shared" si="119"/>
        <v>#REF!</v>
      </c>
      <c r="GEE247" s="29" t="e">
        <f t="shared" si="119"/>
        <v>#REF!</v>
      </c>
      <c r="GEF247" s="29" t="e">
        <f t="shared" si="119"/>
        <v>#REF!</v>
      </c>
      <c r="GEG247" s="29" t="e">
        <f t="shared" si="119"/>
        <v>#REF!</v>
      </c>
      <c r="GEH247" s="29" t="e">
        <f t="shared" si="119"/>
        <v>#REF!</v>
      </c>
      <c r="GEI247" s="29" t="e">
        <f t="shared" si="119"/>
        <v>#REF!</v>
      </c>
      <c r="GEJ247" s="29" t="e">
        <f t="shared" si="119"/>
        <v>#REF!</v>
      </c>
      <c r="GEK247" s="29" t="e">
        <f t="shared" si="119"/>
        <v>#REF!</v>
      </c>
      <c r="GEL247" s="29" t="e">
        <f t="shared" si="119"/>
        <v>#REF!</v>
      </c>
      <c r="GEM247" s="29" t="e">
        <f t="shared" si="119"/>
        <v>#REF!</v>
      </c>
      <c r="GEN247" s="29" t="e">
        <f t="shared" si="119"/>
        <v>#REF!</v>
      </c>
      <c r="GEO247" s="29" t="e">
        <f t="shared" si="119"/>
        <v>#REF!</v>
      </c>
      <c r="GEP247" s="29" t="e">
        <f t="shared" si="119"/>
        <v>#REF!</v>
      </c>
      <c r="GEQ247" s="29" t="e">
        <f t="shared" si="119"/>
        <v>#REF!</v>
      </c>
      <c r="GER247" s="29" t="e">
        <f t="shared" si="119"/>
        <v>#REF!</v>
      </c>
      <c r="GES247" s="29" t="e">
        <f t="shared" ref="GES247:GHD247" si="120">GEW247&amp;GEX247</f>
        <v>#REF!</v>
      </c>
      <c r="GET247" s="29" t="e">
        <f t="shared" si="120"/>
        <v>#REF!</v>
      </c>
      <c r="GEU247" s="29" t="e">
        <f t="shared" si="120"/>
        <v>#REF!</v>
      </c>
      <c r="GEV247" s="29" t="e">
        <f t="shared" si="120"/>
        <v>#REF!</v>
      </c>
      <c r="GEW247" s="29" t="e">
        <f t="shared" si="120"/>
        <v>#REF!</v>
      </c>
      <c r="GEX247" s="29" t="e">
        <f t="shared" si="120"/>
        <v>#REF!</v>
      </c>
      <c r="GEY247" s="29" t="e">
        <f t="shared" si="120"/>
        <v>#REF!</v>
      </c>
      <c r="GEZ247" s="29" t="e">
        <f t="shared" si="120"/>
        <v>#REF!</v>
      </c>
      <c r="GFA247" s="29" t="e">
        <f t="shared" si="120"/>
        <v>#REF!</v>
      </c>
      <c r="GFB247" s="29" t="e">
        <f t="shared" si="120"/>
        <v>#REF!</v>
      </c>
      <c r="GFC247" s="29" t="e">
        <f t="shared" si="120"/>
        <v>#REF!</v>
      </c>
      <c r="GFD247" s="29" t="e">
        <f t="shared" si="120"/>
        <v>#REF!</v>
      </c>
      <c r="GFE247" s="29" t="e">
        <f t="shared" si="120"/>
        <v>#REF!</v>
      </c>
      <c r="GFF247" s="29" t="e">
        <f t="shared" si="120"/>
        <v>#REF!</v>
      </c>
      <c r="GFG247" s="29" t="e">
        <f t="shared" si="120"/>
        <v>#REF!</v>
      </c>
      <c r="GFH247" s="29" t="e">
        <f t="shared" si="120"/>
        <v>#REF!</v>
      </c>
      <c r="GFI247" s="29" t="e">
        <f t="shared" si="120"/>
        <v>#REF!</v>
      </c>
      <c r="GFJ247" s="29" t="e">
        <f t="shared" si="120"/>
        <v>#REF!</v>
      </c>
      <c r="GFK247" s="29" t="e">
        <f t="shared" si="120"/>
        <v>#REF!</v>
      </c>
      <c r="GFL247" s="29" t="e">
        <f t="shared" si="120"/>
        <v>#REF!</v>
      </c>
      <c r="GFM247" s="29" t="e">
        <f t="shared" si="120"/>
        <v>#REF!</v>
      </c>
      <c r="GFN247" s="29" t="e">
        <f t="shared" si="120"/>
        <v>#REF!</v>
      </c>
      <c r="GFO247" s="29" t="e">
        <f t="shared" si="120"/>
        <v>#REF!</v>
      </c>
      <c r="GFP247" s="29" t="e">
        <f t="shared" si="120"/>
        <v>#REF!</v>
      </c>
      <c r="GFQ247" s="29" t="e">
        <f t="shared" si="120"/>
        <v>#REF!</v>
      </c>
      <c r="GFR247" s="29" t="e">
        <f t="shared" si="120"/>
        <v>#REF!</v>
      </c>
      <c r="GFS247" s="29" t="e">
        <f t="shared" si="120"/>
        <v>#REF!</v>
      </c>
      <c r="GFT247" s="29" t="e">
        <f t="shared" si="120"/>
        <v>#REF!</v>
      </c>
      <c r="GFU247" s="29" t="e">
        <f t="shared" si="120"/>
        <v>#REF!</v>
      </c>
      <c r="GFV247" s="29" t="e">
        <f t="shared" si="120"/>
        <v>#REF!</v>
      </c>
      <c r="GFW247" s="29" t="e">
        <f t="shared" si="120"/>
        <v>#REF!</v>
      </c>
      <c r="GFX247" s="29" t="e">
        <f t="shared" si="120"/>
        <v>#REF!</v>
      </c>
      <c r="GFY247" s="29" t="e">
        <f t="shared" si="120"/>
        <v>#REF!</v>
      </c>
      <c r="GFZ247" s="29" t="e">
        <f t="shared" si="120"/>
        <v>#REF!</v>
      </c>
      <c r="GGA247" s="29" t="e">
        <f t="shared" si="120"/>
        <v>#REF!</v>
      </c>
      <c r="GGB247" s="29" t="e">
        <f t="shared" si="120"/>
        <v>#REF!</v>
      </c>
      <c r="GGC247" s="29" t="e">
        <f t="shared" si="120"/>
        <v>#REF!</v>
      </c>
      <c r="GGD247" s="29" t="e">
        <f t="shared" si="120"/>
        <v>#REF!</v>
      </c>
      <c r="GGE247" s="29" t="e">
        <f t="shared" si="120"/>
        <v>#REF!</v>
      </c>
      <c r="GGF247" s="29" t="e">
        <f t="shared" si="120"/>
        <v>#REF!</v>
      </c>
      <c r="GGG247" s="29" t="e">
        <f t="shared" si="120"/>
        <v>#REF!</v>
      </c>
      <c r="GGH247" s="29" t="e">
        <f t="shared" si="120"/>
        <v>#REF!</v>
      </c>
      <c r="GGI247" s="29" t="e">
        <f t="shared" si="120"/>
        <v>#REF!</v>
      </c>
      <c r="GGJ247" s="29" t="e">
        <f t="shared" si="120"/>
        <v>#REF!</v>
      </c>
      <c r="GGK247" s="29" t="e">
        <f t="shared" si="120"/>
        <v>#REF!</v>
      </c>
      <c r="GGL247" s="29" t="e">
        <f t="shared" si="120"/>
        <v>#REF!</v>
      </c>
      <c r="GGM247" s="29" t="e">
        <f t="shared" si="120"/>
        <v>#REF!</v>
      </c>
      <c r="GGN247" s="29" t="e">
        <f t="shared" si="120"/>
        <v>#REF!</v>
      </c>
      <c r="GGO247" s="29" t="e">
        <f t="shared" si="120"/>
        <v>#REF!</v>
      </c>
      <c r="GGP247" s="29" t="e">
        <f t="shared" si="120"/>
        <v>#REF!</v>
      </c>
      <c r="GGQ247" s="29" t="e">
        <f t="shared" si="120"/>
        <v>#REF!</v>
      </c>
      <c r="GGR247" s="29" t="e">
        <f t="shared" si="120"/>
        <v>#REF!</v>
      </c>
      <c r="GGS247" s="29" t="e">
        <f t="shared" si="120"/>
        <v>#REF!</v>
      </c>
      <c r="GGT247" s="29" t="e">
        <f t="shared" si="120"/>
        <v>#REF!</v>
      </c>
      <c r="GGU247" s="29" t="e">
        <f t="shared" si="120"/>
        <v>#REF!</v>
      </c>
      <c r="GGV247" s="29" t="e">
        <f t="shared" si="120"/>
        <v>#REF!</v>
      </c>
      <c r="GGW247" s="29" t="e">
        <f t="shared" si="120"/>
        <v>#REF!</v>
      </c>
      <c r="GGX247" s="29" t="e">
        <f t="shared" si="120"/>
        <v>#REF!</v>
      </c>
      <c r="GGY247" s="29" t="e">
        <f t="shared" si="120"/>
        <v>#REF!</v>
      </c>
      <c r="GGZ247" s="29" t="e">
        <f t="shared" si="120"/>
        <v>#REF!</v>
      </c>
      <c r="GHA247" s="29" t="e">
        <f t="shared" si="120"/>
        <v>#REF!</v>
      </c>
      <c r="GHB247" s="29" t="e">
        <f t="shared" si="120"/>
        <v>#REF!</v>
      </c>
      <c r="GHC247" s="29" t="e">
        <f t="shared" si="120"/>
        <v>#REF!</v>
      </c>
      <c r="GHD247" s="29" t="e">
        <f t="shared" si="120"/>
        <v>#REF!</v>
      </c>
      <c r="GHE247" s="29" t="e">
        <f t="shared" ref="GHE247:GJP247" si="121">GHI247&amp;GHJ247</f>
        <v>#REF!</v>
      </c>
      <c r="GHF247" s="29" t="e">
        <f t="shared" si="121"/>
        <v>#REF!</v>
      </c>
      <c r="GHG247" s="29" t="e">
        <f t="shared" si="121"/>
        <v>#REF!</v>
      </c>
      <c r="GHH247" s="29" t="e">
        <f t="shared" si="121"/>
        <v>#REF!</v>
      </c>
      <c r="GHI247" s="29" t="e">
        <f t="shared" si="121"/>
        <v>#REF!</v>
      </c>
      <c r="GHJ247" s="29" t="e">
        <f t="shared" si="121"/>
        <v>#REF!</v>
      </c>
      <c r="GHK247" s="29" t="e">
        <f t="shared" si="121"/>
        <v>#REF!</v>
      </c>
      <c r="GHL247" s="29" t="e">
        <f t="shared" si="121"/>
        <v>#REF!</v>
      </c>
      <c r="GHM247" s="29" t="e">
        <f t="shared" si="121"/>
        <v>#REF!</v>
      </c>
      <c r="GHN247" s="29" t="e">
        <f t="shared" si="121"/>
        <v>#REF!</v>
      </c>
      <c r="GHO247" s="29" t="e">
        <f t="shared" si="121"/>
        <v>#REF!</v>
      </c>
      <c r="GHP247" s="29" t="e">
        <f t="shared" si="121"/>
        <v>#REF!</v>
      </c>
      <c r="GHQ247" s="29" t="e">
        <f t="shared" si="121"/>
        <v>#REF!</v>
      </c>
      <c r="GHR247" s="29" t="e">
        <f t="shared" si="121"/>
        <v>#REF!</v>
      </c>
      <c r="GHS247" s="29" t="e">
        <f t="shared" si="121"/>
        <v>#REF!</v>
      </c>
      <c r="GHT247" s="29" t="e">
        <f t="shared" si="121"/>
        <v>#REF!</v>
      </c>
      <c r="GHU247" s="29" t="e">
        <f t="shared" si="121"/>
        <v>#REF!</v>
      </c>
      <c r="GHV247" s="29" t="e">
        <f t="shared" si="121"/>
        <v>#REF!</v>
      </c>
      <c r="GHW247" s="29" t="e">
        <f t="shared" si="121"/>
        <v>#REF!</v>
      </c>
      <c r="GHX247" s="29" t="e">
        <f t="shared" si="121"/>
        <v>#REF!</v>
      </c>
      <c r="GHY247" s="29" t="e">
        <f t="shared" si="121"/>
        <v>#REF!</v>
      </c>
      <c r="GHZ247" s="29" t="e">
        <f t="shared" si="121"/>
        <v>#REF!</v>
      </c>
      <c r="GIA247" s="29" t="e">
        <f t="shared" si="121"/>
        <v>#REF!</v>
      </c>
      <c r="GIB247" s="29" t="e">
        <f t="shared" si="121"/>
        <v>#REF!</v>
      </c>
      <c r="GIC247" s="29" t="e">
        <f t="shared" si="121"/>
        <v>#REF!</v>
      </c>
      <c r="GID247" s="29" t="e">
        <f t="shared" si="121"/>
        <v>#REF!</v>
      </c>
      <c r="GIE247" s="29" t="e">
        <f t="shared" si="121"/>
        <v>#REF!</v>
      </c>
      <c r="GIF247" s="29" t="e">
        <f t="shared" si="121"/>
        <v>#REF!</v>
      </c>
      <c r="GIG247" s="29" t="e">
        <f t="shared" si="121"/>
        <v>#REF!</v>
      </c>
      <c r="GIH247" s="29" t="e">
        <f t="shared" si="121"/>
        <v>#REF!</v>
      </c>
      <c r="GII247" s="29" t="e">
        <f t="shared" si="121"/>
        <v>#REF!</v>
      </c>
      <c r="GIJ247" s="29" t="e">
        <f t="shared" si="121"/>
        <v>#REF!</v>
      </c>
      <c r="GIK247" s="29" t="e">
        <f t="shared" si="121"/>
        <v>#REF!</v>
      </c>
      <c r="GIL247" s="29" t="e">
        <f t="shared" si="121"/>
        <v>#REF!</v>
      </c>
      <c r="GIM247" s="29" t="e">
        <f t="shared" si="121"/>
        <v>#REF!</v>
      </c>
      <c r="GIN247" s="29" t="e">
        <f t="shared" si="121"/>
        <v>#REF!</v>
      </c>
      <c r="GIO247" s="29" t="e">
        <f t="shared" si="121"/>
        <v>#REF!</v>
      </c>
      <c r="GIP247" s="29" t="e">
        <f t="shared" si="121"/>
        <v>#REF!</v>
      </c>
      <c r="GIQ247" s="29" t="e">
        <f t="shared" si="121"/>
        <v>#REF!</v>
      </c>
      <c r="GIR247" s="29" t="e">
        <f t="shared" si="121"/>
        <v>#REF!</v>
      </c>
      <c r="GIS247" s="29" t="e">
        <f t="shared" si="121"/>
        <v>#REF!</v>
      </c>
      <c r="GIT247" s="29" t="e">
        <f t="shared" si="121"/>
        <v>#REF!</v>
      </c>
      <c r="GIU247" s="29" t="e">
        <f t="shared" si="121"/>
        <v>#REF!</v>
      </c>
      <c r="GIV247" s="29" t="e">
        <f t="shared" si="121"/>
        <v>#REF!</v>
      </c>
      <c r="GIW247" s="29" t="e">
        <f t="shared" si="121"/>
        <v>#REF!</v>
      </c>
      <c r="GIX247" s="29" t="e">
        <f t="shared" si="121"/>
        <v>#REF!</v>
      </c>
      <c r="GIY247" s="29" t="e">
        <f t="shared" si="121"/>
        <v>#REF!</v>
      </c>
      <c r="GIZ247" s="29" t="e">
        <f t="shared" si="121"/>
        <v>#REF!</v>
      </c>
      <c r="GJA247" s="29" t="e">
        <f t="shared" si="121"/>
        <v>#REF!</v>
      </c>
      <c r="GJB247" s="29" t="e">
        <f t="shared" si="121"/>
        <v>#REF!</v>
      </c>
      <c r="GJC247" s="29" t="e">
        <f t="shared" si="121"/>
        <v>#REF!</v>
      </c>
      <c r="GJD247" s="29" t="e">
        <f t="shared" si="121"/>
        <v>#REF!</v>
      </c>
      <c r="GJE247" s="29" t="e">
        <f t="shared" si="121"/>
        <v>#REF!</v>
      </c>
      <c r="GJF247" s="29" t="e">
        <f t="shared" si="121"/>
        <v>#REF!</v>
      </c>
      <c r="GJG247" s="29" t="e">
        <f t="shared" si="121"/>
        <v>#REF!</v>
      </c>
      <c r="GJH247" s="29" t="e">
        <f t="shared" si="121"/>
        <v>#REF!</v>
      </c>
      <c r="GJI247" s="29" t="e">
        <f t="shared" si="121"/>
        <v>#REF!</v>
      </c>
      <c r="GJJ247" s="29" t="e">
        <f t="shared" si="121"/>
        <v>#REF!</v>
      </c>
      <c r="GJK247" s="29" t="e">
        <f t="shared" si="121"/>
        <v>#REF!</v>
      </c>
      <c r="GJL247" s="29" t="e">
        <f t="shared" si="121"/>
        <v>#REF!</v>
      </c>
      <c r="GJM247" s="29" t="e">
        <f t="shared" si="121"/>
        <v>#REF!</v>
      </c>
      <c r="GJN247" s="29" t="e">
        <f t="shared" si="121"/>
        <v>#REF!</v>
      </c>
      <c r="GJO247" s="29" t="e">
        <f t="shared" si="121"/>
        <v>#REF!</v>
      </c>
      <c r="GJP247" s="29" t="e">
        <f t="shared" si="121"/>
        <v>#REF!</v>
      </c>
      <c r="GJQ247" s="29" t="e">
        <f t="shared" ref="GJQ247:GMB247" si="122">GJU247&amp;GJV247</f>
        <v>#REF!</v>
      </c>
      <c r="GJR247" s="29" t="e">
        <f t="shared" si="122"/>
        <v>#REF!</v>
      </c>
      <c r="GJS247" s="29" t="e">
        <f t="shared" si="122"/>
        <v>#REF!</v>
      </c>
      <c r="GJT247" s="29" t="e">
        <f t="shared" si="122"/>
        <v>#REF!</v>
      </c>
      <c r="GJU247" s="29" t="e">
        <f t="shared" si="122"/>
        <v>#REF!</v>
      </c>
      <c r="GJV247" s="29" t="e">
        <f t="shared" si="122"/>
        <v>#REF!</v>
      </c>
      <c r="GJW247" s="29" t="e">
        <f t="shared" si="122"/>
        <v>#REF!</v>
      </c>
      <c r="GJX247" s="29" t="e">
        <f t="shared" si="122"/>
        <v>#REF!</v>
      </c>
      <c r="GJY247" s="29" t="e">
        <f t="shared" si="122"/>
        <v>#REF!</v>
      </c>
      <c r="GJZ247" s="29" t="e">
        <f t="shared" si="122"/>
        <v>#REF!</v>
      </c>
      <c r="GKA247" s="29" t="e">
        <f t="shared" si="122"/>
        <v>#REF!</v>
      </c>
      <c r="GKB247" s="29" t="e">
        <f t="shared" si="122"/>
        <v>#REF!</v>
      </c>
      <c r="GKC247" s="29" t="e">
        <f t="shared" si="122"/>
        <v>#REF!</v>
      </c>
      <c r="GKD247" s="29" t="e">
        <f t="shared" si="122"/>
        <v>#REF!</v>
      </c>
      <c r="GKE247" s="29" t="e">
        <f t="shared" si="122"/>
        <v>#REF!</v>
      </c>
      <c r="GKF247" s="29" t="e">
        <f t="shared" si="122"/>
        <v>#REF!</v>
      </c>
      <c r="GKG247" s="29" t="e">
        <f t="shared" si="122"/>
        <v>#REF!</v>
      </c>
      <c r="GKH247" s="29" t="e">
        <f t="shared" si="122"/>
        <v>#REF!</v>
      </c>
      <c r="GKI247" s="29" t="e">
        <f t="shared" si="122"/>
        <v>#REF!</v>
      </c>
      <c r="GKJ247" s="29" t="e">
        <f t="shared" si="122"/>
        <v>#REF!</v>
      </c>
      <c r="GKK247" s="29" t="e">
        <f t="shared" si="122"/>
        <v>#REF!</v>
      </c>
      <c r="GKL247" s="29" t="e">
        <f t="shared" si="122"/>
        <v>#REF!</v>
      </c>
      <c r="GKM247" s="29" t="e">
        <f t="shared" si="122"/>
        <v>#REF!</v>
      </c>
      <c r="GKN247" s="29" t="e">
        <f t="shared" si="122"/>
        <v>#REF!</v>
      </c>
      <c r="GKO247" s="29" t="e">
        <f t="shared" si="122"/>
        <v>#REF!</v>
      </c>
      <c r="GKP247" s="29" t="e">
        <f t="shared" si="122"/>
        <v>#REF!</v>
      </c>
      <c r="GKQ247" s="29" t="e">
        <f t="shared" si="122"/>
        <v>#REF!</v>
      </c>
      <c r="GKR247" s="29" t="e">
        <f t="shared" si="122"/>
        <v>#REF!</v>
      </c>
      <c r="GKS247" s="29" t="e">
        <f t="shared" si="122"/>
        <v>#REF!</v>
      </c>
      <c r="GKT247" s="29" t="e">
        <f t="shared" si="122"/>
        <v>#REF!</v>
      </c>
      <c r="GKU247" s="29" t="e">
        <f t="shared" si="122"/>
        <v>#REF!</v>
      </c>
      <c r="GKV247" s="29" t="e">
        <f t="shared" si="122"/>
        <v>#REF!</v>
      </c>
      <c r="GKW247" s="29" t="e">
        <f t="shared" si="122"/>
        <v>#REF!</v>
      </c>
      <c r="GKX247" s="29" t="e">
        <f t="shared" si="122"/>
        <v>#REF!</v>
      </c>
      <c r="GKY247" s="29" t="e">
        <f t="shared" si="122"/>
        <v>#REF!</v>
      </c>
      <c r="GKZ247" s="29" t="e">
        <f t="shared" si="122"/>
        <v>#REF!</v>
      </c>
      <c r="GLA247" s="29" t="e">
        <f t="shared" si="122"/>
        <v>#REF!</v>
      </c>
      <c r="GLB247" s="29" t="e">
        <f t="shared" si="122"/>
        <v>#REF!</v>
      </c>
      <c r="GLC247" s="29" t="e">
        <f t="shared" si="122"/>
        <v>#REF!</v>
      </c>
      <c r="GLD247" s="29" t="e">
        <f t="shared" si="122"/>
        <v>#REF!</v>
      </c>
      <c r="GLE247" s="29" t="e">
        <f t="shared" si="122"/>
        <v>#REF!</v>
      </c>
      <c r="GLF247" s="29" t="e">
        <f t="shared" si="122"/>
        <v>#REF!</v>
      </c>
      <c r="GLG247" s="29" t="e">
        <f t="shared" si="122"/>
        <v>#REF!</v>
      </c>
      <c r="GLH247" s="29" t="e">
        <f t="shared" si="122"/>
        <v>#REF!</v>
      </c>
      <c r="GLI247" s="29" t="e">
        <f t="shared" si="122"/>
        <v>#REF!</v>
      </c>
      <c r="GLJ247" s="29" t="e">
        <f t="shared" si="122"/>
        <v>#REF!</v>
      </c>
      <c r="GLK247" s="29" t="e">
        <f t="shared" si="122"/>
        <v>#REF!</v>
      </c>
      <c r="GLL247" s="29" t="e">
        <f t="shared" si="122"/>
        <v>#REF!</v>
      </c>
      <c r="GLM247" s="29" t="e">
        <f t="shared" si="122"/>
        <v>#REF!</v>
      </c>
      <c r="GLN247" s="29" t="e">
        <f t="shared" si="122"/>
        <v>#REF!</v>
      </c>
      <c r="GLO247" s="29" t="e">
        <f t="shared" si="122"/>
        <v>#REF!</v>
      </c>
      <c r="GLP247" s="29" t="e">
        <f t="shared" si="122"/>
        <v>#REF!</v>
      </c>
      <c r="GLQ247" s="29" t="e">
        <f t="shared" si="122"/>
        <v>#REF!</v>
      </c>
      <c r="GLR247" s="29" t="e">
        <f t="shared" si="122"/>
        <v>#REF!</v>
      </c>
      <c r="GLS247" s="29" t="e">
        <f t="shared" si="122"/>
        <v>#REF!</v>
      </c>
      <c r="GLT247" s="29" t="e">
        <f t="shared" si="122"/>
        <v>#REF!</v>
      </c>
      <c r="GLU247" s="29" t="e">
        <f t="shared" si="122"/>
        <v>#REF!</v>
      </c>
      <c r="GLV247" s="29" t="e">
        <f t="shared" si="122"/>
        <v>#REF!</v>
      </c>
      <c r="GLW247" s="29" t="e">
        <f t="shared" si="122"/>
        <v>#REF!</v>
      </c>
      <c r="GLX247" s="29" t="e">
        <f t="shared" si="122"/>
        <v>#REF!</v>
      </c>
      <c r="GLY247" s="29" t="e">
        <f t="shared" si="122"/>
        <v>#REF!</v>
      </c>
      <c r="GLZ247" s="29" t="e">
        <f t="shared" si="122"/>
        <v>#REF!</v>
      </c>
      <c r="GMA247" s="29" t="e">
        <f t="shared" si="122"/>
        <v>#REF!</v>
      </c>
      <c r="GMB247" s="29" t="e">
        <f t="shared" si="122"/>
        <v>#REF!</v>
      </c>
      <c r="GMC247" s="29" t="e">
        <f t="shared" ref="GMC247:GON247" si="123">GMG247&amp;GMH247</f>
        <v>#REF!</v>
      </c>
      <c r="GMD247" s="29" t="e">
        <f t="shared" si="123"/>
        <v>#REF!</v>
      </c>
      <c r="GME247" s="29" t="e">
        <f t="shared" si="123"/>
        <v>#REF!</v>
      </c>
      <c r="GMF247" s="29" t="e">
        <f t="shared" si="123"/>
        <v>#REF!</v>
      </c>
      <c r="GMG247" s="29" t="e">
        <f t="shared" si="123"/>
        <v>#REF!</v>
      </c>
      <c r="GMH247" s="29" t="e">
        <f t="shared" si="123"/>
        <v>#REF!</v>
      </c>
      <c r="GMI247" s="29" t="e">
        <f t="shared" si="123"/>
        <v>#REF!</v>
      </c>
      <c r="GMJ247" s="29" t="e">
        <f t="shared" si="123"/>
        <v>#REF!</v>
      </c>
      <c r="GMK247" s="29" t="e">
        <f t="shared" si="123"/>
        <v>#REF!</v>
      </c>
      <c r="GML247" s="29" t="e">
        <f t="shared" si="123"/>
        <v>#REF!</v>
      </c>
      <c r="GMM247" s="29" t="e">
        <f t="shared" si="123"/>
        <v>#REF!</v>
      </c>
      <c r="GMN247" s="29" t="e">
        <f t="shared" si="123"/>
        <v>#REF!</v>
      </c>
      <c r="GMO247" s="29" t="e">
        <f t="shared" si="123"/>
        <v>#REF!</v>
      </c>
      <c r="GMP247" s="29" t="e">
        <f t="shared" si="123"/>
        <v>#REF!</v>
      </c>
      <c r="GMQ247" s="29" t="e">
        <f t="shared" si="123"/>
        <v>#REF!</v>
      </c>
      <c r="GMR247" s="29" t="e">
        <f t="shared" si="123"/>
        <v>#REF!</v>
      </c>
      <c r="GMS247" s="29" t="e">
        <f t="shared" si="123"/>
        <v>#REF!</v>
      </c>
      <c r="GMT247" s="29" t="e">
        <f t="shared" si="123"/>
        <v>#REF!</v>
      </c>
      <c r="GMU247" s="29" t="e">
        <f t="shared" si="123"/>
        <v>#REF!</v>
      </c>
      <c r="GMV247" s="29" t="e">
        <f t="shared" si="123"/>
        <v>#REF!</v>
      </c>
      <c r="GMW247" s="29" t="e">
        <f t="shared" si="123"/>
        <v>#REF!</v>
      </c>
      <c r="GMX247" s="29" t="e">
        <f t="shared" si="123"/>
        <v>#REF!</v>
      </c>
      <c r="GMY247" s="29" t="e">
        <f t="shared" si="123"/>
        <v>#REF!</v>
      </c>
      <c r="GMZ247" s="29" t="e">
        <f t="shared" si="123"/>
        <v>#REF!</v>
      </c>
      <c r="GNA247" s="29" t="e">
        <f t="shared" si="123"/>
        <v>#REF!</v>
      </c>
      <c r="GNB247" s="29" t="e">
        <f t="shared" si="123"/>
        <v>#REF!</v>
      </c>
      <c r="GNC247" s="29" t="e">
        <f t="shared" si="123"/>
        <v>#REF!</v>
      </c>
      <c r="GND247" s="29" t="e">
        <f t="shared" si="123"/>
        <v>#REF!</v>
      </c>
      <c r="GNE247" s="29" t="e">
        <f t="shared" si="123"/>
        <v>#REF!</v>
      </c>
      <c r="GNF247" s="29" t="e">
        <f t="shared" si="123"/>
        <v>#REF!</v>
      </c>
      <c r="GNG247" s="29" t="e">
        <f t="shared" si="123"/>
        <v>#REF!</v>
      </c>
      <c r="GNH247" s="29" t="e">
        <f t="shared" si="123"/>
        <v>#REF!</v>
      </c>
      <c r="GNI247" s="29" t="e">
        <f t="shared" si="123"/>
        <v>#REF!</v>
      </c>
      <c r="GNJ247" s="29" t="e">
        <f t="shared" si="123"/>
        <v>#REF!</v>
      </c>
      <c r="GNK247" s="29" t="e">
        <f t="shared" si="123"/>
        <v>#REF!</v>
      </c>
      <c r="GNL247" s="29" t="e">
        <f t="shared" si="123"/>
        <v>#REF!</v>
      </c>
      <c r="GNM247" s="29" t="e">
        <f t="shared" si="123"/>
        <v>#REF!</v>
      </c>
      <c r="GNN247" s="29" t="e">
        <f t="shared" si="123"/>
        <v>#REF!</v>
      </c>
      <c r="GNO247" s="29" t="e">
        <f t="shared" si="123"/>
        <v>#REF!</v>
      </c>
      <c r="GNP247" s="29" t="e">
        <f t="shared" si="123"/>
        <v>#REF!</v>
      </c>
      <c r="GNQ247" s="29" t="e">
        <f t="shared" si="123"/>
        <v>#REF!</v>
      </c>
      <c r="GNR247" s="29" t="e">
        <f t="shared" si="123"/>
        <v>#REF!</v>
      </c>
      <c r="GNS247" s="29" t="e">
        <f t="shared" si="123"/>
        <v>#REF!</v>
      </c>
      <c r="GNT247" s="29" t="e">
        <f t="shared" si="123"/>
        <v>#REF!</v>
      </c>
      <c r="GNU247" s="29" t="e">
        <f t="shared" si="123"/>
        <v>#REF!</v>
      </c>
      <c r="GNV247" s="29" t="e">
        <f t="shared" si="123"/>
        <v>#REF!</v>
      </c>
      <c r="GNW247" s="29" t="e">
        <f t="shared" si="123"/>
        <v>#REF!</v>
      </c>
      <c r="GNX247" s="29" t="e">
        <f t="shared" si="123"/>
        <v>#REF!</v>
      </c>
      <c r="GNY247" s="29" t="e">
        <f t="shared" si="123"/>
        <v>#REF!</v>
      </c>
      <c r="GNZ247" s="29" t="e">
        <f t="shared" si="123"/>
        <v>#REF!</v>
      </c>
      <c r="GOA247" s="29" t="e">
        <f t="shared" si="123"/>
        <v>#REF!</v>
      </c>
      <c r="GOB247" s="29" t="e">
        <f t="shared" si="123"/>
        <v>#REF!</v>
      </c>
      <c r="GOC247" s="29" t="e">
        <f t="shared" si="123"/>
        <v>#REF!</v>
      </c>
      <c r="GOD247" s="29" t="e">
        <f t="shared" si="123"/>
        <v>#REF!</v>
      </c>
      <c r="GOE247" s="29" t="e">
        <f t="shared" si="123"/>
        <v>#REF!</v>
      </c>
      <c r="GOF247" s="29" t="e">
        <f t="shared" si="123"/>
        <v>#REF!</v>
      </c>
      <c r="GOG247" s="29" t="e">
        <f t="shared" si="123"/>
        <v>#REF!</v>
      </c>
      <c r="GOH247" s="29" t="e">
        <f t="shared" si="123"/>
        <v>#REF!</v>
      </c>
      <c r="GOI247" s="29" t="e">
        <f t="shared" si="123"/>
        <v>#REF!</v>
      </c>
      <c r="GOJ247" s="29" t="e">
        <f t="shared" si="123"/>
        <v>#REF!</v>
      </c>
      <c r="GOK247" s="29" t="e">
        <f t="shared" si="123"/>
        <v>#REF!</v>
      </c>
      <c r="GOL247" s="29" t="e">
        <f t="shared" si="123"/>
        <v>#REF!</v>
      </c>
      <c r="GOM247" s="29" t="e">
        <f t="shared" si="123"/>
        <v>#REF!</v>
      </c>
      <c r="GON247" s="29" t="e">
        <f t="shared" si="123"/>
        <v>#REF!</v>
      </c>
      <c r="GOO247" s="29" t="e">
        <f t="shared" ref="GOO247:GQZ247" si="124">GOS247&amp;GOT247</f>
        <v>#REF!</v>
      </c>
      <c r="GOP247" s="29" t="e">
        <f t="shared" si="124"/>
        <v>#REF!</v>
      </c>
      <c r="GOQ247" s="29" t="e">
        <f t="shared" si="124"/>
        <v>#REF!</v>
      </c>
      <c r="GOR247" s="29" t="e">
        <f t="shared" si="124"/>
        <v>#REF!</v>
      </c>
      <c r="GOS247" s="29" t="e">
        <f t="shared" si="124"/>
        <v>#REF!</v>
      </c>
      <c r="GOT247" s="29" t="e">
        <f t="shared" si="124"/>
        <v>#REF!</v>
      </c>
      <c r="GOU247" s="29" t="e">
        <f t="shared" si="124"/>
        <v>#REF!</v>
      </c>
      <c r="GOV247" s="29" t="e">
        <f t="shared" si="124"/>
        <v>#REF!</v>
      </c>
      <c r="GOW247" s="29" t="e">
        <f t="shared" si="124"/>
        <v>#REF!</v>
      </c>
      <c r="GOX247" s="29" t="e">
        <f t="shared" si="124"/>
        <v>#REF!</v>
      </c>
      <c r="GOY247" s="29" t="e">
        <f t="shared" si="124"/>
        <v>#REF!</v>
      </c>
      <c r="GOZ247" s="29" t="e">
        <f t="shared" si="124"/>
        <v>#REF!</v>
      </c>
      <c r="GPA247" s="29" t="e">
        <f t="shared" si="124"/>
        <v>#REF!</v>
      </c>
      <c r="GPB247" s="29" t="e">
        <f t="shared" si="124"/>
        <v>#REF!</v>
      </c>
      <c r="GPC247" s="29" t="e">
        <f t="shared" si="124"/>
        <v>#REF!</v>
      </c>
      <c r="GPD247" s="29" t="e">
        <f t="shared" si="124"/>
        <v>#REF!</v>
      </c>
      <c r="GPE247" s="29" t="e">
        <f t="shared" si="124"/>
        <v>#REF!</v>
      </c>
      <c r="GPF247" s="29" t="e">
        <f t="shared" si="124"/>
        <v>#REF!</v>
      </c>
      <c r="GPG247" s="29" t="e">
        <f t="shared" si="124"/>
        <v>#REF!</v>
      </c>
      <c r="GPH247" s="29" t="e">
        <f t="shared" si="124"/>
        <v>#REF!</v>
      </c>
      <c r="GPI247" s="29" t="e">
        <f t="shared" si="124"/>
        <v>#REF!</v>
      </c>
      <c r="GPJ247" s="29" t="e">
        <f t="shared" si="124"/>
        <v>#REF!</v>
      </c>
      <c r="GPK247" s="29" t="e">
        <f t="shared" si="124"/>
        <v>#REF!</v>
      </c>
      <c r="GPL247" s="29" t="e">
        <f t="shared" si="124"/>
        <v>#REF!</v>
      </c>
      <c r="GPM247" s="29" t="e">
        <f t="shared" si="124"/>
        <v>#REF!</v>
      </c>
      <c r="GPN247" s="29" t="e">
        <f t="shared" si="124"/>
        <v>#REF!</v>
      </c>
      <c r="GPO247" s="29" t="e">
        <f t="shared" si="124"/>
        <v>#REF!</v>
      </c>
      <c r="GPP247" s="29" t="e">
        <f t="shared" si="124"/>
        <v>#REF!</v>
      </c>
      <c r="GPQ247" s="29" t="e">
        <f t="shared" si="124"/>
        <v>#REF!</v>
      </c>
      <c r="GPR247" s="29" t="e">
        <f t="shared" si="124"/>
        <v>#REF!</v>
      </c>
      <c r="GPS247" s="29" t="e">
        <f t="shared" si="124"/>
        <v>#REF!</v>
      </c>
      <c r="GPT247" s="29" t="e">
        <f t="shared" si="124"/>
        <v>#REF!</v>
      </c>
      <c r="GPU247" s="29" t="e">
        <f t="shared" si="124"/>
        <v>#REF!</v>
      </c>
      <c r="GPV247" s="29" t="e">
        <f t="shared" si="124"/>
        <v>#REF!</v>
      </c>
      <c r="GPW247" s="29" t="e">
        <f t="shared" si="124"/>
        <v>#REF!</v>
      </c>
      <c r="GPX247" s="29" t="e">
        <f t="shared" si="124"/>
        <v>#REF!</v>
      </c>
      <c r="GPY247" s="29" t="e">
        <f t="shared" si="124"/>
        <v>#REF!</v>
      </c>
      <c r="GPZ247" s="29" t="e">
        <f t="shared" si="124"/>
        <v>#REF!</v>
      </c>
      <c r="GQA247" s="29" t="e">
        <f t="shared" si="124"/>
        <v>#REF!</v>
      </c>
      <c r="GQB247" s="29" t="e">
        <f t="shared" si="124"/>
        <v>#REF!</v>
      </c>
      <c r="GQC247" s="29" t="e">
        <f t="shared" si="124"/>
        <v>#REF!</v>
      </c>
      <c r="GQD247" s="29" t="e">
        <f t="shared" si="124"/>
        <v>#REF!</v>
      </c>
      <c r="GQE247" s="29" t="e">
        <f t="shared" si="124"/>
        <v>#REF!</v>
      </c>
      <c r="GQF247" s="29" t="e">
        <f t="shared" si="124"/>
        <v>#REF!</v>
      </c>
      <c r="GQG247" s="29" t="e">
        <f t="shared" si="124"/>
        <v>#REF!</v>
      </c>
      <c r="GQH247" s="29" t="e">
        <f t="shared" si="124"/>
        <v>#REF!</v>
      </c>
      <c r="GQI247" s="29" t="e">
        <f t="shared" si="124"/>
        <v>#REF!</v>
      </c>
      <c r="GQJ247" s="29" t="e">
        <f t="shared" si="124"/>
        <v>#REF!</v>
      </c>
      <c r="GQK247" s="29" t="e">
        <f t="shared" si="124"/>
        <v>#REF!</v>
      </c>
      <c r="GQL247" s="29" t="e">
        <f t="shared" si="124"/>
        <v>#REF!</v>
      </c>
      <c r="GQM247" s="29" t="e">
        <f t="shared" si="124"/>
        <v>#REF!</v>
      </c>
      <c r="GQN247" s="29" t="e">
        <f t="shared" si="124"/>
        <v>#REF!</v>
      </c>
      <c r="GQO247" s="29" t="e">
        <f t="shared" si="124"/>
        <v>#REF!</v>
      </c>
      <c r="GQP247" s="29" t="e">
        <f t="shared" si="124"/>
        <v>#REF!</v>
      </c>
      <c r="GQQ247" s="29" t="e">
        <f t="shared" si="124"/>
        <v>#REF!</v>
      </c>
      <c r="GQR247" s="29" t="e">
        <f t="shared" si="124"/>
        <v>#REF!</v>
      </c>
      <c r="GQS247" s="29" t="e">
        <f t="shared" si="124"/>
        <v>#REF!</v>
      </c>
      <c r="GQT247" s="29" t="e">
        <f t="shared" si="124"/>
        <v>#REF!</v>
      </c>
      <c r="GQU247" s="29" t="e">
        <f t="shared" si="124"/>
        <v>#REF!</v>
      </c>
      <c r="GQV247" s="29" t="e">
        <f t="shared" si="124"/>
        <v>#REF!</v>
      </c>
      <c r="GQW247" s="29" t="e">
        <f t="shared" si="124"/>
        <v>#REF!</v>
      </c>
      <c r="GQX247" s="29" t="e">
        <f t="shared" si="124"/>
        <v>#REF!</v>
      </c>
      <c r="GQY247" s="29" t="e">
        <f t="shared" si="124"/>
        <v>#REF!</v>
      </c>
      <c r="GQZ247" s="29" t="e">
        <f t="shared" si="124"/>
        <v>#REF!</v>
      </c>
      <c r="GRA247" s="29" t="e">
        <f t="shared" ref="GRA247:GTL247" si="125">GRE247&amp;GRF247</f>
        <v>#REF!</v>
      </c>
      <c r="GRB247" s="29" t="e">
        <f t="shared" si="125"/>
        <v>#REF!</v>
      </c>
      <c r="GRC247" s="29" t="e">
        <f t="shared" si="125"/>
        <v>#REF!</v>
      </c>
      <c r="GRD247" s="29" t="e">
        <f t="shared" si="125"/>
        <v>#REF!</v>
      </c>
      <c r="GRE247" s="29" t="e">
        <f t="shared" si="125"/>
        <v>#REF!</v>
      </c>
      <c r="GRF247" s="29" t="e">
        <f t="shared" si="125"/>
        <v>#REF!</v>
      </c>
      <c r="GRG247" s="29" t="e">
        <f t="shared" si="125"/>
        <v>#REF!</v>
      </c>
      <c r="GRH247" s="29" t="e">
        <f t="shared" si="125"/>
        <v>#REF!</v>
      </c>
      <c r="GRI247" s="29" t="e">
        <f t="shared" si="125"/>
        <v>#REF!</v>
      </c>
      <c r="GRJ247" s="29" t="e">
        <f t="shared" si="125"/>
        <v>#REF!</v>
      </c>
      <c r="GRK247" s="29" t="e">
        <f t="shared" si="125"/>
        <v>#REF!</v>
      </c>
      <c r="GRL247" s="29" t="e">
        <f t="shared" si="125"/>
        <v>#REF!</v>
      </c>
      <c r="GRM247" s="29" t="e">
        <f t="shared" si="125"/>
        <v>#REF!</v>
      </c>
      <c r="GRN247" s="29" t="e">
        <f t="shared" si="125"/>
        <v>#REF!</v>
      </c>
      <c r="GRO247" s="29" t="e">
        <f t="shared" si="125"/>
        <v>#REF!</v>
      </c>
      <c r="GRP247" s="29" t="e">
        <f t="shared" si="125"/>
        <v>#REF!</v>
      </c>
      <c r="GRQ247" s="29" t="e">
        <f t="shared" si="125"/>
        <v>#REF!</v>
      </c>
      <c r="GRR247" s="29" t="e">
        <f t="shared" si="125"/>
        <v>#REF!</v>
      </c>
      <c r="GRS247" s="29" t="e">
        <f t="shared" si="125"/>
        <v>#REF!</v>
      </c>
      <c r="GRT247" s="29" t="e">
        <f t="shared" si="125"/>
        <v>#REF!</v>
      </c>
      <c r="GRU247" s="29" t="e">
        <f t="shared" si="125"/>
        <v>#REF!</v>
      </c>
      <c r="GRV247" s="29" t="e">
        <f t="shared" si="125"/>
        <v>#REF!</v>
      </c>
      <c r="GRW247" s="29" t="e">
        <f t="shared" si="125"/>
        <v>#REF!</v>
      </c>
      <c r="GRX247" s="29" t="e">
        <f t="shared" si="125"/>
        <v>#REF!</v>
      </c>
      <c r="GRY247" s="29" t="e">
        <f t="shared" si="125"/>
        <v>#REF!</v>
      </c>
      <c r="GRZ247" s="29" t="e">
        <f t="shared" si="125"/>
        <v>#REF!</v>
      </c>
      <c r="GSA247" s="29" t="e">
        <f t="shared" si="125"/>
        <v>#REF!</v>
      </c>
      <c r="GSB247" s="29" t="e">
        <f t="shared" si="125"/>
        <v>#REF!</v>
      </c>
      <c r="GSC247" s="29" t="e">
        <f t="shared" si="125"/>
        <v>#REF!</v>
      </c>
      <c r="GSD247" s="29" t="e">
        <f t="shared" si="125"/>
        <v>#REF!</v>
      </c>
      <c r="GSE247" s="29" t="e">
        <f t="shared" si="125"/>
        <v>#REF!</v>
      </c>
      <c r="GSF247" s="29" t="e">
        <f t="shared" si="125"/>
        <v>#REF!</v>
      </c>
      <c r="GSG247" s="29" t="e">
        <f t="shared" si="125"/>
        <v>#REF!</v>
      </c>
      <c r="GSH247" s="29" t="e">
        <f t="shared" si="125"/>
        <v>#REF!</v>
      </c>
      <c r="GSI247" s="29" t="e">
        <f t="shared" si="125"/>
        <v>#REF!</v>
      </c>
      <c r="GSJ247" s="29" t="e">
        <f t="shared" si="125"/>
        <v>#REF!</v>
      </c>
      <c r="GSK247" s="29" t="e">
        <f t="shared" si="125"/>
        <v>#REF!</v>
      </c>
      <c r="GSL247" s="29" t="e">
        <f t="shared" si="125"/>
        <v>#REF!</v>
      </c>
      <c r="GSM247" s="29" t="e">
        <f t="shared" si="125"/>
        <v>#REF!</v>
      </c>
      <c r="GSN247" s="29" t="e">
        <f t="shared" si="125"/>
        <v>#REF!</v>
      </c>
      <c r="GSO247" s="29" t="e">
        <f t="shared" si="125"/>
        <v>#REF!</v>
      </c>
      <c r="GSP247" s="29" t="e">
        <f t="shared" si="125"/>
        <v>#REF!</v>
      </c>
      <c r="GSQ247" s="29" t="e">
        <f t="shared" si="125"/>
        <v>#REF!</v>
      </c>
      <c r="GSR247" s="29" t="e">
        <f t="shared" si="125"/>
        <v>#REF!</v>
      </c>
      <c r="GSS247" s="29" t="e">
        <f t="shared" si="125"/>
        <v>#REF!</v>
      </c>
      <c r="GST247" s="29" t="e">
        <f t="shared" si="125"/>
        <v>#REF!</v>
      </c>
      <c r="GSU247" s="29" t="e">
        <f t="shared" si="125"/>
        <v>#REF!</v>
      </c>
      <c r="GSV247" s="29" t="e">
        <f t="shared" si="125"/>
        <v>#REF!</v>
      </c>
      <c r="GSW247" s="29" t="e">
        <f t="shared" si="125"/>
        <v>#REF!</v>
      </c>
      <c r="GSX247" s="29" t="e">
        <f t="shared" si="125"/>
        <v>#REF!</v>
      </c>
      <c r="GSY247" s="29" t="e">
        <f t="shared" si="125"/>
        <v>#REF!</v>
      </c>
      <c r="GSZ247" s="29" t="e">
        <f t="shared" si="125"/>
        <v>#REF!</v>
      </c>
      <c r="GTA247" s="29" t="e">
        <f t="shared" si="125"/>
        <v>#REF!</v>
      </c>
      <c r="GTB247" s="29" t="e">
        <f t="shared" si="125"/>
        <v>#REF!</v>
      </c>
      <c r="GTC247" s="29" t="e">
        <f t="shared" si="125"/>
        <v>#REF!</v>
      </c>
      <c r="GTD247" s="29" t="e">
        <f t="shared" si="125"/>
        <v>#REF!</v>
      </c>
      <c r="GTE247" s="29" t="e">
        <f t="shared" si="125"/>
        <v>#REF!</v>
      </c>
      <c r="GTF247" s="29" t="e">
        <f t="shared" si="125"/>
        <v>#REF!</v>
      </c>
      <c r="GTG247" s="29" t="e">
        <f t="shared" si="125"/>
        <v>#REF!</v>
      </c>
      <c r="GTH247" s="29" t="e">
        <f t="shared" si="125"/>
        <v>#REF!</v>
      </c>
      <c r="GTI247" s="29" t="e">
        <f t="shared" si="125"/>
        <v>#REF!</v>
      </c>
      <c r="GTJ247" s="29" t="e">
        <f t="shared" si="125"/>
        <v>#REF!</v>
      </c>
      <c r="GTK247" s="29" t="e">
        <f t="shared" si="125"/>
        <v>#REF!</v>
      </c>
      <c r="GTL247" s="29" t="e">
        <f t="shared" si="125"/>
        <v>#REF!</v>
      </c>
      <c r="GTM247" s="29" t="e">
        <f t="shared" ref="GTM247:GVX247" si="126">GTQ247&amp;GTR247</f>
        <v>#REF!</v>
      </c>
      <c r="GTN247" s="29" t="e">
        <f t="shared" si="126"/>
        <v>#REF!</v>
      </c>
      <c r="GTO247" s="29" t="e">
        <f t="shared" si="126"/>
        <v>#REF!</v>
      </c>
      <c r="GTP247" s="29" t="e">
        <f t="shared" si="126"/>
        <v>#REF!</v>
      </c>
      <c r="GTQ247" s="29" t="e">
        <f t="shared" si="126"/>
        <v>#REF!</v>
      </c>
      <c r="GTR247" s="29" t="e">
        <f t="shared" si="126"/>
        <v>#REF!</v>
      </c>
      <c r="GTS247" s="29" t="e">
        <f t="shared" si="126"/>
        <v>#REF!</v>
      </c>
      <c r="GTT247" s="29" t="e">
        <f t="shared" si="126"/>
        <v>#REF!</v>
      </c>
      <c r="GTU247" s="29" t="e">
        <f t="shared" si="126"/>
        <v>#REF!</v>
      </c>
      <c r="GTV247" s="29" t="e">
        <f t="shared" si="126"/>
        <v>#REF!</v>
      </c>
      <c r="GTW247" s="29" t="e">
        <f t="shared" si="126"/>
        <v>#REF!</v>
      </c>
      <c r="GTX247" s="29" t="e">
        <f t="shared" si="126"/>
        <v>#REF!</v>
      </c>
      <c r="GTY247" s="29" t="e">
        <f t="shared" si="126"/>
        <v>#REF!</v>
      </c>
      <c r="GTZ247" s="29" t="e">
        <f t="shared" si="126"/>
        <v>#REF!</v>
      </c>
      <c r="GUA247" s="29" t="e">
        <f t="shared" si="126"/>
        <v>#REF!</v>
      </c>
      <c r="GUB247" s="29" t="e">
        <f t="shared" si="126"/>
        <v>#REF!</v>
      </c>
      <c r="GUC247" s="29" t="e">
        <f t="shared" si="126"/>
        <v>#REF!</v>
      </c>
      <c r="GUD247" s="29" t="e">
        <f t="shared" si="126"/>
        <v>#REF!</v>
      </c>
      <c r="GUE247" s="29" t="e">
        <f t="shared" si="126"/>
        <v>#REF!</v>
      </c>
      <c r="GUF247" s="29" t="e">
        <f t="shared" si="126"/>
        <v>#REF!</v>
      </c>
      <c r="GUG247" s="29" t="e">
        <f t="shared" si="126"/>
        <v>#REF!</v>
      </c>
      <c r="GUH247" s="29" t="e">
        <f t="shared" si="126"/>
        <v>#REF!</v>
      </c>
      <c r="GUI247" s="29" t="e">
        <f t="shared" si="126"/>
        <v>#REF!</v>
      </c>
      <c r="GUJ247" s="29" t="e">
        <f t="shared" si="126"/>
        <v>#REF!</v>
      </c>
      <c r="GUK247" s="29" t="e">
        <f t="shared" si="126"/>
        <v>#REF!</v>
      </c>
      <c r="GUL247" s="29" t="e">
        <f t="shared" si="126"/>
        <v>#REF!</v>
      </c>
      <c r="GUM247" s="29" t="e">
        <f t="shared" si="126"/>
        <v>#REF!</v>
      </c>
      <c r="GUN247" s="29" t="e">
        <f t="shared" si="126"/>
        <v>#REF!</v>
      </c>
      <c r="GUO247" s="29" t="e">
        <f t="shared" si="126"/>
        <v>#REF!</v>
      </c>
      <c r="GUP247" s="29" t="e">
        <f t="shared" si="126"/>
        <v>#REF!</v>
      </c>
      <c r="GUQ247" s="29" t="e">
        <f t="shared" si="126"/>
        <v>#REF!</v>
      </c>
      <c r="GUR247" s="29" t="e">
        <f t="shared" si="126"/>
        <v>#REF!</v>
      </c>
      <c r="GUS247" s="29" t="e">
        <f t="shared" si="126"/>
        <v>#REF!</v>
      </c>
      <c r="GUT247" s="29" t="e">
        <f t="shared" si="126"/>
        <v>#REF!</v>
      </c>
      <c r="GUU247" s="29" t="e">
        <f t="shared" si="126"/>
        <v>#REF!</v>
      </c>
      <c r="GUV247" s="29" t="e">
        <f t="shared" si="126"/>
        <v>#REF!</v>
      </c>
      <c r="GUW247" s="29" t="e">
        <f t="shared" si="126"/>
        <v>#REF!</v>
      </c>
      <c r="GUX247" s="29" t="e">
        <f t="shared" si="126"/>
        <v>#REF!</v>
      </c>
      <c r="GUY247" s="29" t="e">
        <f t="shared" si="126"/>
        <v>#REF!</v>
      </c>
      <c r="GUZ247" s="29" t="e">
        <f t="shared" si="126"/>
        <v>#REF!</v>
      </c>
      <c r="GVA247" s="29" t="e">
        <f t="shared" si="126"/>
        <v>#REF!</v>
      </c>
      <c r="GVB247" s="29" t="e">
        <f t="shared" si="126"/>
        <v>#REF!</v>
      </c>
      <c r="GVC247" s="29" t="e">
        <f t="shared" si="126"/>
        <v>#REF!</v>
      </c>
      <c r="GVD247" s="29" t="e">
        <f t="shared" si="126"/>
        <v>#REF!</v>
      </c>
      <c r="GVE247" s="29" t="e">
        <f t="shared" si="126"/>
        <v>#REF!</v>
      </c>
      <c r="GVF247" s="29" t="e">
        <f t="shared" si="126"/>
        <v>#REF!</v>
      </c>
      <c r="GVG247" s="29" t="e">
        <f t="shared" si="126"/>
        <v>#REF!</v>
      </c>
      <c r="GVH247" s="29" t="e">
        <f t="shared" si="126"/>
        <v>#REF!</v>
      </c>
      <c r="GVI247" s="29" t="e">
        <f t="shared" si="126"/>
        <v>#REF!</v>
      </c>
      <c r="GVJ247" s="29" t="e">
        <f t="shared" si="126"/>
        <v>#REF!</v>
      </c>
      <c r="GVK247" s="29" t="e">
        <f t="shared" si="126"/>
        <v>#REF!</v>
      </c>
      <c r="GVL247" s="29" t="e">
        <f t="shared" si="126"/>
        <v>#REF!</v>
      </c>
      <c r="GVM247" s="29" t="e">
        <f t="shared" si="126"/>
        <v>#REF!</v>
      </c>
      <c r="GVN247" s="29" t="e">
        <f t="shared" si="126"/>
        <v>#REF!</v>
      </c>
      <c r="GVO247" s="29" t="e">
        <f t="shared" si="126"/>
        <v>#REF!</v>
      </c>
      <c r="GVP247" s="29" t="e">
        <f t="shared" si="126"/>
        <v>#REF!</v>
      </c>
      <c r="GVQ247" s="29" t="e">
        <f t="shared" si="126"/>
        <v>#REF!</v>
      </c>
      <c r="GVR247" s="29" t="e">
        <f t="shared" si="126"/>
        <v>#REF!</v>
      </c>
      <c r="GVS247" s="29" t="e">
        <f t="shared" si="126"/>
        <v>#REF!</v>
      </c>
      <c r="GVT247" s="29" t="e">
        <f t="shared" si="126"/>
        <v>#REF!</v>
      </c>
      <c r="GVU247" s="29" t="e">
        <f t="shared" si="126"/>
        <v>#REF!</v>
      </c>
      <c r="GVV247" s="29" t="e">
        <f t="shared" si="126"/>
        <v>#REF!</v>
      </c>
      <c r="GVW247" s="29" t="e">
        <f t="shared" si="126"/>
        <v>#REF!</v>
      </c>
      <c r="GVX247" s="29" t="e">
        <f t="shared" si="126"/>
        <v>#REF!</v>
      </c>
      <c r="GVY247" s="29" t="e">
        <f t="shared" ref="GVY247:GYJ247" si="127">GWC247&amp;GWD247</f>
        <v>#REF!</v>
      </c>
      <c r="GVZ247" s="29" t="e">
        <f t="shared" si="127"/>
        <v>#REF!</v>
      </c>
      <c r="GWA247" s="29" t="e">
        <f t="shared" si="127"/>
        <v>#REF!</v>
      </c>
      <c r="GWB247" s="29" t="e">
        <f t="shared" si="127"/>
        <v>#REF!</v>
      </c>
      <c r="GWC247" s="29" t="e">
        <f t="shared" si="127"/>
        <v>#REF!</v>
      </c>
      <c r="GWD247" s="29" t="e">
        <f t="shared" si="127"/>
        <v>#REF!</v>
      </c>
      <c r="GWE247" s="29" t="e">
        <f t="shared" si="127"/>
        <v>#REF!</v>
      </c>
      <c r="GWF247" s="29" t="e">
        <f t="shared" si="127"/>
        <v>#REF!</v>
      </c>
      <c r="GWG247" s="29" t="e">
        <f t="shared" si="127"/>
        <v>#REF!</v>
      </c>
      <c r="GWH247" s="29" t="e">
        <f t="shared" si="127"/>
        <v>#REF!</v>
      </c>
      <c r="GWI247" s="29" t="e">
        <f t="shared" si="127"/>
        <v>#REF!</v>
      </c>
      <c r="GWJ247" s="29" t="e">
        <f t="shared" si="127"/>
        <v>#REF!</v>
      </c>
      <c r="GWK247" s="29" t="e">
        <f t="shared" si="127"/>
        <v>#REF!</v>
      </c>
      <c r="GWL247" s="29" t="e">
        <f t="shared" si="127"/>
        <v>#REF!</v>
      </c>
      <c r="GWM247" s="29" t="e">
        <f t="shared" si="127"/>
        <v>#REF!</v>
      </c>
      <c r="GWN247" s="29" t="e">
        <f t="shared" si="127"/>
        <v>#REF!</v>
      </c>
      <c r="GWO247" s="29" t="e">
        <f t="shared" si="127"/>
        <v>#REF!</v>
      </c>
      <c r="GWP247" s="29" t="e">
        <f t="shared" si="127"/>
        <v>#REF!</v>
      </c>
      <c r="GWQ247" s="29" t="e">
        <f t="shared" si="127"/>
        <v>#REF!</v>
      </c>
      <c r="GWR247" s="29" t="e">
        <f t="shared" si="127"/>
        <v>#REF!</v>
      </c>
      <c r="GWS247" s="29" t="e">
        <f t="shared" si="127"/>
        <v>#REF!</v>
      </c>
      <c r="GWT247" s="29" t="e">
        <f t="shared" si="127"/>
        <v>#REF!</v>
      </c>
      <c r="GWU247" s="29" t="e">
        <f t="shared" si="127"/>
        <v>#REF!</v>
      </c>
      <c r="GWV247" s="29" t="e">
        <f t="shared" si="127"/>
        <v>#REF!</v>
      </c>
      <c r="GWW247" s="29" t="e">
        <f t="shared" si="127"/>
        <v>#REF!</v>
      </c>
      <c r="GWX247" s="29" t="e">
        <f t="shared" si="127"/>
        <v>#REF!</v>
      </c>
      <c r="GWY247" s="29" t="e">
        <f t="shared" si="127"/>
        <v>#REF!</v>
      </c>
      <c r="GWZ247" s="29" t="e">
        <f t="shared" si="127"/>
        <v>#REF!</v>
      </c>
      <c r="GXA247" s="29" t="e">
        <f t="shared" si="127"/>
        <v>#REF!</v>
      </c>
      <c r="GXB247" s="29" t="e">
        <f t="shared" si="127"/>
        <v>#REF!</v>
      </c>
      <c r="GXC247" s="29" t="e">
        <f t="shared" si="127"/>
        <v>#REF!</v>
      </c>
      <c r="GXD247" s="29" t="e">
        <f t="shared" si="127"/>
        <v>#REF!</v>
      </c>
      <c r="GXE247" s="29" t="e">
        <f t="shared" si="127"/>
        <v>#REF!</v>
      </c>
      <c r="GXF247" s="29" t="e">
        <f t="shared" si="127"/>
        <v>#REF!</v>
      </c>
      <c r="GXG247" s="29" t="e">
        <f t="shared" si="127"/>
        <v>#REF!</v>
      </c>
      <c r="GXH247" s="29" t="e">
        <f t="shared" si="127"/>
        <v>#REF!</v>
      </c>
      <c r="GXI247" s="29" t="e">
        <f t="shared" si="127"/>
        <v>#REF!</v>
      </c>
      <c r="GXJ247" s="29" t="e">
        <f t="shared" si="127"/>
        <v>#REF!</v>
      </c>
      <c r="GXK247" s="29" t="e">
        <f t="shared" si="127"/>
        <v>#REF!</v>
      </c>
      <c r="GXL247" s="29" t="e">
        <f t="shared" si="127"/>
        <v>#REF!</v>
      </c>
      <c r="GXM247" s="29" t="e">
        <f t="shared" si="127"/>
        <v>#REF!</v>
      </c>
      <c r="GXN247" s="29" t="e">
        <f t="shared" si="127"/>
        <v>#REF!</v>
      </c>
      <c r="GXO247" s="29" t="e">
        <f t="shared" si="127"/>
        <v>#REF!</v>
      </c>
      <c r="GXP247" s="29" t="e">
        <f t="shared" si="127"/>
        <v>#REF!</v>
      </c>
      <c r="GXQ247" s="29" t="e">
        <f t="shared" si="127"/>
        <v>#REF!</v>
      </c>
      <c r="GXR247" s="29" t="e">
        <f t="shared" si="127"/>
        <v>#REF!</v>
      </c>
      <c r="GXS247" s="29" t="e">
        <f t="shared" si="127"/>
        <v>#REF!</v>
      </c>
      <c r="GXT247" s="29" t="e">
        <f t="shared" si="127"/>
        <v>#REF!</v>
      </c>
      <c r="GXU247" s="29" t="e">
        <f t="shared" si="127"/>
        <v>#REF!</v>
      </c>
      <c r="GXV247" s="29" t="e">
        <f t="shared" si="127"/>
        <v>#REF!</v>
      </c>
      <c r="GXW247" s="29" t="e">
        <f t="shared" si="127"/>
        <v>#REF!</v>
      </c>
      <c r="GXX247" s="29" t="e">
        <f t="shared" si="127"/>
        <v>#REF!</v>
      </c>
      <c r="GXY247" s="29" t="e">
        <f t="shared" si="127"/>
        <v>#REF!</v>
      </c>
      <c r="GXZ247" s="29" t="e">
        <f t="shared" si="127"/>
        <v>#REF!</v>
      </c>
      <c r="GYA247" s="29" t="e">
        <f t="shared" si="127"/>
        <v>#REF!</v>
      </c>
      <c r="GYB247" s="29" t="e">
        <f t="shared" si="127"/>
        <v>#REF!</v>
      </c>
      <c r="GYC247" s="29" t="e">
        <f t="shared" si="127"/>
        <v>#REF!</v>
      </c>
      <c r="GYD247" s="29" t="e">
        <f t="shared" si="127"/>
        <v>#REF!</v>
      </c>
      <c r="GYE247" s="29" t="e">
        <f t="shared" si="127"/>
        <v>#REF!</v>
      </c>
      <c r="GYF247" s="29" t="e">
        <f t="shared" si="127"/>
        <v>#REF!</v>
      </c>
      <c r="GYG247" s="29" t="e">
        <f t="shared" si="127"/>
        <v>#REF!</v>
      </c>
      <c r="GYH247" s="29" t="e">
        <f t="shared" si="127"/>
        <v>#REF!</v>
      </c>
      <c r="GYI247" s="29" t="e">
        <f t="shared" si="127"/>
        <v>#REF!</v>
      </c>
      <c r="GYJ247" s="29" t="e">
        <f t="shared" si="127"/>
        <v>#REF!</v>
      </c>
      <c r="GYK247" s="29" t="e">
        <f t="shared" ref="GYK247:HAV247" si="128">GYO247&amp;GYP247</f>
        <v>#REF!</v>
      </c>
      <c r="GYL247" s="29" t="e">
        <f t="shared" si="128"/>
        <v>#REF!</v>
      </c>
      <c r="GYM247" s="29" t="e">
        <f t="shared" si="128"/>
        <v>#REF!</v>
      </c>
      <c r="GYN247" s="29" t="e">
        <f t="shared" si="128"/>
        <v>#REF!</v>
      </c>
      <c r="GYO247" s="29" t="e">
        <f t="shared" si="128"/>
        <v>#REF!</v>
      </c>
      <c r="GYP247" s="29" t="e">
        <f t="shared" si="128"/>
        <v>#REF!</v>
      </c>
      <c r="GYQ247" s="29" t="e">
        <f t="shared" si="128"/>
        <v>#REF!</v>
      </c>
      <c r="GYR247" s="29" t="e">
        <f t="shared" si="128"/>
        <v>#REF!</v>
      </c>
      <c r="GYS247" s="29" t="e">
        <f t="shared" si="128"/>
        <v>#REF!</v>
      </c>
      <c r="GYT247" s="29" t="e">
        <f t="shared" si="128"/>
        <v>#REF!</v>
      </c>
      <c r="GYU247" s="29" t="e">
        <f t="shared" si="128"/>
        <v>#REF!</v>
      </c>
      <c r="GYV247" s="29" t="e">
        <f t="shared" si="128"/>
        <v>#REF!</v>
      </c>
      <c r="GYW247" s="29" t="e">
        <f t="shared" si="128"/>
        <v>#REF!</v>
      </c>
      <c r="GYX247" s="29" t="e">
        <f t="shared" si="128"/>
        <v>#REF!</v>
      </c>
      <c r="GYY247" s="29" t="e">
        <f t="shared" si="128"/>
        <v>#REF!</v>
      </c>
      <c r="GYZ247" s="29" t="e">
        <f t="shared" si="128"/>
        <v>#REF!</v>
      </c>
      <c r="GZA247" s="29" t="e">
        <f t="shared" si="128"/>
        <v>#REF!</v>
      </c>
      <c r="GZB247" s="29" t="e">
        <f t="shared" si="128"/>
        <v>#REF!</v>
      </c>
      <c r="GZC247" s="29" t="e">
        <f t="shared" si="128"/>
        <v>#REF!</v>
      </c>
      <c r="GZD247" s="29" t="e">
        <f t="shared" si="128"/>
        <v>#REF!</v>
      </c>
      <c r="GZE247" s="29" t="e">
        <f t="shared" si="128"/>
        <v>#REF!</v>
      </c>
      <c r="GZF247" s="29" t="e">
        <f t="shared" si="128"/>
        <v>#REF!</v>
      </c>
      <c r="GZG247" s="29" t="e">
        <f t="shared" si="128"/>
        <v>#REF!</v>
      </c>
      <c r="GZH247" s="29" t="e">
        <f t="shared" si="128"/>
        <v>#REF!</v>
      </c>
      <c r="GZI247" s="29" t="e">
        <f t="shared" si="128"/>
        <v>#REF!</v>
      </c>
      <c r="GZJ247" s="29" t="e">
        <f t="shared" si="128"/>
        <v>#REF!</v>
      </c>
      <c r="GZK247" s="29" t="e">
        <f t="shared" si="128"/>
        <v>#REF!</v>
      </c>
      <c r="GZL247" s="29" t="e">
        <f t="shared" si="128"/>
        <v>#REF!</v>
      </c>
      <c r="GZM247" s="29" t="e">
        <f t="shared" si="128"/>
        <v>#REF!</v>
      </c>
      <c r="GZN247" s="29" t="e">
        <f t="shared" si="128"/>
        <v>#REF!</v>
      </c>
      <c r="GZO247" s="29" t="e">
        <f t="shared" si="128"/>
        <v>#REF!</v>
      </c>
      <c r="GZP247" s="29" t="e">
        <f t="shared" si="128"/>
        <v>#REF!</v>
      </c>
      <c r="GZQ247" s="29" t="e">
        <f t="shared" si="128"/>
        <v>#REF!</v>
      </c>
      <c r="GZR247" s="29" t="e">
        <f t="shared" si="128"/>
        <v>#REF!</v>
      </c>
      <c r="GZS247" s="29" t="e">
        <f t="shared" si="128"/>
        <v>#REF!</v>
      </c>
      <c r="GZT247" s="29" t="e">
        <f t="shared" si="128"/>
        <v>#REF!</v>
      </c>
      <c r="GZU247" s="29" t="e">
        <f t="shared" si="128"/>
        <v>#REF!</v>
      </c>
      <c r="GZV247" s="29" t="e">
        <f t="shared" si="128"/>
        <v>#REF!</v>
      </c>
      <c r="GZW247" s="29" t="e">
        <f t="shared" si="128"/>
        <v>#REF!</v>
      </c>
      <c r="GZX247" s="29" t="e">
        <f t="shared" si="128"/>
        <v>#REF!</v>
      </c>
      <c r="GZY247" s="29" t="e">
        <f t="shared" si="128"/>
        <v>#REF!</v>
      </c>
      <c r="GZZ247" s="29" t="e">
        <f t="shared" si="128"/>
        <v>#REF!</v>
      </c>
      <c r="HAA247" s="29" t="e">
        <f t="shared" si="128"/>
        <v>#REF!</v>
      </c>
      <c r="HAB247" s="29" t="e">
        <f t="shared" si="128"/>
        <v>#REF!</v>
      </c>
      <c r="HAC247" s="29" t="e">
        <f t="shared" si="128"/>
        <v>#REF!</v>
      </c>
      <c r="HAD247" s="29" t="e">
        <f t="shared" si="128"/>
        <v>#REF!</v>
      </c>
      <c r="HAE247" s="29" t="e">
        <f t="shared" si="128"/>
        <v>#REF!</v>
      </c>
      <c r="HAF247" s="29" t="e">
        <f t="shared" si="128"/>
        <v>#REF!</v>
      </c>
      <c r="HAG247" s="29" t="e">
        <f t="shared" si="128"/>
        <v>#REF!</v>
      </c>
      <c r="HAH247" s="29" t="e">
        <f t="shared" si="128"/>
        <v>#REF!</v>
      </c>
      <c r="HAI247" s="29" t="e">
        <f t="shared" si="128"/>
        <v>#REF!</v>
      </c>
      <c r="HAJ247" s="29" t="e">
        <f t="shared" si="128"/>
        <v>#REF!</v>
      </c>
      <c r="HAK247" s="29" t="e">
        <f t="shared" si="128"/>
        <v>#REF!</v>
      </c>
      <c r="HAL247" s="29" t="e">
        <f t="shared" si="128"/>
        <v>#REF!</v>
      </c>
      <c r="HAM247" s="29" t="e">
        <f t="shared" si="128"/>
        <v>#REF!</v>
      </c>
      <c r="HAN247" s="29" t="e">
        <f t="shared" si="128"/>
        <v>#REF!</v>
      </c>
      <c r="HAO247" s="29" t="e">
        <f t="shared" si="128"/>
        <v>#REF!</v>
      </c>
      <c r="HAP247" s="29" t="e">
        <f t="shared" si="128"/>
        <v>#REF!</v>
      </c>
      <c r="HAQ247" s="29" t="e">
        <f t="shared" si="128"/>
        <v>#REF!</v>
      </c>
      <c r="HAR247" s="29" t="e">
        <f t="shared" si="128"/>
        <v>#REF!</v>
      </c>
      <c r="HAS247" s="29" t="e">
        <f t="shared" si="128"/>
        <v>#REF!</v>
      </c>
      <c r="HAT247" s="29" t="e">
        <f t="shared" si="128"/>
        <v>#REF!</v>
      </c>
      <c r="HAU247" s="29" t="e">
        <f t="shared" si="128"/>
        <v>#REF!</v>
      </c>
      <c r="HAV247" s="29" t="e">
        <f t="shared" si="128"/>
        <v>#REF!</v>
      </c>
      <c r="HAW247" s="29" t="e">
        <f t="shared" ref="HAW247:HDH247" si="129">HBA247&amp;HBB247</f>
        <v>#REF!</v>
      </c>
      <c r="HAX247" s="29" t="e">
        <f t="shared" si="129"/>
        <v>#REF!</v>
      </c>
      <c r="HAY247" s="29" t="e">
        <f t="shared" si="129"/>
        <v>#REF!</v>
      </c>
      <c r="HAZ247" s="29" t="e">
        <f t="shared" si="129"/>
        <v>#REF!</v>
      </c>
      <c r="HBA247" s="29" t="e">
        <f t="shared" si="129"/>
        <v>#REF!</v>
      </c>
      <c r="HBB247" s="29" t="e">
        <f t="shared" si="129"/>
        <v>#REF!</v>
      </c>
      <c r="HBC247" s="29" t="e">
        <f t="shared" si="129"/>
        <v>#REF!</v>
      </c>
      <c r="HBD247" s="29" t="e">
        <f t="shared" si="129"/>
        <v>#REF!</v>
      </c>
      <c r="HBE247" s="29" t="e">
        <f t="shared" si="129"/>
        <v>#REF!</v>
      </c>
      <c r="HBF247" s="29" t="e">
        <f t="shared" si="129"/>
        <v>#REF!</v>
      </c>
      <c r="HBG247" s="29" t="e">
        <f t="shared" si="129"/>
        <v>#REF!</v>
      </c>
      <c r="HBH247" s="29" t="e">
        <f t="shared" si="129"/>
        <v>#REF!</v>
      </c>
      <c r="HBI247" s="29" t="e">
        <f t="shared" si="129"/>
        <v>#REF!</v>
      </c>
      <c r="HBJ247" s="29" t="e">
        <f t="shared" si="129"/>
        <v>#REF!</v>
      </c>
      <c r="HBK247" s="29" t="e">
        <f t="shared" si="129"/>
        <v>#REF!</v>
      </c>
      <c r="HBL247" s="29" t="e">
        <f t="shared" si="129"/>
        <v>#REF!</v>
      </c>
      <c r="HBM247" s="29" t="e">
        <f t="shared" si="129"/>
        <v>#REF!</v>
      </c>
      <c r="HBN247" s="29" t="e">
        <f t="shared" si="129"/>
        <v>#REF!</v>
      </c>
      <c r="HBO247" s="29" t="e">
        <f t="shared" si="129"/>
        <v>#REF!</v>
      </c>
      <c r="HBP247" s="29" t="e">
        <f t="shared" si="129"/>
        <v>#REF!</v>
      </c>
      <c r="HBQ247" s="29" t="e">
        <f t="shared" si="129"/>
        <v>#REF!</v>
      </c>
      <c r="HBR247" s="29" t="e">
        <f t="shared" si="129"/>
        <v>#REF!</v>
      </c>
      <c r="HBS247" s="29" t="e">
        <f t="shared" si="129"/>
        <v>#REF!</v>
      </c>
      <c r="HBT247" s="29" t="e">
        <f t="shared" si="129"/>
        <v>#REF!</v>
      </c>
      <c r="HBU247" s="29" t="e">
        <f t="shared" si="129"/>
        <v>#REF!</v>
      </c>
      <c r="HBV247" s="29" t="e">
        <f t="shared" si="129"/>
        <v>#REF!</v>
      </c>
      <c r="HBW247" s="29" t="e">
        <f t="shared" si="129"/>
        <v>#REF!</v>
      </c>
      <c r="HBX247" s="29" t="e">
        <f t="shared" si="129"/>
        <v>#REF!</v>
      </c>
      <c r="HBY247" s="29" t="e">
        <f t="shared" si="129"/>
        <v>#REF!</v>
      </c>
      <c r="HBZ247" s="29" t="e">
        <f t="shared" si="129"/>
        <v>#REF!</v>
      </c>
      <c r="HCA247" s="29" t="e">
        <f t="shared" si="129"/>
        <v>#REF!</v>
      </c>
      <c r="HCB247" s="29" t="e">
        <f t="shared" si="129"/>
        <v>#REF!</v>
      </c>
      <c r="HCC247" s="29" t="e">
        <f t="shared" si="129"/>
        <v>#REF!</v>
      </c>
      <c r="HCD247" s="29" t="e">
        <f t="shared" si="129"/>
        <v>#REF!</v>
      </c>
      <c r="HCE247" s="29" t="e">
        <f t="shared" si="129"/>
        <v>#REF!</v>
      </c>
      <c r="HCF247" s="29" t="e">
        <f t="shared" si="129"/>
        <v>#REF!</v>
      </c>
      <c r="HCG247" s="29" t="e">
        <f t="shared" si="129"/>
        <v>#REF!</v>
      </c>
      <c r="HCH247" s="29" t="e">
        <f t="shared" si="129"/>
        <v>#REF!</v>
      </c>
      <c r="HCI247" s="29" t="e">
        <f t="shared" si="129"/>
        <v>#REF!</v>
      </c>
      <c r="HCJ247" s="29" t="e">
        <f t="shared" si="129"/>
        <v>#REF!</v>
      </c>
      <c r="HCK247" s="29" t="e">
        <f t="shared" si="129"/>
        <v>#REF!</v>
      </c>
      <c r="HCL247" s="29" t="e">
        <f t="shared" si="129"/>
        <v>#REF!</v>
      </c>
      <c r="HCM247" s="29" t="e">
        <f t="shared" si="129"/>
        <v>#REF!</v>
      </c>
      <c r="HCN247" s="29" t="e">
        <f t="shared" si="129"/>
        <v>#REF!</v>
      </c>
      <c r="HCO247" s="29" t="e">
        <f t="shared" si="129"/>
        <v>#REF!</v>
      </c>
      <c r="HCP247" s="29" t="e">
        <f t="shared" si="129"/>
        <v>#REF!</v>
      </c>
      <c r="HCQ247" s="29" t="e">
        <f t="shared" si="129"/>
        <v>#REF!</v>
      </c>
      <c r="HCR247" s="29" t="e">
        <f t="shared" si="129"/>
        <v>#REF!</v>
      </c>
      <c r="HCS247" s="29" t="e">
        <f t="shared" si="129"/>
        <v>#REF!</v>
      </c>
      <c r="HCT247" s="29" t="e">
        <f t="shared" si="129"/>
        <v>#REF!</v>
      </c>
      <c r="HCU247" s="29" t="e">
        <f t="shared" si="129"/>
        <v>#REF!</v>
      </c>
      <c r="HCV247" s="29" t="e">
        <f t="shared" si="129"/>
        <v>#REF!</v>
      </c>
      <c r="HCW247" s="29" t="e">
        <f t="shared" si="129"/>
        <v>#REF!</v>
      </c>
      <c r="HCX247" s="29" t="e">
        <f t="shared" si="129"/>
        <v>#REF!</v>
      </c>
      <c r="HCY247" s="29" t="e">
        <f t="shared" si="129"/>
        <v>#REF!</v>
      </c>
      <c r="HCZ247" s="29" t="e">
        <f t="shared" si="129"/>
        <v>#REF!</v>
      </c>
      <c r="HDA247" s="29" t="e">
        <f t="shared" si="129"/>
        <v>#REF!</v>
      </c>
      <c r="HDB247" s="29" t="e">
        <f t="shared" si="129"/>
        <v>#REF!</v>
      </c>
      <c r="HDC247" s="29" t="e">
        <f t="shared" si="129"/>
        <v>#REF!</v>
      </c>
      <c r="HDD247" s="29" t="e">
        <f t="shared" si="129"/>
        <v>#REF!</v>
      </c>
      <c r="HDE247" s="29" t="e">
        <f t="shared" si="129"/>
        <v>#REF!</v>
      </c>
      <c r="HDF247" s="29" t="e">
        <f t="shared" si="129"/>
        <v>#REF!</v>
      </c>
      <c r="HDG247" s="29" t="e">
        <f t="shared" si="129"/>
        <v>#REF!</v>
      </c>
      <c r="HDH247" s="29" t="e">
        <f t="shared" si="129"/>
        <v>#REF!</v>
      </c>
      <c r="HDI247" s="29" t="e">
        <f t="shared" ref="HDI247:HFT247" si="130">HDM247&amp;HDN247</f>
        <v>#REF!</v>
      </c>
      <c r="HDJ247" s="29" t="e">
        <f t="shared" si="130"/>
        <v>#REF!</v>
      </c>
      <c r="HDK247" s="29" t="e">
        <f t="shared" si="130"/>
        <v>#REF!</v>
      </c>
      <c r="HDL247" s="29" t="e">
        <f t="shared" si="130"/>
        <v>#REF!</v>
      </c>
      <c r="HDM247" s="29" t="e">
        <f t="shared" si="130"/>
        <v>#REF!</v>
      </c>
      <c r="HDN247" s="29" t="e">
        <f t="shared" si="130"/>
        <v>#REF!</v>
      </c>
      <c r="HDO247" s="29" t="e">
        <f t="shared" si="130"/>
        <v>#REF!</v>
      </c>
      <c r="HDP247" s="29" t="e">
        <f t="shared" si="130"/>
        <v>#REF!</v>
      </c>
      <c r="HDQ247" s="29" t="e">
        <f t="shared" si="130"/>
        <v>#REF!</v>
      </c>
      <c r="HDR247" s="29" t="e">
        <f t="shared" si="130"/>
        <v>#REF!</v>
      </c>
      <c r="HDS247" s="29" t="e">
        <f t="shared" si="130"/>
        <v>#REF!</v>
      </c>
      <c r="HDT247" s="29" t="e">
        <f t="shared" si="130"/>
        <v>#REF!</v>
      </c>
      <c r="HDU247" s="29" t="e">
        <f t="shared" si="130"/>
        <v>#REF!</v>
      </c>
      <c r="HDV247" s="29" t="e">
        <f t="shared" si="130"/>
        <v>#REF!</v>
      </c>
      <c r="HDW247" s="29" t="e">
        <f t="shared" si="130"/>
        <v>#REF!</v>
      </c>
      <c r="HDX247" s="29" t="e">
        <f t="shared" si="130"/>
        <v>#REF!</v>
      </c>
      <c r="HDY247" s="29" t="e">
        <f t="shared" si="130"/>
        <v>#REF!</v>
      </c>
      <c r="HDZ247" s="29" t="e">
        <f t="shared" si="130"/>
        <v>#REF!</v>
      </c>
      <c r="HEA247" s="29" t="e">
        <f t="shared" si="130"/>
        <v>#REF!</v>
      </c>
      <c r="HEB247" s="29" t="e">
        <f t="shared" si="130"/>
        <v>#REF!</v>
      </c>
      <c r="HEC247" s="29" t="e">
        <f t="shared" si="130"/>
        <v>#REF!</v>
      </c>
      <c r="HED247" s="29" t="e">
        <f t="shared" si="130"/>
        <v>#REF!</v>
      </c>
      <c r="HEE247" s="29" t="e">
        <f t="shared" si="130"/>
        <v>#REF!</v>
      </c>
      <c r="HEF247" s="29" t="e">
        <f t="shared" si="130"/>
        <v>#REF!</v>
      </c>
      <c r="HEG247" s="29" t="e">
        <f t="shared" si="130"/>
        <v>#REF!</v>
      </c>
      <c r="HEH247" s="29" t="e">
        <f t="shared" si="130"/>
        <v>#REF!</v>
      </c>
      <c r="HEI247" s="29" t="e">
        <f t="shared" si="130"/>
        <v>#REF!</v>
      </c>
      <c r="HEJ247" s="29" t="e">
        <f t="shared" si="130"/>
        <v>#REF!</v>
      </c>
      <c r="HEK247" s="29" t="e">
        <f t="shared" si="130"/>
        <v>#REF!</v>
      </c>
      <c r="HEL247" s="29" t="e">
        <f t="shared" si="130"/>
        <v>#REF!</v>
      </c>
      <c r="HEM247" s="29" t="e">
        <f t="shared" si="130"/>
        <v>#REF!</v>
      </c>
      <c r="HEN247" s="29" t="e">
        <f t="shared" si="130"/>
        <v>#REF!</v>
      </c>
      <c r="HEO247" s="29" t="e">
        <f t="shared" si="130"/>
        <v>#REF!</v>
      </c>
      <c r="HEP247" s="29" t="e">
        <f t="shared" si="130"/>
        <v>#REF!</v>
      </c>
      <c r="HEQ247" s="29" t="e">
        <f t="shared" si="130"/>
        <v>#REF!</v>
      </c>
      <c r="HER247" s="29" t="e">
        <f t="shared" si="130"/>
        <v>#REF!</v>
      </c>
      <c r="HES247" s="29" t="e">
        <f t="shared" si="130"/>
        <v>#REF!</v>
      </c>
      <c r="HET247" s="29" t="e">
        <f t="shared" si="130"/>
        <v>#REF!</v>
      </c>
      <c r="HEU247" s="29" t="e">
        <f t="shared" si="130"/>
        <v>#REF!</v>
      </c>
      <c r="HEV247" s="29" t="e">
        <f t="shared" si="130"/>
        <v>#REF!</v>
      </c>
      <c r="HEW247" s="29" t="e">
        <f t="shared" si="130"/>
        <v>#REF!</v>
      </c>
      <c r="HEX247" s="29" t="e">
        <f t="shared" si="130"/>
        <v>#REF!</v>
      </c>
      <c r="HEY247" s="29" t="e">
        <f t="shared" si="130"/>
        <v>#REF!</v>
      </c>
      <c r="HEZ247" s="29" t="e">
        <f t="shared" si="130"/>
        <v>#REF!</v>
      </c>
      <c r="HFA247" s="29" t="e">
        <f t="shared" si="130"/>
        <v>#REF!</v>
      </c>
      <c r="HFB247" s="29" t="e">
        <f t="shared" si="130"/>
        <v>#REF!</v>
      </c>
      <c r="HFC247" s="29" t="e">
        <f t="shared" si="130"/>
        <v>#REF!</v>
      </c>
      <c r="HFD247" s="29" t="e">
        <f t="shared" si="130"/>
        <v>#REF!</v>
      </c>
      <c r="HFE247" s="29" t="e">
        <f t="shared" si="130"/>
        <v>#REF!</v>
      </c>
      <c r="HFF247" s="29" t="e">
        <f t="shared" si="130"/>
        <v>#REF!</v>
      </c>
      <c r="HFG247" s="29" t="e">
        <f t="shared" si="130"/>
        <v>#REF!</v>
      </c>
      <c r="HFH247" s="29" t="e">
        <f t="shared" si="130"/>
        <v>#REF!</v>
      </c>
      <c r="HFI247" s="29" t="e">
        <f t="shared" si="130"/>
        <v>#REF!</v>
      </c>
      <c r="HFJ247" s="29" t="e">
        <f t="shared" si="130"/>
        <v>#REF!</v>
      </c>
      <c r="HFK247" s="29" t="e">
        <f t="shared" si="130"/>
        <v>#REF!</v>
      </c>
      <c r="HFL247" s="29" t="e">
        <f t="shared" si="130"/>
        <v>#REF!</v>
      </c>
      <c r="HFM247" s="29" t="e">
        <f t="shared" si="130"/>
        <v>#REF!</v>
      </c>
      <c r="HFN247" s="29" t="e">
        <f t="shared" si="130"/>
        <v>#REF!</v>
      </c>
      <c r="HFO247" s="29" t="e">
        <f t="shared" si="130"/>
        <v>#REF!</v>
      </c>
      <c r="HFP247" s="29" t="e">
        <f t="shared" si="130"/>
        <v>#REF!</v>
      </c>
      <c r="HFQ247" s="29" t="e">
        <f t="shared" si="130"/>
        <v>#REF!</v>
      </c>
      <c r="HFR247" s="29" t="e">
        <f t="shared" si="130"/>
        <v>#REF!</v>
      </c>
      <c r="HFS247" s="29" t="e">
        <f t="shared" si="130"/>
        <v>#REF!</v>
      </c>
      <c r="HFT247" s="29" t="e">
        <f t="shared" si="130"/>
        <v>#REF!</v>
      </c>
      <c r="HFU247" s="29" t="e">
        <f t="shared" ref="HFU247:HIF247" si="131">HFY247&amp;HFZ247</f>
        <v>#REF!</v>
      </c>
      <c r="HFV247" s="29" t="e">
        <f t="shared" si="131"/>
        <v>#REF!</v>
      </c>
      <c r="HFW247" s="29" t="e">
        <f t="shared" si="131"/>
        <v>#REF!</v>
      </c>
      <c r="HFX247" s="29" t="e">
        <f t="shared" si="131"/>
        <v>#REF!</v>
      </c>
      <c r="HFY247" s="29" t="e">
        <f t="shared" si="131"/>
        <v>#REF!</v>
      </c>
      <c r="HFZ247" s="29" t="e">
        <f t="shared" si="131"/>
        <v>#REF!</v>
      </c>
      <c r="HGA247" s="29" t="e">
        <f t="shared" si="131"/>
        <v>#REF!</v>
      </c>
      <c r="HGB247" s="29" t="e">
        <f t="shared" si="131"/>
        <v>#REF!</v>
      </c>
      <c r="HGC247" s="29" t="e">
        <f t="shared" si="131"/>
        <v>#REF!</v>
      </c>
      <c r="HGD247" s="29" t="e">
        <f t="shared" si="131"/>
        <v>#REF!</v>
      </c>
      <c r="HGE247" s="29" t="e">
        <f t="shared" si="131"/>
        <v>#REF!</v>
      </c>
      <c r="HGF247" s="29" t="e">
        <f t="shared" si="131"/>
        <v>#REF!</v>
      </c>
      <c r="HGG247" s="29" t="e">
        <f t="shared" si="131"/>
        <v>#REF!</v>
      </c>
      <c r="HGH247" s="29" t="e">
        <f t="shared" si="131"/>
        <v>#REF!</v>
      </c>
      <c r="HGI247" s="29" t="e">
        <f t="shared" si="131"/>
        <v>#REF!</v>
      </c>
      <c r="HGJ247" s="29" t="e">
        <f t="shared" si="131"/>
        <v>#REF!</v>
      </c>
      <c r="HGK247" s="29" t="e">
        <f t="shared" si="131"/>
        <v>#REF!</v>
      </c>
      <c r="HGL247" s="29" t="e">
        <f t="shared" si="131"/>
        <v>#REF!</v>
      </c>
      <c r="HGM247" s="29" t="e">
        <f t="shared" si="131"/>
        <v>#REF!</v>
      </c>
      <c r="HGN247" s="29" t="e">
        <f t="shared" si="131"/>
        <v>#REF!</v>
      </c>
      <c r="HGO247" s="29" t="e">
        <f t="shared" si="131"/>
        <v>#REF!</v>
      </c>
      <c r="HGP247" s="29" t="e">
        <f t="shared" si="131"/>
        <v>#REF!</v>
      </c>
      <c r="HGQ247" s="29" t="e">
        <f t="shared" si="131"/>
        <v>#REF!</v>
      </c>
      <c r="HGR247" s="29" t="e">
        <f t="shared" si="131"/>
        <v>#REF!</v>
      </c>
      <c r="HGS247" s="29" t="e">
        <f t="shared" si="131"/>
        <v>#REF!</v>
      </c>
      <c r="HGT247" s="29" t="e">
        <f t="shared" si="131"/>
        <v>#REF!</v>
      </c>
      <c r="HGU247" s="29" t="e">
        <f t="shared" si="131"/>
        <v>#REF!</v>
      </c>
      <c r="HGV247" s="29" t="e">
        <f t="shared" si="131"/>
        <v>#REF!</v>
      </c>
      <c r="HGW247" s="29" t="e">
        <f t="shared" si="131"/>
        <v>#REF!</v>
      </c>
      <c r="HGX247" s="29" t="e">
        <f t="shared" si="131"/>
        <v>#REF!</v>
      </c>
      <c r="HGY247" s="29" t="e">
        <f t="shared" si="131"/>
        <v>#REF!</v>
      </c>
      <c r="HGZ247" s="29" t="e">
        <f t="shared" si="131"/>
        <v>#REF!</v>
      </c>
      <c r="HHA247" s="29" t="e">
        <f t="shared" si="131"/>
        <v>#REF!</v>
      </c>
      <c r="HHB247" s="29" t="e">
        <f t="shared" si="131"/>
        <v>#REF!</v>
      </c>
      <c r="HHC247" s="29" t="e">
        <f t="shared" si="131"/>
        <v>#REF!</v>
      </c>
      <c r="HHD247" s="29" t="e">
        <f t="shared" si="131"/>
        <v>#REF!</v>
      </c>
      <c r="HHE247" s="29" t="e">
        <f t="shared" si="131"/>
        <v>#REF!</v>
      </c>
      <c r="HHF247" s="29" t="e">
        <f t="shared" si="131"/>
        <v>#REF!</v>
      </c>
      <c r="HHG247" s="29" t="e">
        <f t="shared" si="131"/>
        <v>#REF!</v>
      </c>
      <c r="HHH247" s="29" t="e">
        <f t="shared" si="131"/>
        <v>#REF!</v>
      </c>
      <c r="HHI247" s="29" t="e">
        <f t="shared" si="131"/>
        <v>#REF!</v>
      </c>
      <c r="HHJ247" s="29" t="e">
        <f t="shared" si="131"/>
        <v>#REF!</v>
      </c>
      <c r="HHK247" s="29" t="e">
        <f t="shared" si="131"/>
        <v>#REF!</v>
      </c>
      <c r="HHL247" s="29" t="e">
        <f t="shared" si="131"/>
        <v>#REF!</v>
      </c>
      <c r="HHM247" s="29" t="e">
        <f t="shared" si="131"/>
        <v>#REF!</v>
      </c>
      <c r="HHN247" s="29" t="e">
        <f t="shared" si="131"/>
        <v>#REF!</v>
      </c>
      <c r="HHO247" s="29" t="e">
        <f t="shared" si="131"/>
        <v>#REF!</v>
      </c>
      <c r="HHP247" s="29" t="e">
        <f t="shared" si="131"/>
        <v>#REF!</v>
      </c>
      <c r="HHQ247" s="29" t="e">
        <f t="shared" si="131"/>
        <v>#REF!</v>
      </c>
      <c r="HHR247" s="29" t="e">
        <f t="shared" si="131"/>
        <v>#REF!</v>
      </c>
      <c r="HHS247" s="29" t="e">
        <f t="shared" si="131"/>
        <v>#REF!</v>
      </c>
      <c r="HHT247" s="29" t="e">
        <f t="shared" si="131"/>
        <v>#REF!</v>
      </c>
      <c r="HHU247" s="29" t="e">
        <f t="shared" si="131"/>
        <v>#REF!</v>
      </c>
      <c r="HHV247" s="29" t="e">
        <f t="shared" si="131"/>
        <v>#REF!</v>
      </c>
      <c r="HHW247" s="29" t="e">
        <f t="shared" si="131"/>
        <v>#REF!</v>
      </c>
      <c r="HHX247" s="29" t="e">
        <f t="shared" si="131"/>
        <v>#REF!</v>
      </c>
      <c r="HHY247" s="29" t="e">
        <f t="shared" si="131"/>
        <v>#REF!</v>
      </c>
      <c r="HHZ247" s="29" t="e">
        <f t="shared" si="131"/>
        <v>#REF!</v>
      </c>
      <c r="HIA247" s="29" t="e">
        <f t="shared" si="131"/>
        <v>#REF!</v>
      </c>
      <c r="HIB247" s="29" t="e">
        <f t="shared" si="131"/>
        <v>#REF!</v>
      </c>
      <c r="HIC247" s="29" t="e">
        <f t="shared" si="131"/>
        <v>#REF!</v>
      </c>
      <c r="HID247" s="29" t="e">
        <f t="shared" si="131"/>
        <v>#REF!</v>
      </c>
      <c r="HIE247" s="29" t="e">
        <f t="shared" si="131"/>
        <v>#REF!</v>
      </c>
      <c r="HIF247" s="29" t="e">
        <f t="shared" si="131"/>
        <v>#REF!</v>
      </c>
      <c r="HIG247" s="29" t="e">
        <f t="shared" ref="HIG247:HKR247" si="132">HIK247&amp;HIL247</f>
        <v>#REF!</v>
      </c>
      <c r="HIH247" s="29" t="e">
        <f t="shared" si="132"/>
        <v>#REF!</v>
      </c>
      <c r="HII247" s="29" t="e">
        <f t="shared" si="132"/>
        <v>#REF!</v>
      </c>
      <c r="HIJ247" s="29" t="e">
        <f t="shared" si="132"/>
        <v>#REF!</v>
      </c>
      <c r="HIK247" s="29" t="e">
        <f t="shared" si="132"/>
        <v>#REF!</v>
      </c>
      <c r="HIL247" s="29" t="e">
        <f t="shared" si="132"/>
        <v>#REF!</v>
      </c>
      <c r="HIM247" s="29" t="e">
        <f t="shared" si="132"/>
        <v>#REF!</v>
      </c>
      <c r="HIN247" s="29" t="e">
        <f t="shared" si="132"/>
        <v>#REF!</v>
      </c>
      <c r="HIO247" s="29" t="e">
        <f t="shared" si="132"/>
        <v>#REF!</v>
      </c>
      <c r="HIP247" s="29" t="e">
        <f t="shared" si="132"/>
        <v>#REF!</v>
      </c>
      <c r="HIQ247" s="29" t="e">
        <f t="shared" si="132"/>
        <v>#REF!</v>
      </c>
      <c r="HIR247" s="29" t="e">
        <f t="shared" si="132"/>
        <v>#REF!</v>
      </c>
      <c r="HIS247" s="29" t="e">
        <f t="shared" si="132"/>
        <v>#REF!</v>
      </c>
      <c r="HIT247" s="29" t="e">
        <f t="shared" si="132"/>
        <v>#REF!</v>
      </c>
      <c r="HIU247" s="29" t="e">
        <f t="shared" si="132"/>
        <v>#REF!</v>
      </c>
      <c r="HIV247" s="29" t="e">
        <f t="shared" si="132"/>
        <v>#REF!</v>
      </c>
      <c r="HIW247" s="29" t="e">
        <f t="shared" si="132"/>
        <v>#REF!</v>
      </c>
      <c r="HIX247" s="29" t="e">
        <f t="shared" si="132"/>
        <v>#REF!</v>
      </c>
      <c r="HIY247" s="29" t="e">
        <f t="shared" si="132"/>
        <v>#REF!</v>
      </c>
      <c r="HIZ247" s="29" t="e">
        <f t="shared" si="132"/>
        <v>#REF!</v>
      </c>
      <c r="HJA247" s="29" t="e">
        <f t="shared" si="132"/>
        <v>#REF!</v>
      </c>
      <c r="HJB247" s="29" t="e">
        <f t="shared" si="132"/>
        <v>#REF!</v>
      </c>
      <c r="HJC247" s="29" t="e">
        <f t="shared" si="132"/>
        <v>#REF!</v>
      </c>
      <c r="HJD247" s="29" t="e">
        <f t="shared" si="132"/>
        <v>#REF!</v>
      </c>
      <c r="HJE247" s="29" t="e">
        <f t="shared" si="132"/>
        <v>#REF!</v>
      </c>
      <c r="HJF247" s="29" t="e">
        <f t="shared" si="132"/>
        <v>#REF!</v>
      </c>
      <c r="HJG247" s="29" t="e">
        <f t="shared" si="132"/>
        <v>#REF!</v>
      </c>
      <c r="HJH247" s="29" t="e">
        <f t="shared" si="132"/>
        <v>#REF!</v>
      </c>
      <c r="HJI247" s="29" t="e">
        <f t="shared" si="132"/>
        <v>#REF!</v>
      </c>
      <c r="HJJ247" s="29" t="e">
        <f t="shared" si="132"/>
        <v>#REF!</v>
      </c>
      <c r="HJK247" s="29" t="e">
        <f t="shared" si="132"/>
        <v>#REF!</v>
      </c>
      <c r="HJL247" s="29" t="e">
        <f t="shared" si="132"/>
        <v>#REF!</v>
      </c>
      <c r="HJM247" s="29" t="e">
        <f t="shared" si="132"/>
        <v>#REF!</v>
      </c>
      <c r="HJN247" s="29" t="e">
        <f t="shared" si="132"/>
        <v>#REF!</v>
      </c>
      <c r="HJO247" s="29" t="e">
        <f t="shared" si="132"/>
        <v>#REF!</v>
      </c>
      <c r="HJP247" s="29" t="e">
        <f t="shared" si="132"/>
        <v>#REF!</v>
      </c>
      <c r="HJQ247" s="29" t="e">
        <f t="shared" si="132"/>
        <v>#REF!</v>
      </c>
      <c r="HJR247" s="29" t="e">
        <f t="shared" si="132"/>
        <v>#REF!</v>
      </c>
      <c r="HJS247" s="29" t="e">
        <f t="shared" si="132"/>
        <v>#REF!</v>
      </c>
      <c r="HJT247" s="29" t="e">
        <f t="shared" si="132"/>
        <v>#REF!</v>
      </c>
      <c r="HJU247" s="29" t="e">
        <f t="shared" si="132"/>
        <v>#REF!</v>
      </c>
      <c r="HJV247" s="29" t="e">
        <f t="shared" si="132"/>
        <v>#REF!</v>
      </c>
      <c r="HJW247" s="29" t="e">
        <f t="shared" si="132"/>
        <v>#REF!</v>
      </c>
      <c r="HJX247" s="29" t="e">
        <f t="shared" si="132"/>
        <v>#REF!</v>
      </c>
      <c r="HJY247" s="29" t="e">
        <f t="shared" si="132"/>
        <v>#REF!</v>
      </c>
      <c r="HJZ247" s="29" t="e">
        <f t="shared" si="132"/>
        <v>#REF!</v>
      </c>
      <c r="HKA247" s="29" t="e">
        <f t="shared" si="132"/>
        <v>#REF!</v>
      </c>
      <c r="HKB247" s="29" t="e">
        <f t="shared" si="132"/>
        <v>#REF!</v>
      </c>
      <c r="HKC247" s="29" t="e">
        <f t="shared" si="132"/>
        <v>#REF!</v>
      </c>
      <c r="HKD247" s="29" t="e">
        <f t="shared" si="132"/>
        <v>#REF!</v>
      </c>
      <c r="HKE247" s="29" t="e">
        <f t="shared" si="132"/>
        <v>#REF!</v>
      </c>
      <c r="HKF247" s="29" t="e">
        <f t="shared" si="132"/>
        <v>#REF!</v>
      </c>
      <c r="HKG247" s="29" t="e">
        <f t="shared" si="132"/>
        <v>#REF!</v>
      </c>
      <c r="HKH247" s="29" t="e">
        <f t="shared" si="132"/>
        <v>#REF!</v>
      </c>
      <c r="HKI247" s="29" t="e">
        <f t="shared" si="132"/>
        <v>#REF!</v>
      </c>
      <c r="HKJ247" s="29" t="e">
        <f t="shared" si="132"/>
        <v>#REF!</v>
      </c>
      <c r="HKK247" s="29" t="e">
        <f t="shared" si="132"/>
        <v>#REF!</v>
      </c>
      <c r="HKL247" s="29" t="e">
        <f t="shared" si="132"/>
        <v>#REF!</v>
      </c>
      <c r="HKM247" s="29" t="e">
        <f t="shared" si="132"/>
        <v>#REF!</v>
      </c>
      <c r="HKN247" s="29" t="e">
        <f t="shared" si="132"/>
        <v>#REF!</v>
      </c>
      <c r="HKO247" s="29" t="e">
        <f t="shared" si="132"/>
        <v>#REF!</v>
      </c>
      <c r="HKP247" s="29" t="e">
        <f t="shared" si="132"/>
        <v>#REF!</v>
      </c>
      <c r="HKQ247" s="29" t="e">
        <f t="shared" si="132"/>
        <v>#REF!</v>
      </c>
      <c r="HKR247" s="29" t="e">
        <f t="shared" si="132"/>
        <v>#REF!</v>
      </c>
      <c r="HKS247" s="29" t="e">
        <f t="shared" ref="HKS247:HND247" si="133">HKW247&amp;HKX247</f>
        <v>#REF!</v>
      </c>
      <c r="HKT247" s="29" t="e">
        <f t="shared" si="133"/>
        <v>#REF!</v>
      </c>
      <c r="HKU247" s="29" t="e">
        <f t="shared" si="133"/>
        <v>#REF!</v>
      </c>
      <c r="HKV247" s="29" t="e">
        <f t="shared" si="133"/>
        <v>#REF!</v>
      </c>
      <c r="HKW247" s="29" t="e">
        <f t="shared" si="133"/>
        <v>#REF!</v>
      </c>
      <c r="HKX247" s="29" t="e">
        <f t="shared" si="133"/>
        <v>#REF!</v>
      </c>
      <c r="HKY247" s="29" t="e">
        <f t="shared" si="133"/>
        <v>#REF!</v>
      </c>
      <c r="HKZ247" s="29" t="e">
        <f t="shared" si="133"/>
        <v>#REF!</v>
      </c>
      <c r="HLA247" s="29" t="e">
        <f t="shared" si="133"/>
        <v>#REF!</v>
      </c>
      <c r="HLB247" s="29" t="e">
        <f t="shared" si="133"/>
        <v>#REF!</v>
      </c>
      <c r="HLC247" s="29" t="e">
        <f t="shared" si="133"/>
        <v>#REF!</v>
      </c>
      <c r="HLD247" s="29" t="e">
        <f t="shared" si="133"/>
        <v>#REF!</v>
      </c>
      <c r="HLE247" s="29" t="e">
        <f t="shared" si="133"/>
        <v>#REF!</v>
      </c>
      <c r="HLF247" s="29" t="e">
        <f t="shared" si="133"/>
        <v>#REF!</v>
      </c>
      <c r="HLG247" s="29" t="e">
        <f t="shared" si="133"/>
        <v>#REF!</v>
      </c>
      <c r="HLH247" s="29" t="e">
        <f t="shared" si="133"/>
        <v>#REF!</v>
      </c>
      <c r="HLI247" s="29" t="e">
        <f t="shared" si="133"/>
        <v>#REF!</v>
      </c>
      <c r="HLJ247" s="29" t="e">
        <f t="shared" si="133"/>
        <v>#REF!</v>
      </c>
      <c r="HLK247" s="29" t="e">
        <f t="shared" si="133"/>
        <v>#REF!</v>
      </c>
      <c r="HLL247" s="29" t="e">
        <f t="shared" si="133"/>
        <v>#REF!</v>
      </c>
      <c r="HLM247" s="29" t="e">
        <f t="shared" si="133"/>
        <v>#REF!</v>
      </c>
      <c r="HLN247" s="29" t="e">
        <f t="shared" si="133"/>
        <v>#REF!</v>
      </c>
      <c r="HLO247" s="29" t="e">
        <f t="shared" si="133"/>
        <v>#REF!</v>
      </c>
      <c r="HLP247" s="29" t="e">
        <f t="shared" si="133"/>
        <v>#REF!</v>
      </c>
      <c r="HLQ247" s="29" t="e">
        <f t="shared" si="133"/>
        <v>#REF!</v>
      </c>
      <c r="HLR247" s="29" t="e">
        <f t="shared" si="133"/>
        <v>#REF!</v>
      </c>
      <c r="HLS247" s="29" t="e">
        <f t="shared" si="133"/>
        <v>#REF!</v>
      </c>
      <c r="HLT247" s="29" t="e">
        <f t="shared" si="133"/>
        <v>#REF!</v>
      </c>
      <c r="HLU247" s="29" t="e">
        <f t="shared" si="133"/>
        <v>#REF!</v>
      </c>
      <c r="HLV247" s="29" t="e">
        <f t="shared" si="133"/>
        <v>#REF!</v>
      </c>
      <c r="HLW247" s="29" t="e">
        <f t="shared" si="133"/>
        <v>#REF!</v>
      </c>
      <c r="HLX247" s="29" t="e">
        <f t="shared" si="133"/>
        <v>#REF!</v>
      </c>
      <c r="HLY247" s="29" t="e">
        <f t="shared" si="133"/>
        <v>#REF!</v>
      </c>
      <c r="HLZ247" s="29" t="e">
        <f t="shared" si="133"/>
        <v>#REF!</v>
      </c>
      <c r="HMA247" s="29" t="e">
        <f t="shared" si="133"/>
        <v>#REF!</v>
      </c>
      <c r="HMB247" s="29" t="e">
        <f t="shared" si="133"/>
        <v>#REF!</v>
      </c>
      <c r="HMC247" s="29" t="e">
        <f t="shared" si="133"/>
        <v>#REF!</v>
      </c>
      <c r="HMD247" s="29" t="e">
        <f t="shared" si="133"/>
        <v>#REF!</v>
      </c>
      <c r="HME247" s="29" t="e">
        <f t="shared" si="133"/>
        <v>#REF!</v>
      </c>
      <c r="HMF247" s="29" t="e">
        <f t="shared" si="133"/>
        <v>#REF!</v>
      </c>
      <c r="HMG247" s="29" t="e">
        <f t="shared" si="133"/>
        <v>#REF!</v>
      </c>
      <c r="HMH247" s="29" t="e">
        <f t="shared" si="133"/>
        <v>#REF!</v>
      </c>
      <c r="HMI247" s="29" t="e">
        <f t="shared" si="133"/>
        <v>#REF!</v>
      </c>
      <c r="HMJ247" s="29" t="e">
        <f t="shared" si="133"/>
        <v>#REF!</v>
      </c>
      <c r="HMK247" s="29" t="e">
        <f t="shared" si="133"/>
        <v>#REF!</v>
      </c>
      <c r="HML247" s="29" t="e">
        <f t="shared" si="133"/>
        <v>#REF!</v>
      </c>
      <c r="HMM247" s="29" t="e">
        <f t="shared" si="133"/>
        <v>#REF!</v>
      </c>
      <c r="HMN247" s="29" t="e">
        <f t="shared" si="133"/>
        <v>#REF!</v>
      </c>
      <c r="HMO247" s="29" t="e">
        <f t="shared" si="133"/>
        <v>#REF!</v>
      </c>
      <c r="HMP247" s="29" t="e">
        <f t="shared" si="133"/>
        <v>#REF!</v>
      </c>
      <c r="HMQ247" s="29" t="e">
        <f t="shared" si="133"/>
        <v>#REF!</v>
      </c>
      <c r="HMR247" s="29" t="e">
        <f t="shared" si="133"/>
        <v>#REF!</v>
      </c>
      <c r="HMS247" s="29" t="e">
        <f t="shared" si="133"/>
        <v>#REF!</v>
      </c>
      <c r="HMT247" s="29" t="e">
        <f t="shared" si="133"/>
        <v>#REF!</v>
      </c>
      <c r="HMU247" s="29" t="e">
        <f t="shared" si="133"/>
        <v>#REF!</v>
      </c>
      <c r="HMV247" s="29" t="e">
        <f t="shared" si="133"/>
        <v>#REF!</v>
      </c>
      <c r="HMW247" s="29" t="e">
        <f t="shared" si="133"/>
        <v>#REF!</v>
      </c>
      <c r="HMX247" s="29" t="e">
        <f t="shared" si="133"/>
        <v>#REF!</v>
      </c>
      <c r="HMY247" s="29" t="e">
        <f t="shared" si="133"/>
        <v>#REF!</v>
      </c>
      <c r="HMZ247" s="29" t="e">
        <f t="shared" si="133"/>
        <v>#REF!</v>
      </c>
      <c r="HNA247" s="29" t="e">
        <f t="shared" si="133"/>
        <v>#REF!</v>
      </c>
      <c r="HNB247" s="29" t="e">
        <f t="shared" si="133"/>
        <v>#REF!</v>
      </c>
      <c r="HNC247" s="29" t="e">
        <f t="shared" si="133"/>
        <v>#REF!</v>
      </c>
      <c r="HND247" s="29" t="e">
        <f t="shared" si="133"/>
        <v>#REF!</v>
      </c>
      <c r="HNE247" s="29" t="e">
        <f t="shared" ref="HNE247:HPP247" si="134">HNI247&amp;HNJ247</f>
        <v>#REF!</v>
      </c>
      <c r="HNF247" s="29" t="e">
        <f t="shared" si="134"/>
        <v>#REF!</v>
      </c>
      <c r="HNG247" s="29" t="e">
        <f t="shared" si="134"/>
        <v>#REF!</v>
      </c>
      <c r="HNH247" s="29" t="e">
        <f t="shared" si="134"/>
        <v>#REF!</v>
      </c>
      <c r="HNI247" s="29" t="e">
        <f t="shared" si="134"/>
        <v>#REF!</v>
      </c>
      <c r="HNJ247" s="29" t="e">
        <f t="shared" si="134"/>
        <v>#REF!</v>
      </c>
      <c r="HNK247" s="29" t="e">
        <f t="shared" si="134"/>
        <v>#REF!</v>
      </c>
      <c r="HNL247" s="29" t="e">
        <f t="shared" si="134"/>
        <v>#REF!</v>
      </c>
      <c r="HNM247" s="29" t="e">
        <f t="shared" si="134"/>
        <v>#REF!</v>
      </c>
      <c r="HNN247" s="29" t="e">
        <f t="shared" si="134"/>
        <v>#REF!</v>
      </c>
      <c r="HNO247" s="29" t="e">
        <f t="shared" si="134"/>
        <v>#REF!</v>
      </c>
      <c r="HNP247" s="29" t="e">
        <f t="shared" si="134"/>
        <v>#REF!</v>
      </c>
      <c r="HNQ247" s="29" t="e">
        <f t="shared" si="134"/>
        <v>#REF!</v>
      </c>
      <c r="HNR247" s="29" t="e">
        <f t="shared" si="134"/>
        <v>#REF!</v>
      </c>
      <c r="HNS247" s="29" t="e">
        <f t="shared" si="134"/>
        <v>#REF!</v>
      </c>
      <c r="HNT247" s="29" t="e">
        <f t="shared" si="134"/>
        <v>#REF!</v>
      </c>
      <c r="HNU247" s="29" t="e">
        <f t="shared" si="134"/>
        <v>#REF!</v>
      </c>
      <c r="HNV247" s="29" t="e">
        <f t="shared" si="134"/>
        <v>#REF!</v>
      </c>
      <c r="HNW247" s="29" t="e">
        <f t="shared" si="134"/>
        <v>#REF!</v>
      </c>
      <c r="HNX247" s="29" t="e">
        <f t="shared" si="134"/>
        <v>#REF!</v>
      </c>
      <c r="HNY247" s="29" t="e">
        <f t="shared" si="134"/>
        <v>#REF!</v>
      </c>
      <c r="HNZ247" s="29" t="e">
        <f t="shared" si="134"/>
        <v>#REF!</v>
      </c>
      <c r="HOA247" s="29" t="e">
        <f t="shared" si="134"/>
        <v>#REF!</v>
      </c>
      <c r="HOB247" s="29" t="e">
        <f t="shared" si="134"/>
        <v>#REF!</v>
      </c>
      <c r="HOC247" s="29" t="e">
        <f t="shared" si="134"/>
        <v>#REF!</v>
      </c>
      <c r="HOD247" s="29" t="e">
        <f t="shared" si="134"/>
        <v>#REF!</v>
      </c>
      <c r="HOE247" s="29" t="e">
        <f t="shared" si="134"/>
        <v>#REF!</v>
      </c>
      <c r="HOF247" s="29" t="e">
        <f t="shared" si="134"/>
        <v>#REF!</v>
      </c>
      <c r="HOG247" s="29" t="e">
        <f t="shared" si="134"/>
        <v>#REF!</v>
      </c>
      <c r="HOH247" s="29" t="e">
        <f t="shared" si="134"/>
        <v>#REF!</v>
      </c>
      <c r="HOI247" s="29" t="e">
        <f t="shared" si="134"/>
        <v>#REF!</v>
      </c>
      <c r="HOJ247" s="29" t="e">
        <f t="shared" si="134"/>
        <v>#REF!</v>
      </c>
      <c r="HOK247" s="29" t="e">
        <f t="shared" si="134"/>
        <v>#REF!</v>
      </c>
      <c r="HOL247" s="29" t="e">
        <f t="shared" si="134"/>
        <v>#REF!</v>
      </c>
      <c r="HOM247" s="29" t="e">
        <f t="shared" si="134"/>
        <v>#REF!</v>
      </c>
      <c r="HON247" s="29" t="e">
        <f t="shared" si="134"/>
        <v>#REF!</v>
      </c>
      <c r="HOO247" s="29" t="e">
        <f t="shared" si="134"/>
        <v>#REF!</v>
      </c>
      <c r="HOP247" s="29" t="e">
        <f t="shared" si="134"/>
        <v>#REF!</v>
      </c>
      <c r="HOQ247" s="29" t="e">
        <f t="shared" si="134"/>
        <v>#REF!</v>
      </c>
      <c r="HOR247" s="29" t="e">
        <f t="shared" si="134"/>
        <v>#REF!</v>
      </c>
      <c r="HOS247" s="29" t="e">
        <f t="shared" si="134"/>
        <v>#REF!</v>
      </c>
      <c r="HOT247" s="29" t="e">
        <f t="shared" si="134"/>
        <v>#REF!</v>
      </c>
      <c r="HOU247" s="29" t="e">
        <f t="shared" si="134"/>
        <v>#REF!</v>
      </c>
      <c r="HOV247" s="29" t="e">
        <f t="shared" si="134"/>
        <v>#REF!</v>
      </c>
      <c r="HOW247" s="29" t="e">
        <f t="shared" si="134"/>
        <v>#REF!</v>
      </c>
      <c r="HOX247" s="29" t="e">
        <f t="shared" si="134"/>
        <v>#REF!</v>
      </c>
      <c r="HOY247" s="29" t="e">
        <f t="shared" si="134"/>
        <v>#REF!</v>
      </c>
      <c r="HOZ247" s="29" t="e">
        <f t="shared" si="134"/>
        <v>#REF!</v>
      </c>
      <c r="HPA247" s="29" t="e">
        <f t="shared" si="134"/>
        <v>#REF!</v>
      </c>
      <c r="HPB247" s="29" t="e">
        <f t="shared" si="134"/>
        <v>#REF!</v>
      </c>
      <c r="HPC247" s="29" t="e">
        <f t="shared" si="134"/>
        <v>#REF!</v>
      </c>
      <c r="HPD247" s="29" t="e">
        <f t="shared" si="134"/>
        <v>#REF!</v>
      </c>
      <c r="HPE247" s="29" t="e">
        <f t="shared" si="134"/>
        <v>#REF!</v>
      </c>
      <c r="HPF247" s="29" t="e">
        <f t="shared" si="134"/>
        <v>#REF!</v>
      </c>
      <c r="HPG247" s="29" t="e">
        <f t="shared" si="134"/>
        <v>#REF!</v>
      </c>
      <c r="HPH247" s="29" t="e">
        <f t="shared" si="134"/>
        <v>#REF!</v>
      </c>
      <c r="HPI247" s="29" t="e">
        <f t="shared" si="134"/>
        <v>#REF!</v>
      </c>
      <c r="HPJ247" s="29" t="e">
        <f t="shared" si="134"/>
        <v>#REF!</v>
      </c>
      <c r="HPK247" s="29" t="e">
        <f t="shared" si="134"/>
        <v>#REF!</v>
      </c>
      <c r="HPL247" s="29" t="e">
        <f t="shared" si="134"/>
        <v>#REF!</v>
      </c>
      <c r="HPM247" s="29" t="e">
        <f t="shared" si="134"/>
        <v>#REF!</v>
      </c>
      <c r="HPN247" s="29" t="e">
        <f t="shared" si="134"/>
        <v>#REF!</v>
      </c>
      <c r="HPO247" s="29" t="e">
        <f t="shared" si="134"/>
        <v>#REF!</v>
      </c>
      <c r="HPP247" s="29" t="e">
        <f t="shared" si="134"/>
        <v>#REF!</v>
      </c>
      <c r="HPQ247" s="29" t="e">
        <f t="shared" ref="HPQ247:HSB247" si="135">HPU247&amp;HPV247</f>
        <v>#REF!</v>
      </c>
      <c r="HPR247" s="29" t="e">
        <f t="shared" si="135"/>
        <v>#REF!</v>
      </c>
      <c r="HPS247" s="29" t="e">
        <f t="shared" si="135"/>
        <v>#REF!</v>
      </c>
      <c r="HPT247" s="29" t="e">
        <f t="shared" si="135"/>
        <v>#REF!</v>
      </c>
      <c r="HPU247" s="29" t="e">
        <f t="shared" si="135"/>
        <v>#REF!</v>
      </c>
      <c r="HPV247" s="29" t="e">
        <f t="shared" si="135"/>
        <v>#REF!</v>
      </c>
      <c r="HPW247" s="29" t="e">
        <f t="shared" si="135"/>
        <v>#REF!</v>
      </c>
      <c r="HPX247" s="29" t="e">
        <f t="shared" si="135"/>
        <v>#REF!</v>
      </c>
      <c r="HPY247" s="29" t="e">
        <f t="shared" si="135"/>
        <v>#REF!</v>
      </c>
      <c r="HPZ247" s="29" t="e">
        <f t="shared" si="135"/>
        <v>#REF!</v>
      </c>
      <c r="HQA247" s="29" t="e">
        <f t="shared" si="135"/>
        <v>#REF!</v>
      </c>
      <c r="HQB247" s="29" t="e">
        <f t="shared" si="135"/>
        <v>#REF!</v>
      </c>
      <c r="HQC247" s="29" t="e">
        <f t="shared" si="135"/>
        <v>#REF!</v>
      </c>
      <c r="HQD247" s="29" t="e">
        <f t="shared" si="135"/>
        <v>#REF!</v>
      </c>
      <c r="HQE247" s="29" t="e">
        <f t="shared" si="135"/>
        <v>#REF!</v>
      </c>
      <c r="HQF247" s="29" t="e">
        <f t="shared" si="135"/>
        <v>#REF!</v>
      </c>
      <c r="HQG247" s="29" t="e">
        <f t="shared" si="135"/>
        <v>#REF!</v>
      </c>
      <c r="HQH247" s="29" t="e">
        <f t="shared" si="135"/>
        <v>#REF!</v>
      </c>
      <c r="HQI247" s="29" t="e">
        <f t="shared" si="135"/>
        <v>#REF!</v>
      </c>
      <c r="HQJ247" s="29" t="e">
        <f t="shared" si="135"/>
        <v>#REF!</v>
      </c>
      <c r="HQK247" s="29" t="e">
        <f t="shared" si="135"/>
        <v>#REF!</v>
      </c>
      <c r="HQL247" s="29" t="e">
        <f t="shared" si="135"/>
        <v>#REF!</v>
      </c>
      <c r="HQM247" s="29" t="e">
        <f t="shared" si="135"/>
        <v>#REF!</v>
      </c>
      <c r="HQN247" s="29" t="e">
        <f t="shared" si="135"/>
        <v>#REF!</v>
      </c>
      <c r="HQO247" s="29" t="e">
        <f t="shared" si="135"/>
        <v>#REF!</v>
      </c>
      <c r="HQP247" s="29" t="e">
        <f t="shared" si="135"/>
        <v>#REF!</v>
      </c>
      <c r="HQQ247" s="29" t="e">
        <f t="shared" si="135"/>
        <v>#REF!</v>
      </c>
      <c r="HQR247" s="29" t="e">
        <f t="shared" si="135"/>
        <v>#REF!</v>
      </c>
      <c r="HQS247" s="29" t="e">
        <f t="shared" si="135"/>
        <v>#REF!</v>
      </c>
      <c r="HQT247" s="29" t="e">
        <f t="shared" si="135"/>
        <v>#REF!</v>
      </c>
      <c r="HQU247" s="29" t="e">
        <f t="shared" si="135"/>
        <v>#REF!</v>
      </c>
      <c r="HQV247" s="29" t="e">
        <f t="shared" si="135"/>
        <v>#REF!</v>
      </c>
      <c r="HQW247" s="29" t="e">
        <f t="shared" si="135"/>
        <v>#REF!</v>
      </c>
      <c r="HQX247" s="29" t="e">
        <f t="shared" si="135"/>
        <v>#REF!</v>
      </c>
      <c r="HQY247" s="29" t="e">
        <f t="shared" si="135"/>
        <v>#REF!</v>
      </c>
      <c r="HQZ247" s="29" t="e">
        <f t="shared" si="135"/>
        <v>#REF!</v>
      </c>
      <c r="HRA247" s="29" t="e">
        <f t="shared" si="135"/>
        <v>#REF!</v>
      </c>
      <c r="HRB247" s="29" t="e">
        <f t="shared" si="135"/>
        <v>#REF!</v>
      </c>
      <c r="HRC247" s="29" t="e">
        <f t="shared" si="135"/>
        <v>#REF!</v>
      </c>
      <c r="HRD247" s="29" t="e">
        <f t="shared" si="135"/>
        <v>#REF!</v>
      </c>
      <c r="HRE247" s="29" t="e">
        <f t="shared" si="135"/>
        <v>#REF!</v>
      </c>
      <c r="HRF247" s="29" t="e">
        <f t="shared" si="135"/>
        <v>#REF!</v>
      </c>
      <c r="HRG247" s="29" t="e">
        <f t="shared" si="135"/>
        <v>#REF!</v>
      </c>
      <c r="HRH247" s="29" t="e">
        <f t="shared" si="135"/>
        <v>#REF!</v>
      </c>
      <c r="HRI247" s="29" t="e">
        <f t="shared" si="135"/>
        <v>#REF!</v>
      </c>
      <c r="HRJ247" s="29" t="e">
        <f t="shared" si="135"/>
        <v>#REF!</v>
      </c>
      <c r="HRK247" s="29" t="e">
        <f t="shared" si="135"/>
        <v>#REF!</v>
      </c>
      <c r="HRL247" s="29" t="e">
        <f t="shared" si="135"/>
        <v>#REF!</v>
      </c>
      <c r="HRM247" s="29" t="e">
        <f t="shared" si="135"/>
        <v>#REF!</v>
      </c>
      <c r="HRN247" s="29" t="e">
        <f t="shared" si="135"/>
        <v>#REF!</v>
      </c>
      <c r="HRO247" s="29" t="e">
        <f t="shared" si="135"/>
        <v>#REF!</v>
      </c>
      <c r="HRP247" s="29" t="e">
        <f t="shared" si="135"/>
        <v>#REF!</v>
      </c>
      <c r="HRQ247" s="29" t="e">
        <f t="shared" si="135"/>
        <v>#REF!</v>
      </c>
      <c r="HRR247" s="29" t="e">
        <f t="shared" si="135"/>
        <v>#REF!</v>
      </c>
      <c r="HRS247" s="29" t="e">
        <f t="shared" si="135"/>
        <v>#REF!</v>
      </c>
      <c r="HRT247" s="29" t="e">
        <f t="shared" si="135"/>
        <v>#REF!</v>
      </c>
      <c r="HRU247" s="29" t="e">
        <f t="shared" si="135"/>
        <v>#REF!</v>
      </c>
      <c r="HRV247" s="29" t="e">
        <f t="shared" si="135"/>
        <v>#REF!</v>
      </c>
      <c r="HRW247" s="29" t="e">
        <f t="shared" si="135"/>
        <v>#REF!</v>
      </c>
      <c r="HRX247" s="29" t="e">
        <f t="shared" si="135"/>
        <v>#REF!</v>
      </c>
      <c r="HRY247" s="29" t="e">
        <f t="shared" si="135"/>
        <v>#REF!</v>
      </c>
      <c r="HRZ247" s="29" t="e">
        <f t="shared" si="135"/>
        <v>#REF!</v>
      </c>
      <c r="HSA247" s="29" t="e">
        <f t="shared" si="135"/>
        <v>#REF!</v>
      </c>
      <c r="HSB247" s="29" t="e">
        <f t="shared" si="135"/>
        <v>#REF!</v>
      </c>
      <c r="HSC247" s="29" t="e">
        <f t="shared" ref="HSC247:HUN247" si="136">HSG247&amp;HSH247</f>
        <v>#REF!</v>
      </c>
      <c r="HSD247" s="29" t="e">
        <f t="shared" si="136"/>
        <v>#REF!</v>
      </c>
      <c r="HSE247" s="29" t="e">
        <f t="shared" si="136"/>
        <v>#REF!</v>
      </c>
      <c r="HSF247" s="29" t="e">
        <f t="shared" si="136"/>
        <v>#REF!</v>
      </c>
      <c r="HSG247" s="29" t="e">
        <f t="shared" si="136"/>
        <v>#REF!</v>
      </c>
      <c r="HSH247" s="29" t="e">
        <f t="shared" si="136"/>
        <v>#REF!</v>
      </c>
      <c r="HSI247" s="29" t="e">
        <f t="shared" si="136"/>
        <v>#REF!</v>
      </c>
      <c r="HSJ247" s="29" t="e">
        <f t="shared" si="136"/>
        <v>#REF!</v>
      </c>
      <c r="HSK247" s="29" t="e">
        <f t="shared" si="136"/>
        <v>#REF!</v>
      </c>
      <c r="HSL247" s="29" t="e">
        <f t="shared" si="136"/>
        <v>#REF!</v>
      </c>
      <c r="HSM247" s="29" t="e">
        <f t="shared" si="136"/>
        <v>#REF!</v>
      </c>
      <c r="HSN247" s="29" t="e">
        <f t="shared" si="136"/>
        <v>#REF!</v>
      </c>
      <c r="HSO247" s="29" t="e">
        <f t="shared" si="136"/>
        <v>#REF!</v>
      </c>
      <c r="HSP247" s="29" t="e">
        <f t="shared" si="136"/>
        <v>#REF!</v>
      </c>
      <c r="HSQ247" s="29" t="e">
        <f t="shared" si="136"/>
        <v>#REF!</v>
      </c>
      <c r="HSR247" s="29" t="e">
        <f t="shared" si="136"/>
        <v>#REF!</v>
      </c>
      <c r="HSS247" s="29" t="e">
        <f t="shared" si="136"/>
        <v>#REF!</v>
      </c>
      <c r="HST247" s="29" t="e">
        <f t="shared" si="136"/>
        <v>#REF!</v>
      </c>
      <c r="HSU247" s="29" t="e">
        <f t="shared" si="136"/>
        <v>#REF!</v>
      </c>
      <c r="HSV247" s="29" t="e">
        <f t="shared" si="136"/>
        <v>#REF!</v>
      </c>
      <c r="HSW247" s="29" t="e">
        <f t="shared" si="136"/>
        <v>#REF!</v>
      </c>
      <c r="HSX247" s="29" t="e">
        <f t="shared" si="136"/>
        <v>#REF!</v>
      </c>
      <c r="HSY247" s="29" t="e">
        <f t="shared" si="136"/>
        <v>#REF!</v>
      </c>
      <c r="HSZ247" s="29" t="e">
        <f t="shared" si="136"/>
        <v>#REF!</v>
      </c>
      <c r="HTA247" s="29" t="e">
        <f t="shared" si="136"/>
        <v>#REF!</v>
      </c>
      <c r="HTB247" s="29" t="e">
        <f t="shared" si="136"/>
        <v>#REF!</v>
      </c>
      <c r="HTC247" s="29" t="e">
        <f t="shared" si="136"/>
        <v>#REF!</v>
      </c>
      <c r="HTD247" s="29" t="e">
        <f t="shared" si="136"/>
        <v>#REF!</v>
      </c>
      <c r="HTE247" s="29" t="e">
        <f t="shared" si="136"/>
        <v>#REF!</v>
      </c>
      <c r="HTF247" s="29" t="e">
        <f t="shared" si="136"/>
        <v>#REF!</v>
      </c>
      <c r="HTG247" s="29" t="e">
        <f t="shared" si="136"/>
        <v>#REF!</v>
      </c>
      <c r="HTH247" s="29" t="e">
        <f t="shared" si="136"/>
        <v>#REF!</v>
      </c>
      <c r="HTI247" s="29" t="e">
        <f t="shared" si="136"/>
        <v>#REF!</v>
      </c>
      <c r="HTJ247" s="29" t="e">
        <f t="shared" si="136"/>
        <v>#REF!</v>
      </c>
      <c r="HTK247" s="29" t="e">
        <f t="shared" si="136"/>
        <v>#REF!</v>
      </c>
      <c r="HTL247" s="29" t="e">
        <f t="shared" si="136"/>
        <v>#REF!</v>
      </c>
      <c r="HTM247" s="29" t="e">
        <f t="shared" si="136"/>
        <v>#REF!</v>
      </c>
      <c r="HTN247" s="29" t="e">
        <f t="shared" si="136"/>
        <v>#REF!</v>
      </c>
      <c r="HTO247" s="29" t="e">
        <f t="shared" si="136"/>
        <v>#REF!</v>
      </c>
      <c r="HTP247" s="29" t="e">
        <f t="shared" si="136"/>
        <v>#REF!</v>
      </c>
      <c r="HTQ247" s="29" t="e">
        <f t="shared" si="136"/>
        <v>#REF!</v>
      </c>
      <c r="HTR247" s="29" t="e">
        <f t="shared" si="136"/>
        <v>#REF!</v>
      </c>
      <c r="HTS247" s="29" t="e">
        <f t="shared" si="136"/>
        <v>#REF!</v>
      </c>
      <c r="HTT247" s="29" t="e">
        <f t="shared" si="136"/>
        <v>#REF!</v>
      </c>
      <c r="HTU247" s="29" t="e">
        <f t="shared" si="136"/>
        <v>#REF!</v>
      </c>
      <c r="HTV247" s="29" t="e">
        <f t="shared" si="136"/>
        <v>#REF!</v>
      </c>
      <c r="HTW247" s="29" t="e">
        <f t="shared" si="136"/>
        <v>#REF!</v>
      </c>
      <c r="HTX247" s="29" t="e">
        <f t="shared" si="136"/>
        <v>#REF!</v>
      </c>
      <c r="HTY247" s="29" t="e">
        <f t="shared" si="136"/>
        <v>#REF!</v>
      </c>
      <c r="HTZ247" s="29" t="e">
        <f t="shared" si="136"/>
        <v>#REF!</v>
      </c>
      <c r="HUA247" s="29" t="e">
        <f t="shared" si="136"/>
        <v>#REF!</v>
      </c>
      <c r="HUB247" s="29" t="e">
        <f t="shared" si="136"/>
        <v>#REF!</v>
      </c>
      <c r="HUC247" s="29" t="e">
        <f t="shared" si="136"/>
        <v>#REF!</v>
      </c>
      <c r="HUD247" s="29" t="e">
        <f t="shared" si="136"/>
        <v>#REF!</v>
      </c>
      <c r="HUE247" s="29" t="e">
        <f t="shared" si="136"/>
        <v>#REF!</v>
      </c>
      <c r="HUF247" s="29" t="e">
        <f t="shared" si="136"/>
        <v>#REF!</v>
      </c>
      <c r="HUG247" s="29" t="e">
        <f t="shared" si="136"/>
        <v>#REF!</v>
      </c>
      <c r="HUH247" s="29" t="e">
        <f t="shared" si="136"/>
        <v>#REF!</v>
      </c>
      <c r="HUI247" s="29" t="e">
        <f t="shared" si="136"/>
        <v>#REF!</v>
      </c>
      <c r="HUJ247" s="29" t="e">
        <f t="shared" si="136"/>
        <v>#REF!</v>
      </c>
      <c r="HUK247" s="29" t="e">
        <f t="shared" si="136"/>
        <v>#REF!</v>
      </c>
      <c r="HUL247" s="29" t="e">
        <f t="shared" si="136"/>
        <v>#REF!</v>
      </c>
      <c r="HUM247" s="29" t="e">
        <f t="shared" si="136"/>
        <v>#REF!</v>
      </c>
      <c r="HUN247" s="29" t="e">
        <f t="shared" si="136"/>
        <v>#REF!</v>
      </c>
      <c r="HUO247" s="29" t="e">
        <f t="shared" ref="HUO247:HWZ247" si="137">HUS247&amp;HUT247</f>
        <v>#REF!</v>
      </c>
      <c r="HUP247" s="29" t="e">
        <f t="shared" si="137"/>
        <v>#REF!</v>
      </c>
      <c r="HUQ247" s="29" t="e">
        <f t="shared" si="137"/>
        <v>#REF!</v>
      </c>
      <c r="HUR247" s="29" t="e">
        <f t="shared" si="137"/>
        <v>#REF!</v>
      </c>
      <c r="HUS247" s="29" t="e">
        <f t="shared" si="137"/>
        <v>#REF!</v>
      </c>
      <c r="HUT247" s="29" t="e">
        <f t="shared" si="137"/>
        <v>#REF!</v>
      </c>
      <c r="HUU247" s="29" t="e">
        <f t="shared" si="137"/>
        <v>#REF!</v>
      </c>
      <c r="HUV247" s="29" t="e">
        <f t="shared" si="137"/>
        <v>#REF!</v>
      </c>
      <c r="HUW247" s="29" t="e">
        <f t="shared" si="137"/>
        <v>#REF!</v>
      </c>
      <c r="HUX247" s="29" t="e">
        <f t="shared" si="137"/>
        <v>#REF!</v>
      </c>
      <c r="HUY247" s="29" t="e">
        <f t="shared" si="137"/>
        <v>#REF!</v>
      </c>
      <c r="HUZ247" s="29" t="e">
        <f t="shared" si="137"/>
        <v>#REF!</v>
      </c>
      <c r="HVA247" s="29" t="e">
        <f t="shared" si="137"/>
        <v>#REF!</v>
      </c>
      <c r="HVB247" s="29" t="e">
        <f t="shared" si="137"/>
        <v>#REF!</v>
      </c>
      <c r="HVC247" s="29" t="e">
        <f t="shared" si="137"/>
        <v>#REF!</v>
      </c>
      <c r="HVD247" s="29" t="e">
        <f t="shared" si="137"/>
        <v>#REF!</v>
      </c>
      <c r="HVE247" s="29" t="e">
        <f t="shared" si="137"/>
        <v>#REF!</v>
      </c>
      <c r="HVF247" s="29" t="e">
        <f t="shared" si="137"/>
        <v>#REF!</v>
      </c>
      <c r="HVG247" s="29" t="e">
        <f t="shared" si="137"/>
        <v>#REF!</v>
      </c>
      <c r="HVH247" s="29" t="e">
        <f t="shared" si="137"/>
        <v>#REF!</v>
      </c>
      <c r="HVI247" s="29" t="e">
        <f t="shared" si="137"/>
        <v>#REF!</v>
      </c>
      <c r="HVJ247" s="29" t="e">
        <f t="shared" si="137"/>
        <v>#REF!</v>
      </c>
      <c r="HVK247" s="29" t="e">
        <f t="shared" si="137"/>
        <v>#REF!</v>
      </c>
      <c r="HVL247" s="29" t="e">
        <f t="shared" si="137"/>
        <v>#REF!</v>
      </c>
      <c r="HVM247" s="29" t="e">
        <f t="shared" si="137"/>
        <v>#REF!</v>
      </c>
      <c r="HVN247" s="29" t="e">
        <f t="shared" si="137"/>
        <v>#REF!</v>
      </c>
      <c r="HVO247" s="29" t="e">
        <f t="shared" si="137"/>
        <v>#REF!</v>
      </c>
      <c r="HVP247" s="29" t="e">
        <f t="shared" si="137"/>
        <v>#REF!</v>
      </c>
      <c r="HVQ247" s="29" t="e">
        <f t="shared" si="137"/>
        <v>#REF!</v>
      </c>
      <c r="HVR247" s="29" t="e">
        <f t="shared" si="137"/>
        <v>#REF!</v>
      </c>
      <c r="HVS247" s="29" t="e">
        <f t="shared" si="137"/>
        <v>#REF!</v>
      </c>
      <c r="HVT247" s="29" t="e">
        <f t="shared" si="137"/>
        <v>#REF!</v>
      </c>
      <c r="HVU247" s="29" t="e">
        <f t="shared" si="137"/>
        <v>#REF!</v>
      </c>
      <c r="HVV247" s="29" t="e">
        <f t="shared" si="137"/>
        <v>#REF!</v>
      </c>
      <c r="HVW247" s="29" t="e">
        <f t="shared" si="137"/>
        <v>#REF!</v>
      </c>
      <c r="HVX247" s="29" t="e">
        <f t="shared" si="137"/>
        <v>#REF!</v>
      </c>
      <c r="HVY247" s="29" t="e">
        <f t="shared" si="137"/>
        <v>#REF!</v>
      </c>
      <c r="HVZ247" s="29" t="e">
        <f t="shared" si="137"/>
        <v>#REF!</v>
      </c>
      <c r="HWA247" s="29" t="e">
        <f t="shared" si="137"/>
        <v>#REF!</v>
      </c>
      <c r="HWB247" s="29" t="e">
        <f t="shared" si="137"/>
        <v>#REF!</v>
      </c>
      <c r="HWC247" s="29" t="e">
        <f t="shared" si="137"/>
        <v>#REF!</v>
      </c>
      <c r="HWD247" s="29" t="e">
        <f t="shared" si="137"/>
        <v>#REF!</v>
      </c>
      <c r="HWE247" s="29" t="e">
        <f t="shared" si="137"/>
        <v>#REF!</v>
      </c>
      <c r="HWF247" s="29" t="e">
        <f t="shared" si="137"/>
        <v>#REF!</v>
      </c>
      <c r="HWG247" s="29" t="e">
        <f t="shared" si="137"/>
        <v>#REF!</v>
      </c>
      <c r="HWH247" s="29" t="e">
        <f t="shared" si="137"/>
        <v>#REF!</v>
      </c>
      <c r="HWI247" s="29" t="e">
        <f t="shared" si="137"/>
        <v>#REF!</v>
      </c>
      <c r="HWJ247" s="29" t="e">
        <f t="shared" si="137"/>
        <v>#REF!</v>
      </c>
      <c r="HWK247" s="29" t="e">
        <f t="shared" si="137"/>
        <v>#REF!</v>
      </c>
      <c r="HWL247" s="29" t="e">
        <f t="shared" si="137"/>
        <v>#REF!</v>
      </c>
      <c r="HWM247" s="29" t="e">
        <f t="shared" si="137"/>
        <v>#REF!</v>
      </c>
      <c r="HWN247" s="29" t="e">
        <f t="shared" si="137"/>
        <v>#REF!</v>
      </c>
      <c r="HWO247" s="29" t="e">
        <f t="shared" si="137"/>
        <v>#REF!</v>
      </c>
      <c r="HWP247" s="29" t="e">
        <f t="shared" si="137"/>
        <v>#REF!</v>
      </c>
      <c r="HWQ247" s="29" t="e">
        <f t="shared" si="137"/>
        <v>#REF!</v>
      </c>
      <c r="HWR247" s="29" t="e">
        <f t="shared" si="137"/>
        <v>#REF!</v>
      </c>
      <c r="HWS247" s="29" t="e">
        <f t="shared" si="137"/>
        <v>#REF!</v>
      </c>
      <c r="HWT247" s="29" t="e">
        <f t="shared" si="137"/>
        <v>#REF!</v>
      </c>
      <c r="HWU247" s="29" t="e">
        <f t="shared" si="137"/>
        <v>#REF!</v>
      </c>
      <c r="HWV247" s="29" t="e">
        <f t="shared" si="137"/>
        <v>#REF!</v>
      </c>
      <c r="HWW247" s="29" t="e">
        <f t="shared" si="137"/>
        <v>#REF!</v>
      </c>
      <c r="HWX247" s="29" t="e">
        <f t="shared" si="137"/>
        <v>#REF!</v>
      </c>
      <c r="HWY247" s="29" t="e">
        <f t="shared" si="137"/>
        <v>#REF!</v>
      </c>
      <c r="HWZ247" s="29" t="e">
        <f t="shared" si="137"/>
        <v>#REF!</v>
      </c>
      <c r="HXA247" s="29" t="e">
        <f t="shared" ref="HXA247:HZL247" si="138">HXE247&amp;HXF247</f>
        <v>#REF!</v>
      </c>
      <c r="HXB247" s="29" t="e">
        <f t="shared" si="138"/>
        <v>#REF!</v>
      </c>
      <c r="HXC247" s="29" t="e">
        <f t="shared" si="138"/>
        <v>#REF!</v>
      </c>
      <c r="HXD247" s="29" t="e">
        <f t="shared" si="138"/>
        <v>#REF!</v>
      </c>
      <c r="HXE247" s="29" t="e">
        <f t="shared" si="138"/>
        <v>#REF!</v>
      </c>
      <c r="HXF247" s="29" t="e">
        <f t="shared" si="138"/>
        <v>#REF!</v>
      </c>
      <c r="HXG247" s="29" t="e">
        <f t="shared" si="138"/>
        <v>#REF!</v>
      </c>
      <c r="HXH247" s="29" t="e">
        <f t="shared" si="138"/>
        <v>#REF!</v>
      </c>
      <c r="HXI247" s="29" t="e">
        <f t="shared" si="138"/>
        <v>#REF!</v>
      </c>
      <c r="HXJ247" s="29" t="e">
        <f t="shared" si="138"/>
        <v>#REF!</v>
      </c>
      <c r="HXK247" s="29" t="e">
        <f t="shared" si="138"/>
        <v>#REF!</v>
      </c>
      <c r="HXL247" s="29" t="e">
        <f t="shared" si="138"/>
        <v>#REF!</v>
      </c>
      <c r="HXM247" s="29" t="e">
        <f t="shared" si="138"/>
        <v>#REF!</v>
      </c>
      <c r="HXN247" s="29" t="e">
        <f t="shared" si="138"/>
        <v>#REF!</v>
      </c>
      <c r="HXO247" s="29" t="e">
        <f t="shared" si="138"/>
        <v>#REF!</v>
      </c>
      <c r="HXP247" s="29" t="e">
        <f t="shared" si="138"/>
        <v>#REF!</v>
      </c>
      <c r="HXQ247" s="29" t="e">
        <f t="shared" si="138"/>
        <v>#REF!</v>
      </c>
      <c r="HXR247" s="29" t="e">
        <f t="shared" si="138"/>
        <v>#REF!</v>
      </c>
      <c r="HXS247" s="29" t="e">
        <f t="shared" si="138"/>
        <v>#REF!</v>
      </c>
      <c r="HXT247" s="29" t="e">
        <f t="shared" si="138"/>
        <v>#REF!</v>
      </c>
      <c r="HXU247" s="29" t="e">
        <f t="shared" si="138"/>
        <v>#REF!</v>
      </c>
      <c r="HXV247" s="29" t="e">
        <f t="shared" si="138"/>
        <v>#REF!</v>
      </c>
      <c r="HXW247" s="29" t="e">
        <f t="shared" si="138"/>
        <v>#REF!</v>
      </c>
      <c r="HXX247" s="29" t="e">
        <f t="shared" si="138"/>
        <v>#REF!</v>
      </c>
      <c r="HXY247" s="29" t="e">
        <f t="shared" si="138"/>
        <v>#REF!</v>
      </c>
      <c r="HXZ247" s="29" t="e">
        <f t="shared" si="138"/>
        <v>#REF!</v>
      </c>
      <c r="HYA247" s="29" t="e">
        <f t="shared" si="138"/>
        <v>#REF!</v>
      </c>
      <c r="HYB247" s="29" t="e">
        <f t="shared" si="138"/>
        <v>#REF!</v>
      </c>
      <c r="HYC247" s="29" t="e">
        <f t="shared" si="138"/>
        <v>#REF!</v>
      </c>
      <c r="HYD247" s="29" t="e">
        <f t="shared" si="138"/>
        <v>#REF!</v>
      </c>
      <c r="HYE247" s="29" t="e">
        <f t="shared" si="138"/>
        <v>#REF!</v>
      </c>
      <c r="HYF247" s="29" t="e">
        <f t="shared" si="138"/>
        <v>#REF!</v>
      </c>
      <c r="HYG247" s="29" t="e">
        <f t="shared" si="138"/>
        <v>#REF!</v>
      </c>
      <c r="HYH247" s="29" t="e">
        <f t="shared" si="138"/>
        <v>#REF!</v>
      </c>
      <c r="HYI247" s="29" t="e">
        <f t="shared" si="138"/>
        <v>#REF!</v>
      </c>
      <c r="HYJ247" s="29" t="e">
        <f t="shared" si="138"/>
        <v>#REF!</v>
      </c>
      <c r="HYK247" s="29" t="e">
        <f t="shared" si="138"/>
        <v>#REF!</v>
      </c>
      <c r="HYL247" s="29" t="e">
        <f t="shared" si="138"/>
        <v>#REF!</v>
      </c>
      <c r="HYM247" s="29" t="e">
        <f t="shared" si="138"/>
        <v>#REF!</v>
      </c>
      <c r="HYN247" s="29" t="e">
        <f t="shared" si="138"/>
        <v>#REF!</v>
      </c>
      <c r="HYO247" s="29" t="e">
        <f t="shared" si="138"/>
        <v>#REF!</v>
      </c>
      <c r="HYP247" s="29" t="e">
        <f t="shared" si="138"/>
        <v>#REF!</v>
      </c>
      <c r="HYQ247" s="29" t="e">
        <f t="shared" si="138"/>
        <v>#REF!</v>
      </c>
      <c r="HYR247" s="29" t="e">
        <f t="shared" si="138"/>
        <v>#REF!</v>
      </c>
      <c r="HYS247" s="29" t="e">
        <f t="shared" si="138"/>
        <v>#REF!</v>
      </c>
      <c r="HYT247" s="29" t="e">
        <f t="shared" si="138"/>
        <v>#REF!</v>
      </c>
      <c r="HYU247" s="29" t="e">
        <f t="shared" si="138"/>
        <v>#REF!</v>
      </c>
      <c r="HYV247" s="29" t="e">
        <f t="shared" si="138"/>
        <v>#REF!</v>
      </c>
      <c r="HYW247" s="29" t="e">
        <f t="shared" si="138"/>
        <v>#REF!</v>
      </c>
      <c r="HYX247" s="29" t="e">
        <f t="shared" si="138"/>
        <v>#REF!</v>
      </c>
      <c r="HYY247" s="29" t="e">
        <f t="shared" si="138"/>
        <v>#REF!</v>
      </c>
      <c r="HYZ247" s="29" t="e">
        <f t="shared" si="138"/>
        <v>#REF!</v>
      </c>
      <c r="HZA247" s="29" t="e">
        <f t="shared" si="138"/>
        <v>#REF!</v>
      </c>
      <c r="HZB247" s="29" t="e">
        <f t="shared" si="138"/>
        <v>#REF!</v>
      </c>
      <c r="HZC247" s="29" t="e">
        <f t="shared" si="138"/>
        <v>#REF!</v>
      </c>
      <c r="HZD247" s="29" t="e">
        <f t="shared" si="138"/>
        <v>#REF!</v>
      </c>
      <c r="HZE247" s="29" t="e">
        <f t="shared" si="138"/>
        <v>#REF!</v>
      </c>
      <c r="HZF247" s="29" t="e">
        <f t="shared" si="138"/>
        <v>#REF!</v>
      </c>
      <c r="HZG247" s="29" t="e">
        <f t="shared" si="138"/>
        <v>#REF!</v>
      </c>
      <c r="HZH247" s="29" t="e">
        <f t="shared" si="138"/>
        <v>#REF!</v>
      </c>
      <c r="HZI247" s="29" t="e">
        <f t="shared" si="138"/>
        <v>#REF!</v>
      </c>
      <c r="HZJ247" s="29" t="e">
        <f t="shared" si="138"/>
        <v>#REF!</v>
      </c>
      <c r="HZK247" s="29" t="e">
        <f t="shared" si="138"/>
        <v>#REF!</v>
      </c>
      <c r="HZL247" s="29" t="e">
        <f t="shared" si="138"/>
        <v>#REF!</v>
      </c>
      <c r="HZM247" s="29" t="e">
        <f t="shared" ref="HZM247:IBX247" si="139">HZQ247&amp;HZR247</f>
        <v>#REF!</v>
      </c>
      <c r="HZN247" s="29" t="e">
        <f t="shared" si="139"/>
        <v>#REF!</v>
      </c>
      <c r="HZO247" s="29" t="e">
        <f t="shared" si="139"/>
        <v>#REF!</v>
      </c>
      <c r="HZP247" s="29" t="e">
        <f t="shared" si="139"/>
        <v>#REF!</v>
      </c>
      <c r="HZQ247" s="29" t="e">
        <f t="shared" si="139"/>
        <v>#REF!</v>
      </c>
      <c r="HZR247" s="29" t="e">
        <f t="shared" si="139"/>
        <v>#REF!</v>
      </c>
      <c r="HZS247" s="29" t="e">
        <f t="shared" si="139"/>
        <v>#REF!</v>
      </c>
      <c r="HZT247" s="29" t="e">
        <f t="shared" si="139"/>
        <v>#REF!</v>
      </c>
      <c r="HZU247" s="29" t="e">
        <f t="shared" si="139"/>
        <v>#REF!</v>
      </c>
      <c r="HZV247" s="29" t="e">
        <f t="shared" si="139"/>
        <v>#REF!</v>
      </c>
      <c r="HZW247" s="29" t="e">
        <f t="shared" si="139"/>
        <v>#REF!</v>
      </c>
      <c r="HZX247" s="29" t="e">
        <f t="shared" si="139"/>
        <v>#REF!</v>
      </c>
      <c r="HZY247" s="29" t="e">
        <f t="shared" si="139"/>
        <v>#REF!</v>
      </c>
      <c r="HZZ247" s="29" t="e">
        <f t="shared" si="139"/>
        <v>#REF!</v>
      </c>
      <c r="IAA247" s="29" t="e">
        <f t="shared" si="139"/>
        <v>#REF!</v>
      </c>
      <c r="IAB247" s="29" t="e">
        <f t="shared" si="139"/>
        <v>#REF!</v>
      </c>
      <c r="IAC247" s="29" t="e">
        <f t="shared" si="139"/>
        <v>#REF!</v>
      </c>
      <c r="IAD247" s="29" t="e">
        <f t="shared" si="139"/>
        <v>#REF!</v>
      </c>
      <c r="IAE247" s="29" t="e">
        <f t="shared" si="139"/>
        <v>#REF!</v>
      </c>
      <c r="IAF247" s="29" t="e">
        <f t="shared" si="139"/>
        <v>#REF!</v>
      </c>
      <c r="IAG247" s="29" t="e">
        <f t="shared" si="139"/>
        <v>#REF!</v>
      </c>
      <c r="IAH247" s="29" t="e">
        <f t="shared" si="139"/>
        <v>#REF!</v>
      </c>
      <c r="IAI247" s="29" t="e">
        <f t="shared" si="139"/>
        <v>#REF!</v>
      </c>
      <c r="IAJ247" s="29" t="e">
        <f t="shared" si="139"/>
        <v>#REF!</v>
      </c>
      <c r="IAK247" s="29" t="e">
        <f t="shared" si="139"/>
        <v>#REF!</v>
      </c>
      <c r="IAL247" s="29" t="e">
        <f t="shared" si="139"/>
        <v>#REF!</v>
      </c>
      <c r="IAM247" s="29" t="e">
        <f t="shared" si="139"/>
        <v>#REF!</v>
      </c>
      <c r="IAN247" s="29" t="e">
        <f t="shared" si="139"/>
        <v>#REF!</v>
      </c>
      <c r="IAO247" s="29" t="e">
        <f t="shared" si="139"/>
        <v>#REF!</v>
      </c>
      <c r="IAP247" s="29" t="e">
        <f t="shared" si="139"/>
        <v>#REF!</v>
      </c>
      <c r="IAQ247" s="29" t="e">
        <f t="shared" si="139"/>
        <v>#REF!</v>
      </c>
      <c r="IAR247" s="29" t="e">
        <f t="shared" si="139"/>
        <v>#REF!</v>
      </c>
      <c r="IAS247" s="29" t="e">
        <f t="shared" si="139"/>
        <v>#REF!</v>
      </c>
      <c r="IAT247" s="29" t="e">
        <f t="shared" si="139"/>
        <v>#REF!</v>
      </c>
      <c r="IAU247" s="29" t="e">
        <f t="shared" si="139"/>
        <v>#REF!</v>
      </c>
      <c r="IAV247" s="29" t="e">
        <f t="shared" si="139"/>
        <v>#REF!</v>
      </c>
      <c r="IAW247" s="29" t="e">
        <f t="shared" si="139"/>
        <v>#REF!</v>
      </c>
      <c r="IAX247" s="29" t="e">
        <f t="shared" si="139"/>
        <v>#REF!</v>
      </c>
      <c r="IAY247" s="29" t="e">
        <f t="shared" si="139"/>
        <v>#REF!</v>
      </c>
      <c r="IAZ247" s="29" t="e">
        <f t="shared" si="139"/>
        <v>#REF!</v>
      </c>
      <c r="IBA247" s="29" t="e">
        <f t="shared" si="139"/>
        <v>#REF!</v>
      </c>
      <c r="IBB247" s="29" t="e">
        <f t="shared" si="139"/>
        <v>#REF!</v>
      </c>
      <c r="IBC247" s="29" t="e">
        <f t="shared" si="139"/>
        <v>#REF!</v>
      </c>
      <c r="IBD247" s="29" t="e">
        <f t="shared" si="139"/>
        <v>#REF!</v>
      </c>
      <c r="IBE247" s="29" t="e">
        <f t="shared" si="139"/>
        <v>#REF!</v>
      </c>
      <c r="IBF247" s="29" t="e">
        <f t="shared" si="139"/>
        <v>#REF!</v>
      </c>
      <c r="IBG247" s="29" t="e">
        <f t="shared" si="139"/>
        <v>#REF!</v>
      </c>
      <c r="IBH247" s="29" t="e">
        <f t="shared" si="139"/>
        <v>#REF!</v>
      </c>
      <c r="IBI247" s="29" t="e">
        <f t="shared" si="139"/>
        <v>#REF!</v>
      </c>
      <c r="IBJ247" s="29" t="e">
        <f t="shared" si="139"/>
        <v>#REF!</v>
      </c>
      <c r="IBK247" s="29" t="e">
        <f t="shared" si="139"/>
        <v>#REF!</v>
      </c>
      <c r="IBL247" s="29" t="e">
        <f t="shared" si="139"/>
        <v>#REF!</v>
      </c>
      <c r="IBM247" s="29" t="e">
        <f t="shared" si="139"/>
        <v>#REF!</v>
      </c>
      <c r="IBN247" s="29" t="e">
        <f t="shared" si="139"/>
        <v>#REF!</v>
      </c>
      <c r="IBO247" s="29" t="e">
        <f t="shared" si="139"/>
        <v>#REF!</v>
      </c>
      <c r="IBP247" s="29" t="e">
        <f t="shared" si="139"/>
        <v>#REF!</v>
      </c>
      <c r="IBQ247" s="29" t="e">
        <f t="shared" si="139"/>
        <v>#REF!</v>
      </c>
      <c r="IBR247" s="29" t="e">
        <f t="shared" si="139"/>
        <v>#REF!</v>
      </c>
      <c r="IBS247" s="29" t="e">
        <f t="shared" si="139"/>
        <v>#REF!</v>
      </c>
      <c r="IBT247" s="29" t="e">
        <f t="shared" si="139"/>
        <v>#REF!</v>
      </c>
      <c r="IBU247" s="29" t="e">
        <f t="shared" si="139"/>
        <v>#REF!</v>
      </c>
      <c r="IBV247" s="29" t="e">
        <f t="shared" si="139"/>
        <v>#REF!</v>
      </c>
      <c r="IBW247" s="29" t="e">
        <f t="shared" si="139"/>
        <v>#REF!</v>
      </c>
      <c r="IBX247" s="29" t="e">
        <f t="shared" si="139"/>
        <v>#REF!</v>
      </c>
      <c r="IBY247" s="29" t="e">
        <f t="shared" ref="IBY247:IEJ247" si="140">ICC247&amp;ICD247</f>
        <v>#REF!</v>
      </c>
      <c r="IBZ247" s="29" t="e">
        <f t="shared" si="140"/>
        <v>#REF!</v>
      </c>
      <c r="ICA247" s="29" t="e">
        <f t="shared" si="140"/>
        <v>#REF!</v>
      </c>
      <c r="ICB247" s="29" t="e">
        <f t="shared" si="140"/>
        <v>#REF!</v>
      </c>
      <c r="ICC247" s="29" t="e">
        <f t="shared" si="140"/>
        <v>#REF!</v>
      </c>
      <c r="ICD247" s="29" t="e">
        <f t="shared" si="140"/>
        <v>#REF!</v>
      </c>
      <c r="ICE247" s="29" t="e">
        <f t="shared" si="140"/>
        <v>#REF!</v>
      </c>
      <c r="ICF247" s="29" t="e">
        <f t="shared" si="140"/>
        <v>#REF!</v>
      </c>
      <c r="ICG247" s="29" t="e">
        <f t="shared" si="140"/>
        <v>#REF!</v>
      </c>
      <c r="ICH247" s="29" t="e">
        <f t="shared" si="140"/>
        <v>#REF!</v>
      </c>
      <c r="ICI247" s="29" t="e">
        <f t="shared" si="140"/>
        <v>#REF!</v>
      </c>
      <c r="ICJ247" s="29" t="e">
        <f t="shared" si="140"/>
        <v>#REF!</v>
      </c>
      <c r="ICK247" s="29" t="e">
        <f t="shared" si="140"/>
        <v>#REF!</v>
      </c>
      <c r="ICL247" s="29" t="e">
        <f t="shared" si="140"/>
        <v>#REF!</v>
      </c>
      <c r="ICM247" s="29" t="e">
        <f t="shared" si="140"/>
        <v>#REF!</v>
      </c>
      <c r="ICN247" s="29" t="e">
        <f t="shared" si="140"/>
        <v>#REF!</v>
      </c>
      <c r="ICO247" s="29" t="e">
        <f t="shared" si="140"/>
        <v>#REF!</v>
      </c>
      <c r="ICP247" s="29" t="e">
        <f t="shared" si="140"/>
        <v>#REF!</v>
      </c>
      <c r="ICQ247" s="29" t="e">
        <f t="shared" si="140"/>
        <v>#REF!</v>
      </c>
      <c r="ICR247" s="29" t="e">
        <f t="shared" si="140"/>
        <v>#REF!</v>
      </c>
      <c r="ICS247" s="29" t="e">
        <f t="shared" si="140"/>
        <v>#REF!</v>
      </c>
      <c r="ICT247" s="29" t="e">
        <f t="shared" si="140"/>
        <v>#REF!</v>
      </c>
      <c r="ICU247" s="29" t="e">
        <f t="shared" si="140"/>
        <v>#REF!</v>
      </c>
      <c r="ICV247" s="29" t="e">
        <f t="shared" si="140"/>
        <v>#REF!</v>
      </c>
      <c r="ICW247" s="29" t="e">
        <f t="shared" si="140"/>
        <v>#REF!</v>
      </c>
      <c r="ICX247" s="29" t="e">
        <f t="shared" si="140"/>
        <v>#REF!</v>
      </c>
      <c r="ICY247" s="29" t="e">
        <f t="shared" si="140"/>
        <v>#REF!</v>
      </c>
      <c r="ICZ247" s="29" t="e">
        <f t="shared" si="140"/>
        <v>#REF!</v>
      </c>
      <c r="IDA247" s="29" t="e">
        <f t="shared" si="140"/>
        <v>#REF!</v>
      </c>
      <c r="IDB247" s="29" t="e">
        <f t="shared" si="140"/>
        <v>#REF!</v>
      </c>
      <c r="IDC247" s="29" t="e">
        <f t="shared" si="140"/>
        <v>#REF!</v>
      </c>
      <c r="IDD247" s="29" t="e">
        <f t="shared" si="140"/>
        <v>#REF!</v>
      </c>
      <c r="IDE247" s="29" t="e">
        <f t="shared" si="140"/>
        <v>#REF!</v>
      </c>
      <c r="IDF247" s="29" t="e">
        <f t="shared" si="140"/>
        <v>#REF!</v>
      </c>
      <c r="IDG247" s="29" t="e">
        <f t="shared" si="140"/>
        <v>#REF!</v>
      </c>
      <c r="IDH247" s="29" t="e">
        <f t="shared" si="140"/>
        <v>#REF!</v>
      </c>
      <c r="IDI247" s="29" t="e">
        <f t="shared" si="140"/>
        <v>#REF!</v>
      </c>
      <c r="IDJ247" s="29" t="e">
        <f t="shared" si="140"/>
        <v>#REF!</v>
      </c>
      <c r="IDK247" s="29" t="e">
        <f t="shared" si="140"/>
        <v>#REF!</v>
      </c>
      <c r="IDL247" s="29" t="e">
        <f t="shared" si="140"/>
        <v>#REF!</v>
      </c>
      <c r="IDM247" s="29" t="e">
        <f t="shared" si="140"/>
        <v>#REF!</v>
      </c>
      <c r="IDN247" s="29" t="e">
        <f t="shared" si="140"/>
        <v>#REF!</v>
      </c>
      <c r="IDO247" s="29" t="e">
        <f t="shared" si="140"/>
        <v>#REF!</v>
      </c>
      <c r="IDP247" s="29" t="e">
        <f t="shared" si="140"/>
        <v>#REF!</v>
      </c>
      <c r="IDQ247" s="29" t="e">
        <f t="shared" si="140"/>
        <v>#REF!</v>
      </c>
      <c r="IDR247" s="29" t="e">
        <f t="shared" si="140"/>
        <v>#REF!</v>
      </c>
      <c r="IDS247" s="29" t="e">
        <f t="shared" si="140"/>
        <v>#REF!</v>
      </c>
      <c r="IDT247" s="29" t="e">
        <f t="shared" si="140"/>
        <v>#REF!</v>
      </c>
      <c r="IDU247" s="29" t="e">
        <f t="shared" si="140"/>
        <v>#REF!</v>
      </c>
      <c r="IDV247" s="29" t="e">
        <f t="shared" si="140"/>
        <v>#REF!</v>
      </c>
      <c r="IDW247" s="29" t="e">
        <f t="shared" si="140"/>
        <v>#REF!</v>
      </c>
      <c r="IDX247" s="29" t="e">
        <f t="shared" si="140"/>
        <v>#REF!</v>
      </c>
      <c r="IDY247" s="29" t="e">
        <f t="shared" si="140"/>
        <v>#REF!</v>
      </c>
      <c r="IDZ247" s="29" t="e">
        <f t="shared" si="140"/>
        <v>#REF!</v>
      </c>
      <c r="IEA247" s="29" t="e">
        <f t="shared" si="140"/>
        <v>#REF!</v>
      </c>
      <c r="IEB247" s="29" t="e">
        <f t="shared" si="140"/>
        <v>#REF!</v>
      </c>
      <c r="IEC247" s="29" t="e">
        <f t="shared" si="140"/>
        <v>#REF!</v>
      </c>
      <c r="IED247" s="29" t="e">
        <f t="shared" si="140"/>
        <v>#REF!</v>
      </c>
      <c r="IEE247" s="29" t="e">
        <f t="shared" si="140"/>
        <v>#REF!</v>
      </c>
      <c r="IEF247" s="29" t="e">
        <f t="shared" si="140"/>
        <v>#REF!</v>
      </c>
      <c r="IEG247" s="29" t="e">
        <f t="shared" si="140"/>
        <v>#REF!</v>
      </c>
      <c r="IEH247" s="29" t="e">
        <f t="shared" si="140"/>
        <v>#REF!</v>
      </c>
      <c r="IEI247" s="29" t="e">
        <f t="shared" si="140"/>
        <v>#REF!</v>
      </c>
      <c r="IEJ247" s="29" t="e">
        <f t="shared" si="140"/>
        <v>#REF!</v>
      </c>
      <c r="IEK247" s="29" t="e">
        <f t="shared" ref="IEK247:IGV247" si="141">IEO247&amp;IEP247</f>
        <v>#REF!</v>
      </c>
      <c r="IEL247" s="29" t="e">
        <f t="shared" si="141"/>
        <v>#REF!</v>
      </c>
      <c r="IEM247" s="29" t="e">
        <f t="shared" si="141"/>
        <v>#REF!</v>
      </c>
      <c r="IEN247" s="29" t="e">
        <f t="shared" si="141"/>
        <v>#REF!</v>
      </c>
      <c r="IEO247" s="29" t="e">
        <f t="shared" si="141"/>
        <v>#REF!</v>
      </c>
      <c r="IEP247" s="29" t="e">
        <f t="shared" si="141"/>
        <v>#REF!</v>
      </c>
      <c r="IEQ247" s="29" t="e">
        <f t="shared" si="141"/>
        <v>#REF!</v>
      </c>
      <c r="IER247" s="29" t="e">
        <f t="shared" si="141"/>
        <v>#REF!</v>
      </c>
      <c r="IES247" s="29" t="e">
        <f t="shared" si="141"/>
        <v>#REF!</v>
      </c>
      <c r="IET247" s="29" t="e">
        <f t="shared" si="141"/>
        <v>#REF!</v>
      </c>
      <c r="IEU247" s="29" t="e">
        <f t="shared" si="141"/>
        <v>#REF!</v>
      </c>
      <c r="IEV247" s="29" t="e">
        <f t="shared" si="141"/>
        <v>#REF!</v>
      </c>
      <c r="IEW247" s="29" t="e">
        <f t="shared" si="141"/>
        <v>#REF!</v>
      </c>
      <c r="IEX247" s="29" t="e">
        <f t="shared" si="141"/>
        <v>#REF!</v>
      </c>
      <c r="IEY247" s="29" t="e">
        <f t="shared" si="141"/>
        <v>#REF!</v>
      </c>
      <c r="IEZ247" s="29" t="e">
        <f t="shared" si="141"/>
        <v>#REF!</v>
      </c>
      <c r="IFA247" s="29" t="e">
        <f t="shared" si="141"/>
        <v>#REF!</v>
      </c>
      <c r="IFB247" s="29" t="e">
        <f t="shared" si="141"/>
        <v>#REF!</v>
      </c>
      <c r="IFC247" s="29" t="e">
        <f t="shared" si="141"/>
        <v>#REF!</v>
      </c>
      <c r="IFD247" s="29" t="e">
        <f t="shared" si="141"/>
        <v>#REF!</v>
      </c>
      <c r="IFE247" s="29" t="e">
        <f t="shared" si="141"/>
        <v>#REF!</v>
      </c>
      <c r="IFF247" s="29" t="e">
        <f t="shared" si="141"/>
        <v>#REF!</v>
      </c>
      <c r="IFG247" s="29" t="e">
        <f t="shared" si="141"/>
        <v>#REF!</v>
      </c>
      <c r="IFH247" s="29" t="e">
        <f t="shared" si="141"/>
        <v>#REF!</v>
      </c>
      <c r="IFI247" s="29" t="e">
        <f t="shared" si="141"/>
        <v>#REF!</v>
      </c>
      <c r="IFJ247" s="29" t="e">
        <f t="shared" si="141"/>
        <v>#REF!</v>
      </c>
      <c r="IFK247" s="29" t="e">
        <f t="shared" si="141"/>
        <v>#REF!</v>
      </c>
      <c r="IFL247" s="29" t="e">
        <f t="shared" si="141"/>
        <v>#REF!</v>
      </c>
      <c r="IFM247" s="29" t="e">
        <f t="shared" si="141"/>
        <v>#REF!</v>
      </c>
      <c r="IFN247" s="29" t="e">
        <f t="shared" si="141"/>
        <v>#REF!</v>
      </c>
      <c r="IFO247" s="29" t="e">
        <f t="shared" si="141"/>
        <v>#REF!</v>
      </c>
      <c r="IFP247" s="29" t="e">
        <f t="shared" si="141"/>
        <v>#REF!</v>
      </c>
      <c r="IFQ247" s="29" t="e">
        <f t="shared" si="141"/>
        <v>#REF!</v>
      </c>
      <c r="IFR247" s="29" t="e">
        <f t="shared" si="141"/>
        <v>#REF!</v>
      </c>
      <c r="IFS247" s="29" t="e">
        <f t="shared" si="141"/>
        <v>#REF!</v>
      </c>
      <c r="IFT247" s="29" t="e">
        <f t="shared" si="141"/>
        <v>#REF!</v>
      </c>
      <c r="IFU247" s="29" t="e">
        <f t="shared" si="141"/>
        <v>#REF!</v>
      </c>
      <c r="IFV247" s="29" t="e">
        <f t="shared" si="141"/>
        <v>#REF!</v>
      </c>
      <c r="IFW247" s="29" t="e">
        <f t="shared" si="141"/>
        <v>#REF!</v>
      </c>
      <c r="IFX247" s="29" t="e">
        <f t="shared" si="141"/>
        <v>#REF!</v>
      </c>
      <c r="IFY247" s="29" t="e">
        <f t="shared" si="141"/>
        <v>#REF!</v>
      </c>
      <c r="IFZ247" s="29" t="e">
        <f t="shared" si="141"/>
        <v>#REF!</v>
      </c>
      <c r="IGA247" s="29" t="e">
        <f t="shared" si="141"/>
        <v>#REF!</v>
      </c>
      <c r="IGB247" s="29" t="e">
        <f t="shared" si="141"/>
        <v>#REF!</v>
      </c>
      <c r="IGC247" s="29" t="e">
        <f t="shared" si="141"/>
        <v>#REF!</v>
      </c>
      <c r="IGD247" s="29" t="e">
        <f t="shared" si="141"/>
        <v>#REF!</v>
      </c>
      <c r="IGE247" s="29" t="e">
        <f t="shared" si="141"/>
        <v>#REF!</v>
      </c>
      <c r="IGF247" s="29" t="e">
        <f t="shared" si="141"/>
        <v>#REF!</v>
      </c>
      <c r="IGG247" s="29" t="e">
        <f t="shared" si="141"/>
        <v>#REF!</v>
      </c>
      <c r="IGH247" s="29" t="e">
        <f t="shared" si="141"/>
        <v>#REF!</v>
      </c>
      <c r="IGI247" s="29" t="e">
        <f t="shared" si="141"/>
        <v>#REF!</v>
      </c>
      <c r="IGJ247" s="29" t="e">
        <f t="shared" si="141"/>
        <v>#REF!</v>
      </c>
      <c r="IGK247" s="29" t="e">
        <f t="shared" si="141"/>
        <v>#REF!</v>
      </c>
      <c r="IGL247" s="29" t="e">
        <f t="shared" si="141"/>
        <v>#REF!</v>
      </c>
      <c r="IGM247" s="29" t="e">
        <f t="shared" si="141"/>
        <v>#REF!</v>
      </c>
      <c r="IGN247" s="29" t="e">
        <f t="shared" si="141"/>
        <v>#REF!</v>
      </c>
      <c r="IGO247" s="29" t="e">
        <f t="shared" si="141"/>
        <v>#REF!</v>
      </c>
      <c r="IGP247" s="29" t="e">
        <f t="shared" si="141"/>
        <v>#REF!</v>
      </c>
      <c r="IGQ247" s="29" t="e">
        <f t="shared" si="141"/>
        <v>#REF!</v>
      </c>
      <c r="IGR247" s="29" t="e">
        <f t="shared" si="141"/>
        <v>#REF!</v>
      </c>
      <c r="IGS247" s="29" t="e">
        <f t="shared" si="141"/>
        <v>#REF!</v>
      </c>
      <c r="IGT247" s="29" t="e">
        <f t="shared" si="141"/>
        <v>#REF!</v>
      </c>
      <c r="IGU247" s="29" t="e">
        <f t="shared" si="141"/>
        <v>#REF!</v>
      </c>
      <c r="IGV247" s="29" t="e">
        <f t="shared" si="141"/>
        <v>#REF!</v>
      </c>
      <c r="IGW247" s="29" t="e">
        <f t="shared" ref="IGW247:IJH247" si="142">IHA247&amp;IHB247</f>
        <v>#REF!</v>
      </c>
      <c r="IGX247" s="29" t="e">
        <f t="shared" si="142"/>
        <v>#REF!</v>
      </c>
      <c r="IGY247" s="29" t="e">
        <f t="shared" si="142"/>
        <v>#REF!</v>
      </c>
      <c r="IGZ247" s="29" t="e">
        <f t="shared" si="142"/>
        <v>#REF!</v>
      </c>
      <c r="IHA247" s="29" t="e">
        <f t="shared" si="142"/>
        <v>#REF!</v>
      </c>
      <c r="IHB247" s="29" t="e">
        <f t="shared" si="142"/>
        <v>#REF!</v>
      </c>
      <c r="IHC247" s="29" t="e">
        <f t="shared" si="142"/>
        <v>#REF!</v>
      </c>
      <c r="IHD247" s="29" t="e">
        <f t="shared" si="142"/>
        <v>#REF!</v>
      </c>
      <c r="IHE247" s="29" t="e">
        <f t="shared" si="142"/>
        <v>#REF!</v>
      </c>
      <c r="IHF247" s="29" t="e">
        <f t="shared" si="142"/>
        <v>#REF!</v>
      </c>
      <c r="IHG247" s="29" t="e">
        <f t="shared" si="142"/>
        <v>#REF!</v>
      </c>
      <c r="IHH247" s="29" t="e">
        <f t="shared" si="142"/>
        <v>#REF!</v>
      </c>
      <c r="IHI247" s="29" t="e">
        <f t="shared" si="142"/>
        <v>#REF!</v>
      </c>
      <c r="IHJ247" s="29" t="e">
        <f t="shared" si="142"/>
        <v>#REF!</v>
      </c>
      <c r="IHK247" s="29" t="e">
        <f t="shared" si="142"/>
        <v>#REF!</v>
      </c>
      <c r="IHL247" s="29" t="e">
        <f t="shared" si="142"/>
        <v>#REF!</v>
      </c>
      <c r="IHM247" s="29" t="e">
        <f t="shared" si="142"/>
        <v>#REF!</v>
      </c>
      <c r="IHN247" s="29" t="e">
        <f t="shared" si="142"/>
        <v>#REF!</v>
      </c>
      <c r="IHO247" s="29" t="e">
        <f t="shared" si="142"/>
        <v>#REF!</v>
      </c>
      <c r="IHP247" s="29" t="e">
        <f t="shared" si="142"/>
        <v>#REF!</v>
      </c>
      <c r="IHQ247" s="29" t="e">
        <f t="shared" si="142"/>
        <v>#REF!</v>
      </c>
      <c r="IHR247" s="29" t="e">
        <f t="shared" si="142"/>
        <v>#REF!</v>
      </c>
      <c r="IHS247" s="29" t="e">
        <f t="shared" si="142"/>
        <v>#REF!</v>
      </c>
      <c r="IHT247" s="29" t="e">
        <f t="shared" si="142"/>
        <v>#REF!</v>
      </c>
      <c r="IHU247" s="29" t="e">
        <f t="shared" si="142"/>
        <v>#REF!</v>
      </c>
      <c r="IHV247" s="29" t="e">
        <f t="shared" si="142"/>
        <v>#REF!</v>
      </c>
      <c r="IHW247" s="29" t="e">
        <f t="shared" si="142"/>
        <v>#REF!</v>
      </c>
      <c r="IHX247" s="29" t="e">
        <f t="shared" si="142"/>
        <v>#REF!</v>
      </c>
      <c r="IHY247" s="29" t="e">
        <f t="shared" si="142"/>
        <v>#REF!</v>
      </c>
      <c r="IHZ247" s="29" t="e">
        <f t="shared" si="142"/>
        <v>#REF!</v>
      </c>
      <c r="IIA247" s="29" t="e">
        <f t="shared" si="142"/>
        <v>#REF!</v>
      </c>
      <c r="IIB247" s="29" t="e">
        <f t="shared" si="142"/>
        <v>#REF!</v>
      </c>
      <c r="IIC247" s="29" t="e">
        <f t="shared" si="142"/>
        <v>#REF!</v>
      </c>
      <c r="IID247" s="29" t="e">
        <f t="shared" si="142"/>
        <v>#REF!</v>
      </c>
      <c r="IIE247" s="29" t="e">
        <f t="shared" si="142"/>
        <v>#REF!</v>
      </c>
      <c r="IIF247" s="29" t="e">
        <f t="shared" si="142"/>
        <v>#REF!</v>
      </c>
      <c r="IIG247" s="29" t="e">
        <f t="shared" si="142"/>
        <v>#REF!</v>
      </c>
      <c r="IIH247" s="29" t="e">
        <f t="shared" si="142"/>
        <v>#REF!</v>
      </c>
      <c r="III247" s="29" t="e">
        <f t="shared" si="142"/>
        <v>#REF!</v>
      </c>
      <c r="IIJ247" s="29" t="e">
        <f t="shared" si="142"/>
        <v>#REF!</v>
      </c>
      <c r="IIK247" s="29" t="e">
        <f t="shared" si="142"/>
        <v>#REF!</v>
      </c>
      <c r="IIL247" s="29" t="e">
        <f t="shared" si="142"/>
        <v>#REF!</v>
      </c>
      <c r="IIM247" s="29" t="e">
        <f t="shared" si="142"/>
        <v>#REF!</v>
      </c>
      <c r="IIN247" s="29" t="e">
        <f t="shared" si="142"/>
        <v>#REF!</v>
      </c>
      <c r="IIO247" s="29" t="e">
        <f t="shared" si="142"/>
        <v>#REF!</v>
      </c>
      <c r="IIP247" s="29" t="e">
        <f t="shared" si="142"/>
        <v>#REF!</v>
      </c>
      <c r="IIQ247" s="29" t="e">
        <f t="shared" si="142"/>
        <v>#REF!</v>
      </c>
      <c r="IIR247" s="29" t="e">
        <f t="shared" si="142"/>
        <v>#REF!</v>
      </c>
      <c r="IIS247" s="29" t="e">
        <f t="shared" si="142"/>
        <v>#REF!</v>
      </c>
      <c r="IIT247" s="29" t="e">
        <f t="shared" si="142"/>
        <v>#REF!</v>
      </c>
      <c r="IIU247" s="29" t="e">
        <f t="shared" si="142"/>
        <v>#REF!</v>
      </c>
      <c r="IIV247" s="29" t="e">
        <f t="shared" si="142"/>
        <v>#REF!</v>
      </c>
      <c r="IIW247" s="29" t="e">
        <f t="shared" si="142"/>
        <v>#REF!</v>
      </c>
      <c r="IIX247" s="29" t="e">
        <f t="shared" si="142"/>
        <v>#REF!</v>
      </c>
      <c r="IIY247" s="29" t="e">
        <f t="shared" si="142"/>
        <v>#REF!</v>
      </c>
      <c r="IIZ247" s="29" t="e">
        <f t="shared" si="142"/>
        <v>#REF!</v>
      </c>
      <c r="IJA247" s="29" t="e">
        <f t="shared" si="142"/>
        <v>#REF!</v>
      </c>
      <c r="IJB247" s="29" t="e">
        <f t="shared" si="142"/>
        <v>#REF!</v>
      </c>
      <c r="IJC247" s="29" t="e">
        <f t="shared" si="142"/>
        <v>#REF!</v>
      </c>
      <c r="IJD247" s="29" t="e">
        <f t="shared" si="142"/>
        <v>#REF!</v>
      </c>
      <c r="IJE247" s="29" t="e">
        <f t="shared" si="142"/>
        <v>#REF!</v>
      </c>
      <c r="IJF247" s="29" t="e">
        <f t="shared" si="142"/>
        <v>#REF!</v>
      </c>
      <c r="IJG247" s="29" t="e">
        <f t="shared" si="142"/>
        <v>#REF!</v>
      </c>
      <c r="IJH247" s="29" t="e">
        <f t="shared" si="142"/>
        <v>#REF!</v>
      </c>
      <c r="IJI247" s="29" t="e">
        <f t="shared" ref="IJI247:ILT247" si="143">IJM247&amp;IJN247</f>
        <v>#REF!</v>
      </c>
      <c r="IJJ247" s="29" t="e">
        <f t="shared" si="143"/>
        <v>#REF!</v>
      </c>
      <c r="IJK247" s="29" t="e">
        <f t="shared" si="143"/>
        <v>#REF!</v>
      </c>
      <c r="IJL247" s="29" t="e">
        <f t="shared" si="143"/>
        <v>#REF!</v>
      </c>
      <c r="IJM247" s="29" t="e">
        <f t="shared" si="143"/>
        <v>#REF!</v>
      </c>
      <c r="IJN247" s="29" t="e">
        <f t="shared" si="143"/>
        <v>#REF!</v>
      </c>
      <c r="IJO247" s="29" t="e">
        <f t="shared" si="143"/>
        <v>#REF!</v>
      </c>
      <c r="IJP247" s="29" t="e">
        <f t="shared" si="143"/>
        <v>#REF!</v>
      </c>
      <c r="IJQ247" s="29" t="e">
        <f t="shared" si="143"/>
        <v>#REF!</v>
      </c>
      <c r="IJR247" s="29" t="e">
        <f t="shared" si="143"/>
        <v>#REF!</v>
      </c>
      <c r="IJS247" s="29" t="e">
        <f t="shared" si="143"/>
        <v>#REF!</v>
      </c>
      <c r="IJT247" s="29" t="e">
        <f t="shared" si="143"/>
        <v>#REF!</v>
      </c>
      <c r="IJU247" s="29" t="e">
        <f t="shared" si="143"/>
        <v>#REF!</v>
      </c>
      <c r="IJV247" s="29" t="e">
        <f t="shared" si="143"/>
        <v>#REF!</v>
      </c>
      <c r="IJW247" s="29" t="e">
        <f t="shared" si="143"/>
        <v>#REF!</v>
      </c>
      <c r="IJX247" s="29" t="e">
        <f t="shared" si="143"/>
        <v>#REF!</v>
      </c>
      <c r="IJY247" s="29" t="e">
        <f t="shared" si="143"/>
        <v>#REF!</v>
      </c>
      <c r="IJZ247" s="29" t="e">
        <f t="shared" si="143"/>
        <v>#REF!</v>
      </c>
      <c r="IKA247" s="29" t="e">
        <f t="shared" si="143"/>
        <v>#REF!</v>
      </c>
      <c r="IKB247" s="29" t="e">
        <f t="shared" si="143"/>
        <v>#REF!</v>
      </c>
      <c r="IKC247" s="29" t="e">
        <f t="shared" si="143"/>
        <v>#REF!</v>
      </c>
      <c r="IKD247" s="29" t="e">
        <f t="shared" si="143"/>
        <v>#REF!</v>
      </c>
      <c r="IKE247" s="29" t="e">
        <f t="shared" si="143"/>
        <v>#REF!</v>
      </c>
      <c r="IKF247" s="29" t="e">
        <f t="shared" si="143"/>
        <v>#REF!</v>
      </c>
      <c r="IKG247" s="29" t="e">
        <f t="shared" si="143"/>
        <v>#REF!</v>
      </c>
      <c r="IKH247" s="29" t="e">
        <f t="shared" si="143"/>
        <v>#REF!</v>
      </c>
      <c r="IKI247" s="29" t="e">
        <f t="shared" si="143"/>
        <v>#REF!</v>
      </c>
      <c r="IKJ247" s="29" t="e">
        <f t="shared" si="143"/>
        <v>#REF!</v>
      </c>
      <c r="IKK247" s="29" t="e">
        <f t="shared" si="143"/>
        <v>#REF!</v>
      </c>
      <c r="IKL247" s="29" t="e">
        <f t="shared" si="143"/>
        <v>#REF!</v>
      </c>
      <c r="IKM247" s="29" t="e">
        <f t="shared" si="143"/>
        <v>#REF!</v>
      </c>
      <c r="IKN247" s="29" t="e">
        <f t="shared" si="143"/>
        <v>#REF!</v>
      </c>
      <c r="IKO247" s="29" t="e">
        <f t="shared" si="143"/>
        <v>#REF!</v>
      </c>
      <c r="IKP247" s="29" t="e">
        <f t="shared" si="143"/>
        <v>#REF!</v>
      </c>
      <c r="IKQ247" s="29" t="e">
        <f t="shared" si="143"/>
        <v>#REF!</v>
      </c>
      <c r="IKR247" s="29" t="e">
        <f t="shared" si="143"/>
        <v>#REF!</v>
      </c>
      <c r="IKS247" s="29" t="e">
        <f t="shared" si="143"/>
        <v>#REF!</v>
      </c>
      <c r="IKT247" s="29" t="e">
        <f t="shared" si="143"/>
        <v>#REF!</v>
      </c>
      <c r="IKU247" s="29" t="e">
        <f t="shared" si="143"/>
        <v>#REF!</v>
      </c>
      <c r="IKV247" s="29" t="e">
        <f t="shared" si="143"/>
        <v>#REF!</v>
      </c>
      <c r="IKW247" s="29" t="e">
        <f t="shared" si="143"/>
        <v>#REF!</v>
      </c>
      <c r="IKX247" s="29" t="e">
        <f t="shared" si="143"/>
        <v>#REF!</v>
      </c>
      <c r="IKY247" s="29" t="e">
        <f t="shared" si="143"/>
        <v>#REF!</v>
      </c>
      <c r="IKZ247" s="29" t="e">
        <f t="shared" si="143"/>
        <v>#REF!</v>
      </c>
      <c r="ILA247" s="29" t="e">
        <f t="shared" si="143"/>
        <v>#REF!</v>
      </c>
      <c r="ILB247" s="29" t="e">
        <f t="shared" si="143"/>
        <v>#REF!</v>
      </c>
      <c r="ILC247" s="29" t="e">
        <f t="shared" si="143"/>
        <v>#REF!</v>
      </c>
      <c r="ILD247" s="29" t="e">
        <f t="shared" si="143"/>
        <v>#REF!</v>
      </c>
      <c r="ILE247" s="29" t="e">
        <f t="shared" si="143"/>
        <v>#REF!</v>
      </c>
      <c r="ILF247" s="29" t="e">
        <f t="shared" si="143"/>
        <v>#REF!</v>
      </c>
      <c r="ILG247" s="29" t="e">
        <f t="shared" si="143"/>
        <v>#REF!</v>
      </c>
      <c r="ILH247" s="29" t="e">
        <f t="shared" si="143"/>
        <v>#REF!</v>
      </c>
      <c r="ILI247" s="29" t="e">
        <f t="shared" si="143"/>
        <v>#REF!</v>
      </c>
      <c r="ILJ247" s="29" t="e">
        <f t="shared" si="143"/>
        <v>#REF!</v>
      </c>
      <c r="ILK247" s="29" t="e">
        <f t="shared" si="143"/>
        <v>#REF!</v>
      </c>
      <c r="ILL247" s="29" t="e">
        <f t="shared" si="143"/>
        <v>#REF!</v>
      </c>
      <c r="ILM247" s="29" t="e">
        <f t="shared" si="143"/>
        <v>#REF!</v>
      </c>
      <c r="ILN247" s="29" t="e">
        <f t="shared" si="143"/>
        <v>#REF!</v>
      </c>
      <c r="ILO247" s="29" t="e">
        <f t="shared" si="143"/>
        <v>#REF!</v>
      </c>
      <c r="ILP247" s="29" t="e">
        <f t="shared" si="143"/>
        <v>#REF!</v>
      </c>
      <c r="ILQ247" s="29" t="e">
        <f t="shared" si="143"/>
        <v>#REF!</v>
      </c>
      <c r="ILR247" s="29" t="e">
        <f t="shared" si="143"/>
        <v>#REF!</v>
      </c>
      <c r="ILS247" s="29" t="e">
        <f t="shared" si="143"/>
        <v>#REF!</v>
      </c>
      <c r="ILT247" s="29" t="e">
        <f t="shared" si="143"/>
        <v>#REF!</v>
      </c>
      <c r="ILU247" s="29" t="e">
        <f t="shared" ref="ILU247:IOF247" si="144">ILY247&amp;ILZ247</f>
        <v>#REF!</v>
      </c>
      <c r="ILV247" s="29" t="e">
        <f t="shared" si="144"/>
        <v>#REF!</v>
      </c>
      <c r="ILW247" s="29" t="e">
        <f t="shared" si="144"/>
        <v>#REF!</v>
      </c>
      <c r="ILX247" s="29" t="e">
        <f t="shared" si="144"/>
        <v>#REF!</v>
      </c>
      <c r="ILY247" s="29" t="e">
        <f t="shared" si="144"/>
        <v>#REF!</v>
      </c>
      <c r="ILZ247" s="29" t="e">
        <f t="shared" si="144"/>
        <v>#REF!</v>
      </c>
      <c r="IMA247" s="29" t="e">
        <f t="shared" si="144"/>
        <v>#REF!</v>
      </c>
      <c r="IMB247" s="29" t="e">
        <f t="shared" si="144"/>
        <v>#REF!</v>
      </c>
      <c r="IMC247" s="29" t="e">
        <f t="shared" si="144"/>
        <v>#REF!</v>
      </c>
      <c r="IMD247" s="29" t="e">
        <f t="shared" si="144"/>
        <v>#REF!</v>
      </c>
      <c r="IME247" s="29" t="e">
        <f t="shared" si="144"/>
        <v>#REF!</v>
      </c>
      <c r="IMF247" s="29" t="e">
        <f t="shared" si="144"/>
        <v>#REF!</v>
      </c>
      <c r="IMG247" s="29" t="e">
        <f t="shared" si="144"/>
        <v>#REF!</v>
      </c>
      <c r="IMH247" s="29" t="e">
        <f t="shared" si="144"/>
        <v>#REF!</v>
      </c>
      <c r="IMI247" s="29" t="e">
        <f t="shared" si="144"/>
        <v>#REF!</v>
      </c>
      <c r="IMJ247" s="29" t="e">
        <f t="shared" si="144"/>
        <v>#REF!</v>
      </c>
      <c r="IMK247" s="29" t="e">
        <f t="shared" si="144"/>
        <v>#REF!</v>
      </c>
      <c r="IML247" s="29" t="e">
        <f t="shared" si="144"/>
        <v>#REF!</v>
      </c>
      <c r="IMM247" s="29" t="e">
        <f t="shared" si="144"/>
        <v>#REF!</v>
      </c>
      <c r="IMN247" s="29" t="e">
        <f t="shared" si="144"/>
        <v>#REF!</v>
      </c>
      <c r="IMO247" s="29" t="e">
        <f t="shared" si="144"/>
        <v>#REF!</v>
      </c>
      <c r="IMP247" s="29" t="e">
        <f t="shared" si="144"/>
        <v>#REF!</v>
      </c>
      <c r="IMQ247" s="29" t="e">
        <f t="shared" si="144"/>
        <v>#REF!</v>
      </c>
      <c r="IMR247" s="29" t="e">
        <f t="shared" si="144"/>
        <v>#REF!</v>
      </c>
      <c r="IMS247" s="29" t="e">
        <f t="shared" si="144"/>
        <v>#REF!</v>
      </c>
      <c r="IMT247" s="29" t="e">
        <f t="shared" si="144"/>
        <v>#REF!</v>
      </c>
      <c r="IMU247" s="29" t="e">
        <f t="shared" si="144"/>
        <v>#REF!</v>
      </c>
      <c r="IMV247" s="29" t="e">
        <f t="shared" si="144"/>
        <v>#REF!</v>
      </c>
      <c r="IMW247" s="29" t="e">
        <f t="shared" si="144"/>
        <v>#REF!</v>
      </c>
      <c r="IMX247" s="29" t="e">
        <f t="shared" si="144"/>
        <v>#REF!</v>
      </c>
      <c r="IMY247" s="29" t="e">
        <f t="shared" si="144"/>
        <v>#REF!</v>
      </c>
      <c r="IMZ247" s="29" t="e">
        <f t="shared" si="144"/>
        <v>#REF!</v>
      </c>
      <c r="INA247" s="29" t="e">
        <f t="shared" si="144"/>
        <v>#REF!</v>
      </c>
      <c r="INB247" s="29" t="e">
        <f t="shared" si="144"/>
        <v>#REF!</v>
      </c>
      <c r="INC247" s="29" t="e">
        <f t="shared" si="144"/>
        <v>#REF!</v>
      </c>
      <c r="IND247" s="29" t="e">
        <f t="shared" si="144"/>
        <v>#REF!</v>
      </c>
      <c r="INE247" s="29" t="e">
        <f t="shared" si="144"/>
        <v>#REF!</v>
      </c>
      <c r="INF247" s="29" t="e">
        <f t="shared" si="144"/>
        <v>#REF!</v>
      </c>
      <c r="ING247" s="29" t="e">
        <f t="shared" si="144"/>
        <v>#REF!</v>
      </c>
      <c r="INH247" s="29" t="e">
        <f t="shared" si="144"/>
        <v>#REF!</v>
      </c>
      <c r="INI247" s="29" t="e">
        <f t="shared" si="144"/>
        <v>#REF!</v>
      </c>
      <c r="INJ247" s="29" t="e">
        <f t="shared" si="144"/>
        <v>#REF!</v>
      </c>
      <c r="INK247" s="29" t="e">
        <f t="shared" si="144"/>
        <v>#REF!</v>
      </c>
      <c r="INL247" s="29" t="e">
        <f t="shared" si="144"/>
        <v>#REF!</v>
      </c>
      <c r="INM247" s="29" t="e">
        <f t="shared" si="144"/>
        <v>#REF!</v>
      </c>
      <c r="INN247" s="29" t="e">
        <f t="shared" si="144"/>
        <v>#REF!</v>
      </c>
      <c r="INO247" s="29" t="e">
        <f t="shared" si="144"/>
        <v>#REF!</v>
      </c>
      <c r="INP247" s="29" t="e">
        <f t="shared" si="144"/>
        <v>#REF!</v>
      </c>
      <c r="INQ247" s="29" t="e">
        <f t="shared" si="144"/>
        <v>#REF!</v>
      </c>
      <c r="INR247" s="29" t="e">
        <f t="shared" si="144"/>
        <v>#REF!</v>
      </c>
      <c r="INS247" s="29" t="e">
        <f t="shared" si="144"/>
        <v>#REF!</v>
      </c>
      <c r="INT247" s="29" t="e">
        <f t="shared" si="144"/>
        <v>#REF!</v>
      </c>
      <c r="INU247" s="29" t="e">
        <f t="shared" si="144"/>
        <v>#REF!</v>
      </c>
      <c r="INV247" s="29" t="e">
        <f t="shared" si="144"/>
        <v>#REF!</v>
      </c>
      <c r="INW247" s="29" t="e">
        <f t="shared" si="144"/>
        <v>#REF!</v>
      </c>
      <c r="INX247" s="29" t="e">
        <f t="shared" si="144"/>
        <v>#REF!</v>
      </c>
      <c r="INY247" s="29" t="e">
        <f t="shared" si="144"/>
        <v>#REF!</v>
      </c>
      <c r="INZ247" s="29" t="e">
        <f t="shared" si="144"/>
        <v>#REF!</v>
      </c>
      <c r="IOA247" s="29" t="e">
        <f t="shared" si="144"/>
        <v>#REF!</v>
      </c>
      <c r="IOB247" s="29" t="e">
        <f t="shared" si="144"/>
        <v>#REF!</v>
      </c>
      <c r="IOC247" s="29" t="e">
        <f t="shared" si="144"/>
        <v>#REF!</v>
      </c>
      <c r="IOD247" s="29" t="e">
        <f t="shared" si="144"/>
        <v>#REF!</v>
      </c>
      <c r="IOE247" s="29" t="e">
        <f t="shared" si="144"/>
        <v>#REF!</v>
      </c>
      <c r="IOF247" s="29" t="e">
        <f t="shared" si="144"/>
        <v>#REF!</v>
      </c>
      <c r="IOG247" s="29" t="e">
        <f t="shared" ref="IOG247:IQR247" si="145">IOK247&amp;IOL247</f>
        <v>#REF!</v>
      </c>
      <c r="IOH247" s="29" t="e">
        <f t="shared" si="145"/>
        <v>#REF!</v>
      </c>
      <c r="IOI247" s="29" t="e">
        <f t="shared" si="145"/>
        <v>#REF!</v>
      </c>
      <c r="IOJ247" s="29" t="e">
        <f t="shared" si="145"/>
        <v>#REF!</v>
      </c>
      <c r="IOK247" s="29" t="e">
        <f t="shared" si="145"/>
        <v>#REF!</v>
      </c>
      <c r="IOL247" s="29" t="e">
        <f t="shared" si="145"/>
        <v>#REF!</v>
      </c>
      <c r="IOM247" s="29" t="e">
        <f t="shared" si="145"/>
        <v>#REF!</v>
      </c>
      <c r="ION247" s="29" t="e">
        <f t="shared" si="145"/>
        <v>#REF!</v>
      </c>
      <c r="IOO247" s="29" t="e">
        <f t="shared" si="145"/>
        <v>#REF!</v>
      </c>
      <c r="IOP247" s="29" t="e">
        <f t="shared" si="145"/>
        <v>#REF!</v>
      </c>
      <c r="IOQ247" s="29" t="e">
        <f t="shared" si="145"/>
        <v>#REF!</v>
      </c>
      <c r="IOR247" s="29" t="e">
        <f t="shared" si="145"/>
        <v>#REF!</v>
      </c>
      <c r="IOS247" s="29" t="e">
        <f t="shared" si="145"/>
        <v>#REF!</v>
      </c>
      <c r="IOT247" s="29" t="e">
        <f t="shared" si="145"/>
        <v>#REF!</v>
      </c>
      <c r="IOU247" s="29" t="e">
        <f t="shared" si="145"/>
        <v>#REF!</v>
      </c>
      <c r="IOV247" s="29" t="e">
        <f t="shared" si="145"/>
        <v>#REF!</v>
      </c>
      <c r="IOW247" s="29" t="e">
        <f t="shared" si="145"/>
        <v>#REF!</v>
      </c>
      <c r="IOX247" s="29" t="e">
        <f t="shared" si="145"/>
        <v>#REF!</v>
      </c>
      <c r="IOY247" s="29" t="e">
        <f t="shared" si="145"/>
        <v>#REF!</v>
      </c>
      <c r="IOZ247" s="29" t="e">
        <f t="shared" si="145"/>
        <v>#REF!</v>
      </c>
      <c r="IPA247" s="29" t="e">
        <f t="shared" si="145"/>
        <v>#REF!</v>
      </c>
      <c r="IPB247" s="29" t="e">
        <f t="shared" si="145"/>
        <v>#REF!</v>
      </c>
      <c r="IPC247" s="29" t="e">
        <f t="shared" si="145"/>
        <v>#REF!</v>
      </c>
      <c r="IPD247" s="29" t="e">
        <f t="shared" si="145"/>
        <v>#REF!</v>
      </c>
      <c r="IPE247" s="29" t="e">
        <f t="shared" si="145"/>
        <v>#REF!</v>
      </c>
      <c r="IPF247" s="29" t="e">
        <f t="shared" si="145"/>
        <v>#REF!</v>
      </c>
      <c r="IPG247" s="29" t="e">
        <f t="shared" si="145"/>
        <v>#REF!</v>
      </c>
      <c r="IPH247" s="29" t="e">
        <f t="shared" si="145"/>
        <v>#REF!</v>
      </c>
      <c r="IPI247" s="29" t="e">
        <f t="shared" si="145"/>
        <v>#REF!</v>
      </c>
      <c r="IPJ247" s="29" t="e">
        <f t="shared" si="145"/>
        <v>#REF!</v>
      </c>
      <c r="IPK247" s="29" t="e">
        <f t="shared" si="145"/>
        <v>#REF!</v>
      </c>
      <c r="IPL247" s="29" t="e">
        <f t="shared" si="145"/>
        <v>#REF!</v>
      </c>
      <c r="IPM247" s="29" t="e">
        <f t="shared" si="145"/>
        <v>#REF!</v>
      </c>
      <c r="IPN247" s="29" t="e">
        <f t="shared" si="145"/>
        <v>#REF!</v>
      </c>
      <c r="IPO247" s="29" t="e">
        <f t="shared" si="145"/>
        <v>#REF!</v>
      </c>
      <c r="IPP247" s="29" t="e">
        <f t="shared" si="145"/>
        <v>#REF!</v>
      </c>
      <c r="IPQ247" s="29" t="e">
        <f t="shared" si="145"/>
        <v>#REF!</v>
      </c>
      <c r="IPR247" s="29" t="e">
        <f t="shared" si="145"/>
        <v>#REF!</v>
      </c>
      <c r="IPS247" s="29" t="e">
        <f t="shared" si="145"/>
        <v>#REF!</v>
      </c>
      <c r="IPT247" s="29" t="e">
        <f t="shared" si="145"/>
        <v>#REF!</v>
      </c>
      <c r="IPU247" s="29" t="e">
        <f t="shared" si="145"/>
        <v>#REF!</v>
      </c>
      <c r="IPV247" s="29" t="e">
        <f t="shared" si="145"/>
        <v>#REF!</v>
      </c>
      <c r="IPW247" s="29" t="e">
        <f t="shared" si="145"/>
        <v>#REF!</v>
      </c>
      <c r="IPX247" s="29" t="e">
        <f t="shared" si="145"/>
        <v>#REF!</v>
      </c>
      <c r="IPY247" s="29" t="e">
        <f t="shared" si="145"/>
        <v>#REF!</v>
      </c>
      <c r="IPZ247" s="29" t="e">
        <f t="shared" si="145"/>
        <v>#REF!</v>
      </c>
      <c r="IQA247" s="29" t="e">
        <f t="shared" si="145"/>
        <v>#REF!</v>
      </c>
      <c r="IQB247" s="29" t="e">
        <f t="shared" si="145"/>
        <v>#REF!</v>
      </c>
      <c r="IQC247" s="29" t="e">
        <f t="shared" si="145"/>
        <v>#REF!</v>
      </c>
      <c r="IQD247" s="29" t="e">
        <f t="shared" si="145"/>
        <v>#REF!</v>
      </c>
      <c r="IQE247" s="29" t="e">
        <f t="shared" si="145"/>
        <v>#REF!</v>
      </c>
      <c r="IQF247" s="29" t="e">
        <f t="shared" si="145"/>
        <v>#REF!</v>
      </c>
      <c r="IQG247" s="29" t="e">
        <f t="shared" si="145"/>
        <v>#REF!</v>
      </c>
      <c r="IQH247" s="29" t="e">
        <f t="shared" si="145"/>
        <v>#REF!</v>
      </c>
      <c r="IQI247" s="29" t="e">
        <f t="shared" si="145"/>
        <v>#REF!</v>
      </c>
      <c r="IQJ247" s="29" t="e">
        <f t="shared" si="145"/>
        <v>#REF!</v>
      </c>
      <c r="IQK247" s="29" t="e">
        <f t="shared" si="145"/>
        <v>#REF!</v>
      </c>
      <c r="IQL247" s="29" t="e">
        <f t="shared" si="145"/>
        <v>#REF!</v>
      </c>
      <c r="IQM247" s="29" t="e">
        <f t="shared" si="145"/>
        <v>#REF!</v>
      </c>
      <c r="IQN247" s="29" t="e">
        <f t="shared" si="145"/>
        <v>#REF!</v>
      </c>
      <c r="IQO247" s="29" t="e">
        <f t="shared" si="145"/>
        <v>#REF!</v>
      </c>
      <c r="IQP247" s="29" t="e">
        <f t="shared" si="145"/>
        <v>#REF!</v>
      </c>
      <c r="IQQ247" s="29" t="e">
        <f t="shared" si="145"/>
        <v>#REF!</v>
      </c>
      <c r="IQR247" s="29" t="e">
        <f t="shared" si="145"/>
        <v>#REF!</v>
      </c>
      <c r="IQS247" s="29" t="e">
        <f t="shared" ref="IQS247:ITD247" si="146">IQW247&amp;IQX247</f>
        <v>#REF!</v>
      </c>
      <c r="IQT247" s="29" t="e">
        <f t="shared" si="146"/>
        <v>#REF!</v>
      </c>
      <c r="IQU247" s="29" t="e">
        <f t="shared" si="146"/>
        <v>#REF!</v>
      </c>
      <c r="IQV247" s="29" t="e">
        <f t="shared" si="146"/>
        <v>#REF!</v>
      </c>
      <c r="IQW247" s="29" t="e">
        <f t="shared" si="146"/>
        <v>#REF!</v>
      </c>
      <c r="IQX247" s="29" t="e">
        <f t="shared" si="146"/>
        <v>#REF!</v>
      </c>
      <c r="IQY247" s="29" t="e">
        <f t="shared" si="146"/>
        <v>#REF!</v>
      </c>
      <c r="IQZ247" s="29" t="e">
        <f t="shared" si="146"/>
        <v>#REF!</v>
      </c>
      <c r="IRA247" s="29" t="e">
        <f t="shared" si="146"/>
        <v>#REF!</v>
      </c>
      <c r="IRB247" s="29" t="e">
        <f t="shared" si="146"/>
        <v>#REF!</v>
      </c>
      <c r="IRC247" s="29" t="e">
        <f t="shared" si="146"/>
        <v>#REF!</v>
      </c>
      <c r="IRD247" s="29" t="e">
        <f t="shared" si="146"/>
        <v>#REF!</v>
      </c>
      <c r="IRE247" s="29" t="e">
        <f t="shared" si="146"/>
        <v>#REF!</v>
      </c>
      <c r="IRF247" s="29" t="e">
        <f t="shared" si="146"/>
        <v>#REF!</v>
      </c>
      <c r="IRG247" s="29" t="e">
        <f t="shared" si="146"/>
        <v>#REF!</v>
      </c>
      <c r="IRH247" s="29" t="e">
        <f t="shared" si="146"/>
        <v>#REF!</v>
      </c>
      <c r="IRI247" s="29" t="e">
        <f t="shared" si="146"/>
        <v>#REF!</v>
      </c>
      <c r="IRJ247" s="29" t="e">
        <f t="shared" si="146"/>
        <v>#REF!</v>
      </c>
      <c r="IRK247" s="29" t="e">
        <f t="shared" si="146"/>
        <v>#REF!</v>
      </c>
      <c r="IRL247" s="29" t="e">
        <f t="shared" si="146"/>
        <v>#REF!</v>
      </c>
      <c r="IRM247" s="29" t="e">
        <f t="shared" si="146"/>
        <v>#REF!</v>
      </c>
      <c r="IRN247" s="29" t="e">
        <f t="shared" si="146"/>
        <v>#REF!</v>
      </c>
      <c r="IRO247" s="29" t="e">
        <f t="shared" si="146"/>
        <v>#REF!</v>
      </c>
      <c r="IRP247" s="29" t="e">
        <f t="shared" si="146"/>
        <v>#REF!</v>
      </c>
      <c r="IRQ247" s="29" t="e">
        <f t="shared" si="146"/>
        <v>#REF!</v>
      </c>
      <c r="IRR247" s="29" t="e">
        <f t="shared" si="146"/>
        <v>#REF!</v>
      </c>
      <c r="IRS247" s="29" t="e">
        <f t="shared" si="146"/>
        <v>#REF!</v>
      </c>
      <c r="IRT247" s="29" t="e">
        <f t="shared" si="146"/>
        <v>#REF!</v>
      </c>
      <c r="IRU247" s="29" t="e">
        <f t="shared" si="146"/>
        <v>#REF!</v>
      </c>
      <c r="IRV247" s="29" t="e">
        <f t="shared" si="146"/>
        <v>#REF!</v>
      </c>
      <c r="IRW247" s="29" t="e">
        <f t="shared" si="146"/>
        <v>#REF!</v>
      </c>
      <c r="IRX247" s="29" t="e">
        <f t="shared" si="146"/>
        <v>#REF!</v>
      </c>
      <c r="IRY247" s="29" t="e">
        <f t="shared" si="146"/>
        <v>#REF!</v>
      </c>
      <c r="IRZ247" s="29" t="e">
        <f t="shared" si="146"/>
        <v>#REF!</v>
      </c>
      <c r="ISA247" s="29" t="e">
        <f t="shared" si="146"/>
        <v>#REF!</v>
      </c>
      <c r="ISB247" s="29" t="e">
        <f t="shared" si="146"/>
        <v>#REF!</v>
      </c>
      <c r="ISC247" s="29" t="e">
        <f t="shared" si="146"/>
        <v>#REF!</v>
      </c>
      <c r="ISD247" s="29" t="e">
        <f t="shared" si="146"/>
        <v>#REF!</v>
      </c>
      <c r="ISE247" s="29" t="e">
        <f t="shared" si="146"/>
        <v>#REF!</v>
      </c>
      <c r="ISF247" s="29" t="e">
        <f t="shared" si="146"/>
        <v>#REF!</v>
      </c>
      <c r="ISG247" s="29" t="e">
        <f t="shared" si="146"/>
        <v>#REF!</v>
      </c>
      <c r="ISH247" s="29" t="e">
        <f t="shared" si="146"/>
        <v>#REF!</v>
      </c>
      <c r="ISI247" s="29" t="e">
        <f t="shared" si="146"/>
        <v>#REF!</v>
      </c>
      <c r="ISJ247" s="29" t="e">
        <f t="shared" si="146"/>
        <v>#REF!</v>
      </c>
      <c r="ISK247" s="29" t="e">
        <f t="shared" si="146"/>
        <v>#REF!</v>
      </c>
      <c r="ISL247" s="29" t="e">
        <f t="shared" si="146"/>
        <v>#REF!</v>
      </c>
      <c r="ISM247" s="29" t="e">
        <f t="shared" si="146"/>
        <v>#REF!</v>
      </c>
      <c r="ISN247" s="29" t="e">
        <f t="shared" si="146"/>
        <v>#REF!</v>
      </c>
      <c r="ISO247" s="29" t="e">
        <f t="shared" si="146"/>
        <v>#REF!</v>
      </c>
      <c r="ISP247" s="29" t="e">
        <f t="shared" si="146"/>
        <v>#REF!</v>
      </c>
      <c r="ISQ247" s="29" t="e">
        <f t="shared" si="146"/>
        <v>#REF!</v>
      </c>
      <c r="ISR247" s="29" t="e">
        <f t="shared" si="146"/>
        <v>#REF!</v>
      </c>
      <c r="ISS247" s="29" t="e">
        <f t="shared" si="146"/>
        <v>#REF!</v>
      </c>
      <c r="IST247" s="29" t="e">
        <f t="shared" si="146"/>
        <v>#REF!</v>
      </c>
      <c r="ISU247" s="29" t="e">
        <f t="shared" si="146"/>
        <v>#REF!</v>
      </c>
      <c r="ISV247" s="29" t="e">
        <f t="shared" si="146"/>
        <v>#REF!</v>
      </c>
      <c r="ISW247" s="29" t="e">
        <f t="shared" si="146"/>
        <v>#REF!</v>
      </c>
      <c r="ISX247" s="29" t="e">
        <f t="shared" si="146"/>
        <v>#REF!</v>
      </c>
      <c r="ISY247" s="29" t="e">
        <f t="shared" si="146"/>
        <v>#REF!</v>
      </c>
      <c r="ISZ247" s="29" t="e">
        <f t="shared" si="146"/>
        <v>#REF!</v>
      </c>
      <c r="ITA247" s="29" t="e">
        <f t="shared" si="146"/>
        <v>#REF!</v>
      </c>
      <c r="ITB247" s="29" t="e">
        <f t="shared" si="146"/>
        <v>#REF!</v>
      </c>
      <c r="ITC247" s="29" t="e">
        <f t="shared" si="146"/>
        <v>#REF!</v>
      </c>
      <c r="ITD247" s="29" t="e">
        <f t="shared" si="146"/>
        <v>#REF!</v>
      </c>
      <c r="ITE247" s="29" t="e">
        <f t="shared" ref="ITE247:IVP247" si="147">ITI247&amp;ITJ247</f>
        <v>#REF!</v>
      </c>
      <c r="ITF247" s="29" t="e">
        <f t="shared" si="147"/>
        <v>#REF!</v>
      </c>
      <c r="ITG247" s="29" t="e">
        <f t="shared" si="147"/>
        <v>#REF!</v>
      </c>
      <c r="ITH247" s="29" t="e">
        <f t="shared" si="147"/>
        <v>#REF!</v>
      </c>
      <c r="ITI247" s="29" t="e">
        <f t="shared" si="147"/>
        <v>#REF!</v>
      </c>
      <c r="ITJ247" s="29" t="e">
        <f t="shared" si="147"/>
        <v>#REF!</v>
      </c>
      <c r="ITK247" s="29" t="e">
        <f t="shared" si="147"/>
        <v>#REF!</v>
      </c>
      <c r="ITL247" s="29" t="e">
        <f t="shared" si="147"/>
        <v>#REF!</v>
      </c>
      <c r="ITM247" s="29" t="e">
        <f t="shared" si="147"/>
        <v>#REF!</v>
      </c>
      <c r="ITN247" s="29" t="e">
        <f t="shared" si="147"/>
        <v>#REF!</v>
      </c>
      <c r="ITO247" s="29" t="e">
        <f t="shared" si="147"/>
        <v>#REF!</v>
      </c>
      <c r="ITP247" s="29" t="e">
        <f t="shared" si="147"/>
        <v>#REF!</v>
      </c>
      <c r="ITQ247" s="29" t="e">
        <f t="shared" si="147"/>
        <v>#REF!</v>
      </c>
      <c r="ITR247" s="29" t="e">
        <f t="shared" si="147"/>
        <v>#REF!</v>
      </c>
      <c r="ITS247" s="29" t="e">
        <f t="shared" si="147"/>
        <v>#REF!</v>
      </c>
      <c r="ITT247" s="29" t="e">
        <f t="shared" si="147"/>
        <v>#REF!</v>
      </c>
      <c r="ITU247" s="29" t="e">
        <f t="shared" si="147"/>
        <v>#REF!</v>
      </c>
      <c r="ITV247" s="29" t="e">
        <f t="shared" si="147"/>
        <v>#REF!</v>
      </c>
      <c r="ITW247" s="29" t="e">
        <f t="shared" si="147"/>
        <v>#REF!</v>
      </c>
      <c r="ITX247" s="29" t="e">
        <f t="shared" si="147"/>
        <v>#REF!</v>
      </c>
      <c r="ITY247" s="29" t="e">
        <f t="shared" si="147"/>
        <v>#REF!</v>
      </c>
      <c r="ITZ247" s="29" t="e">
        <f t="shared" si="147"/>
        <v>#REF!</v>
      </c>
      <c r="IUA247" s="29" t="e">
        <f t="shared" si="147"/>
        <v>#REF!</v>
      </c>
      <c r="IUB247" s="29" t="e">
        <f t="shared" si="147"/>
        <v>#REF!</v>
      </c>
      <c r="IUC247" s="29" t="e">
        <f t="shared" si="147"/>
        <v>#REF!</v>
      </c>
      <c r="IUD247" s="29" t="e">
        <f t="shared" si="147"/>
        <v>#REF!</v>
      </c>
      <c r="IUE247" s="29" t="e">
        <f t="shared" si="147"/>
        <v>#REF!</v>
      </c>
      <c r="IUF247" s="29" t="e">
        <f t="shared" si="147"/>
        <v>#REF!</v>
      </c>
      <c r="IUG247" s="29" t="e">
        <f t="shared" si="147"/>
        <v>#REF!</v>
      </c>
      <c r="IUH247" s="29" t="e">
        <f t="shared" si="147"/>
        <v>#REF!</v>
      </c>
      <c r="IUI247" s="29" t="e">
        <f t="shared" si="147"/>
        <v>#REF!</v>
      </c>
      <c r="IUJ247" s="29" t="e">
        <f t="shared" si="147"/>
        <v>#REF!</v>
      </c>
      <c r="IUK247" s="29" t="e">
        <f t="shared" si="147"/>
        <v>#REF!</v>
      </c>
      <c r="IUL247" s="29" t="e">
        <f t="shared" si="147"/>
        <v>#REF!</v>
      </c>
      <c r="IUM247" s="29" t="e">
        <f t="shared" si="147"/>
        <v>#REF!</v>
      </c>
      <c r="IUN247" s="29" t="e">
        <f t="shared" si="147"/>
        <v>#REF!</v>
      </c>
      <c r="IUO247" s="29" t="e">
        <f t="shared" si="147"/>
        <v>#REF!</v>
      </c>
      <c r="IUP247" s="29" t="e">
        <f t="shared" si="147"/>
        <v>#REF!</v>
      </c>
      <c r="IUQ247" s="29" t="e">
        <f t="shared" si="147"/>
        <v>#REF!</v>
      </c>
      <c r="IUR247" s="29" t="e">
        <f t="shared" si="147"/>
        <v>#REF!</v>
      </c>
      <c r="IUS247" s="29" t="e">
        <f t="shared" si="147"/>
        <v>#REF!</v>
      </c>
      <c r="IUT247" s="29" t="e">
        <f t="shared" si="147"/>
        <v>#REF!</v>
      </c>
      <c r="IUU247" s="29" t="e">
        <f t="shared" si="147"/>
        <v>#REF!</v>
      </c>
      <c r="IUV247" s="29" t="e">
        <f t="shared" si="147"/>
        <v>#REF!</v>
      </c>
      <c r="IUW247" s="29" t="e">
        <f t="shared" si="147"/>
        <v>#REF!</v>
      </c>
      <c r="IUX247" s="29" t="e">
        <f t="shared" si="147"/>
        <v>#REF!</v>
      </c>
      <c r="IUY247" s="29" t="e">
        <f t="shared" si="147"/>
        <v>#REF!</v>
      </c>
      <c r="IUZ247" s="29" t="e">
        <f t="shared" si="147"/>
        <v>#REF!</v>
      </c>
      <c r="IVA247" s="29" t="e">
        <f t="shared" si="147"/>
        <v>#REF!</v>
      </c>
      <c r="IVB247" s="29" t="e">
        <f t="shared" si="147"/>
        <v>#REF!</v>
      </c>
      <c r="IVC247" s="29" t="e">
        <f t="shared" si="147"/>
        <v>#REF!</v>
      </c>
      <c r="IVD247" s="29" t="e">
        <f t="shared" si="147"/>
        <v>#REF!</v>
      </c>
      <c r="IVE247" s="29" t="e">
        <f t="shared" si="147"/>
        <v>#REF!</v>
      </c>
      <c r="IVF247" s="29" t="e">
        <f t="shared" si="147"/>
        <v>#REF!</v>
      </c>
      <c r="IVG247" s="29" t="e">
        <f t="shared" si="147"/>
        <v>#REF!</v>
      </c>
      <c r="IVH247" s="29" t="e">
        <f t="shared" si="147"/>
        <v>#REF!</v>
      </c>
      <c r="IVI247" s="29" t="e">
        <f t="shared" si="147"/>
        <v>#REF!</v>
      </c>
      <c r="IVJ247" s="29" t="e">
        <f t="shared" si="147"/>
        <v>#REF!</v>
      </c>
      <c r="IVK247" s="29" t="e">
        <f t="shared" si="147"/>
        <v>#REF!</v>
      </c>
      <c r="IVL247" s="29" t="e">
        <f t="shared" si="147"/>
        <v>#REF!</v>
      </c>
      <c r="IVM247" s="29" t="e">
        <f t="shared" si="147"/>
        <v>#REF!</v>
      </c>
      <c r="IVN247" s="29" t="e">
        <f t="shared" si="147"/>
        <v>#REF!</v>
      </c>
      <c r="IVO247" s="29" t="e">
        <f t="shared" si="147"/>
        <v>#REF!</v>
      </c>
      <c r="IVP247" s="29" t="e">
        <f t="shared" si="147"/>
        <v>#REF!</v>
      </c>
      <c r="IVQ247" s="29" t="e">
        <f t="shared" ref="IVQ247:IYB247" si="148">IVU247&amp;IVV247</f>
        <v>#REF!</v>
      </c>
      <c r="IVR247" s="29" t="e">
        <f t="shared" si="148"/>
        <v>#REF!</v>
      </c>
      <c r="IVS247" s="29" t="e">
        <f t="shared" si="148"/>
        <v>#REF!</v>
      </c>
      <c r="IVT247" s="29" t="e">
        <f t="shared" si="148"/>
        <v>#REF!</v>
      </c>
      <c r="IVU247" s="29" t="e">
        <f t="shared" si="148"/>
        <v>#REF!</v>
      </c>
      <c r="IVV247" s="29" t="e">
        <f t="shared" si="148"/>
        <v>#REF!</v>
      </c>
      <c r="IVW247" s="29" t="e">
        <f t="shared" si="148"/>
        <v>#REF!</v>
      </c>
      <c r="IVX247" s="29" t="e">
        <f t="shared" si="148"/>
        <v>#REF!</v>
      </c>
      <c r="IVY247" s="29" t="e">
        <f t="shared" si="148"/>
        <v>#REF!</v>
      </c>
      <c r="IVZ247" s="29" t="e">
        <f t="shared" si="148"/>
        <v>#REF!</v>
      </c>
      <c r="IWA247" s="29" t="e">
        <f t="shared" si="148"/>
        <v>#REF!</v>
      </c>
      <c r="IWB247" s="29" t="e">
        <f t="shared" si="148"/>
        <v>#REF!</v>
      </c>
      <c r="IWC247" s="29" t="e">
        <f t="shared" si="148"/>
        <v>#REF!</v>
      </c>
      <c r="IWD247" s="29" t="e">
        <f t="shared" si="148"/>
        <v>#REF!</v>
      </c>
      <c r="IWE247" s="29" t="e">
        <f t="shared" si="148"/>
        <v>#REF!</v>
      </c>
      <c r="IWF247" s="29" t="e">
        <f t="shared" si="148"/>
        <v>#REF!</v>
      </c>
      <c r="IWG247" s="29" t="e">
        <f t="shared" si="148"/>
        <v>#REF!</v>
      </c>
      <c r="IWH247" s="29" t="e">
        <f t="shared" si="148"/>
        <v>#REF!</v>
      </c>
      <c r="IWI247" s="29" t="e">
        <f t="shared" si="148"/>
        <v>#REF!</v>
      </c>
      <c r="IWJ247" s="29" t="e">
        <f t="shared" si="148"/>
        <v>#REF!</v>
      </c>
      <c r="IWK247" s="29" t="e">
        <f t="shared" si="148"/>
        <v>#REF!</v>
      </c>
      <c r="IWL247" s="29" t="e">
        <f t="shared" si="148"/>
        <v>#REF!</v>
      </c>
      <c r="IWM247" s="29" t="e">
        <f t="shared" si="148"/>
        <v>#REF!</v>
      </c>
      <c r="IWN247" s="29" t="e">
        <f t="shared" si="148"/>
        <v>#REF!</v>
      </c>
      <c r="IWO247" s="29" t="e">
        <f t="shared" si="148"/>
        <v>#REF!</v>
      </c>
      <c r="IWP247" s="29" t="e">
        <f t="shared" si="148"/>
        <v>#REF!</v>
      </c>
      <c r="IWQ247" s="29" t="e">
        <f t="shared" si="148"/>
        <v>#REF!</v>
      </c>
      <c r="IWR247" s="29" t="e">
        <f t="shared" si="148"/>
        <v>#REF!</v>
      </c>
      <c r="IWS247" s="29" t="e">
        <f t="shared" si="148"/>
        <v>#REF!</v>
      </c>
      <c r="IWT247" s="29" t="e">
        <f t="shared" si="148"/>
        <v>#REF!</v>
      </c>
      <c r="IWU247" s="29" t="e">
        <f t="shared" si="148"/>
        <v>#REF!</v>
      </c>
      <c r="IWV247" s="29" t="e">
        <f t="shared" si="148"/>
        <v>#REF!</v>
      </c>
      <c r="IWW247" s="29" t="e">
        <f t="shared" si="148"/>
        <v>#REF!</v>
      </c>
      <c r="IWX247" s="29" t="e">
        <f t="shared" si="148"/>
        <v>#REF!</v>
      </c>
      <c r="IWY247" s="29" t="e">
        <f t="shared" si="148"/>
        <v>#REF!</v>
      </c>
      <c r="IWZ247" s="29" t="e">
        <f t="shared" si="148"/>
        <v>#REF!</v>
      </c>
      <c r="IXA247" s="29" t="e">
        <f t="shared" si="148"/>
        <v>#REF!</v>
      </c>
      <c r="IXB247" s="29" t="e">
        <f t="shared" si="148"/>
        <v>#REF!</v>
      </c>
      <c r="IXC247" s="29" t="e">
        <f t="shared" si="148"/>
        <v>#REF!</v>
      </c>
      <c r="IXD247" s="29" t="e">
        <f t="shared" si="148"/>
        <v>#REF!</v>
      </c>
      <c r="IXE247" s="29" t="e">
        <f t="shared" si="148"/>
        <v>#REF!</v>
      </c>
      <c r="IXF247" s="29" t="e">
        <f t="shared" si="148"/>
        <v>#REF!</v>
      </c>
      <c r="IXG247" s="29" t="e">
        <f t="shared" si="148"/>
        <v>#REF!</v>
      </c>
      <c r="IXH247" s="29" t="e">
        <f t="shared" si="148"/>
        <v>#REF!</v>
      </c>
      <c r="IXI247" s="29" t="e">
        <f t="shared" si="148"/>
        <v>#REF!</v>
      </c>
      <c r="IXJ247" s="29" t="e">
        <f t="shared" si="148"/>
        <v>#REF!</v>
      </c>
      <c r="IXK247" s="29" t="e">
        <f t="shared" si="148"/>
        <v>#REF!</v>
      </c>
      <c r="IXL247" s="29" t="e">
        <f t="shared" si="148"/>
        <v>#REF!</v>
      </c>
      <c r="IXM247" s="29" t="e">
        <f t="shared" si="148"/>
        <v>#REF!</v>
      </c>
      <c r="IXN247" s="29" t="e">
        <f t="shared" si="148"/>
        <v>#REF!</v>
      </c>
      <c r="IXO247" s="29" t="e">
        <f t="shared" si="148"/>
        <v>#REF!</v>
      </c>
      <c r="IXP247" s="29" t="e">
        <f t="shared" si="148"/>
        <v>#REF!</v>
      </c>
      <c r="IXQ247" s="29" t="e">
        <f t="shared" si="148"/>
        <v>#REF!</v>
      </c>
      <c r="IXR247" s="29" t="e">
        <f t="shared" si="148"/>
        <v>#REF!</v>
      </c>
      <c r="IXS247" s="29" t="e">
        <f t="shared" si="148"/>
        <v>#REF!</v>
      </c>
      <c r="IXT247" s="29" t="e">
        <f t="shared" si="148"/>
        <v>#REF!</v>
      </c>
      <c r="IXU247" s="29" t="e">
        <f t="shared" si="148"/>
        <v>#REF!</v>
      </c>
      <c r="IXV247" s="29" t="e">
        <f t="shared" si="148"/>
        <v>#REF!</v>
      </c>
      <c r="IXW247" s="29" t="e">
        <f t="shared" si="148"/>
        <v>#REF!</v>
      </c>
      <c r="IXX247" s="29" t="e">
        <f t="shared" si="148"/>
        <v>#REF!</v>
      </c>
      <c r="IXY247" s="29" t="e">
        <f t="shared" si="148"/>
        <v>#REF!</v>
      </c>
      <c r="IXZ247" s="29" t="e">
        <f t="shared" si="148"/>
        <v>#REF!</v>
      </c>
      <c r="IYA247" s="29" t="e">
        <f t="shared" si="148"/>
        <v>#REF!</v>
      </c>
      <c r="IYB247" s="29" t="e">
        <f t="shared" si="148"/>
        <v>#REF!</v>
      </c>
      <c r="IYC247" s="29" t="e">
        <f t="shared" ref="IYC247:JAN247" si="149">IYG247&amp;IYH247</f>
        <v>#REF!</v>
      </c>
      <c r="IYD247" s="29" t="e">
        <f t="shared" si="149"/>
        <v>#REF!</v>
      </c>
      <c r="IYE247" s="29" t="e">
        <f t="shared" si="149"/>
        <v>#REF!</v>
      </c>
      <c r="IYF247" s="29" t="e">
        <f t="shared" si="149"/>
        <v>#REF!</v>
      </c>
      <c r="IYG247" s="29" t="e">
        <f t="shared" si="149"/>
        <v>#REF!</v>
      </c>
      <c r="IYH247" s="29" t="e">
        <f t="shared" si="149"/>
        <v>#REF!</v>
      </c>
      <c r="IYI247" s="29" t="e">
        <f t="shared" si="149"/>
        <v>#REF!</v>
      </c>
      <c r="IYJ247" s="29" t="e">
        <f t="shared" si="149"/>
        <v>#REF!</v>
      </c>
      <c r="IYK247" s="29" t="e">
        <f t="shared" si="149"/>
        <v>#REF!</v>
      </c>
      <c r="IYL247" s="29" t="e">
        <f t="shared" si="149"/>
        <v>#REF!</v>
      </c>
      <c r="IYM247" s="29" t="e">
        <f t="shared" si="149"/>
        <v>#REF!</v>
      </c>
      <c r="IYN247" s="29" t="e">
        <f t="shared" si="149"/>
        <v>#REF!</v>
      </c>
      <c r="IYO247" s="29" t="e">
        <f t="shared" si="149"/>
        <v>#REF!</v>
      </c>
      <c r="IYP247" s="29" t="e">
        <f t="shared" si="149"/>
        <v>#REF!</v>
      </c>
      <c r="IYQ247" s="29" t="e">
        <f t="shared" si="149"/>
        <v>#REF!</v>
      </c>
      <c r="IYR247" s="29" t="e">
        <f t="shared" si="149"/>
        <v>#REF!</v>
      </c>
      <c r="IYS247" s="29" t="e">
        <f t="shared" si="149"/>
        <v>#REF!</v>
      </c>
      <c r="IYT247" s="29" t="e">
        <f t="shared" si="149"/>
        <v>#REF!</v>
      </c>
      <c r="IYU247" s="29" t="e">
        <f t="shared" si="149"/>
        <v>#REF!</v>
      </c>
      <c r="IYV247" s="29" t="e">
        <f t="shared" si="149"/>
        <v>#REF!</v>
      </c>
      <c r="IYW247" s="29" t="e">
        <f t="shared" si="149"/>
        <v>#REF!</v>
      </c>
      <c r="IYX247" s="29" t="e">
        <f t="shared" si="149"/>
        <v>#REF!</v>
      </c>
      <c r="IYY247" s="29" t="e">
        <f t="shared" si="149"/>
        <v>#REF!</v>
      </c>
      <c r="IYZ247" s="29" t="e">
        <f t="shared" si="149"/>
        <v>#REF!</v>
      </c>
      <c r="IZA247" s="29" t="e">
        <f t="shared" si="149"/>
        <v>#REF!</v>
      </c>
      <c r="IZB247" s="29" t="e">
        <f t="shared" si="149"/>
        <v>#REF!</v>
      </c>
      <c r="IZC247" s="29" t="e">
        <f t="shared" si="149"/>
        <v>#REF!</v>
      </c>
      <c r="IZD247" s="29" t="e">
        <f t="shared" si="149"/>
        <v>#REF!</v>
      </c>
      <c r="IZE247" s="29" t="e">
        <f t="shared" si="149"/>
        <v>#REF!</v>
      </c>
      <c r="IZF247" s="29" t="e">
        <f t="shared" si="149"/>
        <v>#REF!</v>
      </c>
      <c r="IZG247" s="29" t="e">
        <f t="shared" si="149"/>
        <v>#REF!</v>
      </c>
      <c r="IZH247" s="29" t="e">
        <f t="shared" si="149"/>
        <v>#REF!</v>
      </c>
      <c r="IZI247" s="29" t="e">
        <f t="shared" si="149"/>
        <v>#REF!</v>
      </c>
      <c r="IZJ247" s="29" t="e">
        <f t="shared" si="149"/>
        <v>#REF!</v>
      </c>
      <c r="IZK247" s="29" t="e">
        <f t="shared" si="149"/>
        <v>#REF!</v>
      </c>
      <c r="IZL247" s="29" t="e">
        <f t="shared" si="149"/>
        <v>#REF!</v>
      </c>
      <c r="IZM247" s="29" t="e">
        <f t="shared" si="149"/>
        <v>#REF!</v>
      </c>
      <c r="IZN247" s="29" t="e">
        <f t="shared" si="149"/>
        <v>#REF!</v>
      </c>
      <c r="IZO247" s="29" t="e">
        <f t="shared" si="149"/>
        <v>#REF!</v>
      </c>
      <c r="IZP247" s="29" t="e">
        <f t="shared" si="149"/>
        <v>#REF!</v>
      </c>
      <c r="IZQ247" s="29" t="e">
        <f t="shared" si="149"/>
        <v>#REF!</v>
      </c>
      <c r="IZR247" s="29" t="e">
        <f t="shared" si="149"/>
        <v>#REF!</v>
      </c>
      <c r="IZS247" s="29" t="e">
        <f t="shared" si="149"/>
        <v>#REF!</v>
      </c>
      <c r="IZT247" s="29" t="e">
        <f t="shared" si="149"/>
        <v>#REF!</v>
      </c>
      <c r="IZU247" s="29" t="e">
        <f t="shared" si="149"/>
        <v>#REF!</v>
      </c>
      <c r="IZV247" s="29" t="e">
        <f t="shared" si="149"/>
        <v>#REF!</v>
      </c>
      <c r="IZW247" s="29" t="e">
        <f t="shared" si="149"/>
        <v>#REF!</v>
      </c>
      <c r="IZX247" s="29" t="e">
        <f t="shared" si="149"/>
        <v>#REF!</v>
      </c>
      <c r="IZY247" s="29" t="e">
        <f t="shared" si="149"/>
        <v>#REF!</v>
      </c>
      <c r="IZZ247" s="29" t="e">
        <f t="shared" si="149"/>
        <v>#REF!</v>
      </c>
      <c r="JAA247" s="29" t="e">
        <f t="shared" si="149"/>
        <v>#REF!</v>
      </c>
      <c r="JAB247" s="29" t="e">
        <f t="shared" si="149"/>
        <v>#REF!</v>
      </c>
      <c r="JAC247" s="29" t="e">
        <f t="shared" si="149"/>
        <v>#REF!</v>
      </c>
      <c r="JAD247" s="29" t="e">
        <f t="shared" si="149"/>
        <v>#REF!</v>
      </c>
      <c r="JAE247" s="29" t="e">
        <f t="shared" si="149"/>
        <v>#REF!</v>
      </c>
      <c r="JAF247" s="29" t="e">
        <f t="shared" si="149"/>
        <v>#REF!</v>
      </c>
      <c r="JAG247" s="29" t="e">
        <f t="shared" si="149"/>
        <v>#REF!</v>
      </c>
      <c r="JAH247" s="29" t="e">
        <f t="shared" si="149"/>
        <v>#REF!</v>
      </c>
      <c r="JAI247" s="29" t="e">
        <f t="shared" si="149"/>
        <v>#REF!</v>
      </c>
      <c r="JAJ247" s="29" t="e">
        <f t="shared" si="149"/>
        <v>#REF!</v>
      </c>
      <c r="JAK247" s="29" t="e">
        <f t="shared" si="149"/>
        <v>#REF!</v>
      </c>
      <c r="JAL247" s="29" t="e">
        <f t="shared" si="149"/>
        <v>#REF!</v>
      </c>
      <c r="JAM247" s="29" t="e">
        <f t="shared" si="149"/>
        <v>#REF!</v>
      </c>
      <c r="JAN247" s="29" t="e">
        <f t="shared" si="149"/>
        <v>#REF!</v>
      </c>
      <c r="JAO247" s="29" t="e">
        <f t="shared" ref="JAO247:JCZ247" si="150">JAS247&amp;JAT247</f>
        <v>#REF!</v>
      </c>
      <c r="JAP247" s="29" t="e">
        <f t="shared" si="150"/>
        <v>#REF!</v>
      </c>
      <c r="JAQ247" s="29" t="e">
        <f t="shared" si="150"/>
        <v>#REF!</v>
      </c>
      <c r="JAR247" s="29" t="e">
        <f t="shared" si="150"/>
        <v>#REF!</v>
      </c>
      <c r="JAS247" s="29" t="e">
        <f t="shared" si="150"/>
        <v>#REF!</v>
      </c>
      <c r="JAT247" s="29" t="e">
        <f t="shared" si="150"/>
        <v>#REF!</v>
      </c>
      <c r="JAU247" s="29" t="e">
        <f t="shared" si="150"/>
        <v>#REF!</v>
      </c>
      <c r="JAV247" s="29" t="e">
        <f t="shared" si="150"/>
        <v>#REF!</v>
      </c>
      <c r="JAW247" s="29" t="e">
        <f t="shared" si="150"/>
        <v>#REF!</v>
      </c>
      <c r="JAX247" s="29" t="e">
        <f t="shared" si="150"/>
        <v>#REF!</v>
      </c>
      <c r="JAY247" s="29" t="e">
        <f t="shared" si="150"/>
        <v>#REF!</v>
      </c>
      <c r="JAZ247" s="29" t="e">
        <f t="shared" si="150"/>
        <v>#REF!</v>
      </c>
      <c r="JBA247" s="29" t="e">
        <f t="shared" si="150"/>
        <v>#REF!</v>
      </c>
      <c r="JBB247" s="29" t="e">
        <f t="shared" si="150"/>
        <v>#REF!</v>
      </c>
      <c r="JBC247" s="29" t="e">
        <f t="shared" si="150"/>
        <v>#REF!</v>
      </c>
      <c r="JBD247" s="29" t="e">
        <f t="shared" si="150"/>
        <v>#REF!</v>
      </c>
      <c r="JBE247" s="29" t="e">
        <f t="shared" si="150"/>
        <v>#REF!</v>
      </c>
      <c r="JBF247" s="29" t="e">
        <f t="shared" si="150"/>
        <v>#REF!</v>
      </c>
      <c r="JBG247" s="29" t="e">
        <f t="shared" si="150"/>
        <v>#REF!</v>
      </c>
      <c r="JBH247" s="29" t="e">
        <f t="shared" si="150"/>
        <v>#REF!</v>
      </c>
      <c r="JBI247" s="29" t="e">
        <f t="shared" si="150"/>
        <v>#REF!</v>
      </c>
      <c r="JBJ247" s="29" t="e">
        <f t="shared" si="150"/>
        <v>#REF!</v>
      </c>
      <c r="JBK247" s="29" t="e">
        <f t="shared" si="150"/>
        <v>#REF!</v>
      </c>
      <c r="JBL247" s="29" t="e">
        <f t="shared" si="150"/>
        <v>#REF!</v>
      </c>
      <c r="JBM247" s="29" t="e">
        <f t="shared" si="150"/>
        <v>#REF!</v>
      </c>
      <c r="JBN247" s="29" t="e">
        <f t="shared" si="150"/>
        <v>#REF!</v>
      </c>
      <c r="JBO247" s="29" t="e">
        <f t="shared" si="150"/>
        <v>#REF!</v>
      </c>
      <c r="JBP247" s="29" t="e">
        <f t="shared" si="150"/>
        <v>#REF!</v>
      </c>
      <c r="JBQ247" s="29" t="e">
        <f t="shared" si="150"/>
        <v>#REF!</v>
      </c>
      <c r="JBR247" s="29" t="e">
        <f t="shared" si="150"/>
        <v>#REF!</v>
      </c>
      <c r="JBS247" s="29" t="e">
        <f t="shared" si="150"/>
        <v>#REF!</v>
      </c>
      <c r="JBT247" s="29" t="e">
        <f t="shared" si="150"/>
        <v>#REF!</v>
      </c>
      <c r="JBU247" s="29" t="e">
        <f t="shared" si="150"/>
        <v>#REF!</v>
      </c>
      <c r="JBV247" s="29" t="e">
        <f t="shared" si="150"/>
        <v>#REF!</v>
      </c>
      <c r="JBW247" s="29" t="e">
        <f t="shared" si="150"/>
        <v>#REF!</v>
      </c>
      <c r="JBX247" s="29" t="e">
        <f t="shared" si="150"/>
        <v>#REF!</v>
      </c>
      <c r="JBY247" s="29" t="e">
        <f t="shared" si="150"/>
        <v>#REF!</v>
      </c>
      <c r="JBZ247" s="29" t="e">
        <f t="shared" si="150"/>
        <v>#REF!</v>
      </c>
      <c r="JCA247" s="29" t="e">
        <f t="shared" si="150"/>
        <v>#REF!</v>
      </c>
      <c r="JCB247" s="29" t="e">
        <f t="shared" si="150"/>
        <v>#REF!</v>
      </c>
      <c r="JCC247" s="29" t="e">
        <f t="shared" si="150"/>
        <v>#REF!</v>
      </c>
      <c r="JCD247" s="29" t="e">
        <f t="shared" si="150"/>
        <v>#REF!</v>
      </c>
      <c r="JCE247" s="29" t="e">
        <f t="shared" si="150"/>
        <v>#REF!</v>
      </c>
      <c r="JCF247" s="29" t="e">
        <f t="shared" si="150"/>
        <v>#REF!</v>
      </c>
      <c r="JCG247" s="29" t="e">
        <f t="shared" si="150"/>
        <v>#REF!</v>
      </c>
      <c r="JCH247" s="29" t="e">
        <f t="shared" si="150"/>
        <v>#REF!</v>
      </c>
      <c r="JCI247" s="29" t="e">
        <f t="shared" si="150"/>
        <v>#REF!</v>
      </c>
      <c r="JCJ247" s="29" t="e">
        <f t="shared" si="150"/>
        <v>#REF!</v>
      </c>
      <c r="JCK247" s="29" t="e">
        <f t="shared" si="150"/>
        <v>#REF!</v>
      </c>
      <c r="JCL247" s="29" t="e">
        <f t="shared" si="150"/>
        <v>#REF!</v>
      </c>
      <c r="JCM247" s="29" t="e">
        <f t="shared" si="150"/>
        <v>#REF!</v>
      </c>
      <c r="JCN247" s="29" t="e">
        <f t="shared" si="150"/>
        <v>#REF!</v>
      </c>
      <c r="JCO247" s="29" t="e">
        <f t="shared" si="150"/>
        <v>#REF!</v>
      </c>
      <c r="JCP247" s="29" t="e">
        <f t="shared" si="150"/>
        <v>#REF!</v>
      </c>
      <c r="JCQ247" s="29" t="e">
        <f t="shared" si="150"/>
        <v>#REF!</v>
      </c>
      <c r="JCR247" s="29" t="e">
        <f t="shared" si="150"/>
        <v>#REF!</v>
      </c>
      <c r="JCS247" s="29" t="e">
        <f t="shared" si="150"/>
        <v>#REF!</v>
      </c>
      <c r="JCT247" s="29" t="e">
        <f t="shared" si="150"/>
        <v>#REF!</v>
      </c>
      <c r="JCU247" s="29" t="e">
        <f t="shared" si="150"/>
        <v>#REF!</v>
      </c>
      <c r="JCV247" s="29" t="e">
        <f t="shared" si="150"/>
        <v>#REF!</v>
      </c>
      <c r="JCW247" s="29" t="e">
        <f t="shared" si="150"/>
        <v>#REF!</v>
      </c>
      <c r="JCX247" s="29" t="e">
        <f t="shared" si="150"/>
        <v>#REF!</v>
      </c>
      <c r="JCY247" s="29" t="e">
        <f t="shared" si="150"/>
        <v>#REF!</v>
      </c>
      <c r="JCZ247" s="29" t="e">
        <f t="shared" si="150"/>
        <v>#REF!</v>
      </c>
      <c r="JDA247" s="29" t="e">
        <f t="shared" ref="JDA247:JFL247" si="151">JDE247&amp;JDF247</f>
        <v>#REF!</v>
      </c>
      <c r="JDB247" s="29" t="e">
        <f t="shared" si="151"/>
        <v>#REF!</v>
      </c>
      <c r="JDC247" s="29" t="e">
        <f t="shared" si="151"/>
        <v>#REF!</v>
      </c>
      <c r="JDD247" s="29" t="e">
        <f t="shared" si="151"/>
        <v>#REF!</v>
      </c>
      <c r="JDE247" s="29" t="e">
        <f t="shared" si="151"/>
        <v>#REF!</v>
      </c>
      <c r="JDF247" s="29" t="e">
        <f t="shared" si="151"/>
        <v>#REF!</v>
      </c>
      <c r="JDG247" s="29" t="e">
        <f t="shared" si="151"/>
        <v>#REF!</v>
      </c>
      <c r="JDH247" s="29" t="e">
        <f t="shared" si="151"/>
        <v>#REF!</v>
      </c>
      <c r="JDI247" s="29" t="e">
        <f t="shared" si="151"/>
        <v>#REF!</v>
      </c>
      <c r="JDJ247" s="29" t="e">
        <f t="shared" si="151"/>
        <v>#REF!</v>
      </c>
      <c r="JDK247" s="29" t="e">
        <f t="shared" si="151"/>
        <v>#REF!</v>
      </c>
      <c r="JDL247" s="29" t="e">
        <f t="shared" si="151"/>
        <v>#REF!</v>
      </c>
      <c r="JDM247" s="29" t="e">
        <f t="shared" si="151"/>
        <v>#REF!</v>
      </c>
      <c r="JDN247" s="29" t="e">
        <f t="shared" si="151"/>
        <v>#REF!</v>
      </c>
      <c r="JDO247" s="29" t="e">
        <f t="shared" si="151"/>
        <v>#REF!</v>
      </c>
      <c r="JDP247" s="29" t="e">
        <f t="shared" si="151"/>
        <v>#REF!</v>
      </c>
      <c r="JDQ247" s="29" t="e">
        <f t="shared" si="151"/>
        <v>#REF!</v>
      </c>
      <c r="JDR247" s="29" t="e">
        <f t="shared" si="151"/>
        <v>#REF!</v>
      </c>
      <c r="JDS247" s="29" t="e">
        <f t="shared" si="151"/>
        <v>#REF!</v>
      </c>
      <c r="JDT247" s="29" t="e">
        <f t="shared" si="151"/>
        <v>#REF!</v>
      </c>
      <c r="JDU247" s="29" t="e">
        <f t="shared" si="151"/>
        <v>#REF!</v>
      </c>
      <c r="JDV247" s="29" t="e">
        <f t="shared" si="151"/>
        <v>#REF!</v>
      </c>
      <c r="JDW247" s="29" t="e">
        <f t="shared" si="151"/>
        <v>#REF!</v>
      </c>
      <c r="JDX247" s="29" t="e">
        <f t="shared" si="151"/>
        <v>#REF!</v>
      </c>
      <c r="JDY247" s="29" t="e">
        <f t="shared" si="151"/>
        <v>#REF!</v>
      </c>
      <c r="JDZ247" s="29" t="e">
        <f t="shared" si="151"/>
        <v>#REF!</v>
      </c>
      <c r="JEA247" s="29" t="e">
        <f t="shared" si="151"/>
        <v>#REF!</v>
      </c>
      <c r="JEB247" s="29" t="e">
        <f t="shared" si="151"/>
        <v>#REF!</v>
      </c>
      <c r="JEC247" s="29" t="e">
        <f t="shared" si="151"/>
        <v>#REF!</v>
      </c>
      <c r="JED247" s="29" t="e">
        <f t="shared" si="151"/>
        <v>#REF!</v>
      </c>
      <c r="JEE247" s="29" t="e">
        <f t="shared" si="151"/>
        <v>#REF!</v>
      </c>
      <c r="JEF247" s="29" t="e">
        <f t="shared" si="151"/>
        <v>#REF!</v>
      </c>
      <c r="JEG247" s="29" t="e">
        <f t="shared" si="151"/>
        <v>#REF!</v>
      </c>
      <c r="JEH247" s="29" t="e">
        <f t="shared" si="151"/>
        <v>#REF!</v>
      </c>
      <c r="JEI247" s="29" t="e">
        <f t="shared" si="151"/>
        <v>#REF!</v>
      </c>
      <c r="JEJ247" s="29" t="e">
        <f t="shared" si="151"/>
        <v>#REF!</v>
      </c>
      <c r="JEK247" s="29" t="e">
        <f t="shared" si="151"/>
        <v>#REF!</v>
      </c>
      <c r="JEL247" s="29" t="e">
        <f t="shared" si="151"/>
        <v>#REF!</v>
      </c>
      <c r="JEM247" s="29" t="e">
        <f t="shared" si="151"/>
        <v>#REF!</v>
      </c>
      <c r="JEN247" s="29" t="e">
        <f t="shared" si="151"/>
        <v>#REF!</v>
      </c>
      <c r="JEO247" s="29" t="e">
        <f t="shared" si="151"/>
        <v>#REF!</v>
      </c>
      <c r="JEP247" s="29" t="e">
        <f t="shared" si="151"/>
        <v>#REF!</v>
      </c>
      <c r="JEQ247" s="29" t="e">
        <f t="shared" si="151"/>
        <v>#REF!</v>
      </c>
      <c r="JER247" s="29" t="e">
        <f t="shared" si="151"/>
        <v>#REF!</v>
      </c>
      <c r="JES247" s="29" t="e">
        <f t="shared" si="151"/>
        <v>#REF!</v>
      </c>
      <c r="JET247" s="29" t="e">
        <f t="shared" si="151"/>
        <v>#REF!</v>
      </c>
      <c r="JEU247" s="29" t="e">
        <f t="shared" si="151"/>
        <v>#REF!</v>
      </c>
      <c r="JEV247" s="29" t="e">
        <f t="shared" si="151"/>
        <v>#REF!</v>
      </c>
      <c r="JEW247" s="29" t="e">
        <f t="shared" si="151"/>
        <v>#REF!</v>
      </c>
      <c r="JEX247" s="29" t="e">
        <f t="shared" si="151"/>
        <v>#REF!</v>
      </c>
      <c r="JEY247" s="29" t="e">
        <f t="shared" si="151"/>
        <v>#REF!</v>
      </c>
      <c r="JEZ247" s="29" t="e">
        <f t="shared" si="151"/>
        <v>#REF!</v>
      </c>
      <c r="JFA247" s="29" t="e">
        <f t="shared" si="151"/>
        <v>#REF!</v>
      </c>
      <c r="JFB247" s="29" t="e">
        <f t="shared" si="151"/>
        <v>#REF!</v>
      </c>
      <c r="JFC247" s="29" t="e">
        <f t="shared" si="151"/>
        <v>#REF!</v>
      </c>
      <c r="JFD247" s="29" t="e">
        <f t="shared" si="151"/>
        <v>#REF!</v>
      </c>
      <c r="JFE247" s="29" t="e">
        <f t="shared" si="151"/>
        <v>#REF!</v>
      </c>
      <c r="JFF247" s="29" t="e">
        <f t="shared" si="151"/>
        <v>#REF!</v>
      </c>
      <c r="JFG247" s="29" t="e">
        <f t="shared" si="151"/>
        <v>#REF!</v>
      </c>
      <c r="JFH247" s="29" t="e">
        <f t="shared" si="151"/>
        <v>#REF!</v>
      </c>
      <c r="JFI247" s="29" t="e">
        <f t="shared" si="151"/>
        <v>#REF!</v>
      </c>
      <c r="JFJ247" s="29" t="e">
        <f t="shared" si="151"/>
        <v>#REF!</v>
      </c>
      <c r="JFK247" s="29" t="e">
        <f t="shared" si="151"/>
        <v>#REF!</v>
      </c>
      <c r="JFL247" s="29" t="e">
        <f t="shared" si="151"/>
        <v>#REF!</v>
      </c>
      <c r="JFM247" s="29" t="e">
        <f t="shared" ref="JFM247:JHX247" si="152">JFQ247&amp;JFR247</f>
        <v>#REF!</v>
      </c>
      <c r="JFN247" s="29" t="e">
        <f t="shared" si="152"/>
        <v>#REF!</v>
      </c>
      <c r="JFO247" s="29" t="e">
        <f t="shared" si="152"/>
        <v>#REF!</v>
      </c>
      <c r="JFP247" s="29" t="e">
        <f t="shared" si="152"/>
        <v>#REF!</v>
      </c>
      <c r="JFQ247" s="29" t="e">
        <f t="shared" si="152"/>
        <v>#REF!</v>
      </c>
      <c r="JFR247" s="29" t="e">
        <f t="shared" si="152"/>
        <v>#REF!</v>
      </c>
      <c r="JFS247" s="29" t="e">
        <f t="shared" si="152"/>
        <v>#REF!</v>
      </c>
      <c r="JFT247" s="29" t="e">
        <f t="shared" si="152"/>
        <v>#REF!</v>
      </c>
      <c r="JFU247" s="29" t="e">
        <f t="shared" si="152"/>
        <v>#REF!</v>
      </c>
      <c r="JFV247" s="29" t="e">
        <f t="shared" si="152"/>
        <v>#REF!</v>
      </c>
      <c r="JFW247" s="29" t="e">
        <f t="shared" si="152"/>
        <v>#REF!</v>
      </c>
      <c r="JFX247" s="29" t="e">
        <f t="shared" si="152"/>
        <v>#REF!</v>
      </c>
      <c r="JFY247" s="29" t="e">
        <f t="shared" si="152"/>
        <v>#REF!</v>
      </c>
      <c r="JFZ247" s="29" t="e">
        <f t="shared" si="152"/>
        <v>#REF!</v>
      </c>
      <c r="JGA247" s="29" t="e">
        <f t="shared" si="152"/>
        <v>#REF!</v>
      </c>
      <c r="JGB247" s="29" t="e">
        <f t="shared" si="152"/>
        <v>#REF!</v>
      </c>
      <c r="JGC247" s="29" t="e">
        <f t="shared" si="152"/>
        <v>#REF!</v>
      </c>
      <c r="JGD247" s="29" t="e">
        <f t="shared" si="152"/>
        <v>#REF!</v>
      </c>
      <c r="JGE247" s="29" t="e">
        <f t="shared" si="152"/>
        <v>#REF!</v>
      </c>
      <c r="JGF247" s="29" t="e">
        <f t="shared" si="152"/>
        <v>#REF!</v>
      </c>
      <c r="JGG247" s="29" t="e">
        <f t="shared" si="152"/>
        <v>#REF!</v>
      </c>
      <c r="JGH247" s="29" t="e">
        <f t="shared" si="152"/>
        <v>#REF!</v>
      </c>
      <c r="JGI247" s="29" t="e">
        <f t="shared" si="152"/>
        <v>#REF!</v>
      </c>
      <c r="JGJ247" s="29" t="e">
        <f t="shared" si="152"/>
        <v>#REF!</v>
      </c>
      <c r="JGK247" s="29" t="e">
        <f t="shared" si="152"/>
        <v>#REF!</v>
      </c>
      <c r="JGL247" s="29" t="e">
        <f t="shared" si="152"/>
        <v>#REF!</v>
      </c>
      <c r="JGM247" s="29" t="e">
        <f t="shared" si="152"/>
        <v>#REF!</v>
      </c>
      <c r="JGN247" s="29" t="e">
        <f t="shared" si="152"/>
        <v>#REF!</v>
      </c>
      <c r="JGO247" s="29" t="e">
        <f t="shared" si="152"/>
        <v>#REF!</v>
      </c>
      <c r="JGP247" s="29" t="e">
        <f t="shared" si="152"/>
        <v>#REF!</v>
      </c>
      <c r="JGQ247" s="29" t="e">
        <f t="shared" si="152"/>
        <v>#REF!</v>
      </c>
      <c r="JGR247" s="29" t="e">
        <f t="shared" si="152"/>
        <v>#REF!</v>
      </c>
      <c r="JGS247" s="29" t="e">
        <f t="shared" si="152"/>
        <v>#REF!</v>
      </c>
      <c r="JGT247" s="29" t="e">
        <f t="shared" si="152"/>
        <v>#REF!</v>
      </c>
      <c r="JGU247" s="29" t="e">
        <f t="shared" si="152"/>
        <v>#REF!</v>
      </c>
      <c r="JGV247" s="29" t="e">
        <f t="shared" si="152"/>
        <v>#REF!</v>
      </c>
      <c r="JGW247" s="29" t="e">
        <f t="shared" si="152"/>
        <v>#REF!</v>
      </c>
      <c r="JGX247" s="29" t="e">
        <f t="shared" si="152"/>
        <v>#REF!</v>
      </c>
      <c r="JGY247" s="29" t="e">
        <f t="shared" si="152"/>
        <v>#REF!</v>
      </c>
      <c r="JGZ247" s="29" t="e">
        <f t="shared" si="152"/>
        <v>#REF!</v>
      </c>
      <c r="JHA247" s="29" t="e">
        <f t="shared" si="152"/>
        <v>#REF!</v>
      </c>
      <c r="JHB247" s="29" t="e">
        <f t="shared" si="152"/>
        <v>#REF!</v>
      </c>
      <c r="JHC247" s="29" t="e">
        <f t="shared" si="152"/>
        <v>#REF!</v>
      </c>
      <c r="JHD247" s="29" t="e">
        <f t="shared" si="152"/>
        <v>#REF!</v>
      </c>
      <c r="JHE247" s="29" t="e">
        <f t="shared" si="152"/>
        <v>#REF!</v>
      </c>
      <c r="JHF247" s="29" t="e">
        <f t="shared" si="152"/>
        <v>#REF!</v>
      </c>
      <c r="JHG247" s="29" t="e">
        <f t="shared" si="152"/>
        <v>#REF!</v>
      </c>
      <c r="JHH247" s="29" t="e">
        <f t="shared" si="152"/>
        <v>#REF!</v>
      </c>
      <c r="JHI247" s="29" t="e">
        <f t="shared" si="152"/>
        <v>#REF!</v>
      </c>
      <c r="JHJ247" s="29" t="e">
        <f t="shared" si="152"/>
        <v>#REF!</v>
      </c>
      <c r="JHK247" s="29" t="e">
        <f t="shared" si="152"/>
        <v>#REF!</v>
      </c>
      <c r="JHL247" s="29" t="e">
        <f t="shared" si="152"/>
        <v>#REF!</v>
      </c>
      <c r="JHM247" s="29" t="e">
        <f t="shared" si="152"/>
        <v>#REF!</v>
      </c>
      <c r="JHN247" s="29" t="e">
        <f t="shared" si="152"/>
        <v>#REF!</v>
      </c>
      <c r="JHO247" s="29" t="e">
        <f t="shared" si="152"/>
        <v>#REF!</v>
      </c>
      <c r="JHP247" s="29" t="e">
        <f t="shared" si="152"/>
        <v>#REF!</v>
      </c>
      <c r="JHQ247" s="29" t="e">
        <f t="shared" si="152"/>
        <v>#REF!</v>
      </c>
      <c r="JHR247" s="29" t="e">
        <f t="shared" si="152"/>
        <v>#REF!</v>
      </c>
      <c r="JHS247" s="29" t="e">
        <f t="shared" si="152"/>
        <v>#REF!</v>
      </c>
      <c r="JHT247" s="29" t="e">
        <f t="shared" si="152"/>
        <v>#REF!</v>
      </c>
      <c r="JHU247" s="29" t="e">
        <f t="shared" si="152"/>
        <v>#REF!</v>
      </c>
      <c r="JHV247" s="29" t="e">
        <f t="shared" si="152"/>
        <v>#REF!</v>
      </c>
      <c r="JHW247" s="29" t="e">
        <f t="shared" si="152"/>
        <v>#REF!</v>
      </c>
      <c r="JHX247" s="29" t="e">
        <f t="shared" si="152"/>
        <v>#REF!</v>
      </c>
      <c r="JHY247" s="29" t="e">
        <f t="shared" ref="JHY247:JKJ247" si="153">JIC247&amp;JID247</f>
        <v>#REF!</v>
      </c>
      <c r="JHZ247" s="29" t="e">
        <f t="shared" si="153"/>
        <v>#REF!</v>
      </c>
      <c r="JIA247" s="29" t="e">
        <f t="shared" si="153"/>
        <v>#REF!</v>
      </c>
      <c r="JIB247" s="29" t="e">
        <f t="shared" si="153"/>
        <v>#REF!</v>
      </c>
      <c r="JIC247" s="29" t="e">
        <f t="shared" si="153"/>
        <v>#REF!</v>
      </c>
      <c r="JID247" s="29" t="e">
        <f t="shared" si="153"/>
        <v>#REF!</v>
      </c>
      <c r="JIE247" s="29" t="e">
        <f t="shared" si="153"/>
        <v>#REF!</v>
      </c>
      <c r="JIF247" s="29" t="e">
        <f t="shared" si="153"/>
        <v>#REF!</v>
      </c>
      <c r="JIG247" s="29" t="e">
        <f t="shared" si="153"/>
        <v>#REF!</v>
      </c>
      <c r="JIH247" s="29" t="e">
        <f t="shared" si="153"/>
        <v>#REF!</v>
      </c>
      <c r="JII247" s="29" t="e">
        <f t="shared" si="153"/>
        <v>#REF!</v>
      </c>
      <c r="JIJ247" s="29" t="e">
        <f t="shared" si="153"/>
        <v>#REF!</v>
      </c>
      <c r="JIK247" s="29" t="e">
        <f t="shared" si="153"/>
        <v>#REF!</v>
      </c>
      <c r="JIL247" s="29" t="e">
        <f t="shared" si="153"/>
        <v>#REF!</v>
      </c>
      <c r="JIM247" s="29" t="e">
        <f t="shared" si="153"/>
        <v>#REF!</v>
      </c>
      <c r="JIN247" s="29" t="e">
        <f t="shared" si="153"/>
        <v>#REF!</v>
      </c>
      <c r="JIO247" s="29" t="e">
        <f t="shared" si="153"/>
        <v>#REF!</v>
      </c>
      <c r="JIP247" s="29" t="e">
        <f t="shared" si="153"/>
        <v>#REF!</v>
      </c>
      <c r="JIQ247" s="29" t="e">
        <f t="shared" si="153"/>
        <v>#REF!</v>
      </c>
      <c r="JIR247" s="29" t="e">
        <f t="shared" si="153"/>
        <v>#REF!</v>
      </c>
      <c r="JIS247" s="29" t="e">
        <f t="shared" si="153"/>
        <v>#REF!</v>
      </c>
      <c r="JIT247" s="29" t="e">
        <f t="shared" si="153"/>
        <v>#REF!</v>
      </c>
      <c r="JIU247" s="29" t="e">
        <f t="shared" si="153"/>
        <v>#REF!</v>
      </c>
      <c r="JIV247" s="29" t="e">
        <f t="shared" si="153"/>
        <v>#REF!</v>
      </c>
      <c r="JIW247" s="29" t="e">
        <f t="shared" si="153"/>
        <v>#REF!</v>
      </c>
      <c r="JIX247" s="29" t="e">
        <f t="shared" si="153"/>
        <v>#REF!</v>
      </c>
      <c r="JIY247" s="29" t="e">
        <f t="shared" si="153"/>
        <v>#REF!</v>
      </c>
      <c r="JIZ247" s="29" t="e">
        <f t="shared" si="153"/>
        <v>#REF!</v>
      </c>
      <c r="JJA247" s="29" t="e">
        <f t="shared" si="153"/>
        <v>#REF!</v>
      </c>
      <c r="JJB247" s="29" t="e">
        <f t="shared" si="153"/>
        <v>#REF!</v>
      </c>
      <c r="JJC247" s="29" t="e">
        <f t="shared" si="153"/>
        <v>#REF!</v>
      </c>
      <c r="JJD247" s="29" t="e">
        <f t="shared" si="153"/>
        <v>#REF!</v>
      </c>
      <c r="JJE247" s="29" t="e">
        <f t="shared" si="153"/>
        <v>#REF!</v>
      </c>
      <c r="JJF247" s="29" t="e">
        <f t="shared" si="153"/>
        <v>#REF!</v>
      </c>
      <c r="JJG247" s="29" t="e">
        <f t="shared" si="153"/>
        <v>#REF!</v>
      </c>
      <c r="JJH247" s="29" t="e">
        <f t="shared" si="153"/>
        <v>#REF!</v>
      </c>
      <c r="JJI247" s="29" t="e">
        <f t="shared" si="153"/>
        <v>#REF!</v>
      </c>
      <c r="JJJ247" s="29" t="e">
        <f t="shared" si="153"/>
        <v>#REF!</v>
      </c>
      <c r="JJK247" s="29" t="e">
        <f t="shared" si="153"/>
        <v>#REF!</v>
      </c>
      <c r="JJL247" s="29" t="e">
        <f t="shared" si="153"/>
        <v>#REF!</v>
      </c>
      <c r="JJM247" s="29" t="e">
        <f t="shared" si="153"/>
        <v>#REF!</v>
      </c>
      <c r="JJN247" s="29" t="e">
        <f t="shared" si="153"/>
        <v>#REF!</v>
      </c>
      <c r="JJO247" s="29" t="e">
        <f t="shared" si="153"/>
        <v>#REF!</v>
      </c>
      <c r="JJP247" s="29" t="e">
        <f t="shared" si="153"/>
        <v>#REF!</v>
      </c>
      <c r="JJQ247" s="29" t="e">
        <f t="shared" si="153"/>
        <v>#REF!</v>
      </c>
      <c r="JJR247" s="29" t="e">
        <f t="shared" si="153"/>
        <v>#REF!</v>
      </c>
      <c r="JJS247" s="29" t="e">
        <f t="shared" si="153"/>
        <v>#REF!</v>
      </c>
      <c r="JJT247" s="29" t="e">
        <f t="shared" si="153"/>
        <v>#REF!</v>
      </c>
      <c r="JJU247" s="29" t="e">
        <f t="shared" si="153"/>
        <v>#REF!</v>
      </c>
      <c r="JJV247" s="29" t="e">
        <f t="shared" si="153"/>
        <v>#REF!</v>
      </c>
      <c r="JJW247" s="29" t="e">
        <f t="shared" si="153"/>
        <v>#REF!</v>
      </c>
      <c r="JJX247" s="29" t="e">
        <f t="shared" si="153"/>
        <v>#REF!</v>
      </c>
      <c r="JJY247" s="29" t="e">
        <f t="shared" si="153"/>
        <v>#REF!</v>
      </c>
      <c r="JJZ247" s="29" t="e">
        <f t="shared" si="153"/>
        <v>#REF!</v>
      </c>
      <c r="JKA247" s="29" t="e">
        <f t="shared" si="153"/>
        <v>#REF!</v>
      </c>
      <c r="JKB247" s="29" t="e">
        <f t="shared" si="153"/>
        <v>#REF!</v>
      </c>
      <c r="JKC247" s="29" t="e">
        <f t="shared" si="153"/>
        <v>#REF!</v>
      </c>
      <c r="JKD247" s="29" t="e">
        <f t="shared" si="153"/>
        <v>#REF!</v>
      </c>
      <c r="JKE247" s="29" t="e">
        <f t="shared" si="153"/>
        <v>#REF!</v>
      </c>
      <c r="JKF247" s="29" t="e">
        <f t="shared" si="153"/>
        <v>#REF!</v>
      </c>
      <c r="JKG247" s="29" t="e">
        <f t="shared" si="153"/>
        <v>#REF!</v>
      </c>
      <c r="JKH247" s="29" t="e">
        <f t="shared" si="153"/>
        <v>#REF!</v>
      </c>
      <c r="JKI247" s="29" t="e">
        <f t="shared" si="153"/>
        <v>#REF!</v>
      </c>
      <c r="JKJ247" s="29" t="e">
        <f t="shared" si="153"/>
        <v>#REF!</v>
      </c>
      <c r="JKK247" s="29" t="e">
        <f t="shared" ref="JKK247:JMV247" si="154">JKO247&amp;JKP247</f>
        <v>#REF!</v>
      </c>
      <c r="JKL247" s="29" t="e">
        <f t="shared" si="154"/>
        <v>#REF!</v>
      </c>
      <c r="JKM247" s="29" t="e">
        <f t="shared" si="154"/>
        <v>#REF!</v>
      </c>
      <c r="JKN247" s="29" t="e">
        <f t="shared" si="154"/>
        <v>#REF!</v>
      </c>
      <c r="JKO247" s="29" t="e">
        <f t="shared" si="154"/>
        <v>#REF!</v>
      </c>
      <c r="JKP247" s="29" t="e">
        <f t="shared" si="154"/>
        <v>#REF!</v>
      </c>
      <c r="JKQ247" s="29" t="e">
        <f t="shared" si="154"/>
        <v>#REF!</v>
      </c>
      <c r="JKR247" s="29" t="e">
        <f t="shared" si="154"/>
        <v>#REF!</v>
      </c>
      <c r="JKS247" s="29" t="e">
        <f t="shared" si="154"/>
        <v>#REF!</v>
      </c>
      <c r="JKT247" s="29" t="e">
        <f t="shared" si="154"/>
        <v>#REF!</v>
      </c>
      <c r="JKU247" s="29" t="e">
        <f t="shared" si="154"/>
        <v>#REF!</v>
      </c>
      <c r="JKV247" s="29" t="e">
        <f t="shared" si="154"/>
        <v>#REF!</v>
      </c>
      <c r="JKW247" s="29" t="e">
        <f t="shared" si="154"/>
        <v>#REF!</v>
      </c>
      <c r="JKX247" s="29" t="e">
        <f t="shared" si="154"/>
        <v>#REF!</v>
      </c>
      <c r="JKY247" s="29" t="e">
        <f t="shared" si="154"/>
        <v>#REF!</v>
      </c>
      <c r="JKZ247" s="29" t="e">
        <f t="shared" si="154"/>
        <v>#REF!</v>
      </c>
      <c r="JLA247" s="29" t="e">
        <f t="shared" si="154"/>
        <v>#REF!</v>
      </c>
      <c r="JLB247" s="29" t="e">
        <f t="shared" si="154"/>
        <v>#REF!</v>
      </c>
      <c r="JLC247" s="29" t="e">
        <f t="shared" si="154"/>
        <v>#REF!</v>
      </c>
      <c r="JLD247" s="29" t="e">
        <f t="shared" si="154"/>
        <v>#REF!</v>
      </c>
      <c r="JLE247" s="29" t="e">
        <f t="shared" si="154"/>
        <v>#REF!</v>
      </c>
      <c r="JLF247" s="29" t="e">
        <f t="shared" si="154"/>
        <v>#REF!</v>
      </c>
      <c r="JLG247" s="29" t="e">
        <f t="shared" si="154"/>
        <v>#REF!</v>
      </c>
      <c r="JLH247" s="29" t="e">
        <f t="shared" si="154"/>
        <v>#REF!</v>
      </c>
      <c r="JLI247" s="29" t="e">
        <f t="shared" si="154"/>
        <v>#REF!</v>
      </c>
      <c r="JLJ247" s="29" t="e">
        <f t="shared" si="154"/>
        <v>#REF!</v>
      </c>
      <c r="JLK247" s="29" t="e">
        <f t="shared" si="154"/>
        <v>#REF!</v>
      </c>
      <c r="JLL247" s="29" t="e">
        <f t="shared" si="154"/>
        <v>#REF!</v>
      </c>
      <c r="JLM247" s="29" t="e">
        <f t="shared" si="154"/>
        <v>#REF!</v>
      </c>
      <c r="JLN247" s="29" t="e">
        <f t="shared" si="154"/>
        <v>#REF!</v>
      </c>
      <c r="JLO247" s="29" t="e">
        <f t="shared" si="154"/>
        <v>#REF!</v>
      </c>
      <c r="JLP247" s="29" t="e">
        <f t="shared" si="154"/>
        <v>#REF!</v>
      </c>
      <c r="JLQ247" s="29" t="e">
        <f t="shared" si="154"/>
        <v>#REF!</v>
      </c>
      <c r="JLR247" s="29" t="e">
        <f t="shared" si="154"/>
        <v>#REF!</v>
      </c>
      <c r="JLS247" s="29" t="e">
        <f t="shared" si="154"/>
        <v>#REF!</v>
      </c>
      <c r="JLT247" s="29" t="e">
        <f t="shared" si="154"/>
        <v>#REF!</v>
      </c>
      <c r="JLU247" s="29" t="e">
        <f t="shared" si="154"/>
        <v>#REF!</v>
      </c>
      <c r="JLV247" s="29" t="e">
        <f t="shared" si="154"/>
        <v>#REF!</v>
      </c>
      <c r="JLW247" s="29" t="e">
        <f t="shared" si="154"/>
        <v>#REF!</v>
      </c>
      <c r="JLX247" s="29" t="e">
        <f t="shared" si="154"/>
        <v>#REF!</v>
      </c>
      <c r="JLY247" s="29" t="e">
        <f t="shared" si="154"/>
        <v>#REF!</v>
      </c>
      <c r="JLZ247" s="29" t="e">
        <f t="shared" si="154"/>
        <v>#REF!</v>
      </c>
      <c r="JMA247" s="29" t="e">
        <f t="shared" si="154"/>
        <v>#REF!</v>
      </c>
      <c r="JMB247" s="29" t="e">
        <f t="shared" si="154"/>
        <v>#REF!</v>
      </c>
      <c r="JMC247" s="29" t="e">
        <f t="shared" si="154"/>
        <v>#REF!</v>
      </c>
      <c r="JMD247" s="29" t="e">
        <f t="shared" si="154"/>
        <v>#REF!</v>
      </c>
      <c r="JME247" s="29" t="e">
        <f t="shared" si="154"/>
        <v>#REF!</v>
      </c>
      <c r="JMF247" s="29" t="e">
        <f t="shared" si="154"/>
        <v>#REF!</v>
      </c>
      <c r="JMG247" s="29" t="e">
        <f t="shared" si="154"/>
        <v>#REF!</v>
      </c>
      <c r="JMH247" s="29" t="e">
        <f t="shared" si="154"/>
        <v>#REF!</v>
      </c>
      <c r="JMI247" s="29" t="e">
        <f t="shared" si="154"/>
        <v>#REF!</v>
      </c>
      <c r="JMJ247" s="29" t="e">
        <f t="shared" si="154"/>
        <v>#REF!</v>
      </c>
      <c r="JMK247" s="29" t="e">
        <f t="shared" si="154"/>
        <v>#REF!</v>
      </c>
      <c r="JML247" s="29" t="e">
        <f t="shared" si="154"/>
        <v>#REF!</v>
      </c>
      <c r="JMM247" s="29" t="e">
        <f t="shared" si="154"/>
        <v>#REF!</v>
      </c>
      <c r="JMN247" s="29" t="e">
        <f t="shared" si="154"/>
        <v>#REF!</v>
      </c>
      <c r="JMO247" s="29" t="e">
        <f t="shared" si="154"/>
        <v>#REF!</v>
      </c>
      <c r="JMP247" s="29" t="e">
        <f t="shared" si="154"/>
        <v>#REF!</v>
      </c>
      <c r="JMQ247" s="29" t="e">
        <f t="shared" si="154"/>
        <v>#REF!</v>
      </c>
      <c r="JMR247" s="29" t="e">
        <f t="shared" si="154"/>
        <v>#REF!</v>
      </c>
      <c r="JMS247" s="29" t="e">
        <f t="shared" si="154"/>
        <v>#REF!</v>
      </c>
      <c r="JMT247" s="29" t="e">
        <f t="shared" si="154"/>
        <v>#REF!</v>
      </c>
      <c r="JMU247" s="29" t="e">
        <f t="shared" si="154"/>
        <v>#REF!</v>
      </c>
      <c r="JMV247" s="29" t="e">
        <f t="shared" si="154"/>
        <v>#REF!</v>
      </c>
      <c r="JMW247" s="29" t="e">
        <f t="shared" ref="JMW247:JPH247" si="155">JNA247&amp;JNB247</f>
        <v>#REF!</v>
      </c>
      <c r="JMX247" s="29" t="e">
        <f t="shared" si="155"/>
        <v>#REF!</v>
      </c>
      <c r="JMY247" s="29" t="e">
        <f t="shared" si="155"/>
        <v>#REF!</v>
      </c>
      <c r="JMZ247" s="29" t="e">
        <f t="shared" si="155"/>
        <v>#REF!</v>
      </c>
      <c r="JNA247" s="29" t="e">
        <f t="shared" si="155"/>
        <v>#REF!</v>
      </c>
      <c r="JNB247" s="29" t="e">
        <f t="shared" si="155"/>
        <v>#REF!</v>
      </c>
      <c r="JNC247" s="29" t="e">
        <f t="shared" si="155"/>
        <v>#REF!</v>
      </c>
      <c r="JND247" s="29" t="e">
        <f t="shared" si="155"/>
        <v>#REF!</v>
      </c>
      <c r="JNE247" s="29" t="e">
        <f t="shared" si="155"/>
        <v>#REF!</v>
      </c>
      <c r="JNF247" s="29" t="e">
        <f t="shared" si="155"/>
        <v>#REF!</v>
      </c>
      <c r="JNG247" s="29" t="e">
        <f t="shared" si="155"/>
        <v>#REF!</v>
      </c>
      <c r="JNH247" s="29" t="e">
        <f t="shared" si="155"/>
        <v>#REF!</v>
      </c>
      <c r="JNI247" s="29" t="e">
        <f t="shared" si="155"/>
        <v>#REF!</v>
      </c>
      <c r="JNJ247" s="29" t="e">
        <f t="shared" si="155"/>
        <v>#REF!</v>
      </c>
      <c r="JNK247" s="29" t="e">
        <f t="shared" si="155"/>
        <v>#REF!</v>
      </c>
      <c r="JNL247" s="29" t="e">
        <f t="shared" si="155"/>
        <v>#REF!</v>
      </c>
      <c r="JNM247" s="29" t="e">
        <f t="shared" si="155"/>
        <v>#REF!</v>
      </c>
      <c r="JNN247" s="29" t="e">
        <f t="shared" si="155"/>
        <v>#REF!</v>
      </c>
      <c r="JNO247" s="29" t="e">
        <f t="shared" si="155"/>
        <v>#REF!</v>
      </c>
      <c r="JNP247" s="29" t="e">
        <f t="shared" si="155"/>
        <v>#REF!</v>
      </c>
      <c r="JNQ247" s="29" t="e">
        <f t="shared" si="155"/>
        <v>#REF!</v>
      </c>
      <c r="JNR247" s="29" t="e">
        <f t="shared" si="155"/>
        <v>#REF!</v>
      </c>
      <c r="JNS247" s="29" t="e">
        <f t="shared" si="155"/>
        <v>#REF!</v>
      </c>
      <c r="JNT247" s="29" t="e">
        <f t="shared" si="155"/>
        <v>#REF!</v>
      </c>
      <c r="JNU247" s="29" t="e">
        <f t="shared" si="155"/>
        <v>#REF!</v>
      </c>
      <c r="JNV247" s="29" t="e">
        <f t="shared" si="155"/>
        <v>#REF!</v>
      </c>
      <c r="JNW247" s="29" t="e">
        <f t="shared" si="155"/>
        <v>#REF!</v>
      </c>
      <c r="JNX247" s="29" t="e">
        <f t="shared" si="155"/>
        <v>#REF!</v>
      </c>
      <c r="JNY247" s="29" t="e">
        <f t="shared" si="155"/>
        <v>#REF!</v>
      </c>
      <c r="JNZ247" s="29" t="e">
        <f t="shared" si="155"/>
        <v>#REF!</v>
      </c>
      <c r="JOA247" s="29" t="e">
        <f t="shared" si="155"/>
        <v>#REF!</v>
      </c>
      <c r="JOB247" s="29" t="e">
        <f t="shared" si="155"/>
        <v>#REF!</v>
      </c>
      <c r="JOC247" s="29" t="e">
        <f t="shared" si="155"/>
        <v>#REF!</v>
      </c>
      <c r="JOD247" s="29" t="e">
        <f t="shared" si="155"/>
        <v>#REF!</v>
      </c>
      <c r="JOE247" s="29" t="e">
        <f t="shared" si="155"/>
        <v>#REF!</v>
      </c>
      <c r="JOF247" s="29" t="e">
        <f t="shared" si="155"/>
        <v>#REF!</v>
      </c>
      <c r="JOG247" s="29" t="e">
        <f t="shared" si="155"/>
        <v>#REF!</v>
      </c>
      <c r="JOH247" s="29" t="e">
        <f t="shared" si="155"/>
        <v>#REF!</v>
      </c>
      <c r="JOI247" s="29" t="e">
        <f t="shared" si="155"/>
        <v>#REF!</v>
      </c>
      <c r="JOJ247" s="29" t="e">
        <f t="shared" si="155"/>
        <v>#REF!</v>
      </c>
      <c r="JOK247" s="29" t="e">
        <f t="shared" si="155"/>
        <v>#REF!</v>
      </c>
      <c r="JOL247" s="29" t="e">
        <f t="shared" si="155"/>
        <v>#REF!</v>
      </c>
      <c r="JOM247" s="29" t="e">
        <f t="shared" si="155"/>
        <v>#REF!</v>
      </c>
      <c r="JON247" s="29" t="e">
        <f t="shared" si="155"/>
        <v>#REF!</v>
      </c>
      <c r="JOO247" s="29" t="e">
        <f t="shared" si="155"/>
        <v>#REF!</v>
      </c>
      <c r="JOP247" s="29" t="e">
        <f t="shared" si="155"/>
        <v>#REF!</v>
      </c>
      <c r="JOQ247" s="29" t="e">
        <f t="shared" si="155"/>
        <v>#REF!</v>
      </c>
      <c r="JOR247" s="29" t="e">
        <f t="shared" si="155"/>
        <v>#REF!</v>
      </c>
      <c r="JOS247" s="29" t="e">
        <f t="shared" si="155"/>
        <v>#REF!</v>
      </c>
      <c r="JOT247" s="29" t="e">
        <f t="shared" si="155"/>
        <v>#REF!</v>
      </c>
      <c r="JOU247" s="29" t="e">
        <f t="shared" si="155"/>
        <v>#REF!</v>
      </c>
      <c r="JOV247" s="29" t="e">
        <f t="shared" si="155"/>
        <v>#REF!</v>
      </c>
      <c r="JOW247" s="29" t="e">
        <f t="shared" si="155"/>
        <v>#REF!</v>
      </c>
      <c r="JOX247" s="29" t="e">
        <f t="shared" si="155"/>
        <v>#REF!</v>
      </c>
      <c r="JOY247" s="29" t="e">
        <f t="shared" si="155"/>
        <v>#REF!</v>
      </c>
      <c r="JOZ247" s="29" t="e">
        <f t="shared" si="155"/>
        <v>#REF!</v>
      </c>
      <c r="JPA247" s="29" t="e">
        <f t="shared" si="155"/>
        <v>#REF!</v>
      </c>
      <c r="JPB247" s="29" t="e">
        <f t="shared" si="155"/>
        <v>#REF!</v>
      </c>
      <c r="JPC247" s="29" t="e">
        <f t="shared" si="155"/>
        <v>#REF!</v>
      </c>
      <c r="JPD247" s="29" t="e">
        <f t="shared" si="155"/>
        <v>#REF!</v>
      </c>
      <c r="JPE247" s="29" t="e">
        <f t="shared" si="155"/>
        <v>#REF!</v>
      </c>
      <c r="JPF247" s="29" t="e">
        <f t="shared" si="155"/>
        <v>#REF!</v>
      </c>
      <c r="JPG247" s="29" t="e">
        <f t="shared" si="155"/>
        <v>#REF!</v>
      </c>
      <c r="JPH247" s="29" t="e">
        <f t="shared" si="155"/>
        <v>#REF!</v>
      </c>
      <c r="JPI247" s="29" t="e">
        <f t="shared" ref="JPI247:JRT247" si="156">JPM247&amp;JPN247</f>
        <v>#REF!</v>
      </c>
      <c r="JPJ247" s="29" t="e">
        <f t="shared" si="156"/>
        <v>#REF!</v>
      </c>
      <c r="JPK247" s="29" t="e">
        <f t="shared" si="156"/>
        <v>#REF!</v>
      </c>
      <c r="JPL247" s="29" t="e">
        <f t="shared" si="156"/>
        <v>#REF!</v>
      </c>
      <c r="JPM247" s="29" t="e">
        <f t="shared" si="156"/>
        <v>#REF!</v>
      </c>
      <c r="JPN247" s="29" t="e">
        <f t="shared" si="156"/>
        <v>#REF!</v>
      </c>
      <c r="JPO247" s="29" t="e">
        <f t="shared" si="156"/>
        <v>#REF!</v>
      </c>
      <c r="JPP247" s="29" t="e">
        <f t="shared" si="156"/>
        <v>#REF!</v>
      </c>
      <c r="JPQ247" s="29" t="e">
        <f t="shared" si="156"/>
        <v>#REF!</v>
      </c>
      <c r="JPR247" s="29" t="e">
        <f t="shared" si="156"/>
        <v>#REF!</v>
      </c>
      <c r="JPS247" s="29" t="e">
        <f t="shared" si="156"/>
        <v>#REF!</v>
      </c>
      <c r="JPT247" s="29" t="e">
        <f t="shared" si="156"/>
        <v>#REF!</v>
      </c>
      <c r="JPU247" s="29" t="e">
        <f t="shared" si="156"/>
        <v>#REF!</v>
      </c>
      <c r="JPV247" s="29" t="e">
        <f t="shared" si="156"/>
        <v>#REF!</v>
      </c>
      <c r="JPW247" s="29" t="e">
        <f t="shared" si="156"/>
        <v>#REF!</v>
      </c>
      <c r="JPX247" s="29" t="e">
        <f t="shared" si="156"/>
        <v>#REF!</v>
      </c>
      <c r="JPY247" s="29" t="e">
        <f t="shared" si="156"/>
        <v>#REF!</v>
      </c>
      <c r="JPZ247" s="29" t="e">
        <f t="shared" si="156"/>
        <v>#REF!</v>
      </c>
      <c r="JQA247" s="29" t="e">
        <f t="shared" si="156"/>
        <v>#REF!</v>
      </c>
      <c r="JQB247" s="29" t="e">
        <f t="shared" si="156"/>
        <v>#REF!</v>
      </c>
      <c r="JQC247" s="29" t="e">
        <f t="shared" si="156"/>
        <v>#REF!</v>
      </c>
      <c r="JQD247" s="29" t="e">
        <f t="shared" si="156"/>
        <v>#REF!</v>
      </c>
      <c r="JQE247" s="29" t="e">
        <f t="shared" si="156"/>
        <v>#REF!</v>
      </c>
      <c r="JQF247" s="29" t="e">
        <f t="shared" si="156"/>
        <v>#REF!</v>
      </c>
      <c r="JQG247" s="29" t="e">
        <f t="shared" si="156"/>
        <v>#REF!</v>
      </c>
      <c r="JQH247" s="29" t="e">
        <f t="shared" si="156"/>
        <v>#REF!</v>
      </c>
      <c r="JQI247" s="29" t="e">
        <f t="shared" si="156"/>
        <v>#REF!</v>
      </c>
      <c r="JQJ247" s="29" t="e">
        <f t="shared" si="156"/>
        <v>#REF!</v>
      </c>
      <c r="JQK247" s="29" t="e">
        <f t="shared" si="156"/>
        <v>#REF!</v>
      </c>
      <c r="JQL247" s="29" t="e">
        <f t="shared" si="156"/>
        <v>#REF!</v>
      </c>
      <c r="JQM247" s="29" t="e">
        <f t="shared" si="156"/>
        <v>#REF!</v>
      </c>
      <c r="JQN247" s="29" t="e">
        <f t="shared" si="156"/>
        <v>#REF!</v>
      </c>
      <c r="JQO247" s="29" t="e">
        <f t="shared" si="156"/>
        <v>#REF!</v>
      </c>
      <c r="JQP247" s="29" t="e">
        <f t="shared" si="156"/>
        <v>#REF!</v>
      </c>
      <c r="JQQ247" s="29" t="e">
        <f t="shared" si="156"/>
        <v>#REF!</v>
      </c>
      <c r="JQR247" s="29" t="e">
        <f t="shared" si="156"/>
        <v>#REF!</v>
      </c>
      <c r="JQS247" s="29" t="e">
        <f t="shared" si="156"/>
        <v>#REF!</v>
      </c>
      <c r="JQT247" s="29" t="e">
        <f t="shared" si="156"/>
        <v>#REF!</v>
      </c>
      <c r="JQU247" s="29" t="e">
        <f t="shared" si="156"/>
        <v>#REF!</v>
      </c>
      <c r="JQV247" s="29" t="e">
        <f t="shared" si="156"/>
        <v>#REF!</v>
      </c>
      <c r="JQW247" s="29" t="e">
        <f t="shared" si="156"/>
        <v>#REF!</v>
      </c>
      <c r="JQX247" s="29" t="e">
        <f t="shared" si="156"/>
        <v>#REF!</v>
      </c>
      <c r="JQY247" s="29" t="e">
        <f t="shared" si="156"/>
        <v>#REF!</v>
      </c>
      <c r="JQZ247" s="29" t="e">
        <f t="shared" si="156"/>
        <v>#REF!</v>
      </c>
      <c r="JRA247" s="29" t="e">
        <f t="shared" si="156"/>
        <v>#REF!</v>
      </c>
      <c r="JRB247" s="29" t="e">
        <f t="shared" si="156"/>
        <v>#REF!</v>
      </c>
      <c r="JRC247" s="29" t="e">
        <f t="shared" si="156"/>
        <v>#REF!</v>
      </c>
      <c r="JRD247" s="29" t="e">
        <f t="shared" si="156"/>
        <v>#REF!</v>
      </c>
      <c r="JRE247" s="29" t="e">
        <f t="shared" si="156"/>
        <v>#REF!</v>
      </c>
      <c r="JRF247" s="29" t="e">
        <f t="shared" si="156"/>
        <v>#REF!</v>
      </c>
      <c r="JRG247" s="29" t="e">
        <f t="shared" si="156"/>
        <v>#REF!</v>
      </c>
      <c r="JRH247" s="29" t="e">
        <f t="shared" si="156"/>
        <v>#REF!</v>
      </c>
      <c r="JRI247" s="29" t="e">
        <f t="shared" si="156"/>
        <v>#REF!</v>
      </c>
      <c r="JRJ247" s="29" t="e">
        <f t="shared" si="156"/>
        <v>#REF!</v>
      </c>
      <c r="JRK247" s="29" t="e">
        <f t="shared" si="156"/>
        <v>#REF!</v>
      </c>
      <c r="JRL247" s="29" t="e">
        <f t="shared" si="156"/>
        <v>#REF!</v>
      </c>
      <c r="JRM247" s="29" t="e">
        <f t="shared" si="156"/>
        <v>#REF!</v>
      </c>
      <c r="JRN247" s="29" t="e">
        <f t="shared" si="156"/>
        <v>#REF!</v>
      </c>
      <c r="JRO247" s="29" t="e">
        <f t="shared" si="156"/>
        <v>#REF!</v>
      </c>
      <c r="JRP247" s="29" t="e">
        <f t="shared" si="156"/>
        <v>#REF!</v>
      </c>
      <c r="JRQ247" s="29" t="e">
        <f t="shared" si="156"/>
        <v>#REF!</v>
      </c>
      <c r="JRR247" s="29" t="e">
        <f t="shared" si="156"/>
        <v>#REF!</v>
      </c>
      <c r="JRS247" s="29" t="e">
        <f t="shared" si="156"/>
        <v>#REF!</v>
      </c>
      <c r="JRT247" s="29" t="e">
        <f t="shared" si="156"/>
        <v>#REF!</v>
      </c>
      <c r="JRU247" s="29" t="e">
        <f t="shared" ref="JRU247:JUF247" si="157">JRY247&amp;JRZ247</f>
        <v>#REF!</v>
      </c>
      <c r="JRV247" s="29" t="e">
        <f t="shared" si="157"/>
        <v>#REF!</v>
      </c>
      <c r="JRW247" s="29" t="e">
        <f t="shared" si="157"/>
        <v>#REF!</v>
      </c>
      <c r="JRX247" s="29" t="e">
        <f t="shared" si="157"/>
        <v>#REF!</v>
      </c>
      <c r="JRY247" s="29" t="e">
        <f t="shared" si="157"/>
        <v>#REF!</v>
      </c>
      <c r="JRZ247" s="29" t="e">
        <f t="shared" si="157"/>
        <v>#REF!</v>
      </c>
      <c r="JSA247" s="29" t="e">
        <f t="shared" si="157"/>
        <v>#REF!</v>
      </c>
      <c r="JSB247" s="29" t="e">
        <f t="shared" si="157"/>
        <v>#REF!</v>
      </c>
      <c r="JSC247" s="29" t="e">
        <f t="shared" si="157"/>
        <v>#REF!</v>
      </c>
      <c r="JSD247" s="29" t="e">
        <f t="shared" si="157"/>
        <v>#REF!</v>
      </c>
      <c r="JSE247" s="29" t="e">
        <f t="shared" si="157"/>
        <v>#REF!</v>
      </c>
      <c r="JSF247" s="29" t="e">
        <f t="shared" si="157"/>
        <v>#REF!</v>
      </c>
      <c r="JSG247" s="29" t="e">
        <f t="shared" si="157"/>
        <v>#REF!</v>
      </c>
      <c r="JSH247" s="29" t="e">
        <f t="shared" si="157"/>
        <v>#REF!</v>
      </c>
      <c r="JSI247" s="29" t="e">
        <f t="shared" si="157"/>
        <v>#REF!</v>
      </c>
      <c r="JSJ247" s="29" t="e">
        <f t="shared" si="157"/>
        <v>#REF!</v>
      </c>
      <c r="JSK247" s="29" t="e">
        <f t="shared" si="157"/>
        <v>#REF!</v>
      </c>
      <c r="JSL247" s="29" t="e">
        <f t="shared" si="157"/>
        <v>#REF!</v>
      </c>
      <c r="JSM247" s="29" t="e">
        <f t="shared" si="157"/>
        <v>#REF!</v>
      </c>
      <c r="JSN247" s="29" t="e">
        <f t="shared" si="157"/>
        <v>#REF!</v>
      </c>
      <c r="JSO247" s="29" t="e">
        <f t="shared" si="157"/>
        <v>#REF!</v>
      </c>
      <c r="JSP247" s="29" t="e">
        <f t="shared" si="157"/>
        <v>#REF!</v>
      </c>
      <c r="JSQ247" s="29" t="e">
        <f t="shared" si="157"/>
        <v>#REF!</v>
      </c>
      <c r="JSR247" s="29" t="e">
        <f t="shared" si="157"/>
        <v>#REF!</v>
      </c>
      <c r="JSS247" s="29" t="e">
        <f t="shared" si="157"/>
        <v>#REF!</v>
      </c>
      <c r="JST247" s="29" t="e">
        <f t="shared" si="157"/>
        <v>#REF!</v>
      </c>
      <c r="JSU247" s="29" t="e">
        <f t="shared" si="157"/>
        <v>#REF!</v>
      </c>
      <c r="JSV247" s="29" t="e">
        <f t="shared" si="157"/>
        <v>#REF!</v>
      </c>
      <c r="JSW247" s="29" t="e">
        <f t="shared" si="157"/>
        <v>#REF!</v>
      </c>
      <c r="JSX247" s="29" t="e">
        <f t="shared" si="157"/>
        <v>#REF!</v>
      </c>
      <c r="JSY247" s="29" t="e">
        <f t="shared" si="157"/>
        <v>#REF!</v>
      </c>
      <c r="JSZ247" s="29" t="e">
        <f t="shared" si="157"/>
        <v>#REF!</v>
      </c>
      <c r="JTA247" s="29" t="e">
        <f t="shared" si="157"/>
        <v>#REF!</v>
      </c>
      <c r="JTB247" s="29" t="e">
        <f t="shared" si="157"/>
        <v>#REF!</v>
      </c>
      <c r="JTC247" s="29" t="e">
        <f t="shared" si="157"/>
        <v>#REF!</v>
      </c>
      <c r="JTD247" s="29" t="e">
        <f t="shared" si="157"/>
        <v>#REF!</v>
      </c>
      <c r="JTE247" s="29" t="e">
        <f t="shared" si="157"/>
        <v>#REF!</v>
      </c>
      <c r="JTF247" s="29" t="e">
        <f t="shared" si="157"/>
        <v>#REF!</v>
      </c>
      <c r="JTG247" s="29" t="e">
        <f t="shared" si="157"/>
        <v>#REF!</v>
      </c>
      <c r="JTH247" s="29" t="e">
        <f t="shared" si="157"/>
        <v>#REF!</v>
      </c>
      <c r="JTI247" s="29" t="e">
        <f t="shared" si="157"/>
        <v>#REF!</v>
      </c>
      <c r="JTJ247" s="29" t="e">
        <f t="shared" si="157"/>
        <v>#REF!</v>
      </c>
      <c r="JTK247" s="29" t="e">
        <f t="shared" si="157"/>
        <v>#REF!</v>
      </c>
      <c r="JTL247" s="29" t="e">
        <f t="shared" si="157"/>
        <v>#REF!</v>
      </c>
      <c r="JTM247" s="29" t="e">
        <f t="shared" si="157"/>
        <v>#REF!</v>
      </c>
      <c r="JTN247" s="29" t="e">
        <f t="shared" si="157"/>
        <v>#REF!</v>
      </c>
      <c r="JTO247" s="29" t="e">
        <f t="shared" si="157"/>
        <v>#REF!</v>
      </c>
      <c r="JTP247" s="29" t="e">
        <f t="shared" si="157"/>
        <v>#REF!</v>
      </c>
      <c r="JTQ247" s="29" t="e">
        <f t="shared" si="157"/>
        <v>#REF!</v>
      </c>
      <c r="JTR247" s="29" t="e">
        <f t="shared" si="157"/>
        <v>#REF!</v>
      </c>
      <c r="JTS247" s="29" t="e">
        <f t="shared" si="157"/>
        <v>#REF!</v>
      </c>
      <c r="JTT247" s="29" t="e">
        <f t="shared" si="157"/>
        <v>#REF!</v>
      </c>
      <c r="JTU247" s="29" t="e">
        <f t="shared" si="157"/>
        <v>#REF!</v>
      </c>
      <c r="JTV247" s="29" t="e">
        <f t="shared" si="157"/>
        <v>#REF!</v>
      </c>
      <c r="JTW247" s="29" t="e">
        <f t="shared" si="157"/>
        <v>#REF!</v>
      </c>
      <c r="JTX247" s="29" t="e">
        <f t="shared" si="157"/>
        <v>#REF!</v>
      </c>
      <c r="JTY247" s="29" t="e">
        <f t="shared" si="157"/>
        <v>#REF!</v>
      </c>
      <c r="JTZ247" s="29" t="e">
        <f t="shared" si="157"/>
        <v>#REF!</v>
      </c>
      <c r="JUA247" s="29" t="e">
        <f t="shared" si="157"/>
        <v>#REF!</v>
      </c>
      <c r="JUB247" s="29" t="e">
        <f t="shared" si="157"/>
        <v>#REF!</v>
      </c>
      <c r="JUC247" s="29" t="e">
        <f t="shared" si="157"/>
        <v>#REF!</v>
      </c>
      <c r="JUD247" s="29" t="e">
        <f t="shared" si="157"/>
        <v>#REF!</v>
      </c>
      <c r="JUE247" s="29" t="e">
        <f t="shared" si="157"/>
        <v>#REF!</v>
      </c>
      <c r="JUF247" s="29" t="e">
        <f t="shared" si="157"/>
        <v>#REF!</v>
      </c>
      <c r="JUG247" s="29" t="e">
        <f t="shared" ref="JUG247:JWR247" si="158">JUK247&amp;JUL247</f>
        <v>#REF!</v>
      </c>
      <c r="JUH247" s="29" t="e">
        <f t="shared" si="158"/>
        <v>#REF!</v>
      </c>
      <c r="JUI247" s="29" t="e">
        <f t="shared" si="158"/>
        <v>#REF!</v>
      </c>
      <c r="JUJ247" s="29" t="e">
        <f t="shared" si="158"/>
        <v>#REF!</v>
      </c>
      <c r="JUK247" s="29" t="e">
        <f t="shared" si="158"/>
        <v>#REF!</v>
      </c>
      <c r="JUL247" s="29" t="e">
        <f t="shared" si="158"/>
        <v>#REF!</v>
      </c>
      <c r="JUM247" s="29" t="e">
        <f t="shared" si="158"/>
        <v>#REF!</v>
      </c>
      <c r="JUN247" s="29" t="e">
        <f t="shared" si="158"/>
        <v>#REF!</v>
      </c>
      <c r="JUO247" s="29" t="e">
        <f t="shared" si="158"/>
        <v>#REF!</v>
      </c>
      <c r="JUP247" s="29" t="e">
        <f t="shared" si="158"/>
        <v>#REF!</v>
      </c>
      <c r="JUQ247" s="29" t="e">
        <f t="shared" si="158"/>
        <v>#REF!</v>
      </c>
      <c r="JUR247" s="29" t="e">
        <f t="shared" si="158"/>
        <v>#REF!</v>
      </c>
      <c r="JUS247" s="29" t="e">
        <f t="shared" si="158"/>
        <v>#REF!</v>
      </c>
      <c r="JUT247" s="29" t="e">
        <f t="shared" si="158"/>
        <v>#REF!</v>
      </c>
      <c r="JUU247" s="29" t="e">
        <f t="shared" si="158"/>
        <v>#REF!</v>
      </c>
      <c r="JUV247" s="29" t="e">
        <f t="shared" si="158"/>
        <v>#REF!</v>
      </c>
      <c r="JUW247" s="29" t="e">
        <f t="shared" si="158"/>
        <v>#REF!</v>
      </c>
      <c r="JUX247" s="29" t="e">
        <f t="shared" si="158"/>
        <v>#REF!</v>
      </c>
      <c r="JUY247" s="29" t="e">
        <f t="shared" si="158"/>
        <v>#REF!</v>
      </c>
      <c r="JUZ247" s="29" t="e">
        <f t="shared" si="158"/>
        <v>#REF!</v>
      </c>
      <c r="JVA247" s="29" t="e">
        <f t="shared" si="158"/>
        <v>#REF!</v>
      </c>
      <c r="JVB247" s="29" t="e">
        <f t="shared" si="158"/>
        <v>#REF!</v>
      </c>
      <c r="JVC247" s="29" t="e">
        <f t="shared" si="158"/>
        <v>#REF!</v>
      </c>
      <c r="JVD247" s="29" t="e">
        <f t="shared" si="158"/>
        <v>#REF!</v>
      </c>
      <c r="JVE247" s="29" t="e">
        <f t="shared" si="158"/>
        <v>#REF!</v>
      </c>
      <c r="JVF247" s="29" t="e">
        <f t="shared" si="158"/>
        <v>#REF!</v>
      </c>
      <c r="JVG247" s="29" t="e">
        <f t="shared" si="158"/>
        <v>#REF!</v>
      </c>
      <c r="JVH247" s="29" t="e">
        <f t="shared" si="158"/>
        <v>#REF!</v>
      </c>
      <c r="JVI247" s="29" t="e">
        <f t="shared" si="158"/>
        <v>#REF!</v>
      </c>
      <c r="JVJ247" s="29" t="e">
        <f t="shared" si="158"/>
        <v>#REF!</v>
      </c>
      <c r="JVK247" s="29" t="e">
        <f t="shared" si="158"/>
        <v>#REF!</v>
      </c>
      <c r="JVL247" s="29" t="e">
        <f t="shared" si="158"/>
        <v>#REF!</v>
      </c>
      <c r="JVM247" s="29" t="e">
        <f t="shared" si="158"/>
        <v>#REF!</v>
      </c>
      <c r="JVN247" s="29" t="e">
        <f t="shared" si="158"/>
        <v>#REF!</v>
      </c>
      <c r="JVO247" s="29" t="e">
        <f t="shared" si="158"/>
        <v>#REF!</v>
      </c>
      <c r="JVP247" s="29" t="e">
        <f t="shared" si="158"/>
        <v>#REF!</v>
      </c>
      <c r="JVQ247" s="29" t="e">
        <f t="shared" si="158"/>
        <v>#REF!</v>
      </c>
      <c r="JVR247" s="29" t="e">
        <f t="shared" si="158"/>
        <v>#REF!</v>
      </c>
      <c r="JVS247" s="29" t="e">
        <f t="shared" si="158"/>
        <v>#REF!</v>
      </c>
      <c r="JVT247" s="29" t="e">
        <f t="shared" si="158"/>
        <v>#REF!</v>
      </c>
      <c r="JVU247" s="29" t="e">
        <f t="shared" si="158"/>
        <v>#REF!</v>
      </c>
      <c r="JVV247" s="29" t="e">
        <f t="shared" si="158"/>
        <v>#REF!</v>
      </c>
      <c r="JVW247" s="29" t="e">
        <f t="shared" si="158"/>
        <v>#REF!</v>
      </c>
      <c r="JVX247" s="29" t="e">
        <f t="shared" si="158"/>
        <v>#REF!</v>
      </c>
      <c r="JVY247" s="29" t="e">
        <f t="shared" si="158"/>
        <v>#REF!</v>
      </c>
      <c r="JVZ247" s="29" t="e">
        <f t="shared" si="158"/>
        <v>#REF!</v>
      </c>
      <c r="JWA247" s="29" t="e">
        <f t="shared" si="158"/>
        <v>#REF!</v>
      </c>
      <c r="JWB247" s="29" t="e">
        <f t="shared" si="158"/>
        <v>#REF!</v>
      </c>
      <c r="JWC247" s="29" t="e">
        <f t="shared" si="158"/>
        <v>#REF!</v>
      </c>
      <c r="JWD247" s="29" t="e">
        <f t="shared" si="158"/>
        <v>#REF!</v>
      </c>
      <c r="JWE247" s="29" t="e">
        <f t="shared" si="158"/>
        <v>#REF!</v>
      </c>
      <c r="JWF247" s="29" t="e">
        <f t="shared" si="158"/>
        <v>#REF!</v>
      </c>
      <c r="JWG247" s="29" t="e">
        <f t="shared" si="158"/>
        <v>#REF!</v>
      </c>
      <c r="JWH247" s="29" t="e">
        <f t="shared" si="158"/>
        <v>#REF!</v>
      </c>
      <c r="JWI247" s="29" t="e">
        <f t="shared" si="158"/>
        <v>#REF!</v>
      </c>
      <c r="JWJ247" s="29" t="e">
        <f t="shared" si="158"/>
        <v>#REF!</v>
      </c>
      <c r="JWK247" s="29" t="e">
        <f t="shared" si="158"/>
        <v>#REF!</v>
      </c>
      <c r="JWL247" s="29" t="e">
        <f t="shared" si="158"/>
        <v>#REF!</v>
      </c>
      <c r="JWM247" s="29" t="e">
        <f t="shared" si="158"/>
        <v>#REF!</v>
      </c>
      <c r="JWN247" s="29" t="e">
        <f t="shared" si="158"/>
        <v>#REF!</v>
      </c>
      <c r="JWO247" s="29" t="e">
        <f t="shared" si="158"/>
        <v>#REF!</v>
      </c>
      <c r="JWP247" s="29" t="e">
        <f t="shared" si="158"/>
        <v>#REF!</v>
      </c>
      <c r="JWQ247" s="29" t="e">
        <f t="shared" si="158"/>
        <v>#REF!</v>
      </c>
      <c r="JWR247" s="29" t="e">
        <f t="shared" si="158"/>
        <v>#REF!</v>
      </c>
      <c r="JWS247" s="29" t="e">
        <f t="shared" ref="JWS247:JZD247" si="159">JWW247&amp;JWX247</f>
        <v>#REF!</v>
      </c>
      <c r="JWT247" s="29" t="e">
        <f t="shared" si="159"/>
        <v>#REF!</v>
      </c>
      <c r="JWU247" s="29" t="e">
        <f t="shared" si="159"/>
        <v>#REF!</v>
      </c>
      <c r="JWV247" s="29" t="e">
        <f t="shared" si="159"/>
        <v>#REF!</v>
      </c>
      <c r="JWW247" s="29" t="e">
        <f t="shared" si="159"/>
        <v>#REF!</v>
      </c>
      <c r="JWX247" s="29" t="e">
        <f t="shared" si="159"/>
        <v>#REF!</v>
      </c>
      <c r="JWY247" s="29" t="e">
        <f t="shared" si="159"/>
        <v>#REF!</v>
      </c>
      <c r="JWZ247" s="29" t="e">
        <f t="shared" si="159"/>
        <v>#REF!</v>
      </c>
      <c r="JXA247" s="29" t="e">
        <f t="shared" si="159"/>
        <v>#REF!</v>
      </c>
      <c r="JXB247" s="29" t="e">
        <f t="shared" si="159"/>
        <v>#REF!</v>
      </c>
      <c r="JXC247" s="29" t="e">
        <f t="shared" si="159"/>
        <v>#REF!</v>
      </c>
      <c r="JXD247" s="29" t="e">
        <f t="shared" si="159"/>
        <v>#REF!</v>
      </c>
      <c r="JXE247" s="29" t="e">
        <f t="shared" si="159"/>
        <v>#REF!</v>
      </c>
      <c r="JXF247" s="29" t="e">
        <f t="shared" si="159"/>
        <v>#REF!</v>
      </c>
      <c r="JXG247" s="29" t="e">
        <f t="shared" si="159"/>
        <v>#REF!</v>
      </c>
      <c r="JXH247" s="29" t="e">
        <f t="shared" si="159"/>
        <v>#REF!</v>
      </c>
      <c r="JXI247" s="29" t="e">
        <f t="shared" si="159"/>
        <v>#REF!</v>
      </c>
      <c r="JXJ247" s="29" t="e">
        <f t="shared" si="159"/>
        <v>#REF!</v>
      </c>
      <c r="JXK247" s="29" t="e">
        <f t="shared" si="159"/>
        <v>#REF!</v>
      </c>
      <c r="JXL247" s="29" t="e">
        <f t="shared" si="159"/>
        <v>#REF!</v>
      </c>
      <c r="JXM247" s="29" t="e">
        <f t="shared" si="159"/>
        <v>#REF!</v>
      </c>
      <c r="JXN247" s="29" t="e">
        <f t="shared" si="159"/>
        <v>#REF!</v>
      </c>
      <c r="JXO247" s="29" t="e">
        <f t="shared" si="159"/>
        <v>#REF!</v>
      </c>
      <c r="JXP247" s="29" t="e">
        <f t="shared" si="159"/>
        <v>#REF!</v>
      </c>
      <c r="JXQ247" s="29" t="e">
        <f t="shared" si="159"/>
        <v>#REF!</v>
      </c>
      <c r="JXR247" s="29" t="e">
        <f t="shared" si="159"/>
        <v>#REF!</v>
      </c>
      <c r="JXS247" s="29" t="e">
        <f t="shared" si="159"/>
        <v>#REF!</v>
      </c>
      <c r="JXT247" s="29" t="e">
        <f t="shared" si="159"/>
        <v>#REF!</v>
      </c>
      <c r="JXU247" s="29" t="e">
        <f t="shared" si="159"/>
        <v>#REF!</v>
      </c>
      <c r="JXV247" s="29" t="e">
        <f t="shared" si="159"/>
        <v>#REF!</v>
      </c>
      <c r="JXW247" s="29" t="e">
        <f t="shared" si="159"/>
        <v>#REF!</v>
      </c>
      <c r="JXX247" s="29" t="e">
        <f t="shared" si="159"/>
        <v>#REF!</v>
      </c>
      <c r="JXY247" s="29" t="e">
        <f t="shared" si="159"/>
        <v>#REF!</v>
      </c>
      <c r="JXZ247" s="29" t="e">
        <f t="shared" si="159"/>
        <v>#REF!</v>
      </c>
      <c r="JYA247" s="29" t="e">
        <f t="shared" si="159"/>
        <v>#REF!</v>
      </c>
      <c r="JYB247" s="29" t="e">
        <f t="shared" si="159"/>
        <v>#REF!</v>
      </c>
      <c r="JYC247" s="29" t="e">
        <f t="shared" si="159"/>
        <v>#REF!</v>
      </c>
      <c r="JYD247" s="29" t="e">
        <f t="shared" si="159"/>
        <v>#REF!</v>
      </c>
      <c r="JYE247" s="29" t="e">
        <f t="shared" si="159"/>
        <v>#REF!</v>
      </c>
      <c r="JYF247" s="29" t="e">
        <f t="shared" si="159"/>
        <v>#REF!</v>
      </c>
      <c r="JYG247" s="29" t="e">
        <f t="shared" si="159"/>
        <v>#REF!</v>
      </c>
      <c r="JYH247" s="29" t="e">
        <f t="shared" si="159"/>
        <v>#REF!</v>
      </c>
      <c r="JYI247" s="29" t="e">
        <f t="shared" si="159"/>
        <v>#REF!</v>
      </c>
      <c r="JYJ247" s="29" t="e">
        <f t="shared" si="159"/>
        <v>#REF!</v>
      </c>
      <c r="JYK247" s="29" t="e">
        <f t="shared" si="159"/>
        <v>#REF!</v>
      </c>
      <c r="JYL247" s="29" t="e">
        <f t="shared" si="159"/>
        <v>#REF!</v>
      </c>
      <c r="JYM247" s="29" t="e">
        <f t="shared" si="159"/>
        <v>#REF!</v>
      </c>
      <c r="JYN247" s="29" t="e">
        <f t="shared" si="159"/>
        <v>#REF!</v>
      </c>
      <c r="JYO247" s="29" t="e">
        <f t="shared" si="159"/>
        <v>#REF!</v>
      </c>
      <c r="JYP247" s="29" t="e">
        <f t="shared" si="159"/>
        <v>#REF!</v>
      </c>
      <c r="JYQ247" s="29" t="e">
        <f t="shared" si="159"/>
        <v>#REF!</v>
      </c>
      <c r="JYR247" s="29" t="e">
        <f t="shared" si="159"/>
        <v>#REF!</v>
      </c>
      <c r="JYS247" s="29" t="e">
        <f t="shared" si="159"/>
        <v>#REF!</v>
      </c>
      <c r="JYT247" s="29" t="e">
        <f t="shared" si="159"/>
        <v>#REF!</v>
      </c>
      <c r="JYU247" s="29" t="e">
        <f t="shared" si="159"/>
        <v>#REF!</v>
      </c>
      <c r="JYV247" s="29" t="e">
        <f t="shared" si="159"/>
        <v>#REF!</v>
      </c>
      <c r="JYW247" s="29" t="e">
        <f t="shared" si="159"/>
        <v>#REF!</v>
      </c>
      <c r="JYX247" s="29" t="e">
        <f t="shared" si="159"/>
        <v>#REF!</v>
      </c>
      <c r="JYY247" s="29" t="e">
        <f t="shared" si="159"/>
        <v>#REF!</v>
      </c>
      <c r="JYZ247" s="29" t="e">
        <f t="shared" si="159"/>
        <v>#REF!</v>
      </c>
      <c r="JZA247" s="29" t="e">
        <f t="shared" si="159"/>
        <v>#REF!</v>
      </c>
      <c r="JZB247" s="29" t="e">
        <f t="shared" si="159"/>
        <v>#REF!</v>
      </c>
      <c r="JZC247" s="29" t="e">
        <f t="shared" si="159"/>
        <v>#REF!</v>
      </c>
      <c r="JZD247" s="29" t="e">
        <f t="shared" si="159"/>
        <v>#REF!</v>
      </c>
      <c r="JZE247" s="29" t="e">
        <f t="shared" ref="JZE247:KBP247" si="160">JZI247&amp;JZJ247</f>
        <v>#REF!</v>
      </c>
      <c r="JZF247" s="29" t="e">
        <f t="shared" si="160"/>
        <v>#REF!</v>
      </c>
      <c r="JZG247" s="29" t="e">
        <f t="shared" si="160"/>
        <v>#REF!</v>
      </c>
      <c r="JZH247" s="29" t="e">
        <f t="shared" si="160"/>
        <v>#REF!</v>
      </c>
      <c r="JZI247" s="29" t="e">
        <f t="shared" si="160"/>
        <v>#REF!</v>
      </c>
      <c r="JZJ247" s="29" t="e">
        <f t="shared" si="160"/>
        <v>#REF!</v>
      </c>
      <c r="JZK247" s="29" t="e">
        <f t="shared" si="160"/>
        <v>#REF!</v>
      </c>
      <c r="JZL247" s="29" t="e">
        <f t="shared" si="160"/>
        <v>#REF!</v>
      </c>
      <c r="JZM247" s="29" t="e">
        <f t="shared" si="160"/>
        <v>#REF!</v>
      </c>
      <c r="JZN247" s="29" t="e">
        <f t="shared" si="160"/>
        <v>#REF!</v>
      </c>
      <c r="JZO247" s="29" t="e">
        <f t="shared" si="160"/>
        <v>#REF!</v>
      </c>
      <c r="JZP247" s="29" t="e">
        <f t="shared" si="160"/>
        <v>#REF!</v>
      </c>
      <c r="JZQ247" s="29" t="e">
        <f t="shared" si="160"/>
        <v>#REF!</v>
      </c>
      <c r="JZR247" s="29" t="e">
        <f t="shared" si="160"/>
        <v>#REF!</v>
      </c>
      <c r="JZS247" s="29" t="e">
        <f t="shared" si="160"/>
        <v>#REF!</v>
      </c>
      <c r="JZT247" s="29" t="e">
        <f t="shared" si="160"/>
        <v>#REF!</v>
      </c>
      <c r="JZU247" s="29" t="e">
        <f t="shared" si="160"/>
        <v>#REF!</v>
      </c>
      <c r="JZV247" s="29" t="e">
        <f t="shared" si="160"/>
        <v>#REF!</v>
      </c>
      <c r="JZW247" s="29" t="e">
        <f t="shared" si="160"/>
        <v>#REF!</v>
      </c>
      <c r="JZX247" s="29" t="e">
        <f t="shared" si="160"/>
        <v>#REF!</v>
      </c>
      <c r="JZY247" s="29" t="e">
        <f t="shared" si="160"/>
        <v>#REF!</v>
      </c>
      <c r="JZZ247" s="29" t="e">
        <f t="shared" si="160"/>
        <v>#REF!</v>
      </c>
      <c r="KAA247" s="29" t="e">
        <f t="shared" si="160"/>
        <v>#REF!</v>
      </c>
      <c r="KAB247" s="29" t="e">
        <f t="shared" si="160"/>
        <v>#REF!</v>
      </c>
      <c r="KAC247" s="29" t="e">
        <f t="shared" si="160"/>
        <v>#REF!</v>
      </c>
      <c r="KAD247" s="29" t="e">
        <f t="shared" si="160"/>
        <v>#REF!</v>
      </c>
      <c r="KAE247" s="29" t="e">
        <f t="shared" si="160"/>
        <v>#REF!</v>
      </c>
      <c r="KAF247" s="29" t="e">
        <f t="shared" si="160"/>
        <v>#REF!</v>
      </c>
      <c r="KAG247" s="29" t="e">
        <f t="shared" si="160"/>
        <v>#REF!</v>
      </c>
      <c r="KAH247" s="29" t="e">
        <f t="shared" si="160"/>
        <v>#REF!</v>
      </c>
      <c r="KAI247" s="29" t="e">
        <f t="shared" si="160"/>
        <v>#REF!</v>
      </c>
      <c r="KAJ247" s="29" t="e">
        <f t="shared" si="160"/>
        <v>#REF!</v>
      </c>
      <c r="KAK247" s="29" t="e">
        <f t="shared" si="160"/>
        <v>#REF!</v>
      </c>
      <c r="KAL247" s="29" t="e">
        <f t="shared" si="160"/>
        <v>#REF!</v>
      </c>
      <c r="KAM247" s="29" t="e">
        <f t="shared" si="160"/>
        <v>#REF!</v>
      </c>
      <c r="KAN247" s="29" t="e">
        <f t="shared" si="160"/>
        <v>#REF!</v>
      </c>
      <c r="KAO247" s="29" t="e">
        <f t="shared" si="160"/>
        <v>#REF!</v>
      </c>
      <c r="KAP247" s="29" t="e">
        <f t="shared" si="160"/>
        <v>#REF!</v>
      </c>
      <c r="KAQ247" s="29" t="e">
        <f t="shared" si="160"/>
        <v>#REF!</v>
      </c>
      <c r="KAR247" s="29" t="e">
        <f t="shared" si="160"/>
        <v>#REF!</v>
      </c>
      <c r="KAS247" s="29" t="e">
        <f t="shared" si="160"/>
        <v>#REF!</v>
      </c>
      <c r="KAT247" s="29" t="e">
        <f t="shared" si="160"/>
        <v>#REF!</v>
      </c>
      <c r="KAU247" s="29" t="e">
        <f t="shared" si="160"/>
        <v>#REF!</v>
      </c>
      <c r="KAV247" s="29" t="e">
        <f t="shared" si="160"/>
        <v>#REF!</v>
      </c>
      <c r="KAW247" s="29" t="e">
        <f t="shared" si="160"/>
        <v>#REF!</v>
      </c>
      <c r="KAX247" s="29" t="e">
        <f t="shared" si="160"/>
        <v>#REF!</v>
      </c>
      <c r="KAY247" s="29" t="e">
        <f t="shared" si="160"/>
        <v>#REF!</v>
      </c>
      <c r="KAZ247" s="29" t="e">
        <f t="shared" si="160"/>
        <v>#REF!</v>
      </c>
      <c r="KBA247" s="29" t="e">
        <f t="shared" si="160"/>
        <v>#REF!</v>
      </c>
      <c r="KBB247" s="29" t="e">
        <f t="shared" si="160"/>
        <v>#REF!</v>
      </c>
      <c r="KBC247" s="29" t="e">
        <f t="shared" si="160"/>
        <v>#REF!</v>
      </c>
      <c r="KBD247" s="29" t="e">
        <f t="shared" si="160"/>
        <v>#REF!</v>
      </c>
      <c r="KBE247" s="29" t="e">
        <f t="shared" si="160"/>
        <v>#REF!</v>
      </c>
      <c r="KBF247" s="29" t="e">
        <f t="shared" si="160"/>
        <v>#REF!</v>
      </c>
      <c r="KBG247" s="29" t="e">
        <f t="shared" si="160"/>
        <v>#REF!</v>
      </c>
      <c r="KBH247" s="29" t="e">
        <f t="shared" si="160"/>
        <v>#REF!</v>
      </c>
      <c r="KBI247" s="29" t="e">
        <f t="shared" si="160"/>
        <v>#REF!</v>
      </c>
      <c r="KBJ247" s="29" t="e">
        <f t="shared" si="160"/>
        <v>#REF!</v>
      </c>
      <c r="KBK247" s="29" t="e">
        <f t="shared" si="160"/>
        <v>#REF!</v>
      </c>
      <c r="KBL247" s="29" t="e">
        <f t="shared" si="160"/>
        <v>#REF!</v>
      </c>
      <c r="KBM247" s="29" t="e">
        <f t="shared" si="160"/>
        <v>#REF!</v>
      </c>
      <c r="KBN247" s="29" t="e">
        <f t="shared" si="160"/>
        <v>#REF!</v>
      </c>
      <c r="KBO247" s="29" t="e">
        <f t="shared" si="160"/>
        <v>#REF!</v>
      </c>
      <c r="KBP247" s="29" t="e">
        <f t="shared" si="160"/>
        <v>#REF!</v>
      </c>
      <c r="KBQ247" s="29" t="e">
        <f t="shared" ref="KBQ247:KEB247" si="161">KBU247&amp;KBV247</f>
        <v>#REF!</v>
      </c>
      <c r="KBR247" s="29" t="e">
        <f t="shared" si="161"/>
        <v>#REF!</v>
      </c>
      <c r="KBS247" s="29" t="e">
        <f t="shared" si="161"/>
        <v>#REF!</v>
      </c>
      <c r="KBT247" s="29" t="e">
        <f t="shared" si="161"/>
        <v>#REF!</v>
      </c>
      <c r="KBU247" s="29" t="e">
        <f t="shared" si="161"/>
        <v>#REF!</v>
      </c>
      <c r="KBV247" s="29" t="e">
        <f t="shared" si="161"/>
        <v>#REF!</v>
      </c>
      <c r="KBW247" s="29" t="e">
        <f t="shared" si="161"/>
        <v>#REF!</v>
      </c>
      <c r="KBX247" s="29" t="e">
        <f t="shared" si="161"/>
        <v>#REF!</v>
      </c>
      <c r="KBY247" s="29" t="e">
        <f t="shared" si="161"/>
        <v>#REF!</v>
      </c>
      <c r="KBZ247" s="29" t="e">
        <f t="shared" si="161"/>
        <v>#REF!</v>
      </c>
      <c r="KCA247" s="29" t="e">
        <f t="shared" si="161"/>
        <v>#REF!</v>
      </c>
      <c r="KCB247" s="29" t="e">
        <f t="shared" si="161"/>
        <v>#REF!</v>
      </c>
      <c r="KCC247" s="29" t="e">
        <f t="shared" si="161"/>
        <v>#REF!</v>
      </c>
      <c r="KCD247" s="29" t="e">
        <f t="shared" si="161"/>
        <v>#REF!</v>
      </c>
      <c r="KCE247" s="29" t="e">
        <f t="shared" si="161"/>
        <v>#REF!</v>
      </c>
      <c r="KCF247" s="29" t="e">
        <f t="shared" si="161"/>
        <v>#REF!</v>
      </c>
      <c r="KCG247" s="29" t="e">
        <f t="shared" si="161"/>
        <v>#REF!</v>
      </c>
      <c r="KCH247" s="29" t="e">
        <f t="shared" si="161"/>
        <v>#REF!</v>
      </c>
      <c r="KCI247" s="29" t="e">
        <f t="shared" si="161"/>
        <v>#REF!</v>
      </c>
      <c r="KCJ247" s="29" t="e">
        <f t="shared" si="161"/>
        <v>#REF!</v>
      </c>
      <c r="KCK247" s="29" t="e">
        <f t="shared" si="161"/>
        <v>#REF!</v>
      </c>
      <c r="KCL247" s="29" t="e">
        <f t="shared" si="161"/>
        <v>#REF!</v>
      </c>
      <c r="KCM247" s="29" t="e">
        <f t="shared" si="161"/>
        <v>#REF!</v>
      </c>
      <c r="KCN247" s="29" t="e">
        <f t="shared" si="161"/>
        <v>#REF!</v>
      </c>
      <c r="KCO247" s="29" t="e">
        <f t="shared" si="161"/>
        <v>#REF!</v>
      </c>
      <c r="KCP247" s="29" t="e">
        <f t="shared" si="161"/>
        <v>#REF!</v>
      </c>
      <c r="KCQ247" s="29" t="e">
        <f t="shared" si="161"/>
        <v>#REF!</v>
      </c>
      <c r="KCR247" s="29" t="e">
        <f t="shared" si="161"/>
        <v>#REF!</v>
      </c>
      <c r="KCS247" s="29" t="e">
        <f t="shared" si="161"/>
        <v>#REF!</v>
      </c>
      <c r="KCT247" s="29" t="e">
        <f t="shared" si="161"/>
        <v>#REF!</v>
      </c>
      <c r="KCU247" s="29" t="e">
        <f t="shared" si="161"/>
        <v>#REF!</v>
      </c>
      <c r="KCV247" s="29" t="e">
        <f t="shared" si="161"/>
        <v>#REF!</v>
      </c>
      <c r="KCW247" s="29" t="e">
        <f t="shared" si="161"/>
        <v>#REF!</v>
      </c>
      <c r="KCX247" s="29" t="e">
        <f t="shared" si="161"/>
        <v>#REF!</v>
      </c>
      <c r="KCY247" s="29" t="e">
        <f t="shared" si="161"/>
        <v>#REF!</v>
      </c>
      <c r="KCZ247" s="29" t="e">
        <f t="shared" si="161"/>
        <v>#REF!</v>
      </c>
      <c r="KDA247" s="29" t="e">
        <f t="shared" si="161"/>
        <v>#REF!</v>
      </c>
      <c r="KDB247" s="29" t="e">
        <f t="shared" si="161"/>
        <v>#REF!</v>
      </c>
      <c r="KDC247" s="29" t="e">
        <f t="shared" si="161"/>
        <v>#REF!</v>
      </c>
      <c r="KDD247" s="29" t="e">
        <f t="shared" si="161"/>
        <v>#REF!</v>
      </c>
      <c r="KDE247" s="29" t="e">
        <f t="shared" si="161"/>
        <v>#REF!</v>
      </c>
      <c r="KDF247" s="29" t="e">
        <f t="shared" si="161"/>
        <v>#REF!</v>
      </c>
      <c r="KDG247" s="29" t="e">
        <f t="shared" si="161"/>
        <v>#REF!</v>
      </c>
      <c r="KDH247" s="29" t="e">
        <f t="shared" si="161"/>
        <v>#REF!</v>
      </c>
      <c r="KDI247" s="29" t="e">
        <f t="shared" si="161"/>
        <v>#REF!</v>
      </c>
      <c r="KDJ247" s="29" t="e">
        <f t="shared" si="161"/>
        <v>#REF!</v>
      </c>
      <c r="KDK247" s="29" t="e">
        <f t="shared" si="161"/>
        <v>#REF!</v>
      </c>
      <c r="KDL247" s="29" t="e">
        <f t="shared" si="161"/>
        <v>#REF!</v>
      </c>
      <c r="KDM247" s="29" t="e">
        <f t="shared" si="161"/>
        <v>#REF!</v>
      </c>
      <c r="KDN247" s="29" t="e">
        <f t="shared" si="161"/>
        <v>#REF!</v>
      </c>
      <c r="KDO247" s="29" t="e">
        <f t="shared" si="161"/>
        <v>#REF!</v>
      </c>
      <c r="KDP247" s="29" t="e">
        <f t="shared" si="161"/>
        <v>#REF!</v>
      </c>
      <c r="KDQ247" s="29" t="e">
        <f t="shared" si="161"/>
        <v>#REF!</v>
      </c>
      <c r="KDR247" s="29" t="e">
        <f t="shared" si="161"/>
        <v>#REF!</v>
      </c>
      <c r="KDS247" s="29" t="e">
        <f t="shared" si="161"/>
        <v>#REF!</v>
      </c>
      <c r="KDT247" s="29" t="e">
        <f t="shared" si="161"/>
        <v>#REF!</v>
      </c>
      <c r="KDU247" s="29" t="e">
        <f t="shared" si="161"/>
        <v>#REF!</v>
      </c>
      <c r="KDV247" s="29" t="e">
        <f t="shared" si="161"/>
        <v>#REF!</v>
      </c>
      <c r="KDW247" s="29" t="e">
        <f t="shared" si="161"/>
        <v>#REF!</v>
      </c>
      <c r="KDX247" s="29" t="e">
        <f t="shared" si="161"/>
        <v>#REF!</v>
      </c>
      <c r="KDY247" s="29" t="e">
        <f t="shared" si="161"/>
        <v>#REF!</v>
      </c>
      <c r="KDZ247" s="29" t="e">
        <f t="shared" si="161"/>
        <v>#REF!</v>
      </c>
      <c r="KEA247" s="29" t="e">
        <f t="shared" si="161"/>
        <v>#REF!</v>
      </c>
      <c r="KEB247" s="29" t="e">
        <f t="shared" si="161"/>
        <v>#REF!</v>
      </c>
      <c r="KEC247" s="29" t="e">
        <f t="shared" ref="KEC247:KGN247" si="162">KEG247&amp;KEH247</f>
        <v>#REF!</v>
      </c>
      <c r="KED247" s="29" t="e">
        <f t="shared" si="162"/>
        <v>#REF!</v>
      </c>
      <c r="KEE247" s="29" t="e">
        <f t="shared" si="162"/>
        <v>#REF!</v>
      </c>
      <c r="KEF247" s="29" t="e">
        <f t="shared" si="162"/>
        <v>#REF!</v>
      </c>
      <c r="KEG247" s="29" t="e">
        <f t="shared" si="162"/>
        <v>#REF!</v>
      </c>
      <c r="KEH247" s="29" t="e">
        <f t="shared" si="162"/>
        <v>#REF!</v>
      </c>
      <c r="KEI247" s="29" t="e">
        <f t="shared" si="162"/>
        <v>#REF!</v>
      </c>
      <c r="KEJ247" s="29" t="e">
        <f t="shared" si="162"/>
        <v>#REF!</v>
      </c>
      <c r="KEK247" s="29" t="e">
        <f t="shared" si="162"/>
        <v>#REF!</v>
      </c>
      <c r="KEL247" s="29" t="e">
        <f t="shared" si="162"/>
        <v>#REF!</v>
      </c>
      <c r="KEM247" s="29" t="e">
        <f t="shared" si="162"/>
        <v>#REF!</v>
      </c>
      <c r="KEN247" s="29" t="e">
        <f t="shared" si="162"/>
        <v>#REF!</v>
      </c>
      <c r="KEO247" s="29" t="e">
        <f t="shared" si="162"/>
        <v>#REF!</v>
      </c>
      <c r="KEP247" s="29" t="e">
        <f t="shared" si="162"/>
        <v>#REF!</v>
      </c>
      <c r="KEQ247" s="29" t="e">
        <f t="shared" si="162"/>
        <v>#REF!</v>
      </c>
      <c r="KER247" s="29" t="e">
        <f t="shared" si="162"/>
        <v>#REF!</v>
      </c>
      <c r="KES247" s="29" t="e">
        <f t="shared" si="162"/>
        <v>#REF!</v>
      </c>
      <c r="KET247" s="29" t="e">
        <f t="shared" si="162"/>
        <v>#REF!</v>
      </c>
      <c r="KEU247" s="29" t="e">
        <f t="shared" si="162"/>
        <v>#REF!</v>
      </c>
      <c r="KEV247" s="29" t="e">
        <f t="shared" si="162"/>
        <v>#REF!</v>
      </c>
      <c r="KEW247" s="29" t="e">
        <f t="shared" si="162"/>
        <v>#REF!</v>
      </c>
      <c r="KEX247" s="29" t="e">
        <f t="shared" si="162"/>
        <v>#REF!</v>
      </c>
      <c r="KEY247" s="29" t="e">
        <f t="shared" si="162"/>
        <v>#REF!</v>
      </c>
      <c r="KEZ247" s="29" t="e">
        <f t="shared" si="162"/>
        <v>#REF!</v>
      </c>
      <c r="KFA247" s="29" t="e">
        <f t="shared" si="162"/>
        <v>#REF!</v>
      </c>
      <c r="KFB247" s="29" t="e">
        <f t="shared" si="162"/>
        <v>#REF!</v>
      </c>
      <c r="KFC247" s="29" t="e">
        <f t="shared" si="162"/>
        <v>#REF!</v>
      </c>
      <c r="KFD247" s="29" t="e">
        <f t="shared" si="162"/>
        <v>#REF!</v>
      </c>
      <c r="KFE247" s="29" t="e">
        <f t="shared" si="162"/>
        <v>#REF!</v>
      </c>
      <c r="KFF247" s="29" t="e">
        <f t="shared" si="162"/>
        <v>#REF!</v>
      </c>
      <c r="KFG247" s="29" t="e">
        <f t="shared" si="162"/>
        <v>#REF!</v>
      </c>
      <c r="KFH247" s="29" t="e">
        <f t="shared" si="162"/>
        <v>#REF!</v>
      </c>
      <c r="KFI247" s="29" t="e">
        <f t="shared" si="162"/>
        <v>#REF!</v>
      </c>
      <c r="KFJ247" s="29" t="e">
        <f t="shared" si="162"/>
        <v>#REF!</v>
      </c>
      <c r="KFK247" s="29" t="e">
        <f t="shared" si="162"/>
        <v>#REF!</v>
      </c>
      <c r="KFL247" s="29" t="e">
        <f t="shared" si="162"/>
        <v>#REF!</v>
      </c>
      <c r="KFM247" s="29" t="e">
        <f t="shared" si="162"/>
        <v>#REF!</v>
      </c>
      <c r="KFN247" s="29" t="e">
        <f t="shared" si="162"/>
        <v>#REF!</v>
      </c>
      <c r="KFO247" s="29" t="e">
        <f t="shared" si="162"/>
        <v>#REF!</v>
      </c>
      <c r="KFP247" s="29" t="e">
        <f t="shared" si="162"/>
        <v>#REF!</v>
      </c>
      <c r="KFQ247" s="29" t="e">
        <f t="shared" si="162"/>
        <v>#REF!</v>
      </c>
      <c r="KFR247" s="29" t="e">
        <f t="shared" si="162"/>
        <v>#REF!</v>
      </c>
      <c r="KFS247" s="29" t="e">
        <f t="shared" si="162"/>
        <v>#REF!</v>
      </c>
      <c r="KFT247" s="29" t="e">
        <f t="shared" si="162"/>
        <v>#REF!</v>
      </c>
      <c r="KFU247" s="29" t="e">
        <f t="shared" si="162"/>
        <v>#REF!</v>
      </c>
      <c r="KFV247" s="29" t="e">
        <f t="shared" si="162"/>
        <v>#REF!</v>
      </c>
      <c r="KFW247" s="29" t="e">
        <f t="shared" si="162"/>
        <v>#REF!</v>
      </c>
      <c r="KFX247" s="29" t="e">
        <f t="shared" si="162"/>
        <v>#REF!</v>
      </c>
      <c r="KFY247" s="29" t="e">
        <f t="shared" si="162"/>
        <v>#REF!</v>
      </c>
      <c r="KFZ247" s="29" t="e">
        <f t="shared" si="162"/>
        <v>#REF!</v>
      </c>
      <c r="KGA247" s="29" t="e">
        <f t="shared" si="162"/>
        <v>#REF!</v>
      </c>
      <c r="KGB247" s="29" t="e">
        <f t="shared" si="162"/>
        <v>#REF!</v>
      </c>
      <c r="KGC247" s="29" t="e">
        <f t="shared" si="162"/>
        <v>#REF!</v>
      </c>
      <c r="KGD247" s="29" t="e">
        <f t="shared" si="162"/>
        <v>#REF!</v>
      </c>
      <c r="KGE247" s="29" t="e">
        <f t="shared" si="162"/>
        <v>#REF!</v>
      </c>
      <c r="KGF247" s="29" t="e">
        <f t="shared" si="162"/>
        <v>#REF!</v>
      </c>
      <c r="KGG247" s="29" t="e">
        <f t="shared" si="162"/>
        <v>#REF!</v>
      </c>
      <c r="KGH247" s="29" t="e">
        <f t="shared" si="162"/>
        <v>#REF!</v>
      </c>
      <c r="KGI247" s="29" t="e">
        <f t="shared" si="162"/>
        <v>#REF!</v>
      </c>
      <c r="KGJ247" s="29" t="e">
        <f t="shared" si="162"/>
        <v>#REF!</v>
      </c>
      <c r="KGK247" s="29" t="e">
        <f t="shared" si="162"/>
        <v>#REF!</v>
      </c>
      <c r="KGL247" s="29" t="e">
        <f t="shared" si="162"/>
        <v>#REF!</v>
      </c>
      <c r="KGM247" s="29" t="e">
        <f t="shared" si="162"/>
        <v>#REF!</v>
      </c>
      <c r="KGN247" s="29" t="e">
        <f t="shared" si="162"/>
        <v>#REF!</v>
      </c>
      <c r="KGO247" s="29" t="e">
        <f t="shared" ref="KGO247:KIZ247" si="163">KGS247&amp;KGT247</f>
        <v>#REF!</v>
      </c>
      <c r="KGP247" s="29" t="e">
        <f t="shared" si="163"/>
        <v>#REF!</v>
      </c>
      <c r="KGQ247" s="29" t="e">
        <f t="shared" si="163"/>
        <v>#REF!</v>
      </c>
      <c r="KGR247" s="29" t="e">
        <f t="shared" si="163"/>
        <v>#REF!</v>
      </c>
      <c r="KGS247" s="29" t="e">
        <f t="shared" si="163"/>
        <v>#REF!</v>
      </c>
      <c r="KGT247" s="29" t="e">
        <f t="shared" si="163"/>
        <v>#REF!</v>
      </c>
      <c r="KGU247" s="29" t="e">
        <f t="shared" si="163"/>
        <v>#REF!</v>
      </c>
      <c r="KGV247" s="29" t="e">
        <f t="shared" si="163"/>
        <v>#REF!</v>
      </c>
      <c r="KGW247" s="29" t="e">
        <f t="shared" si="163"/>
        <v>#REF!</v>
      </c>
      <c r="KGX247" s="29" t="e">
        <f t="shared" si="163"/>
        <v>#REF!</v>
      </c>
      <c r="KGY247" s="29" t="e">
        <f t="shared" si="163"/>
        <v>#REF!</v>
      </c>
      <c r="KGZ247" s="29" t="e">
        <f t="shared" si="163"/>
        <v>#REF!</v>
      </c>
      <c r="KHA247" s="29" t="e">
        <f t="shared" si="163"/>
        <v>#REF!</v>
      </c>
      <c r="KHB247" s="29" t="e">
        <f t="shared" si="163"/>
        <v>#REF!</v>
      </c>
      <c r="KHC247" s="29" t="e">
        <f t="shared" si="163"/>
        <v>#REF!</v>
      </c>
      <c r="KHD247" s="29" t="e">
        <f t="shared" si="163"/>
        <v>#REF!</v>
      </c>
      <c r="KHE247" s="29" t="e">
        <f t="shared" si="163"/>
        <v>#REF!</v>
      </c>
      <c r="KHF247" s="29" t="e">
        <f t="shared" si="163"/>
        <v>#REF!</v>
      </c>
      <c r="KHG247" s="29" t="e">
        <f t="shared" si="163"/>
        <v>#REF!</v>
      </c>
      <c r="KHH247" s="29" t="e">
        <f t="shared" si="163"/>
        <v>#REF!</v>
      </c>
      <c r="KHI247" s="29" t="e">
        <f t="shared" si="163"/>
        <v>#REF!</v>
      </c>
      <c r="KHJ247" s="29" t="e">
        <f t="shared" si="163"/>
        <v>#REF!</v>
      </c>
      <c r="KHK247" s="29" t="e">
        <f t="shared" si="163"/>
        <v>#REF!</v>
      </c>
      <c r="KHL247" s="29" t="e">
        <f t="shared" si="163"/>
        <v>#REF!</v>
      </c>
      <c r="KHM247" s="29" t="e">
        <f t="shared" si="163"/>
        <v>#REF!</v>
      </c>
      <c r="KHN247" s="29" t="e">
        <f t="shared" si="163"/>
        <v>#REF!</v>
      </c>
      <c r="KHO247" s="29" t="e">
        <f t="shared" si="163"/>
        <v>#REF!</v>
      </c>
      <c r="KHP247" s="29" t="e">
        <f t="shared" si="163"/>
        <v>#REF!</v>
      </c>
      <c r="KHQ247" s="29" t="e">
        <f t="shared" si="163"/>
        <v>#REF!</v>
      </c>
      <c r="KHR247" s="29" t="e">
        <f t="shared" si="163"/>
        <v>#REF!</v>
      </c>
      <c r="KHS247" s="29" t="e">
        <f t="shared" si="163"/>
        <v>#REF!</v>
      </c>
      <c r="KHT247" s="29" t="e">
        <f t="shared" si="163"/>
        <v>#REF!</v>
      </c>
      <c r="KHU247" s="29" t="e">
        <f t="shared" si="163"/>
        <v>#REF!</v>
      </c>
      <c r="KHV247" s="29" t="e">
        <f t="shared" si="163"/>
        <v>#REF!</v>
      </c>
      <c r="KHW247" s="29" t="e">
        <f t="shared" si="163"/>
        <v>#REF!</v>
      </c>
      <c r="KHX247" s="29" t="e">
        <f t="shared" si="163"/>
        <v>#REF!</v>
      </c>
      <c r="KHY247" s="29" t="e">
        <f t="shared" si="163"/>
        <v>#REF!</v>
      </c>
      <c r="KHZ247" s="29" t="e">
        <f t="shared" si="163"/>
        <v>#REF!</v>
      </c>
      <c r="KIA247" s="29" t="e">
        <f t="shared" si="163"/>
        <v>#REF!</v>
      </c>
      <c r="KIB247" s="29" t="e">
        <f t="shared" si="163"/>
        <v>#REF!</v>
      </c>
      <c r="KIC247" s="29" t="e">
        <f t="shared" si="163"/>
        <v>#REF!</v>
      </c>
      <c r="KID247" s="29" t="e">
        <f t="shared" si="163"/>
        <v>#REF!</v>
      </c>
      <c r="KIE247" s="29" t="e">
        <f t="shared" si="163"/>
        <v>#REF!</v>
      </c>
      <c r="KIF247" s="29" t="e">
        <f t="shared" si="163"/>
        <v>#REF!</v>
      </c>
      <c r="KIG247" s="29" t="e">
        <f t="shared" si="163"/>
        <v>#REF!</v>
      </c>
      <c r="KIH247" s="29" t="e">
        <f t="shared" si="163"/>
        <v>#REF!</v>
      </c>
      <c r="KII247" s="29" t="e">
        <f t="shared" si="163"/>
        <v>#REF!</v>
      </c>
      <c r="KIJ247" s="29" t="e">
        <f t="shared" si="163"/>
        <v>#REF!</v>
      </c>
      <c r="KIK247" s="29" t="e">
        <f t="shared" si="163"/>
        <v>#REF!</v>
      </c>
      <c r="KIL247" s="29" t="e">
        <f t="shared" si="163"/>
        <v>#REF!</v>
      </c>
      <c r="KIM247" s="29" t="e">
        <f t="shared" si="163"/>
        <v>#REF!</v>
      </c>
      <c r="KIN247" s="29" t="e">
        <f t="shared" si="163"/>
        <v>#REF!</v>
      </c>
      <c r="KIO247" s="29" t="e">
        <f t="shared" si="163"/>
        <v>#REF!</v>
      </c>
      <c r="KIP247" s="29" t="e">
        <f t="shared" si="163"/>
        <v>#REF!</v>
      </c>
      <c r="KIQ247" s="29" t="e">
        <f t="shared" si="163"/>
        <v>#REF!</v>
      </c>
      <c r="KIR247" s="29" t="e">
        <f t="shared" si="163"/>
        <v>#REF!</v>
      </c>
      <c r="KIS247" s="29" t="e">
        <f t="shared" si="163"/>
        <v>#REF!</v>
      </c>
      <c r="KIT247" s="29" t="e">
        <f t="shared" si="163"/>
        <v>#REF!</v>
      </c>
      <c r="KIU247" s="29" t="e">
        <f t="shared" si="163"/>
        <v>#REF!</v>
      </c>
      <c r="KIV247" s="29" t="e">
        <f t="shared" si="163"/>
        <v>#REF!</v>
      </c>
      <c r="KIW247" s="29" t="e">
        <f t="shared" si="163"/>
        <v>#REF!</v>
      </c>
      <c r="KIX247" s="29" t="e">
        <f t="shared" si="163"/>
        <v>#REF!</v>
      </c>
      <c r="KIY247" s="29" t="e">
        <f t="shared" si="163"/>
        <v>#REF!</v>
      </c>
      <c r="KIZ247" s="29" t="e">
        <f t="shared" si="163"/>
        <v>#REF!</v>
      </c>
      <c r="KJA247" s="29" t="e">
        <f t="shared" ref="KJA247:KLL247" si="164">KJE247&amp;KJF247</f>
        <v>#REF!</v>
      </c>
      <c r="KJB247" s="29" t="e">
        <f t="shared" si="164"/>
        <v>#REF!</v>
      </c>
      <c r="KJC247" s="29" t="e">
        <f t="shared" si="164"/>
        <v>#REF!</v>
      </c>
      <c r="KJD247" s="29" t="e">
        <f t="shared" si="164"/>
        <v>#REF!</v>
      </c>
      <c r="KJE247" s="29" t="e">
        <f t="shared" si="164"/>
        <v>#REF!</v>
      </c>
      <c r="KJF247" s="29" t="e">
        <f t="shared" si="164"/>
        <v>#REF!</v>
      </c>
      <c r="KJG247" s="29" t="e">
        <f t="shared" si="164"/>
        <v>#REF!</v>
      </c>
      <c r="KJH247" s="29" t="e">
        <f t="shared" si="164"/>
        <v>#REF!</v>
      </c>
      <c r="KJI247" s="29" t="e">
        <f t="shared" si="164"/>
        <v>#REF!</v>
      </c>
      <c r="KJJ247" s="29" t="e">
        <f t="shared" si="164"/>
        <v>#REF!</v>
      </c>
      <c r="KJK247" s="29" t="e">
        <f t="shared" si="164"/>
        <v>#REF!</v>
      </c>
      <c r="KJL247" s="29" t="e">
        <f t="shared" si="164"/>
        <v>#REF!</v>
      </c>
      <c r="KJM247" s="29" t="e">
        <f t="shared" si="164"/>
        <v>#REF!</v>
      </c>
      <c r="KJN247" s="29" t="e">
        <f t="shared" si="164"/>
        <v>#REF!</v>
      </c>
      <c r="KJO247" s="29" t="e">
        <f t="shared" si="164"/>
        <v>#REF!</v>
      </c>
      <c r="KJP247" s="29" t="e">
        <f t="shared" si="164"/>
        <v>#REF!</v>
      </c>
      <c r="KJQ247" s="29" t="e">
        <f t="shared" si="164"/>
        <v>#REF!</v>
      </c>
      <c r="KJR247" s="29" t="e">
        <f t="shared" si="164"/>
        <v>#REF!</v>
      </c>
      <c r="KJS247" s="29" t="e">
        <f t="shared" si="164"/>
        <v>#REF!</v>
      </c>
      <c r="KJT247" s="29" t="e">
        <f t="shared" si="164"/>
        <v>#REF!</v>
      </c>
      <c r="KJU247" s="29" t="e">
        <f t="shared" si="164"/>
        <v>#REF!</v>
      </c>
      <c r="KJV247" s="29" t="e">
        <f t="shared" si="164"/>
        <v>#REF!</v>
      </c>
      <c r="KJW247" s="29" t="e">
        <f t="shared" si="164"/>
        <v>#REF!</v>
      </c>
      <c r="KJX247" s="29" t="e">
        <f t="shared" si="164"/>
        <v>#REF!</v>
      </c>
      <c r="KJY247" s="29" t="e">
        <f t="shared" si="164"/>
        <v>#REF!</v>
      </c>
      <c r="KJZ247" s="29" t="e">
        <f t="shared" si="164"/>
        <v>#REF!</v>
      </c>
      <c r="KKA247" s="29" t="e">
        <f t="shared" si="164"/>
        <v>#REF!</v>
      </c>
      <c r="KKB247" s="29" t="e">
        <f t="shared" si="164"/>
        <v>#REF!</v>
      </c>
      <c r="KKC247" s="29" t="e">
        <f t="shared" si="164"/>
        <v>#REF!</v>
      </c>
      <c r="KKD247" s="29" t="e">
        <f t="shared" si="164"/>
        <v>#REF!</v>
      </c>
      <c r="KKE247" s="29" t="e">
        <f t="shared" si="164"/>
        <v>#REF!</v>
      </c>
      <c r="KKF247" s="29" t="e">
        <f t="shared" si="164"/>
        <v>#REF!</v>
      </c>
      <c r="KKG247" s="29" t="e">
        <f t="shared" si="164"/>
        <v>#REF!</v>
      </c>
      <c r="KKH247" s="29" t="e">
        <f t="shared" si="164"/>
        <v>#REF!</v>
      </c>
      <c r="KKI247" s="29" t="e">
        <f t="shared" si="164"/>
        <v>#REF!</v>
      </c>
      <c r="KKJ247" s="29" t="e">
        <f t="shared" si="164"/>
        <v>#REF!</v>
      </c>
      <c r="KKK247" s="29" t="e">
        <f t="shared" si="164"/>
        <v>#REF!</v>
      </c>
      <c r="KKL247" s="29" t="e">
        <f t="shared" si="164"/>
        <v>#REF!</v>
      </c>
      <c r="KKM247" s="29" t="e">
        <f t="shared" si="164"/>
        <v>#REF!</v>
      </c>
      <c r="KKN247" s="29" t="e">
        <f t="shared" si="164"/>
        <v>#REF!</v>
      </c>
      <c r="KKO247" s="29" t="e">
        <f t="shared" si="164"/>
        <v>#REF!</v>
      </c>
      <c r="KKP247" s="29" t="e">
        <f t="shared" si="164"/>
        <v>#REF!</v>
      </c>
      <c r="KKQ247" s="29" t="e">
        <f t="shared" si="164"/>
        <v>#REF!</v>
      </c>
      <c r="KKR247" s="29" t="e">
        <f t="shared" si="164"/>
        <v>#REF!</v>
      </c>
      <c r="KKS247" s="29" t="e">
        <f t="shared" si="164"/>
        <v>#REF!</v>
      </c>
      <c r="KKT247" s="29" t="e">
        <f t="shared" si="164"/>
        <v>#REF!</v>
      </c>
      <c r="KKU247" s="29" t="e">
        <f t="shared" si="164"/>
        <v>#REF!</v>
      </c>
      <c r="KKV247" s="29" t="e">
        <f t="shared" si="164"/>
        <v>#REF!</v>
      </c>
      <c r="KKW247" s="29" t="e">
        <f t="shared" si="164"/>
        <v>#REF!</v>
      </c>
      <c r="KKX247" s="29" t="e">
        <f t="shared" si="164"/>
        <v>#REF!</v>
      </c>
      <c r="KKY247" s="29" t="e">
        <f t="shared" si="164"/>
        <v>#REF!</v>
      </c>
      <c r="KKZ247" s="29" t="e">
        <f t="shared" si="164"/>
        <v>#REF!</v>
      </c>
      <c r="KLA247" s="29" t="e">
        <f t="shared" si="164"/>
        <v>#REF!</v>
      </c>
      <c r="KLB247" s="29" t="e">
        <f t="shared" si="164"/>
        <v>#REF!</v>
      </c>
      <c r="KLC247" s="29" t="e">
        <f t="shared" si="164"/>
        <v>#REF!</v>
      </c>
      <c r="KLD247" s="29" t="e">
        <f t="shared" si="164"/>
        <v>#REF!</v>
      </c>
      <c r="KLE247" s="29" t="e">
        <f t="shared" si="164"/>
        <v>#REF!</v>
      </c>
      <c r="KLF247" s="29" t="e">
        <f t="shared" si="164"/>
        <v>#REF!</v>
      </c>
      <c r="KLG247" s="29" t="e">
        <f t="shared" si="164"/>
        <v>#REF!</v>
      </c>
      <c r="KLH247" s="29" t="e">
        <f t="shared" si="164"/>
        <v>#REF!</v>
      </c>
      <c r="KLI247" s="29" t="e">
        <f t="shared" si="164"/>
        <v>#REF!</v>
      </c>
      <c r="KLJ247" s="29" t="e">
        <f t="shared" si="164"/>
        <v>#REF!</v>
      </c>
      <c r="KLK247" s="29" t="e">
        <f t="shared" si="164"/>
        <v>#REF!</v>
      </c>
      <c r="KLL247" s="29" t="e">
        <f t="shared" si="164"/>
        <v>#REF!</v>
      </c>
      <c r="KLM247" s="29" t="e">
        <f t="shared" ref="KLM247:KNX247" si="165">KLQ247&amp;KLR247</f>
        <v>#REF!</v>
      </c>
      <c r="KLN247" s="29" t="e">
        <f t="shared" si="165"/>
        <v>#REF!</v>
      </c>
      <c r="KLO247" s="29" t="e">
        <f t="shared" si="165"/>
        <v>#REF!</v>
      </c>
      <c r="KLP247" s="29" t="e">
        <f t="shared" si="165"/>
        <v>#REF!</v>
      </c>
      <c r="KLQ247" s="29" t="e">
        <f t="shared" si="165"/>
        <v>#REF!</v>
      </c>
      <c r="KLR247" s="29" t="e">
        <f t="shared" si="165"/>
        <v>#REF!</v>
      </c>
      <c r="KLS247" s="29" t="e">
        <f t="shared" si="165"/>
        <v>#REF!</v>
      </c>
      <c r="KLT247" s="29" t="e">
        <f t="shared" si="165"/>
        <v>#REF!</v>
      </c>
      <c r="KLU247" s="29" t="e">
        <f t="shared" si="165"/>
        <v>#REF!</v>
      </c>
      <c r="KLV247" s="29" t="e">
        <f t="shared" si="165"/>
        <v>#REF!</v>
      </c>
      <c r="KLW247" s="29" t="e">
        <f t="shared" si="165"/>
        <v>#REF!</v>
      </c>
      <c r="KLX247" s="29" t="e">
        <f t="shared" si="165"/>
        <v>#REF!</v>
      </c>
      <c r="KLY247" s="29" t="e">
        <f t="shared" si="165"/>
        <v>#REF!</v>
      </c>
      <c r="KLZ247" s="29" t="e">
        <f t="shared" si="165"/>
        <v>#REF!</v>
      </c>
      <c r="KMA247" s="29" t="e">
        <f t="shared" si="165"/>
        <v>#REF!</v>
      </c>
      <c r="KMB247" s="29" t="e">
        <f t="shared" si="165"/>
        <v>#REF!</v>
      </c>
      <c r="KMC247" s="29" t="e">
        <f t="shared" si="165"/>
        <v>#REF!</v>
      </c>
      <c r="KMD247" s="29" t="e">
        <f t="shared" si="165"/>
        <v>#REF!</v>
      </c>
      <c r="KME247" s="29" t="e">
        <f t="shared" si="165"/>
        <v>#REF!</v>
      </c>
      <c r="KMF247" s="29" t="e">
        <f t="shared" si="165"/>
        <v>#REF!</v>
      </c>
      <c r="KMG247" s="29" t="e">
        <f t="shared" si="165"/>
        <v>#REF!</v>
      </c>
      <c r="KMH247" s="29" t="e">
        <f t="shared" si="165"/>
        <v>#REF!</v>
      </c>
      <c r="KMI247" s="29" t="e">
        <f t="shared" si="165"/>
        <v>#REF!</v>
      </c>
      <c r="KMJ247" s="29" t="e">
        <f t="shared" si="165"/>
        <v>#REF!</v>
      </c>
      <c r="KMK247" s="29" t="e">
        <f t="shared" si="165"/>
        <v>#REF!</v>
      </c>
      <c r="KML247" s="29" t="e">
        <f t="shared" si="165"/>
        <v>#REF!</v>
      </c>
      <c r="KMM247" s="29" t="e">
        <f t="shared" si="165"/>
        <v>#REF!</v>
      </c>
      <c r="KMN247" s="29" t="e">
        <f t="shared" si="165"/>
        <v>#REF!</v>
      </c>
      <c r="KMO247" s="29" t="e">
        <f t="shared" si="165"/>
        <v>#REF!</v>
      </c>
      <c r="KMP247" s="29" t="e">
        <f t="shared" si="165"/>
        <v>#REF!</v>
      </c>
      <c r="KMQ247" s="29" t="e">
        <f t="shared" si="165"/>
        <v>#REF!</v>
      </c>
      <c r="KMR247" s="29" t="e">
        <f t="shared" si="165"/>
        <v>#REF!</v>
      </c>
      <c r="KMS247" s="29" t="e">
        <f t="shared" si="165"/>
        <v>#REF!</v>
      </c>
      <c r="KMT247" s="29" t="e">
        <f t="shared" si="165"/>
        <v>#REF!</v>
      </c>
      <c r="KMU247" s="29" t="e">
        <f t="shared" si="165"/>
        <v>#REF!</v>
      </c>
      <c r="KMV247" s="29" t="e">
        <f t="shared" si="165"/>
        <v>#REF!</v>
      </c>
      <c r="KMW247" s="29" t="e">
        <f t="shared" si="165"/>
        <v>#REF!</v>
      </c>
      <c r="KMX247" s="29" t="e">
        <f t="shared" si="165"/>
        <v>#REF!</v>
      </c>
      <c r="KMY247" s="29" t="e">
        <f t="shared" si="165"/>
        <v>#REF!</v>
      </c>
      <c r="KMZ247" s="29" t="e">
        <f t="shared" si="165"/>
        <v>#REF!</v>
      </c>
      <c r="KNA247" s="29" t="e">
        <f t="shared" si="165"/>
        <v>#REF!</v>
      </c>
      <c r="KNB247" s="29" t="e">
        <f t="shared" si="165"/>
        <v>#REF!</v>
      </c>
      <c r="KNC247" s="29" t="e">
        <f t="shared" si="165"/>
        <v>#REF!</v>
      </c>
      <c r="KND247" s="29" t="e">
        <f t="shared" si="165"/>
        <v>#REF!</v>
      </c>
      <c r="KNE247" s="29" t="e">
        <f t="shared" si="165"/>
        <v>#REF!</v>
      </c>
      <c r="KNF247" s="29" t="e">
        <f t="shared" si="165"/>
        <v>#REF!</v>
      </c>
      <c r="KNG247" s="29" t="e">
        <f t="shared" si="165"/>
        <v>#REF!</v>
      </c>
      <c r="KNH247" s="29" t="e">
        <f t="shared" si="165"/>
        <v>#REF!</v>
      </c>
      <c r="KNI247" s="29" t="e">
        <f t="shared" si="165"/>
        <v>#REF!</v>
      </c>
      <c r="KNJ247" s="29" t="e">
        <f t="shared" si="165"/>
        <v>#REF!</v>
      </c>
      <c r="KNK247" s="29" t="e">
        <f t="shared" si="165"/>
        <v>#REF!</v>
      </c>
      <c r="KNL247" s="29" t="e">
        <f t="shared" si="165"/>
        <v>#REF!</v>
      </c>
      <c r="KNM247" s="29" t="e">
        <f t="shared" si="165"/>
        <v>#REF!</v>
      </c>
      <c r="KNN247" s="29" t="e">
        <f t="shared" si="165"/>
        <v>#REF!</v>
      </c>
      <c r="KNO247" s="29" t="e">
        <f t="shared" si="165"/>
        <v>#REF!</v>
      </c>
      <c r="KNP247" s="29" t="e">
        <f t="shared" si="165"/>
        <v>#REF!</v>
      </c>
      <c r="KNQ247" s="29" t="e">
        <f t="shared" si="165"/>
        <v>#REF!</v>
      </c>
      <c r="KNR247" s="29" t="e">
        <f t="shared" si="165"/>
        <v>#REF!</v>
      </c>
      <c r="KNS247" s="29" t="e">
        <f t="shared" si="165"/>
        <v>#REF!</v>
      </c>
      <c r="KNT247" s="29" t="e">
        <f t="shared" si="165"/>
        <v>#REF!</v>
      </c>
      <c r="KNU247" s="29" t="e">
        <f t="shared" si="165"/>
        <v>#REF!</v>
      </c>
      <c r="KNV247" s="29" t="e">
        <f t="shared" si="165"/>
        <v>#REF!</v>
      </c>
      <c r="KNW247" s="29" t="e">
        <f t="shared" si="165"/>
        <v>#REF!</v>
      </c>
      <c r="KNX247" s="29" t="e">
        <f t="shared" si="165"/>
        <v>#REF!</v>
      </c>
      <c r="KNY247" s="29" t="e">
        <f t="shared" ref="KNY247:KQJ247" si="166">KOC247&amp;KOD247</f>
        <v>#REF!</v>
      </c>
      <c r="KNZ247" s="29" t="e">
        <f t="shared" si="166"/>
        <v>#REF!</v>
      </c>
      <c r="KOA247" s="29" t="e">
        <f t="shared" si="166"/>
        <v>#REF!</v>
      </c>
      <c r="KOB247" s="29" t="e">
        <f t="shared" si="166"/>
        <v>#REF!</v>
      </c>
      <c r="KOC247" s="29" t="e">
        <f t="shared" si="166"/>
        <v>#REF!</v>
      </c>
      <c r="KOD247" s="29" t="e">
        <f t="shared" si="166"/>
        <v>#REF!</v>
      </c>
      <c r="KOE247" s="29" t="e">
        <f t="shared" si="166"/>
        <v>#REF!</v>
      </c>
      <c r="KOF247" s="29" t="e">
        <f t="shared" si="166"/>
        <v>#REF!</v>
      </c>
      <c r="KOG247" s="29" t="e">
        <f t="shared" si="166"/>
        <v>#REF!</v>
      </c>
      <c r="KOH247" s="29" t="e">
        <f t="shared" si="166"/>
        <v>#REF!</v>
      </c>
      <c r="KOI247" s="29" t="e">
        <f t="shared" si="166"/>
        <v>#REF!</v>
      </c>
      <c r="KOJ247" s="29" t="e">
        <f t="shared" si="166"/>
        <v>#REF!</v>
      </c>
      <c r="KOK247" s="29" t="e">
        <f t="shared" si="166"/>
        <v>#REF!</v>
      </c>
      <c r="KOL247" s="29" t="e">
        <f t="shared" si="166"/>
        <v>#REF!</v>
      </c>
      <c r="KOM247" s="29" t="e">
        <f t="shared" si="166"/>
        <v>#REF!</v>
      </c>
      <c r="KON247" s="29" t="e">
        <f t="shared" si="166"/>
        <v>#REF!</v>
      </c>
      <c r="KOO247" s="29" t="e">
        <f t="shared" si="166"/>
        <v>#REF!</v>
      </c>
      <c r="KOP247" s="29" t="e">
        <f t="shared" si="166"/>
        <v>#REF!</v>
      </c>
      <c r="KOQ247" s="29" t="e">
        <f t="shared" si="166"/>
        <v>#REF!</v>
      </c>
      <c r="KOR247" s="29" t="e">
        <f t="shared" si="166"/>
        <v>#REF!</v>
      </c>
      <c r="KOS247" s="29" t="e">
        <f t="shared" si="166"/>
        <v>#REF!</v>
      </c>
      <c r="KOT247" s="29" t="e">
        <f t="shared" si="166"/>
        <v>#REF!</v>
      </c>
      <c r="KOU247" s="29" t="e">
        <f t="shared" si="166"/>
        <v>#REF!</v>
      </c>
      <c r="KOV247" s="29" t="e">
        <f t="shared" si="166"/>
        <v>#REF!</v>
      </c>
      <c r="KOW247" s="29" t="e">
        <f t="shared" si="166"/>
        <v>#REF!</v>
      </c>
      <c r="KOX247" s="29" t="e">
        <f t="shared" si="166"/>
        <v>#REF!</v>
      </c>
      <c r="KOY247" s="29" t="e">
        <f t="shared" si="166"/>
        <v>#REF!</v>
      </c>
      <c r="KOZ247" s="29" t="e">
        <f t="shared" si="166"/>
        <v>#REF!</v>
      </c>
      <c r="KPA247" s="29" t="e">
        <f t="shared" si="166"/>
        <v>#REF!</v>
      </c>
      <c r="KPB247" s="29" t="e">
        <f t="shared" si="166"/>
        <v>#REF!</v>
      </c>
      <c r="KPC247" s="29" t="e">
        <f t="shared" si="166"/>
        <v>#REF!</v>
      </c>
      <c r="KPD247" s="29" t="e">
        <f t="shared" si="166"/>
        <v>#REF!</v>
      </c>
      <c r="KPE247" s="29" t="e">
        <f t="shared" si="166"/>
        <v>#REF!</v>
      </c>
      <c r="KPF247" s="29" t="e">
        <f t="shared" si="166"/>
        <v>#REF!</v>
      </c>
      <c r="KPG247" s="29" t="e">
        <f t="shared" si="166"/>
        <v>#REF!</v>
      </c>
      <c r="KPH247" s="29" t="e">
        <f t="shared" si="166"/>
        <v>#REF!</v>
      </c>
      <c r="KPI247" s="29" t="e">
        <f t="shared" si="166"/>
        <v>#REF!</v>
      </c>
      <c r="KPJ247" s="29" t="e">
        <f t="shared" si="166"/>
        <v>#REF!</v>
      </c>
      <c r="KPK247" s="29" t="e">
        <f t="shared" si="166"/>
        <v>#REF!</v>
      </c>
      <c r="KPL247" s="29" t="e">
        <f t="shared" si="166"/>
        <v>#REF!</v>
      </c>
      <c r="KPM247" s="29" t="e">
        <f t="shared" si="166"/>
        <v>#REF!</v>
      </c>
      <c r="KPN247" s="29" t="e">
        <f t="shared" si="166"/>
        <v>#REF!</v>
      </c>
      <c r="KPO247" s="29" t="e">
        <f t="shared" si="166"/>
        <v>#REF!</v>
      </c>
      <c r="KPP247" s="29" t="e">
        <f t="shared" si="166"/>
        <v>#REF!</v>
      </c>
      <c r="KPQ247" s="29" t="e">
        <f t="shared" si="166"/>
        <v>#REF!</v>
      </c>
      <c r="KPR247" s="29" t="e">
        <f t="shared" si="166"/>
        <v>#REF!</v>
      </c>
      <c r="KPS247" s="29" t="e">
        <f t="shared" si="166"/>
        <v>#REF!</v>
      </c>
      <c r="KPT247" s="29" t="e">
        <f t="shared" si="166"/>
        <v>#REF!</v>
      </c>
      <c r="KPU247" s="29" t="e">
        <f t="shared" si="166"/>
        <v>#REF!</v>
      </c>
      <c r="KPV247" s="29" t="e">
        <f t="shared" si="166"/>
        <v>#REF!</v>
      </c>
      <c r="KPW247" s="29" t="e">
        <f t="shared" si="166"/>
        <v>#REF!</v>
      </c>
      <c r="KPX247" s="29" t="e">
        <f t="shared" si="166"/>
        <v>#REF!</v>
      </c>
      <c r="KPY247" s="29" t="e">
        <f t="shared" si="166"/>
        <v>#REF!</v>
      </c>
      <c r="KPZ247" s="29" t="e">
        <f t="shared" si="166"/>
        <v>#REF!</v>
      </c>
      <c r="KQA247" s="29" t="e">
        <f t="shared" si="166"/>
        <v>#REF!</v>
      </c>
      <c r="KQB247" s="29" t="e">
        <f t="shared" si="166"/>
        <v>#REF!</v>
      </c>
      <c r="KQC247" s="29" t="e">
        <f t="shared" si="166"/>
        <v>#REF!</v>
      </c>
      <c r="KQD247" s="29" t="e">
        <f t="shared" si="166"/>
        <v>#REF!</v>
      </c>
      <c r="KQE247" s="29" t="e">
        <f t="shared" si="166"/>
        <v>#REF!</v>
      </c>
      <c r="KQF247" s="29" t="e">
        <f t="shared" si="166"/>
        <v>#REF!</v>
      </c>
      <c r="KQG247" s="29" t="e">
        <f t="shared" si="166"/>
        <v>#REF!</v>
      </c>
      <c r="KQH247" s="29" t="e">
        <f t="shared" si="166"/>
        <v>#REF!</v>
      </c>
      <c r="KQI247" s="29" t="e">
        <f t="shared" si="166"/>
        <v>#REF!</v>
      </c>
      <c r="KQJ247" s="29" t="e">
        <f t="shared" si="166"/>
        <v>#REF!</v>
      </c>
      <c r="KQK247" s="29" t="e">
        <f t="shared" ref="KQK247:KSV247" si="167">KQO247&amp;KQP247</f>
        <v>#REF!</v>
      </c>
      <c r="KQL247" s="29" t="e">
        <f t="shared" si="167"/>
        <v>#REF!</v>
      </c>
      <c r="KQM247" s="29" t="e">
        <f t="shared" si="167"/>
        <v>#REF!</v>
      </c>
      <c r="KQN247" s="29" t="e">
        <f t="shared" si="167"/>
        <v>#REF!</v>
      </c>
      <c r="KQO247" s="29" t="e">
        <f t="shared" si="167"/>
        <v>#REF!</v>
      </c>
      <c r="KQP247" s="29" t="e">
        <f t="shared" si="167"/>
        <v>#REF!</v>
      </c>
      <c r="KQQ247" s="29" t="e">
        <f t="shared" si="167"/>
        <v>#REF!</v>
      </c>
      <c r="KQR247" s="29" t="e">
        <f t="shared" si="167"/>
        <v>#REF!</v>
      </c>
      <c r="KQS247" s="29" t="e">
        <f t="shared" si="167"/>
        <v>#REF!</v>
      </c>
      <c r="KQT247" s="29" t="e">
        <f t="shared" si="167"/>
        <v>#REF!</v>
      </c>
      <c r="KQU247" s="29" t="e">
        <f t="shared" si="167"/>
        <v>#REF!</v>
      </c>
      <c r="KQV247" s="29" t="e">
        <f t="shared" si="167"/>
        <v>#REF!</v>
      </c>
      <c r="KQW247" s="29" t="e">
        <f t="shared" si="167"/>
        <v>#REF!</v>
      </c>
      <c r="KQX247" s="29" t="e">
        <f t="shared" si="167"/>
        <v>#REF!</v>
      </c>
      <c r="KQY247" s="29" t="e">
        <f t="shared" si="167"/>
        <v>#REF!</v>
      </c>
      <c r="KQZ247" s="29" t="e">
        <f t="shared" si="167"/>
        <v>#REF!</v>
      </c>
      <c r="KRA247" s="29" t="e">
        <f t="shared" si="167"/>
        <v>#REF!</v>
      </c>
      <c r="KRB247" s="29" t="e">
        <f t="shared" si="167"/>
        <v>#REF!</v>
      </c>
      <c r="KRC247" s="29" t="e">
        <f t="shared" si="167"/>
        <v>#REF!</v>
      </c>
      <c r="KRD247" s="29" t="e">
        <f t="shared" si="167"/>
        <v>#REF!</v>
      </c>
      <c r="KRE247" s="29" t="e">
        <f t="shared" si="167"/>
        <v>#REF!</v>
      </c>
      <c r="KRF247" s="29" t="e">
        <f t="shared" si="167"/>
        <v>#REF!</v>
      </c>
      <c r="KRG247" s="29" t="e">
        <f t="shared" si="167"/>
        <v>#REF!</v>
      </c>
      <c r="KRH247" s="29" t="e">
        <f t="shared" si="167"/>
        <v>#REF!</v>
      </c>
      <c r="KRI247" s="29" t="e">
        <f t="shared" si="167"/>
        <v>#REF!</v>
      </c>
      <c r="KRJ247" s="29" t="e">
        <f t="shared" si="167"/>
        <v>#REF!</v>
      </c>
      <c r="KRK247" s="29" t="e">
        <f t="shared" si="167"/>
        <v>#REF!</v>
      </c>
      <c r="KRL247" s="29" t="e">
        <f t="shared" si="167"/>
        <v>#REF!</v>
      </c>
      <c r="KRM247" s="29" t="e">
        <f t="shared" si="167"/>
        <v>#REF!</v>
      </c>
      <c r="KRN247" s="29" t="e">
        <f t="shared" si="167"/>
        <v>#REF!</v>
      </c>
      <c r="KRO247" s="29" t="e">
        <f t="shared" si="167"/>
        <v>#REF!</v>
      </c>
      <c r="KRP247" s="29" t="e">
        <f t="shared" si="167"/>
        <v>#REF!</v>
      </c>
      <c r="KRQ247" s="29" t="e">
        <f t="shared" si="167"/>
        <v>#REF!</v>
      </c>
      <c r="KRR247" s="29" t="e">
        <f t="shared" si="167"/>
        <v>#REF!</v>
      </c>
      <c r="KRS247" s="29" t="e">
        <f t="shared" si="167"/>
        <v>#REF!</v>
      </c>
      <c r="KRT247" s="29" t="e">
        <f t="shared" si="167"/>
        <v>#REF!</v>
      </c>
      <c r="KRU247" s="29" t="e">
        <f t="shared" si="167"/>
        <v>#REF!</v>
      </c>
      <c r="KRV247" s="29" t="e">
        <f t="shared" si="167"/>
        <v>#REF!</v>
      </c>
      <c r="KRW247" s="29" t="e">
        <f t="shared" si="167"/>
        <v>#REF!</v>
      </c>
      <c r="KRX247" s="29" t="e">
        <f t="shared" si="167"/>
        <v>#REF!</v>
      </c>
      <c r="KRY247" s="29" t="e">
        <f t="shared" si="167"/>
        <v>#REF!</v>
      </c>
      <c r="KRZ247" s="29" t="e">
        <f t="shared" si="167"/>
        <v>#REF!</v>
      </c>
      <c r="KSA247" s="29" t="e">
        <f t="shared" si="167"/>
        <v>#REF!</v>
      </c>
      <c r="KSB247" s="29" t="e">
        <f t="shared" si="167"/>
        <v>#REF!</v>
      </c>
      <c r="KSC247" s="29" t="e">
        <f t="shared" si="167"/>
        <v>#REF!</v>
      </c>
      <c r="KSD247" s="29" t="e">
        <f t="shared" si="167"/>
        <v>#REF!</v>
      </c>
      <c r="KSE247" s="29" t="e">
        <f t="shared" si="167"/>
        <v>#REF!</v>
      </c>
      <c r="KSF247" s="29" t="e">
        <f t="shared" si="167"/>
        <v>#REF!</v>
      </c>
      <c r="KSG247" s="29" t="e">
        <f t="shared" si="167"/>
        <v>#REF!</v>
      </c>
      <c r="KSH247" s="29" t="e">
        <f t="shared" si="167"/>
        <v>#REF!</v>
      </c>
      <c r="KSI247" s="29" t="e">
        <f t="shared" si="167"/>
        <v>#REF!</v>
      </c>
      <c r="KSJ247" s="29" t="e">
        <f t="shared" si="167"/>
        <v>#REF!</v>
      </c>
      <c r="KSK247" s="29" t="e">
        <f t="shared" si="167"/>
        <v>#REF!</v>
      </c>
      <c r="KSL247" s="29" t="e">
        <f t="shared" si="167"/>
        <v>#REF!</v>
      </c>
      <c r="KSM247" s="29" t="e">
        <f t="shared" si="167"/>
        <v>#REF!</v>
      </c>
      <c r="KSN247" s="29" t="e">
        <f t="shared" si="167"/>
        <v>#REF!</v>
      </c>
      <c r="KSO247" s="29" t="e">
        <f t="shared" si="167"/>
        <v>#REF!</v>
      </c>
      <c r="KSP247" s="29" t="e">
        <f t="shared" si="167"/>
        <v>#REF!</v>
      </c>
      <c r="KSQ247" s="29" t="e">
        <f t="shared" si="167"/>
        <v>#REF!</v>
      </c>
      <c r="KSR247" s="29" t="e">
        <f t="shared" si="167"/>
        <v>#REF!</v>
      </c>
      <c r="KSS247" s="29" t="e">
        <f t="shared" si="167"/>
        <v>#REF!</v>
      </c>
      <c r="KST247" s="29" t="e">
        <f t="shared" si="167"/>
        <v>#REF!</v>
      </c>
      <c r="KSU247" s="29" t="e">
        <f t="shared" si="167"/>
        <v>#REF!</v>
      </c>
      <c r="KSV247" s="29" t="e">
        <f t="shared" si="167"/>
        <v>#REF!</v>
      </c>
      <c r="KSW247" s="29" t="e">
        <f t="shared" ref="KSW247:KVH247" si="168">KTA247&amp;KTB247</f>
        <v>#REF!</v>
      </c>
      <c r="KSX247" s="29" t="e">
        <f t="shared" si="168"/>
        <v>#REF!</v>
      </c>
      <c r="KSY247" s="29" t="e">
        <f t="shared" si="168"/>
        <v>#REF!</v>
      </c>
      <c r="KSZ247" s="29" t="e">
        <f t="shared" si="168"/>
        <v>#REF!</v>
      </c>
      <c r="KTA247" s="29" t="e">
        <f t="shared" si="168"/>
        <v>#REF!</v>
      </c>
      <c r="KTB247" s="29" t="e">
        <f t="shared" si="168"/>
        <v>#REF!</v>
      </c>
      <c r="KTC247" s="29" t="e">
        <f t="shared" si="168"/>
        <v>#REF!</v>
      </c>
      <c r="KTD247" s="29" t="e">
        <f t="shared" si="168"/>
        <v>#REF!</v>
      </c>
      <c r="KTE247" s="29" t="e">
        <f t="shared" si="168"/>
        <v>#REF!</v>
      </c>
      <c r="KTF247" s="29" t="e">
        <f t="shared" si="168"/>
        <v>#REF!</v>
      </c>
      <c r="KTG247" s="29" t="e">
        <f t="shared" si="168"/>
        <v>#REF!</v>
      </c>
      <c r="KTH247" s="29" t="e">
        <f t="shared" si="168"/>
        <v>#REF!</v>
      </c>
      <c r="KTI247" s="29" t="e">
        <f t="shared" si="168"/>
        <v>#REF!</v>
      </c>
      <c r="KTJ247" s="29" t="e">
        <f t="shared" si="168"/>
        <v>#REF!</v>
      </c>
      <c r="KTK247" s="29" t="e">
        <f t="shared" si="168"/>
        <v>#REF!</v>
      </c>
      <c r="KTL247" s="29" t="e">
        <f t="shared" si="168"/>
        <v>#REF!</v>
      </c>
      <c r="KTM247" s="29" t="e">
        <f t="shared" si="168"/>
        <v>#REF!</v>
      </c>
      <c r="KTN247" s="29" t="e">
        <f t="shared" si="168"/>
        <v>#REF!</v>
      </c>
      <c r="KTO247" s="29" t="e">
        <f t="shared" si="168"/>
        <v>#REF!</v>
      </c>
      <c r="KTP247" s="29" t="e">
        <f t="shared" si="168"/>
        <v>#REF!</v>
      </c>
      <c r="KTQ247" s="29" t="e">
        <f t="shared" si="168"/>
        <v>#REF!</v>
      </c>
      <c r="KTR247" s="29" t="e">
        <f t="shared" si="168"/>
        <v>#REF!</v>
      </c>
      <c r="KTS247" s="29" t="e">
        <f t="shared" si="168"/>
        <v>#REF!</v>
      </c>
      <c r="KTT247" s="29" t="e">
        <f t="shared" si="168"/>
        <v>#REF!</v>
      </c>
      <c r="KTU247" s="29" t="e">
        <f t="shared" si="168"/>
        <v>#REF!</v>
      </c>
      <c r="KTV247" s="29" t="e">
        <f t="shared" si="168"/>
        <v>#REF!</v>
      </c>
      <c r="KTW247" s="29" t="e">
        <f t="shared" si="168"/>
        <v>#REF!</v>
      </c>
      <c r="KTX247" s="29" t="e">
        <f t="shared" si="168"/>
        <v>#REF!</v>
      </c>
      <c r="KTY247" s="29" t="e">
        <f t="shared" si="168"/>
        <v>#REF!</v>
      </c>
      <c r="KTZ247" s="29" t="e">
        <f t="shared" si="168"/>
        <v>#REF!</v>
      </c>
      <c r="KUA247" s="29" t="e">
        <f t="shared" si="168"/>
        <v>#REF!</v>
      </c>
      <c r="KUB247" s="29" t="e">
        <f t="shared" si="168"/>
        <v>#REF!</v>
      </c>
      <c r="KUC247" s="29" t="e">
        <f t="shared" si="168"/>
        <v>#REF!</v>
      </c>
      <c r="KUD247" s="29" t="e">
        <f t="shared" si="168"/>
        <v>#REF!</v>
      </c>
      <c r="KUE247" s="29" t="e">
        <f t="shared" si="168"/>
        <v>#REF!</v>
      </c>
      <c r="KUF247" s="29" t="e">
        <f t="shared" si="168"/>
        <v>#REF!</v>
      </c>
      <c r="KUG247" s="29" t="e">
        <f t="shared" si="168"/>
        <v>#REF!</v>
      </c>
      <c r="KUH247" s="29" t="e">
        <f t="shared" si="168"/>
        <v>#REF!</v>
      </c>
      <c r="KUI247" s="29" t="e">
        <f t="shared" si="168"/>
        <v>#REF!</v>
      </c>
      <c r="KUJ247" s="29" t="e">
        <f t="shared" si="168"/>
        <v>#REF!</v>
      </c>
      <c r="KUK247" s="29" t="e">
        <f t="shared" si="168"/>
        <v>#REF!</v>
      </c>
      <c r="KUL247" s="29" t="e">
        <f t="shared" si="168"/>
        <v>#REF!</v>
      </c>
      <c r="KUM247" s="29" t="e">
        <f t="shared" si="168"/>
        <v>#REF!</v>
      </c>
      <c r="KUN247" s="29" t="e">
        <f t="shared" si="168"/>
        <v>#REF!</v>
      </c>
      <c r="KUO247" s="29" t="e">
        <f t="shared" si="168"/>
        <v>#REF!</v>
      </c>
      <c r="KUP247" s="29" t="e">
        <f t="shared" si="168"/>
        <v>#REF!</v>
      </c>
      <c r="KUQ247" s="29" t="e">
        <f t="shared" si="168"/>
        <v>#REF!</v>
      </c>
      <c r="KUR247" s="29" t="e">
        <f t="shared" si="168"/>
        <v>#REF!</v>
      </c>
      <c r="KUS247" s="29" t="e">
        <f t="shared" si="168"/>
        <v>#REF!</v>
      </c>
      <c r="KUT247" s="29" t="e">
        <f t="shared" si="168"/>
        <v>#REF!</v>
      </c>
      <c r="KUU247" s="29" t="e">
        <f t="shared" si="168"/>
        <v>#REF!</v>
      </c>
      <c r="KUV247" s="29" t="e">
        <f t="shared" si="168"/>
        <v>#REF!</v>
      </c>
      <c r="KUW247" s="29" t="e">
        <f t="shared" si="168"/>
        <v>#REF!</v>
      </c>
      <c r="KUX247" s="29" t="e">
        <f t="shared" si="168"/>
        <v>#REF!</v>
      </c>
      <c r="KUY247" s="29" t="e">
        <f t="shared" si="168"/>
        <v>#REF!</v>
      </c>
      <c r="KUZ247" s="29" t="e">
        <f t="shared" si="168"/>
        <v>#REF!</v>
      </c>
      <c r="KVA247" s="29" t="e">
        <f t="shared" si="168"/>
        <v>#REF!</v>
      </c>
      <c r="KVB247" s="29" t="e">
        <f t="shared" si="168"/>
        <v>#REF!</v>
      </c>
      <c r="KVC247" s="29" t="e">
        <f t="shared" si="168"/>
        <v>#REF!</v>
      </c>
      <c r="KVD247" s="29" t="e">
        <f t="shared" si="168"/>
        <v>#REF!</v>
      </c>
      <c r="KVE247" s="29" t="e">
        <f t="shared" si="168"/>
        <v>#REF!</v>
      </c>
      <c r="KVF247" s="29" t="e">
        <f t="shared" si="168"/>
        <v>#REF!</v>
      </c>
      <c r="KVG247" s="29" t="e">
        <f t="shared" si="168"/>
        <v>#REF!</v>
      </c>
      <c r="KVH247" s="29" t="e">
        <f t="shared" si="168"/>
        <v>#REF!</v>
      </c>
      <c r="KVI247" s="29" t="e">
        <f t="shared" ref="KVI247:KXT247" si="169">KVM247&amp;KVN247</f>
        <v>#REF!</v>
      </c>
      <c r="KVJ247" s="29" t="e">
        <f t="shared" si="169"/>
        <v>#REF!</v>
      </c>
      <c r="KVK247" s="29" t="e">
        <f t="shared" si="169"/>
        <v>#REF!</v>
      </c>
      <c r="KVL247" s="29" t="e">
        <f t="shared" si="169"/>
        <v>#REF!</v>
      </c>
      <c r="KVM247" s="29" t="e">
        <f t="shared" si="169"/>
        <v>#REF!</v>
      </c>
      <c r="KVN247" s="29" t="e">
        <f t="shared" si="169"/>
        <v>#REF!</v>
      </c>
      <c r="KVO247" s="29" t="e">
        <f t="shared" si="169"/>
        <v>#REF!</v>
      </c>
      <c r="KVP247" s="29" t="e">
        <f t="shared" si="169"/>
        <v>#REF!</v>
      </c>
      <c r="KVQ247" s="29" t="e">
        <f t="shared" si="169"/>
        <v>#REF!</v>
      </c>
      <c r="KVR247" s="29" t="e">
        <f t="shared" si="169"/>
        <v>#REF!</v>
      </c>
      <c r="KVS247" s="29" t="e">
        <f t="shared" si="169"/>
        <v>#REF!</v>
      </c>
      <c r="KVT247" s="29" t="e">
        <f t="shared" si="169"/>
        <v>#REF!</v>
      </c>
      <c r="KVU247" s="29" t="e">
        <f t="shared" si="169"/>
        <v>#REF!</v>
      </c>
      <c r="KVV247" s="29" t="e">
        <f t="shared" si="169"/>
        <v>#REF!</v>
      </c>
      <c r="KVW247" s="29" t="e">
        <f t="shared" si="169"/>
        <v>#REF!</v>
      </c>
      <c r="KVX247" s="29" t="e">
        <f t="shared" si="169"/>
        <v>#REF!</v>
      </c>
      <c r="KVY247" s="29" t="e">
        <f t="shared" si="169"/>
        <v>#REF!</v>
      </c>
      <c r="KVZ247" s="29" t="e">
        <f t="shared" si="169"/>
        <v>#REF!</v>
      </c>
      <c r="KWA247" s="29" t="e">
        <f t="shared" si="169"/>
        <v>#REF!</v>
      </c>
      <c r="KWB247" s="29" t="e">
        <f t="shared" si="169"/>
        <v>#REF!</v>
      </c>
      <c r="KWC247" s="29" t="e">
        <f t="shared" si="169"/>
        <v>#REF!</v>
      </c>
      <c r="KWD247" s="29" t="e">
        <f t="shared" si="169"/>
        <v>#REF!</v>
      </c>
      <c r="KWE247" s="29" t="e">
        <f t="shared" si="169"/>
        <v>#REF!</v>
      </c>
      <c r="KWF247" s="29" t="e">
        <f t="shared" si="169"/>
        <v>#REF!</v>
      </c>
      <c r="KWG247" s="29" t="e">
        <f t="shared" si="169"/>
        <v>#REF!</v>
      </c>
      <c r="KWH247" s="29" t="e">
        <f t="shared" si="169"/>
        <v>#REF!</v>
      </c>
      <c r="KWI247" s="29" t="e">
        <f t="shared" si="169"/>
        <v>#REF!</v>
      </c>
      <c r="KWJ247" s="29" t="e">
        <f t="shared" si="169"/>
        <v>#REF!</v>
      </c>
      <c r="KWK247" s="29" t="e">
        <f t="shared" si="169"/>
        <v>#REF!</v>
      </c>
      <c r="KWL247" s="29" t="e">
        <f t="shared" si="169"/>
        <v>#REF!</v>
      </c>
      <c r="KWM247" s="29" t="e">
        <f t="shared" si="169"/>
        <v>#REF!</v>
      </c>
      <c r="KWN247" s="29" t="e">
        <f t="shared" si="169"/>
        <v>#REF!</v>
      </c>
      <c r="KWO247" s="29" t="e">
        <f t="shared" si="169"/>
        <v>#REF!</v>
      </c>
      <c r="KWP247" s="29" t="e">
        <f t="shared" si="169"/>
        <v>#REF!</v>
      </c>
      <c r="KWQ247" s="29" t="e">
        <f t="shared" si="169"/>
        <v>#REF!</v>
      </c>
      <c r="KWR247" s="29" t="e">
        <f t="shared" si="169"/>
        <v>#REF!</v>
      </c>
      <c r="KWS247" s="29" t="e">
        <f t="shared" si="169"/>
        <v>#REF!</v>
      </c>
      <c r="KWT247" s="29" t="e">
        <f t="shared" si="169"/>
        <v>#REF!</v>
      </c>
      <c r="KWU247" s="29" t="e">
        <f t="shared" si="169"/>
        <v>#REF!</v>
      </c>
      <c r="KWV247" s="29" t="e">
        <f t="shared" si="169"/>
        <v>#REF!</v>
      </c>
      <c r="KWW247" s="29" t="e">
        <f t="shared" si="169"/>
        <v>#REF!</v>
      </c>
      <c r="KWX247" s="29" t="e">
        <f t="shared" si="169"/>
        <v>#REF!</v>
      </c>
      <c r="KWY247" s="29" t="e">
        <f t="shared" si="169"/>
        <v>#REF!</v>
      </c>
      <c r="KWZ247" s="29" t="e">
        <f t="shared" si="169"/>
        <v>#REF!</v>
      </c>
      <c r="KXA247" s="29" t="e">
        <f t="shared" si="169"/>
        <v>#REF!</v>
      </c>
      <c r="KXB247" s="29" t="e">
        <f t="shared" si="169"/>
        <v>#REF!</v>
      </c>
      <c r="KXC247" s="29" t="e">
        <f t="shared" si="169"/>
        <v>#REF!</v>
      </c>
      <c r="KXD247" s="29" t="e">
        <f t="shared" si="169"/>
        <v>#REF!</v>
      </c>
      <c r="KXE247" s="29" t="e">
        <f t="shared" si="169"/>
        <v>#REF!</v>
      </c>
      <c r="KXF247" s="29" t="e">
        <f t="shared" si="169"/>
        <v>#REF!</v>
      </c>
      <c r="KXG247" s="29" t="e">
        <f t="shared" si="169"/>
        <v>#REF!</v>
      </c>
      <c r="KXH247" s="29" t="e">
        <f t="shared" si="169"/>
        <v>#REF!</v>
      </c>
      <c r="KXI247" s="29" t="e">
        <f t="shared" si="169"/>
        <v>#REF!</v>
      </c>
      <c r="KXJ247" s="29" t="e">
        <f t="shared" si="169"/>
        <v>#REF!</v>
      </c>
      <c r="KXK247" s="29" t="e">
        <f t="shared" si="169"/>
        <v>#REF!</v>
      </c>
      <c r="KXL247" s="29" t="e">
        <f t="shared" si="169"/>
        <v>#REF!</v>
      </c>
      <c r="KXM247" s="29" t="e">
        <f t="shared" si="169"/>
        <v>#REF!</v>
      </c>
      <c r="KXN247" s="29" t="e">
        <f t="shared" si="169"/>
        <v>#REF!</v>
      </c>
      <c r="KXO247" s="29" t="e">
        <f t="shared" si="169"/>
        <v>#REF!</v>
      </c>
      <c r="KXP247" s="29" t="e">
        <f t="shared" si="169"/>
        <v>#REF!</v>
      </c>
      <c r="KXQ247" s="29" t="e">
        <f t="shared" si="169"/>
        <v>#REF!</v>
      </c>
      <c r="KXR247" s="29" t="e">
        <f t="shared" si="169"/>
        <v>#REF!</v>
      </c>
      <c r="KXS247" s="29" t="e">
        <f t="shared" si="169"/>
        <v>#REF!</v>
      </c>
      <c r="KXT247" s="29" t="e">
        <f t="shared" si="169"/>
        <v>#REF!</v>
      </c>
      <c r="KXU247" s="29" t="e">
        <f t="shared" ref="KXU247:LAF247" si="170">KXY247&amp;KXZ247</f>
        <v>#REF!</v>
      </c>
      <c r="KXV247" s="29" t="e">
        <f t="shared" si="170"/>
        <v>#REF!</v>
      </c>
      <c r="KXW247" s="29" t="e">
        <f t="shared" si="170"/>
        <v>#REF!</v>
      </c>
      <c r="KXX247" s="29" t="e">
        <f t="shared" si="170"/>
        <v>#REF!</v>
      </c>
      <c r="KXY247" s="29" t="e">
        <f t="shared" si="170"/>
        <v>#REF!</v>
      </c>
      <c r="KXZ247" s="29" t="e">
        <f t="shared" si="170"/>
        <v>#REF!</v>
      </c>
      <c r="KYA247" s="29" t="e">
        <f t="shared" si="170"/>
        <v>#REF!</v>
      </c>
      <c r="KYB247" s="29" t="e">
        <f t="shared" si="170"/>
        <v>#REF!</v>
      </c>
      <c r="KYC247" s="29" t="e">
        <f t="shared" si="170"/>
        <v>#REF!</v>
      </c>
      <c r="KYD247" s="29" t="e">
        <f t="shared" si="170"/>
        <v>#REF!</v>
      </c>
      <c r="KYE247" s="29" t="e">
        <f t="shared" si="170"/>
        <v>#REF!</v>
      </c>
      <c r="KYF247" s="29" t="e">
        <f t="shared" si="170"/>
        <v>#REF!</v>
      </c>
      <c r="KYG247" s="29" t="e">
        <f t="shared" si="170"/>
        <v>#REF!</v>
      </c>
      <c r="KYH247" s="29" t="e">
        <f t="shared" si="170"/>
        <v>#REF!</v>
      </c>
      <c r="KYI247" s="29" t="e">
        <f t="shared" si="170"/>
        <v>#REF!</v>
      </c>
      <c r="KYJ247" s="29" t="e">
        <f t="shared" si="170"/>
        <v>#REF!</v>
      </c>
      <c r="KYK247" s="29" t="e">
        <f t="shared" si="170"/>
        <v>#REF!</v>
      </c>
      <c r="KYL247" s="29" t="e">
        <f t="shared" si="170"/>
        <v>#REF!</v>
      </c>
      <c r="KYM247" s="29" t="e">
        <f t="shared" si="170"/>
        <v>#REF!</v>
      </c>
      <c r="KYN247" s="29" t="e">
        <f t="shared" si="170"/>
        <v>#REF!</v>
      </c>
      <c r="KYO247" s="29" t="e">
        <f t="shared" si="170"/>
        <v>#REF!</v>
      </c>
      <c r="KYP247" s="29" t="e">
        <f t="shared" si="170"/>
        <v>#REF!</v>
      </c>
      <c r="KYQ247" s="29" t="e">
        <f t="shared" si="170"/>
        <v>#REF!</v>
      </c>
      <c r="KYR247" s="29" t="e">
        <f t="shared" si="170"/>
        <v>#REF!</v>
      </c>
      <c r="KYS247" s="29" t="e">
        <f t="shared" si="170"/>
        <v>#REF!</v>
      </c>
      <c r="KYT247" s="29" t="e">
        <f t="shared" si="170"/>
        <v>#REF!</v>
      </c>
      <c r="KYU247" s="29" t="e">
        <f t="shared" si="170"/>
        <v>#REF!</v>
      </c>
      <c r="KYV247" s="29" t="e">
        <f t="shared" si="170"/>
        <v>#REF!</v>
      </c>
      <c r="KYW247" s="29" t="e">
        <f t="shared" si="170"/>
        <v>#REF!</v>
      </c>
      <c r="KYX247" s="29" t="e">
        <f t="shared" si="170"/>
        <v>#REF!</v>
      </c>
      <c r="KYY247" s="29" t="e">
        <f t="shared" si="170"/>
        <v>#REF!</v>
      </c>
      <c r="KYZ247" s="29" t="e">
        <f t="shared" si="170"/>
        <v>#REF!</v>
      </c>
      <c r="KZA247" s="29" t="e">
        <f t="shared" si="170"/>
        <v>#REF!</v>
      </c>
      <c r="KZB247" s="29" t="e">
        <f t="shared" si="170"/>
        <v>#REF!</v>
      </c>
      <c r="KZC247" s="29" t="e">
        <f t="shared" si="170"/>
        <v>#REF!</v>
      </c>
      <c r="KZD247" s="29" t="e">
        <f t="shared" si="170"/>
        <v>#REF!</v>
      </c>
      <c r="KZE247" s="29" t="e">
        <f t="shared" si="170"/>
        <v>#REF!</v>
      </c>
      <c r="KZF247" s="29" t="e">
        <f t="shared" si="170"/>
        <v>#REF!</v>
      </c>
      <c r="KZG247" s="29" t="e">
        <f t="shared" si="170"/>
        <v>#REF!</v>
      </c>
      <c r="KZH247" s="29" t="e">
        <f t="shared" si="170"/>
        <v>#REF!</v>
      </c>
      <c r="KZI247" s="29" t="e">
        <f t="shared" si="170"/>
        <v>#REF!</v>
      </c>
      <c r="KZJ247" s="29" t="e">
        <f t="shared" si="170"/>
        <v>#REF!</v>
      </c>
      <c r="KZK247" s="29" t="e">
        <f t="shared" si="170"/>
        <v>#REF!</v>
      </c>
      <c r="KZL247" s="29" t="e">
        <f t="shared" si="170"/>
        <v>#REF!</v>
      </c>
      <c r="KZM247" s="29" t="e">
        <f t="shared" si="170"/>
        <v>#REF!</v>
      </c>
      <c r="KZN247" s="29" t="e">
        <f t="shared" si="170"/>
        <v>#REF!</v>
      </c>
      <c r="KZO247" s="29" t="e">
        <f t="shared" si="170"/>
        <v>#REF!</v>
      </c>
      <c r="KZP247" s="29" t="e">
        <f t="shared" si="170"/>
        <v>#REF!</v>
      </c>
      <c r="KZQ247" s="29" t="e">
        <f t="shared" si="170"/>
        <v>#REF!</v>
      </c>
      <c r="KZR247" s="29" t="e">
        <f t="shared" si="170"/>
        <v>#REF!</v>
      </c>
      <c r="KZS247" s="29" t="e">
        <f t="shared" si="170"/>
        <v>#REF!</v>
      </c>
      <c r="KZT247" s="29" t="e">
        <f t="shared" si="170"/>
        <v>#REF!</v>
      </c>
      <c r="KZU247" s="29" t="e">
        <f t="shared" si="170"/>
        <v>#REF!</v>
      </c>
      <c r="KZV247" s="29" t="e">
        <f t="shared" si="170"/>
        <v>#REF!</v>
      </c>
      <c r="KZW247" s="29" t="e">
        <f t="shared" si="170"/>
        <v>#REF!</v>
      </c>
      <c r="KZX247" s="29" t="e">
        <f t="shared" si="170"/>
        <v>#REF!</v>
      </c>
      <c r="KZY247" s="29" t="e">
        <f t="shared" si="170"/>
        <v>#REF!</v>
      </c>
      <c r="KZZ247" s="29" t="e">
        <f t="shared" si="170"/>
        <v>#REF!</v>
      </c>
      <c r="LAA247" s="29" t="e">
        <f t="shared" si="170"/>
        <v>#REF!</v>
      </c>
      <c r="LAB247" s="29" t="e">
        <f t="shared" si="170"/>
        <v>#REF!</v>
      </c>
      <c r="LAC247" s="29" t="e">
        <f t="shared" si="170"/>
        <v>#REF!</v>
      </c>
      <c r="LAD247" s="29" t="e">
        <f t="shared" si="170"/>
        <v>#REF!</v>
      </c>
      <c r="LAE247" s="29" t="e">
        <f t="shared" si="170"/>
        <v>#REF!</v>
      </c>
      <c r="LAF247" s="29" t="e">
        <f t="shared" si="170"/>
        <v>#REF!</v>
      </c>
      <c r="LAG247" s="29" t="e">
        <f t="shared" ref="LAG247:LCR247" si="171">LAK247&amp;LAL247</f>
        <v>#REF!</v>
      </c>
      <c r="LAH247" s="29" t="e">
        <f t="shared" si="171"/>
        <v>#REF!</v>
      </c>
      <c r="LAI247" s="29" t="e">
        <f t="shared" si="171"/>
        <v>#REF!</v>
      </c>
      <c r="LAJ247" s="29" t="e">
        <f t="shared" si="171"/>
        <v>#REF!</v>
      </c>
      <c r="LAK247" s="29" t="e">
        <f t="shared" si="171"/>
        <v>#REF!</v>
      </c>
      <c r="LAL247" s="29" t="e">
        <f t="shared" si="171"/>
        <v>#REF!</v>
      </c>
      <c r="LAM247" s="29" t="e">
        <f t="shared" si="171"/>
        <v>#REF!</v>
      </c>
      <c r="LAN247" s="29" t="e">
        <f t="shared" si="171"/>
        <v>#REF!</v>
      </c>
      <c r="LAO247" s="29" t="e">
        <f t="shared" si="171"/>
        <v>#REF!</v>
      </c>
      <c r="LAP247" s="29" t="e">
        <f t="shared" si="171"/>
        <v>#REF!</v>
      </c>
      <c r="LAQ247" s="29" t="e">
        <f t="shared" si="171"/>
        <v>#REF!</v>
      </c>
      <c r="LAR247" s="29" t="e">
        <f t="shared" si="171"/>
        <v>#REF!</v>
      </c>
      <c r="LAS247" s="29" t="e">
        <f t="shared" si="171"/>
        <v>#REF!</v>
      </c>
      <c r="LAT247" s="29" t="e">
        <f t="shared" si="171"/>
        <v>#REF!</v>
      </c>
      <c r="LAU247" s="29" t="e">
        <f t="shared" si="171"/>
        <v>#REF!</v>
      </c>
      <c r="LAV247" s="29" t="e">
        <f t="shared" si="171"/>
        <v>#REF!</v>
      </c>
      <c r="LAW247" s="29" t="e">
        <f t="shared" si="171"/>
        <v>#REF!</v>
      </c>
      <c r="LAX247" s="29" t="e">
        <f t="shared" si="171"/>
        <v>#REF!</v>
      </c>
      <c r="LAY247" s="29" t="e">
        <f t="shared" si="171"/>
        <v>#REF!</v>
      </c>
      <c r="LAZ247" s="29" t="e">
        <f t="shared" si="171"/>
        <v>#REF!</v>
      </c>
      <c r="LBA247" s="29" t="e">
        <f t="shared" si="171"/>
        <v>#REF!</v>
      </c>
      <c r="LBB247" s="29" t="e">
        <f t="shared" si="171"/>
        <v>#REF!</v>
      </c>
      <c r="LBC247" s="29" t="e">
        <f t="shared" si="171"/>
        <v>#REF!</v>
      </c>
      <c r="LBD247" s="29" t="e">
        <f t="shared" si="171"/>
        <v>#REF!</v>
      </c>
      <c r="LBE247" s="29" t="e">
        <f t="shared" si="171"/>
        <v>#REF!</v>
      </c>
      <c r="LBF247" s="29" t="e">
        <f t="shared" si="171"/>
        <v>#REF!</v>
      </c>
      <c r="LBG247" s="29" t="e">
        <f t="shared" si="171"/>
        <v>#REF!</v>
      </c>
      <c r="LBH247" s="29" t="e">
        <f t="shared" si="171"/>
        <v>#REF!</v>
      </c>
      <c r="LBI247" s="29" t="e">
        <f t="shared" si="171"/>
        <v>#REF!</v>
      </c>
      <c r="LBJ247" s="29" t="e">
        <f t="shared" si="171"/>
        <v>#REF!</v>
      </c>
      <c r="LBK247" s="29" t="e">
        <f t="shared" si="171"/>
        <v>#REF!</v>
      </c>
      <c r="LBL247" s="29" t="e">
        <f t="shared" si="171"/>
        <v>#REF!</v>
      </c>
      <c r="LBM247" s="29" t="e">
        <f t="shared" si="171"/>
        <v>#REF!</v>
      </c>
      <c r="LBN247" s="29" t="e">
        <f t="shared" si="171"/>
        <v>#REF!</v>
      </c>
      <c r="LBO247" s="29" t="e">
        <f t="shared" si="171"/>
        <v>#REF!</v>
      </c>
      <c r="LBP247" s="29" t="e">
        <f t="shared" si="171"/>
        <v>#REF!</v>
      </c>
      <c r="LBQ247" s="29" t="e">
        <f t="shared" si="171"/>
        <v>#REF!</v>
      </c>
      <c r="LBR247" s="29" t="e">
        <f t="shared" si="171"/>
        <v>#REF!</v>
      </c>
      <c r="LBS247" s="29" t="e">
        <f t="shared" si="171"/>
        <v>#REF!</v>
      </c>
      <c r="LBT247" s="29" t="e">
        <f t="shared" si="171"/>
        <v>#REF!</v>
      </c>
      <c r="LBU247" s="29" t="e">
        <f t="shared" si="171"/>
        <v>#REF!</v>
      </c>
      <c r="LBV247" s="29" t="e">
        <f t="shared" si="171"/>
        <v>#REF!</v>
      </c>
      <c r="LBW247" s="29" t="e">
        <f t="shared" si="171"/>
        <v>#REF!</v>
      </c>
      <c r="LBX247" s="29" t="e">
        <f t="shared" si="171"/>
        <v>#REF!</v>
      </c>
      <c r="LBY247" s="29" t="e">
        <f t="shared" si="171"/>
        <v>#REF!</v>
      </c>
      <c r="LBZ247" s="29" t="e">
        <f t="shared" si="171"/>
        <v>#REF!</v>
      </c>
      <c r="LCA247" s="29" t="e">
        <f t="shared" si="171"/>
        <v>#REF!</v>
      </c>
      <c r="LCB247" s="29" t="e">
        <f t="shared" si="171"/>
        <v>#REF!</v>
      </c>
      <c r="LCC247" s="29" t="e">
        <f t="shared" si="171"/>
        <v>#REF!</v>
      </c>
      <c r="LCD247" s="29" t="e">
        <f t="shared" si="171"/>
        <v>#REF!</v>
      </c>
      <c r="LCE247" s="29" t="e">
        <f t="shared" si="171"/>
        <v>#REF!</v>
      </c>
      <c r="LCF247" s="29" t="e">
        <f t="shared" si="171"/>
        <v>#REF!</v>
      </c>
      <c r="LCG247" s="29" t="e">
        <f t="shared" si="171"/>
        <v>#REF!</v>
      </c>
      <c r="LCH247" s="29" t="e">
        <f t="shared" si="171"/>
        <v>#REF!</v>
      </c>
      <c r="LCI247" s="29" t="e">
        <f t="shared" si="171"/>
        <v>#REF!</v>
      </c>
      <c r="LCJ247" s="29" t="e">
        <f t="shared" si="171"/>
        <v>#REF!</v>
      </c>
      <c r="LCK247" s="29" t="e">
        <f t="shared" si="171"/>
        <v>#REF!</v>
      </c>
      <c r="LCL247" s="29" t="e">
        <f t="shared" si="171"/>
        <v>#REF!</v>
      </c>
      <c r="LCM247" s="29" t="e">
        <f t="shared" si="171"/>
        <v>#REF!</v>
      </c>
      <c r="LCN247" s="29" t="e">
        <f t="shared" si="171"/>
        <v>#REF!</v>
      </c>
      <c r="LCO247" s="29" t="e">
        <f t="shared" si="171"/>
        <v>#REF!</v>
      </c>
      <c r="LCP247" s="29" t="e">
        <f t="shared" si="171"/>
        <v>#REF!</v>
      </c>
      <c r="LCQ247" s="29" t="e">
        <f t="shared" si="171"/>
        <v>#REF!</v>
      </c>
      <c r="LCR247" s="29" t="e">
        <f t="shared" si="171"/>
        <v>#REF!</v>
      </c>
      <c r="LCS247" s="29" t="e">
        <f t="shared" ref="LCS247:LFD247" si="172">LCW247&amp;LCX247</f>
        <v>#REF!</v>
      </c>
      <c r="LCT247" s="29" t="e">
        <f t="shared" si="172"/>
        <v>#REF!</v>
      </c>
      <c r="LCU247" s="29" t="e">
        <f t="shared" si="172"/>
        <v>#REF!</v>
      </c>
      <c r="LCV247" s="29" t="e">
        <f t="shared" si="172"/>
        <v>#REF!</v>
      </c>
      <c r="LCW247" s="29" t="e">
        <f t="shared" si="172"/>
        <v>#REF!</v>
      </c>
      <c r="LCX247" s="29" t="e">
        <f t="shared" si="172"/>
        <v>#REF!</v>
      </c>
      <c r="LCY247" s="29" t="e">
        <f t="shared" si="172"/>
        <v>#REF!</v>
      </c>
      <c r="LCZ247" s="29" t="e">
        <f t="shared" si="172"/>
        <v>#REF!</v>
      </c>
      <c r="LDA247" s="29" t="e">
        <f t="shared" si="172"/>
        <v>#REF!</v>
      </c>
      <c r="LDB247" s="29" t="e">
        <f t="shared" si="172"/>
        <v>#REF!</v>
      </c>
      <c r="LDC247" s="29" t="e">
        <f t="shared" si="172"/>
        <v>#REF!</v>
      </c>
      <c r="LDD247" s="29" t="e">
        <f t="shared" si="172"/>
        <v>#REF!</v>
      </c>
      <c r="LDE247" s="29" t="e">
        <f t="shared" si="172"/>
        <v>#REF!</v>
      </c>
      <c r="LDF247" s="29" t="e">
        <f t="shared" si="172"/>
        <v>#REF!</v>
      </c>
      <c r="LDG247" s="29" t="e">
        <f t="shared" si="172"/>
        <v>#REF!</v>
      </c>
      <c r="LDH247" s="29" t="e">
        <f t="shared" si="172"/>
        <v>#REF!</v>
      </c>
      <c r="LDI247" s="29" t="e">
        <f t="shared" si="172"/>
        <v>#REF!</v>
      </c>
      <c r="LDJ247" s="29" t="e">
        <f t="shared" si="172"/>
        <v>#REF!</v>
      </c>
      <c r="LDK247" s="29" t="e">
        <f t="shared" si="172"/>
        <v>#REF!</v>
      </c>
      <c r="LDL247" s="29" t="e">
        <f t="shared" si="172"/>
        <v>#REF!</v>
      </c>
      <c r="LDM247" s="29" t="e">
        <f t="shared" si="172"/>
        <v>#REF!</v>
      </c>
      <c r="LDN247" s="29" t="e">
        <f t="shared" si="172"/>
        <v>#REF!</v>
      </c>
      <c r="LDO247" s="29" t="e">
        <f t="shared" si="172"/>
        <v>#REF!</v>
      </c>
      <c r="LDP247" s="29" t="e">
        <f t="shared" si="172"/>
        <v>#REF!</v>
      </c>
      <c r="LDQ247" s="29" t="e">
        <f t="shared" si="172"/>
        <v>#REF!</v>
      </c>
      <c r="LDR247" s="29" t="e">
        <f t="shared" si="172"/>
        <v>#REF!</v>
      </c>
      <c r="LDS247" s="29" t="e">
        <f t="shared" si="172"/>
        <v>#REF!</v>
      </c>
      <c r="LDT247" s="29" t="e">
        <f t="shared" si="172"/>
        <v>#REF!</v>
      </c>
      <c r="LDU247" s="29" t="e">
        <f t="shared" si="172"/>
        <v>#REF!</v>
      </c>
      <c r="LDV247" s="29" t="e">
        <f t="shared" si="172"/>
        <v>#REF!</v>
      </c>
      <c r="LDW247" s="29" t="e">
        <f t="shared" si="172"/>
        <v>#REF!</v>
      </c>
      <c r="LDX247" s="29" t="e">
        <f t="shared" si="172"/>
        <v>#REF!</v>
      </c>
      <c r="LDY247" s="29" t="e">
        <f t="shared" si="172"/>
        <v>#REF!</v>
      </c>
      <c r="LDZ247" s="29" t="e">
        <f t="shared" si="172"/>
        <v>#REF!</v>
      </c>
      <c r="LEA247" s="29" t="e">
        <f t="shared" si="172"/>
        <v>#REF!</v>
      </c>
      <c r="LEB247" s="29" t="e">
        <f t="shared" si="172"/>
        <v>#REF!</v>
      </c>
      <c r="LEC247" s="29" t="e">
        <f t="shared" si="172"/>
        <v>#REF!</v>
      </c>
      <c r="LED247" s="29" t="e">
        <f t="shared" si="172"/>
        <v>#REF!</v>
      </c>
      <c r="LEE247" s="29" t="e">
        <f t="shared" si="172"/>
        <v>#REF!</v>
      </c>
      <c r="LEF247" s="29" t="e">
        <f t="shared" si="172"/>
        <v>#REF!</v>
      </c>
      <c r="LEG247" s="29" t="e">
        <f t="shared" si="172"/>
        <v>#REF!</v>
      </c>
      <c r="LEH247" s="29" t="e">
        <f t="shared" si="172"/>
        <v>#REF!</v>
      </c>
      <c r="LEI247" s="29" t="e">
        <f t="shared" si="172"/>
        <v>#REF!</v>
      </c>
      <c r="LEJ247" s="29" t="e">
        <f t="shared" si="172"/>
        <v>#REF!</v>
      </c>
      <c r="LEK247" s="29" t="e">
        <f t="shared" si="172"/>
        <v>#REF!</v>
      </c>
      <c r="LEL247" s="29" t="e">
        <f t="shared" si="172"/>
        <v>#REF!</v>
      </c>
      <c r="LEM247" s="29" t="e">
        <f t="shared" si="172"/>
        <v>#REF!</v>
      </c>
      <c r="LEN247" s="29" t="e">
        <f t="shared" si="172"/>
        <v>#REF!</v>
      </c>
      <c r="LEO247" s="29" t="e">
        <f t="shared" si="172"/>
        <v>#REF!</v>
      </c>
      <c r="LEP247" s="29" t="e">
        <f t="shared" si="172"/>
        <v>#REF!</v>
      </c>
      <c r="LEQ247" s="29" t="e">
        <f t="shared" si="172"/>
        <v>#REF!</v>
      </c>
      <c r="LER247" s="29" t="e">
        <f t="shared" si="172"/>
        <v>#REF!</v>
      </c>
      <c r="LES247" s="29" t="e">
        <f t="shared" si="172"/>
        <v>#REF!</v>
      </c>
      <c r="LET247" s="29" t="e">
        <f t="shared" si="172"/>
        <v>#REF!</v>
      </c>
      <c r="LEU247" s="29" t="e">
        <f t="shared" si="172"/>
        <v>#REF!</v>
      </c>
      <c r="LEV247" s="29" t="e">
        <f t="shared" si="172"/>
        <v>#REF!</v>
      </c>
      <c r="LEW247" s="29" t="e">
        <f t="shared" si="172"/>
        <v>#REF!</v>
      </c>
      <c r="LEX247" s="29" t="e">
        <f t="shared" si="172"/>
        <v>#REF!</v>
      </c>
      <c r="LEY247" s="29" t="e">
        <f t="shared" si="172"/>
        <v>#REF!</v>
      </c>
      <c r="LEZ247" s="29" t="e">
        <f t="shared" si="172"/>
        <v>#REF!</v>
      </c>
      <c r="LFA247" s="29" t="e">
        <f t="shared" si="172"/>
        <v>#REF!</v>
      </c>
      <c r="LFB247" s="29" t="e">
        <f t="shared" si="172"/>
        <v>#REF!</v>
      </c>
      <c r="LFC247" s="29" t="e">
        <f t="shared" si="172"/>
        <v>#REF!</v>
      </c>
      <c r="LFD247" s="29" t="e">
        <f t="shared" si="172"/>
        <v>#REF!</v>
      </c>
      <c r="LFE247" s="29" t="e">
        <f t="shared" ref="LFE247:LHP247" si="173">LFI247&amp;LFJ247</f>
        <v>#REF!</v>
      </c>
      <c r="LFF247" s="29" t="e">
        <f t="shared" si="173"/>
        <v>#REF!</v>
      </c>
      <c r="LFG247" s="29" t="e">
        <f t="shared" si="173"/>
        <v>#REF!</v>
      </c>
      <c r="LFH247" s="29" t="e">
        <f t="shared" si="173"/>
        <v>#REF!</v>
      </c>
      <c r="LFI247" s="29" t="e">
        <f t="shared" si="173"/>
        <v>#REF!</v>
      </c>
      <c r="LFJ247" s="29" t="e">
        <f t="shared" si="173"/>
        <v>#REF!</v>
      </c>
      <c r="LFK247" s="29" t="e">
        <f t="shared" si="173"/>
        <v>#REF!</v>
      </c>
      <c r="LFL247" s="29" t="e">
        <f t="shared" si="173"/>
        <v>#REF!</v>
      </c>
      <c r="LFM247" s="29" t="e">
        <f t="shared" si="173"/>
        <v>#REF!</v>
      </c>
      <c r="LFN247" s="29" t="e">
        <f t="shared" si="173"/>
        <v>#REF!</v>
      </c>
      <c r="LFO247" s="29" t="e">
        <f t="shared" si="173"/>
        <v>#REF!</v>
      </c>
      <c r="LFP247" s="29" t="e">
        <f t="shared" si="173"/>
        <v>#REF!</v>
      </c>
      <c r="LFQ247" s="29" t="e">
        <f t="shared" si="173"/>
        <v>#REF!</v>
      </c>
      <c r="LFR247" s="29" t="e">
        <f t="shared" si="173"/>
        <v>#REF!</v>
      </c>
      <c r="LFS247" s="29" t="e">
        <f t="shared" si="173"/>
        <v>#REF!</v>
      </c>
      <c r="LFT247" s="29" t="e">
        <f t="shared" si="173"/>
        <v>#REF!</v>
      </c>
      <c r="LFU247" s="29" t="e">
        <f t="shared" si="173"/>
        <v>#REF!</v>
      </c>
      <c r="LFV247" s="29" t="e">
        <f t="shared" si="173"/>
        <v>#REF!</v>
      </c>
      <c r="LFW247" s="29" t="e">
        <f t="shared" si="173"/>
        <v>#REF!</v>
      </c>
      <c r="LFX247" s="29" t="e">
        <f t="shared" si="173"/>
        <v>#REF!</v>
      </c>
      <c r="LFY247" s="29" t="e">
        <f t="shared" si="173"/>
        <v>#REF!</v>
      </c>
      <c r="LFZ247" s="29" t="e">
        <f t="shared" si="173"/>
        <v>#REF!</v>
      </c>
      <c r="LGA247" s="29" t="e">
        <f t="shared" si="173"/>
        <v>#REF!</v>
      </c>
      <c r="LGB247" s="29" t="e">
        <f t="shared" si="173"/>
        <v>#REF!</v>
      </c>
      <c r="LGC247" s="29" t="e">
        <f t="shared" si="173"/>
        <v>#REF!</v>
      </c>
      <c r="LGD247" s="29" t="e">
        <f t="shared" si="173"/>
        <v>#REF!</v>
      </c>
      <c r="LGE247" s="29" t="e">
        <f t="shared" si="173"/>
        <v>#REF!</v>
      </c>
      <c r="LGF247" s="29" t="e">
        <f t="shared" si="173"/>
        <v>#REF!</v>
      </c>
      <c r="LGG247" s="29" t="e">
        <f t="shared" si="173"/>
        <v>#REF!</v>
      </c>
      <c r="LGH247" s="29" t="e">
        <f t="shared" si="173"/>
        <v>#REF!</v>
      </c>
      <c r="LGI247" s="29" t="e">
        <f t="shared" si="173"/>
        <v>#REF!</v>
      </c>
      <c r="LGJ247" s="29" t="e">
        <f t="shared" si="173"/>
        <v>#REF!</v>
      </c>
      <c r="LGK247" s="29" t="e">
        <f t="shared" si="173"/>
        <v>#REF!</v>
      </c>
      <c r="LGL247" s="29" t="e">
        <f t="shared" si="173"/>
        <v>#REF!</v>
      </c>
      <c r="LGM247" s="29" t="e">
        <f t="shared" si="173"/>
        <v>#REF!</v>
      </c>
      <c r="LGN247" s="29" t="e">
        <f t="shared" si="173"/>
        <v>#REF!</v>
      </c>
      <c r="LGO247" s="29" t="e">
        <f t="shared" si="173"/>
        <v>#REF!</v>
      </c>
      <c r="LGP247" s="29" t="e">
        <f t="shared" si="173"/>
        <v>#REF!</v>
      </c>
      <c r="LGQ247" s="29" t="e">
        <f t="shared" si="173"/>
        <v>#REF!</v>
      </c>
      <c r="LGR247" s="29" t="e">
        <f t="shared" si="173"/>
        <v>#REF!</v>
      </c>
      <c r="LGS247" s="29" t="e">
        <f t="shared" si="173"/>
        <v>#REF!</v>
      </c>
      <c r="LGT247" s="29" t="e">
        <f t="shared" si="173"/>
        <v>#REF!</v>
      </c>
      <c r="LGU247" s="29" t="e">
        <f t="shared" si="173"/>
        <v>#REF!</v>
      </c>
      <c r="LGV247" s="29" t="e">
        <f t="shared" si="173"/>
        <v>#REF!</v>
      </c>
      <c r="LGW247" s="29" t="e">
        <f t="shared" si="173"/>
        <v>#REF!</v>
      </c>
      <c r="LGX247" s="29" t="e">
        <f t="shared" si="173"/>
        <v>#REF!</v>
      </c>
      <c r="LGY247" s="29" t="e">
        <f t="shared" si="173"/>
        <v>#REF!</v>
      </c>
      <c r="LGZ247" s="29" t="e">
        <f t="shared" si="173"/>
        <v>#REF!</v>
      </c>
      <c r="LHA247" s="29" t="e">
        <f t="shared" si="173"/>
        <v>#REF!</v>
      </c>
      <c r="LHB247" s="29" t="e">
        <f t="shared" si="173"/>
        <v>#REF!</v>
      </c>
      <c r="LHC247" s="29" t="e">
        <f t="shared" si="173"/>
        <v>#REF!</v>
      </c>
      <c r="LHD247" s="29" t="e">
        <f t="shared" si="173"/>
        <v>#REF!</v>
      </c>
      <c r="LHE247" s="29" t="e">
        <f t="shared" si="173"/>
        <v>#REF!</v>
      </c>
      <c r="LHF247" s="29" t="e">
        <f t="shared" si="173"/>
        <v>#REF!</v>
      </c>
      <c r="LHG247" s="29" t="e">
        <f t="shared" si="173"/>
        <v>#REF!</v>
      </c>
      <c r="LHH247" s="29" t="e">
        <f t="shared" si="173"/>
        <v>#REF!</v>
      </c>
      <c r="LHI247" s="29" t="e">
        <f t="shared" si="173"/>
        <v>#REF!</v>
      </c>
      <c r="LHJ247" s="29" t="e">
        <f t="shared" si="173"/>
        <v>#REF!</v>
      </c>
      <c r="LHK247" s="29" t="e">
        <f t="shared" si="173"/>
        <v>#REF!</v>
      </c>
      <c r="LHL247" s="29" t="e">
        <f t="shared" si="173"/>
        <v>#REF!</v>
      </c>
      <c r="LHM247" s="29" t="e">
        <f t="shared" si="173"/>
        <v>#REF!</v>
      </c>
      <c r="LHN247" s="29" t="e">
        <f t="shared" si="173"/>
        <v>#REF!</v>
      </c>
      <c r="LHO247" s="29" t="e">
        <f t="shared" si="173"/>
        <v>#REF!</v>
      </c>
      <c r="LHP247" s="29" t="e">
        <f t="shared" si="173"/>
        <v>#REF!</v>
      </c>
      <c r="LHQ247" s="29" t="e">
        <f t="shared" ref="LHQ247:LKB247" si="174">LHU247&amp;LHV247</f>
        <v>#REF!</v>
      </c>
      <c r="LHR247" s="29" t="e">
        <f t="shared" si="174"/>
        <v>#REF!</v>
      </c>
      <c r="LHS247" s="29" t="e">
        <f t="shared" si="174"/>
        <v>#REF!</v>
      </c>
      <c r="LHT247" s="29" t="e">
        <f t="shared" si="174"/>
        <v>#REF!</v>
      </c>
      <c r="LHU247" s="29" t="e">
        <f t="shared" si="174"/>
        <v>#REF!</v>
      </c>
      <c r="LHV247" s="29" t="e">
        <f t="shared" si="174"/>
        <v>#REF!</v>
      </c>
      <c r="LHW247" s="29" t="e">
        <f t="shared" si="174"/>
        <v>#REF!</v>
      </c>
      <c r="LHX247" s="29" t="e">
        <f t="shared" si="174"/>
        <v>#REF!</v>
      </c>
      <c r="LHY247" s="29" t="e">
        <f t="shared" si="174"/>
        <v>#REF!</v>
      </c>
      <c r="LHZ247" s="29" t="e">
        <f t="shared" si="174"/>
        <v>#REF!</v>
      </c>
      <c r="LIA247" s="29" t="e">
        <f t="shared" si="174"/>
        <v>#REF!</v>
      </c>
      <c r="LIB247" s="29" t="e">
        <f t="shared" si="174"/>
        <v>#REF!</v>
      </c>
      <c r="LIC247" s="29" t="e">
        <f t="shared" si="174"/>
        <v>#REF!</v>
      </c>
      <c r="LID247" s="29" t="e">
        <f t="shared" si="174"/>
        <v>#REF!</v>
      </c>
      <c r="LIE247" s="29" t="e">
        <f t="shared" si="174"/>
        <v>#REF!</v>
      </c>
      <c r="LIF247" s="29" t="e">
        <f t="shared" si="174"/>
        <v>#REF!</v>
      </c>
      <c r="LIG247" s="29" t="e">
        <f t="shared" si="174"/>
        <v>#REF!</v>
      </c>
      <c r="LIH247" s="29" t="e">
        <f t="shared" si="174"/>
        <v>#REF!</v>
      </c>
      <c r="LII247" s="29" t="e">
        <f t="shared" si="174"/>
        <v>#REF!</v>
      </c>
      <c r="LIJ247" s="29" t="e">
        <f t="shared" si="174"/>
        <v>#REF!</v>
      </c>
      <c r="LIK247" s="29" t="e">
        <f t="shared" si="174"/>
        <v>#REF!</v>
      </c>
      <c r="LIL247" s="29" t="e">
        <f t="shared" si="174"/>
        <v>#REF!</v>
      </c>
      <c r="LIM247" s="29" t="e">
        <f t="shared" si="174"/>
        <v>#REF!</v>
      </c>
      <c r="LIN247" s="29" t="e">
        <f t="shared" si="174"/>
        <v>#REF!</v>
      </c>
      <c r="LIO247" s="29" t="e">
        <f t="shared" si="174"/>
        <v>#REF!</v>
      </c>
      <c r="LIP247" s="29" t="e">
        <f t="shared" si="174"/>
        <v>#REF!</v>
      </c>
      <c r="LIQ247" s="29" t="e">
        <f t="shared" si="174"/>
        <v>#REF!</v>
      </c>
      <c r="LIR247" s="29" t="e">
        <f t="shared" si="174"/>
        <v>#REF!</v>
      </c>
      <c r="LIS247" s="29" t="e">
        <f t="shared" si="174"/>
        <v>#REF!</v>
      </c>
      <c r="LIT247" s="29" t="e">
        <f t="shared" si="174"/>
        <v>#REF!</v>
      </c>
      <c r="LIU247" s="29" t="e">
        <f t="shared" si="174"/>
        <v>#REF!</v>
      </c>
      <c r="LIV247" s="29" t="e">
        <f t="shared" si="174"/>
        <v>#REF!</v>
      </c>
      <c r="LIW247" s="29" t="e">
        <f t="shared" si="174"/>
        <v>#REF!</v>
      </c>
      <c r="LIX247" s="29" t="e">
        <f t="shared" si="174"/>
        <v>#REF!</v>
      </c>
      <c r="LIY247" s="29" t="e">
        <f t="shared" si="174"/>
        <v>#REF!</v>
      </c>
      <c r="LIZ247" s="29" t="e">
        <f t="shared" si="174"/>
        <v>#REF!</v>
      </c>
      <c r="LJA247" s="29" t="e">
        <f t="shared" si="174"/>
        <v>#REF!</v>
      </c>
      <c r="LJB247" s="29" t="e">
        <f t="shared" si="174"/>
        <v>#REF!</v>
      </c>
      <c r="LJC247" s="29" t="e">
        <f t="shared" si="174"/>
        <v>#REF!</v>
      </c>
      <c r="LJD247" s="29" t="e">
        <f t="shared" si="174"/>
        <v>#REF!</v>
      </c>
      <c r="LJE247" s="29" t="e">
        <f t="shared" si="174"/>
        <v>#REF!</v>
      </c>
      <c r="LJF247" s="29" t="e">
        <f t="shared" si="174"/>
        <v>#REF!</v>
      </c>
      <c r="LJG247" s="29" t="e">
        <f t="shared" si="174"/>
        <v>#REF!</v>
      </c>
      <c r="LJH247" s="29" t="e">
        <f t="shared" si="174"/>
        <v>#REF!</v>
      </c>
      <c r="LJI247" s="29" t="e">
        <f t="shared" si="174"/>
        <v>#REF!</v>
      </c>
      <c r="LJJ247" s="29" t="e">
        <f t="shared" si="174"/>
        <v>#REF!</v>
      </c>
      <c r="LJK247" s="29" t="e">
        <f t="shared" si="174"/>
        <v>#REF!</v>
      </c>
      <c r="LJL247" s="29" t="e">
        <f t="shared" si="174"/>
        <v>#REF!</v>
      </c>
      <c r="LJM247" s="29" t="e">
        <f t="shared" si="174"/>
        <v>#REF!</v>
      </c>
      <c r="LJN247" s="29" t="e">
        <f t="shared" si="174"/>
        <v>#REF!</v>
      </c>
      <c r="LJO247" s="29" t="e">
        <f t="shared" si="174"/>
        <v>#REF!</v>
      </c>
      <c r="LJP247" s="29" t="e">
        <f t="shared" si="174"/>
        <v>#REF!</v>
      </c>
      <c r="LJQ247" s="29" t="e">
        <f t="shared" si="174"/>
        <v>#REF!</v>
      </c>
      <c r="LJR247" s="29" t="e">
        <f t="shared" si="174"/>
        <v>#REF!</v>
      </c>
      <c r="LJS247" s="29" t="e">
        <f t="shared" si="174"/>
        <v>#REF!</v>
      </c>
      <c r="LJT247" s="29" t="e">
        <f t="shared" si="174"/>
        <v>#REF!</v>
      </c>
      <c r="LJU247" s="29" t="e">
        <f t="shared" si="174"/>
        <v>#REF!</v>
      </c>
      <c r="LJV247" s="29" t="e">
        <f t="shared" si="174"/>
        <v>#REF!</v>
      </c>
      <c r="LJW247" s="29" t="e">
        <f t="shared" si="174"/>
        <v>#REF!</v>
      </c>
      <c r="LJX247" s="29" t="e">
        <f t="shared" si="174"/>
        <v>#REF!</v>
      </c>
      <c r="LJY247" s="29" t="e">
        <f t="shared" si="174"/>
        <v>#REF!</v>
      </c>
      <c r="LJZ247" s="29" t="e">
        <f t="shared" si="174"/>
        <v>#REF!</v>
      </c>
      <c r="LKA247" s="29" t="e">
        <f t="shared" si="174"/>
        <v>#REF!</v>
      </c>
      <c r="LKB247" s="29" t="e">
        <f t="shared" si="174"/>
        <v>#REF!</v>
      </c>
      <c r="LKC247" s="29" t="e">
        <f t="shared" ref="LKC247:LMN247" si="175">LKG247&amp;LKH247</f>
        <v>#REF!</v>
      </c>
      <c r="LKD247" s="29" t="e">
        <f t="shared" si="175"/>
        <v>#REF!</v>
      </c>
      <c r="LKE247" s="29" t="e">
        <f t="shared" si="175"/>
        <v>#REF!</v>
      </c>
      <c r="LKF247" s="29" t="e">
        <f t="shared" si="175"/>
        <v>#REF!</v>
      </c>
      <c r="LKG247" s="29" t="e">
        <f t="shared" si="175"/>
        <v>#REF!</v>
      </c>
      <c r="LKH247" s="29" t="e">
        <f t="shared" si="175"/>
        <v>#REF!</v>
      </c>
      <c r="LKI247" s="29" t="e">
        <f t="shared" si="175"/>
        <v>#REF!</v>
      </c>
      <c r="LKJ247" s="29" t="e">
        <f t="shared" si="175"/>
        <v>#REF!</v>
      </c>
      <c r="LKK247" s="29" t="e">
        <f t="shared" si="175"/>
        <v>#REF!</v>
      </c>
      <c r="LKL247" s="29" t="e">
        <f t="shared" si="175"/>
        <v>#REF!</v>
      </c>
      <c r="LKM247" s="29" t="e">
        <f t="shared" si="175"/>
        <v>#REF!</v>
      </c>
      <c r="LKN247" s="29" t="e">
        <f t="shared" si="175"/>
        <v>#REF!</v>
      </c>
      <c r="LKO247" s="29" t="e">
        <f t="shared" si="175"/>
        <v>#REF!</v>
      </c>
      <c r="LKP247" s="29" t="e">
        <f t="shared" si="175"/>
        <v>#REF!</v>
      </c>
      <c r="LKQ247" s="29" t="e">
        <f t="shared" si="175"/>
        <v>#REF!</v>
      </c>
      <c r="LKR247" s="29" t="e">
        <f t="shared" si="175"/>
        <v>#REF!</v>
      </c>
      <c r="LKS247" s="29" t="e">
        <f t="shared" si="175"/>
        <v>#REF!</v>
      </c>
      <c r="LKT247" s="29" t="e">
        <f t="shared" si="175"/>
        <v>#REF!</v>
      </c>
      <c r="LKU247" s="29" t="e">
        <f t="shared" si="175"/>
        <v>#REF!</v>
      </c>
      <c r="LKV247" s="29" t="e">
        <f t="shared" si="175"/>
        <v>#REF!</v>
      </c>
      <c r="LKW247" s="29" t="e">
        <f t="shared" si="175"/>
        <v>#REF!</v>
      </c>
      <c r="LKX247" s="29" t="e">
        <f t="shared" si="175"/>
        <v>#REF!</v>
      </c>
      <c r="LKY247" s="29" t="e">
        <f t="shared" si="175"/>
        <v>#REF!</v>
      </c>
      <c r="LKZ247" s="29" t="e">
        <f t="shared" si="175"/>
        <v>#REF!</v>
      </c>
      <c r="LLA247" s="29" t="e">
        <f t="shared" si="175"/>
        <v>#REF!</v>
      </c>
      <c r="LLB247" s="29" t="e">
        <f t="shared" si="175"/>
        <v>#REF!</v>
      </c>
      <c r="LLC247" s="29" t="e">
        <f t="shared" si="175"/>
        <v>#REF!</v>
      </c>
      <c r="LLD247" s="29" t="e">
        <f t="shared" si="175"/>
        <v>#REF!</v>
      </c>
      <c r="LLE247" s="29" t="e">
        <f t="shared" si="175"/>
        <v>#REF!</v>
      </c>
      <c r="LLF247" s="29" t="e">
        <f t="shared" si="175"/>
        <v>#REF!</v>
      </c>
      <c r="LLG247" s="29" t="e">
        <f t="shared" si="175"/>
        <v>#REF!</v>
      </c>
      <c r="LLH247" s="29" t="e">
        <f t="shared" si="175"/>
        <v>#REF!</v>
      </c>
      <c r="LLI247" s="29" t="e">
        <f t="shared" si="175"/>
        <v>#REF!</v>
      </c>
      <c r="LLJ247" s="29" t="e">
        <f t="shared" si="175"/>
        <v>#REF!</v>
      </c>
      <c r="LLK247" s="29" t="e">
        <f t="shared" si="175"/>
        <v>#REF!</v>
      </c>
      <c r="LLL247" s="29" t="e">
        <f t="shared" si="175"/>
        <v>#REF!</v>
      </c>
      <c r="LLM247" s="29" t="e">
        <f t="shared" si="175"/>
        <v>#REF!</v>
      </c>
      <c r="LLN247" s="29" t="e">
        <f t="shared" si="175"/>
        <v>#REF!</v>
      </c>
      <c r="LLO247" s="29" t="e">
        <f t="shared" si="175"/>
        <v>#REF!</v>
      </c>
      <c r="LLP247" s="29" t="e">
        <f t="shared" si="175"/>
        <v>#REF!</v>
      </c>
      <c r="LLQ247" s="29" t="e">
        <f t="shared" si="175"/>
        <v>#REF!</v>
      </c>
      <c r="LLR247" s="29" t="e">
        <f t="shared" si="175"/>
        <v>#REF!</v>
      </c>
      <c r="LLS247" s="29" t="e">
        <f t="shared" si="175"/>
        <v>#REF!</v>
      </c>
      <c r="LLT247" s="29" t="e">
        <f t="shared" si="175"/>
        <v>#REF!</v>
      </c>
      <c r="LLU247" s="29" t="e">
        <f t="shared" si="175"/>
        <v>#REF!</v>
      </c>
      <c r="LLV247" s="29" t="e">
        <f t="shared" si="175"/>
        <v>#REF!</v>
      </c>
      <c r="LLW247" s="29" t="e">
        <f t="shared" si="175"/>
        <v>#REF!</v>
      </c>
      <c r="LLX247" s="29" t="e">
        <f t="shared" si="175"/>
        <v>#REF!</v>
      </c>
      <c r="LLY247" s="29" t="e">
        <f t="shared" si="175"/>
        <v>#REF!</v>
      </c>
      <c r="LLZ247" s="29" t="e">
        <f t="shared" si="175"/>
        <v>#REF!</v>
      </c>
      <c r="LMA247" s="29" t="e">
        <f t="shared" si="175"/>
        <v>#REF!</v>
      </c>
      <c r="LMB247" s="29" t="e">
        <f t="shared" si="175"/>
        <v>#REF!</v>
      </c>
      <c r="LMC247" s="29" t="e">
        <f t="shared" si="175"/>
        <v>#REF!</v>
      </c>
      <c r="LMD247" s="29" t="e">
        <f t="shared" si="175"/>
        <v>#REF!</v>
      </c>
      <c r="LME247" s="29" t="e">
        <f t="shared" si="175"/>
        <v>#REF!</v>
      </c>
      <c r="LMF247" s="29" t="e">
        <f t="shared" si="175"/>
        <v>#REF!</v>
      </c>
      <c r="LMG247" s="29" t="e">
        <f t="shared" si="175"/>
        <v>#REF!</v>
      </c>
      <c r="LMH247" s="29" t="e">
        <f t="shared" si="175"/>
        <v>#REF!</v>
      </c>
      <c r="LMI247" s="29" t="e">
        <f t="shared" si="175"/>
        <v>#REF!</v>
      </c>
      <c r="LMJ247" s="29" t="e">
        <f t="shared" si="175"/>
        <v>#REF!</v>
      </c>
      <c r="LMK247" s="29" t="e">
        <f t="shared" si="175"/>
        <v>#REF!</v>
      </c>
      <c r="LML247" s="29" t="e">
        <f t="shared" si="175"/>
        <v>#REF!</v>
      </c>
      <c r="LMM247" s="29" t="e">
        <f t="shared" si="175"/>
        <v>#REF!</v>
      </c>
      <c r="LMN247" s="29" t="e">
        <f t="shared" si="175"/>
        <v>#REF!</v>
      </c>
      <c r="LMO247" s="29" t="e">
        <f t="shared" ref="LMO247:LOZ247" si="176">LMS247&amp;LMT247</f>
        <v>#REF!</v>
      </c>
      <c r="LMP247" s="29" t="e">
        <f t="shared" si="176"/>
        <v>#REF!</v>
      </c>
      <c r="LMQ247" s="29" t="e">
        <f t="shared" si="176"/>
        <v>#REF!</v>
      </c>
      <c r="LMR247" s="29" t="e">
        <f t="shared" si="176"/>
        <v>#REF!</v>
      </c>
      <c r="LMS247" s="29" t="e">
        <f t="shared" si="176"/>
        <v>#REF!</v>
      </c>
      <c r="LMT247" s="29" t="e">
        <f t="shared" si="176"/>
        <v>#REF!</v>
      </c>
      <c r="LMU247" s="29" t="e">
        <f t="shared" si="176"/>
        <v>#REF!</v>
      </c>
      <c r="LMV247" s="29" t="e">
        <f t="shared" si="176"/>
        <v>#REF!</v>
      </c>
      <c r="LMW247" s="29" t="e">
        <f t="shared" si="176"/>
        <v>#REF!</v>
      </c>
      <c r="LMX247" s="29" t="e">
        <f t="shared" si="176"/>
        <v>#REF!</v>
      </c>
      <c r="LMY247" s="29" t="e">
        <f t="shared" si="176"/>
        <v>#REF!</v>
      </c>
      <c r="LMZ247" s="29" t="e">
        <f t="shared" si="176"/>
        <v>#REF!</v>
      </c>
      <c r="LNA247" s="29" t="e">
        <f t="shared" si="176"/>
        <v>#REF!</v>
      </c>
      <c r="LNB247" s="29" t="e">
        <f t="shared" si="176"/>
        <v>#REF!</v>
      </c>
      <c r="LNC247" s="29" t="e">
        <f t="shared" si="176"/>
        <v>#REF!</v>
      </c>
      <c r="LND247" s="29" t="e">
        <f t="shared" si="176"/>
        <v>#REF!</v>
      </c>
      <c r="LNE247" s="29" t="e">
        <f t="shared" si="176"/>
        <v>#REF!</v>
      </c>
      <c r="LNF247" s="29" t="e">
        <f t="shared" si="176"/>
        <v>#REF!</v>
      </c>
      <c r="LNG247" s="29" t="e">
        <f t="shared" si="176"/>
        <v>#REF!</v>
      </c>
      <c r="LNH247" s="29" t="e">
        <f t="shared" si="176"/>
        <v>#REF!</v>
      </c>
      <c r="LNI247" s="29" t="e">
        <f t="shared" si="176"/>
        <v>#REF!</v>
      </c>
      <c r="LNJ247" s="29" t="e">
        <f t="shared" si="176"/>
        <v>#REF!</v>
      </c>
      <c r="LNK247" s="29" t="e">
        <f t="shared" si="176"/>
        <v>#REF!</v>
      </c>
      <c r="LNL247" s="29" t="e">
        <f t="shared" si="176"/>
        <v>#REF!</v>
      </c>
      <c r="LNM247" s="29" t="e">
        <f t="shared" si="176"/>
        <v>#REF!</v>
      </c>
      <c r="LNN247" s="29" t="e">
        <f t="shared" si="176"/>
        <v>#REF!</v>
      </c>
      <c r="LNO247" s="29" t="e">
        <f t="shared" si="176"/>
        <v>#REF!</v>
      </c>
      <c r="LNP247" s="29" t="e">
        <f t="shared" si="176"/>
        <v>#REF!</v>
      </c>
      <c r="LNQ247" s="29" t="e">
        <f t="shared" si="176"/>
        <v>#REF!</v>
      </c>
      <c r="LNR247" s="29" t="e">
        <f t="shared" si="176"/>
        <v>#REF!</v>
      </c>
      <c r="LNS247" s="29" t="e">
        <f t="shared" si="176"/>
        <v>#REF!</v>
      </c>
      <c r="LNT247" s="29" t="e">
        <f t="shared" si="176"/>
        <v>#REF!</v>
      </c>
      <c r="LNU247" s="29" t="e">
        <f t="shared" si="176"/>
        <v>#REF!</v>
      </c>
      <c r="LNV247" s="29" t="e">
        <f t="shared" si="176"/>
        <v>#REF!</v>
      </c>
      <c r="LNW247" s="29" t="e">
        <f t="shared" si="176"/>
        <v>#REF!</v>
      </c>
      <c r="LNX247" s="29" t="e">
        <f t="shared" si="176"/>
        <v>#REF!</v>
      </c>
      <c r="LNY247" s="29" t="e">
        <f t="shared" si="176"/>
        <v>#REF!</v>
      </c>
      <c r="LNZ247" s="29" t="e">
        <f t="shared" si="176"/>
        <v>#REF!</v>
      </c>
      <c r="LOA247" s="29" t="e">
        <f t="shared" si="176"/>
        <v>#REF!</v>
      </c>
      <c r="LOB247" s="29" t="e">
        <f t="shared" si="176"/>
        <v>#REF!</v>
      </c>
      <c r="LOC247" s="29" t="e">
        <f t="shared" si="176"/>
        <v>#REF!</v>
      </c>
      <c r="LOD247" s="29" t="e">
        <f t="shared" si="176"/>
        <v>#REF!</v>
      </c>
      <c r="LOE247" s="29" t="e">
        <f t="shared" si="176"/>
        <v>#REF!</v>
      </c>
      <c r="LOF247" s="29" t="e">
        <f t="shared" si="176"/>
        <v>#REF!</v>
      </c>
      <c r="LOG247" s="29" t="e">
        <f t="shared" si="176"/>
        <v>#REF!</v>
      </c>
      <c r="LOH247" s="29" t="e">
        <f t="shared" si="176"/>
        <v>#REF!</v>
      </c>
      <c r="LOI247" s="29" t="e">
        <f t="shared" si="176"/>
        <v>#REF!</v>
      </c>
      <c r="LOJ247" s="29" t="e">
        <f t="shared" si="176"/>
        <v>#REF!</v>
      </c>
      <c r="LOK247" s="29" t="e">
        <f t="shared" si="176"/>
        <v>#REF!</v>
      </c>
      <c r="LOL247" s="29" t="e">
        <f t="shared" si="176"/>
        <v>#REF!</v>
      </c>
      <c r="LOM247" s="29" t="e">
        <f t="shared" si="176"/>
        <v>#REF!</v>
      </c>
      <c r="LON247" s="29" t="e">
        <f t="shared" si="176"/>
        <v>#REF!</v>
      </c>
      <c r="LOO247" s="29" t="e">
        <f t="shared" si="176"/>
        <v>#REF!</v>
      </c>
      <c r="LOP247" s="29" t="e">
        <f t="shared" si="176"/>
        <v>#REF!</v>
      </c>
      <c r="LOQ247" s="29" t="e">
        <f t="shared" si="176"/>
        <v>#REF!</v>
      </c>
      <c r="LOR247" s="29" t="e">
        <f t="shared" si="176"/>
        <v>#REF!</v>
      </c>
      <c r="LOS247" s="29" t="e">
        <f t="shared" si="176"/>
        <v>#REF!</v>
      </c>
      <c r="LOT247" s="29" t="e">
        <f t="shared" si="176"/>
        <v>#REF!</v>
      </c>
      <c r="LOU247" s="29" t="e">
        <f t="shared" si="176"/>
        <v>#REF!</v>
      </c>
      <c r="LOV247" s="29" t="e">
        <f t="shared" si="176"/>
        <v>#REF!</v>
      </c>
      <c r="LOW247" s="29" t="e">
        <f t="shared" si="176"/>
        <v>#REF!</v>
      </c>
      <c r="LOX247" s="29" t="e">
        <f t="shared" si="176"/>
        <v>#REF!</v>
      </c>
      <c r="LOY247" s="29" t="e">
        <f t="shared" si="176"/>
        <v>#REF!</v>
      </c>
      <c r="LOZ247" s="29" t="e">
        <f t="shared" si="176"/>
        <v>#REF!</v>
      </c>
      <c r="LPA247" s="29" t="e">
        <f t="shared" ref="LPA247:LRL247" si="177">LPE247&amp;LPF247</f>
        <v>#REF!</v>
      </c>
      <c r="LPB247" s="29" t="e">
        <f t="shared" si="177"/>
        <v>#REF!</v>
      </c>
      <c r="LPC247" s="29" t="e">
        <f t="shared" si="177"/>
        <v>#REF!</v>
      </c>
      <c r="LPD247" s="29" t="e">
        <f t="shared" si="177"/>
        <v>#REF!</v>
      </c>
      <c r="LPE247" s="29" t="e">
        <f t="shared" si="177"/>
        <v>#REF!</v>
      </c>
      <c r="LPF247" s="29" t="e">
        <f t="shared" si="177"/>
        <v>#REF!</v>
      </c>
      <c r="LPG247" s="29" t="e">
        <f t="shared" si="177"/>
        <v>#REF!</v>
      </c>
      <c r="LPH247" s="29" t="e">
        <f t="shared" si="177"/>
        <v>#REF!</v>
      </c>
      <c r="LPI247" s="29" t="e">
        <f t="shared" si="177"/>
        <v>#REF!</v>
      </c>
      <c r="LPJ247" s="29" t="e">
        <f t="shared" si="177"/>
        <v>#REF!</v>
      </c>
      <c r="LPK247" s="29" t="e">
        <f t="shared" si="177"/>
        <v>#REF!</v>
      </c>
      <c r="LPL247" s="29" t="e">
        <f t="shared" si="177"/>
        <v>#REF!</v>
      </c>
      <c r="LPM247" s="29" t="e">
        <f t="shared" si="177"/>
        <v>#REF!</v>
      </c>
      <c r="LPN247" s="29" t="e">
        <f t="shared" si="177"/>
        <v>#REF!</v>
      </c>
      <c r="LPO247" s="29" t="e">
        <f t="shared" si="177"/>
        <v>#REF!</v>
      </c>
      <c r="LPP247" s="29" t="e">
        <f t="shared" si="177"/>
        <v>#REF!</v>
      </c>
      <c r="LPQ247" s="29" t="e">
        <f t="shared" si="177"/>
        <v>#REF!</v>
      </c>
      <c r="LPR247" s="29" t="e">
        <f t="shared" si="177"/>
        <v>#REF!</v>
      </c>
      <c r="LPS247" s="29" t="e">
        <f t="shared" si="177"/>
        <v>#REF!</v>
      </c>
      <c r="LPT247" s="29" t="e">
        <f t="shared" si="177"/>
        <v>#REF!</v>
      </c>
      <c r="LPU247" s="29" t="e">
        <f t="shared" si="177"/>
        <v>#REF!</v>
      </c>
      <c r="LPV247" s="29" t="e">
        <f t="shared" si="177"/>
        <v>#REF!</v>
      </c>
      <c r="LPW247" s="29" t="e">
        <f t="shared" si="177"/>
        <v>#REF!</v>
      </c>
      <c r="LPX247" s="29" t="e">
        <f t="shared" si="177"/>
        <v>#REF!</v>
      </c>
      <c r="LPY247" s="29" t="e">
        <f t="shared" si="177"/>
        <v>#REF!</v>
      </c>
      <c r="LPZ247" s="29" t="e">
        <f t="shared" si="177"/>
        <v>#REF!</v>
      </c>
      <c r="LQA247" s="29" t="e">
        <f t="shared" si="177"/>
        <v>#REF!</v>
      </c>
      <c r="LQB247" s="29" t="e">
        <f t="shared" si="177"/>
        <v>#REF!</v>
      </c>
      <c r="LQC247" s="29" t="e">
        <f t="shared" si="177"/>
        <v>#REF!</v>
      </c>
      <c r="LQD247" s="29" t="e">
        <f t="shared" si="177"/>
        <v>#REF!</v>
      </c>
      <c r="LQE247" s="29" t="e">
        <f t="shared" si="177"/>
        <v>#REF!</v>
      </c>
      <c r="LQF247" s="29" t="e">
        <f t="shared" si="177"/>
        <v>#REF!</v>
      </c>
      <c r="LQG247" s="29" t="e">
        <f t="shared" si="177"/>
        <v>#REF!</v>
      </c>
      <c r="LQH247" s="29" t="e">
        <f t="shared" si="177"/>
        <v>#REF!</v>
      </c>
      <c r="LQI247" s="29" t="e">
        <f t="shared" si="177"/>
        <v>#REF!</v>
      </c>
      <c r="LQJ247" s="29" t="e">
        <f t="shared" si="177"/>
        <v>#REF!</v>
      </c>
      <c r="LQK247" s="29" t="e">
        <f t="shared" si="177"/>
        <v>#REF!</v>
      </c>
      <c r="LQL247" s="29" t="e">
        <f t="shared" si="177"/>
        <v>#REF!</v>
      </c>
      <c r="LQM247" s="29" t="e">
        <f t="shared" si="177"/>
        <v>#REF!</v>
      </c>
      <c r="LQN247" s="29" t="e">
        <f t="shared" si="177"/>
        <v>#REF!</v>
      </c>
      <c r="LQO247" s="29" t="e">
        <f t="shared" si="177"/>
        <v>#REF!</v>
      </c>
      <c r="LQP247" s="29" t="e">
        <f t="shared" si="177"/>
        <v>#REF!</v>
      </c>
      <c r="LQQ247" s="29" t="e">
        <f t="shared" si="177"/>
        <v>#REF!</v>
      </c>
      <c r="LQR247" s="29" t="e">
        <f t="shared" si="177"/>
        <v>#REF!</v>
      </c>
      <c r="LQS247" s="29" t="e">
        <f t="shared" si="177"/>
        <v>#REF!</v>
      </c>
      <c r="LQT247" s="29" t="e">
        <f t="shared" si="177"/>
        <v>#REF!</v>
      </c>
      <c r="LQU247" s="29" t="e">
        <f t="shared" si="177"/>
        <v>#REF!</v>
      </c>
      <c r="LQV247" s="29" t="e">
        <f t="shared" si="177"/>
        <v>#REF!</v>
      </c>
      <c r="LQW247" s="29" t="e">
        <f t="shared" si="177"/>
        <v>#REF!</v>
      </c>
      <c r="LQX247" s="29" t="e">
        <f t="shared" si="177"/>
        <v>#REF!</v>
      </c>
      <c r="LQY247" s="29" t="e">
        <f t="shared" si="177"/>
        <v>#REF!</v>
      </c>
      <c r="LQZ247" s="29" t="e">
        <f t="shared" si="177"/>
        <v>#REF!</v>
      </c>
      <c r="LRA247" s="29" t="e">
        <f t="shared" si="177"/>
        <v>#REF!</v>
      </c>
      <c r="LRB247" s="29" t="e">
        <f t="shared" si="177"/>
        <v>#REF!</v>
      </c>
      <c r="LRC247" s="29" t="e">
        <f t="shared" si="177"/>
        <v>#REF!</v>
      </c>
      <c r="LRD247" s="29" t="e">
        <f t="shared" si="177"/>
        <v>#REF!</v>
      </c>
      <c r="LRE247" s="29" t="e">
        <f t="shared" si="177"/>
        <v>#REF!</v>
      </c>
      <c r="LRF247" s="29" t="e">
        <f t="shared" si="177"/>
        <v>#REF!</v>
      </c>
      <c r="LRG247" s="29" t="e">
        <f t="shared" si="177"/>
        <v>#REF!</v>
      </c>
      <c r="LRH247" s="29" t="e">
        <f t="shared" si="177"/>
        <v>#REF!</v>
      </c>
      <c r="LRI247" s="29" t="e">
        <f t="shared" si="177"/>
        <v>#REF!</v>
      </c>
      <c r="LRJ247" s="29" t="e">
        <f t="shared" si="177"/>
        <v>#REF!</v>
      </c>
      <c r="LRK247" s="29" t="e">
        <f t="shared" si="177"/>
        <v>#REF!</v>
      </c>
      <c r="LRL247" s="29" t="e">
        <f t="shared" si="177"/>
        <v>#REF!</v>
      </c>
      <c r="LRM247" s="29" t="e">
        <f t="shared" ref="LRM247:LTX247" si="178">LRQ247&amp;LRR247</f>
        <v>#REF!</v>
      </c>
      <c r="LRN247" s="29" t="e">
        <f t="shared" si="178"/>
        <v>#REF!</v>
      </c>
      <c r="LRO247" s="29" t="e">
        <f t="shared" si="178"/>
        <v>#REF!</v>
      </c>
      <c r="LRP247" s="29" t="e">
        <f t="shared" si="178"/>
        <v>#REF!</v>
      </c>
      <c r="LRQ247" s="29" t="e">
        <f t="shared" si="178"/>
        <v>#REF!</v>
      </c>
      <c r="LRR247" s="29" t="e">
        <f t="shared" si="178"/>
        <v>#REF!</v>
      </c>
      <c r="LRS247" s="29" t="e">
        <f t="shared" si="178"/>
        <v>#REF!</v>
      </c>
      <c r="LRT247" s="29" t="e">
        <f t="shared" si="178"/>
        <v>#REF!</v>
      </c>
      <c r="LRU247" s="29" t="e">
        <f t="shared" si="178"/>
        <v>#REF!</v>
      </c>
      <c r="LRV247" s="29" t="e">
        <f t="shared" si="178"/>
        <v>#REF!</v>
      </c>
      <c r="LRW247" s="29" t="e">
        <f t="shared" si="178"/>
        <v>#REF!</v>
      </c>
      <c r="LRX247" s="29" t="e">
        <f t="shared" si="178"/>
        <v>#REF!</v>
      </c>
      <c r="LRY247" s="29" t="e">
        <f t="shared" si="178"/>
        <v>#REF!</v>
      </c>
      <c r="LRZ247" s="29" t="e">
        <f t="shared" si="178"/>
        <v>#REF!</v>
      </c>
      <c r="LSA247" s="29" t="e">
        <f t="shared" si="178"/>
        <v>#REF!</v>
      </c>
      <c r="LSB247" s="29" t="e">
        <f t="shared" si="178"/>
        <v>#REF!</v>
      </c>
      <c r="LSC247" s="29" t="e">
        <f t="shared" si="178"/>
        <v>#REF!</v>
      </c>
      <c r="LSD247" s="29" t="e">
        <f t="shared" si="178"/>
        <v>#REF!</v>
      </c>
      <c r="LSE247" s="29" t="e">
        <f t="shared" si="178"/>
        <v>#REF!</v>
      </c>
      <c r="LSF247" s="29" t="e">
        <f t="shared" si="178"/>
        <v>#REF!</v>
      </c>
      <c r="LSG247" s="29" t="e">
        <f t="shared" si="178"/>
        <v>#REF!</v>
      </c>
      <c r="LSH247" s="29" t="e">
        <f t="shared" si="178"/>
        <v>#REF!</v>
      </c>
      <c r="LSI247" s="29" t="e">
        <f t="shared" si="178"/>
        <v>#REF!</v>
      </c>
      <c r="LSJ247" s="29" t="e">
        <f t="shared" si="178"/>
        <v>#REF!</v>
      </c>
      <c r="LSK247" s="29" t="e">
        <f t="shared" si="178"/>
        <v>#REF!</v>
      </c>
      <c r="LSL247" s="29" t="e">
        <f t="shared" si="178"/>
        <v>#REF!</v>
      </c>
      <c r="LSM247" s="29" t="e">
        <f t="shared" si="178"/>
        <v>#REF!</v>
      </c>
      <c r="LSN247" s="29" t="e">
        <f t="shared" si="178"/>
        <v>#REF!</v>
      </c>
      <c r="LSO247" s="29" t="e">
        <f t="shared" si="178"/>
        <v>#REF!</v>
      </c>
      <c r="LSP247" s="29" t="e">
        <f t="shared" si="178"/>
        <v>#REF!</v>
      </c>
      <c r="LSQ247" s="29" t="e">
        <f t="shared" si="178"/>
        <v>#REF!</v>
      </c>
      <c r="LSR247" s="29" t="e">
        <f t="shared" si="178"/>
        <v>#REF!</v>
      </c>
      <c r="LSS247" s="29" t="e">
        <f t="shared" si="178"/>
        <v>#REF!</v>
      </c>
      <c r="LST247" s="29" t="e">
        <f t="shared" si="178"/>
        <v>#REF!</v>
      </c>
      <c r="LSU247" s="29" t="e">
        <f t="shared" si="178"/>
        <v>#REF!</v>
      </c>
      <c r="LSV247" s="29" t="e">
        <f t="shared" si="178"/>
        <v>#REF!</v>
      </c>
      <c r="LSW247" s="29" t="e">
        <f t="shared" si="178"/>
        <v>#REF!</v>
      </c>
      <c r="LSX247" s="29" t="e">
        <f t="shared" si="178"/>
        <v>#REF!</v>
      </c>
      <c r="LSY247" s="29" t="e">
        <f t="shared" si="178"/>
        <v>#REF!</v>
      </c>
      <c r="LSZ247" s="29" t="e">
        <f t="shared" si="178"/>
        <v>#REF!</v>
      </c>
      <c r="LTA247" s="29" t="e">
        <f t="shared" si="178"/>
        <v>#REF!</v>
      </c>
      <c r="LTB247" s="29" t="e">
        <f t="shared" si="178"/>
        <v>#REF!</v>
      </c>
      <c r="LTC247" s="29" t="e">
        <f t="shared" si="178"/>
        <v>#REF!</v>
      </c>
      <c r="LTD247" s="29" t="e">
        <f t="shared" si="178"/>
        <v>#REF!</v>
      </c>
      <c r="LTE247" s="29" t="e">
        <f t="shared" si="178"/>
        <v>#REF!</v>
      </c>
      <c r="LTF247" s="29" t="e">
        <f t="shared" si="178"/>
        <v>#REF!</v>
      </c>
      <c r="LTG247" s="29" t="e">
        <f t="shared" si="178"/>
        <v>#REF!</v>
      </c>
      <c r="LTH247" s="29" t="e">
        <f t="shared" si="178"/>
        <v>#REF!</v>
      </c>
      <c r="LTI247" s="29" t="e">
        <f t="shared" si="178"/>
        <v>#REF!</v>
      </c>
      <c r="LTJ247" s="29" t="e">
        <f t="shared" si="178"/>
        <v>#REF!</v>
      </c>
      <c r="LTK247" s="29" t="e">
        <f t="shared" si="178"/>
        <v>#REF!</v>
      </c>
      <c r="LTL247" s="29" t="e">
        <f t="shared" si="178"/>
        <v>#REF!</v>
      </c>
      <c r="LTM247" s="29" t="e">
        <f t="shared" si="178"/>
        <v>#REF!</v>
      </c>
      <c r="LTN247" s="29" t="e">
        <f t="shared" si="178"/>
        <v>#REF!</v>
      </c>
      <c r="LTO247" s="29" t="e">
        <f t="shared" si="178"/>
        <v>#REF!</v>
      </c>
      <c r="LTP247" s="29" t="e">
        <f t="shared" si="178"/>
        <v>#REF!</v>
      </c>
      <c r="LTQ247" s="29" t="e">
        <f t="shared" si="178"/>
        <v>#REF!</v>
      </c>
      <c r="LTR247" s="29" t="e">
        <f t="shared" si="178"/>
        <v>#REF!</v>
      </c>
      <c r="LTS247" s="29" t="e">
        <f t="shared" si="178"/>
        <v>#REF!</v>
      </c>
      <c r="LTT247" s="29" t="e">
        <f t="shared" si="178"/>
        <v>#REF!</v>
      </c>
      <c r="LTU247" s="29" t="e">
        <f t="shared" si="178"/>
        <v>#REF!</v>
      </c>
      <c r="LTV247" s="29" t="e">
        <f t="shared" si="178"/>
        <v>#REF!</v>
      </c>
      <c r="LTW247" s="29" t="e">
        <f t="shared" si="178"/>
        <v>#REF!</v>
      </c>
      <c r="LTX247" s="29" t="e">
        <f t="shared" si="178"/>
        <v>#REF!</v>
      </c>
      <c r="LTY247" s="29" t="e">
        <f t="shared" ref="LTY247:LWJ247" si="179">LUC247&amp;LUD247</f>
        <v>#REF!</v>
      </c>
      <c r="LTZ247" s="29" t="e">
        <f t="shared" si="179"/>
        <v>#REF!</v>
      </c>
      <c r="LUA247" s="29" t="e">
        <f t="shared" si="179"/>
        <v>#REF!</v>
      </c>
      <c r="LUB247" s="29" t="e">
        <f t="shared" si="179"/>
        <v>#REF!</v>
      </c>
      <c r="LUC247" s="29" t="e">
        <f t="shared" si="179"/>
        <v>#REF!</v>
      </c>
      <c r="LUD247" s="29" t="e">
        <f t="shared" si="179"/>
        <v>#REF!</v>
      </c>
      <c r="LUE247" s="29" t="e">
        <f t="shared" si="179"/>
        <v>#REF!</v>
      </c>
      <c r="LUF247" s="29" t="e">
        <f t="shared" si="179"/>
        <v>#REF!</v>
      </c>
      <c r="LUG247" s="29" t="e">
        <f t="shared" si="179"/>
        <v>#REF!</v>
      </c>
      <c r="LUH247" s="29" t="e">
        <f t="shared" si="179"/>
        <v>#REF!</v>
      </c>
      <c r="LUI247" s="29" t="e">
        <f t="shared" si="179"/>
        <v>#REF!</v>
      </c>
      <c r="LUJ247" s="29" t="e">
        <f t="shared" si="179"/>
        <v>#REF!</v>
      </c>
      <c r="LUK247" s="29" t="e">
        <f t="shared" si="179"/>
        <v>#REF!</v>
      </c>
      <c r="LUL247" s="29" t="e">
        <f t="shared" si="179"/>
        <v>#REF!</v>
      </c>
      <c r="LUM247" s="29" t="e">
        <f t="shared" si="179"/>
        <v>#REF!</v>
      </c>
      <c r="LUN247" s="29" t="e">
        <f t="shared" si="179"/>
        <v>#REF!</v>
      </c>
      <c r="LUO247" s="29" t="e">
        <f t="shared" si="179"/>
        <v>#REF!</v>
      </c>
      <c r="LUP247" s="29" t="e">
        <f t="shared" si="179"/>
        <v>#REF!</v>
      </c>
      <c r="LUQ247" s="29" t="e">
        <f t="shared" si="179"/>
        <v>#REF!</v>
      </c>
      <c r="LUR247" s="29" t="e">
        <f t="shared" si="179"/>
        <v>#REF!</v>
      </c>
      <c r="LUS247" s="29" t="e">
        <f t="shared" si="179"/>
        <v>#REF!</v>
      </c>
      <c r="LUT247" s="29" t="e">
        <f t="shared" si="179"/>
        <v>#REF!</v>
      </c>
      <c r="LUU247" s="29" t="e">
        <f t="shared" si="179"/>
        <v>#REF!</v>
      </c>
      <c r="LUV247" s="29" t="e">
        <f t="shared" si="179"/>
        <v>#REF!</v>
      </c>
      <c r="LUW247" s="29" t="e">
        <f t="shared" si="179"/>
        <v>#REF!</v>
      </c>
      <c r="LUX247" s="29" t="e">
        <f t="shared" si="179"/>
        <v>#REF!</v>
      </c>
      <c r="LUY247" s="29" t="e">
        <f t="shared" si="179"/>
        <v>#REF!</v>
      </c>
      <c r="LUZ247" s="29" t="e">
        <f t="shared" si="179"/>
        <v>#REF!</v>
      </c>
      <c r="LVA247" s="29" t="e">
        <f t="shared" si="179"/>
        <v>#REF!</v>
      </c>
      <c r="LVB247" s="29" t="e">
        <f t="shared" si="179"/>
        <v>#REF!</v>
      </c>
      <c r="LVC247" s="29" t="e">
        <f t="shared" si="179"/>
        <v>#REF!</v>
      </c>
      <c r="LVD247" s="29" t="e">
        <f t="shared" si="179"/>
        <v>#REF!</v>
      </c>
      <c r="LVE247" s="29" t="e">
        <f t="shared" si="179"/>
        <v>#REF!</v>
      </c>
      <c r="LVF247" s="29" t="e">
        <f t="shared" si="179"/>
        <v>#REF!</v>
      </c>
      <c r="LVG247" s="29" t="e">
        <f t="shared" si="179"/>
        <v>#REF!</v>
      </c>
      <c r="LVH247" s="29" t="e">
        <f t="shared" si="179"/>
        <v>#REF!</v>
      </c>
      <c r="LVI247" s="29" t="e">
        <f t="shared" si="179"/>
        <v>#REF!</v>
      </c>
      <c r="LVJ247" s="29" t="e">
        <f t="shared" si="179"/>
        <v>#REF!</v>
      </c>
      <c r="LVK247" s="29" t="e">
        <f t="shared" si="179"/>
        <v>#REF!</v>
      </c>
      <c r="LVL247" s="29" t="e">
        <f t="shared" si="179"/>
        <v>#REF!</v>
      </c>
      <c r="LVM247" s="29" t="e">
        <f t="shared" si="179"/>
        <v>#REF!</v>
      </c>
      <c r="LVN247" s="29" t="e">
        <f t="shared" si="179"/>
        <v>#REF!</v>
      </c>
      <c r="LVO247" s="29" t="e">
        <f t="shared" si="179"/>
        <v>#REF!</v>
      </c>
      <c r="LVP247" s="29" t="e">
        <f t="shared" si="179"/>
        <v>#REF!</v>
      </c>
      <c r="LVQ247" s="29" t="e">
        <f t="shared" si="179"/>
        <v>#REF!</v>
      </c>
      <c r="LVR247" s="29" t="e">
        <f t="shared" si="179"/>
        <v>#REF!</v>
      </c>
      <c r="LVS247" s="29" t="e">
        <f t="shared" si="179"/>
        <v>#REF!</v>
      </c>
      <c r="LVT247" s="29" t="e">
        <f t="shared" si="179"/>
        <v>#REF!</v>
      </c>
      <c r="LVU247" s="29" t="e">
        <f t="shared" si="179"/>
        <v>#REF!</v>
      </c>
      <c r="LVV247" s="29" t="e">
        <f t="shared" si="179"/>
        <v>#REF!</v>
      </c>
      <c r="LVW247" s="29" t="e">
        <f t="shared" si="179"/>
        <v>#REF!</v>
      </c>
      <c r="LVX247" s="29" t="e">
        <f t="shared" si="179"/>
        <v>#REF!</v>
      </c>
      <c r="LVY247" s="29" t="e">
        <f t="shared" si="179"/>
        <v>#REF!</v>
      </c>
      <c r="LVZ247" s="29" t="e">
        <f t="shared" si="179"/>
        <v>#REF!</v>
      </c>
      <c r="LWA247" s="29" t="e">
        <f t="shared" si="179"/>
        <v>#REF!</v>
      </c>
      <c r="LWB247" s="29" t="e">
        <f t="shared" si="179"/>
        <v>#REF!</v>
      </c>
      <c r="LWC247" s="29" t="e">
        <f t="shared" si="179"/>
        <v>#REF!</v>
      </c>
      <c r="LWD247" s="29" t="e">
        <f t="shared" si="179"/>
        <v>#REF!</v>
      </c>
      <c r="LWE247" s="29" t="e">
        <f t="shared" si="179"/>
        <v>#REF!</v>
      </c>
      <c r="LWF247" s="29" t="e">
        <f t="shared" si="179"/>
        <v>#REF!</v>
      </c>
      <c r="LWG247" s="29" t="e">
        <f t="shared" si="179"/>
        <v>#REF!</v>
      </c>
      <c r="LWH247" s="29" t="e">
        <f t="shared" si="179"/>
        <v>#REF!</v>
      </c>
      <c r="LWI247" s="29" t="e">
        <f t="shared" si="179"/>
        <v>#REF!</v>
      </c>
      <c r="LWJ247" s="29" t="e">
        <f t="shared" si="179"/>
        <v>#REF!</v>
      </c>
      <c r="LWK247" s="29" t="e">
        <f t="shared" ref="LWK247:LYV247" si="180">LWO247&amp;LWP247</f>
        <v>#REF!</v>
      </c>
      <c r="LWL247" s="29" t="e">
        <f t="shared" si="180"/>
        <v>#REF!</v>
      </c>
      <c r="LWM247" s="29" t="e">
        <f t="shared" si="180"/>
        <v>#REF!</v>
      </c>
      <c r="LWN247" s="29" t="e">
        <f t="shared" si="180"/>
        <v>#REF!</v>
      </c>
      <c r="LWO247" s="29" t="e">
        <f t="shared" si="180"/>
        <v>#REF!</v>
      </c>
      <c r="LWP247" s="29" t="e">
        <f t="shared" si="180"/>
        <v>#REF!</v>
      </c>
      <c r="LWQ247" s="29" t="e">
        <f t="shared" si="180"/>
        <v>#REF!</v>
      </c>
      <c r="LWR247" s="29" t="e">
        <f t="shared" si="180"/>
        <v>#REF!</v>
      </c>
      <c r="LWS247" s="29" t="e">
        <f t="shared" si="180"/>
        <v>#REF!</v>
      </c>
      <c r="LWT247" s="29" t="e">
        <f t="shared" si="180"/>
        <v>#REF!</v>
      </c>
      <c r="LWU247" s="29" t="e">
        <f t="shared" si="180"/>
        <v>#REF!</v>
      </c>
      <c r="LWV247" s="29" t="e">
        <f t="shared" si="180"/>
        <v>#REF!</v>
      </c>
      <c r="LWW247" s="29" t="e">
        <f t="shared" si="180"/>
        <v>#REF!</v>
      </c>
      <c r="LWX247" s="29" t="e">
        <f t="shared" si="180"/>
        <v>#REF!</v>
      </c>
      <c r="LWY247" s="29" t="e">
        <f t="shared" si="180"/>
        <v>#REF!</v>
      </c>
      <c r="LWZ247" s="29" t="e">
        <f t="shared" si="180"/>
        <v>#REF!</v>
      </c>
      <c r="LXA247" s="29" t="e">
        <f t="shared" si="180"/>
        <v>#REF!</v>
      </c>
      <c r="LXB247" s="29" t="e">
        <f t="shared" si="180"/>
        <v>#REF!</v>
      </c>
      <c r="LXC247" s="29" t="e">
        <f t="shared" si="180"/>
        <v>#REF!</v>
      </c>
      <c r="LXD247" s="29" t="e">
        <f t="shared" si="180"/>
        <v>#REF!</v>
      </c>
      <c r="LXE247" s="29" t="e">
        <f t="shared" si="180"/>
        <v>#REF!</v>
      </c>
      <c r="LXF247" s="29" t="e">
        <f t="shared" si="180"/>
        <v>#REF!</v>
      </c>
      <c r="LXG247" s="29" t="e">
        <f t="shared" si="180"/>
        <v>#REF!</v>
      </c>
      <c r="LXH247" s="29" t="e">
        <f t="shared" si="180"/>
        <v>#REF!</v>
      </c>
      <c r="LXI247" s="29" t="e">
        <f t="shared" si="180"/>
        <v>#REF!</v>
      </c>
      <c r="LXJ247" s="29" t="e">
        <f t="shared" si="180"/>
        <v>#REF!</v>
      </c>
      <c r="LXK247" s="29" t="e">
        <f t="shared" si="180"/>
        <v>#REF!</v>
      </c>
      <c r="LXL247" s="29" t="e">
        <f t="shared" si="180"/>
        <v>#REF!</v>
      </c>
      <c r="LXM247" s="29" t="e">
        <f t="shared" si="180"/>
        <v>#REF!</v>
      </c>
      <c r="LXN247" s="29" t="e">
        <f t="shared" si="180"/>
        <v>#REF!</v>
      </c>
      <c r="LXO247" s="29" t="e">
        <f t="shared" si="180"/>
        <v>#REF!</v>
      </c>
      <c r="LXP247" s="29" t="e">
        <f t="shared" si="180"/>
        <v>#REF!</v>
      </c>
      <c r="LXQ247" s="29" t="e">
        <f t="shared" si="180"/>
        <v>#REF!</v>
      </c>
      <c r="LXR247" s="29" t="e">
        <f t="shared" si="180"/>
        <v>#REF!</v>
      </c>
      <c r="LXS247" s="29" t="e">
        <f t="shared" si="180"/>
        <v>#REF!</v>
      </c>
      <c r="LXT247" s="29" t="e">
        <f t="shared" si="180"/>
        <v>#REF!</v>
      </c>
      <c r="LXU247" s="29" t="e">
        <f t="shared" si="180"/>
        <v>#REF!</v>
      </c>
      <c r="LXV247" s="29" t="e">
        <f t="shared" si="180"/>
        <v>#REF!</v>
      </c>
      <c r="LXW247" s="29" t="e">
        <f t="shared" si="180"/>
        <v>#REF!</v>
      </c>
      <c r="LXX247" s="29" t="e">
        <f t="shared" si="180"/>
        <v>#REF!</v>
      </c>
      <c r="LXY247" s="29" t="e">
        <f t="shared" si="180"/>
        <v>#REF!</v>
      </c>
      <c r="LXZ247" s="29" t="e">
        <f t="shared" si="180"/>
        <v>#REF!</v>
      </c>
      <c r="LYA247" s="29" t="e">
        <f t="shared" si="180"/>
        <v>#REF!</v>
      </c>
      <c r="LYB247" s="29" t="e">
        <f t="shared" si="180"/>
        <v>#REF!</v>
      </c>
      <c r="LYC247" s="29" t="e">
        <f t="shared" si="180"/>
        <v>#REF!</v>
      </c>
      <c r="LYD247" s="29" t="e">
        <f t="shared" si="180"/>
        <v>#REF!</v>
      </c>
      <c r="LYE247" s="29" t="e">
        <f t="shared" si="180"/>
        <v>#REF!</v>
      </c>
      <c r="LYF247" s="29" t="e">
        <f t="shared" si="180"/>
        <v>#REF!</v>
      </c>
      <c r="LYG247" s="29" t="e">
        <f t="shared" si="180"/>
        <v>#REF!</v>
      </c>
      <c r="LYH247" s="29" t="e">
        <f t="shared" si="180"/>
        <v>#REF!</v>
      </c>
      <c r="LYI247" s="29" t="e">
        <f t="shared" si="180"/>
        <v>#REF!</v>
      </c>
      <c r="LYJ247" s="29" t="e">
        <f t="shared" si="180"/>
        <v>#REF!</v>
      </c>
      <c r="LYK247" s="29" t="e">
        <f t="shared" si="180"/>
        <v>#REF!</v>
      </c>
      <c r="LYL247" s="29" t="e">
        <f t="shared" si="180"/>
        <v>#REF!</v>
      </c>
      <c r="LYM247" s="29" t="e">
        <f t="shared" si="180"/>
        <v>#REF!</v>
      </c>
      <c r="LYN247" s="29" t="e">
        <f t="shared" si="180"/>
        <v>#REF!</v>
      </c>
      <c r="LYO247" s="29" t="e">
        <f t="shared" si="180"/>
        <v>#REF!</v>
      </c>
      <c r="LYP247" s="29" t="e">
        <f t="shared" si="180"/>
        <v>#REF!</v>
      </c>
      <c r="LYQ247" s="29" t="e">
        <f t="shared" si="180"/>
        <v>#REF!</v>
      </c>
      <c r="LYR247" s="29" t="e">
        <f t="shared" si="180"/>
        <v>#REF!</v>
      </c>
      <c r="LYS247" s="29" t="e">
        <f t="shared" si="180"/>
        <v>#REF!</v>
      </c>
      <c r="LYT247" s="29" t="e">
        <f t="shared" si="180"/>
        <v>#REF!</v>
      </c>
      <c r="LYU247" s="29" t="e">
        <f t="shared" si="180"/>
        <v>#REF!</v>
      </c>
      <c r="LYV247" s="29" t="e">
        <f t="shared" si="180"/>
        <v>#REF!</v>
      </c>
      <c r="LYW247" s="29" t="e">
        <f t="shared" ref="LYW247:MBH247" si="181">LZA247&amp;LZB247</f>
        <v>#REF!</v>
      </c>
      <c r="LYX247" s="29" t="e">
        <f t="shared" si="181"/>
        <v>#REF!</v>
      </c>
      <c r="LYY247" s="29" t="e">
        <f t="shared" si="181"/>
        <v>#REF!</v>
      </c>
      <c r="LYZ247" s="29" t="e">
        <f t="shared" si="181"/>
        <v>#REF!</v>
      </c>
      <c r="LZA247" s="29" t="e">
        <f t="shared" si="181"/>
        <v>#REF!</v>
      </c>
      <c r="LZB247" s="29" t="e">
        <f t="shared" si="181"/>
        <v>#REF!</v>
      </c>
      <c r="LZC247" s="29" t="e">
        <f t="shared" si="181"/>
        <v>#REF!</v>
      </c>
      <c r="LZD247" s="29" t="e">
        <f t="shared" si="181"/>
        <v>#REF!</v>
      </c>
      <c r="LZE247" s="29" t="e">
        <f t="shared" si="181"/>
        <v>#REF!</v>
      </c>
      <c r="LZF247" s="29" t="e">
        <f t="shared" si="181"/>
        <v>#REF!</v>
      </c>
      <c r="LZG247" s="29" t="e">
        <f t="shared" si="181"/>
        <v>#REF!</v>
      </c>
      <c r="LZH247" s="29" t="e">
        <f t="shared" si="181"/>
        <v>#REF!</v>
      </c>
      <c r="LZI247" s="29" t="e">
        <f t="shared" si="181"/>
        <v>#REF!</v>
      </c>
      <c r="LZJ247" s="29" t="e">
        <f t="shared" si="181"/>
        <v>#REF!</v>
      </c>
      <c r="LZK247" s="29" t="e">
        <f t="shared" si="181"/>
        <v>#REF!</v>
      </c>
      <c r="LZL247" s="29" t="e">
        <f t="shared" si="181"/>
        <v>#REF!</v>
      </c>
      <c r="LZM247" s="29" t="e">
        <f t="shared" si="181"/>
        <v>#REF!</v>
      </c>
      <c r="LZN247" s="29" t="e">
        <f t="shared" si="181"/>
        <v>#REF!</v>
      </c>
      <c r="LZO247" s="29" t="e">
        <f t="shared" si="181"/>
        <v>#REF!</v>
      </c>
      <c r="LZP247" s="29" t="e">
        <f t="shared" si="181"/>
        <v>#REF!</v>
      </c>
      <c r="LZQ247" s="29" t="e">
        <f t="shared" si="181"/>
        <v>#REF!</v>
      </c>
      <c r="LZR247" s="29" t="e">
        <f t="shared" si="181"/>
        <v>#REF!</v>
      </c>
      <c r="LZS247" s="29" t="e">
        <f t="shared" si="181"/>
        <v>#REF!</v>
      </c>
      <c r="LZT247" s="29" t="e">
        <f t="shared" si="181"/>
        <v>#REF!</v>
      </c>
      <c r="LZU247" s="29" t="e">
        <f t="shared" si="181"/>
        <v>#REF!</v>
      </c>
      <c r="LZV247" s="29" t="e">
        <f t="shared" si="181"/>
        <v>#REF!</v>
      </c>
      <c r="LZW247" s="29" t="e">
        <f t="shared" si="181"/>
        <v>#REF!</v>
      </c>
      <c r="LZX247" s="29" t="e">
        <f t="shared" si="181"/>
        <v>#REF!</v>
      </c>
      <c r="LZY247" s="29" t="e">
        <f t="shared" si="181"/>
        <v>#REF!</v>
      </c>
      <c r="LZZ247" s="29" t="e">
        <f t="shared" si="181"/>
        <v>#REF!</v>
      </c>
      <c r="MAA247" s="29" t="e">
        <f t="shared" si="181"/>
        <v>#REF!</v>
      </c>
      <c r="MAB247" s="29" t="e">
        <f t="shared" si="181"/>
        <v>#REF!</v>
      </c>
      <c r="MAC247" s="29" t="e">
        <f t="shared" si="181"/>
        <v>#REF!</v>
      </c>
      <c r="MAD247" s="29" t="e">
        <f t="shared" si="181"/>
        <v>#REF!</v>
      </c>
      <c r="MAE247" s="29" t="e">
        <f t="shared" si="181"/>
        <v>#REF!</v>
      </c>
      <c r="MAF247" s="29" t="e">
        <f t="shared" si="181"/>
        <v>#REF!</v>
      </c>
      <c r="MAG247" s="29" t="e">
        <f t="shared" si="181"/>
        <v>#REF!</v>
      </c>
      <c r="MAH247" s="29" t="e">
        <f t="shared" si="181"/>
        <v>#REF!</v>
      </c>
      <c r="MAI247" s="29" t="e">
        <f t="shared" si="181"/>
        <v>#REF!</v>
      </c>
      <c r="MAJ247" s="29" t="e">
        <f t="shared" si="181"/>
        <v>#REF!</v>
      </c>
      <c r="MAK247" s="29" t="e">
        <f t="shared" si="181"/>
        <v>#REF!</v>
      </c>
      <c r="MAL247" s="29" t="e">
        <f t="shared" si="181"/>
        <v>#REF!</v>
      </c>
      <c r="MAM247" s="29" t="e">
        <f t="shared" si="181"/>
        <v>#REF!</v>
      </c>
      <c r="MAN247" s="29" t="e">
        <f t="shared" si="181"/>
        <v>#REF!</v>
      </c>
      <c r="MAO247" s="29" t="e">
        <f t="shared" si="181"/>
        <v>#REF!</v>
      </c>
      <c r="MAP247" s="29" t="e">
        <f t="shared" si="181"/>
        <v>#REF!</v>
      </c>
      <c r="MAQ247" s="29" t="e">
        <f t="shared" si="181"/>
        <v>#REF!</v>
      </c>
      <c r="MAR247" s="29" t="e">
        <f t="shared" si="181"/>
        <v>#REF!</v>
      </c>
      <c r="MAS247" s="29" t="e">
        <f t="shared" si="181"/>
        <v>#REF!</v>
      </c>
      <c r="MAT247" s="29" t="e">
        <f t="shared" si="181"/>
        <v>#REF!</v>
      </c>
      <c r="MAU247" s="29" t="e">
        <f t="shared" si="181"/>
        <v>#REF!</v>
      </c>
      <c r="MAV247" s="29" t="e">
        <f t="shared" si="181"/>
        <v>#REF!</v>
      </c>
      <c r="MAW247" s="29" t="e">
        <f t="shared" si="181"/>
        <v>#REF!</v>
      </c>
      <c r="MAX247" s="29" t="e">
        <f t="shared" si="181"/>
        <v>#REF!</v>
      </c>
      <c r="MAY247" s="29" t="e">
        <f t="shared" si="181"/>
        <v>#REF!</v>
      </c>
      <c r="MAZ247" s="29" t="e">
        <f t="shared" si="181"/>
        <v>#REF!</v>
      </c>
      <c r="MBA247" s="29" t="e">
        <f t="shared" si="181"/>
        <v>#REF!</v>
      </c>
      <c r="MBB247" s="29" t="e">
        <f t="shared" si="181"/>
        <v>#REF!</v>
      </c>
      <c r="MBC247" s="29" t="e">
        <f t="shared" si="181"/>
        <v>#REF!</v>
      </c>
      <c r="MBD247" s="29" t="e">
        <f t="shared" si="181"/>
        <v>#REF!</v>
      </c>
      <c r="MBE247" s="29" t="e">
        <f t="shared" si="181"/>
        <v>#REF!</v>
      </c>
      <c r="MBF247" s="29" t="e">
        <f t="shared" si="181"/>
        <v>#REF!</v>
      </c>
      <c r="MBG247" s="29" t="e">
        <f t="shared" si="181"/>
        <v>#REF!</v>
      </c>
      <c r="MBH247" s="29" t="e">
        <f t="shared" si="181"/>
        <v>#REF!</v>
      </c>
      <c r="MBI247" s="29" t="e">
        <f t="shared" ref="MBI247:MDT247" si="182">MBM247&amp;MBN247</f>
        <v>#REF!</v>
      </c>
      <c r="MBJ247" s="29" t="e">
        <f t="shared" si="182"/>
        <v>#REF!</v>
      </c>
      <c r="MBK247" s="29" t="e">
        <f t="shared" si="182"/>
        <v>#REF!</v>
      </c>
      <c r="MBL247" s="29" t="e">
        <f t="shared" si="182"/>
        <v>#REF!</v>
      </c>
      <c r="MBM247" s="29" t="e">
        <f t="shared" si="182"/>
        <v>#REF!</v>
      </c>
      <c r="MBN247" s="29" t="e">
        <f t="shared" si="182"/>
        <v>#REF!</v>
      </c>
      <c r="MBO247" s="29" t="e">
        <f t="shared" si="182"/>
        <v>#REF!</v>
      </c>
      <c r="MBP247" s="29" t="e">
        <f t="shared" si="182"/>
        <v>#REF!</v>
      </c>
      <c r="MBQ247" s="29" t="e">
        <f t="shared" si="182"/>
        <v>#REF!</v>
      </c>
      <c r="MBR247" s="29" t="e">
        <f t="shared" si="182"/>
        <v>#REF!</v>
      </c>
      <c r="MBS247" s="29" t="e">
        <f t="shared" si="182"/>
        <v>#REF!</v>
      </c>
      <c r="MBT247" s="29" t="e">
        <f t="shared" si="182"/>
        <v>#REF!</v>
      </c>
      <c r="MBU247" s="29" t="e">
        <f t="shared" si="182"/>
        <v>#REF!</v>
      </c>
      <c r="MBV247" s="29" t="e">
        <f t="shared" si="182"/>
        <v>#REF!</v>
      </c>
      <c r="MBW247" s="29" t="e">
        <f t="shared" si="182"/>
        <v>#REF!</v>
      </c>
      <c r="MBX247" s="29" t="e">
        <f t="shared" si="182"/>
        <v>#REF!</v>
      </c>
      <c r="MBY247" s="29" t="e">
        <f t="shared" si="182"/>
        <v>#REF!</v>
      </c>
      <c r="MBZ247" s="29" t="e">
        <f t="shared" si="182"/>
        <v>#REF!</v>
      </c>
      <c r="MCA247" s="29" t="e">
        <f t="shared" si="182"/>
        <v>#REF!</v>
      </c>
      <c r="MCB247" s="29" t="e">
        <f t="shared" si="182"/>
        <v>#REF!</v>
      </c>
      <c r="MCC247" s="29" t="e">
        <f t="shared" si="182"/>
        <v>#REF!</v>
      </c>
      <c r="MCD247" s="29" t="e">
        <f t="shared" si="182"/>
        <v>#REF!</v>
      </c>
      <c r="MCE247" s="29" t="e">
        <f t="shared" si="182"/>
        <v>#REF!</v>
      </c>
      <c r="MCF247" s="29" t="e">
        <f t="shared" si="182"/>
        <v>#REF!</v>
      </c>
      <c r="MCG247" s="29" t="e">
        <f t="shared" si="182"/>
        <v>#REF!</v>
      </c>
      <c r="MCH247" s="29" t="e">
        <f t="shared" si="182"/>
        <v>#REF!</v>
      </c>
      <c r="MCI247" s="29" t="e">
        <f t="shared" si="182"/>
        <v>#REF!</v>
      </c>
      <c r="MCJ247" s="29" t="e">
        <f t="shared" si="182"/>
        <v>#REF!</v>
      </c>
      <c r="MCK247" s="29" t="e">
        <f t="shared" si="182"/>
        <v>#REF!</v>
      </c>
      <c r="MCL247" s="29" t="e">
        <f t="shared" si="182"/>
        <v>#REF!</v>
      </c>
      <c r="MCM247" s="29" t="e">
        <f t="shared" si="182"/>
        <v>#REF!</v>
      </c>
      <c r="MCN247" s="29" t="e">
        <f t="shared" si="182"/>
        <v>#REF!</v>
      </c>
      <c r="MCO247" s="29" t="e">
        <f t="shared" si="182"/>
        <v>#REF!</v>
      </c>
      <c r="MCP247" s="29" t="e">
        <f t="shared" si="182"/>
        <v>#REF!</v>
      </c>
      <c r="MCQ247" s="29" t="e">
        <f t="shared" si="182"/>
        <v>#REF!</v>
      </c>
      <c r="MCR247" s="29" t="e">
        <f t="shared" si="182"/>
        <v>#REF!</v>
      </c>
      <c r="MCS247" s="29" t="e">
        <f t="shared" si="182"/>
        <v>#REF!</v>
      </c>
      <c r="MCT247" s="29" t="e">
        <f t="shared" si="182"/>
        <v>#REF!</v>
      </c>
      <c r="MCU247" s="29" t="e">
        <f t="shared" si="182"/>
        <v>#REF!</v>
      </c>
      <c r="MCV247" s="29" t="e">
        <f t="shared" si="182"/>
        <v>#REF!</v>
      </c>
      <c r="MCW247" s="29" t="e">
        <f t="shared" si="182"/>
        <v>#REF!</v>
      </c>
      <c r="MCX247" s="29" t="e">
        <f t="shared" si="182"/>
        <v>#REF!</v>
      </c>
      <c r="MCY247" s="29" t="e">
        <f t="shared" si="182"/>
        <v>#REF!</v>
      </c>
      <c r="MCZ247" s="29" t="e">
        <f t="shared" si="182"/>
        <v>#REF!</v>
      </c>
      <c r="MDA247" s="29" t="e">
        <f t="shared" si="182"/>
        <v>#REF!</v>
      </c>
      <c r="MDB247" s="29" t="e">
        <f t="shared" si="182"/>
        <v>#REF!</v>
      </c>
      <c r="MDC247" s="29" t="e">
        <f t="shared" si="182"/>
        <v>#REF!</v>
      </c>
      <c r="MDD247" s="29" t="e">
        <f t="shared" si="182"/>
        <v>#REF!</v>
      </c>
      <c r="MDE247" s="29" t="e">
        <f t="shared" si="182"/>
        <v>#REF!</v>
      </c>
      <c r="MDF247" s="29" t="e">
        <f t="shared" si="182"/>
        <v>#REF!</v>
      </c>
      <c r="MDG247" s="29" t="e">
        <f t="shared" si="182"/>
        <v>#REF!</v>
      </c>
      <c r="MDH247" s="29" t="e">
        <f t="shared" si="182"/>
        <v>#REF!</v>
      </c>
      <c r="MDI247" s="29" t="e">
        <f t="shared" si="182"/>
        <v>#REF!</v>
      </c>
      <c r="MDJ247" s="29" t="e">
        <f t="shared" si="182"/>
        <v>#REF!</v>
      </c>
      <c r="MDK247" s="29" t="e">
        <f t="shared" si="182"/>
        <v>#REF!</v>
      </c>
      <c r="MDL247" s="29" t="e">
        <f t="shared" si="182"/>
        <v>#REF!</v>
      </c>
      <c r="MDM247" s="29" t="e">
        <f t="shared" si="182"/>
        <v>#REF!</v>
      </c>
      <c r="MDN247" s="29" t="e">
        <f t="shared" si="182"/>
        <v>#REF!</v>
      </c>
      <c r="MDO247" s="29" t="e">
        <f t="shared" si="182"/>
        <v>#REF!</v>
      </c>
      <c r="MDP247" s="29" t="e">
        <f t="shared" si="182"/>
        <v>#REF!</v>
      </c>
      <c r="MDQ247" s="29" t="e">
        <f t="shared" si="182"/>
        <v>#REF!</v>
      </c>
      <c r="MDR247" s="29" t="e">
        <f t="shared" si="182"/>
        <v>#REF!</v>
      </c>
      <c r="MDS247" s="29" t="e">
        <f t="shared" si="182"/>
        <v>#REF!</v>
      </c>
      <c r="MDT247" s="29" t="e">
        <f t="shared" si="182"/>
        <v>#REF!</v>
      </c>
      <c r="MDU247" s="29" t="e">
        <f t="shared" ref="MDU247:MGF247" si="183">MDY247&amp;MDZ247</f>
        <v>#REF!</v>
      </c>
      <c r="MDV247" s="29" t="e">
        <f t="shared" si="183"/>
        <v>#REF!</v>
      </c>
      <c r="MDW247" s="29" t="e">
        <f t="shared" si="183"/>
        <v>#REF!</v>
      </c>
      <c r="MDX247" s="29" t="e">
        <f t="shared" si="183"/>
        <v>#REF!</v>
      </c>
      <c r="MDY247" s="29" t="e">
        <f t="shared" si="183"/>
        <v>#REF!</v>
      </c>
      <c r="MDZ247" s="29" t="e">
        <f t="shared" si="183"/>
        <v>#REF!</v>
      </c>
      <c r="MEA247" s="29" t="e">
        <f t="shared" si="183"/>
        <v>#REF!</v>
      </c>
      <c r="MEB247" s="29" t="e">
        <f t="shared" si="183"/>
        <v>#REF!</v>
      </c>
      <c r="MEC247" s="29" t="e">
        <f t="shared" si="183"/>
        <v>#REF!</v>
      </c>
      <c r="MED247" s="29" t="e">
        <f t="shared" si="183"/>
        <v>#REF!</v>
      </c>
      <c r="MEE247" s="29" t="e">
        <f t="shared" si="183"/>
        <v>#REF!</v>
      </c>
      <c r="MEF247" s="29" t="e">
        <f t="shared" si="183"/>
        <v>#REF!</v>
      </c>
      <c r="MEG247" s="29" t="e">
        <f t="shared" si="183"/>
        <v>#REF!</v>
      </c>
      <c r="MEH247" s="29" t="e">
        <f t="shared" si="183"/>
        <v>#REF!</v>
      </c>
      <c r="MEI247" s="29" t="e">
        <f t="shared" si="183"/>
        <v>#REF!</v>
      </c>
      <c r="MEJ247" s="29" t="e">
        <f t="shared" si="183"/>
        <v>#REF!</v>
      </c>
      <c r="MEK247" s="29" t="e">
        <f t="shared" si="183"/>
        <v>#REF!</v>
      </c>
      <c r="MEL247" s="29" t="e">
        <f t="shared" si="183"/>
        <v>#REF!</v>
      </c>
      <c r="MEM247" s="29" t="e">
        <f t="shared" si="183"/>
        <v>#REF!</v>
      </c>
      <c r="MEN247" s="29" t="e">
        <f t="shared" si="183"/>
        <v>#REF!</v>
      </c>
      <c r="MEO247" s="29" t="e">
        <f t="shared" si="183"/>
        <v>#REF!</v>
      </c>
      <c r="MEP247" s="29" t="e">
        <f t="shared" si="183"/>
        <v>#REF!</v>
      </c>
      <c r="MEQ247" s="29" t="e">
        <f t="shared" si="183"/>
        <v>#REF!</v>
      </c>
      <c r="MER247" s="29" t="e">
        <f t="shared" si="183"/>
        <v>#REF!</v>
      </c>
      <c r="MES247" s="29" t="e">
        <f t="shared" si="183"/>
        <v>#REF!</v>
      </c>
      <c r="MET247" s="29" t="e">
        <f t="shared" si="183"/>
        <v>#REF!</v>
      </c>
      <c r="MEU247" s="29" t="e">
        <f t="shared" si="183"/>
        <v>#REF!</v>
      </c>
      <c r="MEV247" s="29" t="e">
        <f t="shared" si="183"/>
        <v>#REF!</v>
      </c>
      <c r="MEW247" s="29" t="e">
        <f t="shared" si="183"/>
        <v>#REF!</v>
      </c>
      <c r="MEX247" s="29" t="e">
        <f t="shared" si="183"/>
        <v>#REF!</v>
      </c>
      <c r="MEY247" s="29" t="e">
        <f t="shared" si="183"/>
        <v>#REF!</v>
      </c>
      <c r="MEZ247" s="29" t="e">
        <f t="shared" si="183"/>
        <v>#REF!</v>
      </c>
      <c r="MFA247" s="29" t="e">
        <f t="shared" si="183"/>
        <v>#REF!</v>
      </c>
      <c r="MFB247" s="29" t="e">
        <f t="shared" si="183"/>
        <v>#REF!</v>
      </c>
      <c r="MFC247" s="29" t="e">
        <f t="shared" si="183"/>
        <v>#REF!</v>
      </c>
      <c r="MFD247" s="29" t="e">
        <f t="shared" si="183"/>
        <v>#REF!</v>
      </c>
      <c r="MFE247" s="29" t="e">
        <f t="shared" si="183"/>
        <v>#REF!</v>
      </c>
      <c r="MFF247" s="29" t="e">
        <f t="shared" si="183"/>
        <v>#REF!</v>
      </c>
      <c r="MFG247" s="29" t="e">
        <f t="shared" si="183"/>
        <v>#REF!</v>
      </c>
      <c r="MFH247" s="29" t="e">
        <f t="shared" si="183"/>
        <v>#REF!</v>
      </c>
      <c r="MFI247" s="29" t="e">
        <f t="shared" si="183"/>
        <v>#REF!</v>
      </c>
      <c r="MFJ247" s="29" t="e">
        <f t="shared" si="183"/>
        <v>#REF!</v>
      </c>
      <c r="MFK247" s="29" t="e">
        <f t="shared" si="183"/>
        <v>#REF!</v>
      </c>
      <c r="MFL247" s="29" t="e">
        <f t="shared" si="183"/>
        <v>#REF!</v>
      </c>
      <c r="MFM247" s="29" t="e">
        <f t="shared" si="183"/>
        <v>#REF!</v>
      </c>
      <c r="MFN247" s="29" t="e">
        <f t="shared" si="183"/>
        <v>#REF!</v>
      </c>
      <c r="MFO247" s="29" t="e">
        <f t="shared" si="183"/>
        <v>#REF!</v>
      </c>
      <c r="MFP247" s="29" t="e">
        <f t="shared" si="183"/>
        <v>#REF!</v>
      </c>
      <c r="MFQ247" s="29" t="e">
        <f t="shared" si="183"/>
        <v>#REF!</v>
      </c>
      <c r="MFR247" s="29" t="e">
        <f t="shared" si="183"/>
        <v>#REF!</v>
      </c>
      <c r="MFS247" s="29" t="e">
        <f t="shared" si="183"/>
        <v>#REF!</v>
      </c>
      <c r="MFT247" s="29" t="e">
        <f t="shared" si="183"/>
        <v>#REF!</v>
      </c>
      <c r="MFU247" s="29" t="e">
        <f t="shared" si="183"/>
        <v>#REF!</v>
      </c>
      <c r="MFV247" s="29" t="e">
        <f t="shared" si="183"/>
        <v>#REF!</v>
      </c>
      <c r="MFW247" s="29" t="e">
        <f t="shared" si="183"/>
        <v>#REF!</v>
      </c>
      <c r="MFX247" s="29" t="e">
        <f t="shared" si="183"/>
        <v>#REF!</v>
      </c>
      <c r="MFY247" s="29" t="e">
        <f t="shared" si="183"/>
        <v>#REF!</v>
      </c>
      <c r="MFZ247" s="29" t="e">
        <f t="shared" si="183"/>
        <v>#REF!</v>
      </c>
      <c r="MGA247" s="29" t="e">
        <f t="shared" si="183"/>
        <v>#REF!</v>
      </c>
      <c r="MGB247" s="29" t="e">
        <f t="shared" si="183"/>
        <v>#REF!</v>
      </c>
      <c r="MGC247" s="29" t="e">
        <f t="shared" si="183"/>
        <v>#REF!</v>
      </c>
      <c r="MGD247" s="29" t="e">
        <f t="shared" si="183"/>
        <v>#REF!</v>
      </c>
      <c r="MGE247" s="29" t="e">
        <f t="shared" si="183"/>
        <v>#REF!</v>
      </c>
      <c r="MGF247" s="29" t="e">
        <f t="shared" si="183"/>
        <v>#REF!</v>
      </c>
      <c r="MGG247" s="29" t="e">
        <f t="shared" ref="MGG247:MIR247" si="184">MGK247&amp;MGL247</f>
        <v>#REF!</v>
      </c>
      <c r="MGH247" s="29" t="e">
        <f t="shared" si="184"/>
        <v>#REF!</v>
      </c>
      <c r="MGI247" s="29" t="e">
        <f t="shared" si="184"/>
        <v>#REF!</v>
      </c>
      <c r="MGJ247" s="29" t="e">
        <f t="shared" si="184"/>
        <v>#REF!</v>
      </c>
      <c r="MGK247" s="29" t="e">
        <f t="shared" si="184"/>
        <v>#REF!</v>
      </c>
      <c r="MGL247" s="29" t="e">
        <f t="shared" si="184"/>
        <v>#REF!</v>
      </c>
      <c r="MGM247" s="29" t="e">
        <f t="shared" si="184"/>
        <v>#REF!</v>
      </c>
      <c r="MGN247" s="29" t="e">
        <f t="shared" si="184"/>
        <v>#REF!</v>
      </c>
      <c r="MGO247" s="29" t="e">
        <f t="shared" si="184"/>
        <v>#REF!</v>
      </c>
      <c r="MGP247" s="29" t="e">
        <f t="shared" si="184"/>
        <v>#REF!</v>
      </c>
      <c r="MGQ247" s="29" t="e">
        <f t="shared" si="184"/>
        <v>#REF!</v>
      </c>
      <c r="MGR247" s="29" t="e">
        <f t="shared" si="184"/>
        <v>#REF!</v>
      </c>
      <c r="MGS247" s="29" t="e">
        <f t="shared" si="184"/>
        <v>#REF!</v>
      </c>
      <c r="MGT247" s="29" t="e">
        <f t="shared" si="184"/>
        <v>#REF!</v>
      </c>
      <c r="MGU247" s="29" t="e">
        <f t="shared" si="184"/>
        <v>#REF!</v>
      </c>
      <c r="MGV247" s="29" t="e">
        <f t="shared" si="184"/>
        <v>#REF!</v>
      </c>
      <c r="MGW247" s="29" t="e">
        <f t="shared" si="184"/>
        <v>#REF!</v>
      </c>
      <c r="MGX247" s="29" t="e">
        <f t="shared" si="184"/>
        <v>#REF!</v>
      </c>
      <c r="MGY247" s="29" t="e">
        <f t="shared" si="184"/>
        <v>#REF!</v>
      </c>
      <c r="MGZ247" s="29" t="e">
        <f t="shared" si="184"/>
        <v>#REF!</v>
      </c>
      <c r="MHA247" s="29" t="e">
        <f t="shared" si="184"/>
        <v>#REF!</v>
      </c>
      <c r="MHB247" s="29" t="e">
        <f t="shared" si="184"/>
        <v>#REF!</v>
      </c>
      <c r="MHC247" s="29" t="e">
        <f t="shared" si="184"/>
        <v>#REF!</v>
      </c>
      <c r="MHD247" s="29" t="e">
        <f t="shared" si="184"/>
        <v>#REF!</v>
      </c>
      <c r="MHE247" s="29" t="e">
        <f t="shared" si="184"/>
        <v>#REF!</v>
      </c>
      <c r="MHF247" s="29" t="e">
        <f t="shared" si="184"/>
        <v>#REF!</v>
      </c>
      <c r="MHG247" s="29" t="e">
        <f t="shared" si="184"/>
        <v>#REF!</v>
      </c>
      <c r="MHH247" s="29" t="e">
        <f t="shared" si="184"/>
        <v>#REF!</v>
      </c>
      <c r="MHI247" s="29" t="e">
        <f t="shared" si="184"/>
        <v>#REF!</v>
      </c>
      <c r="MHJ247" s="29" t="e">
        <f t="shared" si="184"/>
        <v>#REF!</v>
      </c>
      <c r="MHK247" s="29" t="e">
        <f t="shared" si="184"/>
        <v>#REF!</v>
      </c>
      <c r="MHL247" s="29" t="e">
        <f t="shared" si="184"/>
        <v>#REF!</v>
      </c>
      <c r="MHM247" s="29" t="e">
        <f t="shared" si="184"/>
        <v>#REF!</v>
      </c>
      <c r="MHN247" s="29" t="e">
        <f t="shared" si="184"/>
        <v>#REF!</v>
      </c>
      <c r="MHO247" s="29" t="e">
        <f t="shared" si="184"/>
        <v>#REF!</v>
      </c>
      <c r="MHP247" s="29" t="e">
        <f t="shared" si="184"/>
        <v>#REF!</v>
      </c>
      <c r="MHQ247" s="29" t="e">
        <f t="shared" si="184"/>
        <v>#REF!</v>
      </c>
      <c r="MHR247" s="29" t="e">
        <f t="shared" si="184"/>
        <v>#REF!</v>
      </c>
      <c r="MHS247" s="29" t="e">
        <f t="shared" si="184"/>
        <v>#REF!</v>
      </c>
      <c r="MHT247" s="29" t="e">
        <f t="shared" si="184"/>
        <v>#REF!</v>
      </c>
      <c r="MHU247" s="29" t="e">
        <f t="shared" si="184"/>
        <v>#REF!</v>
      </c>
      <c r="MHV247" s="29" t="e">
        <f t="shared" si="184"/>
        <v>#REF!</v>
      </c>
      <c r="MHW247" s="29" t="e">
        <f t="shared" si="184"/>
        <v>#REF!</v>
      </c>
      <c r="MHX247" s="29" t="e">
        <f t="shared" si="184"/>
        <v>#REF!</v>
      </c>
      <c r="MHY247" s="29" t="e">
        <f t="shared" si="184"/>
        <v>#REF!</v>
      </c>
      <c r="MHZ247" s="29" t="e">
        <f t="shared" si="184"/>
        <v>#REF!</v>
      </c>
      <c r="MIA247" s="29" t="e">
        <f t="shared" si="184"/>
        <v>#REF!</v>
      </c>
      <c r="MIB247" s="29" t="e">
        <f t="shared" si="184"/>
        <v>#REF!</v>
      </c>
      <c r="MIC247" s="29" t="e">
        <f t="shared" si="184"/>
        <v>#REF!</v>
      </c>
      <c r="MID247" s="29" t="e">
        <f t="shared" si="184"/>
        <v>#REF!</v>
      </c>
      <c r="MIE247" s="29" t="e">
        <f t="shared" si="184"/>
        <v>#REF!</v>
      </c>
      <c r="MIF247" s="29" t="e">
        <f t="shared" si="184"/>
        <v>#REF!</v>
      </c>
      <c r="MIG247" s="29" t="e">
        <f t="shared" si="184"/>
        <v>#REF!</v>
      </c>
      <c r="MIH247" s="29" t="e">
        <f t="shared" si="184"/>
        <v>#REF!</v>
      </c>
      <c r="MII247" s="29" t="e">
        <f t="shared" si="184"/>
        <v>#REF!</v>
      </c>
      <c r="MIJ247" s="29" t="e">
        <f t="shared" si="184"/>
        <v>#REF!</v>
      </c>
      <c r="MIK247" s="29" t="e">
        <f t="shared" si="184"/>
        <v>#REF!</v>
      </c>
      <c r="MIL247" s="29" t="e">
        <f t="shared" si="184"/>
        <v>#REF!</v>
      </c>
      <c r="MIM247" s="29" t="e">
        <f t="shared" si="184"/>
        <v>#REF!</v>
      </c>
      <c r="MIN247" s="29" t="e">
        <f t="shared" si="184"/>
        <v>#REF!</v>
      </c>
      <c r="MIO247" s="29" t="e">
        <f t="shared" si="184"/>
        <v>#REF!</v>
      </c>
      <c r="MIP247" s="29" t="e">
        <f t="shared" si="184"/>
        <v>#REF!</v>
      </c>
      <c r="MIQ247" s="29" t="e">
        <f t="shared" si="184"/>
        <v>#REF!</v>
      </c>
      <c r="MIR247" s="29" t="e">
        <f t="shared" si="184"/>
        <v>#REF!</v>
      </c>
      <c r="MIS247" s="29" t="e">
        <f t="shared" ref="MIS247:MLD247" si="185">MIW247&amp;MIX247</f>
        <v>#REF!</v>
      </c>
      <c r="MIT247" s="29" t="e">
        <f t="shared" si="185"/>
        <v>#REF!</v>
      </c>
      <c r="MIU247" s="29" t="e">
        <f t="shared" si="185"/>
        <v>#REF!</v>
      </c>
      <c r="MIV247" s="29" t="e">
        <f t="shared" si="185"/>
        <v>#REF!</v>
      </c>
      <c r="MIW247" s="29" t="e">
        <f t="shared" si="185"/>
        <v>#REF!</v>
      </c>
      <c r="MIX247" s="29" t="e">
        <f t="shared" si="185"/>
        <v>#REF!</v>
      </c>
      <c r="MIY247" s="29" t="e">
        <f t="shared" si="185"/>
        <v>#REF!</v>
      </c>
      <c r="MIZ247" s="29" t="e">
        <f t="shared" si="185"/>
        <v>#REF!</v>
      </c>
      <c r="MJA247" s="29" t="e">
        <f t="shared" si="185"/>
        <v>#REF!</v>
      </c>
      <c r="MJB247" s="29" t="e">
        <f t="shared" si="185"/>
        <v>#REF!</v>
      </c>
      <c r="MJC247" s="29" t="e">
        <f t="shared" si="185"/>
        <v>#REF!</v>
      </c>
      <c r="MJD247" s="29" t="e">
        <f t="shared" si="185"/>
        <v>#REF!</v>
      </c>
      <c r="MJE247" s="29" t="e">
        <f t="shared" si="185"/>
        <v>#REF!</v>
      </c>
      <c r="MJF247" s="29" t="e">
        <f t="shared" si="185"/>
        <v>#REF!</v>
      </c>
      <c r="MJG247" s="29" t="e">
        <f t="shared" si="185"/>
        <v>#REF!</v>
      </c>
      <c r="MJH247" s="29" t="e">
        <f t="shared" si="185"/>
        <v>#REF!</v>
      </c>
      <c r="MJI247" s="29" t="e">
        <f t="shared" si="185"/>
        <v>#REF!</v>
      </c>
      <c r="MJJ247" s="29" t="e">
        <f t="shared" si="185"/>
        <v>#REF!</v>
      </c>
      <c r="MJK247" s="29" t="e">
        <f t="shared" si="185"/>
        <v>#REF!</v>
      </c>
      <c r="MJL247" s="29" t="e">
        <f t="shared" si="185"/>
        <v>#REF!</v>
      </c>
      <c r="MJM247" s="29" t="e">
        <f t="shared" si="185"/>
        <v>#REF!</v>
      </c>
      <c r="MJN247" s="29" t="e">
        <f t="shared" si="185"/>
        <v>#REF!</v>
      </c>
      <c r="MJO247" s="29" t="e">
        <f t="shared" si="185"/>
        <v>#REF!</v>
      </c>
      <c r="MJP247" s="29" t="e">
        <f t="shared" si="185"/>
        <v>#REF!</v>
      </c>
      <c r="MJQ247" s="29" t="e">
        <f t="shared" si="185"/>
        <v>#REF!</v>
      </c>
      <c r="MJR247" s="29" t="e">
        <f t="shared" si="185"/>
        <v>#REF!</v>
      </c>
      <c r="MJS247" s="29" t="e">
        <f t="shared" si="185"/>
        <v>#REF!</v>
      </c>
      <c r="MJT247" s="29" t="e">
        <f t="shared" si="185"/>
        <v>#REF!</v>
      </c>
      <c r="MJU247" s="29" t="e">
        <f t="shared" si="185"/>
        <v>#REF!</v>
      </c>
      <c r="MJV247" s="29" t="e">
        <f t="shared" si="185"/>
        <v>#REF!</v>
      </c>
      <c r="MJW247" s="29" t="e">
        <f t="shared" si="185"/>
        <v>#REF!</v>
      </c>
      <c r="MJX247" s="29" t="e">
        <f t="shared" si="185"/>
        <v>#REF!</v>
      </c>
      <c r="MJY247" s="29" t="e">
        <f t="shared" si="185"/>
        <v>#REF!</v>
      </c>
      <c r="MJZ247" s="29" t="e">
        <f t="shared" si="185"/>
        <v>#REF!</v>
      </c>
      <c r="MKA247" s="29" t="e">
        <f t="shared" si="185"/>
        <v>#REF!</v>
      </c>
      <c r="MKB247" s="29" t="e">
        <f t="shared" si="185"/>
        <v>#REF!</v>
      </c>
      <c r="MKC247" s="29" t="e">
        <f t="shared" si="185"/>
        <v>#REF!</v>
      </c>
      <c r="MKD247" s="29" t="e">
        <f t="shared" si="185"/>
        <v>#REF!</v>
      </c>
      <c r="MKE247" s="29" t="e">
        <f t="shared" si="185"/>
        <v>#REF!</v>
      </c>
      <c r="MKF247" s="29" t="e">
        <f t="shared" si="185"/>
        <v>#REF!</v>
      </c>
      <c r="MKG247" s="29" t="e">
        <f t="shared" si="185"/>
        <v>#REF!</v>
      </c>
      <c r="MKH247" s="29" t="e">
        <f t="shared" si="185"/>
        <v>#REF!</v>
      </c>
      <c r="MKI247" s="29" t="e">
        <f t="shared" si="185"/>
        <v>#REF!</v>
      </c>
      <c r="MKJ247" s="29" t="e">
        <f t="shared" si="185"/>
        <v>#REF!</v>
      </c>
      <c r="MKK247" s="29" t="e">
        <f t="shared" si="185"/>
        <v>#REF!</v>
      </c>
      <c r="MKL247" s="29" t="e">
        <f t="shared" si="185"/>
        <v>#REF!</v>
      </c>
      <c r="MKM247" s="29" t="e">
        <f t="shared" si="185"/>
        <v>#REF!</v>
      </c>
      <c r="MKN247" s="29" t="e">
        <f t="shared" si="185"/>
        <v>#REF!</v>
      </c>
      <c r="MKO247" s="29" t="e">
        <f t="shared" si="185"/>
        <v>#REF!</v>
      </c>
      <c r="MKP247" s="29" t="e">
        <f t="shared" si="185"/>
        <v>#REF!</v>
      </c>
      <c r="MKQ247" s="29" t="e">
        <f t="shared" si="185"/>
        <v>#REF!</v>
      </c>
      <c r="MKR247" s="29" t="e">
        <f t="shared" si="185"/>
        <v>#REF!</v>
      </c>
      <c r="MKS247" s="29" t="e">
        <f t="shared" si="185"/>
        <v>#REF!</v>
      </c>
      <c r="MKT247" s="29" t="e">
        <f t="shared" si="185"/>
        <v>#REF!</v>
      </c>
      <c r="MKU247" s="29" t="e">
        <f t="shared" si="185"/>
        <v>#REF!</v>
      </c>
      <c r="MKV247" s="29" t="e">
        <f t="shared" si="185"/>
        <v>#REF!</v>
      </c>
      <c r="MKW247" s="29" t="e">
        <f t="shared" si="185"/>
        <v>#REF!</v>
      </c>
      <c r="MKX247" s="29" t="e">
        <f t="shared" si="185"/>
        <v>#REF!</v>
      </c>
      <c r="MKY247" s="29" t="e">
        <f t="shared" si="185"/>
        <v>#REF!</v>
      </c>
      <c r="MKZ247" s="29" t="e">
        <f t="shared" si="185"/>
        <v>#REF!</v>
      </c>
      <c r="MLA247" s="29" t="e">
        <f t="shared" si="185"/>
        <v>#REF!</v>
      </c>
      <c r="MLB247" s="29" t="e">
        <f t="shared" si="185"/>
        <v>#REF!</v>
      </c>
      <c r="MLC247" s="29" t="e">
        <f t="shared" si="185"/>
        <v>#REF!</v>
      </c>
      <c r="MLD247" s="29" t="e">
        <f t="shared" si="185"/>
        <v>#REF!</v>
      </c>
      <c r="MLE247" s="29" t="e">
        <f t="shared" ref="MLE247:MNP247" si="186">MLI247&amp;MLJ247</f>
        <v>#REF!</v>
      </c>
      <c r="MLF247" s="29" t="e">
        <f t="shared" si="186"/>
        <v>#REF!</v>
      </c>
      <c r="MLG247" s="29" t="e">
        <f t="shared" si="186"/>
        <v>#REF!</v>
      </c>
      <c r="MLH247" s="29" t="e">
        <f t="shared" si="186"/>
        <v>#REF!</v>
      </c>
      <c r="MLI247" s="29" t="e">
        <f t="shared" si="186"/>
        <v>#REF!</v>
      </c>
      <c r="MLJ247" s="29" t="e">
        <f t="shared" si="186"/>
        <v>#REF!</v>
      </c>
      <c r="MLK247" s="29" t="e">
        <f t="shared" si="186"/>
        <v>#REF!</v>
      </c>
      <c r="MLL247" s="29" t="e">
        <f t="shared" si="186"/>
        <v>#REF!</v>
      </c>
      <c r="MLM247" s="29" t="e">
        <f t="shared" si="186"/>
        <v>#REF!</v>
      </c>
      <c r="MLN247" s="29" t="e">
        <f t="shared" si="186"/>
        <v>#REF!</v>
      </c>
      <c r="MLO247" s="29" t="e">
        <f t="shared" si="186"/>
        <v>#REF!</v>
      </c>
      <c r="MLP247" s="29" t="e">
        <f t="shared" si="186"/>
        <v>#REF!</v>
      </c>
      <c r="MLQ247" s="29" t="e">
        <f t="shared" si="186"/>
        <v>#REF!</v>
      </c>
      <c r="MLR247" s="29" t="e">
        <f t="shared" si="186"/>
        <v>#REF!</v>
      </c>
      <c r="MLS247" s="29" t="e">
        <f t="shared" si="186"/>
        <v>#REF!</v>
      </c>
      <c r="MLT247" s="29" t="e">
        <f t="shared" si="186"/>
        <v>#REF!</v>
      </c>
      <c r="MLU247" s="29" t="e">
        <f t="shared" si="186"/>
        <v>#REF!</v>
      </c>
      <c r="MLV247" s="29" t="e">
        <f t="shared" si="186"/>
        <v>#REF!</v>
      </c>
      <c r="MLW247" s="29" t="e">
        <f t="shared" si="186"/>
        <v>#REF!</v>
      </c>
      <c r="MLX247" s="29" t="e">
        <f t="shared" si="186"/>
        <v>#REF!</v>
      </c>
      <c r="MLY247" s="29" t="e">
        <f t="shared" si="186"/>
        <v>#REF!</v>
      </c>
      <c r="MLZ247" s="29" t="e">
        <f t="shared" si="186"/>
        <v>#REF!</v>
      </c>
      <c r="MMA247" s="29" t="e">
        <f t="shared" si="186"/>
        <v>#REF!</v>
      </c>
      <c r="MMB247" s="29" t="e">
        <f t="shared" si="186"/>
        <v>#REF!</v>
      </c>
      <c r="MMC247" s="29" t="e">
        <f t="shared" si="186"/>
        <v>#REF!</v>
      </c>
      <c r="MMD247" s="29" t="e">
        <f t="shared" si="186"/>
        <v>#REF!</v>
      </c>
      <c r="MME247" s="29" t="e">
        <f t="shared" si="186"/>
        <v>#REF!</v>
      </c>
      <c r="MMF247" s="29" t="e">
        <f t="shared" si="186"/>
        <v>#REF!</v>
      </c>
      <c r="MMG247" s="29" t="e">
        <f t="shared" si="186"/>
        <v>#REF!</v>
      </c>
      <c r="MMH247" s="29" t="e">
        <f t="shared" si="186"/>
        <v>#REF!</v>
      </c>
      <c r="MMI247" s="29" t="e">
        <f t="shared" si="186"/>
        <v>#REF!</v>
      </c>
      <c r="MMJ247" s="29" t="e">
        <f t="shared" si="186"/>
        <v>#REF!</v>
      </c>
      <c r="MMK247" s="29" t="e">
        <f t="shared" si="186"/>
        <v>#REF!</v>
      </c>
      <c r="MML247" s="29" t="e">
        <f t="shared" si="186"/>
        <v>#REF!</v>
      </c>
      <c r="MMM247" s="29" t="e">
        <f t="shared" si="186"/>
        <v>#REF!</v>
      </c>
      <c r="MMN247" s="29" t="e">
        <f t="shared" si="186"/>
        <v>#REF!</v>
      </c>
      <c r="MMO247" s="29" t="e">
        <f t="shared" si="186"/>
        <v>#REF!</v>
      </c>
      <c r="MMP247" s="29" t="e">
        <f t="shared" si="186"/>
        <v>#REF!</v>
      </c>
      <c r="MMQ247" s="29" t="e">
        <f t="shared" si="186"/>
        <v>#REF!</v>
      </c>
      <c r="MMR247" s="29" t="e">
        <f t="shared" si="186"/>
        <v>#REF!</v>
      </c>
      <c r="MMS247" s="29" t="e">
        <f t="shared" si="186"/>
        <v>#REF!</v>
      </c>
      <c r="MMT247" s="29" t="e">
        <f t="shared" si="186"/>
        <v>#REF!</v>
      </c>
      <c r="MMU247" s="29" t="e">
        <f t="shared" si="186"/>
        <v>#REF!</v>
      </c>
      <c r="MMV247" s="29" t="e">
        <f t="shared" si="186"/>
        <v>#REF!</v>
      </c>
      <c r="MMW247" s="29" t="e">
        <f t="shared" si="186"/>
        <v>#REF!</v>
      </c>
      <c r="MMX247" s="29" t="e">
        <f t="shared" si="186"/>
        <v>#REF!</v>
      </c>
      <c r="MMY247" s="29" t="e">
        <f t="shared" si="186"/>
        <v>#REF!</v>
      </c>
      <c r="MMZ247" s="29" t="e">
        <f t="shared" si="186"/>
        <v>#REF!</v>
      </c>
      <c r="MNA247" s="29" t="e">
        <f t="shared" si="186"/>
        <v>#REF!</v>
      </c>
      <c r="MNB247" s="29" t="e">
        <f t="shared" si="186"/>
        <v>#REF!</v>
      </c>
      <c r="MNC247" s="29" t="e">
        <f t="shared" si="186"/>
        <v>#REF!</v>
      </c>
      <c r="MND247" s="29" t="e">
        <f t="shared" si="186"/>
        <v>#REF!</v>
      </c>
      <c r="MNE247" s="29" t="e">
        <f t="shared" si="186"/>
        <v>#REF!</v>
      </c>
      <c r="MNF247" s="29" t="e">
        <f t="shared" si="186"/>
        <v>#REF!</v>
      </c>
      <c r="MNG247" s="29" t="e">
        <f t="shared" si="186"/>
        <v>#REF!</v>
      </c>
      <c r="MNH247" s="29" t="e">
        <f t="shared" si="186"/>
        <v>#REF!</v>
      </c>
      <c r="MNI247" s="29" t="e">
        <f t="shared" si="186"/>
        <v>#REF!</v>
      </c>
      <c r="MNJ247" s="29" t="e">
        <f t="shared" si="186"/>
        <v>#REF!</v>
      </c>
      <c r="MNK247" s="29" t="e">
        <f t="shared" si="186"/>
        <v>#REF!</v>
      </c>
      <c r="MNL247" s="29" t="e">
        <f t="shared" si="186"/>
        <v>#REF!</v>
      </c>
      <c r="MNM247" s="29" t="e">
        <f t="shared" si="186"/>
        <v>#REF!</v>
      </c>
      <c r="MNN247" s="29" t="e">
        <f t="shared" si="186"/>
        <v>#REF!</v>
      </c>
      <c r="MNO247" s="29" t="e">
        <f t="shared" si="186"/>
        <v>#REF!</v>
      </c>
      <c r="MNP247" s="29" t="e">
        <f t="shared" si="186"/>
        <v>#REF!</v>
      </c>
      <c r="MNQ247" s="29" t="e">
        <f t="shared" ref="MNQ247:MQB247" si="187">MNU247&amp;MNV247</f>
        <v>#REF!</v>
      </c>
      <c r="MNR247" s="29" t="e">
        <f t="shared" si="187"/>
        <v>#REF!</v>
      </c>
      <c r="MNS247" s="29" t="e">
        <f t="shared" si="187"/>
        <v>#REF!</v>
      </c>
      <c r="MNT247" s="29" t="e">
        <f t="shared" si="187"/>
        <v>#REF!</v>
      </c>
      <c r="MNU247" s="29" t="e">
        <f t="shared" si="187"/>
        <v>#REF!</v>
      </c>
      <c r="MNV247" s="29" t="e">
        <f t="shared" si="187"/>
        <v>#REF!</v>
      </c>
      <c r="MNW247" s="29" t="e">
        <f t="shared" si="187"/>
        <v>#REF!</v>
      </c>
      <c r="MNX247" s="29" t="e">
        <f t="shared" si="187"/>
        <v>#REF!</v>
      </c>
      <c r="MNY247" s="29" t="e">
        <f t="shared" si="187"/>
        <v>#REF!</v>
      </c>
      <c r="MNZ247" s="29" t="e">
        <f t="shared" si="187"/>
        <v>#REF!</v>
      </c>
      <c r="MOA247" s="29" t="e">
        <f t="shared" si="187"/>
        <v>#REF!</v>
      </c>
      <c r="MOB247" s="29" t="e">
        <f t="shared" si="187"/>
        <v>#REF!</v>
      </c>
      <c r="MOC247" s="29" t="e">
        <f t="shared" si="187"/>
        <v>#REF!</v>
      </c>
      <c r="MOD247" s="29" t="e">
        <f t="shared" si="187"/>
        <v>#REF!</v>
      </c>
      <c r="MOE247" s="29" t="e">
        <f t="shared" si="187"/>
        <v>#REF!</v>
      </c>
      <c r="MOF247" s="29" t="e">
        <f t="shared" si="187"/>
        <v>#REF!</v>
      </c>
      <c r="MOG247" s="29" t="e">
        <f t="shared" si="187"/>
        <v>#REF!</v>
      </c>
      <c r="MOH247" s="29" t="e">
        <f t="shared" si="187"/>
        <v>#REF!</v>
      </c>
      <c r="MOI247" s="29" t="e">
        <f t="shared" si="187"/>
        <v>#REF!</v>
      </c>
      <c r="MOJ247" s="29" t="e">
        <f t="shared" si="187"/>
        <v>#REF!</v>
      </c>
      <c r="MOK247" s="29" t="e">
        <f t="shared" si="187"/>
        <v>#REF!</v>
      </c>
      <c r="MOL247" s="29" t="e">
        <f t="shared" si="187"/>
        <v>#REF!</v>
      </c>
      <c r="MOM247" s="29" t="e">
        <f t="shared" si="187"/>
        <v>#REF!</v>
      </c>
      <c r="MON247" s="29" t="e">
        <f t="shared" si="187"/>
        <v>#REF!</v>
      </c>
      <c r="MOO247" s="29" t="e">
        <f t="shared" si="187"/>
        <v>#REF!</v>
      </c>
      <c r="MOP247" s="29" t="e">
        <f t="shared" si="187"/>
        <v>#REF!</v>
      </c>
      <c r="MOQ247" s="29" t="e">
        <f t="shared" si="187"/>
        <v>#REF!</v>
      </c>
      <c r="MOR247" s="29" t="e">
        <f t="shared" si="187"/>
        <v>#REF!</v>
      </c>
      <c r="MOS247" s="29" t="e">
        <f t="shared" si="187"/>
        <v>#REF!</v>
      </c>
      <c r="MOT247" s="29" t="e">
        <f t="shared" si="187"/>
        <v>#REF!</v>
      </c>
      <c r="MOU247" s="29" t="e">
        <f t="shared" si="187"/>
        <v>#REF!</v>
      </c>
      <c r="MOV247" s="29" t="e">
        <f t="shared" si="187"/>
        <v>#REF!</v>
      </c>
      <c r="MOW247" s="29" t="e">
        <f t="shared" si="187"/>
        <v>#REF!</v>
      </c>
      <c r="MOX247" s="29" t="e">
        <f t="shared" si="187"/>
        <v>#REF!</v>
      </c>
      <c r="MOY247" s="29" t="e">
        <f t="shared" si="187"/>
        <v>#REF!</v>
      </c>
      <c r="MOZ247" s="29" t="e">
        <f t="shared" si="187"/>
        <v>#REF!</v>
      </c>
      <c r="MPA247" s="29" t="e">
        <f t="shared" si="187"/>
        <v>#REF!</v>
      </c>
      <c r="MPB247" s="29" t="e">
        <f t="shared" si="187"/>
        <v>#REF!</v>
      </c>
      <c r="MPC247" s="29" t="e">
        <f t="shared" si="187"/>
        <v>#REF!</v>
      </c>
      <c r="MPD247" s="29" t="e">
        <f t="shared" si="187"/>
        <v>#REF!</v>
      </c>
      <c r="MPE247" s="29" t="e">
        <f t="shared" si="187"/>
        <v>#REF!</v>
      </c>
      <c r="MPF247" s="29" t="e">
        <f t="shared" si="187"/>
        <v>#REF!</v>
      </c>
      <c r="MPG247" s="29" t="e">
        <f t="shared" si="187"/>
        <v>#REF!</v>
      </c>
      <c r="MPH247" s="29" t="e">
        <f t="shared" si="187"/>
        <v>#REF!</v>
      </c>
      <c r="MPI247" s="29" t="e">
        <f t="shared" si="187"/>
        <v>#REF!</v>
      </c>
      <c r="MPJ247" s="29" t="e">
        <f t="shared" si="187"/>
        <v>#REF!</v>
      </c>
      <c r="MPK247" s="29" t="e">
        <f t="shared" si="187"/>
        <v>#REF!</v>
      </c>
      <c r="MPL247" s="29" t="e">
        <f t="shared" si="187"/>
        <v>#REF!</v>
      </c>
      <c r="MPM247" s="29" t="e">
        <f t="shared" si="187"/>
        <v>#REF!</v>
      </c>
      <c r="MPN247" s="29" t="e">
        <f t="shared" si="187"/>
        <v>#REF!</v>
      </c>
      <c r="MPO247" s="29" t="e">
        <f t="shared" si="187"/>
        <v>#REF!</v>
      </c>
      <c r="MPP247" s="29" t="e">
        <f t="shared" si="187"/>
        <v>#REF!</v>
      </c>
      <c r="MPQ247" s="29" t="e">
        <f t="shared" si="187"/>
        <v>#REF!</v>
      </c>
      <c r="MPR247" s="29" t="e">
        <f t="shared" si="187"/>
        <v>#REF!</v>
      </c>
      <c r="MPS247" s="29" t="e">
        <f t="shared" si="187"/>
        <v>#REF!</v>
      </c>
      <c r="MPT247" s="29" t="e">
        <f t="shared" si="187"/>
        <v>#REF!</v>
      </c>
      <c r="MPU247" s="29" t="e">
        <f t="shared" si="187"/>
        <v>#REF!</v>
      </c>
      <c r="MPV247" s="29" t="e">
        <f t="shared" si="187"/>
        <v>#REF!</v>
      </c>
      <c r="MPW247" s="29" t="e">
        <f t="shared" si="187"/>
        <v>#REF!</v>
      </c>
      <c r="MPX247" s="29" t="e">
        <f t="shared" si="187"/>
        <v>#REF!</v>
      </c>
      <c r="MPY247" s="29" t="e">
        <f t="shared" si="187"/>
        <v>#REF!</v>
      </c>
      <c r="MPZ247" s="29" t="e">
        <f t="shared" si="187"/>
        <v>#REF!</v>
      </c>
      <c r="MQA247" s="29" t="e">
        <f t="shared" si="187"/>
        <v>#REF!</v>
      </c>
      <c r="MQB247" s="29" t="e">
        <f t="shared" si="187"/>
        <v>#REF!</v>
      </c>
      <c r="MQC247" s="29" t="e">
        <f t="shared" ref="MQC247:MSN247" si="188">MQG247&amp;MQH247</f>
        <v>#REF!</v>
      </c>
      <c r="MQD247" s="29" t="e">
        <f t="shared" si="188"/>
        <v>#REF!</v>
      </c>
      <c r="MQE247" s="29" t="e">
        <f t="shared" si="188"/>
        <v>#REF!</v>
      </c>
      <c r="MQF247" s="29" t="e">
        <f t="shared" si="188"/>
        <v>#REF!</v>
      </c>
      <c r="MQG247" s="29" t="e">
        <f t="shared" si="188"/>
        <v>#REF!</v>
      </c>
      <c r="MQH247" s="29" t="e">
        <f t="shared" si="188"/>
        <v>#REF!</v>
      </c>
      <c r="MQI247" s="29" t="e">
        <f t="shared" si="188"/>
        <v>#REF!</v>
      </c>
      <c r="MQJ247" s="29" t="e">
        <f t="shared" si="188"/>
        <v>#REF!</v>
      </c>
      <c r="MQK247" s="29" t="e">
        <f t="shared" si="188"/>
        <v>#REF!</v>
      </c>
      <c r="MQL247" s="29" t="e">
        <f t="shared" si="188"/>
        <v>#REF!</v>
      </c>
      <c r="MQM247" s="29" t="e">
        <f t="shared" si="188"/>
        <v>#REF!</v>
      </c>
      <c r="MQN247" s="29" t="e">
        <f t="shared" si="188"/>
        <v>#REF!</v>
      </c>
      <c r="MQO247" s="29" t="e">
        <f t="shared" si="188"/>
        <v>#REF!</v>
      </c>
      <c r="MQP247" s="29" t="e">
        <f t="shared" si="188"/>
        <v>#REF!</v>
      </c>
      <c r="MQQ247" s="29" t="e">
        <f t="shared" si="188"/>
        <v>#REF!</v>
      </c>
      <c r="MQR247" s="29" t="e">
        <f t="shared" si="188"/>
        <v>#REF!</v>
      </c>
      <c r="MQS247" s="29" t="e">
        <f t="shared" si="188"/>
        <v>#REF!</v>
      </c>
      <c r="MQT247" s="29" t="e">
        <f t="shared" si="188"/>
        <v>#REF!</v>
      </c>
      <c r="MQU247" s="29" t="e">
        <f t="shared" si="188"/>
        <v>#REF!</v>
      </c>
      <c r="MQV247" s="29" t="e">
        <f t="shared" si="188"/>
        <v>#REF!</v>
      </c>
      <c r="MQW247" s="29" t="e">
        <f t="shared" si="188"/>
        <v>#REF!</v>
      </c>
      <c r="MQX247" s="29" t="e">
        <f t="shared" si="188"/>
        <v>#REF!</v>
      </c>
      <c r="MQY247" s="29" t="e">
        <f t="shared" si="188"/>
        <v>#REF!</v>
      </c>
      <c r="MQZ247" s="29" t="e">
        <f t="shared" si="188"/>
        <v>#REF!</v>
      </c>
      <c r="MRA247" s="29" t="e">
        <f t="shared" si="188"/>
        <v>#REF!</v>
      </c>
      <c r="MRB247" s="29" t="e">
        <f t="shared" si="188"/>
        <v>#REF!</v>
      </c>
      <c r="MRC247" s="29" t="e">
        <f t="shared" si="188"/>
        <v>#REF!</v>
      </c>
      <c r="MRD247" s="29" t="e">
        <f t="shared" si="188"/>
        <v>#REF!</v>
      </c>
      <c r="MRE247" s="29" t="e">
        <f t="shared" si="188"/>
        <v>#REF!</v>
      </c>
      <c r="MRF247" s="29" t="e">
        <f t="shared" si="188"/>
        <v>#REF!</v>
      </c>
      <c r="MRG247" s="29" t="e">
        <f t="shared" si="188"/>
        <v>#REF!</v>
      </c>
      <c r="MRH247" s="29" t="e">
        <f t="shared" si="188"/>
        <v>#REF!</v>
      </c>
      <c r="MRI247" s="29" t="e">
        <f t="shared" si="188"/>
        <v>#REF!</v>
      </c>
      <c r="MRJ247" s="29" t="e">
        <f t="shared" si="188"/>
        <v>#REF!</v>
      </c>
      <c r="MRK247" s="29" t="e">
        <f t="shared" si="188"/>
        <v>#REF!</v>
      </c>
      <c r="MRL247" s="29" t="e">
        <f t="shared" si="188"/>
        <v>#REF!</v>
      </c>
      <c r="MRM247" s="29" t="e">
        <f t="shared" si="188"/>
        <v>#REF!</v>
      </c>
      <c r="MRN247" s="29" t="e">
        <f t="shared" si="188"/>
        <v>#REF!</v>
      </c>
      <c r="MRO247" s="29" t="e">
        <f t="shared" si="188"/>
        <v>#REF!</v>
      </c>
      <c r="MRP247" s="29" t="e">
        <f t="shared" si="188"/>
        <v>#REF!</v>
      </c>
      <c r="MRQ247" s="29" t="e">
        <f t="shared" si="188"/>
        <v>#REF!</v>
      </c>
      <c r="MRR247" s="29" t="e">
        <f t="shared" si="188"/>
        <v>#REF!</v>
      </c>
      <c r="MRS247" s="29" t="e">
        <f t="shared" si="188"/>
        <v>#REF!</v>
      </c>
      <c r="MRT247" s="29" t="e">
        <f t="shared" si="188"/>
        <v>#REF!</v>
      </c>
      <c r="MRU247" s="29" t="e">
        <f t="shared" si="188"/>
        <v>#REF!</v>
      </c>
      <c r="MRV247" s="29" t="e">
        <f t="shared" si="188"/>
        <v>#REF!</v>
      </c>
      <c r="MRW247" s="29" t="e">
        <f t="shared" si="188"/>
        <v>#REF!</v>
      </c>
      <c r="MRX247" s="29" t="e">
        <f t="shared" si="188"/>
        <v>#REF!</v>
      </c>
      <c r="MRY247" s="29" t="e">
        <f t="shared" si="188"/>
        <v>#REF!</v>
      </c>
      <c r="MRZ247" s="29" t="e">
        <f t="shared" si="188"/>
        <v>#REF!</v>
      </c>
      <c r="MSA247" s="29" t="e">
        <f t="shared" si="188"/>
        <v>#REF!</v>
      </c>
      <c r="MSB247" s="29" t="e">
        <f t="shared" si="188"/>
        <v>#REF!</v>
      </c>
      <c r="MSC247" s="29" t="e">
        <f t="shared" si="188"/>
        <v>#REF!</v>
      </c>
      <c r="MSD247" s="29" t="e">
        <f t="shared" si="188"/>
        <v>#REF!</v>
      </c>
      <c r="MSE247" s="29" t="e">
        <f t="shared" si="188"/>
        <v>#REF!</v>
      </c>
      <c r="MSF247" s="29" t="e">
        <f t="shared" si="188"/>
        <v>#REF!</v>
      </c>
      <c r="MSG247" s="29" t="e">
        <f t="shared" si="188"/>
        <v>#REF!</v>
      </c>
      <c r="MSH247" s="29" t="e">
        <f t="shared" si="188"/>
        <v>#REF!</v>
      </c>
      <c r="MSI247" s="29" t="e">
        <f t="shared" si="188"/>
        <v>#REF!</v>
      </c>
      <c r="MSJ247" s="29" t="e">
        <f t="shared" si="188"/>
        <v>#REF!</v>
      </c>
      <c r="MSK247" s="29" t="e">
        <f t="shared" si="188"/>
        <v>#REF!</v>
      </c>
      <c r="MSL247" s="29" t="e">
        <f t="shared" si="188"/>
        <v>#REF!</v>
      </c>
      <c r="MSM247" s="29" t="e">
        <f t="shared" si="188"/>
        <v>#REF!</v>
      </c>
      <c r="MSN247" s="29" t="e">
        <f t="shared" si="188"/>
        <v>#REF!</v>
      </c>
      <c r="MSO247" s="29" t="e">
        <f t="shared" ref="MSO247:MUZ247" si="189">MSS247&amp;MST247</f>
        <v>#REF!</v>
      </c>
      <c r="MSP247" s="29" t="e">
        <f t="shared" si="189"/>
        <v>#REF!</v>
      </c>
      <c r="MSQ247" s="29" t="e">
        <f t="shared" si="189"/>
        <v>#REF!</v>
      </c>
      <c r="MSR247" s="29" t="e">
        <f t="shared" si="189"/>
        <v>#REF!</v>
      </c>
      <c r="MSS247" s="29" t="e">
        <f t="shared" si="189"/>
        <v>#REF!</v>
      </c>
      <c r="MST247" s="29" t="e">
        <f t="shared" si="189"/>
        <v>#REF!</v>
      </c>
      <c r="MSU247" s="29" t="e">
        <f t="shared" si="189"/>
        <v>#REF!</v>
      </c>
      <c r="MSV247" s="29" t="e">
        <f t="shared" si="189"/>
        <v>#REF!</v>
      </c>
      <c r="MSW247" s="29" t="e">
        <f t="shared" si="189"/>
        <v>#REF!</v>
      </c>
      <c r="MSX247" s="29" t="e">
        <f t="shared" si="189"/>
        <v>#REF!</v>
      </c>
      <c r="MSY247" s="29" t="e">
        <f t="shared" si="189"/>
        <v>#REF!</v>
      </c>
      <c r="MSZ247" s="29" t="e">
        <f t="shared" si="189"/>
        <v>#REF!</v>
      </c>
      <c r="MTA247" s="29" t="e">
        <f t="shared" si="189"/>
        <v>#REF!</v>
      </c>
      <c r="MTB247" s="29" t="e">
        <f t="shared" si="189"/>
        <v>#REF!</v>
      </c>
      <c r="MTC247" s="29" t="e">
        <f t="shared" si="189"/>
        <v>#REF!</v>
      </c>
      <c r="MTD247" s="29" t="e">
        <f t="shared" si="189"/>
        <v>#REF!</v>
      </c>
      <c r="MTE247" s="29" t="e">
        <f t="shared" si="189"/>
        <v>#REF!</v>
      </c>
      <c r="MTF247" s="29" t="e">
        <f t="shared" si="189"/>
        <v>#REF!</v>
      </c>
      <c r="MTG247" s="29" t="e">
        <f t="shared" si="189"/>
        <v>#REF!</v>
      </c>
      <c r="MTH247" s="29" t="e">
        <f t="shared" si="189"/>
        <v>#REF!</v>
      </c>
      <c r="MTI247" s="29" t="e">
        <f t="shared" si="189"/>
        <v>#REF!</v>
      </c>
      <c r="MTJ247" s="29" t="e">
        <f t="shared" si="189"/>
        <v>#REF!</v>
      </c>
      <c r="MTK247" s="29" t="e">
        <f t="shared" si="189"/>
        <v>#REF!</v>
      </c>
      <c r="MTL247" s="29" t="e">
        <f t="shared" si="189"/>
        <v>#REF!</v>
      </c>
      <c r="MTM247" s="29" t="e">
        <f t="shared" si="189"/>
        <v>#REF!</v>
      </c>
      <c r="MTN247" s="29" t="e">
        <f t="shared" si="189"/>
        <v>#REF!</v>
      </c>
      <c r="MTO247" s="29" t="e">
        <f t="shared" si="189"/>
        <v>#REF!</v>
      </c>
      <c r="MTP247" s="29" t="e">
        <f t="shared" si="189"/>
        <v>#REF!</v>
      </c>
      <c r="MTQ247" s="29" t="e">
        <f t="shared" si="189"/>
        <v>#REF!</v>
      </c>
      <c r="MTR247" s="29" t="e">
        <f t="shared" si="189"/>
        <v>#REF!</v>
      </c>
      <c r="MTS247" s="29" t="e">
        <f t="shared" si="189"/>
        <v>#REF!</v>
      </c>
      <c r="MTT247" s="29" t="e">
        <f t="shared" si="189"/>
        <v>#REF!</v>
      </c>
      <c r="MTU247" s="29" t="e">
        <f t="shared" si="189"/>
        <v>#REF!</v>
      </c>
      <c r="MTV247" s="29" t="e">
        <f t="shared" si="189"/>
        <v>#REF!</v>
      </c>
      <c r="MTW247" s="29" t="e">
        <f t="shared" si="189"/>
        <v>#REF!</v>
      </c>
      <c r="MTX247" s="29" t="e">
        <f t="shared" si="189"/>
        <v>#REF!</v>
      </c>
      <c r="MTY247" s="29" t="e">
        <f t="shared" si="189"/>
        <v>#REF!</v>
      </c>
      <c r="MTZ247" s="29" t="e">
        <f t="shared" si="189"/>
        <v>#REF!</v>
      </c>
      <c r="MUA247" s="29" t="e">
        <f t="shared" si="189"/>
        <v>#REF!</v>
      </c>
      <c r="MUB247" s="29" t="e">
        <f t="shared" si="189"/>
        <v>#REF!</v>
      </c>
      <c r="MUC247" s="29" t="e">
        <f t="shared" si="189"/>
        <v>#REF!</v>
      </c>
      <c r="MUD247" s="29" t="e">
        <f t="shared" si="189"/>
        <v>#REF!</v>
      </c>
      <c r="MUE247" s="29" t="e">
        <f t="shared" si="189"/>
        <v>#REF!</v>
      </c>
      <c r="MUF247" s="29" t="e">
        <f t="shared" si="189"/>
        <v>#REF!</v>
      </c>
      <c r="MUG247" s="29" t="e">
        <f t="shared" si="189"/>
        <v>#REF!</v>
      </c>
      <c r="MUH247" s="29" t="e">
        <f t="shared" si="189"/>
        <v>#REF!</v>
      </c>
      <c r="MUI247" s="29" t="e">
        <f t="shared" si="189"/>
        <v>#REF!</v>
      </c>
      <c r="MUJ247" s="29" t="e">
        <f t="shared" si="189"/>
        <v>#REF!</v>
      </c>
      <c r="MUK247" s="29" t="e">
        <f t="shared" si="189"/>
        <v>#REF!</v>
      </c>
      <c r="MUL247" s="29" t="e">
        <f t="shared" si="189"/>
        <v>#REF!</v>
      </c>
      <c r="MUM247" s="29" t="e">
        <f t="shared" si="189"/>
        <v>#REF!</v>
      </c>
      <c r="MUN247" s="29" t="e">
        <f t="shared" si="189"/>
        <v>#REF!</v>
      </c>
      <c r="MUO247" s="29" t="e">
        <f t="shared" si="189"/>
        <v>#REF!</v>
      </c>
      <c r="MUP247" s="29" t="e">
        <f t="shared" si="189"/>
        <v>#REF!</v>
      </c>
      <c r="MUQ247" s="29" t="e">
        <f t="shared" si="189"/>
        <v>#REF!</v>
      </c>
      <c r="MUR247" s="29" t="e">
        <f t="shared" si="189"/>
        <v>#REF!</v>
      </c>
      <c r="MUS247" s="29" t="e">
        <f t="shared" si="189"/>
        <v>#REF!</v>
      </c>
      <c r="MUT247" s="29" t="e">
        <f t="shared" si="189"/>
        <v>#REF!</v>
      </c>
      <c r="MUU247" s="29" t="e">
        <f t="shared" si="189"/>
        <v>#REF!</v>
      </c>
      <c r="MUV247" s="29" t="e">
        <f t="shared" si="189"/>
        <v>#REF!</v>
      </c>
      <c r="MUW247" s="29" t="e">
        <f t="shared" si="189"/>
        <v>#REF!</v>
      </c>
      <c r="MUX247" s="29" t="e">
        <f t="shared" si="189"/>
        <v>#REF!</v>
      </c>
      <c r="MUY247" s="29" t="e">
        <f t="shared" si="189"/>
        <v>#REF!</v>
      </c>
      <c r="MUZ247" s="29" t="e">
        <f t="shared" si="189"/>
        <v>#REF!</v>
      </c>
      <c r="MVA247" s="29" t="e">
        <f t="shared" ref="MVA247:MXL247" si="190">MVE247&amp;MVF247</f>
        <v>#REF!</v>
      </c>
      <c r="MVB247" s="29" t="e">
        <f t="shared" si="190"/>
        <v>#REF!</v>
      </c>
      <c r="MVC247" s="29" t="e">
        <f t="shared" si="190"/>
        <v>#REF!</v>
      </c>
      <c r="MVD247" s="29" t="e">
        <f t="shared" si="190"/>
        <v>#REF!</v>
      </c>
      <c r="MVE247" s="29" t="e">
        <f t="shared" si="190"/>
        <v>#REF!</v>
      </c>
      <c r="MVF247" s="29" t="e">
        <f t="shared" si="190"/>
        <v>#REF!</v>
      </c>
      <c r="MVG247" s="29" t="e">
        <f t="shared" si="190"/>
        <v>#REF!</v>
      </c>
      <c r="MVH247" s="29" t="e">
        <f t="shared" si="190"/>
        <v>#REF!</v>
      </c>
      <c r="MVI247" s="29" t="e">
        <f t="shared" si="190"/>
        <v>#REF!</v>
      </c>
      <c r="MVJ247" s="29" t="e">
        <f t="shared" si="190"/>
        <v>#REF!</v>
      </c>
      <c r="MVK247" s="29" t="e">
        <f t="shared" si="190"/>
        <v>#REF!</v>
      </c>
      <c r="MVL247" s="29" t="e">
        <f t="shared" si="190"/>
        <v>#REF!</v>
      </c>
      <c r="MVM247" s="29" t="e">
        <f t="shared" si="190"/>
        <v>#REF!</v>
      </c>
      <c r="MVN247" s="29" t="e">
        <f t="shared" si="190"/>
        <v>#REF!</v>
      </c>
      <c r="MVO247" s="29" t="e">
        <f t="shared" si="190"/>
        <v>#REF!</v>
      </c>
      <c r="MVP247" s="29" t="e">
        <f t="shared" si="190"/>
        <v>#REF!</v>
      </c>
      <c r="MVQ247" s="29" t="e">
        <f t="shared" si="190"/>
        <v>#REF!</v>
      </c>
      <c r="MVR247" s="29" t="e">
        <f t="shared" si="190"/>
        <v>#REF!</v>
      </c>
      <c r="MVS247" s="29" t="e">
        <f t="shared" si="190"/>
        <v>#REF!</v>
      </c>
      <c r="MVT247" s="29" t="e">
        <f t="shared" si="190"/>
        <v>#REF!</v>
      </c>
      <c r="MVU247" s="29" t="e">
        <f t="shared" si="190"/>
        <v>#REF!</v>
      </c>
      <c r="MVV247" s="29" t="e">
        <f t="shared" si="190"/>
        <v>#REF!</v>
      </c>
      <c r="MVW247" s="29" t="e">
        <f t="shared" si="190"/>
        <v>#REF!</v>
      </c>
      <c r="MVX247" s="29" t="e">
        <f t="shared" si="190"/>
        <v>#REF!</v>
      </c>
      <c r="MVY247" s="29" t="e">
        <f t="shared" si="190"/>
        <v>#REF!</v>
      </c>
      <c r="MVZ247" s="29" t="e">
        <f t="shared" si="190"/>
        <v>#REF!</v>
      </c>
      <c r="MWA247" s="29" t="e">
        <f t="shared" si="190"/>
        <v>#REF!</v>
      </c>
      <c r="MWB247" s="29" t="e">
        <f t="shared" si="190"/>
        <v>#REF!</v>
      </c>
      <c r="MWC247" s="29" t="e">
        <f t="shared" si="190"/>
        <v>#REF!</v>
      </c>
      <c r="MWD247" s="29" t="e">
        <f t="shared" si="190"/>
        <v>#REF!</v>
      </c>
      <c r="MWE247" s="29" t="e">
        <f t="shared" si="190"/>
        <v>#REF!</v>
      </c>
      <c r="MWF247" s="29" t="e">
        <f t="shared" si="190"/>
        <v>#REF!</v>
      </c>
      <c r="MWG247" s="29" t="e">
        <f t="shared" si="190"/>
        <v>#REF!</v>
      </c>
      <c r="MWH247" s="29" t="e">
        <f t="shared" si="190"/>
        <v>#REF!</v>
      </c>
      <c r="MWI247" s="29" t="e">
        <f t="shared" si="190"/>
        <v>#REF!</v>
      </c>
      <c r="MWJ247" s="29" t="e">
        <f t="shared" si="190"/>
        <v>#REF!</v>
      </c>
      <c r="MWK247" s="29" t="e">
        <f t="shared" si="190"/>
        <v>#REF!</v>
      </c>
      <c r="MWL247" s="29" t="e">
        <f t="shared" si="190"/>
        <v>#REF!</v>
      </c>
      <c r="MWM247" s="29" t="e">
        <f t="shared" si="190"/>
        <v>#REF!</v>
      </c>
      <c r="MWN247" s="29" t="e">
        <f t="shared" si="190"/>
        <v>#REF!</v>
      </c>
      <c r="MWO247" s="29" t="e">
        <f t="shared" si="190"/>
        <v>#REF!</v>
      </c>
      <c r="MWP247" s="29" t="e">
        <f t="shared" si="190"/>
        <v>#REF!</v>
      </c>
      <c r="MWQ247" s="29" t="e">
        <f t="shared" si="190"/>
        <v>#REF!</v>
      </c>
      <c r="MWR247" s="29" t="e">
        <f t="shared" si="190"/>
        <v>#REF!</v>
      </c>
      <c r="MWS247" s="29" t="e">
        <f t="shared" si="190"/>
        <v>#REF!</v>
      </c>
      <c r="MWT247" s="29" t="e">
        <f t="shared" si="190"/>
        <v>#REF!</v>
      </c>
      <c r="MWU247" s="29" t="e">
        <f t="shared" si="190"/>
        <v>#REF!</v>
      </c>
      <c r="MWV247" s="29" t="e">
        <f t="shared" si="190"/>
        <v>#REF!</v>
      </c>
      <c r="MWW247" s="29" t="e">
        <f t="shared" si="190"/>
        <v>#REF!</v>
      </c>
      <c r="MWX247" s="29" t="e">
        <f t="shared" si="190"/>
        <v>#REF!</v>
      </c>
      <c r="MWY247" s="29" t="e">
        <f t="shared" si="190"/>
        <v>#REF!</v>
      </c>
      <c r="MWZ247" s="29" t="e">
        <f t="shared" si="190"/>
        <v>#REF!</v>
      </c>
      <c r="MXA247" s="29" t="e">
        <f t="shared" si="190"/>
        <v>#REF!</v>
      </c>
      <c r="MXB247" s="29" t="e">
        <f t="shared" si="190"/>
        <v>#REF!</v>
      </c>
      <c r="MXC247" s="29" t="e">
        <f t="shared" si="190"/>
        <v>#REF!</v>
      </c>
      <c r="MXD247" s="29" t="e">
        <f t="shared" si="190"/>
        <v>#REF!</v>
      </c>
      <c r="MXE247" s="29" t="e">
        <f t="shared" si="190"/>
        <v>#REF!</v>
      </c>
      <c r="MXF247" s="29" t="e">
        <f t="shared" si="190"/>
        <v>#REF!</v>
      </c>
      <c r="MXG247" s="29" t="e">
        <f t="shared" si="190"/>
        <v>#REF!</v>
      </c>
      <c r="MXH247" s="29" t="e">
        <f t="shared" si="190"/>
        <v>#REF!</v>
      </c>
      <c r="MXI247" s="29" t="e">
        <f t="shared" si="190"/>
        <v>#REF!</v>
      </c>
      <c r="MXJ247" s="29" t="e">
        <f t="shared" si="190"/>
        <v>#REF!</v>
      </c>
      <c r="MXK247" s="29" t="e">
        <f t="shared" si="190"/>
        <v>#REF!</v>
      </c>
      <c r="MXL247" s="29" t="e">
        <f t="shared" si="190"/>
        <v>#REF!</v>
      </c>
      <c r="MXM247" s="29" t="e">
        <f t="shared" ref="MXM247:MZX247" si="191">MXQ247&amp;MXR247</f>
        <v>#REF!</v>
      </c>
      <c r="MXN247" s="29" t="e">
        <f t="shared" si="191"/>
        <v>#REF!</v>
      </c>
      <c r="MXO247" s="29" t="e">
        <f t="shared" si="191"/>
        <v>#REF!</v>
      </c>
      <c r="MXP247" s="29" t="e">
        <f t="shared" si="191"/>
        <v>#REF!</v>
      </c>
      <c r="MXQ247" s="29" t="e">
        <f t="shared" si="191"/>
        <v>#REF!</v>
      </c>
      <c r="MXR247" s="29" t="e">
        <f t="shared" si="191"/>
        <v>#REF!</v>
      </c>
      <c r="MXS247" s="29" t="e">
        <f t="shared" si="191"/>
        <v>#REF!</v>
      </c>
      <c r="MXT247" s="29" t="e">
        <f t="shared" si="191"/>
        <v>#REF!</v>
      </c>
      <c r="MXU247" s="29" t="e">
        <f t="shared" si="191"/>
        <v>#REF!</v>
      </c>
      <c r="MXV247" s="29" t="e">
        <f t="shared" si="191"/>
        <v>#REF!</v>
      </c>
      <c r="MXW247" s="29" t="e">
        <f t="shared" si="191"/>
        <v>#REF!</v>
      </c>
      <c r="MXX247" s="29" t="e">
        <f t="shared" si="191"/>
        <v>#REF!</v>
      </c>
      <c r="MXY247" s="29" t="e">
        <f t="shared" si="191"/>
        <v>#REF!</v>
      </c>
      <c r="MXZ247" s="29" t="e">
        <f t="shared" si="191"/>
        <v>#REF!</v>
      </c>
      <c r="MYA247" s="29" t="e">
        <f t="shared" si="191"/>
        <v>#REF!</v>
      </c>
      <c r="MYB247" s="29" t="e">
        <f t="shared" si="191"/>
        <v>#REF!</v>
      </c>
      <c r="MYC247" s="29" t="e">
        <f t="shared" si="191"/>
        <v>#REF!</v>
      </c>
      <c r="MYD247" s="29" t="e">
        <f t="shared" si="191"/>
        <v>#REF!</v>
      </c>
      <c r="MYE247" s="29" t="e">
        <f t="shared" si="191"/>
        <v>#REF!</v>
      </c>
      <c r="MYF247" s="29" t="e">
        <f t="shared" si="191"/>
        <v>#REF!</v>
      </c>
      <c r="MYG247" s="29" t="e">
        <f t="shared" si="191"/>
        <v>#REF!</v>
      </c>
      <c r="MYH247" s="29" t="e">
        <f t="shared" si="191"/>
        <v>#REF!</v>
      </c>
      <c r="MYI247" s="29" t="e">
        <f t="shared" si="191"/>
        <v>#REF!</v>
      </c>
      <c r="MYJ247" s="29" t="e">
        <f t="shared" si="191"/>
        <v>#REF!</v>
      </c>
      <c r="MYK247" s="29" t="e">
        <f t="shared" si="191"/>
        <v>#REF!</v>
      </c>
      <c r="MYL247" s="29" t="e">
        <f t="shared" si="191"/>
        <v>#REF!</v>
      </c>
      <c r="MYM247" s="29" t="e">
        <f t="shared" si="191"/>
        <v>#REF!</v>
      </c>
      <c r="MYN247" s="29" t="e">
        <f t="shared" si="191"/>
        <v>#REF!</v>
      </c>
      <c r="MYO247" s="29" t="e">
        <f t="shared" si="191"/>
        <v>#REF!</v>
      </c>
      <c r="MYP247" s="29" t="e">
        <f t="shared" si="191"/>
        <v>#REF!</v>
      </c>
      <c r="MYQ247" s="29" t="e">
        <f t="shared" si="191"/>
        <v>#REF!</v>
      </c>
      <c r="MYR247" s="29" t="e">
        <f t="shared" si="191"/>
        <v>#REF!</v>
      </c>
      <c r="MYS247" s="29" t="e">
        <f t="shared" si="191"/>
        <v>#REF!</v>
      </c>
      <c r="MYT247" s="29" t="e">
        <f t="shared" si="191"/>
        <v>#REF!</v>
      </c>
      <c r="MYU247" s="29" t="e">
        <f t="shared" si="191"/>
        <v>#REF!</v>
      </c>
      <c r="MYV247" s="29" t="e">
        <f t="shared" si="191"/>
        <v>#REF!</v>
      </c>
      <c r="MYW247" s="29" t="e">
        <f t="shared" si="191"/>
        <v>#REF!</v>
      </c>
      <c r="MYX247" s="29" t="e">
        <f t="shared" si="191"/>
        <v>#REF!</v>
      </c>
      <c r="MYY247" s="29" t="e">
        <f t="shared" si="191"/>
        <v>#REF!</v>
      </c>
      <c r="MYZ247" s="29" t="e">
        <f t="shared" si="191"/>
        <v>#REF!</v>
      </c>
      <c r="MZA247" s="29" t="e">
        <f t="shared" si="191"/>
        <v>#REF!</v>
      </c>
      <c r="MZB247" s="29" t="e">
        <f t="shared" si="191"/>
        <v>#REF!</v>
      </c>
      <c r="MZC247" s="29" t="e">
        <f t="shared" si="191"/>
        <v>#REF!</v>
      </c>
      <c r="MZD247" s="29" t="e">
        <f t="shared" si="191"/>
        <v>#REF!</v>
      </c>
      <c r="MZE247" s="29" t="e">
        <f t="shared" si="191"/>
        <v>#REF!</v>
      </c>
      <c r="MZF247" s="29" t="e">
        <f t="shared" si="191"/>
        <v>#REF!</v>
      </c>
      <c r="MZG247" s="29" t="e">
        <f t="shared" si="191"/>
        <v>#REF!</v>
      </c>
      <c r="MZH247" s="29" t="e">
        <f t="shared" si="191"/>
        <v>#REF!</v>
      </c>
      <c r="MZI247" s="29" t="e">
        <f t="shared" si="191"/>
        <v>#REF!</v>
      </c>
      <c r="MZJ247" s="29" t="e">
        <f t="shared" si="191"/>
        <v>#REF!</v>
      </c>
      <c r="MZK247" s="29" t="e">
        <f t="shared" si="191"/>
        <v>#REF!</v>
      </c>
      <c r="MZL247" s="29" t="e">
        <f t="shared" si="191"/>
        <v>#REF!</v>
      </c>
      <c r="MZM247" s="29" t="e">
        <f t="shared" si="191"/>
        <v>#REF!</v>
      </c>
      <c r="MZN247" s="29" t="e">
        <f t="shared" si="191"/>
        <v>#REF!</v>
      </c>
      <c r="MZO247" s="29" t="e">
        <f t="shared" si="191"/>
        <v>#REF!</v>
      </c>
      <c r="MZP247" s="29" t="e">
        <f t="shared" si="191"/>
        <v>#REF!</v>
      </c>
      <c r="MZQ247" s="29" t="e">
        <f t="shared" si="191"/>
        <v>#REF!</v>
      </c>
      <c r="MZR247" s="29" t="e">
        <f t="shared" si="191"/>
        <v>#REF!</v>
      </c>
      <c r="MZS247" s="29" t="e">
        <f t="shared" si="191"/>
        <v>#REF!</v>
      </c>
      <c r="MZT247" s="29" t="e">
        <f t="shared" si="191"/>
        <v>#REF!</v>
      </c>
      <c r="MZU247" s="29" t="e">
        <f t="shared" si="191"/>
        <v>#REF!</v>
      </c>
      <c r="MZV247" s="29" t="e">
        <f t="shared" si="191"/>
        <v>#REF!</v>
      </c>
      <c r="MZW247" s="29" t="e">
        <f t="shared" si="191"/>
        <v>#REF!</v>
      </c>
      <c r="MZX247" s="29" t="e">
        <f t="shared" si="191"/>
        <v>#REF!</v>
      </c>
      <c r="MZY247" s="29" t="e">
        <f t="shared" ref="MZY247:NCJ247" si="192">NAC247&amp;NAD247</f>
        <v>#REF!</v>
      </c>
      <c r="MZZ247" s="29" t="e">
        <f t="shared" si="192"/>
        <v>#REF!</v>
      </c>
      <c r="NAA247" s="29" t="e">
        <f t="shared" si="192"/>
        <v>#REF!</v>
      </c>
      <c r="NAB247" s="29" t="e">
        <f t="shared" si="192"/>
        <v>#REF!</v>
      </c>
      <c r="NAC247" s="29" t="e">
        <f t="shared" si="192"/>
        <v>#REF!</v>
      </c>
      <c r="NAD247" s="29" t="e">
        <f t="shared" si="192"/>
        <v>#REF!</v>
      </c>
      <c r="NAE247" s="29" t="e">
        <f t="shared" si="192"/>
        <v>#REF!</v>
      </c>
      <c r="NAF247" s="29" t="e">
        <f t="shared" si="192"/>
        <v>#REF!</v>
      </c>
      <c r="NAG247" s="29" t="e">
        <f t="shared" si="192"/>
        <v>#REF!</v>
      </c>
      <c r="NAH247" s="29" t="e">
        <f t="shared" si="192"/>
        <v>#REF!</v>
      </c>
      <c r="NAI247" s="29" t="e">
        <f t="shared" si="192"/>
        <v>#REF!</v>
      </c>
      <c r="NAJ247" s="29" t="e">
        <f t="shared" si="192"/>
        <v>#REF!</v>
      </c>
      <c r="NAK247" s="29" t="e">
        <f t="shared" si="192"/>
        <v>#REF!</v>
      </c>
      <c r="NAL247" s="29" t="e">
        <f t="shared" si="192"/>
        <v>#REF!</v>
      </c>
      <c r="NAM247" s="29" t="e">
        <f t="shared" si="192"/>
        <v>#REF!</v>
      </c>
      <c r="NAN247" s="29" t="e">
        <f t="shared" si="192"/>
        <v>#REF!</v>
      </c>
      <c r="NAO247" s="29" t="e">
        <f t="shared" si="192"/>
        <v>#REF!</v>
      </c>
      <c r="NAP247" s="29" t="e">
        <f t="shared" si="192"/>
        <v>#REF!</v>
      </c>
      <c r="NAQ247" s="29" t="e">
        <f t="shared" si="192"/>
        <v>#REF!</v>
      </c>
      <c r="NAR247" s="29" t="e">
        <f t="shared" si="192"/>
        <v>#REF!</v>
      </c>
      <c r="NAS247" s="29" t="e">
        <f t="shared" si="192"/>
        <v>#REF!</v>
      </c>
      <c r="NAT247" s="29" t="e">
        <f t="shared" si="192"/>
        <v>#REF!</v>
      </c>
      <c r="NAU247" s="29" t="e">
        <f t="shared" si="192"/>
        <v>#REF!</v>
      </c>
      <c r="NAV247" s="29" t="e">
        <f t="shared" si="192"/>
        <v>#REF!</v>
      </c>
      <c r="NAW247" s="29" t="e">
        <f t="shared" si="192"/>
        <v>#REF!</v>
      </c>
      <c r="NAX247" s="29" t="e">
        <f t="shared" si="192"/>
        <v>#REF!</v>
      </c>
      <c r="NAY247" s="29" t="e">
        <f t="shared" si="192"/>
        <v>#REF!</v>
      </c>
      <c r="NAZ247" s="29" t="e">
        <f t="shared" si="192"/>
        <v>#REF!</v>
      </c>
      <c r="NBA247" s="29" t="e">
        <f t="shared" si="192"/>
        <v>#REF!</v>
      </c>
      <c r="NBB247" s="29" t="e">
        <f t="shared" si="192"/>
        <v>#REF!</v>
      </c>
      <c r="NBC247" s="29" t="e">
        <f t="shared" si="192"/>
        <v>#REF!</v>
      </c>
      <c r="NBD247" s="29" t="e">
        <f t="shared" si="192"/>
        <v>#REF!</v>
      </c>
      <c r="NBE247" s="29" t="e">
        <f t="shared" si="192"/>
        <v>#REF!</v>
      </c>
      <c r="NBF247" s="29" t="e">
        <f t="shared" si="192"/>
        <v>#REF!</v>
      </c>
      <c r="NBG247" s="29" t="e">
        <f t="shared" si="192"/>
        <v>#REF!</v>
      </c>
      <c r="NBH247" s="29" t="e">
        <f t="shared" si="192"/>
        <v>#REF!</v>
      </c>
      <c r="NBI247" s="29" t="e">
        <f t="shared" si="192"/>
        <v>#REF!</v>
      </c>
      <c r="NBJ247" s="29" t="e">
        <f t="shared" si="192"/>
        <v>#REF!</v>
      </c>
      <c r="NBK247" s="29" t="e">
        <f t="shared" si="192"/>
        <v>#REF!</v>
      </c>
      <c r="NBL247" s="29" t="e">
        <f t="shared" si="192"/>
        <v>#REF!</v>
      </c>
      <c r="NBM247" s="29" t="e">
        <f t="shared" si="192"/>
        <v>#REF!</v>
      </c>
      <c r="NBN247" s="29" t="e">
        <f t="shared" si="192"/>
        <v>#REF!</v>
      </c>
      <c r="NBO247" s="29" t="e">
        <f t="shared" si="192"/>
        <v>#REF!</v>
      </c>
      <c r="NBP247" s="29" t="e">
        <f t="shared" si="192"/>
        <v>#REF!</v>
      </c>
      <c r="NBQ247" s="29" t="e">
        <f t="shared" si="192"/>
        <v>#REF!</v>
      </c>
      <c r="NBR247" s="29" t="e">
        <f t="shared" si="192"/>
        <v>#REF!</v>
      </c>
      <c r="NBS247" s="29" t="e">
        <f t="shared" si="192"/>
        <v>#REF!</v>
      </c>
      <c r="NBT247" s="29" t="e">
        <f t="shared" si="192"/>
        <v>#REF!</v>
      </c>
      <c r="NBU247" s="29" t="e">
        <f t="shared" si="192"/>
        <v>#REF!</v>
      </c>
      <c r="NBV247" s="29" t="e">
        <f t="shared" si="192"/>
        <v>#REF!</v>
      </c>
      <c r="NBW247" s="29" t="e">
        <f t="shared" si="192"/>
        <v>#REF!</v>
      </c>
      <c r="NBX247" s="29" t="e">
        <f t="shared" si="192"/>
        <v>#REF!</v>
      </c>
      <c r="NBY247" s="29" t="e">
        <f t="shared" si="192"/>
        <v>#REF!</v>
      </c>
      <c r="NBZ247" s="29" t="e">
        <f t="shared" si="192"/>
        <v>#REF!</v>
      </c>
      <c r="NCA247" s="29" t="e">
        <f t="shared" si="192"/>
        <v>#REF!</v>
      </c>
      <c r="NCB247" s="29" t="e">
        <f t="shared" si="192"/>
        <v>#REF!</v>
      </c>
      <c r="NCC247" s="29" t="e">
        <f t="shared" si="192"/>
        <v>#REF!</v>
      </c>
      <c r="NCD247" s="29" t="e">
        <f t="shared" si="192"/>
        <v>#REF!</v>
      </c>
      <c r="NCE247" s="29" t="e">
        <f t="shared" si="192"/>
        <v>#REF!</v>
      </c>
      <c r="NCF247" s="29" t="e">
        <f t="shared" si="192"/>
        <v>#REF!</v>
      </c>
      <c r="NCG247" s="29" t="e">
        <f t="shared" si="192"/>
        <v>#REF!</v>
      </c>
      <c r="NCH247" s="29" t="e">
        <f t="shared" si="192"/>
        <v>#REF!</v>
      </c>
      <c r="NCI247" s="29" t="e">
        <f t="shared" si="192"/>
        <v>#REF!</v>
      </c>
      <c r="NCJ247" s="29" t="e">
        <f t="shared" si="192"/>
        <v>#REF!</v>
      </c>
      <c r="NCK247" s="29" t="e">
        <f t="shared" ref="NCK247:NEV247" si="193">NCO247&amp;NCP247</f>
        <v>#REF!</v>
      </c>
      <c r="NCL247" s="29" t="e">
        <f t="shared" si="193"/>
        <v>#REF!</v>
      </c>
      <c r="NCM247" s="29" t="e">
        <f t="shared" si="193"/>
        <v>#REF!</v>
      </c>
      <c r="NCN247" s="29" t="e">
        <f t="shared" si="193"/>
        <v>#REF!</v>
      </c>
      <c r="NCO247" s="29" t="e">
        <f t="shared" si="193"/>
        <v>#REF!</v>
      </c>
      <c r="NCP247" s="29" t="e">
        <f t="shared" si="193"/>
        <v>#REF!</v>
      </c>
      <c r="NCQ247" s="29" t="e">
        <f t="shared" si="193"/>
        <v>#REF!</v>
      </c>
      <c r="NCR247" s="29" t="e">
        <f t="shared" si="193"/>
        <v>#REF!</v>
      </c>
      <c r="NCS247" s="29" t="e">
        <f t="shared" si="193"/>
        <v>#REF!</v>
      </c>
      <c r="NCT247" s="29" t="e">
        <f t="shared" si="193"/>
        <v>#REF!</v>
      </c>
      <c r="NCU247" s="29" t="e">
        <f t="shared" si="193"/>
        <v>#REF!</v>
      </c>
      <c r="NCV247" s="29" t="e">
        <f t="shared" si="193"/>
        <v>#REF!</v>
      </c>
      <c r="NCW247" s="29" t="e">
        <f t="shared" si="193"/>
        <v>#REF!</v>
      </c>
      <c r="NCX247" s="29" t="e">
        <f t="shared" si="193"/>
        <v>#REF!</v>
      </c>
      <c r="NCY247" s="29" t="e">
        <f t="shared" si="193"/>
        <v>#REF!</v>
      </c>
      <c r="NCZ247" s="29" t="e">
        <f t="shared" si="193"/>
        <v>#REF!</v>
      </c>
      <c r="NDA247" s="29" t="e">
        <f t="shared" si="193"/>
        <v>#REF!</v>
      </c>
      <c r="NDB247" s="29" t="e">
        <f t="shared" si="193"/>
        <v>#REF!</v>
      </c>
      <c r="NDC247" s="29" t="e">
        <f t="shared" si="193"/>
        <v>#REF!</v>
      </c>
      <c r="NDD247" s="29" t="e">
        <f t="shared" si="193"/>
        <v>#REF!</v>
      </c>
      <c r="NDE247" s="29" t="e">
        <f t="shared" si="193"/>
        <v>#REF!</v>
      </c>
      <c r="NDF247" s="29" t="e">
        <f t="shared" si="193"/>
        <v>#REF!</v>
      </c>
      <c r="NDG247" s="29" t="e">
        <f t="shared" si="193"/>
        <v>#REF!</v>
      </c>
      <c r="NDH247" s="29" t="e">
        <f t="shared" si="193"/>
        <v>#REF!</v>
      </c>
      <c r="NDI247" s="29" t="e">
        <f t="shared" si="193"/>
        <v>#REF!</v>
      </c>
      <c r="NDJ247" s="29" t="e">
        <f t="shared" si="193"/>
        <v>#REF!</v>
      </c>
      <c r="NDK247" s="29" t="e">
        <f t="shared" si="193"/>
        <v>#REF!</v>
      </c>
      <c r="NDL247" s="29" t="e">
        <f t="shared" si="193"/>
        <v>#REF!</v>
      </c>
      <c r="NDM247" s="29" t="e">
        <f t="shared" si="193"/>
        <v>#REF!</v>
      </c>
      <c r="NDN247" s="29" t="e">
        <f t="shared" si="193"/>
        <v>#REF!</v>
      </c>
      <c r="NDO247" s="29" t="e">
        <f t="shared" si="193"/>
        <v>#REF!</v>
      </c>
      <c r="NDP247" s="29" t="e">
        <f t="shared" si="193"/>
        <v>#REF!</v>
      </c>
      <c r="NDQ247" s="29" t="e">
        <f t="shared" si="193"/>
        <v>#REF!</v>
      </c>
      <c r="NDR247" s="29" t="e">
        <f t="shared" si="193"/>
        <v>#REF!</v>
      </c>
      <c r="NDS247" s="29" t="e">
        <f t="shared" si="193"/>
        <v>#REF!</v>
      </c>
      <c r="NDT247" s="29" t="e">
        <f t="shared" si="193"/>
        <v>#REF!</v>
      </c>
      <c r="NDU247" s="29" t="e">
        <f t="shared" si="193"/>
        <v>#REF!</v>
      </c>
      <c r="NDV247" s="29" t="e">
        <f t="shared" si="193"/>
        <v>#REF!</v>
      </c>
      <c r="NDW247" s="29" t="e">
        <f t="shared" si="193"/>
        <v>#REF!</v>
      </c>
      <c r="NDX247" s="29" t="e">
        <f t="shared" si="193"/>
        <v>#REF!</v>
      </c>
      <c r="NDY247" s="29" t="e">
        <f t="shared" si="193"/>
        <v>#REF!</v>
      </c>
      <c r="NDZ247" s="29" t="e">
        <f t="shared" si="193"/>
        <v>#REF!</v>
      </c>
      <c r="NEA247" s="29" t="e">
        <f t="shared" si="193"/>
        <v>#REF!</v>
      </c>
      <c r="NEB247" s="29" t="e">
        <f t="shared" si="193"/>
        <v>#REF!</v>
      </c>
      <c r="NEC247" s="29" t="e">
        <f t="shared" si="193"/>
        <v>#REF!</v>
      </c>
      <c r="NED247" s="29" t="e">
        <f t="shared" si="193"/>
        <v>#REF!</v>
      </c>
      <c r="NEE247" s="29" t="e">
        <f t="shared" si="193"/>
        <v>#REF!</v>
      </c>
      <c r="NEF247" s="29" t="e">
        <f t="shared" si="193"/>
        <v>#REF!</v>
      </c>
      <c r="NEG247" s="29" t="e">
        <f t="shared" si="193"/>
        <v>#REF!</v>
      </c>
      <c r="NEH247" s="29" t="e">
        <f t="shared" si="193"/>
        <v>#REF!</v>
      </c>
      <c r="NEI247" s="29" t="e">
        <f t="shared" si="193"/>
        <v>#REF!</v>
      </c>
      <c r="NEJ247" s="29" t="e">
        <f t="shared" si="193"/>
        <v>#REF!</v>
      </c>
      <c r="NEK247" s="29" t="e">
        <f t="shared" si="193"/>
        <v>#REF!</v>
      </c>
      <c r="NEL247" s="29" t="e">
        <f t="shared" si="193"/>
        <v>#REF!</v>
      </c>
      <c r="NEM247" s="29" t="e">
        <f t="shared" si="193"/>
        <v>#REF!</v>
      </c>
      <c r="NEN247" s="29" t="e">
        <f t="shared" si="193"/>
        <v>#REF!</v>
      </c>
      <c r="NEO247" s="29" t="e">
        <f t="shared" si="193"/>
        <v>#REF!</v>
      </c>
      <c r="NEP247" s="29" t="e">
        <f t="shared" si="193"/>
        <v>#REF!</v>
      </c>
      <c r="NEQ247" s="29" t="e">
        <f t="shared" si="193"/>
        <v>#REF!</v>
      </c>
      <c r="NER247" s="29" t="e">
        <f t="shared" si="193"/>
        <v>#REF!</v>
      </c>
      <c r="NES247" s="29" t="e">
        <f t="shared" si="193"/>
        <v>#REF!</v>
      </c>
      <c r="NET247" s="29" t="e">
        <f t="shared" si="193"/>
        <v>#REF!</v>
      </c>
      <c r="NEU247" s="29" t="e">
        <f t="shared" si="193"/>
        <v>#REF!</v>
      </c>
      <c r="NEV247" s="29" t="e">
        <f t="shared" si="193"/>
        <v>#REF!</v>
      </c>
      <c r="NEW247" s="29" t="e">
        <f t="shared" ref="NEW247:NHH247" si="194">NFA247&amp;NFB247</f>
        <v>#REF!</v>
      </c>
      <c r="NEX247" s="29" t="e">
        <f t="shared" si="194"/>
        <v>#REF!</v>
      </c>
      <c r="NEY247" s="29" t="e">
        <f t="shared" si="194"/>
        <v>#REF!</v>
      </c>
      <c r="NEZ247" s="29" t="e">
        <f t="shared" si="194"/>
        <v>#REF!</v>
      </c>
      <c r="NFA247" s="29" t="e">
        <f t="shared" si="194"/>
        <v>#REF!</v>
      </c>
      <c r="NFB247" s="29" t="e">
        <f t="shared" si="194"/>
        <v>#REF!</v>
      </c>
      <c r="NFC247" s="29" t="e">
        <f t="shared" si="194"/>
        <v>#REF!</v>
      </c>
      <c r="NFD247" s="29" t="e">
        <f t="shared" si="194"/>
        <v>#REF!</v>
      </c>
      <c r="NFE247" s="29" t="e">
        <f t="shared" si="194"/>
        <v>#REF!</v>
      </c>
      <c r="NFF247" s="29" t="e">
        <f t="shared" si="194"/>
        <v>#REF!</v>
      </c>
      <c r="NFG247" s="29" t="e">
        <f t="shared" si="194"/>
        <v>#REF!</v>
      </c>
      <c r="NFH247" s="29" t="e">
        <f t="shared" si="194"/>
        <v>#REF!</v>
      </c>
      <c r="NFI247" s="29" t="e">
        <f t="shared" si="194"/>
        <v>#REF!</v>
      </c>
      <c r="NFJ247" s="29" t="e">
        <f t="shared" si="194"/>
        <v>#REF!</v>
      </c>
      <c r="NFK247" s="29" t="e">
        <f t="shared" si="194"/>
        <v>#REF!</v>
      </c>
      <c r="NFL247" s="29" t="e">
        <f t="shared" si="194"/>
        <v>#REF!</v>
      </c>
      <c r="NFM247" s="29" t="e">
        <f t="shared" si="194"/>
        <v>#REF!</v>
      </c>
      <c r="NFN247" s="29" t="e">
        <f t="shared" si="194"/>
        <v>#REF!</v>
      </c>
      <c r="NFO247" s="29" t="e">
        <f t="shared" si="194"/>
        <v>#REF!</v>
      </c>
      <c r="NFP247" s="29" t="e">
        <f t="shared" si="194"/>
        <v>#REF!</v>
      </c>
      <c r="NFQ247" s="29" t="e">
        <f t="shared" si="194"/>
        <v>#REF!</v>
      </c>
      <c r="NFR247" s="29" t="e">
        <f t="shared" si="194"/>
        <v>#REF!</v>
      </c>
      <c r="NFS247" s="29" t="e">
        <f t="shared" si="194"/>
        <v>#REF!</v>
      </c>
      <c r="NFT247" s="29" t="e">
        <f t="shared" si="194"/>
        <v>#REF!</v>
      </c>
      <c r="NFU247" s="29" t="e">
        <f t="shared" si="194"/>
        <v>#REF!</v>
      </c>
      <c r="NFV247" s="29" t="e">
        <f t="shared" si="194"/>
        <v>#REF!</v>
      </c>
      <c r="NFW247" s="29" t="e">
        <f t="shared" si="194"/>
        <v>#REF!</v>
      </c>
      <c r="NFX247" s="29" t="e">
        <f t="shared" si="194"/>
        <v>#REF!</v>
      </c>
      <c r="NFY247" s="29" t="e">
        <f t="shared" si="194"/>
        <v>#REF!</v>
      </c>
      <c r="NFZ247" s="29" t="e">
        <f t="shared" si="194"/>
        <v>#REF!</v>
      </c>
      <c r="NGA247" s="29" t="e">
        <f t="shared" si="194"/>
        <v>#REF!</v>
      </c>
      <c r="NGB247" s="29" t="e">
        <f t="shared" si="194"/>
        <v>#REF!</v>
      </c>
      <c r="NGC247" s="29" t="e">
        <f t="shared" si="194"/>
        <v>#REF!</v>
      </c>
      <c r="NGD247" s="29" t="e">
        <f t="shared" si="194"/>
        <v>#REF!</v>
      </c>
      <c r="NGE247" s="29" t="e">
        <f t="shared" si="194"/>
        <v>#REF!</v>
      </c>
      <c r="NGF247" s="29" t="e">
        <f t="shared" si="194"/>
        <v>#REF!</v>
      </c>
      <c r="NGG247" s="29" t="e">
        <f t="shared" si="194"/>
        <v>#REF!</v>
      </c>
      <c r="NGH247" s="29" t="e">
        <f t="shared" si="194"/>
        <v>#REF!</v>
      </c>
      <c r="NGI247" s="29" t="e">
        <f t="shared" si="194"/>
        <v>#REF!</v>
      </c>
      <c r="NGJ247" s="29" t="e">
        <f t="shared" si="194"/>
        <v>#REF!</v>
      </c>
      <c r="NGK247" s="29" t="e">
        <f t="shared" si="194"/>
        <v>#REF!</v>
      </c>
      <c r="NGL247" s="29" t="e">
        <f t="shared" si="194"/>
        <v>#REF!</v>
      </c>
      <c r="NGM247" s="29" t="e">
        <f t="shared" si="194"/>
        <v>#REF!</v>
      </c>
      <c r="NGN247" s="29" t="e">
        <f t="shared" si="194"/>
        <v>#REF!</v>
      </c>
      <c r="NGO247" s="29" t="e">
        <f t="shared" si="194"/>
        <v>#REF!</v>
      </c>
      <c r="NGP247" s="29" t="e">
        <f t="shared" si="194"/>
        <v>#REF!</v>
      </c>
      <c r="NGQ247" s="29" t="e">
        <f t="shared" si="194"/>
        <v>#REF!</v>
      </c>
      <c r="NGR247" s="29" t="e">
        <f t="shared" si="194"/>
        <v>#REF!</v>
      </c>
      <c r="NGS247" s="29" t="e">
        <f t="shared" si="194"/>
        <v>#REF!</v>
      </c>
      <c r="NGT247" s="29" t="e">
        <f t="shared" si="194"/>
        <v>#REF!</v>
      </c>
      <c r="NGU247" s="29" t="e">
        <f t="shared" si="194"/>
        <v>#REF!</v>
      </c>
      <c r="NGV247" s="29" t="e">
        <f t="shared" si="194"/>
        <v>#REF!</v>
      </c>
      <c r="NGW247" s="29" t="e">
        <f t="shared" si="194"/>
        <v>#REF!</v>
      </c>
      <c r="NGX247" s="29" t="e">
        <f t="shared" si="194"/>
        <v>#REF!</v>
      </c>
      <c r="NGY247" s="29" t="e">
        <f t="shared" si="194"/>
        <v>#REF!</v>
      </c>
      <c r="NGZ247" s="29" t="e">
        <f t="shared" si="194"/>
        <v>#REF!</v>
      </c>
      <c r="NHA247" s="29" t="e">
        <f t="shared" si="194"/>
        <v>#REF!</v>
      </c>
      <c r="NHB247" s="29" t="e">
        <f t="shared" si="194"/>
        <v>#REF!</v>
      </c>
      <c r="NHC247" s="29" t="e">
        <f t="shared" si="194"/>
        <v>#REF!</v>
      </c>
      <c r="NHD247" s="29" t="e">
        <f t="shared" si="194"/>
        <v>#REF!</v>
      </c>
      <c r="NHE247" s="29" t="e">
        <f t="shared" si="194"/>
        <v>#REF!</v>
      </c>
      <c r="NHF247" s="29" t="e">
        <f t="shared" si="194"/>
        <v>#REF!</v>
      </c>
      <c r="NHG247" s="29" t="e">
        <f t="shared" si="194"/>
        <v>#REF!</v>
      </c>
      <c r="NHH247" s="29" t="e">
        <f t="shared" si="194"/>
        <v>#REF!</v>
      </c>
      <c r="NHI247" s="29" t="e">
        <f t="shared" ref="NHI247:NJT247" si="195">NHM247&amp;NHN247</f>
        <v>#REF!</v>
      </c>
      <c r="NHJ247" s="29" t="e">
        <f t="shared" si="195"/>
        <v>#REF!</v>
      </c>
      <c r="NHK247" s="29" t="e">
        <f t="shared" si="195"/>
        <v>#REF!</v>
      </c>
      <c r="NHL247" s="29" t="e">
        <f t="shared" si="195"/>
        <v>#REF!</v>
      </c>
      <c r="NHM247" s="29" t="e">
        <f t="shared" si="195"/>
        <v>#REF!</v>
      </c>
      <c r="NHN247" s="29" t="e">
        <f t="shared" si="195"/>
        <v>#REF!</v>
      </c>
      <c r="NHO247" s="29" t="e">
        <f t="shared" si="195"/>
        <v>#REF!</v>
      </c>
      <c r="NHP247" s="29" t="e">
        <f t="shared" si="195"/>
        <v>#REF!</v>
      </c>
      <c r="NHQ247" s="29" t="e">
        <f t="shared" si="195"/>
        <v>#REF!</v>
      </c>
      <c r="NHR247" s="29" t="e">
        <f t="shared" si="195"/>
        <v>#REF!</v>
      </c>
      <c r="NHS247" s="29" t="e">
        <f t="shared" si="195"/>
        <v>#REF!</v>
      </c>
      <c r="NHT247" s="29" t="e">
        <f t="shared" si="195"/>
        <v>#REF!</v>
      </c>
      <c r="NHU247" s="29" t="e">
        <f t="shared" si="195"/>
        <v>#REF!</v>
      </c>
      <c r="NHV247" s="29" t="e">
        <f t="shared" si="195"/>
        <v>#REF!</v>
      </c>
      <c r="NHW247" s="29" t="e">
        <f t="shared" si="195"/>
        <v>#REF!</v>
      </c>
      <c r="NHX247" s="29" t="e">
        <f t="shared" si="195"/>
        <v>#REF!</v>
      </c>
      <c r="NHY247" s="29" t="e">
        <f t="shared" si="195"/>
        <v>#REF!</v>
      </c>
      <c r="NHZ247" s="29" t="e">
        <f t="shared" si="195"/>
        <v>#REF!</v>
      </c>
      <c r="NIA247" s="29" t="e">
        <f t="shared" si="195"/>
        <v>#REF!</v>
      </c>
      <c r="NIB247" s="29" t="e">
        <f t="shared" si="195"/>
        <v>#REF!</v>
      </c>
      <c r="NIC247" s="29" t="e">
        <f t="shared" si="195"/>
        <v>#REF!</v>
      </c>
      <c r="NID247" s="29" t="e">
        <f t="shared" si="195"/>
        <v>#REF!</v>
      </c>
      <c r="NIE247" s="29" t="e">
        <f t="shared" si="195"/>
        <v>#REF!</v>
      </c>
      <c r="NIF247" s="29" t="e">
        <f t="shared" si="195"/>
        <v>#REF!</v>
      </c>
      <c r="NIG247" s="29" t="e">
        <f t="shared" si="195"/>
        <v>#REF!</v>
      </c>
      <c r="NIH247" s="29" t="e">
        <f t="shared" si="195"/>
        <v>#REF!</v>
      </c>
      <c r="NII247" s="29" t="e">
        <f t="shared" si="195"/>
        <v>#REF!</v>
      </c>
      <c r="NIJ247" s="29" t="e">
        <f t="shared" si="195"/>
        <v>#REF!</v>
      </c>
      <c r="NIK247" s="29" t="e">
        <f t="shared" si="195"/>
        <v>#REF!</v>
      </c>
      <c r="NIL247" s="29" t="e">
        <f t="shared" si="195"/>
        <v>#REF!</v>
      </c>
      <c r="NIM247" s="29" t="e">
        <f t="shared" si="195"/>
        <v>#REF!</v>
      </c>
      <c r="NIN247" s="29" t="e">
        <f t="shared" si="195"/>
        <v>#REF!</v>
      </c>
      <c r="NIO247" s="29" t="e">
        <f t="shared" si="195"/>
        <v>#REF!</v>
      </c>
      <c r="NIP247" s="29" t="e">
        <f t="shared" si="195"/>
        <v>#REF!</v>
      </c>
      <c r="NIQ247" s="29" t="e">
        <f t="shared" si="195"/>
        <v>#REF!</v>
      </c>
      <c r="NIR247" s="29" t="e">
        <f t="shared" si="195"/>
        <v>#REF!</v>
      </c>
      <c r="NIS247" s="29" t="e">
        <f t="shared" si="195"/>
        <v>#REF!</v>
      </c>
      <c r="NIT247" s="29" t="e">
        <f t="shared" si="195"/>
        <v>#REF!</v>
      </c>
      <c r="NIU247" s="29" t="e">
        <f t="shared" si="195"/>
        <v>#REF!</v>
      </c>
      <c r="NIV247" s="29" t="e">
        <f t="shared" si="195"/>
        <v>#REF!</v>
      </c>
      <c r="NIW247" s="29" t="e">
        <f t="shared" si="195"/>
        <v>#REF!</v>
      </c>
      <c r="NIX247" s="29" t="e">
        <f t="shared" si="195"/>
        <v>#REF!</v>
      </c>
      <c r="NIY247" s="29" t="e">
        <f t="shared" si="195"/>
        <v>#REF!</v>
      </c>
      <c r="NIZ247" s="29" t="e">
        <f t="shared" si="195"/>
        <v>#REF!</v>
      </c>
      <c r="NJA247" s="29" t="e">
        <f t="shared" si="195"/>
        <v>#REF!</v>
      </c>
      <c r="NJB247" s="29" t="e">
        <f t="shared" si="195"/>
        <v>#REF!</v>
      </c>
      <c r="NJC247" s="29" t="e">
        <f t="shared" si="195"/>
        <v>#REF!</v>
      </c>
      <c r="NJD247" s="29" t="e">
        <f t="shared" si="195"/>
        <v>#REF!</v>
      </c>
      <c r="NJE247" s="29" t="e">
        <f t="shared" si="195"/>
        <v>#REF!</v>
      </c>
      <c r="NJF247" s="29" t="e">
        <f t="shared" si="195"/>
        <v>#REF!</v>
      </c>
      <c r="NJG247" s="29" t="e">
        <f t="shared" si="195"/>
        <v>#REF!</v>
      </c>
      <c r="NJH247" s="29" t="e">
        <f t="shared" si="195"/>
        <v>#REF!</v>
      </c>
      <c r="NJI247" s="29" t="e">
        <f t="shared" si="195"/>
        <v>#REF!</v>
      </c>
      <c r="NJJ247" s="29" t="e">
        <f t="shared" si="195"/>
        <v>#REF!</v>
      </c>
      <c r="NJK247" s="29" t="e">
        <f t="shared" si="195"/>
        <v>#REF!</v>
      </c>
      <c r="NJL247" s="29" t="e">
        <f t="shared" si="195"/>
        <v>#REF!</v>
      </c>
      <c r="NJM247" s="29" t="e">
        <f t="shared" si="195"/>
        <v>#REF!</v>
      </c>
      <c r="NJN247" s="29" t="e">
        <f t="shared" si="195"/>
        <v>#REF!</v>
      </c>
      <c r="NJO247" s="29" t="e">
        <f t="shared" si="195"/>
        <v>#REF!</v>
      </c>
      <c r="NJP247" s="29" t="e">
        <f t="shared" si="195"/>
        <v>#REF!</v>
      </c>
      <c r="NJQ247" s="29" t="e">
        <f t="shared" si="195"/>
        <v>#REF!</v>
      </c>
      <c r="NJR247" s="29" t="e">
        <f t="shared" si="195"/>
        <v>#REF!</v>
      </c>
      <c r="NJS247" s="29" t="e">
        <f t="shared" si="195"/>
        <v>#REF!</v>
      </c>
      <c r="NJT247" s="29" t="e">
        <f t="shared" si="195"/>
        <v>#REF!</v>
      </c>
      <c r="NJU247" s="29" t="e">
        <f t="shared" ref="NJU247:NMF247" si="196">NJY247&amp;NJZ247</f>
        <v>#REF!</v>
      </c>
      <c r="NJV247" s="29" t="e">
        <f t="shared" si="196"/>
        <v>#REF!</v>
      </c>
      <c r="NJW247" s="29" t="e">
        <f t="shared" si="196"/>
        <v>#REF!</v>
      </c>
      <c r="NJX247" s="29" t="e">
        <f t="shared" si="196"/>
        <v>#REF!</v>
      </c>
      <c r="NJY247" s="29" t="e">
        <f t="shared" si="196"/>
        <v>#REF!</v>
      </c>
      <c r="NJZ247" s="29" t="e">
        <f t="shared" si="196"/>
        <v>#REF!</v>
      </c>
      <c r="NKA247" s="29" t="e">
        <f t="shared" si="196"/>
        <v>#REF!</v>
      </c>
      <c r="NKB247" s="29" t="e">
        <f t="shared" si="196"/>
        <v>#REF!</v>
      </c>
      <c r="NKC247" s="29" t="e">
        <f t="shared" si="196"/>
        <v>#REF!</v>
      </c>
      <c r="NKD247" s="29" t="e">
        <f t="shared" si="196"/>
        <v>#REF!</v>
      </c>
      <c r="NKE247" s="29" t="e">
        <f t="shared" si="196"/>
        <v>#REF!</v>
      </c>
      <c r="NKF247" s="29" t="e">
        <f t="shared" si="196"/>
        <v>#REF!</v>
      </c>
      <c r="NKG247" s="29" t="e">
        <f t="shared" si="196"/>
        <v>#REF!</v>
      </c>
      <c r="NKH247" s="29" t="e">
        <f t="shared" si="196"/>
        <v>#REF!</v>
      </c>
      <c r="NKI247" s="29" t="e">
        <f t="shared" si="196"/>
        <v>#REF!</v>
      </c>
      <c r="NKJ247" s="29" t="e">
        <f t="shared" si="196"/>
        <v>#REF!</v>
      </c>
      <c r="NKK247" s="29" t="e">
        <f t="shared" si="196"/>
        <v>#REF!</v>
      </c>
      <c r="NKL247" s="29" t="e">
        <f t="shared" si="196"/>
        <v>#REF!</v>
      </c>
      <c r="NKM247" s="29" t="e">
        <f t="shared" si="196"/>
        <v>#REF!</v>
      </c>
      <c r="NKN247" s="29" t="e">
        <f t="shared" si="196"/>
        <v>#REF!</v>
      </c>
      <c r="NKO247" s="29" t="e">
        <f t="shared" si="196"/>
        <v>#REF!</v>
      </c>
      <c r="NKP247" s="29" t="e">
        <f t="shared" si="196"/>
        <v>#REF!</v>
      </c>
      <c r="NKQ247" s="29" t="e">
        <f t="shared" si="196"/>
        <v>#REF!</v>
      </c>
      <c r="NKR247" s="29" t="e">
        <f t="shared" si="196"/>
        <v>#REF!</v>
      </c>
      <c r="NKS247" s="29" t="e">
        <f t="shared" si="196"/>
        <v>#REF!</v>
      </c>
      <c r="NKT247" s="29" t="e">
        <f t="shared" si="196"/>
        <v>#REF!</v>
      </c>
      <c r="NKU247" s="29" t="e">
        <f t="shared" si="196"/>
        <v>#REF!</v>
      </c>
      <c r="NKV247" s="29" t="e">
        <f t="shared" si="196"/>
        <v>#REF!</v>
      </c>
      <c r="NKW247" s="29" t="e">
        <f t="shared" si="196"/>
        <v>#REF!</v>
      </c>
      <c r="NKX247" s="29" t="e">
        <f t="shared" si="196"/>
        <v>#REF!</v>
      </c>
      <c r="NKY247" s="29" t="e">
        <f t="shared" si="196"/>
        <v>#REF!</v>
      </c>
      <c r="NKZ247" s="29" t="e">
        <f t="shared" si="196"/>
        <v>#REF!</v>
      </c>
      <c r="NLA247" s="29" t="e">
        <f t="shared" si="196"/>
        <v>#REF!</v>
      </c>
      <c r="NLB247" s="29" t="e">
        <f t="shared" si="196"/>
        <v>#REF!</v>
      </c>
      <c r="NLC247" s="29" t="e">
        <f t="shared" si="196"/>
        <v>#REF!</v>
      </c>
      <c r="NLD247" s="29" t="e">
        <f t="shared" si="196"/>
        <v>#REF!</v>
      </c>
      <c r="NLE247" s="29" t="e">
        <f t="shared" si="196"/>
        <v>#REF!</v>
      </c>
      <c r="NLF247" s="29" t="e">
        <f t="shared" si="196"/>
        <v>#REF!</v>
      </c>
      <c r="NLG247" s="29" t="e">
        <f t="shared" si="196"/>
        <v>#REF!</v>
      </c>
      <c r="NLH247" s="29" t="e">
        <f t="shared" si="196"/>
        <v>#REF!</v>
      </c>
      <c r="NLI247" s="29" t="e">
        <f t="shared" si="196"/>
        <v>#REF!</v>
      </c>
      <c r="NLJ247" s="29" t="e">
        <f t="shared" si="196"/>
        <v>#REF!</v>
      </c>
      <c r="NLK247" s="29" t="e">
        <f t="shared" si="196"/>
        <v>#REF!</v>
      </c>
      <c r="NLL247" s="29" t="e">
        <f t="shared" si="196"/>
        <v>#REF!</v>
      </c>
      <c r="NLM247" s="29" t="e">
        <f t="shared" si="196"/>
        <v>#REF!</v>
      </c>
      <c r="NLN247" s="29" t="e">
        <f t="shared" si="196"/>
        <v>#REF!</v>
      </c>
      <c r="NLO247" s="29" t="e">
        <f t="shared" si="196"/>
        <v>#REF!</v>
      </c>
      <c r="NLP247" s="29" t="e">
        <f t="shared" si="196"/>
        <v>#REF!</v>
      </c>
      <c r="NLQ247" s="29" t="e">
        <f t="shared" si="196"/>
        <v>#REF!</v>
      </c>
      <c r="NLR247" s="29" t="e">
        <f t="shared" si="196"/>
        <v>#REF!</v>
      </c>
      <c r="NLS247" s="29" t="e">
        <f t="shared" si="196"/>
        <v>#REF!</v>
      </c>
      <c r="NLT247" s="29" t="e">
        <f t="shared" si="196"/>
        <v>#REF!</v>
      </c>
      <c r="NLU247" s="29" t="e">
        <f t="shared" si="196"/>
        <v>#REF!</v>
      </c>
      <c r="NLV247" s="29" t="e">
        <f t="shared" si="196"/>
        <v>#REF!</v>
      </c>
      <c r="NLW247" s="29" t="e">
        <f t="shared" si="196"/>
        <v>#REF!</v>
      </c>
      <c r="NLX247" s="29" t="e">
        <f t="shared" si="196"/>
        <v>#REF!</v>
      </c>
      <c r="NLY247" s="29" t="e">
        <f t="shared" si="196"/>
        <v>#REF!</v>
      </c>
      <c r="NLZ247" s="29" t="e">
        <f t="shared" si="196"/>
        <v>#REF!</v>
      </c>
      <c r="NMA247" s="29" t="e">
        <f t="shared" si="196"/>
        <v>#REF!</v>
      </c>
      <c r="NMB247" s="29" t="e">
        <f t="shared" si="196"/>
        <v>#REF!</v>
      </c>
      <c r="NMC247" s="29" t="e">
        <f t="shared" si="196"/>
        <v>#REF!</v>
      </c>
      <c r="NMD247" s="29" t="e">
        <f t="shared" si="196"/>
        <v>#REF!</v>
      </c>
      <c r="NME247" s="29" t="e">
        <f t="shared" si="196"/>
        <v>#REF!</v>
      </c>
      <c r="NMF247" s="29" t="e">
        <f t="shared" si="196"/>
        <v>#REF!</v>
      </c>
      <c r="NMG247" s="29" t="e">
        <f t="shared" ref="NMG247:NOR247" si="197">NMK247&amp;NML247</f>
        <v>#REF!</v>
      </c>
      <c r="NMH247" s="29" t="e">
        <f t="shared" si="197"/>
        <v>#REF!</v>
      </c>
      <c r="NMI247" s="29" t="e">
        <f t="shared" si="197"/>
        <v>#REF!</v>
      </c>
      <c r="NMJ247" s="29" t="e">
        <f t="shared" si="197"/>
        <v>#REF!</v>
      </c>
      <c r="NMK247" s="29" t="e">
        <f t="shared" si="197"/>
        <v>#REF!</v>
      </c>
      <c r="NML247" s="29" t="e">
        <f t="shared" si="197"/>
        <v>#REF!</v>
      </c>
      <c r="NMM247" s="29" t="e">
        <f t="shared" si="197"/>
        <v>#REF!</v>
      </c>
      <c r="NMN247" s="29" t="e">
        <f t="shared" si="197"/>
        <v>#REF!</v>
      </c>
      <c r="NMO247" s="29" t="e">
        <f t="shared" si="197"/>
        <v>#REF!</v>
      </c>
      <c r="NMP247" s="29" t="e">
        <f t="shared" si="197"/>
        <v>#REF!</v>
      </c>
      <c r="NMQ247" s="29" t="e">
        <f t="shared" si="197"/>
        <v>#REF!</v>
      </c>
      <c r="NMR247" s="29" t="e">
        <f t="shared" si="197"/>
        <v>#REF!</v>
      </c>
      <c r="NMS247" s="29" t="e">
        <f t="shared" si="197"/>
        <v>#REF!</v>
      </c>
      <c r="NMT247" s="29" t="e">
        <f t="shared" si="197"/>
        <v>#REF!</v>
      </c>
      <c r="NMU247" s="29" t="e">
        <f t="shared" si="197"/>
        <v>#REF!</v>
      </c>
      <c r="NMV247" s="29" t="e">
        <f t="shared" si="197"/>
        <v>#REF!</v>
      </c>
      <c r="NMW247" s="29" t="e">
        <f t="shared" si="197"/>
        <v>#REF!</v>
      </c>
      <c r="NMX247" s="29" t="e">
        <f t="shared" si="197"/>
        <v>#REF!</v>
      </c>
      <c r="NMY247" s="29" t="e">
        <f t="shared" si="197"/>
        <v>#REF!</v>
      </c>
      <c r="NMZ247" s="29" t="e">
        <f t="shared" si="197"/>
        <v>#REF!</v>
      </c>
      <c r="NNA247" s="29" t="e">
        <f t="shared" si="197"/>
        <v>#REF!</v>
      </c>
      <c r="NNB247" s="29" t="e">
        <f t="shared" si="197"/>
        <v>#REF!</v>
      </c>
      <c r="NNC247" s="29" t="e">
        <f t="shared" si="197"/>
        <v>#REF!</v>
      </c>
      <c r="NND247" s="29" t="e">
        <f t="shared" si="197"/>
        <v>#REF!</v>
      </c>
      <c r="NNE247" s="29" t="e">
        <f t="shared" si="197"/>
        <v>#REF!</v>
      </c>
      <c r="NNF247" s="29" t="e">
        <f t="shared" si="197"/>
        <v>#REF!</v>
      </c>
      <c r="NNG247" s="29" t="e">
        <f t="shared" si="197"/>
        <v>#REF!</v>
      </c>
      <c r="NNH247" s="29" t="e">
        <f t="shared" si="197"/>
        <v>#REF!</v>
      </c>
      <c r="NNI247" s="29" t="e">
        <f t="shared" si="197"/>
        <v>#REF!</v>
      </c>
      <c r="NNJ247" s="29" t="e">
        <f t="shared" si="197"/>
        <v>#REF!</v>
      </c>
      <c r="NNK247" s="29" t="e">
        <f t="shared" si="197"/>
        <v>#REF!</v>
      </c>
      <c r="NNL247" s="29" t="e">
        <f t="shared" si="197"/>
        <v>#REF!</v>
      </c>
      <c r="NNM247" s="29" t="e">
        <f t="shared" si="197"/>
        <v>#REF!</v>
      </c>
      <c r="NNN247" s="29" t="e">
        <f t="shared" si="197"/>
        <v>#REF!</v>
      </c>
      <c r="NNO247" s="29" t="e">
        <f t="shared" si="197"/>
        <v>#REF!</v>
      </c>
      <c r="NNP247" s="29" t="e">
        <f t="shared" si="197"/>
        <v>#REF!</v>
      </c>
      <c r="NNQ247" s="29" t="e">
        <f t="shared" si="197"/>
        <v>#REF!</v>
      </c>
      <c r="NNR247" s="29" t="e">
        <f t="shared" si="197"/>
        <v>#REF!</v>
      </c>
      <c r="NNS247" s="29" t="e">
        <f t="shared" si="197"/>
        <v>#REF!</v>
      </c>
      <c r="NNT247" s="29" t="e">
        <f t="shared" si="197"/>
        <v>#REF!</v>
      </c>
      <c r="NNU247" s="29" t="e">
        <f t="shared" si="197"/>
        <v>#REF!</v>
      </c>
      <c r="NNV247" s="29" t="e">
        <f t="shared" si="197"/>
        <v>#REF!</v>
      </c>
      <c r="NNW247" s="29" t="e">
        <f t="shared" si="197"/>
        <v>#REF!</v>
      </c>
      <c r="NNX247" s="29" t="e">
        <f t="shared" si="197"/>
        <v>#REF!</v>
      </c>
      <c r="NNY247" s="29" t="e">
        <f t="shared" si="197"/>
        <v>#REF!</v>
      </c>
      <c r="NNZ247" s="29" t="e">
        <f t="shared" si="197"/>
        <v>#REF!</v>
      </c>
      <c r="NOA247" s="29" t="e">
        <f t="shared" si="197"/>
        <v>#REF!</v>
      </c>
      <c r="NOB247" s="29" t="e">
        <f t="shared" si="197"/>
        <v>#REF!</v>
      </c>
      <c r="NOC247" s="29" t="e">
        <f t="shared" si="197"/>
        <v>#REF!</v>
      </c>
      <c r="NOD247" s="29" t="e">
        <f t="shared" si="197"/>
        <v>#REF!</v>
      </c>
      <c r="NOE247" s="29" t="e">
        <f t="shared" si="197"/>
        <v>#REF!</v>
      </c>
      <c r="NOF247" s="29" t="e">
        <f t="shared" si="197"/>
        <v>#REF!</v>
      </c>
      <c r="NOG247" s="29" t="e">
        <f t="shared" si="197"/>
        <v>#REF!</v>
      </c>
      <c r="NOH247" s="29" t="e">
        <f t="shared" si="197"/>
        <v>#REF!</v>
      </c>
      <c r="NOI247" s="29" t="e">
        <f t="shared" si="197"/>
        <v>#REF!</v>
      </c>
      <c r="NOJ247" s="29" t="e">
        <f t="shared" si="197"/>
        <v>#REF!</v>
      </c>
      <c r="NOK247" s="29" t="e">
        <f t="shared" si="197"/>
        <v>#REF!</v>
      </c>
      <c r="NOL247" s="29" t="e">
        <f t="shared" si="197"/>
        <v>#REF!</v>
      </c>
      <c r="NOM247" s="29" t="e">
        <f t="shared" si="197"/>
        <v>#REF!</v>
      </c>
      <c r="NON247" s="29" t="e">
        <f t="shared" si="197"/>
        <v>#REF!</v>
      </c>
      <c r="NOO247" s="29" t="e">
        <f t="shared" si="197"/>
        <v>#REF!</v>
      </c>
      <c r="NOP247" s="29" t="e">
        <f t="shared" si="197"/>
        <v>#REF!</v>
      </c>
      <c r="NOQ247" s="29" t="e">
        <f t="shared" si="197"/>
        <v>#REF!</v>
      </c>
      <c r="NOR247" s="29" t="e">
        <f t="shared" si="197"/>
        <v>#REF!</v>
      </c>
      <c r="NOS247" s="29" t="e">
        <f t="shared" ref="NOS247:NRD247" si="198">NOW247&amp;NOX247</f>
        <v>#REF!</v>
      </c>
      <c r="NOT247" s="29" t="e">
        <f t="shared" si="198"/>
        <v>#REF!</v>
      </c>
      <c r="NOU247" s="29" t="e">
        <f t="shared" si="198"/>
        <v>#REF!</v>
      </c>
      <c r="NOV247" s="29" t="e">
        <f t="shared" si="198"/>
        <v>#REF!</v>
      </c>
      <c r="NOW247" s="29" t="e">
        <f t="shared" si="198"/>
        <v>#REF!</v>
      </c>
      <c r="NOX247" s="29" t="e">
        <f t="shared" si="198"/>
        <v>#REF!</v>
      </c>
      <c r="NOY247" s="29" t="e">
        <f t="shared" si="198"/>
        <v>#REF!</v>
      </c>
      <c r="NOZ247" s="29" t="e">
        <f t="shared" si="198"/>
        <v>#REF!</v>
      </c>
      <c r="NPA247" s="29" t="e">
        <f t="shared" si="198"/>
        <v>#REF!</v>
      </c>
      <c r="NPB247" s="29" t="e">
        <f t="shared" si="198"/>
        <v>#REF!</v>
      </c>
      <c r="NPC247" s="29" t="e">
        <f t="shared" si="198"/>
        <v>#REF!</v>
      </c>
      <c r="NPD247" s="29" t="e">
        <f t="shared" si="198"/>
        <v>#REF!</v>
      </c>
      <c r="NPE247" s="29" t="e">
        <f t="shared" si="198"/>
        <v>#REF!</v>
      </c>
      <c r="NPF247" s="29" t="e">
        <f t="shared" si="198"/>
        <v>#REF!</v>
      </c>
      <c r="NPG247" s="29" t="e">
        <f t="shared" si="198"/>
        <v>#REF!</v>
      </c>
      <c r="NPH247" s="29" t="e">
        <f t="shared" si="198"/>
        <v>#REF!</v>
      </c>
      <c r="NPI247" s="29" t="e">
        <f t="shared" si="198"/>
        <v>#REF!</v>
      </c>
      <c r="NPJ247" s="29" t="e">
        <f t="shared" si="198"/>
        <v>#REF!</v>
      </c>
      <c r="NPK247" s="29" t="e">
        <f t="shared" si="198"/>
        <v>#REF!</v>
      </c>
      <c r="NPL247" s="29" t="e">
        <f t="shared" si="198"/>
        <v>#REF!</v>
      </c>
      <c r="NPM247" s="29" t="e">
        <f t="shared" si="198"/>
        <v>#REF!</v>
      </c>
      <c r="NPN247" s="29" t="e">
        <f t="shared" si="198"/>
        <v>#REF!</v>
      </c>
      <c r="NPO247" s="29" t="e">
        <f t="shared" si="198"/>
        <v>#REF!</v>
      </c>
      <c r="NPP247" s="29" t="e">
        <f t="shared" si="198"/>
        <v>#REF!</v>
      </c>
      <c r="NPQ247" s="29" t="e">
        <f t="shared" si="198"/>
        <v>#REF!</v>
      </c>
      <c r="NPR247" s="29" t="e">
        <f t="shared" si="198"/>
        <v>#REF!</v>
      </c>
      <c r="NPS247" s="29" t="e">
        <f t="shared" si="198"/>
        <v>#REF!</v>
      </c>
      <c r="NPT247" s="29" t="e">
        <f t="shared" si="198"/>
        <v>#REF!</v>
      </c>
      <c r="NPU247" s="29" t="e">
        <f t="shared" si="198"/>
        <v>#REF!</v>
      </c>
      <c r="NPV247" s="29" t="e">
        <f t="shared" si="198"/>
        <v>#REF!</v>
      </c>
      <c r="NPW247" s="29" t="e">
        <f t="shared" si="198"/>
        <v>#REF!</v>
      </c>
      <c r="NPX247" s="29" t="e">
        <f t="shared" si="198"/>
        <v>#REF!</v>
      </c>
      <c r="NPY247" s="29" t="e">
        <f t="shared" si="198"/>
        <v>#REF!</v>
      </c>
      <c r="NPZ247" s="29" t="e">
        <f t="shared" si="198"/>
        <v>#REF!</v>
      </c>
      <c r="NQA247" s="29" t="e">
        <f t="shared" si="198"/>
        <v>#REF!</v>
      </c>
      <c r="NQB247" s="29" t="e">
        <f t="shared" si="198"/>
        <v>#REF!</v>
      </c>
      <c r="NQC247" s="29" t="e">
        <f t="shared" si="198"/>
        <v>#REF!</v>
      </c>
      <c r="NQD247" s="29" t="e">
        <f t="shared" si="198"/>
        <v>#REF!</v>
      </c>
      <c r="NQE247" s="29" t="e">
        <f t="shared" si="198"/>
        <v>#REF!</v>
      </c>
      <c r="NQF247" s="29" t="e">
        <f t="shared" si="198"/>
        <v>#REF!</v>
      </c>
      <c r="NQG247" s="29" t="e">
        <f t="shared" si="198"/>
        <v>#REF!</v>
      </c>
      <c r="NQH247" s="29" t="e">
        <f t="shared" si="198"/>
        <v>#REF!</v>
      </c>
      <c r="NQI247" s="29" t="e">
        <f t="shared" si="198"/>
        <v>#REF!</v>
      </c>
      <c r="NQJ247" s="29" t="e">
        <f t="shared" si="198"/>
        <v>#REF!</v>
      </c>
      <c r="NQK247" s="29" t="e">
        <f t="shared" si="198"/>
        <v>#REF!</v>
      </c>
      <c r="NQL247" s="29" t="e">
        <f t="shared" si="198"/>
        <v>#REF!</v>
      </c>
      <c r="NQM247" s="29" t="e">
        <f t="shared" si="198"/>
        <v>#REF!</v>
      </c>
      <c r="NQN247" s="29" t="e">
        <f t="shared" si="198"/>
        <v>#REF!</v>
      </c>
      <c r="NQO247" s="29" t="e">
        <f t="shared" si="198"/>
        <v>#REF!</v>
      </c>
      <c r="NQP247" s="29" t="e">
        <f t="shared" si="198"/>
        <v>#REF!</v>
      </c>
      <c r="NQQ247" s="29" t="e">
        <f t="shared" si="198"/>
        <v>#REF!</v>
      </c>
      <c r="NQR247" s="29" t="e">
        <f t="shared" si="198"/>
        <v>#REF!</v>
      </c>
      <c r="NQS247" s="29" t="e">
        <f t="shared" si="198"/>
        <v>#REF!</v>
      </c>
      <c r="NQT247" s="29" t="e">
        <f t="shared" si="198"/>
        <v>#REF!</v>
      </c>
      <c r="NQU247" s="29" t="e">
        <f t="shared" si="198"/>
        <v>#REF!</v>
      </c>
      <c r="NQV247" s="29" t="e">
        <f t="shared" si="198"/>
        <v>#REF!</v>
      </c>
      <c r="NQW247" s="29" t="e">
        <f t="shared" si="198"/>
        <v>#REF!</v>
      </c>
      <c r="NQX247" s="29" t="e">
        <f t="shared" si="198"/>
        <v>#REF!</v>
      </c>
      <c r="NQY247" s="29" t="e">
        <f t="shared" si="198"/>
        <v>#REF!</v>
      </c>
      <c r="NQZ247" s="29" t="e">
        <f t="shared" si="198"/>
        <v>#REF!</v>
      </c>
      <c r="NRA247" s="29" t="e">
        <f t="shared" si="198"/>
        <v>#REF!</v>
      </c>
      <c r="NRB247" s="29" t="e">
        <f t="shared" si="198"/>
        <v>#REF!</v>
      </c>
      <c r="NRC247" s="29" t="e">
        <f t="shared" si="198"/>
        <v>#REF!</v>
      </c>
      <c r="NRD247" s="29" t="e">
        <f t="shared" si="198"/>
        <v>#REF!</v>
      </c>
      <c r="NRE247" s="29" t="e">
        <f t="shared" ref="NRE247:NTP247" si="199">NRI247&amp;NRJ247</f>
        <v>#REF!</v>
      </c>
      <c r="NRF247" s="29" t="e">
        <f t="shared" si="199"/>
        <v>#REF!</v>
      </c>
      <c r="NRG247" s="29" t="e">
        <f t="shared" si="199"/>
        <v>#REF!</v>
      </c>
      <c r="NRH247" s="29" t="e">
        <f t="shared" si="199"/>
        <v>#REF!</v>
      </c>
      <c r="NRI247" s="29" t="e">
        <f t="shared" si="199"/>
        <v>#REF!</v>
      </c>
      <c r="NRJ247" s="29" t="e">
        <f t="shared" si="199"/>
        <v>#REF!</v>
      </c>
      <c r="NRK247" s="29" t="e">
        <f t="shared" si="199"/>
        <v>#REF!</v>
      </c>
      <c r="NRL247" s="29" t="e">
        <f t="shared" si="199"/>
        <v>#REF!</v>
      </c>
      <c r="NRM247" s="29" t="e">
        <f t="shared" si="199"/>
        <v>#REF!</v>
      </c>
      <c r="NRN247" s="29" t="e">
        <f t="shared" si="199"/>
        <v>#REF!</v>
      </c>
      <c r="NRO247" s="29" t="e">
        <f t="shared" si="199"/>
        <v>#REF!</v>
      </c>
      <c r="NRP247" s="29" t="e">
        <f t="shared" si="199"/>
        <v>#REF!</v>
      </c>
      <c r="NRQ247" s="29" t="e">
        <f t="shared" si="199"/>
        <v>#REF!</v>
      </c>
      <c r="NRR247" s="29" t="e">
        <f t="shared" si="199"/>
        <v>#REF!</v>
      </c>
      <c r="NRS247" s="29" t="e">
        <f t="shared" si="199"/>
        <v>#REF!</v>
      </c>
      <c r="NRT247" s="29" t="e">
        <f t="shared" si="199"/>
        <v>#REF!</v>
      </c>
      <c r="NRU247" s="29" t="e">
        <f t="shared" si="199"/>
        <v>#REF!</v>
      </c>
      <c r="NRV247" s="29" t="e">
        <f t="shared" si="199"/>
        <v>#REF!</v>
      </c>
      <c r="NRW247" s="29" t="e">
        <f t="shared" si="199"/>
        <v>#REF!</v>
      </c>
      <c r="NRX247" s="29" t="e">
        <f t="shared" si="199"/>
        <v>#REF!</v>
      </c>
      <c r="NRY247" s="29" t="e">
        <f t="shared" si="199"/>
        <v>#REF!</v>
      </c>
      <c r="NRZ247" s="29" t="e">
        <f t="shared" si="199"/>
        <v>#REF!</v>
      </c>
      <c r="NSA247" s="29" t="e">
        <f t="shared" si="199"/>
        <v>#REF!</v>
      </c>
      <c r="NSB247" s="29" t="e">
        <f t="shared" si="199"/>
        <v>#REF!</v>
      </c>
      <c r="NSC247" s="29" t="e">
        <f t="shared" si="199"/>
        <v>#REF!</v>
      </c>
      <c r="NSD247" s="29" t="e">
        <f t="shared" si="199"/>
        <v>#REF!</v>
      </c>
      <c r="NSE247" s="29" t="e">
        <f t="shared" si="199"/>
        <v>#REF!</v>
      </c>
      <c r="NSF247" s="29" t="e">
        <f t="shared" si="199"/>
        <v>#REF!</v>
      </c>
      <c r="NSG247" s="29" t="e">
        <f t="shared" si="199"/>
        <v>#REF!</v>
      </c>
      <c r="NSH247" s="29" t="e">
        <f t="shared" si="199"/>
        <v>#REF!</v>
      </c>
      <c r="NSI247" s="29" t="e">
        <f t="shared" si="199"/>
        <v>#REF!</v>
      </c>
      <c r="NSJ247" s="29" t="e">
        <f t="shared" si="199"/>
        <v>#REF!</v>
      </c>
      <c r="NSK247" s="29" t="e">
        <f t="shared" si="199"/>
        <v>#REF!</v>
      </c>
      <c r="NSL247" s="29" t="e">
        <f t="shared" si="199"/>
        <v>#REF!</v>
      </c>
      <c r="NSM247" s="29" t="e">
        <f t="shared" si="199"/>
        <v>#REF!</v>
      </c>
      <c r="NSN247" s="29" t="e">
        <f t="shared" si="199"/>
        <v>#REF!</v>
      </c>
      <c r="NSO247" s="29" t="e">
        <f t="shared" si="199"/>
        <v>#REF!</v>
      </c>
      <c r="NSP247" s="29" t="e">
        <f t="shared" si="199"/>
        <v>#REF!</v>
      </c>
      <c r="NSQ247" s="29" t="e">
        <f t="shared" si="199"/>
        <v>#REF!</v>
      </c>
      <c r="NSR247" s="29" t="e">
        <f t="shared" si="199"/>
        <v>#REF!</v>
      </c>
      <c r="NSS247" s="29" t="e">
        <f t="shared" si="199"/>
        <v>#REF!</v>
      </c>
      <c r="NST247" s="29" t="e">
        <f t="shared" si="199"/>
        <v>#REF!</v>
      </c>
      <c r="NSU247" s="29" t="e">
        <f t="shared" si="199"/>
        <v>#REF!</v>
      </c>
      <c r="NSV247" s="29" t="e">
        <f t="shared" si="199"/>
        <v>#REF!</v>
      </c>
      <c r="NSW247" s="29" t="e">
        <f t="shared" si="199"/>
        <v>#REF!</v>
      </c>
      <c r="NSX247" s="29" t="e">
        <f t="shared" si="199"/>
        <v>#REF!</v>
      </c>
      <c r="NSY247" s="29" t="e">
        <f t="shared" si="199"/>
        <v>#REF!</v>
      </c>
      <c r="NSZ247" s="29" t="e">
        <f t="shared" si="199"/>
        <v>#REF!</v>
      </c>
      <c r="NTA247" s="29" t="e">
        <f t="shared" si="199"/>
        <v>#REF!</v>
      </c>
      <c r="NTB247" s="29" t="e">
        <f t="shared" si="199"/>
        <v>#REF!</v>
      </c>
      <c r="NTC247" s="29" t="e">
        <f t="shared" si="199"/>
        <v>#REF!</v>
      </c>
      <c r="NTD247" s="29" t="e">
        <f t="shared" si="199"/>
        <v>#REF!</v>
      </c>
      <c r="NTE247" s="29" t="e">
        <f t="shared" si="199"/>
        <v>#REF!</v>
      </c>
      <c r="NTF247" s="29" t="e">
        <f t="shared" si="199"/>
        <v>#REF!</v>
      </c>
      <c r="NTG247" s="29" t="e">
        <f t="shared" si="199"/>
        <v>#REF!</v>
      </c>
      <c r="NTH247" s="29" t="e">
        <f t="shared" si="199"/>
        <v>#REF!</v>
      </c>
      <c r="NTI247" s="29" t="e">
        <f t="shared" si="199"/>
        <v>#REF!</v>
      </c>
      <c r="NTJ247" s="29" t="e">
        <f t="shared" si="199"/>
        <v>#REF!</v>
      </c>
      <c r="NTK247" s="29" t="e">
        <f t="shared" si="199"/>
        <v>#REF!</v>
      </c>
      <c r="NTL247" s="29" t="e">
        <f t="shared" si="199"/>
        <v>#REF!</v>
      </c>
      <c r="NTM247" s="29" t="e">
        <f t="shared" si="199"/>
        <v>#REF!</v>
      </c>
      <c r="NTN247" s="29" t="e">
        <f t="shared" si="199"/>
        <v>#REF!</v>
      </c>
      <c r="NTO247" s="29" t="e">
        <f t="shared" si="199"/>
        <v>#REF!</v>
      </c>
      <c r="NTP247" s="29" t="e">
        <f t="shared" si="199"/>
        <v>#REF!</v>
      </c>
      <c r="NTQ247" s="29" t="e">
        <f t="shared" ref="NTQ247:NWB247" si="200">NTU247&amp;NTV247</f>
        <v>#REF!</v>
      </c>
      <c r="NTR247" s="29" t="e">
        <f t="shared" si="200"/>
        <v>#REF!</v>
      </c>
      <c r="NTS247" s="29" t="e">
        <f t="shared" si="200"/>
        <v>#REF!</v>
      </c>
      <c r="NTT247" s="29" t="e">
        <f t="shared" si="200"/>
        <v>#REF!</v>
      </c>
      <c r="NTU247" s="29" t="e">
        <f t="shared" si="200"/>
        <v>#REF!</v>
      </c>
      <c r="NTV247" s="29" t="e">
        <f t="shared" si="200"/>
        <v>#REF!</v>
      </c>
      <c r="NTW247" s="29" t="e">
        <f t="shared" si="200"/>
        <v>#REF!</v>
      </c>
      <c r="NTX247" s="29" t="e">
        <f t="shared" si="200"/>
        <v>#REF!</v>
      </c>
      <c r="NTY247" s="29" t="e">
        <f t="shared" si="200"/>
        <v>#REF!</v>
      </c>
      <c r="NTZ247" s="29" t="e">
        <f t="shared" si="200"/>
        <v>#REF!</v>
      </c>
      <c r="NUA247" s="29" t="e">
        <f t="shared" si="200"/>
        <v>#REF!</v>
      </c>
      <c r="NUB247" s="29" t="e">
        <f t="shared" si="200"/>
        <v>#REF!</v>
      </c>
      <c r="NUC247" s="29" t="e">
        <f t="shared" si="200"/>
        <v>#REF!</v>
      </c>
      <c r="NUD247" s="29" t="e">
        <f t="shared" si="200"/>
        <v>#REF!</v>
      </c>
      <c r="NUE247" s="29" t="e">
        <f t="shared" si="200"/>
        <v>#REF!</v>
      </c>
      <c r="NUF247" s="29" t="e">
        <f t="shared" si="200"/>
        <v>#REF!</v>
      </c>
      <c r="NUG247" s="29" t="e">
        <f t="shared" si="200"/>
        <v>#REF!</v>
      </c>
      <c r="NUH247" s="29" t="e">
        <f t="shared" si="200"/>
        <v>#REF!</v>
      </c>
      <c r="NUI247" s="29" t="e">
        <f t="shared" si="200"/>
        <v>#REF!</v>
      </c>
      <c r="NUJ247" s="29" t="e">
        <f t="shared" si="200"/>
        <v>#REF!</v>
      </c>
      <c r="NUK247" s="29" t="e">
        <f t="shared" si="200"/>
        <v>#REF!</v>
      </c>
      <c r="NUL247" s="29" t="e">
        <f t="shared" si="200"/>
        <v>#REF!</v>
      </c>
      <c r="NUM247" s="29" t="e">
        <f t="shared" si="200"/>
        <v>#REF!</v>
      </c>
      <c r="NUN247" s="29" t="e">
        <f t="shared" si="200"/>
        <v>#REF!</v>
      </c>
      <c r="NUO247" s="29" t="e">
        <f t="shared" si="200"/>
        <v>#REF!</v>
      </c>
      <c r="NUP247" s="29" t="e">
        <f t="shared" si="200"/>
        <v>#REF!</v>
      </c>
      <c r="NUQ247" s="29" t="e">
        <f t="shared" si="200"/>
        <v>#REF!</v>
      </c>
      <c r="NUR247" s="29" t="e">
        <f t="shared" si="200"/>
        <v>#REF!</v>
      </c>
      <c r="NUS247" s="29" t="e">
        <f t="shared" si="200"/>
        <v>#REF!</v>
      </c>
      <c r="NUT247" s="29" t="e">
        <f t="shared" si="200"/>
        <v>#REF!</v>
      </c>
      <c r="NUU247" s="29" t="e">
        <f t="shared" si="200"/>
        <v>#REF!</v>
      </c>
      <c r="NUV247" s="29" t="e">
        <f t="shared" si="200"/>
        <v>#REF!</v>
      </c>
      <c r="NUW247" s="29" t="e">
        <f t="shared" si="200"/>
        <v>#REF!</v>
      </c>
      <c r="NUX247" s="29" t="e">
        <f t="shared" si="200"/>
        <v>#REF!</v>
      </c>
      <c r="NUY247" s="29" t="e">
        <f t="shared" si="200"/>
        <v>#REF!</v>
      </c>
      <c r="NUZ247" s="29" t="e">
        <f t="shared" si="200"/>
        <v>#REF!</v>
      </c>
      <c r="NVA247" s="29" t="e">
        <f t="shared" si="200"/>
        <v>#REF!</v>
      </c>
      <c r="NVB247" s="29" t="e">
        <f t="shared" si="200"/>
        <v>#REF!</v>
      </c>
      <c r="NVC247" s="29" t="e">
        <f t="shared" si="200"/>
        <v>#REF!</v>
      </c>
      <c r="NVD247" s="29" t="e">
        <f t="shared" si="200"/>
        <v>#REF!</v>
      </c>
      <c r="NVE247" s="29" t="e">
        <f t="shared" si="200"/>
        <v>#REF!</v>
      </c>
      <c r="NVF247" s="29" t="e">
        <f t="shared" si="200"/>
        <v>#REF!</v>
      </c>
      <c r="NVG247" s="29" t="e">
        <f t="shared" si="200"/>
        <v>#REF!</v>
      </c>
      <c r="NVH247" s="29" t="e">
        <f t="shared" si="200"/>
        <v>#REF!</v>
      </c>
      <c r="NVI247" s="29" t="e">
        <f t="shared" si="200"/>
        <v>#REF!</v>
      </c>
      <c r="NVJ247" s="29" t="e">
        <f t="shared" si="200"/>
        <v>#REF!</v>
      </c>
      <c r="NVK247" s="29" t="e">
        <f t="shared" si="200"/>
        <v>#REF!</v>
      </c>
      <c r="NVL247" s="29" t="e">
        <f t="shared" si="200"/>
        <v>#REF!</v>
      </c>
      <c r="NVM247" s="29" t="e">
        <f t="shared" si="200"/>
        <v>#REF!</v>
      </c>
      <c r="NVN247" s="29" t="e">
        <f t="shared" si="200"/>
        <v>#REF!</v>
      </c>
      <c r="NVO247" s="29" t="e">
        <f t="shared" si="200"/>
        <v>#REF!</v>
      </c>
      <c r="NVP247" s="29" t="e">
        <f t="shared" si="200"/>
        <v>#REF!</v>
      </c>
      <c r="NVQ247" s="29" t="e">
        <f t="shared" si="200"/>
        <v>#REF!</v>
      </c>
      <c r="NVR247" s="29" t="e">
        <f t="shared" si="200"/>
        <v>#REF!</v>
      </c>
      <c r="NVS247" s="29" t="e">
        <f t="shared" si="200"/>
        <v>#REF!</v>
      </c>
      <c r="NVT247" s="29" t="e">
        <f t="shared" si="200"/>
        <v>#REF!</v>
      </c>
      <c r="NVU247" s="29" t="e">
        <f t="shared" si="200"/>
        <v>#REF!</v>
      </c>
      <c r="NVV247" s="29" t="e">
        <f t="shared" si="200"/>
        <v>#REF!</v>
      </c>
      <c r="NVW247" s="29" t="e">
        <f t="shared" si="200"/>
        <v>#REF!</v>
      </c>
      <c r="NVX247" s="29" t="e">
        <f t="shared" si="200"/>
        <v>#REF!</v>
      </c>
      <c r="NVY247" s="29" t="e">
        <f t="shared" si="200"/>
        <v>#REF!</v>
      </c>
      <c r="NVZ247" s="29" t="e">
        <f t="shared" si="200"/>
        <v>#REF!</v>
      </c>
      <c r="NWA247" s="29" t="e">
        <f t="shared" si="200"/>
        <v>#REF!</v>
      </c>
      <c r="NWB247" s="29" t="e">
        <f t="shared" si="200"/>
        <v>#REF!</v>
      </c>
      <c r="NWC247" s="29" t="e">
        <f t="shared" ref="NWC247:NYN247" si="201">NWG247&amp;NWH247</f>
        <v>#REF!</v>
      </c>
      <c r="NWD247" s="29" t="e">
        <f t="shared" si="201"/>
        <v>#REF!</v>
      </c>
      <c r="NWE247" s="29" t="e">
        <f t="shared" si="201"/>
        <v>#REF!</v>
      </c>
      <c r="NWF247" s="29" t="e">
        <f t="shared" si="201"/>
        <v>#REF!</v>
      </c>
      <c r="NWG247" s="29" t="e">
        <f t="shared" si="201"/>
        <v>#REF!</v>
      </c>
      <c r="NWH247" s="29" t="e">
        <f t="shared" si="201"/>
        <v>#REF!</v>
      </c>
      <c r="NWI247" s="29" t="e">
        <f t="shared" si="201"/>
        <v>#REF!</v>
      </c>
      <c r="NWJ247" s="29" t="e">
        <f t="shared" si="201"/>
        <v>#REF!</v>
      </c>
      <c r="NWK247" s="29" t="e">
        <f t="shared" si="201"/>
        <v>#REF!</v>
      </c>
      <c r="NWL247" s="29" t="e">
        <f t="shared" si="201"/>
        <v>#REF!</v>
      </c>
      <c r="NWM247" s="29" t="e">
        <f t="shared" si="201"/>
        <v>#REF!</v>
      </c>
      <c r="NWN247" s="29" t="e">
        <f t="shared" si="201"/>
        <v>#REF!</v>
      </c>
      <c r="NWO247" s="29" t="e">
        <f t="shared" si="201"/>
        <v>#REF!</v>
      </c>
      <c r="NWP247" s="29" t="e">
        <f t="shared" si="201"/>
        <v>#REF!</v>
      </c>
      <c r="NWQ247" s="29" t="e">
        <f t="shared" si="201"/>
        <v>#REF!</v>
      </c>
      <c r="NWR247" s="29" t="e">
        <f t="shared" si="201"/>
        <v>#REF!</v>
      </c>
      <c r="NWS247" s="29" t="e">
        <f t="shared" si="201"/>
        <v>#REF!</v>
      </c>
      <c r="NWT247" s="29" t="e">
        <f t="shared" si="201"/>
        <v>#REF!</v>
      </c>
      <c r="NWU247" s="29" t="e">
        <f t="shared" si="201"/>
        <v>#REF!</v>
      </c>
      <c r="NWV247" s="29" t="e">
        <f t="shared" si="201"/>
        <v>#REF!</v>
      </c>
      <c r="NWW247" s="29" t="e">
        <f t="shared" si="201"/>
        <v>#REF!</v>
      </c>
      <c r="NWX247" s="29" t="e">
        <f t="shared" si="201"/>
        <v>#REF!</v>
      </c>
      <c r="NWY247" s="29" t="e">
        <f t="shared" si="201"/>
        <v>#REF!</v>
      </c>
      <c r="NWZ247" s="29" t="e">
        <f t="shared" si="201"/>
        <v>#REF!</v>
      </c>
      <c r="NXA247" s="29" t="e">
        <f t="shared" si="201"/>
        <v>#REF!</v>
      </c>
      <c r="NXB247" s="29" t="e">
        <f t="shared" si="201"/>
        <v>#REF!</v>
      </c>
      <c r="NXC247" s="29" t="e">
        <f t="shared" si="201"/>
        <v>#REF!</v>
      </c>
      <c r="NXD247" s="29" t="e">
        <f t="shared" si="201"/>
        <v>#REF!</v>
      </c>
      <c r="NXE247" s="29" t="e">
        <f t="shared" si="201"/>
        <v>#REF!</v>
      </c>
      <c r="NXF247" s="29" t="e">
        <f t="shared" si="201"/>
        <v>#REF!</v>
      </c>
      <c r="NXG247" s="29" t="e">
        <f t="shared" si="201"/>
        <v>#REF!</v>
      </c>
      <c r="NXH247" s="29" t="e">
        <f t="shared" si="201"/>
        <v>#REF!</v>
      </c>
      <c r="NXI247" s="29" t="e">
        <f t="shared" si="201"/>
        <v>#REF!</v>
      </c>
      <c r="NXJ247" s="29" t="e">
        <f t="shared" si="201"/>
        <v>#REF!</v>
      </c>
      <c r="NXK247" s="29" t="e">
        <f t="shared" si="201"/>
        <v>#REF!</v>
      </c>
      <c r="NXL247" s="29" t="e">
        <f t="shared" si="201"/>
        <v>#REF!</v>
      </c>
      <c r="NXM247" s="29" t="e">
        <f t="shared" si="201"/>
        <v>#REF!</v>
      </c>
      <c r="NXN247" s="29" t="e">
        <f t="shared" si="201"/>
        <v>#REF!</v>
      </c>
      <c r="NXO247" s="29" t="e">
        <f t="shared" si="201"/>
        <v>#REF!</v>
      </c>
      <c r="NXP247" s="29" t="e">
        <f t="shared" si="201"/>
        <v>#REF!</v>
      </c>
      <c r="NXQ247" s="29" t="e">
        <f t="shared" si="201"/>
        <v>#REF!</v>
      </c>
      <c r="NXR247" s="29" t="e">
        <f t="shared" si="201"/>
        <v>#REF!</v>
      </c>
      <c r="NXS247" s="29" t="e">
        <f t="shared" si="201"/>
        <v>#REF!</v>
      </c>
      <c r="NXT247" s="29" t="e">
        <f t="shared" si="201"/>
        <v>#REF!</v>
      </c>
      <c r="NXU247" s="29" t="e">
        <f t="shared" si="201"/>
        <v>#REF!</v>
      </c>
      <c r="NXV247" s="29" t="e">
        <f t="shared" si="201"/>
        <v>#REF!</v>
      </c>
      <c r="NXW247" s="29" t="e">
        <f t="shared" si="201"/>
        <v>#REF!</v>
      </c>
      <c r="NXX247" s="29" t="e">
        <f t="shared" si="201"/>
        <v>#REF!</v>
      </c>
      <c r="NXY247" s="29" t="e">
        <f t="shared" si="201"/>
        <v>#REF!</v>
      </c>
      <c r="NXZ247" s="29" t="e">
        <f t="shared" si="201"/>
        <v>#REF!</v>
      </c>
      <c r="NYA247" s="29" t="e">
        <f t="shared" si="201"/>
        <v>#REF!</v>
      </c>
      <c r="NYB247" s="29" t="e">
        <f t="shared" si="201"/>
        <v>#REF!</v>
      </c>
      <c r="NYC247" s="29" t="e">
        <f t="shared" si="201"/>
        <v>#REF!</v>
      </c>
      <c r="NYD247" s="29" t="e">
        <f t="shared" si="201"/>
        <v>#REF!</v>
      </c>
      <c r="NYE247" s="29" t="e">
        <f t="shared" si="201"/>
        <v>#REF!</v>
      </c>
      <c r="NYF247" s="29" t="e">
        <f t="shared" si="201"/>
        <v>#REF!</v>
      </c>
      <c r="NYG247" s="29" t="e">
        <f t="shared" si="201"/>
        <v>#REF!</v>
      </c>
      <c r="NYH247" s="29" t="e">
        <f t="shared" si="201"/>
        <v>#REF!</v>
      </c>
      <c r="NYI247" s="29" t="e">
        <f t="shared" si="201"/>
        <v>#REF!</v>
      </c>
      <c r="NYJ247" s="29" t="e">
        <f t="shared" si="201"/>
        <v>#REF!</v>
      </c>
      <c r="NYK247" s="29" t="e">
        <f t="shared" si="201"/>
        <v>#REF!</v>
      </c>
      <c r="NYL247" s="29" t="e">
        <f t="shared" si="201"/>
        <v>#REF!</v>
      </c>
      <c r="NYM247" s="29" t="e">
        <f t="shared" si="201"/>
        <v>#REF!</v>
      </c>
      <c r="NYN247" s="29" t="e">
        <f t="shared" si="201"/>
        <v>#REF!</v>
      </c>
      <c r="NYO247" s="29" t="e">
        <f t="shared" ref="NYO247:OAZ247" si="202">NYS247&amp;NYT247</f>
        <v>#REF!</v>
      </c>
      <c r="NYP247" s="29" t="e">
        <f t="shared" si="202"/>
        <v>#REF!</v>
      </c>
      <c r="NYQ247" s="29" t="e">
        <f t="shared" si="202"/>
        <v>#REF!</v>
      </c>
      <c r="NYR247" s="29" t="e">
        <f t="shared" si="202"/>
        <v>#REF!</v>
      </c>
      <c r="NYS247" s="29" t="e">
        <f t="shared" si="202"/>
        <v>#REF!</v>
      </c>
      <c r="NYT247" s="29" t="e">
        <f t="shared" si="202"/>
        <v>#REF!</v>
      </c>
      <c r="NYU247" s="29" t="e">
        <f t="shared" si="202"/>
        <v>#REF!</v>
      </c>
      <c r="NYV247" s="29" t="e">
        <f t="shared" si="202"/>
        <v>#REF!</v>
      </c>
      <c r="NYW247" s="29" t="e">
        <f t="shared" si="202"/>
        <v>#REF!</v>
      </c>
      <c r="NYX247" s="29" t="e">
        <f t="shared" si="202"/>
        <v>#REF!</v>
      </c>
      <c r="NYY247" s="29" t="e">
        <f t="shared" si="202"/>
        <v>#REF!</v>
      </c>
      <c r="NYZ247" s="29" t="e">
        <f t="shared" si="202"/>
        <v>#REF!</v>
      </c>
      <c r="NZA247" s="29" t="e">
        <f t="shared" si="202"/>
        <v>#REF!</v>
      </c>
      <c r="NZB247" s="29" t="e">
        <f t="shared" si="202"/>
        <v>#REF!</v>
      </c>
      <c r="NZC247" s="29" t="e">
        <f t="shared" si="202"/>
        <v>#REF!</v>
      </c>
      <c r="NZD247" s="29" t="e">
        <f t="shared" si="202"/>
        <v>#REF!</v>
      </c>
      <c r="NZE247" s="29" t="e">
        <f t="shared" si="202"/>
        <v>#REF!</v>
      </c>
      <c r="NZF247" s="29" t="e">
        <f t="shared" si="202"/>
        <v>#REF!</v>
      </c>
      <c r="NZG247" s="29" t="e">
        <f t="shared" si="202"/>
        <v>#REF!</v>
      </c>
      <c r="NZH247" s="29" t="e">
        <f t="shared" si="202"/>
        <v>#REF!</v>
      </c>
      <c r="NZI247" s="29" t="e">
        <f t="shared" si="202"/>
        <v>#REF!</v>
      </c>
      <c r="NZJ247" s="29" t="e">
        <f t="shared" si="202"/>
        <v>#REF!</v>
      </c>
      <c r="NZK247" s="29" t="e">
        <f t="shared" si="202"/>
        <v>#REF!</v>
      </c>
      <c r="NZL247" s="29" t="e">
        <f t="shared" si="202"/>
        <v>#REF!</v>
      </c>
      <c r="NZM247" s="29" t="e">
        <f t="shared" si="202"/>
        <v>#REF!</v>
      </c>
      <c r="NZN247" s="29" t="e">
        <f t="shared" si="202"/>
        <v>#REF!</v>
      </c>
      <c r="NZO247" s="29" t="e">
        <f t="shared" si="202"/>
        <v>#REF!</v>
      </c>
      <c r="NZP247" s="29" t="e">
        <f t="shared" si="202"/>
        <v>#REF!</v>
      </c>
      <c r="NZQ247" s="29" t="e">
        <f t="shared" si="202"/>
        <v>#REF!</v>
      </c>
      <c r="NZR247" s="29" t="e">
        <f t="shared" si="202"/>
        <v>#REF!</v>
      </c>
      <c r="NZS247" s="29" t="e">
        <f t="shared" si="202"/>
        <v>#REF!</v>
      </c>
      <c r="NZT247" s="29" t="e">
        <f t="shared" si="202"/>
        <v>#REF!</v>
      </c>
      <c r="NZU247" s="29" t="e">
        <f t="shared" si="202"/>
        <v>#REF!</v>
      </c>
      <c r="NZV247" s="29" t="e">
        <f t="shared" si="202"/>
        <v>#REF!</v>
      </c>
      <c r="NZW247" s="29" t="e">
        <f t="shared" si="202"/>
        <v>#REF!</v>
      </c>
      <c r="NZX247" s="29" t="e">
        <f t="shared" si="202"/>
        <v>#REF!</v>
      </c>
      <c r="NZY247" s="29" t="e">
        <f t="shared" si="202"/>
        <v>#REF!</v>
      </c>
      <c r="NZZ247" s="29" t="e">
        <f t="shared" si="202"/>
        <v>#REF!</v>
      </c>
      <c r="OAA247" s="29" t="e">
        <f t="shared" si="202"/>
        <v>#REF!</v>
      </c>
      <c r="OAB247" s="29" t="e">
        <f t="shared" si="202"/>
        <v>#REF!</v>
      </c>
      <c r="OAC247" s="29" t="e">
        <f t="shared" si="202"/>
        <v>#REF!</v>
      </c>
      <c r="OAD247" s="29" t="e">
        <f t="shared" si="202"/>
        <v>#REF!</v>
      </c>
      <c r="OAE247" s="29" t="e">
        <f t="shared" si="202"/>
        <v>#REF!</v>
      </c>
      <c r="OAF247" s="29" t="e">
        <f t="shared" si="202"/>
        <v>#REF!</v>
      </c>
      <c r="OAG247" s="29" t="e">
        <f t="shared" si="202"/>
        <v>#REF!</v>
      </c>
      <c r="OAH247" s="29" t="e">
        <f t="shared" si="202"/>
        <v>#REF!</v>
      </c>
      <c r="OAI247" s="29" t="e">
        <f t="shared" si="202"/>
        <v>#REF!</v>
      </c>
      <c r="OAJ247" s="29" t="e">
        <f t="shared" si="202"/>
        <v>#REF!</v>
      </c>
      <c r="OAK247" s="29" t="e">
        <f t="shared" si="202"/>
        <v>#REF!</v>
      </c>
      <c r="OAL247" s="29" t="e">
        <f t="shared" si="202"/>
        <v>#REF!</v>
      </c>
      <c r="OAM247" s="29" t="e">
        <f t="shared" si="202"/>
        <v>#REF!</v>
      </c>
      <c r="OAN247" s="29" t="e">
        <f t="shared" si="202"/>
        <v>#REF!</v>
      </c>
      <c r="OAO247" s="29" t="e">
        <f t="shared" si="202"/>
        <v>#REF!</v>
      </c>
      <c r="OAP247" s="29" t="e">
        <f t="shared" si="202"/>
        <v>#REF!</v>
      </c>
      <c r="OAQ247" s="29" t="e">
        <f t="shared" si="202"/>
        <v>#REF!</v>
      </c>
      <c r="OAR247" s="29" t="e">
        <f t="shared" si="202"/>
        <v>#REF!</v>
      </c>
      <c r="OAS247" s="29" t="e">
        <f t="shared" si="202"/>
        <v>#REF!</v>
      </c>
      <c r="OAT247" s="29" t="e">
        <f t="shared" si="202"/>
        <v>#REF!</v>
      </c>
      <c r="OAU247" s="29" t="e">
        <f t="shared" si="202"/>
        <v>#REF!</v>
      </c>
      <c r="OAV247" s="29" t="e">
        <f t="shared" si="202"/>
        <v>#REF!</v>
      </c>
      <c r="OAW247" s="29" t="e">
        <f t="shared" si="202"/>
        <v>#REF!</v>
      </c>
      <c r="OAX247" s="29" t="e">
        <f t="shared" si="202"/>
        <v>#REF!</v>
      </c>
      <c r="OAY247" s="29" t="e">
        <f t="shared" si="202"/>
        <v>#REF!</v>
      </c>
      <c r="OAZ247" s="29" t="e">
        <f t="shared" si="202"/>
        <v>#REF!</v>
      </c>
      <c r="OBA247" s="29" t="e">
        <f t="shared" ref="OBA247:ODL247" si="203">OBE247&amp;OBF247</f>
        <v>#REF!</v>
      </c>
      <c r="OBB247" s="29" t="e">
        <f t="shared" si="203"/>
        <v>#REF!</v>
      </c>
      <c r="OBC247" s="29" t="e">
        <f t="shared" si="203"/>
        <v>#REF!</v>
      </c>
      <c r="OBD247" s="29" t="e">
        <f t="shared" si="203"/>
        <v>#REF!</v>
      </c>
      <c r="OBE247" s="29" t="e">
        <f t="shared" si="203"/>
        <v>#REF!</v>
      </c>
      <c r="OBF247" s="29" t="e">
        <f t="shared" si="203"/>
        <v>#REF!</v>
      </c>
      <c r="OBG247" s="29" t="e">
        <f t="shared" si="203"/>
        <v>#REF!</v>
      </c>
      <c r="OBH247" s="29" t="e">
        <f t="shared" si="203"/>
        <v>#REF!</v>
      </c>
      <c r="OBI247" s="29" t="e">
        <f t="shared" si="203"/>
        <v>#REF!</v>
      </c>
      <c r="OBJ247" s="29" t="e">
        <f t="shared" si="203"/>
        <v>#REF!</v>
      </c>
      <c r="OBK247" s="29" t="e">
        <f t="shared" si="203"/>
        <v>#REF!</v>
      </c>
      <c r="OBL247" s="29" t="e">
        <f t="shared" si="203"/>
        <v>#REF!</v>
      </c>
      <c r="OBM247" s="29" t="e">
        <f t="shared" si="203"/>
        <v>#REF!</v>
      </c>
      <c r="OBN247" s="29" t="e">
        <f t="shared" si="203"/>
        <v>#REF!</v>
      </c>
      <c r="OBO247" s="29" t="e">
        <f t="shared" si="203"/>
        <v>#REF!</v>
      </c>
      <c r="OBP247" s="29" t="e">
        <f t="shared" si="203"/>
        <v>#REF!</v>
      </c>
      <c r="OBQ247" s="29" t="e">
        <f t="shared" si="203"/>
        <v>#REF!</v>
      </c>
      <c r="OBR247" s="29" t="e">
        <f t="shared" si="203"/>
        <v>#REF!</v>
      </c>
      <c r="OBS247" s="29" t="e">
        <f t="shared" si="203"/>
        <v>#REF!</v>
      </c>
      <c r="OBT247" s="29" t="e">
        <f t="shared" si="203"/>
        <v>#REF!</v>
      </c>
      <c r="OBU247" s="29" t="e">
        <f t="shared" si="203"/>
        <v>#REF!</v>
      </c>
      <c r="OBV247" s="29" t="e">
        <f t="shared" si="203"/>
        <v>#REF!</v>
      </c>
      <c r="OBW247" s="29" t="e">
        <f t="shared" si="203"/>
        <v>#REF!</v>
      </c>
      <c r="OBX247" s="29" t="e">
        <f t="shared" si="203"/>
        <v>#REF!</v>
      </c>
      <c r="OBY247" s="29" t="e">
        <f t="shared" si="203"/>
        <v>#REF!</v>
      </c>
      <c r="OBZ247" s="29" t="e">
        <f t="shared" si="203"/>
        <v>#REF!</v>
      </c>
      <c r="OCA247" s="29" t="e">
        <f t="shared" si="203"/>
        <v>#REF!</v>
      </c>
      <c r="OCB247" s="29" t="e">
        <f t="shared" si="203"/>
        <v>#REF!</v>
      </c>
      <c r="OCC247" s="29" t="e">
        <f t="shared" si="203"/>
        <v>#REF!</v>
      </c>
      <c r="OCD247" s="29" t="e">
        <f t="shared" si="203"/>
        <v>#REF!</v>
      </c>
      <c r="OCE247" s="29" t="e">
        <f t="shared" si="203"/>
        <v>#REF!</v>
      </c>
      <c r="OCF247" s="29" t="e">
        <f t="shared" si="203"/>
        <v>#REF!</v>
      </c>
      <c r="OCG247" s="29" t="e">
        <f t="shared" si="203"/>
        <v>#REF!</v>
      </c>
      <c r="OCH247" s="29" t="e">
        <f t="shared" si="203"/>
        <v>#REF!</v>
      </c>
      <c r="OCI247" s="29" t="e">
        <f t="shared" si="203"/>
        <v>#REF!</v>
      </c>
      <c r="OCJ247" s="29" t="e">
        <f t="shared" si="203"/>
        <v>#REF!</v>
      </c>
      <c r="OCK247" s="29" t="e">
        <f t="shared" si="203"/>
        <v>#REF!</v>
      </c>
      <c r="OCL247" s="29" t="e">
        <f t="shared" si="203"/>
        <v>#REF!</v>
      </c>
      <c r="OCM247" s="29" t="e">
        <f t="shared" si="203"/>
        <v>#REF!</v>
      </c>
      <c r="OCN247" s="29" t="e">
        <f t="shared" si="203"/>
        <v>#REF!</v>
      </c>
      <c r="OCO247" s="29" t="e">
        <f t="shared" si="203"/>
        <v>#REF!</v>
      </c>
      <c r="OCP247" s="29" t="e">
        <f t="shared" si="203"/>
        <v>#REF!</v>
      </c>
      <c r="OCQ247" s="29" t="e">
        <f t="shared" si="203"/>
        <v>#REF!</v>
      </c>
      <c r="OCR247" s="29" t="e">
        <f t="shared" si="203"/>
        <v>#REF!</v>
      </c>
      <c r="OCS247" s="29" t="e">
        <f t="shared" si="203"/>
        <v>#REF!</v>
      </c>
      <c r="OCT247" s="29" t="e">
        <f t="shared" si="203"/>
        <v>#REF!</v>
      </c>
      <c r="OCU247" s="29" t="e">
        <f t="shared" si="203"/>
        <v>#REF!</v>
      </c>
      <c r="OCV247" s="29" t="e">
        <f t="shared" si="203"/>
        <v>#REF!</v>
      </c>
      <c r="OCW247" s="29" t="e">
        <f t="shared" si="203"/>
        <v>#REF!</v>
      </c>
      <c r="OCX247" s="29" t="e">
        <f t="shared" si="203"/>
        <v>#REF!</v>
      </c>
      <c r="OCY247" s="29" t="e">
        <f t="shared" si="203"/>
        <v>#REF!</v>
      </c>
      <c r="OCZ247" s="29" t="e">
        <f t="shared" si="203"/>
        <v>#REF!</v>
      </c>
      <c r="ODA247" s="29" t="e">
        <f t="shared" si="203"/>
        <v>#REF!</v>
      </c>
      <c r="ODB247" s="29" t="e">
        <f t="shared" si="203"/>
        <v>#REF!</v>
      </c>
      <c r="ODC247" s="29" t="e">
        <f t="shared" si="203"/>
        <v>#REF!</v>
      </c>
      <c r="ODD247" s="29" t="e">
        <f t="shared" si="203"/>
        <v>#REF!</v>
      </c>
      <c r="ODE247" s="29" t="e">
        <f t="shared" si="203"/>
        <v>#REF!</v>
      </c>
      <c r="ODF247" s="29" t="e">
        <f t="shared" si="203"/>
        <v>#REF!</v>
      </c>
      <c r="ODG247" s="29" t="e">
        <f t="shared" si="203"/>
        <v>#REF!</v>
      </c>
      <c r="ODH247" s="29" t="e">
        <f t="shared" si="203"/>
        <v>#REF!</v>
      </c>
      <c r="ODI247" s="29" t="e">
        <f t="shared" si="203"/>
        <v>#REF!</v>
      </c>
      <c r="ODJ247" s="29" t="e">
        <f t="shared" si="203"/>
        <v>#REF!</v>
      </c>
      <c r="ODK247" s="29" t="e">
        <f t="shared" si="203"/>
        <v>#REF!</v>
      </c>
      <c r="ODL247" s="29" t="e">
        <f t="shared" si="203"/>
        <v>#REF!</v>
      </c>
      <c r="ODM247" s="29" t="e">
        <f t="shared" ref="ODM247:OFX247" si="204">ODQ247&amp;ODR247</f>
        <v>#REF!</v>
      </c>
      <c r="ODN247" s="29" t="e">
        <f t="shared" si="204"/>
        <v>#REF!</v>
      </c>
      <c r="ODO247" s="29" t="e">
        <f t="shared" si="204"/>
        <v>#REF!</v>
      </c>
      <c r="ODP247" s="29" t="e">
        <f t="shared" si="204"/>
        <v>#REF!</v>
      </c>
      <c r="ODQ247" s="29" t="e">
        <f t="shared" si="204"/>
        <v>#REF!</v>
      </c>
      <c r="ODR247" s="29" t="e">
        <f t="shared" si="204"/>
        <v>#REF!</v>
      </c>
      <c r="ODS247" s="29" t="e">
        <f t="shared" si="204"/>
        <v>#REF!</v>
      </c>
      <c r="ODT247" s="29" t="e">
        <f t="shared" si="204"/>
        <v>#REF!</v>
      </c>
      <c r="ODU247" s="29" t="e">
        <f t="shared" si="204"/>
        <v>#REF!</v>
      </c>
      <c r="ODV247" s="29" t="e">
        <f t="shared" si="204"/>
        <v>#REF!</v>
      </c>
      <c r="ODW247" s="29" t="e">
        <f t="shared" si="204"/>
        <v>#REF!</v>
      </c>
      <c r="ODX247" s="29" t="e">
        <f t="shared" si="204"/>
        <v>#REF!</v>
      </c>
      <c r="ODY247" s="29" t="e">
        <f t="shared" si="204"/>
        <v>#REF!</v>
      </c>
      <c r="ODZ247" s="29" t="e">
        <f t="shared" si="204"/>
        <v>#REF!</v>
      </c>
      <c r="OEA247" s="29" t="e">
        <f t="shared" si="204"/>
        <v>#REF!</v>
      </c>
      <c r="OEB247" s="29" t="e">
        <f t="shared" si="204"/>
        <v>#REF!</v>
      </c>
      <c r="OEC247" s="29" t="e">
        <f t="shared" si="204"/>
        <v>#REF!</v>
      </c>
      <c r="OED247" s="29" t="e">
        <f t="shared" si="204"/>
        <v>#REF!</v>
      </c>
      <c r="OEE247" s="29" t="e">
        <f t="shared" si="204"/>
        <v>#REF!</v>
      </c>
      <c r="OEF247" s="29" t="e">
        <f t="shared" si="204"/>
        <v>#REF!</v>
      </c>
      <c r="OEG247" s="29" t="e">
        <f t="shared" si="204"/>
        <v>#REF!</v>
      </c>
      <c r="OEH247" s="29" t="e">
        <f t="shared" si="204"/>
        <v>#REF!</v>
      </c>
      <c r="OEI247" s="29" t="e">
        <f t="shared" si="204"/>
        <v>#REF!</v>
      </c>
      <c r="OEJ247" s="29" t="e">
        <f t="shared" si="204"/>
        <v>#REF!</v>
      </c>
      <c r="OEK247" s="29" t="e">
        <f t="shared" si="204"/>
        <v>#REF!</v>
      </c>
      <c r="OEL247" s="29" t="e">
        <f t="shared" si="204"/>
        <v>#REF!</v>
      </c>
      <c r="OEM247" s="29" t="e">
        <f t="shared" si="204"/>
        <v>#REF!</v>
      </c>
      <c r="OEN247" s="29" t="e">
        <f t="shared" si="204"/>
        <v>#REF!</v>
      </c>
      <c r="OEO247" s="29" t="e">
        <f t="shared" si="204"/>
        <v>#REF!</v>
      </c>
      <c r="OEP247" s="29" t="e">
        <f t="shared" si="204"/>
        <v>#REF!</v>
      </c>
      <c r="OEQ247" s="29" t="e">
        <f t="shared" si="204"/>
        <v>#REF!</v>
      </c>
      <c r="OER247" s="29" t="e">
        <f t="shared" si="204"/>
        <v>#REF!</v>
      </c>
      <c r="OES247" s="29" t="e">
        <f t="shared" si="204"/>
        <v>#REF!</v>
      </c>
      <c r="OET247" s="29" t="e">
        <f t="shared" si="204"/>
        <v>#REF!</v>
      </c>
      <c r="OEU247" s="29" t="e">
        <f t="shared" si="204"/>
        <v>#REF!</v>
      </c>
      <c r="OEV247" s="29" t="e">
        <f t="shared" si="204"/>
        <v>#REF!</v>
      </c>
      <c r="OEW247" s="29" t="e">
        <f t="shared" si="204"/>
        <v>#REF!</v>
      </c>
      <c r="OEX247" s="29" t="e">
        <f t="shared" si="204"/>
        <v>#REF!</v>
      </c>
      <c r="OEY247" s="29" t="e">
        <f t="shared" si="204"/>
        <v>#REF!</v>
      </c>
      <c r="OEZ247" s="29" t="e">
        <f t="shared" si="204"/>
        <v>#REF!</v>
      </c>
      <c r="OFA247" s="29" t="e">
        <f t="shared" si="204"/>
        <v>#REF!</v>
      </c>
      <c r="OFB247" s="29" t="e">
        <f t="shared" si="204"/>
        <v>#REF!</v>
      </c>
      <c r="OFC247" s="29" t="e">
        <f t="shared" si="204"/>
        <v>#REF!</v>
      </c>
      <c r="OFD247" s="29" t="e">
        <f t="shared" si="204"/>
        <v>#REF!</v>
      </c>
      <c r="OFE247" s="29" t="e">
        <f t="shared" si="204"/>
        <v>#REF!</v>
      </c>
      <c r="OFF247" s="29" t="e">
        <f t="shared" si="204"/>
        <v>#REF!</v>
      </c>
      <c r="OFG247" s="29" t="e">
        <f t="shared" si="204"/>
        <v>#REF!</v>
      </c>
      <c r="OFH247" s="29" t="e">
        <f t="shared" si="204"/>
        <v>#REF!</v>
      </c>
      <c r="OFI247" s="29" t="e">
        <f t="shared" si="204"/>
        <v>#REF!</v>
      </c>
      <c r="OFJ247" s="29" t="e">
        <f t="shared" si="204"/>
        <v>#REF!</v>
      </c>
      <c r="OFK247" s="29" t="e">
        <f t="shared" si="204"/>
        <v>#REF!</v>
      </c>
      <c r="OFL247" s="29" t="e">
        <f t="shared" si="204"/>
        <v>#REF!</v>
      </c>
      <c r="OFM247" s="29" t="e">
        <f t="shared" si="204"/>
        <v>#REF!</v>
      </c>
      <c r="OFN247" s="29" t="e">
        <f t="shared" si="204"/>
        <v>#REF!</v>
      </c>
      <c r="OFO247" s="29" t="e">
        <f t="shared" si="204"/>
        <v>#REF!</v>
      </c>
      <c r="OFP247" s="29" t="e">
        <f t="shared" si="204"/>
        <v>#REF!</v>
      </c>
      <c r="OFQ247" s="29" t="e">
        <f t="shared" si="204"/>
        <v>#REF!</v>
      </c>
      <c r="OFR247" s="29" t="e">
        <f t="shared" si="204"/>
        <v>#REF!</v>
      </c>
      <c r="OFS247" s="29" t="e">
        <f t="shared" si="204"/>
        <v>#REF!</v>
      </c>
      <c r="OFT247" s="29" t="e">
        <f t="shared" si="204"/>
        <v>#REF!</v>
      </c>
      <c r="OFU247" s="29" t="e">
        <f t="shared" si="204"/>
        <v>#REF!</v>
      </c>
      <c r="OFV247" s="29" t="e">
        <f t="shared" si="204"/>
        <v>#REF!</v>
      </c>
      <c r="OFW247" s="29" t="e">
        <f t="shared" si="204"/>
        <v>#REF!</v>
      </c>
      <c r="OFX247" s="29" t="e">
        <f t="shared" si="204"/>
        <v>#REF!</v>
      </c>
      <c r="OFY247" s="29" t="e">
        <f t="shared" ref="OFY247:OIJ247" si="205">OGC247&amp;OGD247</f>
        <v>#REF!</v>
      </c>
      <c r="OFZ247" s="29" t="e">
        <f t="shared" si="205"/>
        <v>#REF!</v>
      </c>
      <c r="OGA247" s="29" t="e">
        <f t="shared" si="205"/>
        <v>#REF!</v>
      </c>
      <c r="OGB247" s="29" t="e">
        <f t="shared" si="205"/>
        <v>#REF!</v>
      </c>
      <c r="OGC247" s="29" t="e">
        <f t="shared" si="205"/>
        <v>#REF!</v>
      </c>
      <c r="OGD247" s="29" t="e">
        <f t="shared" si="205"/>
        <v>#REF!</v>
      </c>
      <c r="OGE247" s="29" t="e">
        <f t="shared" si="205"/>
        <v>#REF!</v>
      </c>
      <c r="OGF247" s="29" t="e">
        <f t="shared" si="205"/>
        <v>#REF!</v>
      </c>
      <c r="OGG247" s="29" t="e">
        <f t="shared" si="205"/>
        <v>#REF!</v>
      </c>
      <c r="OGH247" s="29" t="e">
        <f t="shared" si="205"/>
        <v>#REF!</v>
      </c>
      <c r="OGI247" s="29" t="e">
        <f t="shared" si="205"/>
        <v>#REF!</v>
      </c>
      <c r="OGJ247" s="29" t="e">
        <f t="shared" si="205"/>
        <v>#REF!</v>
      </c>
      <c r="OGK247" s="29" t="e">
        <f t="shared" si="205"/>
        <v>#REF!</v>
      </c>
      <c r="OGL247" s="29" t="e">
        <f t="shared" si="205"/>
        <v>#REF!</v>
      </c>
      <c r="OGM247" s="29" t="e">
        <f t="shared" si="205"/>
        <v>#REF!</v>
      </c>
      <c r="OGN247" s="29" t="e">
        <f t="shared" si="205"/>
        <v>#REF!</v>
      </c>
      <c r="OGO247" s="29" t="e">
        <f t="shared" si="205"/>
        <v>#REF!</v>
      </c>
      <c r="OGP247" s="29" t="e">
        <f t="shared" si="205"/>
        <v>#REF!</v>
      </c>
      <c r="OGQ247" s="29" t="e">
        <f t="shared" si="205"/>
        <v>#REF!</v>
      </c>
      <c r="OGR247" s="29" t="e">
        <f t="shared" si="205"/>
        <v>#REF!</v>
      </c>
      <c r="OGS247" s="29" t="e">
        <f t="shared" si="205"/>
        <v>#REF!</v>
      </c>
      <c r="OGT247" s="29" t="e">
        <f t="shared" si="205"/>
        <v>#REF!</v>
      </c>
      <c r="OGU247" s="29" t="e">
        <f t="shared" si="205"/>
        <v>#REF!</v>
      </c>
      <c r="OGV247" s="29" t="e">
        <f t="shared" si="205"/>
        <v>#REF!</v>
      </c>
      <c r="OGW247" s="29" t="e">
        <f t="shared" si="205"/>
        <v>#REF!</v>
      </c>
      <c r="OGX247" s="29" t="e">
        <f t="shared" si="205"/>
        <v>#REF!</v>
      </c>
      <c r="OGY247" s="29" t="e">
        <f t="shared" si="205"/>
        <v>#REF!</v>
      </c>
      <c r="OGZ247" s="29" t="e">
        <f t="shared" si="205"/>
        <v>#REF!</v>
      </c>
      <c r="OHA247" s="29" t="e">
        <f t="shared" si="205"/>
        <v>#REF!</v>
      </c>
      <c r="OHB247" s="29" t="e">
        <f t="shared" si="205"/>
        <v>#REF!</v>
      </c>
      <c r="OHC247" s="29" t="e">
        <f t="shared" si="205"/>
        <v>#REF!</v>
      </c>
      <c r="OHD247" s="29" t="e">
        <f t="shared" si="205"/>
        <v>#REF!</v>
      </c>
      <c r="OHE247" s="29" t="e">
        <f t="shared" si="205"/>
        <v>#REF!</v>
      </c>
      <c r="OHF247" s="29" t="e">
        <f t="shared" si="205"/>
        <v>#REF!</v>
      </c>
      <c r="OHG247" s="29" t="e">
        <f t="shared" si="205"/>
        <v>#REF!</v>
      </c>
      <c r="OHH247" s="29" t="e">
        <f t="shared" si="205"/>
        <v>#REF!</v>
      </c>
      <c r="OHI247" s="29" t="e">
        <f t="shared" si="205"/>
        <v>#REF!</v>
      </c>
      <c r="OHJ247" s="29" t="e">
        <f t="shared" si="205"/>
        <v>#REF!</v>
      </c>
      <c r="OHK247" s="29" t="e">
        <f t="shared" si="205"/>
        <v>#REF!</v>
      </c>
      <c r="OHL247" s="29" t="e">
        <f t="shared" si="205"/>
        <v>#REF!</v>
      </c>
      <c r="OHM247" s="29" t="e">
        <f t="shared" si="205"/>
        <v>#REF!</v>
      </c>
      <c r="OHN247" s="29" t="e">
        <f t="shared" si="205"/>
        <v>#REF!</v>
      </c>
      <c r="OHO247" s="29" t="e">
        <f t="shared" si="205"/>
        <v>#REF!</v>
      </c>
      <c r="OHP247" s="29" t="e">
        <f t="shared" si="205"/>
        <v>#REF!</v>
      </c>
      <c r="OHQ247" s="29" t="e">
        <f t="shared" si="205"/>
        <v>#REF!</v>
      </c>
      <c r="OHR247" s="29" t="e">
        <f t="shared" si="205"/>
        <v>#REF!</v>
      </c>
      <c r="OHS247" s="29" t="e">
        <f t="shared" si="205"/>
        <v>#REF!</v>
      </c>
      <c r="OHT247" s="29" t="e">
        <f t="shared" si="205"/>
        <v>#REF!</v>
      </c>
      <c r="OHU247" s="29" t="e">
        <f t="shared" si="205"/>
        <v>#REF!</v>
      </c>
      <c r="OHV247" s="29" t="e">
        <f t="shared" si="205"/>
        <v>#REF!</v>
      </c>
      <c r="OHW247" s="29" t="e">
        <f t="shared" si="205"/>
        <v>#REF!</v>
      </c>
      <c r="OHX247" s="29" t="e">
        <f t="shared" si="205"/>
        <v>#REF!</v>
      </c>
      <c r="OHY247" s="29" t="e">
        <f t="shared" si="205"/>
        <v>#REF!</v>
      </c>
      <c r="OHZ247" s="29" t="e">
        <f t="shared" si="205"/>
        <v>#REF!</v>
      </c>
      <c r="OIA247" s="29" t="e">
        <f t="shared" si="205"/>
        <v>#REF!</v>
      </c>
      <c r="OIB247" s="29" t="e">
        <f t="shared" si="205"/>
        <v>#REF!</v>
      </c>
      <c r="OIC247" s="29" t="e">
        <f t="shared" si="205"/>
        <v>#REF!</v>
      </c>
      <c r="OID247" s="29" t="e">
        <f t="shared" si="205"/>
        <v>#REF!</v>
      </c>
      <c r="OIE247" s="29" t="e">
        <f t="shared" si="205"/>
        <v>#REF!</v>
      </c>
      <c r="OIF247" s="29" t="e">
        <f t="shared" si="205"/>
        <v>#REF!</v>
      </c>
      <c r="OIG247" s="29" t="e">
        <f t="shared" si="205"/>
        <v>#REF!</v>
      </c>
      <c r="OIH247" s="29" t="e">
        <f t="shared" si="205"/>
        <v>#REF!</v>
      </c>
      <c r="OII247" s="29" t="e">
        <f t="shared" si="205"/>
        <v>#REF!</v>
      </c>
      <c r="OIJ247" s="29" t="e">
        <f t="shared" si="205"/>
        <v>#REF!</v>
      </c>
      <c r="OIK247" s="29" t="e">
        <f t="shared" ref="OIK247:OKV247" si="206">OIO247&amp;OIP247</f>
        <v>#REF!</v>
      </c>
      <c r="OIL247" s="29" t="e">
        <f t="shared" si="206"/>
        <v>#REF!</v>
      </c>
      <c r="OIM247" s="29" t="e">
        <f t="shared" si="206"/>
        <v>#REF!</v>
      </c>
      <c r="OIN247" s="29" t="e">
        <f t="shared" si="206"/>
        <v>#REF!</v>
      </c>
      <c r="OIO247" s="29" t="e">
        <f t="shared" si="206"/>
        <v>#REF!</v>
      </c>
      <c r="OIP247" s="29" t="e">
        <f t="shared" si="206"/>
        <v>#REF!</v>
      </c>
      <c r="OIQ247" s="29" t="e">
        <f t="shared" si="206"/>
        <v>#REF!</v>
      </c>
      <c r="OIR247" s="29" t="e">
        <f t="shared" si="206"/>
        <v>#REF!</v>
      </c>
      <c r="OIS247" s="29" t="e">
        <f t="shared" si="206"/>
        <v>#REF!</v>
      </c>
      <c r="OIT247" s="29" t="e">
        <f t="shared" si="206"/>
        <v>#REF!</v>
      </c>
      <c r="OIU247" s="29" t="e">
        <f t="shared" si="206"/>
        <v>#REF!</v>
      </c>
      <c r="OIV247" s="29" t="e">
        <f t="shared" si="206"/>
        <v>#REF!</v>
      </c>
      <c r="OIW247" s="29" t="e">
        <f t="shared" si="206"/>
        <v>#REF!</v>
      </c>
      <c r="OIX247" s="29" t="e">
        <f t="shared" si="206"/>
        <v>#REF!</v>
      </c>
      <c r="OIY247" s="29" t="e">
        <f t="shared" si="206"/>
        <v>#REF!</v>
      </c>
      <c r="OIZ247" s="29" t="e">
        <f t="shared" si="206"/>
        <v>#REF!</v>
      </c>
      <c r="OJA247" s="29" t="e">
        <f t="shared" si="206"/>
        <v>#REF!</v>
      </c>
      <c r="OJB247" s="29" t="e">
        <f t="shared" si="206"/>
        <v>#REF!</v>
      </c>
      <c r="OJC247" s="29" t="e">
        <f t="shared" si="206"/>
        <v>#REF!</v>
      </c>
      <c r="OJD247" s="29" t="e">
        <f t="shared" si="206"/>
        <v>#REF!</v>
      </c>
      <c r="OJE247" s="29" t="e">
        <f t="shared" si="206"/>
        <v>#REF!</v>
      </c>
      <c r="OJF247" s="29" t="e">
        <f t="shared" si="206"/>
        <v>#REF!</v>
      </c>
      <c r="OJG247" s="29" t="e">
        <f t="shared" si="206"/>
        <v>#REF!</v>
      </c>
      <c r="OJH247" s="29" t="e">
        <f t="shared" si="206"/>
        <v>#REF!</v>
      </c>
      <c r="OJI247" s="29" t="e">
        <f t="shared" si="206"/>
        <v>#REF!</v>
      </c>
      <c r="OJJ247" s="29" t="e">
        <f t="shared" si="206"/>
        <v>#REF!</v>
      </c>
      <c r="OJK247" s="29" t="e">
        <f t="shared" si="206"/>
        <v>#REF!</v>
      </c>
      <c r="OJL247" s="29" t="e">
        <f t="shared" si="206"/>
        <v>#REF!</v>
      </c>
      <c r="OJM247" s="29" t="e">
        <f t="shared" si="206"/>
        <v>#REF!</v>
      </c>
      <c r="OJN247" s="29" t="e">
        <f t="shared" si="206"/>
        <v>#REF!</v>
      </c>
      <c r="OJO247" s="29" t="e">
        <f t="shared" si="206"/>
        <v>#REF!</v>
      </c>
      <c r="OJP247" s="29" t="e">
        <f t="shared" si="206"/>
        <v>#REF!</v>
      </c>
      <c r="OJQ247" s="29" t="e">
        <f t="shared" si="206"/>
        <v>#REF!</v>
      </c>
      <c r="OJR247" s="29" t="e">
        <f t="shared" si="206"/>
        <v>#REF!</v>
      </c>
      <c r="OJS247" s="29" t="e">
        <f t="shared" si="206"/>
        <v>#REF!</v>
      </c>
      <c r="OJT247" s="29" t="e">
        <f t="shared" si="206"/>
        <v>#REF!</v>
      </c>
      <c r="OJU247" s="29" t="e">
        <f t="shared" si="206"/>
        <v>#REF!</v>
      </c>
      <c r="OJV247" s="29" t="e">
        <f t="shared" si="206"/>
        <v>#REF!</v>
      </c>
      <c r="OJW247" s="29" t="e">
        <f t="shared" si="206"/>
        <v>#REF!</v>
      </c>
      <c r="OJX247" s="29" t="e">
        <f t="shared" si="206"/>
        <v>#REF!</v>
      </c>
      <c r="OJY247" s="29" t="e">
        <f t="shared" si="206"/>
        <v>#REF!</v>
      </c>
      <c r="OJZ247" s="29" t="e">
        <f t="shared" si="206"/>
        <v>#REF!</v>
      </c>
      <c r="OKA247" s="29" t="e">
        <f t="shared" si="206"/>
        <v>#REF!</v>
      </c>
      <c r="OKB247" s="29" t="e">
        <f t="shared" si="206"/>
        <v>#REF!</v>
      </c>
      <c r="OKC247" s="29" t="e">
        <f t="shared" si="206"/>
        <v>#REF!</v>
      </c>
      <c r="OKD247" s="29" t="e">
        <f t="shared" si="206"/>
        <v>#REF!</v>
      </c>
      <c r="OKE247" s="29" t="e">
        <f t="shared" si="206"/>
        <v>#REF!</v>
      </c>
      <c r="OKF247" s="29" t="e">
        <f t="shared" si="206"/>
        <v>#REF!</v>
      </c>
      <c r="OKG247" s="29" t="e">
        <f t="shared" si="206"/>
        <v>#REF!</v>
      </c>
      <c r="OKH247" s="29" t="e">
        <f t="shared" si="206"/>
        <v>#REF!</v>
      </c>
      <c r="OKI247" s="29" t="e">
        <f t="shared" si="206"/>
        <v>#REF!</v>
      </c>
      <c r="OKJ247" s="29" t="e">
        <f t="shared" si="206"/>
        <v>#REF!</v>
      </c>
      <c r="OKK247" s="29" t="e">
        <f t="shared" si="206"/>
        <v>#REF!</v>
      </c>
      <c r="OKL247" s="29" t="e">
        <f t="shared" si="206"/>
        <v>#REF!</v>
      </c>
      <c r="OKM247" s="29" t="e">
        <f t="shared" si="206"/>
        <v>#REF!</v>
      </c>
      <c r="OKN247" s="29" t="e">
        <f t="shared" si="206"/>
        <v>#REF!</v>
      </c>
      <c r="OKO247" s="29" t="e">
        <f t="shared" si="206"/>
        <v>#REF!</v>
      </c>
      <c r="OKP247" s="29" t="e">
        <f t="shared" si="206"/>
        <v>#REF!</v>
      </c>
      <c r="OKQ247" s="29" t="e">
        <f t="shared" si="206"/>
        <v>#REF!</v>
      </c>
      <c r="OKR247" s="29" t="e">
        <f t="shared" si="206"/>
        <v>#REF!</v>
      </c>
      <c r="OKS247" s="29" t="e">
        <f t="shared" si="206"/>
        <v>#REF!</v>
      </c>
      <c r="OKT247" s="29" t="e">
        <f t="shared" si="206"/>
        <v>#REF!</v>
      </c>
      <c r="OKU247" s="29" t="e">
        <f t="shared" si="206"/>
        <v>#REF!</v>
      </c>
      <c r="OKV247" s="29" t="e">
        <f t="shared" si="206"/>
        <v>#REF!</v>
      </c>
      <c r="OKW247" s="29" t="e">
        <f t="shared" ref="OKW247:ONH247" si="207">OLA247&amp;OLB247</f>
        <v>#REF!</v>
      </c>
      <c r="OKX247" s="29" t="e">
        <f t="shared" si="207"/>
        <v>#REF!</v>
      </c>
      <c r="OKY247" s="29" t="e">
        <f t="shared" si="207"/>
        <v>#REF!</v>
      </c>
      <c r="OKZ247" s="29" t="e">
        <f t="shared" si="207"/>
        <v>#REF!</v>
      </c>
      <c r="OLA247" s="29" t="e">
        <f t="shared" si="207"/>
        <v>#REF!</v>
      </c>
      <c r="OLB247" s="29" t="e">
        <f t="shared" si="207"/>
        <v>#REF!</v>
      </c>
      <c r="OLC247" s="29" t="e">
        <f t="shared" si="207"/>
        <v>#REF!</v>
      </c>
      <c r="OLD247" s="29" t="e">
        <f t="shared" si="207"/>
        <v>#REF!</v>
      </c>
      <c r="OLE247" s="29" t="e">
        <f t="shared" si="207"/>
        <v>#REF!</v>
      </c>
      <c r="OLF247" s="29" t="e">
        <f t="shared" si="207"/>
        <v>#REF!</v>
      </c>
      <c r="OLG247" s="29" t="e">
        <f t="shared" si="207"/>
        <v>#REF!</v>
      </c>
      <c r="OLH247" s="29" t="e">
        <f t="shared" si="207"/>
        <v>#REF!</v>
      </c>
      <c r="OLI247" s="29" t="e">
        <f t="shared" si="207"/>
        <v>#REF!</v>
      </c>
      <c r="OLJ247" s="29" t="e">
        <f t="shared" si="207"/>
        <v>#REF!</v>
      </c>
      <c r="OLK247" s="29" t="e">
        <f t="shared" si="207"/>
        <v>#REF!</v>
      </c>
      <c r="OLL247" s="29" t="e">
        <f t="shared" si="207"/>
        <v>#REF!</v>
      </c>
      <c r="OLM247" s="29" t="e">
        <f t="shared" si="207"/>
        <v>#REF!</v>
      </c>
      <c r="OLN247" s="29" t="e">
        <f t="shared" si="207"/>
        <v>#REF!</v>
      </c>
      <c r="OLO247" s="29" t="e">
        <f t="shared" si="207"/>
        <v>#REF!</v>
      </c>
      <c r="OLP247" s="29" t="e">
        <f t="shared" si="207"/>
        <v>#REF!</v>
      </c>
      <c r="OLQ247" s="29" t="e">
        <f t="shared" si="207"/>
        <v>#REF!</v>
      </c>
      <c r="OLR247" s="29" t="e">
        <f t="shared" si="207"/>
        <v>#REF!</v>
      </c>
      <c r="OLS247" s="29" t="e">
        <f t="shared" si="207"/>
        <v>#REF!</v>
      </c>
      <c r="OLT247" s="29" t="e">
        <f t="shared" si="207"/>
        <v>#REF!</v>
      </c>
      <c r="OLU247" s="29" t="e">
        <f t="shared" si="207"/>
        <v>#REF!</v>
      </c>
      <c r="OLV247" s="29" t="e">
        <f t="shared" si="207"/>
        <v>#REF!</v>
      </c>
      <c r="OLW247" s="29" t="e">
        <f t="shared" si="207"/>
        <v>#REF!</v>
      </c>
      <c r="OLX247" s="29" t="e">
        <f t="shared" si="207"/>
        <v>#REF!</v>
      </c>
      <c r="OLY247" s="29" t="e">
        <f t="shared" si="207"/>
        <v>#REF!</v>
      </c>
      <c r="OLZ247" s="29" t="e">
        <f t="shared" si="207"/>
        <v>#REF!</v>
      </c>
      <c r="OMA247" s="29" t="e">
        <f t="shared" si="207"/>
        <v>#REF!</v>
      </c>
      <c r="OMB247" s="29" t="e">
        <f t="shared" si="207"/>
        <v>#REF!</v>
      </c>
      <c r="OMC247" s="29" t="e">
        <f t="shared" si="207"/>
        <v>#REF!</v>
      </c>
      <c r="OMD247" s="29" t="e">
        <f t="shared" si="207"/>
        <v>#REF!</v>
      </c>
      <c r="OME247" s="29" t="e">
        <f t="shared" si="207"/>
        <v>#REF!</v>
      </c>
      <c r="OMF247" s="29" t="e">
        <f t="shared" si="207"/>
        <v>#REF!</v>
      </c>
      <c r="OMG247" s="29" t="e">
        <f t="shared" si="207"/>
        <v>#REF!</v>
      </c>
      <c r="OMH247" s="29" t="e">
        <f t="shared" si="207"/>
        <v>#REF!</v>
      </c>
      <c r="OMI247" s="29" t="e">
        <f t="shared" si="207"/>
        <v>#REF!</v>
      </c>
      <c r="OMJ247" s="29" t="e">
        <f t="shared" si="207"/>
        <v>#REF!</v>
      </c>
      <c r="OMK247" s="29" t="e">
        <f t="shared" si="207"/>
        <v>#REF!</v>
      </c>
      <c r="OML247" s="29" t="e">
        <f t="shared" si="207"/>
        <v>#REF!</v>
      </c>
      <c r="OMM247" s="29" t="e">
        <f t="shared" si="207"/>
        <v>#REF!</v>
      </c>
      <c r="OMN247" s="29" t="e">
        <f t="shared" si="207"/>
        <v>#REF!</v>
      </c>
      <c r="OMO247" s="29" t="e">
        <f t="shared" si="207"/>
        <v>#REF!</v>
      </c>
      <c r="OMP247" s="29" t="e">
        <f t="shared" si="207"/>
        <v>#REF!</v>
      </c>
      <c r="OMQ247" s="29" t="e">
        <f t="shared" si="207"/>
        <v>#REF!</v>
      </c>
      <c r="OMR247" s="29" t="e">
        <f t="shared" si="207"/>
        <v>#REF!</v>
      </c>
      <c r="OMS247" s="29" t="e">
        <f t="shared" si="207"/>
        <v>#REF!</v>
      </c>
      <c r="OMT247" s="29" t="e">
        <f t="shared" si="207"/>
        <v>#REF!</v>
      </c>
      <c r="OMU247" s="29" t="e">
        <f t="shared" si="207"/>
        <v>#REF!</v>
      </c>
      <c r="OMV247" s="29" t="e">
        <f t="shared" si="207"/>
        <v>#REF!</v>
      </c>
      <c r="OMW247" s="29" t="e">
        <f t="shared" si="207"/>
        <v>#REF!</v>
      </c>
      <c r="OMX247" s="29" t="e">
        <f t="shared" si="207"/>
        <v>#REF!</v>
      </c>
      <c r="OMY247" s="29" t="e">
        <f t="shared" si="207"/>
        <v>#REF!</v>
      </c>
      <c r="OMZ247" s="29" t="e">
        <f t="shared" si="207"/>
        <v>#REF!</v>
      </c>
      <c r="ONA247" s="29" t="e">
        <f t="shared" si="207"/>
        <v>#REF!</v>
      </c>
      <c r="ONB247" s="29" t="e">
        <f t="shared" si="207"/>
        <v>#REF!</v>
      </c>
      <c r="ONC247" s="29" t="e">
        <f t="shared" si="207"/>
        <v>#REF!</v>
      </c>
      <c r="OND247" s="29" t="e">
        <f t="shared" si="207"/>
        <v>#REF!</v>
      </c>
      <c r="ONE247" s="29" t="e">
        <f t="shared" si="207"/>
        <v>#REF!</v>
      </c>
      <c r="ONF247" s="29" t="e">
        <f t="shared" si="207"/>
        <v>#REF!</v>
      </c>
      <c r="ONG247" s="29" t="e">
        <f t="shared" si="207"/>
        <v>#REF!</v>
      </c>
      <c r="ONH247" s="29" t="e">
        <f t="shared" si="207"/>
        <v>#REF!</v>
      </c>
      <c r="ONI247" s="29" t="e">
        <f t="shared" ref="ONI247:OPT247" si="208">ONM247&amp;ONN247</f>
        <v>#REF!</v>
      </c>
      <c r="ONJ247" s="29" t="e">
        <f t="shared" si="208"/>
        <v>#REF!</v>
      </c>
      <c r="ONK247" s="29" t="e">
        <f t="shared" si="208"/>
        <v>#REF!</v>
      </c>
      <c r="ONL247" s="29" t="e">
        <f t="shared" si="208"/>
        <v>#REF!</v>
      </c>
      <c r="ONM247" s="29" t="e">
        <f t="shared" si="208"/>
        <v>#REF!</v>
      </c>
      <c r="ONN247" s="29" t="e">
        <f t="shared" si="208"/>
        <v>#REF!</v>
      </c>
      <c r="ONO247" s="29" t="e">
        <f t="shared" si="208"/>
        <v>#REF!</v>
      </c>
      <c r="ONP247" s="29" t="e">
        <f t="shared" si="208"/>
        <v>#REF!</v>
      </c>
      <c r="ONQ247" s="29" t="e">
        <f t="shared" si="208"/>
        <v>#REF!</v>
      </c>
      <c r="ONR247" s="29" t="e">
        <f t="shared" si="208"/>
        <v>#REF!</v>
      </c>
      <c r="ONS247" s="29" t="e">
        <f t="shared" si="208"/>
        <v>#REF!</v>
      </c>
      <c r="ONT247" s="29" t="e">
        <f t="shared" si="208"/>
        <v>#REF!</v>
      </c>
      <c r="ONU247" s="29" t="e">
        <f t="shared" si="208"/>
        <v>#REF!</v>
      </c>
      <c r="ONV247" s="29" t="e">
        <f t="shared" si="208"/>
        <v>#REF!</v>
      </c>
      <c r="ONW247" s="29" t="e">
        <f t="shared" si="208"/>
        <v>#REF!</v>
      </c>
      <c r="ONX247" s="29" t="e">
        <f t="shared" si="208"/>
        <v>#REF!</v>
      </c>
      <c r="ONY247" s="29" t="e">
        <f t="shared" si="208"/>
        <v>#REF!</v>
      </c>
      <c r="ONZ247" s="29" t="e">
        <f t="shared" si="208"/>
        <v>#REF!</v>
      </c>
      <c r="OOA247" s="29" t="e">
        <f t="shared" si="208"/>
        <v>#REF!</v>
      </c>
      <c r="OOB247" s="29" t="e">
        <f t="shared" si="208"/>
        <v>#REF!</v>
      </c>
      <c r="OOC247" s="29" t="e">
        <f t="shared" si="208"/>
        <v>#REF!</v>
      </c>
      <c r="OOD247" s="29" t="e">
        <f t="shared" si="208"/>
        <v>#REF!</v>
      </c>
      <c r="OOE247" s="29" t="e">
        <f t="shared" si="208"/>
        <v>#REF!</v>
      </c>
      <c r="OOF247" s="29" t="e">
        <f t="shared" si="208"/>
        <v>#REF!</v>
      </c>
      <c r="OOG247" s="29" t="e">
        <f t="shared" si="208"/>
        <v>#REF!</v>
      </c>
      <c r="OOH247" s="29" t="e">
        <f t="shared" si="208"/>
        <v>#REF!</v>
      </c>
      <c r="OOI247" s="29" t="e">
        <f t="shared" si="208"/>
        <v>#REF!</v>
      </c>
      <c r="OOJ247" s="29" t="e">
        <f t="shared" si="208"/>
        <v>#REF!</v>
      </c>
      <c r="OOK247" s="29" t="e">
        <f t="shared" si="208"/>
        <v>#REF!</v>
      </c>
      <c r="OOL247" s="29" t="e">
        <f t="shared" si="208"/>
        <v>#REF!</v>
      </c>
      <c r="OOM247" s="29" t="e">
        <f t="shared" si="208"/>
        <v>#REF!</v>
      </c>
      <c r="OON247" s="29" t="e">
        <f t="shared" si="208"/>
        <v>#REF!</v>
      </c>
      <c r="OOO247" s="29" t="e">
        <f t="shared" si="208"/>
        <v>#REF!</v>
      </c>
      <c r="OOP247" s="29" t="e">
        <f t="shared" si="208"/>
        <v>#REF!</v>
      </c>
      <c r="OOQ247" s="29" t="e">
        <f t="shared" si="208"/>
        <v>#REF!</v>
      </c>
      <c r="OOR247" s="29" t="e">
        <f t="shared" si="208"/>
        <v>#REF!</v>
      </c>
      <c r="OOS247" s="29" t="e">
        <f t="shared" si="208"/>
        <v>#REF!</v>
      </c>
      <c r="OOT247" s="29" t="e">
        <f t="shared" si="208"/>
        <v>#REF!</v>
      </c>
      <c r="OOU247" s="29" t="e">
        <f t="shared" si="208"/>
        <v>#REF!</v>
      </c>
      <c r="OOV247" s="29" t="e">
        <f t="shared" si="208"/>
        <v>#REF!</v>
      </c>
      <c r="OOW247" s="29" t="e">
        <f t="shared" si="208"/>
        <v>#REF!</v>
      </c>
      <c r="OOX247" s="29" t="e">
        <f t="shared" si="208"/>
        <v>#REF!</v>
      </c>
      <c r="OOY247" s="29" t="e">
        <f t="shared" si="208"/>
        <v>#REF!</v>
      </c>
      <c r="OOZ247" s="29" t="e">
        <f t="shared" si="208"/>
        <v>#REF!</v>
      </c>
      <c r="OPA247" s="29" t="e">
        <f t="shared" si="208"/>
        <v>#REF!</v>
      </c>
      <c r="OPB247" s="29" t="e">
        <f t="shared" si="208"/>
        <v>#REF!</v>
      </c>
      <c r="OPC247" s="29" t="e">
        <f t="shared" si="208"/>
        <v>#REF!</v>
      </c>
      <c r="OPD247" s="29" t="e">
        <f t="shared" si="208"/>
        <v>#REF!</v>
      </c>
      <c r="OPE247" s="29" t="e">
        <f t="shared" si="208"/>
        <v>#REF!</v>
      </c>
      <c r="OPF247" s="29" t="e">
        <f t="shared" si="208"/>
        <v>#REF!</v>
      </c>
      <c r="OPG247" s="29" t="e">
        <f t="shared" si="208"/>
        <v>#REF!</v>
      </c>
      <c r="OPH247" s="29" t="e">
        <f t="shared" si="208"/>
        <v>#REF!</v>
      </c>
      <c r="OPI247" s="29" t="e">
        <f t="shared" si="208"/>
        <v>#REF!</v>
      </c>
      <c r="OPJ247" s="29" t="e">
        <f t="shared" si="208"/>
        <v>#REF!</v>
      </c>
      <c r="OPK247" s="29" t="e">
        <f t="shared" si="208"/>
        <v>#REF!</v>
      </c>
      <c r="OPL247" s="29" t="e">
        <f t="shared" si="208"/>
        <v>#REF!</v>
      </c>
      <c r="OPM247" s="29" t="e">
        <f t="shared" si="208"/>
        <v>#REF!</v>
      </c>
      <c r="OPN247" s="29" t="e">
        <f t="shared" si="208"/>
        <v>#REF!</v>
      </c>
      <c r="OPO247" s="29" t="e">
        <f t="shared" si="208"/>
        <v>#REF!</v>
      </c>
      <c r="OPP247" s="29" t="e">
        <f t="shared" si="208"/>
        <v>#REF!</v>
      </c>
      <c r="OPQ247" s="29" t="e">
        <f t="shared" si="208"/>
        <v>#REF!</v>
      </c>
      <c r="OPR247" s="29" t="e">
        <f t="shared" si="208"/>
        <v>#REF!</v>
      </c>
      <c r="OPS247" s="29" t="e">
        <f t="shared" si="208"/>
        <v>#REF!</v>
      </c>
      <c r="OPT247" s="29" t="e">
        <f t="shared" si="208"/>
        <v>#REF!</v>
      </c>
      <c r="OPU247" s="29" t="e">
        <f t="shared" ref="OPU247:OSF247" si="209">OPY247&amp;OPZ247</f>
        <v>#REF!</v>
      </c>
      <c r="OPV247" s="29" t="e">
        <f t="shared" si="209"/>
        <v>#REF!</v>
      </c>
      <c r="OPW247" s="29" t="e">
        <f t="shared" si="209"/>
        <v>#REF!</v>
      </c>
      <c r="OPX247" s="29" t="e">
        <f t="shared" si="209"/>
        <v>#REF!</v>
      </c>
      <c r="OPY247" s="29" t="e">
        <f t="shared" si="209"/>
        <v>#REF!</v>
      </c>
      <c r="OPZ247" s="29" t="e">
        <f t="shared" si="209"/>
        <v>#REF!</v>
      </c>
      <c r="OQA247" s="29" t="e">
        <f t="shared" si="209"/>
        <v>#REF!</v>
      </c>
      <c r="OQB247" s="29" t="e">
        <f t="shared" si="209"/>
        <v>#REF!</v>
      </c>
      <c r="OQC247" s="29" t="e">
        <f t="shared" si="209"/>
        <v>#REF!</v>
      </c>
      <c r="OQD247" s="29" t="e">
        <f t="shared" si="209"/>
        <v>#REF!</v>
      </c>
      <c r="OQE247" s="29" t="e">
        <f t="shared" si="209"/>
        <v>#REF!</v>
      </c>
      <c r="OQF247" s="29" t="e">
        <f t="shared" si="209"/>
        <v>#REF!</v>
      </c>
      <c r="OQG247" s="29" t="e">
        <f t="shared" si="209"/>
        <v>#REF!</v>
      </c>
      <c r="OQH247" s="29" t="e">
        <f t="shared" si="209"/>
        <v>#REF!</v>
      </c>
      <c r="OQI247" s="29" t="e">
        <f t="shared" si="209"/>
        <v>#REF!</v>
      </c>
      <c r="OQJ247" s="29" t="e">
        <f t="shared" si="209"/>
        <v>#REF!</v>
      </c>
      <c r="OQK247" s="29" t="e">
        <f t="shared" si="209"/>
        <v>#REF!</v>
      </c>
      <c r="OQL247" s="29" t="e">
        <f t="shared" si="209"/>
        <v>#REF!</v>
      </c>
      <c r="OQM247" s="29" t="e">
        <f t="shared" si="209"/>
        <v>#REF!</v>
      </c>
      <c r="OQN247" s="29" t="e">
        <f t="shared" si="209"/>
        <v>#REF!</v>
      </c>
      <c r="OQO247" s="29" t="e">
        <f t="shared" si="209"/>
        <v>#REF!</v>
      </c>
      <c r="OQP247" s="29" t="e">
        <f t="shared" si="209"/>
        <v>#REF!</v>
      </c>
      <c r="OQQ247" s="29" t="e">
        <f t="shared" si="209"/>
        <v>#REF!</v>
      </c>
      <c r="OQR247" s="29" t="e">
        <f t="shared" si="209"/>
        <v>#REF!</v>
      </c>
      <c r="OQS247" s="29" t="e">
        <f t="shared" si="209"/>
        <v>#REF!</v>
      </c>
      <c r="OQT247" s="29" t="e">
        <f t="shared" si="209"/>
        <v>#REF!</v>
      </c>
      <c r="OQU247" s="29" t="e">
        <f t="shared" si="209"/>
        <v>#REF!</v>
      </c>
      <c r="OQV247" s="29" t="e">
        <f t="shared" si="209"/>
        <v>#REF!</v>
      </c>
      <c r="OQW247" s="29" t="e">
        <f t="shared" si="209"/>
        <v>#REF!</v>
      </c>
      <c r="OQX247" s="29" t="e">
        <f t="shared" si="209"/>
        <v>#REF!</v>
      </c>
      <c r="OQY247" s="29" t="e">
        <f t="shared" si="209"/>
        <v>#REF!</v>
      </c>
      <c r="OQZ247" s="29" t="e">
        <f t="shared" si="209"/>
        <v>#REF!</v>
      </c>
      <c r="ORA247" s="29" t="e">
        <f t="shared" si="209"/>
        <v>#REF!</v>
      </c>
      <c r="ORB247" s="29" t="e">
        <f t="shared" si="209"/>
        <v>#REF!</v>
      </c>
      <c r="ORC247" s="29" t="e">
        <f t="shared" si="209"/>
        <v>#REF!</v>
      </c>
      <c r="ORD247" s="29" t="e">
        <f t="shared" si="209"/>
        <v>#REF!</v>
      </c>
      <c r="ORE247" s="29" t="e">
        <f t="shared" si="209"/>
        <v>#REF!</v>
      </c>
      <c r="ORF247" s="29" t="e">
        <f t="shared" si="209"/>
        <v>#REF!</v>
      </c>
      <c r="ORG247" s="29" t="e">
        <f t="shared" si="209"/>
        <v>#REF!</v>
      </c>
      <c r="ORH247" s="29" t="e">
        <f t="shared" si="209"/>
        <v>#REF!</v>
      </c>
      <c r="ORI247" s="29" t="e">
        <f t="shared" si="209"/>
        <v>#REF!</v>
      </c>
      <c r="ORJ247" s="29" t="e">
        <f t="shared" si="209"/>
        <v>#REF!</v>
      </c>
      <c r="ORK247" s="29" t="e">
        <f t="shared" si="209"/>
        <v>#REF!</v>
      </c>
      <c r="ORL247" s="29" t="e">
        <f t="shared" si="209"/>
        <v>#REF!</v>
      </c>
      <c r="ORM247" s="29" t="e">
        <f t="shared" si="209"/>
        <v>#REF!</v>
      </c>
      <c r="ORN247" s="29" t="e">
        <f t="shared" si="209"/>
        <v>#REF!</v>
      </c>
      <c r="ORO247" s="29" t="e">
        <f t="shared" si="209"/>
        <v>#REF!</v>
      </c>
      <c r="ORP247" s="29" t="e">
        <f t="shared" si="209"/>
        <v>#REF!</v>
      </c>
      <c r="ORQ247" s="29" t="e">
        <f t="shared" si="209"/>
        <v>#REF!</v>
      </c>
      <c r="ORR247" s="29" t="e">
        <f t="shared" si="209"/>
        <v>#REF!</v>
      </c>
      <c r="ORS247" s="29" t="e">
        <f t="shared" si="209"/>
        <v>#REF!</v>
      </c>
      <c r="ORT247" s="29" t="e">
        <f t="shared" si="209"/>
        <v>#REF!</v>
      </c>
      <c r="ORU247" s="29" t="e">
        <f t="shared" si="209"/>
        <v>#REF!</v>
      </c>
      <c r="ORV247" s="29" t="e">
        <f t="shared" si="209"/>
        <v>#REF!</v>
      </c>
      <c r="ORW247" s="29" t="e">
        <f t="shared" si="209"/>
        <v>#REF!</v>
      </c>
      <c r="ORX247" s="29" t="e">
        <f t="shared" si="209"/>
        <v>#REF!</v>
      </c>
      <c r="ORY247" s="29" t="e">
        <f t="shared" si="209"/>
        <v>#REF!</v>
      </c>
      <c r="ORZ247" s="29" t="e">
        <f t="shared" si="209"/>
        <v>#REF!</v>
      </c>
      <c r="OSA247" s="29" t="e">
        <f t="shared" si="209"/>
        <v>#REF!</v>
      </c>
      <c r="OSB247" s="29" t="e">
        <f t="shared" si="209"/>
        <v>#REF!</v>
      </c>
      <c r="OSC247" s="29" t="e">
        <f t="shared" si="209"/>
        <v>#REF!</v>
      </c>
      <c r="OSD247" s="29" t="e">
        <f t="shared" si="209"/>
        <v>#REF!</v>
      </c>
      <c r="OSE247" s="29" t="e">
        <f t="shared" si="209"/>
        <v>#REF!</v>
      </c>
      <c r="OSF247" s="29" t="e">
        <f t="shared" si="209"/>
        <v>#REF!</v>
      </c>
      <c r="OSG247" s="29" t="e">
        <f t="shared" ref="OSG247:OUR247" si="210">OSK247&amp;OSL247</f>
        <v>#REF!</v>
      </c>
      <c r="OSH247" s="29" t="e">
        <f t="shared" si="210"/>
        <v>#REF!</v>
      </c>
      <c r="OSI247" s="29" t="e">
        <f t="shared" si="210"/>
        <v>#REF!</v>
      </c>
      <c r="OSJ247" s="29" t="e">
        <f t="shared" si="210"/>
        <v>#REF!</v>
      </c>
      <c r="OSK247" s="29" t="e">
        <f t="shared" si="210"/>
        <v>#REF!</v>
      </c>
      <c r="OSL247" s="29" t="e">
        <f t="shared" si="210"/>
        <v>#REF!</v>
      </c>
      <c r="OSM247" s="29" t="e">
        <f t="shared" si="210"/>
        <v>#REF!</v>
      </c>
      <c r="OSN247" s="29" t="e">
        <f t="shared" si="210"/>
        <v>#REF!</v>
      </c>
      <c r="OSO247" s="29" t="e">
        <f t="shared" si="210"/>
        <v>#REF!</v>
      </c>
      <c r="OSP247" s="29" t="e">
        <f t="shared" si="210"/>
        <v>#REF!</v>
      </c>
      <c r="OSQ247" s="29" t="e">
        <f t="shared" si="210"/>
        <v>#REF!</v>
      </c>
      <c r="OSR247" s="29" t="e">
        <f t="shared" si="210"/>
        <v>#REF!</v>
      </c>
      <c r="OSS247" s="29" t="e">
        <f t="shared" si="210"/>
        <v>#REF!</v>
      </c>
      <c r="OST247" s="29" t="e">
        <f t="shared" si="210"/>
        <v>#REF!</v>
      </c>
      <c r="OSU247" s="29" t="e">
        <f t="shared" si="210"/>
        <v>#REF!</v>
      </c>
      <c r="OSV247" s="29" t="e">
        <f t="shared" si="210"/>
        <v>#REF!</v>
      </c>
      <c r="OSW247" s="29" t="e">
        <f t="shared" si="210"/>
        <v>#REF!</v>
      </c>
      <c r="OSX247" s="29" t="e">
        <f t="shared" si="210"/>
        <v>#REF!</v>
      </c>
      <c r="OSY247" s="29" t="e">
        <f t="shared" si="210"/>
        <v>#REF!</v>
      </c>
      <c r="OSZ247" s="29" t="e">
        <f t="shared" si="210"/>
        <v>#REF!</v>
      </c>
      <c r="OTA247" s="29" t="e">
        <f t="shared" si="210"/>
        <v>#REF!</v>
      </c>
      <c r="OTB247" s="29" t="e">
        <f t="shared" si="210"/>
        <v>#REF!</v>
      </c>
      <c r="OTC247" s="29" t="e">
        <f t="shared" si="210"/>
        <v>#REF!</v>
      </c>
      <c r="OTD247" s="29" t="e">
        <f t="shared" si="210"/>
        <v>#REF!</v>
      </c>
      <c r="OTE247" s="29" t="e">
        <f t="shared" si="210"/>
        <v>#REF!</v>
      </c>
      <c r="OTF247" s="29" t="e">
        <f t="shared" si="210"/>
        <v>#REF!</v>
      </c>
      <c r="OTG247" s="29" t="e">
        <f t="shared" si="210"/>
        <v>#REF!</v>
      </c>
      <c r="OTH247" s="29" t="e">
        <f t="shared" si="210"/>
        <v>#REF!</v>
      </c>
      <c r="OTI247" s="29" t="e">
        <f t="shared" si="210"/>
        <v>#REF!</v>
      </c>
      <c r="OTJ247" s="29" t="e">
        <f t="shared" si="210"/>
        <v>#REF!</v>
      </c>
      <c r="OTK247" s="29" t="e">
        <f t="shared" si="210"/>
        <v>#REF!</v>
      </c>
      <c r="OTL247" s="29" t="e">
        <f t="shared" si="210"/>
        <v>#REF!</v>
      </c>
      <c r="OTM247" s="29" t="e">
        <f t="shared" si="210"/>
        <v>#REF!</v>
      </c>
      <c r="OTN247" s="29" t="e">
        <f t="shared" si="210"/>
        <v>#REF!</v>
      </c>
      <c r="OTO247" s="29" t="e">
        <f t="shared" si="210"/>
        <v>#REF!</v>
      </c>
      <c r="OTP247" s="29" t="e">
        <f t="shared" si="210"/>
        <v>#REF!</v>
      </c>
      <c r="OTQ247" s="29" t="e">
        <f t="shared" si="210"/>
        <v>#REF!</v>
      </c>
      <c r="OTR247" s="29" t="e">
        <f t="shared" si="210"/>
        <v>#REF!</v>
      </c>
      <c r="OTS247" s="29" t="e">
        <f t="shared" si="210"/>
        <v>#REF!</v>
      </c>
      <c r="OTT247" s="29" t="e">
        <f t="shared" si="210"/>
        <v>#REF!</v>
      </c>
      <c r="OTU247" s="29" t="e">
        <f t="shared" si="210"/>
        <v>#REF!</v>
      </c>
      <c r="OTV247" s="29" t="e">
        <f t="shared" si="210"/>
        <v>#REF!</v>
      </c>
      <c r="OTW247" s="29" t="e">
        <f t="shared" si="210"/>
        <v>#REF!</v>
      </c>
      <c r="OTX247" s="29" t="e">
        <f t="shared" si="210"/>
        <v>#REF!</v>
      </c>
      <c r="OTY247" s="29" t="e">
        <f t="shared" si="210"/>
        <v>#REF!</v>
      </c>
      <c r="OTZ247" s="29" t="e">
        <f t="shared" si="210"/>
        <v>#REF!</v>
      </c>
      <c r="OUA247" s="29" t="e">
        <f t="shared" si="210"/>
        <v>#REF!</v>
      </c>
      <c r="OUB247" s="29" t="e">
        <f t="shared" si="210"/>
        <v>#REF!</v>
      </c>
      <c r="OUC247" s="29" t="e">
        <f t="shared" si="210"/>
        <v>#REF!</v>
      </c>
      <c r="OUD247" s="29" t="e">
        <f t="shared" si="210"/>
        <v>#REF!</v>
      </c>
      <c r="OUE247" s="29" t="e">
        <f t="shared" si="210"/>
        <v>#REF!</v>
      </c>
      <c r="OUF247" s="29" t="e">
        <f t="shared" si="210"/>
        <v>#REF!</v>
      </c>
      <c r="OUG247" s="29" t="e">
        <f t="shared" si="210"/>
        <v>#REF!</v>
      </c>
      <c r="OUH247" s="29" t="e">
        <f t="shared" si="210"/>
        <v>#REF!</v>
      </c>
      <c r="OUI247" s="29" t="e">
        <f t="shared" si="210"/>
        <v>#REF!</v>
      </c>
      <c r="OUJ247" s="29" t="e">
        <f t="shared" si="210"/>
        <v>#REF!</v>
      </c>
      <c r="OUK247" s="29" t="e">
        <f t="shared" si="210"/>
        <v>#REF!</v>
      </c>
      <c r="OUL247" s="29" t="e">
        <f t="shared" si="210"/>
        <v>#REF!</v>
      </c>
      <c r="OUM247" s="29" t="e">
        <f t="shared" si="210"/>
        <v>#REF!</v>
      </c>
      <c r="OUN247" s="29" t="e">
        <f t="shared" si="210"/>
        <v>#REF!</v>
      </c>
      <c r="OUO247" s="29" t="e">
        <f t="shared" si="210"/>
        <v>#REF!</v>
      </c>
      <c r="OUP247" s="29" t="e">
        <f t="shared" si="210"/>
        <v>#REF!</v>
      </c>
      <c r="OUQ247" s="29" t="e">
        <f t="shared" si="210"/>
        <v>#REF!</v>
      </c>
      <c r="OUR247" s="29" t="e">
        <f t="shared" si="210"/>
        <v>#REF!</v>
      </c>
      <c r="OUS247" s="29" t="e">
        <f t="shared" ref="OUS247:OXD247" si="211">OUW247&amp;OUX247</f>
        <v>#REF!</v>
      </c>
      <c r="OUT247" s="29" t="e">
        <f t="shared" si="211"/>
        <v>#REF!</v>
      </c>
      <c r="OUU247" s="29" t="e">
        <f t="shared" si="211"/>
        <v>#REF!</v>
      </c>
      <c r="OUV247" s="29" t="e">
        <f t="shared" si="211"/>
        <v>#REF!</v>
      </c>
      <c r="OUW247" s="29" t="e">
        <f t="shared" si="211"/>
        <v>#REF!</v>
      </c>
      <c r="OUX247" s="29" t="e">
        <f t="shared" si="211"/>
        <v>#REF!</v>
      </c>
      <c r="OUY247" s="29" t="e">
        <f t="shared" si="211"/>
        <v>#REF!</v>
      </c>
      <c r="OUZ247" s="29" t="e">
        <f t="shared" si="211"/>
        <v>#REF!</v>
      </c>
      <c r="OVA247" s="29" t="e">
        <f t="shared" si="211"/>
        <v>#REF!</v>
      </c>
      <c r="OVB247" s="29" t="e">
        <f t="shared" si="211"/>
        <v>#REF!</v>
      </c>
      <c r="OVC247" s="29" t="e">
        <f t="shared" si="211"/>
        <v>#REF!</v>
      </c>
      <c r="OVD247" s="29" t="e">
        <f t="shared" si="211"/>
        <v>#REF!</v>
      </c>
      <c r="OVE247" s="29" t="e">
        <f t="shared" si="211"/>
        <v>#REF!</v>
      </c>
      <c r="OVF247" s="29" t="e">
        <f t="shared" si="211"/>
        <v>#REF!</v>
      </c>
      <c r="OVG247" s="29" t="e">
        <f t="shared" si="211"/>
        <v>#REF!</v>
      </c>
      <c r="OVH247" s="29" t="e">
        <f t="shared" si="211"/>
        <v>#REF!</v>
      </c>
      <c r="OVI247" s="29" t="e">
        <f t="shared" si="211"/>
        <v>#REF!</v>
      </c>
      <c r="OVJ247" s="29" t="e">
        <f t="shared" si="211"/>
        <v>#REF!</v>
      </c>
      <c r="OVK247" s="29" t="e">
        <f t="shared" si="211"/>
        <v>#REF!</v>
      </c>
      <c r="OVL247" s="29" t="e">
        <f t="shared" si="211"/>
        <v>#REF!</v>
      </c>
      <c r="OVM247" s="29" t="e">
        <f t="shared" si="211"/>
        <v>#REF!</v>
      </c>
      <c r="OVN247" s="29" t="e">
        <f t="shared" si="211"/>
        <v>#REF!</v>
      </c>
      <c r="OVO247" s="29" t="e">
        <f t="shared" si="211"/>
        <v>#REF!</v>
      </c>
      <c r="OVP247" s="29" t="e">
        <f t="shared" si="211"/>
        <v>#REF!</v>
      </c>
      <c r="OVQ247" s="29" t="e">
        <f t="shared" si="211"/>
        <v>#REF!</v>
      </c>
      <c r="OVR247" s="29" t="e">
        <f t="shared" si="211"/>
        <v>#REF!</v>
      </c>
      <c r="OVS247" s="29" t="e">
        <f t="shared" si="211"/>
        <v>#REF!</v>
      </c>
      <c r="OVT247" s="29" t="e">
        <f t="shared" si="211"/>
        <v>#REF!</v>
      </c>
      <c r="OVU247" s="29" t="e">
        <f t="shared" si="211"/>
        <v>#REF!</v>
      </c>
      <c r="OVV247" s="29" t="e">
        <f t="shared" si="211"/>
        <v>#REF!</v>
      </c>
      <c r="OVW247" s="29" t="e">
        <f t="shared" si="211"/>
        <v>#REF!</v>
      </c>
      <c r="OVX247" s="29" t="e">
        <f t="shared" si="211"/>
        <v>#REF!</v>
      </c>
      <c r="OVY247" s="29" t="e">
        <f t="shared" si="211"/>
        <v>#REF!</v>
      </c>
      <c r="OVZ247" s="29" t="e">
        <f t="shared" si="211"/>
        <v>#REF!</v>
      </c>
      <c r="OWA247" s="29" t="e">
        <f t="shared" si="211"/>
        <v>#REF!</v>
      </c>
      <c r="OWB247" s="29" t="e">
        <f t="shared" si="211"/>
        <v>#REF!</v>
      </c>
      <c r="OWC247" s="29" t="e">
        <f t="shared" si="211"/>
        <v>#REF!</v>
      </c>
      <c r="OWD247" s="29" t="e">
        <f t="shared" si="211"/>
        <v>#REF!</v>
      </c>
      <c r="OWE247" s="29" t="e">
        <f t="shared" si="211"/>
        <v>#REF!</v>
      </c>
      <c r="OWF247" s="29" t="e">
        <f t="shared" si="211"/>
        <v>#REF!</v>
      </c>
      <c r="OWG247" s="29" t="e">
        <f t="shared" si="211"/>
        <v>#REF!</v>
      </c>
      <c r="OWH247" s="29" t="e">
        <f t="shared" si="211"/>
        <v>#REF!</v>
      </c>
      <c r="OWI247" s="29" t="e">
        <f t="shared" si="211"/>
        <v>#REF!</v>
      </c>
      <c r="OWJ247" s="29" t="e">
        <f t="shared" si="211"/>
        <v>#REF!</v>
      </c>
      <c r="OWK247" s="29" t="e">
        <f t="shared" si="211"/>
        <v>#REF!</v>
      </c>
      <c r="OWL247" s="29" t="e">
        <f t="shared" si="211"/>
        <v>#REF!</v>
      </c>
      <c r="OWM247" s="29" t="e">
        <f t="shared" si="211"/>
        <v>#REF!</v>
      </c>
      <c r="OWN247" s="29" t="e">
        <f t="shared" si="211"/>
        <v>#REF!</v>
      </c>
      <c r="OWO247" s="29" t="e">
        <f t="shared" si="211"/>
        <v>#REF!</v>
      </c>
      <c r="OWP247" s="29" t="e">
        <f t="shared" si="211"/>
        <v>#REF!</v>
      </c>
      <c r="OWQ247" s="29" t="e">
        <f t="shared" si="211"/>
        <v>#REF!</v>
      </c>
      <c r="OWR247" s="29" t="e">
        <f t="shared" si="211"/>
        <v>#REF!</v>
      </c>
      <c r="OWS247" s="29" t="e">
        <f t="shared" si="211"/>
        <v>#REF!</v>
      </c>
      <c r="OWT247" s="29" t="e">
        <f t="shared" si="211"/>
        <v>#REF!</v>
      </c>
      <c r="OWU247" s="29" t="e">
        <f t="shared" si="211"/>
        <v>#REF!</v>
      </c>
      <c r="OWV247" s="29" t="e">
        <f t="shared" si="211"/>
        <v>#REF!</v>
      </c>
      <c r="OWW247" s="29" t="e">
        <f t="shared" si="211"/>
        <v>#REF!</v>
      </c>
      <c r="OWX247" s="29" t="e">
        <f t="shared" si="211"/>
        <v>#REF!</v>
      </c>
      <c r="OWY247" s="29" t="e">
        <f t="shared" si="211"/>
        <v>#REF!</v>
      </c>
      <c r="OWZ247" s="29" t="e">
        <f t="shared" si="211"/>
        <v>#REF!</v>
      </c>
      <c r="OXA247" s="29" t="e">
        <f t="shared" si="211"/>
        <v>#REF!</v>
      </c>
      <c r="OXB247" s="29" t="e">
        <f t="shared" si="211"/>
        <v>#REF!</v>
      </c>
      <c r="OXC247" s="29" t="e">
        <f t="shared" si="211"/>
        <v>#REF!</v>
      </c>
      <c r="OXD247" s="29" t="e">
        <f t="shared" si="211"/>
        <v>#REF!</v>
      </c>
      <c r="OXE247" s="29" t="e">
        <f t="shared" ref="OXE247:OZP247" si="212">OXI247&amp;OXJ247</f>
        <v>#REF!</v>
      </c>
      <c r="OXF247" s="29" t="e">
        <f t="shared" si="212"/>
        <v>#REF!</v>
      </c>
      <c r="OXG247" s="29" t="e">
        <f t="shared" si="212"/>
        <v>#REF!</v>
      </c>
      <c r="OXH247" s="29" t="e">
        <f t="shared" si="212"/>
        <v>#REF!</v>
      </c>
      <c r="OXI247" s="29" t="e">
        <f t="shared" si="212"/>
        <v>#REF!</v>
      </c>
      <c r="OXJ247" s="29" t="e">
        <f t="shared" si="212"/>
        <v>#REF!</v>
      </c>
      <c r="OXK247" s="29" t="e">
        <f t="shared" si="212"/>
        <v>#REF!</v>
      </c>
      <c r="OXL247" s="29" t="e">
        <f t="shared" si="212"/>
        <v>#REF!</v>
      </c>
      <c r="OXM247" s="29" t="e">
        <f t="shared" si="212"/>
        <v>#REF!</v>
      </c>
      <c r="OXN247" s="29" t="e">
        <f t="shared" si="212"/>
        <v>#REF!</v>
      </c>
      <c r="OXO247" s="29" t="e">
        <f t="shared" si="212"/>
        <v>#REF!</v>
      </c>
      <c r="OXP247" s="29" t="e">
        <f t="shared" si="212"/>
        <v>#REF!</v>
      </c>
      <c r="OXQ247" s="29" t="e">
        <f t="shared" si="212"/>
        <v>#REF!</v>
      </c>
      <c r="OXR247" s="29" t="e">
        <f t="shared" si="212"/>
        <v>#REF!</v>
      </c>
      <c r="OXS247" s="29" t="e">
        <f t="shared" si="212"/>
        <v>#REF!</v>
      </c>
      <c r="OXT247" s="29" t="e">
        <f t="shared" si="212"/>
        <v>#REF!</v>
      </c>
      <c r="OXU247" s="29" t="e">
        <f t="shared" si="212"/>
        <v>#REF!</v>
      </c>
      <c r="OXV247" s="29" t="e">
        <f t="shared" si="212"/>
        <v>#REF!</v>
      </c>
      <c r="OXW247" s="29" t="e">
        <f t="shared" si="212"/>
        <v>#REF!</v>
      </c>
      <c r="OXX247" s="29" t="e">
        <f t="shared" si="212"/>
        <v>#REF!</v>
      </c>
      <c r="OXY247" s="29" t="e">
        <f t="shared" si="212"/>
        <v>#REF!</v>
      </c>
      <c r="OXZ247" s="29" t="e">
        <f t="shared" si="212"/>
        <v>#REF!</v>
      </c>
      <c r="OYA247" s="29" t="e">
        <f t="shared" si="212"/>
        <v>#REF!</v>
      </c>
      <c r="OYB247" s="29" t="e">
        <f t="shared" si="212"/>
        <v>#REF!</v>
      </c>
      <c r="OYC247" s="29" t="e">
        <f t="shared" si="212"/>
        <v>#REF!</v>
      </c>
      <c r="OYD247" s="29" t="e">
        <f t="shared" si="212"/>
        <v>#REF!</v>
      </c>
      <c r="OYE247" s="29" t="e">
        <f t="shared" si="212"/>
        <v>#REF!</v>
      </c>
      <c r="OYF247" s="29" t="e">
        <f t="shared" si="212"/>
        <v>#REF!</v>
      </c>
      <c r="OYG247" s="29" t="e">
        <f t="shared" si="212"/>
        <v>#REF!</v>
      </c>
      <c r="OYH247" s="29" t="e">
        <f t="shared" si="212"/>
        <v>#REF!</v>
      </c>
      <c r="OYI247" s="29" t="e">
        <f t="shared" si="212"/>
        <v>#REF!</v>
      </c>
      <c r="OYJ247" s="29" t="e">
        <f t="shared" si="212"/>
        <v>#REF!</v>
      </c>
      <c r="OYK247" s="29" t="e">
        <f t="shared" si="212"/>
        <v>#REF!</v>
      </c>
      <c r="OYL247" s="29" t="e">
        <f t="shared" si="212"/>
        <v>#REF!</v>
      </c>
      <c r="OYM247" s="29" t="e">
        <f t="shared" si="212"/>
        <v>#REF!</v>
      </c>
      <c r="OYN247" s="29" t="e">
        <f t="shared" si="212"/>
        <v>#REF!</v>
      </c>
      <c r="OYO247" s="29" t="e">
        <f t="shared" si="212"/>
        <v>#REF!</v>
      </c>
      <c r="OYP247" s="29" t="e">
        <f t="shared" si="212"/>
        <v>#REF!</v>
      </c>
      <c r="OYQ247" s="29" t="e">
        <f t="shared" si="212"/>
        <v>#REF!</v>
      </c>
      <c r="OYR247" s="29" t="e">
        <f t="shared" si="212"/>
        <v>#REF!</v>
      </c>
      <c r="OYS247" s="29" t="e">
        <f t="shared" si="212"/>
        <v>#REF!</v>
      </c>
      <c r="OYT247" s="29" t="e">
        <f t="shared" si="212"/>
        <v>#REF!</v>
      </c>
      <c r="OYU247" s="29" t="e">
        <f t="shared" si="212"/>
        <v>#REF!</v>
      </c>
      <c r="OYV247" s="29" t="e">
        <f t="shared" si="212"/>
        <v>#REF!</v>
      </c>
      <c r="OYW247" s="29" t="e">
        <f t="shared" si="212"/>
        <v>#REF!</v>
      </c>
      <c r="OYX247" s="29" t="e">
        <f t="shared" si="212"/>
        <v>#REF!</v>
      </c>
      <c r="OYY247" s="29" t="e">
        <f t="shared" si="212"/>
        <v>#REF!</v>
      </c>
      <c r="OYZ247" s="29" t="e">
        <f t="shared" si="212"/>
        <v>#REF!</v>
      </c>
      <c r="OZA247" s="29" t="e">
        <f t="shared" si="212"/>
        <v>#REF!</v>
      </c>
      <c r="OZB247" s="29" t="e">
        <f t="shared" si="212"/>
        <v>#REF!</v>
      </c>
      <c r="OZC247" s="29" t="e">
        <f t="shared" si="212"/>
        <v>#REF!</v>
      </c>
      <c r="OZD247" s="29" t="e">
        <f t="shared" si="212"/>
        <v>#REF!</v>
      </c>
      <c r="OZE247" s="29" t="e">
        <f t="shared" si="212"/>
        <v>#REF!</v>
      </c>
      <c r="OZF247" s="29" t="e">
        <f t="shared" si="212"/>
        <v>#REF!</v>
      </c>
      <c r="OZG247" s="29" t="e">
        <f t="shared" si="212"/>
        <v>#REF!</v>
      </c>
      <c r="OZH247" s="29" t="e">
        <f t="shared" si="212"/>
        <v>#REF!</v>
      </c>
      <c r="OZI247" s="29" t="e">
        <f t="shared" si="212"/>
        <v>#REF!</v>
      </c>
      <c r="OZJ247" s="29" t="e">
        <f t="shared" si="212"/>
        <v>#REF!</v>
      </c>
      <c r="OZK247" s="29" t="e">
        <f t="shared" si="212"/>
        <v>#REF!</v>
      </c>
      <c r="OZL247" s="29" t="e">
        <f t="shared" si="212"/>
        <v>#REF!</v>
      </c>
      <c r="OZM247" s="29" t="e">
        <f t="shared" si="212"/>
        <v>#REF!</v>
      </c>
      <c r="OZN247" s="29" t="e">
        <f t="shared" si="212"/>
        <v>#REF!</v>
      </c>
      <c r="OZO247" s="29" t="e">
        <f t="shared" si="212"/>
        <v>#REF!</v>
      </c>
      <c r="OZP247" s="29" t="e">
        <f t="shared" si="212"/>
        <v>#REF!</v>
      </c>
      <c r="OZQ247" s="29" t="e">
        <f t="shared" ref="OZQ247:PCB247" si="213">OZU247&amp;OZV247</f>
        <v>#REF!</v>
      </c>
      <c r="OZR247" s="29" t="e">
        <f t="shared" si="213"/>
        <v>#REF!</v>
      </c>
      <c r="OZS247" s="29" t="e">
        <f t="shared" si="213"/>
        <v>#REF!</v>
      </c>
      <c r="OZT247" s="29" t="e">
        <f t="shared" si="213"/>
        <v>#REF!</v>
      </c>
      <c r="OZU247" s="29" t="e">
        <f t="shared" si="213"/>
        <v>#REF!</v>
      </c>
      <c r="OZV247" s="29" t="e">
        <f t="shared" si="213"/>
        <v>#REF!</v>
      </c>
      <c r="OZW247" s="29" t="e">
        <f t="shared" si="213"/>
        <v>#REF!</v>
      </c>
      <c r="OZX247" s="29" t="e">
        <f t="shared" si="213"/>
        <v>#REF!</v>
      </c>
      <c r="OZY247" s="29" t="e">
        <f t="shared" si="213"/>
        <v>#REF!</v>
      </c>
      <c r="OZZ247" s="29" t="e">
        <f t="shared" si="213"/>
        <v>#REF!</v>
      </c>
      <c r="PAA247" s="29" t="e">
        <f t="shared" si="213"/>
        <v>#REF!</v>
      </c>
      <c r="PAB247" s="29" t="e">
        <f t="shared" si="213"/>
        <v>#REF!</v>
      </c>
      <c r="PAC247" s="29" t="e">
        <f t="shared" si="213"/>
        <v>#REF!</v>
      </c>
      <c r="PAD247" s="29" t="e">
        <f t="shared" si="213"/>
        <v>#REF!</v>
      </c>
      <c r="PAE247" s="29" t="e">
        <f t="shared" si="213"/>
        <v>#REF!</v>
      </c>
      <c r="PAF247" s="29" t="e">
        <f t="shared" si="213"/>
        <v>#REF!</v>
      </c>
      <c r="PAG247" s="29" t="e">
        <f t="shared" si="213"/>
        <v>#REF!</v>
      </c>
      <c r="PAH247" s="29" t="e">
        <f t="shared" si="213"/>
        <v>#REF!</v>
      </c>
      <c r="PAI247" s="29" t="e">
        <f t="shared" si="213"/>
        <v>#REF!</v>
      </c>
      <c r="PAJ247" s="29" t="e">
        <f t="shared" si="213"/>
        <v>#REF!</v>
      </c>
      <c r="PAK247" s="29" t="e">
        <f t="shared" si="213"/>
        <v>#REF!</v>
      </c>
      <c r="PAL247" s="29" t="e">
        <f t="shared" si="213"/>
        <v>#REF!</v>
      </c>
      <c r="PAM247" s="29" t="e">
        <f t="shared" si="213"/>
        <v>#REF!</v>
      </c>
      <c r="PAN247" s="29" t="e">
        <f t="shared" si="213"/>
        <v>#REF!</v>
      </c>
      <c r="PAO247" s="29" t="e">
        <f t="shared" si="213"/>
        <v>#REF!</v>
      </c>
      <c r="PAP247" s="29" t="e">
        <f t="shared" si="213"/>
        <v>#REF!</v>
      </c>
      <c r="PAQ247" s="29" t="e">
        <f t="shared" si="213"/>
        <v>#REF!</v>
      </c>
      <c r="PAR247" s="29" t="e">
        <f t="shared" si="213"/>
        <v>#REF!</v>
      </c>
      <c r="PAS247" s="29" t="e">
        <f t="shared" si="213"/>
        <v>#REF!</v>
      </c>
      <c r="PAT247" s="29" t="e">
        <f t="shared" si="213"/>
        <v>#REF!</v>
      </c>
      <c r="PAU247" s="29" t="e">
        <f t="shared" si="213"/>
        <v>#REF!</v>
      </c>
      <c r="PAV247" s="29" t="e">
        <f t="shared" si="213"/>
        <v>#REF!</v>
      </c>
      <c r="PAW247" s="29" t="e">
        <f t="shared" si="213"/>
        <v>#REF!</v>
      </c>
      <c r="PAX247" s="29" t="e">
        <f t="shared" si="213"/>
        <v>#REF!</v>
      </c>
      <c r="PAY247" s="29" t="e">
        <f t="shared" si="213"/>
        <v>#REF!</v>
      </c>
      <c r="PAZ247" s="29" t="e">
        <f t="shared" si="213"/>
        <v>#REF!</v>
      </c>
      <c r="PBA247" s="29" t="e">
        <f t="shared" si="213"/>
        <v>#REF!</v>
      </c>
      <c r="PBB247" s="29" t="e">
        <f t="shared" si="213"/>
        <v>#REF!</v>
      </c>
      <c r="PBC247" s="29" t="e">
        <f t="shared" si="213"/>
        <v>#REF!</v>
      </c>
      <c r="PBD247" s="29" t="e">
        <f t="shared" si="213"/>
        <v>#REF!</v>
      </c>
      <c r="PBE247" s="29" t="e">
        <f t="shared" si="213"/>
        <v>#REF!</v>
      </c>
      <c r="PBF247" s="29" t="e">
        <f t="shared" si="213"/>
        <v>#REF!</v>
      </c>
      <c r="PBG247" s="29" t="e">
        <f t="shared" si="213"/>
        <v>#REF!</v>
      </c>
      <c r="PBH247" s="29" t="e">
        <f t="shared" si="213"/>
        <v>#REF!</v>
      </c>
      <c r="PBI247" s="29" t="e">
        <f t="shared" si="213"/>
        <v>#REF!</v>
      </c>
      <c r="PBJ247" s="29" t="e">
        <f t="shared" si="213"/>
        <v>#REF!</v>
      </c>
      <c r="PBK247" s="29" t="e">
        <f t="shared" si="213"/>
        <v>#REF!</v>
      </c>
      <c r="PBL247" s="29" t="e">
        <f t="shared" si="213"/>
        <v>#REF!</v>
      </c>
      <c r="PBM247" s="29" t="e">
        <f t="shared" si="213"/>
        <v>#REF!</v>
      </c>
      <c r="PBN247" s="29" t="e">
        <f t="shared" si="213"/>
        <v>#REF!</v>
      </c>
      <c r="PBO247" s="29" t="e">
        <f t="shared" si="213"/>
        <v>#REF!</v>
      </c>
      <c r="PBP247" s="29" t="e">
        <f t="shared" si="213"/>
        <v>#REF!</v>
      </c>
      <c r="PBQ247" s="29" t="e">
        <f t="shared" si="213"/>
        <v>#REF!</v>
      </c>
      <c r="PBR247" s="29" t="e">
        <f t="shared" si="213"/>
        <v>#REF!</v>
      </c>
      <c r="PBS247" s="29" t="e">
        <f t="shared" si="213"/>
        <v>#REF!</v>
      </c>
      <c r="PBT247" s="29" t="e">
        <f t="shared" si="213"/>
        <v>#REF!</v>
      </c>
      <c r="PBU247" s="29" t="e">
        <f t="shared" si="213"/>
        <v>#REF!</v>
      </c>
      <c r="PBV247" s="29" t="e">
        <f t="shared" si="213"/>
        <v>#REF!</v>
      </c>
      <c r="PBW247" s="29" t="e">
        <f t="shared" si="213"/>
        <v>#REF!</v>
      </c>
      <c r="PBX247" s="29" t="e">
        <f t="shared" si="213"/>
        <v>#REF!</v>
      </c>
      <c r="PBY247" s="29" t="e">
        <f t="shared" si="213"/>
        <v>#REF!</v>
      </c>
      <c r="PBZ247" s="29" t="e">
        <f t="shared" si="213"/>
        <v>#REF!</v>
      </c>
      <c r="PCA247" s="29" t="e">
        <f t="shared" si="213"/>
        <v>#REF!</v>
      </c>
      <c r="PCB247" s="29" t="e">
        <f t="shared" si="213"/>
        <v>#REF!</v>
      </c>
      <c r="PCC247" s="29" t="e">
        <f t="shared" ref="PCC247:PEN247" si="214">PCG247&amp;PCH247</f>
        <v>#REF!</v>
      </c>
      <c r="PCD247" s="29" t="e">
        <f t="shared" si="214"/>
        <v>#REF!</v>
      </c>
      <c r="PCE247" s="29" t="e">
        <f t="shared" si="214"/>
        <v>#REF!</v>
      </c>
      <c r="PCF247" s="29" t="e">
        <f t="shared" si="214"/>
        <v>#REF!</v>
      </c>
      <c r="PCG247" s="29" t="e">
        <f t="shared" si="214"/>
        <v>#REF!</v>
      </c>
      <c r="PCH247" s="29" t="e">
        <f t="shared" si="214"/>
        <v>#REF!</v>
      </c>
      <c r="PCI247" s="29" t="e">
        <f t="shared" si="214"/>
        <v>#REF!</v>
      </c>
      <c r="PCJ247" s="29" t="e">
        <f t="shared" si="214"/>
        <v>#REF!</v>
      </c>
      <c r="PCK247" s="29" t="e">
        <f t="shared" si="214"/>
        <v>#REF!</v>
      </c>
      <c r="PCL247" s="29" t="e">
        <f t="shared" si="214"/>
        <v>#REF!</v>
      </c>
      <c r="PCM247" s="29" t="e">
        <f t="shared" si="214"/>
        <v>#REF!</v>
      </c>
      <c r="PCN247" s="29" t="e">
        <f t="shared" si="214"/>
        <v>#REF!</v>
      </c>
      <c r="PCO247" s="29" t="e">
        <f t="shared" si="214"/>
        <v>#REF!</v>
      </c>
      <c r="PCP247" s="29" t="e">
        <f t="shared" si="214"/>
        <v>#REF!</v>
      </c>
      <c r="PCQ247" s="29" t="e">
        <f t="shared" si="214"/>
        <v>#REF!</v>
      </c>
      <c r="PCR247" s="29" t="e">
        <f t="shared" si="214"/>
        <v>#REF!</v>
      </c>
      <c r="PCS247" s="29" t="e">
        <f t="shared" si="214"/>
        <v>#REF!</v>
      </c>
      <c r="PCT247" s="29" t="e">
        <f t="shared" si="214"/>
        <v>#REF!</v>
      </c>
      <c r="PCU247" s="29" t="e">
        <f t="shared" si="214"/>
        <v>#REF!</v>
      </c>
      <c r="PCV247" s="29" t="e">
        <f t="shared" si="214"/>
        <v>#REF!</v>
      </c>
      <c r="PCW247" s="29" t="e">
        <f t="shared" si="214"/>
        <v>#REF!</v>
      </c>
      <c r="PCX247" s="29" t="e">
        <f t="shared" si="214"/>
        <v>#REF!</v>
      </c>
      <c r="PCY247" s="29" t="e">
        <f t="shared" si="214"/>
        <v>#REF!</v>
      </c>
      <c r="PCZ247" s="29" t="e">
        <f t="shared" si="214"/>
        <v>#REF!</v>
      </c>
      <c r="PDA247" s="29" t="e">
        <f t="shared" si="214"/>
        <v>#REF!</v>
      </c>
      <c r="PDB247" s="29" t="e">
        <f t="shared" si="214"/>
        <v>#REF!</v>
      </c>
      <c r="PDC247" s="29" t="e">
        <f t="shared" si="214"/>
        <v>#REF!</v>
      </c>
      <c r="PDD247" s="29" t="e">
        <f t="shared" si="214"/>
        <v>#REF!</v>
      </c>
      <c r="PDE247" s="29" t="e">
        <f t="shared" si="214"/>
        <v>#REF!</v>
      </c>
      <c r="PDF247" s="29" t="e">
        <f t="shared" si="214"/>
        <v>#REF!</v>
      </c>
      <c r="PDG247" s="29" t="e">
        <f t="shared" si="214"/>
        <v>#REF!</v>
      </c>
      <c r="PDH247" s="29" t="e">
        <f t="shared" si="214"/>
        <v>#REF!</v>
      </c>
      <c r="PDI247" s="29" t="e">
        <f t="shared" si="214"/>
        <v>#REF!</v>
      </c>
      <c r="PDJ247" s="29" t="e">
        <f t="shared" si="214"/>
        <v>#REF!</v>
      </c>
      <c r="PDK247" s="29" t="e">
        <f t="shared" si="214"/>
        <v>#REF!</v>
      </c>
      <c r="PDL247" s="29" t="e">
        <f t="shared" si="214"/>
        <v>#REF!</v>
      </c>
      <c r="PDM247" s="29" t="e">
        <f t="shared" si="214"/>
        <v>#REF!</v>
      </c>
      <c r="PDN247" s="29" t="e">
        <f t="shared" si="214"/>
        <v>#REF!</v>
      </c>
      <c r="PDO247" s="29" t="e">
        <f t="shared" si="214"/>
        <v>#REF!</v>
      </c>
      <c r="PDP247" s="29" t="e">
        <f t="shared" si="214"/>
        <v>#REF!</v>
      </c>
      <c r="PDQ247" s="29" t="e">
        <f t="shared" si="214"/>
        <v>#REF!</v>
      </c>
      <c r="PDR247" s="29" t="e">
        <f t="shared" si="214"/>
        <v>#REF!</v>
      </c>
      <c r="PDS247" s="29" t="e">
        <f t="shared" si="214"/>
        <v>#REF!</v>
      </c>
      <c r="PDT247" s="29" t="e">
        <f t="shared" si="214"/>
        <v>#REF!</v>
      </c>
      <c r="PDU247" s="29" t="e">
        <f t="shared" si="214"/>
        <v>#REF!</v>
      </c>
      <c r="PDV247" s="29" t="e">
        <f t="shared" si="214"/>
        <v>#REF!</v>
      </c>
      <c r="PDW247" s="29" t="e">
        <f t="shared" si="214"/>
        <v>#REF!</v>
      </c>
      <c r="PDX247" s="29" t="e">
        <f t="shared" si="214"/>
        <v>#REF!</v>
      </c>
      <c r="PDY247" s="29" t="e">
        <f t="shared" si="214"/>
        <v>#REF!</v>
      </c>
      <c r="PDZ247" s="29" t="e">
        <f t="shared" si="214"/>
        <v>#REF!</v>
      </c>
      <c r="PEA247" s="29" t="e">
        <f t="shared" si="214"/>
        <v>#REF!</v>
      </c>
      <c r="PEB247" s="29" t="e">
        <f t="shared" si="214"/>
        <v>#REF!</v>
      </c>
      <c r="PEC247" s="29" t="e">
        <f t="shared" si="214"/>
        <v>#REF!</v>
      </c>
      <c r="PED247" s="29" t="e">
        <f t="shared" si="214"/>
        <v>#REF!</v>
      </c>
      <c r="PEE247" s="29" t="e">
        <f t="shared" si="214"/>
        <v>#REF!</v>
      </c>
      <c r="PEF247" s="29" t="e">
        <f t="shared" si="214"/>
        <v>#REF!</v>
      </c>
      <c r="PEG247" s="29" t="e">
        <f t="shared" si="214"/>
        <v>#REF!</v>
      </c>
      <c r="PEH247" s="29" t="e">
        <f t="shared" si="214"/>
        <v>#REF!</v>
      </c>
      <c r="PEI247" s="29" t="e">
        <f t="shared" si="214"/>
        <v>#REF!</v>
      </c>
      <c r="PEJ247" s="29" t="e">
        <f t="shared" si="214"/>
        <v>#REF!</v>
      </c>
      <c r="PEK247" s="29" t="e">
        <f t="shared" si="214"/>
        <v>#REF!</v>
      </c>
      <c r="PEL247" s="29" t="e">
        <f t="shared" si="214"/>
        <v>#REF!</v>
      </c>
      <c r="PEM247" s="29" t="e">
        <f t="shared" si="214"/>
        <v>#REF!</v>
      </c>
      <c r="PEN247" s="29" t="e">
        <f t="shared" si="214"/>
        <v>#REF!</v>
      </c>
      <c r="PEO247" s="29" t="e">
        <f t="shared" ref="PEO247:PGZ247" si="215">PES247&amp;PET247</f>
        <v>#REF!</v>
      </c>
      <c r="PEP247" s="29" t="e">
        <f t="shared" si="215"/>
        <v>#REF!</v>
      </c>
      <c r="PEQ247" s="29" t="e">
        <f t="shared" si="215"/>
        <v>#REF!</v>
      </c>
      <c r="PER247" s="29" t="e">
        <f t="shared" si="215"/>
        <v>#REF!</v>
      </c>
      <c r="PES247" s="29" t="e">
        <f t="shared" si="215"/>
        <v>#REF!</v>
      </c>
      <c r="PET247" s="29" t="e">
        <f t="shared" si="215"/>
        <v>#REF!</v>
      </c>
      <c r="PEU247" s="29" t="e">
        <f t="shared" si="215"/>
        <v>#REF!</v>
      </c>
      <c r="PEV247" s="29" t="e">
        <f t="shared" si="215"/>
        <v>#REF!</v>
      </c>
      <c r="PEW247" s="29" t="e">
        <f t="shared" si="215"/>
        <v>#REF!</v>
      </c>
      <c r="PEX247" s="29" t="e">
        <f t="shared" si="215"/>
        <v>#REF!</v>
      </c>
      <c r="PEY247" s="29" t="e">
        <f t="shared" si="215"/>
        <v>#REF!</v>
      </c>
      <c r="PEZ247" s="29" t="e">
        <f t="shared" si="215"/>
        <v>#REF!</v>
      </c>
      <c r="PFA247" s="29" t="e">
        <f t="shared" si="215"/>
        <v>#REF!</v>
      </c>
      <c r="PFB247" s="29" t="e">
        <f t="shared" si="215"/>
        <v>#REF!</v>
      </c>
      <c r="PFC247" s="29" t="e">
        <f t="shared" si="215"/>
        <v>#REF!</v>
      </c>
      <c r="PFD247" s="29" t="e">
        <f t="shared" si="215"/>
        <v>#REF!</v>
      </c>
      <c r="PFE247" s="29" t="e">
        <f t="shared" si="215"/>
        <v>#REF!</v>
      </c>
      <c r="PFF247" s="29" t="e">
        <f t="shared" si="215"/>
        <v>#REF!</v>
      </c>
      <c r="PFG247" s="29" t="e">
        <f t="shared" si="215"/>
        <v>#REF!</v>
      </c>
      <c r="PFH247" s="29" t="e">
        <f t="shared" si="215"/>
        <v>#REF!</v>
      </c>
      <c r="PFI247" s="29" t="e">
        <f t="shared" si="215"/>
        <v>#REF!</v>
      </c>
      <c r="PFJ247" s="29" t="e">
        <f t="shared" si="215"/>
        <v>#REF!</v>
      </c>
      <c r="PFK247" s="29" t="e">
        <f t="shared" si="215"/>
        <v>#REF!</v>
      </c>
      <c r="PFL247" s="29" t="e">
        <f t="shared" si="215"/>
        <v>#REF!</v>
      </c>
      <c r="PFM247" s="29" t="e">
        <f t="shared" si="215"/>
        <v>#REF!</v>
      </c>
      <c r="PFN247" s="29" t="e">
        <f t="shared" si="215"/>
        <v>#REF!</v>
      </c>
      <c r="PFO247" s="29" t="e">
        <f t="shared" si="215"/>
        <v>#REF!</v>
      </c>
      <c r="PFP247" s="29" t="e">
        <f t="shared" si="215"/>
        <v>#REF!</v>
      </c>
      <c r="PFQ247" s="29" t="e">
        <f t="shared" si="215"/>
        <v>#REF!</v>
      </c>
      <c r="PFR247" s="29" t="e">
        <f t="shared" si="215"/>
        <v>#REF!</v>
      </c>
      <c r="PFS247" s="29" t="e">
        <f t="shared" si="215"/>
        <v>#REF!</v>
      </c>
      <c r="PFT247" s="29" t="e">
        <f t="shared" si="215"/>
        <v>#REF!</v>
      </c>
      <c r="PFU247" s="29" t="e">
        <f t="shared" si="215"/>
        <v>#REF!</v>
      </c>
      <c r="PFV247" s="29" t="e">
        <f t="shared" si="215"/>
        <v>#REF!</v>
      </c>
      <c r="PFW247" s="29" t="e">
        <f t="shared" si="215"/>
        <v>#REF!</v>
      </c>
      <c r="PFX247" s="29" t="e">
        <f t="shared" si="215"/>
        <v>#REF!</v>
      </c>
      <c r="PFY247" s="29" t="e">
        <f t="shared" si="215"/>
        <v>#REF!</v>
      </c>
      <c r="PFZ247" s="29" t="e">
        <f t="shared" si="215"/>
        <v>#REF!</v>
      </c>
      <c r="PGA247" s="29" t="e">
        <f t="shared" si="215"/>
        <v>#REF!</v>
      </c>
      <c r="PGB247" s="29" t="e">
        <f t="shared" si="215"/>
        <v>#REF!</v>
      </c>
      <c r="PGC247" s="29" t="e">
        <f t="shared" si="215"/>
        <v>#REF!</v>
      </c>
      <c r="PGD247" s="29" t="e">
        <f t="shared" si="215"/>
        <v>#REF!</v>
      </c>
      <c r="PGE247" s="29" t="e">
        <f t="shared" si="215"/>
        <v>#REF!</v>
      </c>
      <c r="PGF247" s="29" t="e">
        <f t="shared" si="215"/>
        <v>#REF!</v>
      </c>
      <c r="PGG247" s="29" t="e">
        <f t="shared" si="215"/>
        <v>#REF!</v>
      </c>
      <c r="PGH247" s="29" t="e">
        <f t="shared" si="215"/>
        <v>#REF!</v>
      </c>
      <c r="PGI247" s="29" t="e">
        <f t="shared" si="215"/>
        <v>#REF!</v>
      </c>
      <c r="PGJ247" s="29" t="e">
        <f t="shared" si="215"/>
        <v>#REF!</v>
      </c>
      <c r="PGK247" s="29" t="e">
        <f t="shared" si="215"/>
        <v>#REF!</v>
      </c>
      <c r="PGL247" s="29" t="e">
        <f t="shared" si="215"/>
        <v>#REF!</v>
      </c>
      <c r="PGM247" s="29" t="e">
        <f t="shared" si="215"/>
        <v>#REF!</v>
      </c>
      <c r="PGN247" s="29" t="e">
        <f t="shared" si="215"/>
        <v>#REF!</v>
      </c>
      <c r="PGO247" s="29" t="e">
        <f t="shared" si="215"/>
        <v>#REF!</v>
      </c>
      <c r="PGP247" s="29" t="e">
        <f t="shared" si="215"/>
        <v>#REF!</v>
      </c>
      <c r="PGQ247" s="29" t="e">
        <f t="shared" si="215"/>
        <v>#REF!</v>
      </c>
      <c r="PGR247" s="29" t="e">
        <f t="shared" si="215"/>
        <v>#REF!</v>
      </c>
      <c r="PGS247" s="29" t="e">
        <f t="shared" si="215"/>
        <v>#REF!</v>
      </c>
      <c r="PGT247" s="29" t="e">
        <f t="shared" si="215"/>
        <v>#REF!</v>
      </c>
      <c r="PGU247" s="29" t="e">
        <f t="shared" si="215"/>
        <v>#REF!</v>
      </c>
      <c r="PGV247" s="29" t="e">
        <f t="shared" si="215"/>
        <v>#REF!</v>
      </c>
      <c r="PGW247" s="29" t="e">
        <f t="shared" si="215"/>
        <v>#REF!</v>
      </c>
      <c r="PGX247" s="29" t="e">
        <f t="shared" si="215"/>
        <v>#REF!</v>
      </c>
      <c r="PGY247" s="29" t="e">
        <f t="shared" si="215"/>
        <v>#REF!</v>
      </c>
      <c r="PGZ247" s="29" t="e">
        <f t="shared" si="215"/>
        <v>#REF!</v>
      </c>
      <c r="PHA247" s="29" t="e">
        <f t="shared" ref="PHA247:PJL247" si="216">PHE247&amp;PHF247</f>
        <v>#REF!</v>
      </c>
      <c r="PHB247" s="29" t="e">
        <f t="shared" si="216"/>
        <v>#REF!</v>
      </c>
      <c r="PHC247" s="29" t="e">
        <f t="shared" si="216"/>
        <v>#REF!</v>
      </c>
      <c r="PHD247" s="29" t="e">
        <f t="shared" si="216"/>
        <v>#REF!</v>
      </c>
      <c r="PHE247" s="29" t="e">
        <f t="shared" si="216"/>
        <v>#REF!</v>
      </c>
      <c r="PHF247" s="29" t="e">
        <f t="shared" si="216"/>
        <v>#REF!</v>
      </c>
      <c r="PHG247" s="29" t="e">
        <f t="shared" si="216"/>
        <v>#REF!</v>
      </c>
      <c r="PHH247" s="29" t="e">
        <f t="shared" si="216"/>
        <v>#REF!</v>
      </c>
      <c r="PHI247" s="29" t="e">
        <f t="shared" si="216"/>
        <v>#REF!</v>
      </c>
      <c r="PHJ247" s="29" t="e">
        <f t="shared" si="216"/>
        <v>#REF!</v>
      </c>
      <c r="PHK247" s="29" t="e">
        <f t="shared" si="216"/>
        <v>#REF!</v>
      </c>
      <c r="PHL247" s="29" t="e">
        <f t="shared" si="216"/>
        <v>#REF!</v>
      </c>
      <c r="PHM247" s="29" t="e">
        <f t="shared" si="216"/>
        <v>#REF!</v>
      </c>
      <c r="PHN247" s="29" t="e">
        <f t="shared" si="216"/>
        <v>#REF!</v>
      </c>
      <c r="PHO247" s="29" t="e">
        <f t="shared" si="216"/>
        <v>#REF!</v>
      </c>
      <c r="PHP247" s="29" t="e">
        <f t="shared" si="216"/>
        <v>#REF!</v>
      </c>
      <c r="PHQ247" s="29" t="e">
        <f t="shared" si="216"/>
        <v>#REF!</v>
      </c>
      <c r="PHR247" s="29" t="e">
        <f t="shared" si="216"/>
        <v>#REF!</v>
      </c>
      <c r="PHS247" s="29" t="e">
        <f t="shared" si="216"/>
        <v>#REF!</v>
      </c>
      <c r="PHT247" s="29" t="e">
        <f t="shared" si="216"/>
        <v>#REF!</v>
      </c>
      <c r="PHU247" s="29" t="e">
        <f t="shared" si="216"/>
        <v>#REF!</v>
      </c>
      <c r="PHV247" s="29" t="e">
        <f t="shared" si="216"/>
        <v>#REF!</v>
      </c>
      <c r="PHW247" s="29" t="e">
        <f t="shared" si="216"/>
        <v>#REF!</v>
      </c>
      <c r="PHX247" s="29" t="e">
        <f t="shared" si="216"/>
        <v>#REF!</v>
      </c>
      <c r="PHY247" s="29" t="e">
        <f t="shared" si="216"/>
        <v>#REF!</v>
      </c>
      <c r="PHZ247" s="29" t="e">
        <f t="shared" si="216"/>
        <v>#REF!</v>
      </c>
      <c r="PIA247" s="29" t="e">
        <f t="shared" si="216"/>
        <v>#REF!</v>
      </c>
      <c r="PIB247" s="29" t="e">
        <f t="shared" si="216"/>
        <v>#REF!</v>
      </c>
      <c r="PIC247" s="29" t="e">
        <f t="shared" si="216"/>
        <v>#REF!</v>
      </c>
      <c r="PID247" s="29" t="e">
        <f t="shared" si="216"/>
        <v>#REF!</v>
      </c>
      <c r="PIE247" s="29" t="e">
        <f t="shared" si="216"/>
        <v>#REF!</v>
      </c>
      <c r="PIF247" s="29" t="e">
        <f t="shared" si="216"/>
        <v>#REF!</v>
      </c>
      <c r="PIG247" s="29" t="e">
        <f t="shared" si="216"/>
        <v>#REF!</v>
      </c>
      <c r="PIH247" s="29" t="e">
        <f t="shared" si="216"/>
        <v>#REF!</v>
      </c>
      <c r="PII247" s="29" t="e">
        <f t="shared" si="216"/>
        <v>#REF!</v>
      </c>
      <c r="PIJ247" s="29" t="e">
        <f t="shared" si="216"/>
        <v>#REF!</v>
      </c>
      <c r="PIK247" s="29" t="e">
        <f t="shared" si="216"/>
        <v>#REF!</v>
      </c>
      <c r="PIL247" s="29" t="e">
        <f t="shared" si="216"/>
        <v>#REF!</v>
      </c>
      <c r="PIM247" s="29" t="e">
        <f t="shared" si="216"/>
        <v>#REF!</v>
      </c>
      <c r="PIN247" s="29" t="e">
        <f t="shared" si="216"/>
        <v>#REF!</v>
      </c>
      <c r="PIO247" s="29" t="e">
        <f t="shared" si="216"/>
        <v>#REF!</v>
      </c>
      <c r="PIP247" s="29" t="e">
        <f t="shared" si="216"/>
        <v>#REF!</v>
      </c>
      <c r="PIQ247" s="29" t="e">
        <f t="shared" si="216"/>
        <v>#REF!</v>
      </c>
      <c r="PIR247" s="29" t="e">
        <f t="shared" si="216"/>
        <v>#REF!</v>
      </c>
      <c r="PIS247" s="29" t="e">
        <f t="shared" si="216"/>
        <v>#REF!</v>
      </c>
      <c r="PIT247" s="29" t="e">
        <f t="shared" si="216"/>
        <v>#REF!</v>
      </c>
      <c r="PIU247" s="29" t="e">
        <f t="shared" si="216"/>
        <v>#REF!</v>
      </c>
      <c r="PIV247" s="29" t="e">
        <f t="shared" si="216"/>
        <v>#REF!</v>
      </c>
      <c r="PIW247" s="29" t="e">
        <f t="shared" si="216"/>
        <v>#REF!</v>
      </c>
      <c r="PIX247" s="29" t="e">
        <f t="shared" si="216"/>
        <v>#REF!</v>
      </c>
      <c r="PIY247" s="29" t="e">
        <f t="shared" si="216"/>
        <v>#REF!</v>
      </c>
      <c r="PIZ247" s="29" t="e">
        <f t="shared" si="216"/>
        <v>#REF!</v>
      </c>
      <c r="PJA247" s="29" t="e">
        <f t="shared" si="216"/>
        <v>#REF!</v>
      </c>
      <c r="PJB247" s="29" t="e">
        <f t="shared" si="216"/>
        <v>#REF!</v>
      </c>
      <c r="PJC247" s="29" t="e">
        <f t="shared" si="216"/>
        <v>#REF!</v>
      </c>
      <c r="PJD247" s="29" t="e">
        <f t="shared" si="216"/>
        <v>#REF!</v>
      </c>
      <c r="PJE247" s="29" t="e">
        <f t="shared" si="216"/>
        <v>#REF!</v>
      </c>
      <c r="PJF247" s="29" t="e">
        <f t="shared" si="216"/>
        <v>#REF!</v>
      </c>
      <c r="PJG247" s="29" t="e">
        <f t="shared" si="216"/>
        <v>#REF!</v>
      </c>
      <c r="PJH247" s="29" t="e">
        <f t="shared" si="216"/>
        <v>#REF!</v>
      </c>
      <c r="PJI247" s="29" t="e">
        <f t="shared" si="216"/>
        <v>#REF!</v>
      </c>
      <c r="PJJ247" s="29" t="e">
        <f t="shared" si="216"/>
        <v>#REF!</v>
      </c>
      <c r="PJK247" s="29" t="e">
        <f t="shared" si="216"/>
        <v>#REF!</v>
      </c>
      <c r="PJL247" s="29" t="e">
        <f t="shared" si="216"/>
        <v>#REF!</v>
      </c>
      <c r="PJM247" s="29" t="e">
        <f t="shared" ref="PJM247:PLX247" si="217">PJQ247&amp;PJR247</f>
        <v>#REF!</v>
      </c>
      <c r="PJN247" s="29" t="e">
        <f t="shared" si="217"/>
        <v>#REF!</v>
      </c>
      <c r="PJO247" s="29" t="e">
        <f t="shared" si="217"/>
        <v>#REF!</v>
      </c>
      <c r="PJP247" s="29" t="e">
        <f t="shared" si="217"/>
        <v>#REF!</v>
      </c>
      <c r="PJQ247" s="29" t="e">
        <f t="shared" si="217"/>
        <v>#REF!</v>
      </c>
      <c r="PJR247" s="29" t="e">
        <f t="shared" si="217"/>
        <v>#REF!</v>
      </c>
      <c r="PJS247" s="29" t="e">
        <f t="shared" si="217"/>
        <v>#REF!</v>
      </c>
      <c r="PJT247" s="29" t="e">
        <f t="shared" si="217"/>
        <v>#REF!</v>
      </c>
      <c r="PJU247" s="29" t="e">
        <f t="shared" si="217"/>
        <v>#REF!</v>
      </c>
      <c r="PJV247" s="29" t="e">
        <f t="shared" si="217"/>
        <v>#REF!</v>
      </c>
      <c r="PJW247" s="29" t="e">
        <f t="shared" si="217"/>
        <v>#REF!</v>
      </c>
      <c r="PJX247" s="29" t="e">
        <f t="shared" si="217"/>
        <v>#REF!</v>
      </c>
      <c r="PJY247" s="29" t="e">
        <f t="shared" si="217"/>
        <v>#REF!</v>
      </c>
      <c r="PJZ247" s="29" t="e">
        <f t="shared" si="217"/>
        <v>#REF!</v>
      </c>
      <c r="PKA247" s="29" t="e">
        <f t="shared" si="217"/>
        <v>#REF!</v>
      </c>
      <c r="PKB247" s="29" t="e">
        <f t="shared" si="217"/>
        <v>#REF!</v>
      </c>
      <c r="PKC247" s="29" t="e">
        <f t="shared" si="217"/>
        <v>#REF!</v>
      </c>
      <c r="PKD247" s="29" t="e">
        <f t="shared" si="217"/>
        <v>#REF!</v>
      </c>
      <c r="PKE247" s="29" t="e">
        <f t="shared" si="217"/>
        <v>#REF!</v>
      </c>
      <c r="PKF247" s="29" t="e">
        <f t="shared" si="217"/>
        <v>#REF!</v>
      </c>
      <c r="PKG247" s="29" t="e">
        <f t="shared" si="217"/>
        <v>#REF!</v>
      </c>
      <c r="PKH247" s="29" t="e">
        <f t="shared" si="217"/>
        <v>#REF!</v>
      </c>
      <c r="PKI247" s="29" t="e">
        <f t="shared" si="217"/>
        <v>#REF!</v>
      </c>
      <c r="PKJ247" s="29" t="e">
        <f t="shared" si="217"/>
        <v>#REF!</v>
      </c>
      <c r="PKK247" s="29" t="e">
        <f t="shared" si="217"/>
        <v>#REF!</v>
      </c>
      <c r="PKL247" s="29" t="e">
        <f t="shared" si="217"/>
        <v>#REF!</v>
      </c>
      <c r="PKM247" s="29" t="e">
        <f t="shared" si="217"/>
        <v>#REF!</v>
      </c>
      <c r="PKN247" s="29" t="e">
        <f t="shared" si="217"/>
        <v>#REF!</v>
      </c>
      <c r="PKO247" s="29" t="e">
        <f t="shared" si="217"/>
        <v>#REF!</v>
      </c>
      <c r="PKP247" s="29" t="e">
        <f t="shared" si="217"/>
        <v>#REF!</v>
      </c>
      <c r="PKQ247" s="29" t="e">
        <f t="shared" si="217"/>
        <v>#REF!</v>
      </c>
      <c r="PKR247" s="29" t="e">
        <f t="shared" si="217"/>
        <v>#REF!</v>
      </c>
      <c r="PKS247" s="29" t="e">
        <f t="shared" si="217"/>
        <v>#REF!</v>
      </c>
      <c r="PKT247" s="29" t="e">
        <f t="shared" si="217"/>
        <v>#REF!</v>
      </c>
      <c r="PKU247" s="29" t="e">
        <f t="shared" si="217"/>
        <v>#REF!</v>
      </c>
      <c r="PKV247" s="29" t="e">
        <f t="shared" si="217"/>
        <v>#REF!</v>
      </c>
      <c r="PKW247" s="29" t="e">
        <f t="shared" si="217"/>
        <v>#REF!</v>
      </c>
      <c r="PKX247" s="29" t="e">
        <f t="shared" si="217"/>
        <v>#REF!</v>
      </c>
      <c r="PKY247" s="29" t="e">
        <f t="shared" si="217"/>
        <v>#REF!</v>
      </c>
      <c r="PKZ247" s="29" t="e">
        <f t="shared" si="217"/>
        <v>#REF!</v>
      </c>
      <c r="PLA247" s="29" t="e">
        <f t="shared" si="217"/>
        <v>#REF!</v>
      </c>
      <c r="PLB247" s="29" t="e">
        <f t="shared" si="217"/>
        <v>#REF!</v>
      </c>
      <c r="PLC247" s="29" t="e">
        <f t="shared" si="217"/>
        <v>#REF!</v>
      </c>
      <c r="PLD247" s="29" t="e">
        <f t="shared" si="217"/>
        <v>#REF!</v>
      </c>
      <c r="PLE247" s="29" t="e">
        <f t="shared" si="217"/>
        <v>#REF!</v>
      </c>
      <c r="PLF247" s="29" t="e">
        <f t="shared" si="217"/>
        <v>#REF!</v>
      </c>
      <c r="PLG247" s="29" t="e">
        <f t="shared" si="217"/>
        <v>#REF!</v>
      </c>
      <c r="PLH247" s="29" t="e">
        <f t="shared" si="217"/>
        <v>#REF!</v>
      </c>
      <c r="PLI247" s="29" t="e">
        <f t="shared" si="217"/>
        <v>#REF!</v>
      </c>
      <c r="PLJ247" s="29" t="e">
        <f t="shared" si="217"/>
        <v>#REF!</v>
      </c>
      <c r="PLK247" s="29" t="e">
        <f t="shared" si="217"/>
        <v>#REF!</v>
      </c>
      <c r="PLL247" s="29" t="e">
        <f t="shared" si="217"/>
        <v>#REF!</v>
      </c>
      <c r="PLM247" s="29" t="e">
        <f t="shared" si="217"/>
        <v>#REF!</v>
      </c>
      <c r="PLN247" s="29" t="e">
        <f t="shared" si="217"/>
        <v>#REF!</v>
      </c>
      <c r="PLO247" s="29" t="e">
        <f t="shared" si="217"/>
        <v>#REF!</v>
      </c>
      <c r="PLP247" s="29" t="e">
        <f t="shared" si="217"/>
        <v>#REF!</v>
      </c>
      <c r="PLQ247" s="29" t="e">
        <f t="shared" si="217"/>
        <v>#REF!</v>
      </c>
      <c r="PLR247" s="29" t="e">
        <f t="shared" si="217"/>
        <v>#REF!</v>
      </c>
      <c r="PLS247" s="29" t="e">
        <f t="shared" si="217"/>
        <v>#REF!</v>
      </c>
      <c r="PLT247" s="29" t="e">
        <f t="shared" si="217"/>
        <v>#REF!</v>
      </c>
      <c r="PLU247" s="29" t="e">
        <f t="shared" si="217"/>
        <v>#REF!</v>
      </c>
      <c r="PLV247" s="29" t="e">
        <f t="shared" si="217"/>
        <v>#REF!</v>
      </c>
      <c r="PLW247" s="29" t="e">
        <f t="shared" si="217"/>
        <v>#REF!</v>
      </c>
      <c r="PLX247" s="29" t="e">
        <f t="shared" si="217"/>
        <v>#REF!</v>
      </c>
      <c r="PLY247" s="29" t="e">
        <f t="shared" ref="PLY247:POJ247" si="218">PMC247&amp;PMD247</f>
        <v>#REF!</v>
      </c>
      <c r="PLZ247" s="29" t="e">
        <f t="shared" si="218"/>
        <v>#REF!</v>
      </c>
      <c r="PMA247" s="29" t="e">
        <f t="shared" si="218"/>
        <v>#REF!</v>
      </c>
      <c r="PMB247" s="29" t="e">
        <f t="shared" si="218"/>
        <v>#REF!</v>
      </c>
      <c r="PMC247" s="29" t="e">
        <f t="shared" si="218"/>
        <v>#REF!</v>
      </c>
      <c r="PMD247" s="29" t="e">
        <f t="shared" si="218"/>
        <v>#REF!</v>
      </c>
      <c r="PME247" s="29" t="e">
        <f t="shared" si="218"/>
        <v>#REF!</v>
      </c>
      <c r="PMF247" s="29" t="e">
        <f t="shared" si="218"/>
        <v>#REF!</v>
      </c>
      <c r="PMG247" s="29" t="e">
        <f t="shared" si="218"/>
        <v>#REF!</v>
      </c>
      <c r="PMH247" s="29" t="e">
        <f t="shared" si="218"/>
        <v>#REF!</v>
      </c>
      <c r="PMI247" s="29" t="e">
        <f t="shared" si="218"/>
        <v>#REF!</v>
      </c>
      <c r="PMJ247" s="29" t="e">
        <f t="shared" si="218"/>
        <v>#REF!</v>
      </c>
      <c r="PMK247" s="29" t="e">
        <f t="shared" si="218"/>
        <v>#REF!</v>
      </c>
      <c r="PML247" s="29" t="e">
        <f t="shared" si="218"/>
        <v>#REF!</v>
      </c>
      <c r="PMM247" s="29" t="e">
        <f t="shared" si="218"/>
        <v>#REF!</v>
      </c>
      <c r="PMN247" s="29" t="e">
        <f t="shared" si="218"/>
        <v>#REF!</v>
      </c>
      <c r="PMO247" s="29" t="e">
        <f t="shared" si="218"/>
        <v>#REF!</v>
      </c>
      <c r="PMP247" s="29" t="e">
        <f t="shared" si="218"/>
        <v>#REF!</v>
      </c>
      <c r="PMQ247" s="29" t="e">
        <f t="shared" si="218"/>
        <v>#REF!</v>
      </c>
      <c r="PMR247" s="29" t="e">
        <f t="shared" si="218"/>
        <v>#REF!</v>
      </c>
      <c r="PMS247" s="29" t="e">
        <f t="shared" si="218"/>
        <v>#REF!</v>
      </c>
      <c r="PMT247" s="29" t="e">
        <f t="shared" si="218"/>
        <v>#REF!</v>
      </c>
      <c r="PMU247" s="29" t="e">
        <f t="shared" si="218"/>
        <v>#REF!</v>
      </c>
      <c r="PMV247" s="29" t="e">
        <f t="shared" si="218"/>
        <v>#REF!</v>
      </c>
      <c r="PMW247" s="29" t="e">
        <f t="shared" si="218"/>
        <v>#REF!</v>
      </c>
      <c r="PMX247" s="29" t="e">
        <f t="shared" si="218"/>
        <v>#REF!</v>
      </c>
      <c r="PMY247" s="29" t="e">
        <f t="shared" si="218"/>
        <v>#REF!</v>
      </c>
      <c r="PMZ247" s="29" t="e">
        <f t="shared" si="218"/>
        <v>#REF!</v>
      </c>
      <c r="PNA247" s="29" t="e">
        <f t="shared" si="218"/>
        <v>#REF!</v>
      </c>
      <c r="PNB247" s="29" t="e">
        <f t="shared" si="218"/>
        <v>#REF!</v>
      </c>
      <c r="PNC247" s="29" t="e">
        <f t="shared" si="218"/>
        <v>#REF!</v>
      </c>
      <c r="PND247" s="29" t="e">
        <f t="shared" si="218"/>
        <v>#REF!</v>
      </c>
      <c r="PNE247" s="29" t="e">
        <f t="shared" si="218"/>
        <v>#REF!</v>
      </c>
      <c r="PNF247" s="29" t="e">
        <f t="shared" si="218"/>
        <v>#REF!</v>
      </c>
      <c r="PNG247" s="29" t="e">
        <f t="shared" si="218"/>
        <v>#REF!</v>
      </c>
      <c r="PNH247" s="29" t="e">
        <f t="shared" si="218"/>
        <v>#REF!</v>
      </c>
      <c r="PNI247" s="29" t="e">
        <f t="shared" si="218"/>
        <v>#REF!</v>
      </c>
      <c r="PNJ247" s="29" t="e">
        <f t="shared" si="218"/>
        <v>#REF!</v>
      </c>
      <c r="PNK247" s="29" t="e">
        <f t="shared" si="218"/>
        <v>#REF!</v>
      </c>
      <c r="PNL247" s="29" t="e">
        <f t="shared" si="218"/>
        <v>#REF!</v>
      </c>
      <c r="PNM247" s="29" t="e">
        <f t="shared" si="218"/>
        <v>#REF!</v>
      </c>
      <c r="PNN247" s="29" t="e">
        <f t="shared" si="218"/>
        <v>#REF!</v>
      </c>
      <c r="PNO247" s="29" t="e">
        <f t="shared" si="218"/>
        <v>#REF!</v>
      </c>
      <c r="PNP247" s="29" t="e">
        <f t="shared" si="218"/>
        <v>#REF!</v>
      </c>
      <c r="PNQ247" s="29" t="e">
        <f t="shared" si="218"/>
        <v>#REF!</v>
      </c>
      <c r="PNR247" s="29" t="e">
        <f t="shared" si="218"/>
        <v>#REF!</v>
      </c>
      <c r="PNS247" s="29" t="e">
        <f t="shared" si="218"/>
        <v>#REF!</v>
      </c>
      <c r="PNT247" s="29" t="e">
        <f t="shared" si="218"/>
        <v>#REF!</v>
      </c>
      <c r="PNU247" s="29" t="e">
        <f t="shared" si="218"/>
        <v>#REF!</v>
      </c>
      <c r="PNV247" s="29" t="e">
        <f t="shared" si="218"/>
        <v>#REF!</v>
      </c>
      <c r="PNW247" s="29" t="e">
        <f t="shared" si="218"/>
        <v>#REF!</v>
      </c>
      <c r="PNX247" s="29" t="e">
        <f t="shared" si="218"/>
        <v>#REF!</v>
      </c>
      <c r="PNY247" s="29" t="e">
        <f t="shared" si="218"/>
        <v>#REF!</v>
      </c>
      <c r="PNZ247" s="29" t="e">
        <f t="shared" si="218"/>
        <v>#REF!</v>
      </c>
      <c r="POA247" s="29" t="e">
        <f t="shared" si="218"/>
        <v>#REF!</v>
      </c>
      <c r="POB247" s="29" t="e">
        <f t="shared" si="218"/>
        <v>#REF!</v>
      </c>
      <c r="POC247" s="29" t="e">
        <f t="shared" si="218"/>
        <v>#REF!</v>
      </c>
      <c r="POD247" s="29" t="e">
        <f t="shared" si="218"/>
        <v>#REF!</v>
      </c>
      <c r="POE247" s="29" t="e">
        <f t="shared" si="218"/>
        <v>#REF!</v>
      </c>
      <c r="POF247" s="29" t="e">
        <f t="shared" si="218"/>
        <v>#REF!</v>
      </c>
      <c r="POG247" s="29" t="e">
        <f t="shared" si="218"/>
        <v>#REF!</v>
      </c>
      <c r="POH247" s="29" t="e">
        <f t="shared" si="218"/>
        <v>#REF!</v>
      </c>
      <c r="POI247" s="29" t="e">
        <f t="shared" si="218"/>
        <v>#REF!</v>
      </c>
      <c r="POJ247" s="29" t="e">
        <f t="shared" si="218"/>
        <v>#REF!</v>
      </c>
      <c r="POK247" s="29" t="e">
        <f t="shared" ref="POK247:PQV247" si="219">POO247&amp;POP247</f>
        <v>#REF!</v>
      </c>
      <c r="POL247" s="29" t="e">
        <f t="shared" si="219"/>
        <v>#REF!</v>
      </c>
      <c r="POM247" s="29" t="e">
        <f t="shared" si="219"/>
        <v>#REF!</v>
      </c>
      <c r="PON247" s="29" t="e">
        <f t="shared" si="219"/>
        <v>#REF!</v>
      </c>
      <c r="POO247" s="29" t="e">
        <f t="shared" si="219"/>
        <v>#REF!</v>
      </c>
      <c r="POP247" s="29" t="e">
        <f t="shared" si="219"/>
        <v>#REF!</v>
      </c>
      <c r="POQ247" s="29" t="e">
        <f t="shared" si="219"/>
        <v>#REF!</v>
      </c>
      <c r="POR247" s="29" t="e">
        <f t="shared" si="219"/>
        <v>#REF!</v>
      </c>
      <c r="POS247" s="29" t="e">
        <f t="shared" si="219"/>
        <v>#REF!</v>
      </c>
      <c r="POT247" s="29" t="e">
        <f t="shared" si="219"/>
        <v>#REF!</v>
      </c>
      <c r="POU247" s="29" t="e">
        <f t="shared" si="219"/>
        <v>#REF!</v>
      </c>
      <c r="POV247" s="29" t="e">
        <f t="shared" si="219"/>
        <v>#REF!</v>
      </c>
      <c r="POW247" s="29" t="e">
        <f t="shared" si="219"/>
        <v>#REF!</v>
      </c>
      <c r="POX247" s="29" t="e">
        <f t="shared" si="219"/>
        <v>#REF!</v>
      </c>
      <c r="POY247" s="29" t="e">
        <f t="shared" si="219"/>
        <v>#REF!</v>
      </c>
      <c r="POZ247" s="29" t="e">
        <f t="shared" si="219"/>
        <v>#REF!</v>
      </c>
      <c r="PPA247" s="29" t="e">
        <f t="shared" si="219"/>
        <v>#REF!</v>
      </c>
      <c r="PPB247" s="29" t="e">
        <f t="shared" si="219"/>
        <v>#REF!</v>
      </c>
      <c r="PPC247" s="29" t="e">
        <f t="shared" si="219"/>
        <v>#REF!</v>
      </c>
      <c r="PPD247" s="29" t="e">
        <f t="shared" si="219"/>
        <v>#REF!</v>
      </c>
      <c r="PPE247" s="29" t="e">
        <f t="shared" si="219"/>
        <v>#REF!</v>
      </c>
      <c r="PPF247" s="29" t="e">
        <f t="shared" si="219"/>
        <v>#REF!</v>
      </c>
      <c r="PPG247" s="29" t="e">
        <f t="shared" si="219"/>
        <v>#REF!</v>
      </c>
      <c r="PPH247" s="29" t="e">
        <f t="shared" si="219"/>
        <v>#REF!</v>
      </c>
      <c r="PPI247" s="29" t="e">
        <f t="shared" si="219"/>
        <v>#REF!</v>
      </c>
      <c r="PPJ247" s="29" t="e">
        <f t="shared" si="219"/>
        <v>#REF!</v>
      </c>
      <c r="PPK247" s="29" t="e">
        <f t="shared" si="219"/>
        <v>#REF!</v>
      </c>
      <c r="PPL247" s="29" t="e">
        <f t="shared" si="219"/>
        <v>#REF!</v>
      </c>
      <c r="PPM247" s="29" t="e">
        <f t="shared" si="219"/>
        <v>#REF!</v>
      </c>
      <c r="PPN247" s="29" t="e">
        <f t="shared" si="219"/>
        <v>#REF!</v>
      </c>
      <c r="PPO247" s="29" t="e">
        <f t="shared" si="219"/>
        <v>#REF!</v>
      </c>
      <c r="PPP247" s="29" t="e">
        <f t="shared" si="219"/>
        <v>#REF!</v>
      </c>
      <c r="PPQ247" s="29" t="e">
        <f t="shared" si="219"/>
        <v>#REF!</v>
      </c>
      <c r="PPR247" s="29" t="e">
        <f t="shared" si="219"/>
        <v>#REF!</v>
      </c>
      <c r="PPS247" s="29" t="e">
        <f t="shared" si="219"/>
        <v>#REF!</v>
      </c>
      <c r="PPT247" s="29" t="e">
        <f t="shared" si="219"/>
        <v>#REF!</v>
      </c>
      <c r="PPU247" s="29" t="e">
        <f t="shared" si="219"/>
        <v>#REF!</v>
      </c>
      <c r="PPV247" s="29" t="e">
        <f t="shared" si="219"/>
        <v>#REF!</v>
      </c>
      <c r="PPW247" s="29" t="e">
        <f t="shared" si="219"/>
        <v>#REF!</v>
      </c>
      <c r="PPX247" s="29" t="e">
        <f t="shared" si="219"/>
        <v>#REF!</v>
      </c>
      <c r="PPY247" s="29" t="e">
        <f t="shared" si="219"/>
        <v>#REF!</v>
      </c>
      <c r="PPZ247" s="29" t="e">
        <f t="shared" si="219"/>
        <v>#REF!</v>
      </c>
      <c r="PQA247" s="29" t="e">
        <f t="shared" si="219"/>
        <v>#REF!</v>
      </c>
      <c r="PQB247" s="29" t="e">
        <f t="shared" si="219"/>
        <v>#REF!</v>
      </c>
      <c r="PQC247" s="29" t="e">
        <f t="shared" si="219"/>
        <v>#REF!</v>
      </c>
      <c r="PQD247" s="29" t="e">
        <f t="shared" si="219"/>
        <v>#REF!</v>
      </c>
      <c r="PQE247" s="29" t="e">
        <f t="shared" si="219"/>
        <v>#REF!</v>
      </c>
      <c r="PQF247" s="29" t="e">
        <f t="shared" si="219"/>
        <v>#REF!</v>
      </c>
      <c r="PQG247" s="29" t="e">
        <f t="shared" si="219"/>
        <v>#REF!</v>
      </c>
      <c r="PQH247" s="29" t="e">
        <f t="shared" si="219"/>
        <v>#REF!</v>
      </c>
      <c r="PQI247" s="29" t="e">
        <f t="shared" si="219"/>
        <v>#REF!</v>
      </c>
      <c r="PQJ247" s="29" t="e">
        <f t="shared" si="219"/>
        <v>#REF!</v>
      </c>
      <c r="PQK247" s="29" t="e">
        <f t="shared" si="219"/>
        <v>#REF!</v>
      </c>
      <c r="PQL247" s="29" t="e">
        <f t="shared" si="219"/>
        <v>#REF!</v>
      </c>
      <c r="PQM247" s="29" t="e">
        <f t="shared" si="219"/>
        <v>#REF!</v>
      </c>
      <c r="PQN247" s="29" t="e">
        <f t="shared" si="219"/>
        <v>#REF!</v>
      </c>
      <c r="PQO247" s="29" t="e">
        <f t="shared" si="219"/>
        <v>#REF!</v>
      </c>
      <c r="PQP247" s="29" t="e">
        <f t="shared" si="219"/>
        <v>#REF!</v>
      </c>
      <c r="PQQ247" s="29" t="e">
        <f t="shared" si="219"/>
        <v>#REF!</v>
      </c>
      <c r="PQR247" s="29" t="e">
        <f t="shared" si="219"/>
        <v>#REF!</v>
      </c>
      <c r="PQS247" s="29" t="e">
        <f t="shared" si="219"/>
        <v>#REF!</v>
      </c>
      <c r="PQT247" s="29" t="e">
        <f t="shared" si="219"/>
        <v>#REF!</v>
      </c>
      <c r="PQU247" s="29" t="e">
        <f t="shared" si="219"/>
        <v>#REF!</v>
      </c>
      <c r="PQV247" s="29" t="e">
        <f t="shared" si="219"/>
        <v>#REF!</v>
      </c>
      <c r="PQW247" s="29" t="e">
        <f t="shared" ref="PQW247:PTH247" si="220">PRA247&amp;PRB247</f>
        <v>#REF!</v>
      </c>
      <c r="PQX247" s="29" t="e">
        <f t="shared" si="220"/>
        <v>#REF!</v>
      </c>
      <c r="PQY247" s="29" t="e">
        <f t="shared" si="220"/>
        <v>#REF!</v>
      </c>
      <c r="PQZ247" s="29" t="e">
        <f t="shared" si="220"/>
        <v>#REF!</v>
      </c>
      <c r="PRA247" s="29" t="e">
        <f t="shared" si="220"/>
        <v>#REF!</v>
      </c>
      <c r="PRB247" s="29" t="e">
        <f t="shared" si="220"/>
        <v>#REF!</v>
      </c>
      <c r="PRC247" s="29" t="e">
        <f t="shared" si="220"/>
        <v>#REF!</v>
      </c>
      <c r="PRD247" s="29" t="e">
        <f t="shared" si="220"/>
        <v>#REF!</v>
      </c>
      <c r="PRE247" s="29" t="e">
        <f t="shared" si="220"/>
        <v>#REF!</v>
      </c>
      <c r="PRF247" s="29" t="e">
        <f t="shared" si="220"/>
        <v>#REF!</v>
      </c>
      <c r="PRG247" s="29" t="e">
        <f t="shared" si="220"/>
        <v>#REF!</v>
      </c>
      <c r="PRH247" s="29" t="e">
        <f t="shared" si="220"/>
        <v>#REF!</v>
      </c>
      <c r="PRI247" s="29" t="e">
        <f t="shared" si="220"/>
        <v>#REF!</v>
      </c>
      <c r="PRJ247" s="29" t="e">
        <f t="shared" si="220"/>
        <v>#REF!</v>
      </c>
      <c r="PRK247" s="29" t="e">
        <f t="shared" si="220"/>
        <v>#REF!</v>
      </c>
      <c r="PRL247" s="29" t="e">
        <f t="shared" si="220"/>
        <v>#REF!</v>
      </c>
      <c r="PRM247" s="29" t="e">
        <f t="shared" si="220"/>
        <v>#REF!</v>
      </c>
      <c r="PRN247" s="29" t="e">
        <f t="shared" si="220"/>
        <v>#REF!</v>
      </c>
      <c r="PRO247" s="29" t="e">
        <f t="shared" si="220"/>
        <v>#REF!</v>
      </c>
      <c r="PRP247" s="29" t="e">
        <f t="shared" si="220"/>
        <v>#REF!</v>
      </c>
      <c r="PRQ247" s="29" t="e">
        <f t="shared" si="220"/>
        <v>#REF!</v>
      </c>
      <c r="PRR247" s="29" t="e">
        <f t="shared" si="220"/>
        <v>#REF!</v>
      </c>
      <c r="PRS247" s="29" t="e">
        <f t="shared" si="220"/>
        <v>#REF!</v>
      </c>
      <c r="PRT247" s="29" t="e">
        <f t="shared" si="220"/>
        <v>#REF!</v>
      </c>
      <c r="PRU247" s="29" t="e">
        <f t="shared" si="220"/>
        <v>#REF!</v>
      </c>
      <c r="PRV247" s="29" t="e">
        <f t="shared" si="220"/>
        <v>#REF!</v>
      </c>
      <c r="PRW247" s="29" t="e">
        <f t="shared" si="220"/>
        <v>#REF!</v>
      </c>
      <c r="PRX247" s="29" t="e">
        <f t="shared" si="220"/>
        <v>#REF!</v>
      </c>
      <c r="PRY247" s="29" t="e">
        <f t="shared" si="220"/>
        <v>#REF!</v>
      </c>
      <c r="PRZ247" s="29" t="e">
        <f t="shared" si="220"/>
        <v>#REF!</v>
      </c>
      <c r="PSA247" s="29" t="e">
        <f t="shared" si="220"/>
        <v>#REF!</v>
      </c>
      <c r="PSB247" s="29" t="e">
        <f t="shared" si="220"/>
        <v>#REF!</v>
      </c>
      <c r="PSC247" s="29" t="e">
        <f t="shared" si="220"/>
        <v>#REF!</v>
      </c>
      <c r="PSD247" s="29" t="e">
        <f t="shared" si="220"/>
        <v>#REF!</v>
      </c>
      <c r="PSE247" s="29" t="e">
        <f t="shared" si="220"/>
        <v>#REF!</v>
      </c>
      <c r="PSF247" s="29" t="e">
        <f t="shared" si="220"/>
        <v>#REF!</v>
      </c>
      <c r="PSG247" s="29" t="e">
        <f t="shared" si="220"/>
        <v>#REF!</v>
      </c>
      <c r="PSH247" s="29" t="e">
        <f t="shared" si="220"/>
        <v>#REF!</v>
      </c>
      <c r="PSI247" s="29" t="e">
        <f t="shared" si="220"/>
        <v>#REF!</v>
      </c>
      <c r="PSJ247" s="29" t="e">
        <f t="shared" si="220"/>
        <v>#REF!</v>
      </c>
      <c r="PSK247" s="29" t="e">
        <f t="shared" si="220"/>
        <v>#REF!</v>
      </c>
      <c r="PSL247" s="29" t="e">
        <f t="shared" si="220"/>
        <v>#REF!</v>
      </c>
      <c r="PSM247" s="29" t="e">
        <f t="shared" si="220"/>
        <v>#REF!</v>
      </c>
      <c r="PSN247" s="29" t="e">
        <f t="shared" si="220"/>
        <v>#REF!</v>
      </c>
      <c r="PSO247" s="29" t="e">
        <f t="shared" si="220"/>
        <v>#REF!</v>
      </c>
      <c r="PSP247" s="29" t="e">
        <f t="shared" si="220"/>
        <v>#REF!</v>
      </c>
      <c r="PSQ247" s="29" t="e">
        <f t="shared" si="220"/>
        <v>#REF!</v>
      </c>
      <c r="PSR247" s="29" t="e">
        <f t="shared" si="220"/>
        <v>#REF!</v>
      </c>
      <c r="PSS247" s="29" t="e">
        <f t="shared" si="220"/>
        <v>#REF!</v>
      </c>
      <c r="PST247" s="29" t="e">
        <f t="shared" si="220"/>
        <v>#REF!</v>
      </c>
      <c r="PSU247" s="29" t="e">
        <f t="shared" si="220"/>
        <v>#REF!</v>
      </c>
      <c r="PSV247" s="29" t="e">
        <f t="shared" si="220"/>
        <v>#REF!</v>
      </c>
      <c r="PSW247" s="29" t="e">
        <f t="shared" si="220"/>
        <v>#REF!</v>
      </c>
      <c r="PSX247" s="29" t="e">
        <f t="shared" si="220"/>
        <v>#REF!</v>
      </c>
      <c r="PSY247" s="29" t="e">
        <f t="shared" si="220"/>
        <v>#REF!</v>
      </c>
      <c r="PSZ247" s="29" t="e">
        <f t="shared" si="220"/>
        <v>#REF!</v>
      </c>
      <c r="PTA247" s="29" t="e">
        <f t="shared" si="220"/>
        <v>#REF!</v>
      </c>
      <c r="PTB247" s="29" t="e">
        <f t="shared" si="220"/>
        <v>#REF!</v>
      </c>
      <c r="PTC247" s="29" t="e">
        <f t="shared" si="220"/>
        <v>#REF!</v>
      </c>
      <c r="PTD247" s="29" t="e">
        <f t="shared" si="220"/>
        <v>#REF!</v>
      </c>
      <c r="PTE247" s="29" t="e">
        <f t="shared" si="220"/>
        <v>#REF!</v>
      </c>
      <c r="PTF247" s="29" t="e">
        <f t="shared" si="220"/>
        <v>#REF!</v>
      </c>
      <c r="PTG247" s="29" t="e">
        <f t="shared" si="220"/>
        <v>#REF!</v>
      </c>
      <c r="PTH247" s="29" t="e">
        <f t="shared" si="220"/>
        <v>#REF!</v>
      </c>
      <c r="PTI247" s="29" t="e">
        <f t="shared" ref="PTI247:PVT247" si="221">PTM247&amp;PTN247</f>
        <v>#REF!</v>
      </c>
      <c r="PTJ247" s="29" t="e">
        <f t="shared" si="221"/>
        <v>#REF!</v>
      </c>
      <c r="PTK247" s="29" t="e">
        <f t="shared" si="221"/>
        <v>#REF!</v>
      </c>
      <c r="PTL247" s="29" t="e">
        <f t="shared" si="221"/>
        <v>#REF!</v>
      </c>
      <c r="PTM247" s="29" t="e">
        <f t="shared" si="221"/>
        <v>#REF!</v>
      </c>
      <c r="PTN247" s="29" t="e">
        <f t="shared" si="221"/>
        <v>#REF!</v>
      </c>
      <c r="PTO247" s="29" t="e">
        <f t="shared" si="221"/>
        <v>#REF!</v>
      </c>
      <c r="PTP247" s="29" t="e">
        <f t="shared" si="221"/>
        <v>#REF!</v>
      </c>
      <c r="PTQ247" s="29" t="e">
        <f t="shared" si="221"/>
        <v>#REF!</v>
      </c>
      <c r="PTR247" s="29" t="e">
        <f t="shared" si="221"/>
        <v>#REF!</v>
      </c>
      <c r="PTS247" s="29" t="e">
        <f t="shared" si="221"/>
        <v>#REF!</v>
      </c>
      <c r="PTT247" s="29" t="e">
        <f t="shared" si="221"/>
        <v>#REF!</v>
      </c>
      <c r="PTU247" s="29" t="e">
        <f t="shared" si="221"/>
        <v>#REF!</v>
      </c>
      <c r="PTV247" s="29" t="e">
        <f t="shared" si="221"/>
        <v>#REF!</v>
      </c>
      <c r="PTW247" s="29" t="e">
        <f t="shared" si="221"/>
        <v>#REF!</v>
      </c>
      <c r="PTX247" s="29" t="e">
        <f t="shared" si="221"/>
        <v>#REF!</v>
      </c>
      <c r="PTY247" s="29" t="e">
        <f t="shared" si="221"/>
        <v>#REF!</v>
      </c>
      <c r="PTZ247" s="29" t="e">
        <f t="shared" si="221"/>
        <v>#REF!</v>
      </c>
      <c r="PUA247" s="29" t="e">
        <f t="shared" si="221"/>
        <v>#REF!</v>
      </c>
      <c r="PUB247" s="29" t="e">
        <f t="shared" si="221"/>
        <v>#REF!</v>
      </c>
      <c r="PUC247" s="29" t="e">
        <f t="shared" si="221"/>
        <v>#REF!</v>
      </c>
      <c r="PUD247" s="29" t="e">
        <f t="shared" si="221"/>
        <v>#REF!</v>
      </c>
      <c r="PUE247" s="29" t="e">
        <f t="shared" si="221"/>
        <v>#REF!</v>
      </c>
      <c r="PUF247" s="29" t="e">
        <f t="shared" si="221"/>
        <v>#REF!</v>
      </c>
      <c r="PUG247" s="29" t="e">
        <f t="shared" si="221"/>
        <v>#REF!</v>
      </c>
      <c r="PUH247" s="29" t="e">
        <f t="shared" si="221"/>
        <v>#REF!</v>
      </c>
      <c r="PUI247" s="29" t="e">
        <f t="shared" si="221"/>
        <v>#REF!</v>
      </c>
      <c r="PUJ247" s="29" t="e">
        <f t="shared" si="221"/>
        <v>#REF!</v>
      </c>
      <c r="PUK247" s="29" t="e">
        <f t="shared" si="221"/>
        <v>#REF!</v>
      </c>
      <c r="PUL247" s="29" t="e">
        <f t="shared" si="221"/>
        <v>#REF!</v>
      </c>
      <c r="PUM247" s="29" t="e">
        <f t="shared" si="221"/>
        <v>#REF!</v>
      </c>
      <c r="PUN247" s="29" t="e">
        <f t="shared" si="221"/>
        <v>#REF!</v>
      </c>
      <c r="PUO247" s="29" t="e">
        <f t="shared" si="221"/>
        <v>#REF!</v>
      </c>
      <c r="PUP247" s="29" t="e">
        <f t="shared" si="221"/>
        <v>#REF!</v>
      </c>
      <c r="PUQ247" s="29" t="e">
        <f t="shared" si="221"/>
        <v>#REF!</v>
      </c>
      <c r="PUR247" s="29" t="e">
        <f t="shared" si="221"/>
        <v>#REF!</v>
      </c>
      <c r="PUS247" s="29" t="e">
        <f t="shared" si="221"/>
        <v>#REF!</v>
      </c>
      <c r="PUT247" s="29" t="e">
        <f t="shared" si="221"/>
        <v>#REF!</v>
      </c>
      <c r="PUU247" s="29" t="e">
        <f t="shared" si="221"/>
        <v>#REF!</v>
      </c>
      <c r="PUV247" s="29" t="e">
        <f t="shared" si="221"/>
        <v>#REF!</v>
      </c>
      <c r="PUW247" s="29" t="e">
        <f t="shared" si="221"/>
        <v>#REF!</v>
      </c>
      <c r="PUX247" s="29" t="e">
        <f t="shared" si="221"/>
        <v>#REF!</v>
      </c>
      <c r="PUY247" s="29" t="e">
        <f t="shared" si="221"/>
        <v>#REF!</v>
      </c>
      <c r="PUZ247" s="29" t="e">
        <f t="shared" si="221"/>
        <v>#REF!</v>
      </c>
      <c r="PVA247" s="29" t="e">
        <f t="shared" si="221"/>
        <v>#REF!</v>
      </c>
      <c r="PVB247" s="29" t="e">
        <f t="shared" si="221"/>
        <v>#REF!</v>
      </c>
      <c r="PVC247" s="29" t="e">
        <f t="shared" si="221"/>
        <v>#REF!</v>
      </c>
      <c r="PVD247" s="29" t="e">
        <f t="shared" si="221"/>
        <v>#REF!</v>
      </c>
      <c r="PVE247" s="29" t="e">
        <f t="shared" si="221"/>
        <v>#REF!</v>
      </c>
      <c r="PVF247" s="29" t="e">
        <f t="shared" si="221"/>
        <v>#REF!</v>
      </c>
      <c r="PVG247" s="29" t="e">
        <f t="shared" si="221"/>
        <v>#REF!</v>
      </c>
      <c r="PVH247" s="29" t="e">
        <f t="shared" si="221"/>
        <v>#REF!</v>
      </c>
      <c r="PVI247" s="29" t="e">
        <f t="shared" si="221"/>
        <v>#REF!</v>
      </c>
      <c r="PVJ247" s="29" t="e">
        <f t="shared" si="221"/>
        <v>#REF!</v>
      </c>
      <c r="PVK247" s="29" t="e">
        <f t="shared" si="221"/>
        <v>#REF!</v>
      </c>
      <c r="PVL247" s="29" t="e">
        <f t="shared" si="221"/>
        <v>#REF!</v>
      </c>
      <c r="PVM247" s="29" t="e">
        <f t="shared" si="221"/>
        <v>#REF!</v>
      </c>
      <c r="PVN247" s="29" t="e">
        <f t="shared" si="221"/>
        <v>#REF!</v>
      </c>
      <c r="PVO247" s="29" t="e">
        <f t="shared" si="221"/>
        <v>#REF!</v>
      </c>
      <c r="PVP247" s="29" t="e">
        <f t="shared" si="221"/>
        <v>#REF!</v>
      </c>
      <c r="PVQ247" s="29" t="e">
        <f t="shared" si="221"/>
        <v>#REF!</v>
      </c>
      <c r="PVR247" s="29" t="e">
        <f t="shared" si="221"/>
        <v>#REF!</v>
      </c>
      <c r="PVS247" s="29" t="e">
        <f t="shared" si="221"/>
        <v>#REF!</v>
      </c>
      <c r="PVT247" s="29" t="e">
        <f t="shared" si="221"/>
        <v>#REF!</v>
      </c>
      <c r="PVU247" s="29" t="e">
        <f t="shared" ref="PVU247:PYF247" si="222">PVY247&amp;PVZ247</f>
        <v>#REF!</v>
      </c>
      <c r="PVV247" s="29" t="e">
        <f t="shared" si="222"/>
        <v>#REF!</v>
      </c>
      <c r="PVW247" s="29" t="e">
        <f t="shared" si="222"/>
        <v>#REF!</v>
      </c>
      <c r="PVX247" s="29" t="e">
        <f t="shared" si="222"/>
        <v>#REF!</v>
      </c>
      <c r="PVY247" s="29" t="e">
        <f t="shared" si="222"/>
        <v>#REF!</v>
      </c>
      <c r="PVZ247" s="29" t="e">
        <f t="shared" si="222"/>
        <v>#REF!</v>
      </c>
      <c r="PWA247" s="29" t="e">
        <f t="shared" si="222"/>
        <v>#REF!</v>
      </c>
      <c r="PWB247" s="29" t="e">
        <f t="shared" si="222"/>
        <v>#REF!</v>
      </c>
      <c r="PWC247" s="29" t="e">
        <f t="shared" si="222"/>
        <v>#REF!</v>
      </c>
      <c r="PWD247" s="29" t="e">
        <f t="shared" si="222"/>
        <v>#REF!</v>
      </c>
      <c r="PWE247" s="29" t="e">
        <f t="shared" si="222"/>
        <v>#REF!</v>
      </c>
      <c r="PWF247" s="29" t="e">
        <f t="shared" si="222"/>
        <v>#REF!</v>
      </c>
      <c r="PWG247" s="29" t="e">
        <f t="shared" si="222"/>
        <v>#REF!</v>
      </c>
      <c r="PWH247" s="29" t="e">
        <f t="shared" si="222"/>
        <v>#REF!</v>
      </c>
      <c r="PWI247" s="29" t="e">
        <f t="shared" si="222"/>
        <v>#REF!</v>
      </c>
      <c r="PWJ247" s="29" t="e">
        <f t="shared" si="222"/>
        <v>#REF!</v>
      </c>
      <c r="PWK247" s="29" t="e">
        <f t="shared" si="222"/>
        <v>#REF!</v>
      </c>
      <c r="PWL247" s="29" t="e">
        <f t="shared" si="222"/>
        <v>#REF!</v>
      </c>
      <c r="PWM247" s="29" t="e">
        <f t="shared" si="222"/>
        <v>#REF!</v>
      </c>
      <c r="PWN247" s="29" t="e">
        <f t="shared" si="222"/>
        <v>#REF!</v>
      </c>
      <c r="PWO247" s="29" t="e">
        <f t="shared" si="222"/>
        <v>#REF!</v>
      </c>
      <c r="PWP247" s="29" t="e">
        <f t="shared" si="222"/>
        <v>#REF!</v>
      </c>
      <c r="PWQ247" s="29" t="e">
        <f t="shared" si="222"/>
        <v>#REF!</v>
      </c>
      <c r="PWR247" s="29" t="e">
        <f t="shared" si="222"/>
        <v>#REF!</v>
      </c>
      <c r="PWS247" s="29" t="e">
        <f t="shared" si="222"/>
        <v>#REF!</v>
      </c>
      <c r="PWT247" s="29" t="e">
        <f t="shared" si="222"/>
        <v>#REF!</v>
      </c>
      <c r="PWU247" s="29" t="e">
        <f t="shared" si="222"/>
        <v>#REF!</v>
      </c>
      <c r="PWV247" s="29" t="e">
        <f t="shared" si="222"/>
        <v>#REF!</v>
      </c>
      <c r="PWW247" s="29" t="e">
        <f t="shared" si="222"/>
        <v>#REF!</v>
      </c>
      <c r="PWX247" s="29" t="e">
        <f t="shared" si="222"/>
        <v>#REF!</v>
      </c>
      <c r="PWY247" s="29" t="e">
        <f t="shared" si="222"/>
        <v>#REF!</v>
      </c>
      <c r="PWZ247" s="29" t="e">
        <f t="shared" si="222"/>
        <v>#REF!</v>
      </c>
      <c r="PXA247" s="29" t="e">
        <f t="shared" si="222"/>
        <v>#REF!</v>
      </c>
      <c r="PXB247" s="29" t="e">
        <f t="shared" si="222"/>
        <v>#REF!</v>
      </c>
      <c r="PXC247" s="29" t="e">
        <f t="shared" si="222"/>
        <v>#REF!</v>
      </c>
      <c r="PXD247" s="29" t="e">
        <f t="shared" si="222"/>
        <v>#REF!</v>
      </c>
      <c r="PXE247" s="29" t="e">
        <f t="shared" si="222"/>
        <v>#REF!</v>
      </c>
      <c r="PXF247" s="29" t="e">
        <f t="shared" si="222"/>
        <v>#REF!</v>
      </c>
      <c r="PXG247" s="29" t="e">
        <f t="shared" si="222"/>
        <v>#REF!</v>
      </c>
      <c r="PXH247" s="29" t="e">
        <f t="shared" si="222"/>
        <v>#REF!</v>
      </c>
      <c r="PXI247" s="29" t="e">
        <f t="shared" si="222"/>
        <v>#REF!</v>
      </c>
      <c r="PXJ247" s="29" t="e">
        <f t="shared" si="222"/>
        <v>#REF!</v>
      </c>
      <c r="PXK247" s="29" t="e">
        <f t="shared" si="222"/>
        <v>#REF!</v>
      </c>
      <c r="PXL247" s="29" t="e">
        <f t="shared" si="222"/>
        <v>#REF!</v>
      </c>
      <c r="PXM247" s="29" t="e">
        <f t="shared" si="222"/>
        <v>#REF!</v>
      </c>
      <c r="PXN247" s="29" t="e">
        <f t="shared" si="222"/>
        <v>#REF!</v>
      </c>
      <c r="PXO247" s="29" t="e">
        <f t="shared" si="222"/>
        <v>#REF!</v>
      </c>
      <c r="PXP247" s="29" t="e">
        <f t="shared" si="222"/>
        <v>#REF!</v>
      </c>
      <c r="PXQ247" s="29" t="e">
        <f t="shared" si="222"/>
        <v>#REF!</v>
      </c>
      <c r="PXR247" s="29" t="e">
        <f t="shared" si="222"/>
        <v>#REF!</v>
      </c>
      <c r="PXS247" s="29" t="e">
        <f t="shared" si="222"/>
        <v>#REF!</v>
      </c>
      <c r="PXT247" s="29" t="e">
        <f t="shared" si="222"/>
        <v>#REF!</v>
      </c>
      <c r="PXU247" s="29" t="e">
        <f t="shared" si="222"/>
        <v>#REF!</v>
      </c>
      <c r="PXV247" s="29" t="e">
        <f t="shared" si="222"/>
        <v>#REF!</v>
      </c>
      <c r="PXW247" s="29" t="e">
        <f t="shared" si="222"/>
        <v>#REF!</v>
      </c>
      <c r="PXX247" s="29" t="e">
        <f t="shared" si="222"/>
        <v>#REF!</v>
      </c>
      <c r="PXY247" s="29" t="e">
        <f t="shared" si="222"/>
        <v>#REF!</v>
      </c>
      <c r="PXZ247" s="29" t="e">
        <f t="shared" si="222"/>
        <v>#REF!</v>
      </c>
      <c r="PYA247" s="29" t="e">
        <f t="shared" si="222"/>
        <v>#REF!</v>
      </c>
      <c r="PYB247" s="29" t="e">
        <f t="shared" si="222"/>
        <v>#REF!</v>
      </c>
      <c r="PYC247" s="29" t="e">
        <f t="shared" si="222"/>
        <v>#REF!</v>
      </c>
      <c r="PYD247" s="29" t="e">
        <f t="shared" si="222"/>
        <v>#REF!</v>
      </c>
      <c r="PYE247" s="29" t="e">
        <f t="shared" si="222"/>
        <v>#REF!</v>
      </c>
      <c r="PYF247" s="29" t="e">
        <f t="shared" si="222"/>
        <v>#REF!</v>
      </c>
      <c r="PYG247" s="29" t="e">
        <f t="shared" ref="PYG247:QAR247" si="223">PYK247&amp;PYL247</f>
        <v>#REF!</v>
      </c>
      <c r="PYH247" s="29" t="e">
        <f t="shared" si="223"/>
        <v>#REF!</v>
      </c>
      <c r="PYI247" s="29" t="e">
        <f t="shared" si="223"/>
        <v>#REF!</v>
      </c>
      <c r="PYJ247" s="29" t="e">
        <f t="shared" si="223"/>
        <v>#REF!</v>
      </c>
      <c r="PYK247" s="29" t="e">
        <f t="shared" si="223"/>
        <v>#REF!</v>
      </c>
      <c r="PYL247" s="29" t="e">
        <f t="shared" si="223"/>
        <v>#REF!</v>
      </c>
      <c r="PYM247" s="29" t="e">
        <f t="shared" si="223"/>
        <v>#REF!</v>
      </c>
      <c r="PYN247" s="29" t="e">
        <f t="shared" si="223"/>
        <v>#REF!</v>
      </c>
      <c r="PYO247" s="29" t="e">
        <f t="shared" si="223"/>
        <v>#REF!</v>
      </c>
      <c r="PYP247" s="29" t="e">
        <f t="shared" si="223"/>
        <v>#REF!</v>
      </c>
      <c r="PYQ247" s="29" t="e">
        <f t="shared" si="223"/>
        <v>#REF!</v>
      </c>
      <c r="PYR247" s="29" t="e">
        <f t="shared" si="223"/>
        <v>#REF!</v>
      </c>
      <c r="PYS247" s="29" t="e">
        <f t="shared" si="223"/>
        <v>#REF!</v>
      </c>
      <c r="PYT247" s="29" t="e">
        <f t="shared" si="223"/>
        <v>#REF!</v>
      </c>
      <c r="PYU247" s="29" t="e">
        <f t="shared" si="223"/>
        <v>#REF!</v>
      </c>
      <c r="PYV247" s="29" t="e">
        <f t="shared" si="223"/>
        <v>#REF!</v>
      </c>
      <c r="PYW247" s="29" t="e">
        <f t="shared" si="223"/>
        <v>#REF!</v>
      </c>
      <c r="PYX247" s="29" t="e">
        <f t="shared" si="223"/>
        <v>#REF!</v>
      </c>
      <c r="PYY247" s="29" t="e">
        <f t="shared" si="223"/>
        <v>#REF!</v>
      </c>
      <c r="PYZ247" s="29" t="e">
        <f t="shared" si="223"/>
        <v>#REF!</v>
      </c>
      <c r="PZA247" s="29" t="e">
        <f t="shared" si="223"/>
        <v>#REF!</v>
      </c>
      <c r="PZB247" s="29" t="e">
        <f t="shared" si="223"/>
        <v>#REF!</v>
      </c>
      <c r="PZC247" s="29" t="e">
        <f t="shared" si="223"/>
        <v>#REF!</v>
      </c>
      <c r="PZD247" s="29" t="e">
        <f t="shared" si="223"/>
        <v>#REF!</v>
      </c>
      <c r="PZE247" s="29" t="e">
        <f t="shared" si="223"/>
        <v>#REF!</v>
      </c>
      <c r="PZF247" s="29" t="e">
        <f t="shared" si="223"/>
        <v>#REF!</v>
      </c>
      <c r="PZG247" s="29" t="e">
        <f t="shared" si="223"/>
        <v>#REF!</v>
      </c>
      <c r="PZH247" s="29" t="e">
        <f t="shared" si="223"/>
        <v>#REF!</v>
      </c>
      <c r="PZI247" s="29" t="e">
        <f t="shared" si="223"/>
        <v>#REF!</v>
      </c>
      <c r="PZJ247" s="29" t="e">
        <f t="shared" si="223"/>
        <v>#REF!</v>
      </c>
      <c r="PZK247" s="29" t="e">
        <f t="shared" si="223"/>
        <v>#REF!</v>
      </c>
      <c r="PZL247" s="29" t="e">
        <f t="shared" si="223"/>
        <v>#REF!</v>
      </c>
      <c r="PZM247" s="29" t="e">
        <f t="shared" si="223"/>
        <v>#REF!</v>
      </c>
      <c r="PZN247" s="29" t="e">
        <f t="shared" si="223"/>
        <v>#REF!</v>
      </c>
      <c r="PZO247" s="29" t="e">
        <f t="shared" si="223"/>
        <v>#REF!</v>
      </c>
      <c r="PZP247" s="29" t="e">
        <f t="shared" si="223"/>
        <v>#REF!</v>
      </c>
      <c r="PZQ247" s="29" t="e">
        <f t="shared" si="223"/>
        <v>#REF!</v>
      </c>
      <c r="PZR247" s="29" t="e">
        <f t="shared" si="223"/>
        <v>#REF!</v>
      </c>
      <c r="PZS247" s="29" t="e">
        <f t="shared" si="223"/>
        <v>#REF!</v>
      </c>
      <c r="PZT247" s="29" t="e">
        <f t="shared" si="223"/>
        <v>#REF!</v>
      </c>
      <c r="PZU247" s="29" t="e">
        <f t="shared" si="223"/>
        <v>#REF!</v>
      </c>
      <c r="PZV247" s="29" t="e">
        <f t="shared" si="223"/>
        <v>#REF!</v>
      </c>
      <c r="PZW247" s="29" t="e">
        <f t="shared" si="223"/>
        <v>#REF!</v>
      </c>
      <c r="PZX247" s="29" t="e">
        <f t="shared" si="223"/>
        <v>#REF!</v>
      </c>
      <c r="PZY247" s="29" t="e">
        <f t="shared" si="223"/>
        <v>#REF!</v>
      </c>
      <c r="PZZ247" s="29" t="e">
        <f t="shared" si="223"/>
        <v>#REF!</v>
      </c>
      <c r="QAA247" s="29" t="e">
        <f t="shared" si="223"/>
        <v>#REF!</v>
      </c>
      <c r="QAB247" s="29" t="e">
        <f t="shared" si="223"/>
        <v>#REF!</v>
      </c>
      <c r="QAC247" s="29" t="e">
        <f t="shared" si="223"/>
        <v>#REF!</v>
      </c>
      <c r="QAD247" s="29" t="e">
        <f t="shared" si="223"/>
        <v>#REF!</v>
      </c>
      <c r="QAE247" s="29" t="e">
        <f t="shared" si="223"/>
        <v>#REF!</v>
      </c>
      <c r="QAF247" s="29" t="e">
        <f t="shared" si="223"/>
        <v>#REF!</v>
      </c>
      <c r="QAG247" s="29" t="e">
        <f t="shared" si="223"/>
        <v>#REF!</v>
      </c>
      <c r="QAH247" s="29" t="e">
        <f t="shared" si="223"/>
        <v>#REF!</v>
      </c>
      <c r="QAI247" s="29" t="e">
        <f t="shared" si="223"/>
        <v>#REF!</v>
      </c>
      <c r="QAJ247" s="29" t="e">
        <f t="shared" si="223"/>
        <v>#REF!</v>
      </c>
      <c r="QAK247" s="29" t="e">
        <f t="shared" si="223"/>
        <v>#REF!</v>
      </c>
      <c r="QAL247" s="29" t="e">
        <f t="shared" si="223"/>
        <v>#REF!</v>
      </c>
      <c r="QAM247" s="29" t="e">
        <f t="shared" si="223"/>
        <v>#REF!</v>
      </c>
      <c r="QAN247" s="29" t="e">
        <f t="shared" si="223"/>
        <v>#REF!</v>
      </c>
      <c r="QAO247" s="29" t="e">
        <f t="shared" si="223"/>
        <v>#REF!</v>
      </c>
      <c r="QAP247" s="29" t="e">
        <f t="shared" si="223"/>
        <v>#REF!</v>
      </c>
      <c r="QAQ247" s="29" t="e">
        <f t="shared" si="223"/>
        <v>#REF!</v>
      </c>
      <c r="QAR247" s="29" t="e">
        <f t="shared" si="223"/>
        <v>#REF!</v>
      </c>
      <c r="QAS247" s="29" t="e">
        <f t="shared" ref="QAS247:QDD247" si="224">QAW247&amp;QAX247</f>
        <v>#REF!</v>
      </c>
      <c r="QAT247" s="29" t="e">
        <f t="shared" si="224"/>
        <v>#REF!</v>
      </c>
      <c r="QAU247" s="29" t="e">
        <f t="shared" si="224"/>
        <v>#REF!</v>
      </c>
      <c r="QAV247" s="29" t="e">
        <f t="shared" si="224"/>
        <v>#REF!</v>
      </c>
      <c r="QAW247" s="29" t="e">
        <f t="shared" si="224"/>
        <v>#REF!</v>
      </c>
      <c r="QAX247" s="29" t="e">
        <f t="shared" si="224"/>
        <v>#REF!</v>
      </c>
      <c r="QAY247" s="29" t="e">
        <f t="shared" si="224"/>
        <v>#REF!</v>
      </c>
      <c r="QAZ247" s="29" t="e">
        <f t="shared" si="224"/>
        <v>#REF!</v>
      </c>
      <c r="QBA247" s="29" t="e">
        <f t="shared" si="224"/>
        <v>#REF!</v>
      </c>
      <c r="QBB247" s="29" t="e">
        <f t="shared" si="224"/>
        <v>#REF!</v>
      </c>
      <c r="QBC247" s="29" t="e">
        <f t="shared" si="224"/>
        <v>#REF!</v>
      </c>
      <c r="QBD247" s="29" t="e">
        <f t="shared" si="224"/>
        <v>#REF!</v>
      </c>
      <c r="QBE247" s="29" t="e">
        <f t="shared" si="224"/>
        <v>#REF!</v>
      </c>
      <c r="QBF247" s="29" t="e">
        <f t="shared" si="224"/>
        <v>#REF!</v>
      </c>
      <c r="QBG247" s="29" t="e">
        <f t="shared" si="224"/>
        <v>#REF!</v>
      </c>
      <c r="QBH247" s="29" t="e">
        <f t="shared" si="224"/>
        <v>#REF!</v>
      </c>
      <c r="QBI247" s="29" t="e">
        <f t="shared" si="224"/>
        <v>#REF!</v>
      </c>
      <c r="QBJ247" s="29" t="e">
        <f t="shared" si="224"/>
        <v>#REF!</v>
      </c>
      <c r="QBK247" s="29" t="e">
        <f t="shared" si="224"/>
        <v>#REF!</v>
      </c>
      <c r="QBL247" s="29" t="e">
        <f t="shared" si="224"/>
        <v>#REF!</v>
      </c>
      <c r="QBM247" s="29" t="e">
        <f t="shared" si="224"/>
        <v>#REF!</v>
      </c>
      <c r="QBN247" s="29" t="e">
        <f t="shared" si="224"/>
        <v>#REF!</v>
      </c>
      <c r="QBO247" s="29" t="e">
        <f t="shared" si="224"/>
        <v>#REF!</v>
      </c>
      <c r="QBP247" s="29" t="e">
        <f t="shared" si="224"/>
        <v>#REF!</v>
      </c>
      <c r="QBQ247" s="29" t="e">
        <f t="shared" si="224"/>
        <v>#REF!</v>
      </c>
      <c r="QBR247" s="29" t="e">
        <f t="shared" si="224"/>
        <v>#REF!</v>
      </c>
      <c r="QBS247" s="29" t="e">
        <f t="shared" si="224"/>
        <v>#REF!</v>
      </c>
      <c r="QBT247" s="29" t="e">
        <f t="shared" si="224"/>
        <v>#REF!</v>
      </c>
      <c r="QBU247" s="29" t="e">
        <f t="shared" si="224"/>
        <v>#REF!</v>
      </c>
      <c r="QBV247" s="29" t="e">
        <f t="shared" si="224"/>
        <v>#REF!</v>
      </c>
      <c r="QBW247" s="29" t="e">
        <f t="shared" si="224"/>
        <v>#REF!</v>
      </c>
      <c r="QBX247" s="29" t="e">
        <f t="shared" si="224"/>
        <v>#REF!</v>
      </c>
      <c r="QBY247" s="29" t="e">
        <f t="shared" si="224"/>
        <v>#REF!</v>
      </c>
      <c r="QBZ247" s="29" t="e">
        <f t="shared" si="224"/>
        <v>#REF!</v>
      </c>
      <c r="QCA247" s="29" t="e">
        <f t="shared" si="224"/>
        <v>#REF!</v>
      </c>
      <c r="QCB247" s="29" t="e">
        <f t="shared" si="224"/>
        <v>#REF!</v>
      </c>
      <c r="QCC247" s="29" t="e">
        <f t="shared" si="224"/>
        <v>#REF!</v>
      </c>
      <c r="QCD247" s="29" t="e">
        <f t="shared" si="224"/>
        <v>#REF!</v>
      </c>
      <c r="QCE247" s="29" t="e">
        <f t="shared" si="224"/>
        <v>#REF!</v>
      </c>
      <c r="QCF247" s="29" t="e">
        <f t="shared" si="224"/>
        <v>#REF!</v>
      </c>
      <c r="QCG247" s="29" t="e">
        <f t="shared" si="224"/>
        <v>#REF!</v>
      </c>
      <c r="QCH247" s="29" t="e">
        <f t="shared" si="224"/>
        <v>#REF!</v>
      </c>
      <c r="QCI247" s="29" t="e">
        <f t="shared" si="224"/>
        <v>#REF!</v>
      </c>
      <c r="QCJ247" s="29" t="e">
        <f t="shared" si="224"/>
        <v>#REF!</v>
      </c>
      <c r="QCK247" s="29" t="e">
        <f t="shared" si="224"/>
        <v>#REF!</v>
      </c>
      <c r="QCL247" s="29" t="e">
        <f t="shared" si="224"/>
        <v>#REF!</v>
      </c>
      <c r="QCM247" s="29" t="e">
        <f t="shared" si="224"/>
        <v>#REF!</v>
      </c>
      <c r="QCN247" s="29" t="e">
        <f t="shared" si="224"/>
        <v>#REF!</v>
      </c>
      <c r="QCO247" s="29" t="e">
        <f t="shared" si="224"/>
        <v>#REF!</v>
      </c>
      <c r="QCP247" s="29" t="e">
        <f t="shared" si="224"/>
        <v>#REF!</v>
      </c>
      <c r="QCQ247" s="29" t="e">
        <f t="shared" si="224"/>
        <v>#REF!</v>
      </c>
      <c r="QCR247" s="29" t="e">
        <f t="shared" si="224"/>
        <v>#REF!</v>
      </c>
      <c r="QCS247" s="29" t="e">
        <f t="shared" si="224"/>
        <v>#REF!</v>
      </c>
      <c r="QCT247" s="29" t="e">
        <f t="shared" si="224"/>
        <v>#REF!</v>
      </c>
      <c r="QCU247" s="29" t="e">
        <f t="shared" si="224"/>
        <v>#REF!</v>
      </c>
      <c r="QCV247" s="29" t="e">
        <f t="shared" si="224"/>
        <v>#REF!</v>
      </c>
      <c r="QCW247" s="29" t="e">
        <f t="shared" si="224"/>
        <v>#REF!</v>
      </c>
      <c r="QCX247" s="29" t="e">
        <f t="shared" si="224"/>
        <v>#REF!</v>
      </c>
      <c r="QCY247" s="29" t="e">
        <f t="shared" si="224"/>
        <v>#REF!</v>
      </c>
      <c r="QCZ247" s="29" t="e">
        <f t="shared" si="224"/>
        <v>#REF!</v>
      </c>
      <c r="QDA247" s="29" t="e">
        <f t="shared" si="224"/>
        <v>#REF!</v>
      </c>
      <c r="QDB247" s="29" t="e">
        <f t="shared" si="224"/>
        <v>#REF!</v>
      </c>
      <c r="QDC247" s="29" t="e">
        <f t="shared" si="224"/>
        <v>#REF!</v>
      </c>
      <c r="QDD247" s="29" t="e">
        <f t="shared" si="224"/>
        <v>#REF!</v>
      </c>
      <c r="QDE247" s="29" t="e">
        <f t="shared" ref="QDE247:QFP247" si="225">QDI247&amp;QDJ247</f>
        <v>#REF!</v>
      </c>
      <c r="QDF247" s="29" t="e">
        <f t="shared" si="225"/>
        <v>#REF!</v>
      </c>
      <c r="QDG247" s="29" t="e">
        <f t="shared" si="225"/>
        <v>#REF!</v>
      </c>
      <c r="QDH247" s="29" t="e">
        <f t="shared" si="225"/>
        <v>#REF!</v>
      </c>
      <c r="QDI247" s="29" t="e">
        <f t="shared" si="225"/>
        <v>#REF!</v>
      </c>
      <c r="QDJ247" s="29" t="e">
        <f t="shared" si="225"/>
        <v>#REF!</v>
      </c>
      <c r="QDK247" s="29" t="e">
        <f t="shared" si="225"/>
        <v>#REF!</v>
      </c>
      <c r="QDL247" s="29" t="e">
        <f t="shared" si="225"/>
        <v>#REF!</v>
      </c>
      <c r="QDM247" s="29" t="e">
        <f t="shared" si="225"/>
        <v>#REF!</v>
      </c>
      <c r="QDN247" s="29" t="e">
        <f t="shared" si="225"/>
        <v>#REF!</v>
      </c>
      <c r="QDO247" s="29" t="e">
        <f t="shared" si="225"/>
        <v>#REF!</v>
      </c>
      <c r="QDP247" s="29" t="e">
        <f t="shared" si="225"/>
        <v>#REF!</v>
      </c>
      <c r="QDQ247" s="29" t="e">
        <f t="shared" si="225"/>
        <v>#REF!</v>
      </c>
      <c r="QDR247" s="29" t="e">
        <f t="shared" si="225"/>
        <v>#REF!</v>
      </c>
      <c r="QDS247" s="29" t="e">
        <f t="shared" si="225"/>
        <v>#REF!</v>
      </c>
      <c r="QDT247" s="29" t="e">
        <f t="shared" si="225"/>
        <v>#REF!</v>
      </c>
      <c r="QDU247" s="29" t="e">
        <f t="shared" si="225"/>
        <v>#REF!</v>
      </c>
      <c r="QDV247" s="29" t="e">
        <f t="shared" si="225"/>
        <v>#REF!</v>
      </c>
      <c r="QDW247" s="29" t="e">
        <f t="shared" si="225"/>
        <v>#REF!</v>
      </c>
      <c r="QDX247" s="29" t="e">
        <f t="shared" si="225"/>
        <v>#REF!</v>
      </c>
      <c r="QDY247" s="29" t="e">
        <f t="shared" si="225"/>
        <v>#REF!</v>
      </c>
      <c r="QDZ247" s="29" t="e">
        <f t="shared" si="225"/>
        <v>#REF!</v>
      </c>
      <c r="QEA247" s="29" t="e">
        <f t="shared" si="225"/>
        <v>#REF!</v>
      </c>
      <c r="QEB247" s="29" t="e">
        <f t="shared" si="225"/>
        <v>#REF!</v>
      </c>
      <c r="QEC247" s="29" t="e">
        <f t="shared" si="225"/>
        <v>#REF!</v>
      </c>
      <c r="QED247" s="29" t="e">
        <f t="shared" si="225"/>
        <v>#REF!</v>
      </c>
      <c r="QEE247" s="29" t="e">
        <f t="shared" si="225"/>
        <v>#REF!</v>
      </c>
      <c r="QEF247" s="29" t="e">
        <f t="shared" si="225"/>
        <v>#REF!</v>
      </c>
      <c r="QEG247" s="29" t="e">
        <f t="shared" si="225"/>
        <v>#REF!</v>
      </c>
      <c r="QEH247" s="29" t="e">
        <f t="shared" si="225"/>
        <v>#REF!</v>
      </c>
      <c r="QEI247" s="29" t="e">
        <f t="shared" si="225"/>
        <v>#REF!</v>
      </c>
      <c r="QEJ247" s="29" t="e">
        <f t="shared" si="225"/>
        <v>#REF!</v>
      </c>
      <c r="QEK247" s="29" t="e">
        <f t="shared" si="225"/>
        <v>#REF!</v>
      </c>
      <c r="QEL247" s="29" t="e">
        <f t="shared" si="225"/>
        <v>#REF!</v>
      </c>
      <c r="QEM247" s="29" t="e">
        <f t="shared" si="225"/>
        <v>#REF!</v>
      </c>
      <c r="QEN247" s="29" t="e">
        <f t="shared" si="225"/>
        <v>#REF!</v>
      </c>
      <c r="QEO247" s="29" t="e">
        <f t="shared" si="225"/>
        <v>#REF!</v>
      </c>
      <c r="QEP247" s="29" t="e">
        <f t="shared" si="225"/>
        <v>#REF!</v>
      </c>
      <c r="QEQ247" s="29" t="e">
        <f t="shared" si="225"/>
        <v>#REF!</v>
      </c>
      <c r="QER247" s="29" t="e">
        <f t="shared" si="225"/>
        <v>#REF!</v>
      </c>
      <c r="QES247" s="29" t="e">
        <f t="shared" si="225"/>
        <v>#REF!</v>
      </c>
      <c r="QET247" s="29" t="e">
        <f t="shared" si="225"/>
        <v>#REF!</v>
      </c>
      <c r="QEU247" s="29" t="e">
        <f t="shared" si="225"/>
        <v>#REF!</v>
      </c>
      <c r="QEV247" s="29" t="e">
        <f t="shared" si="225"/>
        <v>#REF!</v>
      </c>
      <c r="QEW247" s="29" t="e">
        <f t="shared" si="225"/>
        <v>#REF!</v>
      </c>
      <c r="QEX247" s="29" t="e">
        <f t="shared" si="225"/>
        <v>#REF!</v>
      </c>
      <c r="QEY247" s="29" t="e">
        <f t="shared" si="225"/>
        <v>#REF!</v>
      </c>
      <c r="QEZ247" s="29" t="e">
        <f t="shared" si="225"/>
        <v>#REF!</v>
      </c>
      <c r="QFA247" s="29" t="e">
        <f t="shared" si="225"/>
        <v>#REF!</v>
      </c>
      <c r="QFB247" s="29" t="e">
        <f t="shared" si="225"/>
        <v>#REF!</v>
      </c>
      <c r="QFC247" s="29" t="e">
        <f t="shared" si="225"/>
        <v>#REF!</v>
      </c>
      <c r="QFD247" s="29" t="e">
        <f t="shared" si="225"/>
        <v>#REF!</v>
      </c>
      <c r="QFE247" s="29" t="e">
        <f t="shared" si="225"/>
        <v>#REF!</v>
      </c>
      <c r="QFF247" s="29" t="e">
        <f t="shared" si="225"/>
        <v>#REF!</v>
      </c>
      <c r="QFG247" s="29" t="e">
        <f t="shared" si="225"/>
        <v>#REF!</v>
      </c>
      <c r="QFH247" s="29" t="e">
        <f t="shared" si="225"/>
        <v>#REF!</v>
      </c>
      <c r="QFI247" s="29" t="e">
        <f t="shared" si="225"/>
        <v>#REF!</v>
      </c>
      <c r="QFJ247" s="29" t="e">
        <f t="shared" si="225"/>
        <v>#REF!</v>
      </c>
      <c r="QFK247" s="29" t="e">
        <f t="shared" si="225"/>
        <v>#REF!</v>
      </c>
      <c r="QFL247" s="29" t="e">
        <f t="shared" si="225"/>
        <v>#REF!</v>
      </c>
      <c r="QFM247" s="29" t="e">
        <f t="shared" si="225"/>
        <v>#REF!</v>
      </c>
      <c r="QFN247" s="29" t="e">
        <f t="shared" si="225"/>
        <v>#REF!</v>
      </c>
      <c r="QFO247" s="29" t="e">
        <f t="shared" si="225"/>
        <v>#REF!</v>
      </c>
      <c r="QFP247" s="29" t="e">
        <f t="shared" si="225"/>
        <v>#REF!</v>
      </c>
      <c r="QFQ247" s="29" t="e">
        <f t="shared" ref="QFQ247:QIB247" si="226">QFU247&amp;QFV247</f>
        <v>#REF!</v>
      </c>
      <c r="QFR247" s="29" t="e">
        <f t="shared" si="226"/>
        <v>#REF!</v>
      </c>
      <c r="QFS247" s="29" t="e">
        <f t="shared" si="226"/>
        <v>#REF!</v>
      </c>
      <c r="QFT247" s="29" t="e">
        <f t="shared" si="226"/>
        <v>#REF!</v>
      </c>
      <c r="QFU247" s="29" t="e">
        <f t="shared" si="226"/>
        <v>#REF!</v>
      </c>
      <c r="QFV247" s="29" t="e">
        <f t="shared" si="226"/>
        <v>#REF!</v>
      </c>
      <c r="QFW247" s="29" t="e">
        <f t="shared" si="226"/>
        <v>#REF!</v>
      </c>
      <c r="QFX247" s="29" t="e">
        <f t="shared" si="226"/>
        <v>#REF!</v>
      </c>
      <c r="QFY247" s="29" t="e">
        <f t="shared" si="226"/>
        <v>#REF!</v>
      </c>
      <c r="QFZ247" s="29" t="e">
        <f t="shared" si="226"/>
        <v>#REF!</v>
      </c>
      <c r="QGA247" s="29" t="e">
        <f t="shared" si="226"/>
        <v>#REF!</v>
      </c>
      <c r="QGB247" s="29" t="e">
        <f t="shared" si="226"/>
        <v>#REF!</v>
      </c>
      <c r="QGC247" s="29" t="e">
        <f t="shared" si="226"/>
        <v>#REF!</v>
      </c>
      <c r="QGD247" s="29" t="e">
        <f t="shared" si="226"/>
        <v>#REF!</v>
      </c>
      <c r="QGE247" s="29" t="e">
        <f t="shared" si="226"/>
        <v>#REF!</v>
      </c>
      <c r="QGF247" s="29" t="e">
        <f t="shared" si="226"/>
        <v>#REF!</v>
      </c>
      <c r="QGG247" s="29" t="e">
        <f t="shared" si="226"/>
        <v>#REF!</v>
      </c>
      <c r="QGH247" s="29" t="e">
        <f t="shared" si="226"/>
        <v>#REF!</v>
      </c>
      <c r="QGI247" s="29" t="e">
        <f t="shared" si="226"/>
        <v>#REF!</v>
      </c>
      <c r="QGJ247" s="29" t="e">
        <f t="shared" si="226"/>
        <v>#REF!</v>
      </c>
      <c r="QGK247" s="29" t="e">
        <f t="shared" si="226"/>
        <v>#REF!</v>
      </c>
      <c r="QGL247" s="29" t="e">
        <f t="shared" si="226"/>
        <v>#REF!</v>
      </c>
      <c r="QGM247" s="29" t="e">
        <f t="shared" si="226"/>
        <v>#REF!</v>
      </c>
      <c r="QGN247" s="29" t="e">
        <f t="shared" si="226"/>
        <v>#REF!</v>
      </c>
      <c r="QGO247" s="29" t="e">
        <f t="shared" si="226"/>
        <v>#REF!</v>
      </c>
      <c r="QGP247" s="29" t="e">
        <f t="shared" si="226"/>
        <v>#REF!</v>
      </c>
      <c r="QGQ247" s="29" t="e">
        <f t="shared" si="226"/>
        <v>#REF!</v>
      </c>
      <c r="QGR247" s="29" t="e">
        <f t="shared" si="226"/>
        <v>#REF!</v>
      </c>
      <c r="QGS247" s="29" t="e">
        <f t="shared" si="226"/>
        <v>#REF!</v>
      </c>
      <c r="QGT247" s="29" t="e">
        <f t="shared" si="226"/>
        <v>#REF!</v>
      </c>
      <c r="QGU247" s="29" t="e">
        <f t="shared" si="226"/>
        <v>#REF!</v>
      </c>
      <c r="QGV247" s="29" t="e">
        <f t="shared" si="226"/>
        <v>#REF!</v>
      </c>
      <c r="QGW247" s="29" t="e">
        <f t="shared" si="226"/>
        <v>#REF!</v>
      </c>
      <c r="QGX247" s="29" t="e">
        <f t="shared" si="226"/>
        <v>#REF!</v>
      </c>
      <c r="QGY247" s="29" t="e">
        <f t="shared" si="226"/>
        <v>#REF!</v>
      </c>
      <c r="QGZ247" s="29" t="e">
        <f t="shared" si="226"/>
        <v>#REF!</v>
      </c>
      <c r="QHA247" s="29" t="e">
        <f t="shared" si="226"/>
        <v>#REF!</v>
      </c>
      <c r="QHB247" s="29" t="e">
        <f t="shared" si="226"/>
        <v>#REF!</v>
      </c>
      <c r="QHC247" s="29" t="e">
        <f t="shared" si="226"/>
        <v>#REF!</v>
      </c>
      <c r="QHD247" s="29" t="e">
        <f t="shared" si="226"/>
        <v>#REF!</v>
      </c>
      <c r="QHE247" s="29" t="e">
        <f t="shared" si="226"/>
        <v>#REF!</v>
      </c>
      <c r="QHF247" s="29" t="e">
        <f t="shared" si="226"/>
        <v>#REF!</v>
      </c>
      <c r="QHG247" s="29" t="e">
        <f t="shared" si="226"/>
        <v>#REF!</v>
      </c>
      <c r="QHH247" s="29" t="e">
        <f t="shared" si="226"/>
        <v>#REF!</v>
      </c>
      <c r="QHI247" s="29" t="e">
        <f t="shared" si="226"/>
        <v>#REF!</v>
      </c>
      <c r="QHJ247" s="29" t="e">
        <f t="shared" si="226"/>
        <v>#REF!</v>
      </c>
      <c r="QHK247" s="29" t="e">
        <f t="shared" si="226"/>
        <v>#REF!</v>
      </c>
      <c r="QHL247" s="29" t="e">
        <f t="shared" si="226"/>
        <v>#REF!</v>
      </c>
      <c r="QHM247" s="29" t="e">
        <f t="shared" si="226"/>
        <v>#REF!</v>
      </c>
      <c r="QHN247" s="29" t="e">
        <f t="shared" si="226"/>
        <v>#REF!</v>
      </c>
      <c r="QHO247" s="29" t="e">
        <f t="shared" si="226"/>
        <v>#REF!</v>
      </c>
      <c r="QHP247" s="29" t="e">
        <f t="shared" si="226"/>
        <v>#REF!</v>
      </c>
      <c r="QHQ247" s="29" t="e">
        <f t="shared" si="226"/>
        <v>#REF!</v>
      </c>
      <c r="QHR247" s="29" t="e">
        <f t="shared" si="226"/>
        <v>#REF!</v>
      </c>
      <c r="QHS247" s="29" t="e">
        <f t="shared" si="226"/>
        <v>#REF!</v>
      </c>
      <c r="QHT247" s="29" t="e">
        <f t="shared" si="226"/>
        <v>#REF!</v>
      </c>
      <c r="QHU247" s="29" t="e">
        <f t="shared" si="226"/>
        <v>#REF!</v>
      </c>
      <c r="QHV247" s="29" t="e">
        <f t="shared" si="226"/>
        <v>#REF!</v>
      </c>
      <c r="QHW247" s="29" t="e">
        <f t="shared" si="226"/>
        <v>#REF!</v>
      </c>
      <c r="QHX247" s="29" t="e">
        <f t="shared" si="226"/>
        <v>#REF!</v>
      </c>
      <c r="QHY247" s="29" t="e">
        <f t="shared" si="226"/>
        <v>#REF!</v>
      </c>
      <c r="QHZ247" s="29" t="e">
        <f t="shared" si="226"/>
        <v>#REF!</v>
      </c>
      <c r="QIA247" s="29" t="e">
        <f t="shared" si="226"/>
        <v>#REF!</v>
      </c>
      <c r="QIB247" s="29" t="e">
        <f t="shared" si="226"/>
        <v>#REF!</v>
      </c>
      <c r="QIC247" s="29" t="e">
        <f t="shared" ref="QIC247:QKN247" si="227">QIG247&amp;QIH247</f>
        <v>#REF!</v>
      </c>
      <c r="QID247" s="29" t="e">
        <f t="shared" si="227"/>
        <v>#REF!</v>
      </c>
      <c r="QIE247" s="29" t="e">
        <f t="shared" si="227"/>
        <v>#REF!</v>
      </c>
      <c r="QIF247" s="29" t="e">
        <f t="shared" si="227"/>
        <v>#REF!</v>
      </c>
      <c r="QIG247" s="29" t="e">
        <f t="shared" si="227"/>
        <v>#REF!</v>
      </c>
      <c r="QIH247" s="29" t="e">
        <f t="shared" si="227"/>
        <v>#REF!</v>
      </c>
      <c r="QII247" s="29" t="e">
        <f t="shared" si="227"/>
        <v>#REF!</v>
      </c>
      <c r="QIJ247" s="29" t="e">
        <f t="shared" si="227"/>
        <v>#REF!</v>
      </c>
      <c r="QIK247" s="29" t="e">
        <f t="shared" si="227"/>
        <v>#REF!</v>
      </c>
      <c r="QIL247" s="29" t="e">
        <f t="shared" si="227"/>
        <v>#REF!</v>
      </c>
      <c r="QIM247" s="29" t="e">
        <f t="shared" si="227"/>
        <v>#REF!</v>
      </c>
      <c r="QIN247" s="29" t="e">
        <f t="shared" si="227"/>
        <v>#REF!</v>
      </c>
      <c r="QIO247" s="29" t="e">
        <f t="shared" si="227"/>
        <v>#REF!</v>
      </c>
      <c r="QIP247" s="29" t="e">
        <f t="shared" si="227"/>
        <v>#REF!</v>
      </c>
      <c r="QIQ247" s="29" t="e">
        <f t="shared" si="227"/>
        <v>#REF!</v>
      </c>
      <c r="QIR247" s="29" t="e">
        <f t="shared" si="227"/>
        <v>#REF!</v>
      </c>
      <c r="QIS247" s="29" t="e">
        <f t="shared" si="227"/>
        <v>#REF!</v>
      </c>
      <c r="QIT247" s="29" t="e">
        <f t="shared" si="227"/>
        <v>#REF!</v>
      </c>
      <c r="QIU247" s="29" t="e">
        <f t="shared" si="227"/>
        <v>#REF!</v>
      </c>
      <c r="QIV247" s="29" t="e">
        <f t="shared" si="227"/>
        <v>#REF!</v>
      </c>
      <c r="QIW247" s="29" t="e">
        <f t="shared" si="227"/>
        <v>#REF!</v>
      </c>
      <c r="QIX247" s="29" t="e">
        <f t="shared" si="227"/>
        <v>#REF!</v>
      </c>
      <c r="QIY247" s="29" t="e">
        <f t="shared" si="227"/>
        <v>#REF!</v>
      </c>
      <c r="QIZ247" s="29" t="e">
        <f t="shared" si="227"/>
        <v>#REF!</v>
      </c>
      <c r="QJA247" s="29" t="e">
        <f t="shared" si="227"/>
        <v>#REF!</v>
      </c>
      <c r="QJB247" s="29" t="e">
        <f t="shared" si="227"/>
        <v>#REF!</v>
      </c>
      <c r="QJC247" s="29" t="e">
        <f t="shared" si="227"/>
        <v>#REF!</v>
      </c>
      <c r="QJD247" s="29" t="e">
        <f t="shared" si="227"/>
        <v>#REF!</v>
      </c>
      <c r="QJE247" s="29" t="e">
        <f t="shared" si="227"/>
        <v>#REF!</v>
      </c>
      <c r="QJF247" s="29" t="e">
        <f t="shared" si="227"/>
        <v>#REF!</v>
      </c>
      <c r="QJG247" s="29" t="e">
        <f t="shared" si="227"/>
        <v>#REF!</v>
      </c>
      <c r="QJH247" s="29" t="e">
        <f t="shared" si="227"/>
        <v>#REF!</v>
      </c>
      <c r="QJI247" s="29" t="e">
        <f t="shared" si="227"/>
        <v>#REF!</v>
      </c>
      <c r="QJJ247" s="29" t="e">
        <f t="shared" si="227"/>
        <v>#REF!</v>
      </c>
      <c r="QJK247" s="29" t="e">
        <f t="shared" si="227"/>
        <v>#REF!</v>
      </c>
      <c r="QJL247" s="29" t="e">
        <f t="shared" si="227"/>
        <v>#REF!</v>
      </c>
      <c r="QJM247" s="29" t="e">
        <f t="shared" si="227"/>
        <v>#REF!</v>
      </c>
      <c r="QJN247" s="29" t="e">
        <f t="shared" si="227"/>
        <v>#REF!</v>
      </c>
      <c r="QJO247" s="29" t="e">
        <f t="shared" si="227"/>
        <v>#REF!</v>
      </c>
      <c r="QJP247" s="29" t="e">
        <f t="shared" si="227"/>
        <v>#REF!</v>
      </c>
      <c r="QJQ247" s="29" t="e">
        <f t="shared" si="227"/>
        <v>#REF!</v>
      </c>
      <c r="QJR247" s="29" t="e">
        <f t="shared" si="227"/>
        <v>#REF!</v>
      </c>
      <c r="QJS247" s="29" t="e">
        <f t="shared" si="227"/>
        <v>#REF!</v>
      </c>
      <c r="QJT247" s="29" t="e">
        <f t="shared" si="227"/>
        <v>#REF!</v>
      </c>
      <c r="QJU247" s="29" t="e">
        <f t="shared" si="227"/>
        <v>#REF!</v>
      </c>
      <c r="QJV247" s="29" t="e">
        <f t="shared" si="227"/>
        <v>#REF!</v>
      </c>
      <c r="QJW247" s="29" t="e">
        <f t="shared" si="227"/>
        <v>#REF!</v>
      </c>
      <c r="QJX247" s="29" t="e">
        <f t="shared" si="227"/>
        <v>#REF!</v>
      </c>
      <c r="QJY247" s="29" t="e">
        <f t="shared" si="227"/>
        <v>#REF!</v>
      </c>
      <c r="QJZ247" s="29" t="e">
        <f t="shared" si="227"/>
        <v>#REF!</v>
      </c>
      <c r="QKA247" s="29" t="e">
        <f t="shared" si="227"/>
        <v>#REF!</v>
      </c>
      <c r="QKB247" s="29" t="e">
        <f t="shared" si="227"/>
        <v>#REF!</v>
      </c>
      <c r="QKC247" s="29" t="e">
        <f t="shared" si="227"/>
        <v>#REF!</v>
      </c>
      <c r="QKD247" s="29" t="e">
        <f t="shared" si="227"/>
        <v>#REF!</v>
      </c>
      <c r="QKE247" s="29" t="e">
        <f t="shared" si="227"/>
        <v>#REF!</v>
      </c>
      <c r="QKF247" s="29" t="e">
        <f t="shared" si="227"/>
        <v>#REF!</v>
      </c>
      <c r="QKG247" s="29" t="e">
        <f t="shared" si="227"/>
        <v>#REF!</v>
      </c>
      <c r="QKH247" s="29" t="e">
        <f t="shared" si="227"/>
        <v>#REF!</v>
      </c>
      <c r="QKI247" s="29" t="e">
        <f t="shared" si="227"/>
        <v>#REF!</v>
      </c>
      <c r="QKJ247" s="29" t="e">
        <f t="shared" si="227"/>
        <v>#REF!</v>
      </c>
      <c r="QKK247" s="29" t="e">
        <f t="shared" si="227"/>
        <v>#REF!</v>
      </c>
      <c r="QKL247" s="29" t="e">
        <f t="shared" si="227"/>
        <v>#REF!</v>
      </c>
      <c r="QKM247" s="29" t="e">
        <f t="shared" si="227"/>
        <v>#REF!</v>
      </c>
      <c r="QKN247" s="29" t="e">
        <f t="shared" si="227"/>
        <v>#REF!</v>
      </c>
      <c r="QKO247" s="29" t="e">
        <f t="shared" ref="QKO247:QMZ247" si="228">QKS247&amp;QKT247</f>
        <v>#REF!</v>
      </c>
      <c r="QKP247" s="29" t="e">
        <f t="shared" si="228"/>
        <v>#REF!</v>
      </c>
      <c r="QKQ247" s="29" t="e">
        <f t="shared" si="228"/>
        <v>#REF!</v>
      </c>
      <c r="QKR247" s="29" t="e">
        <f t="shared" si="228"/>
        <v>#REF!</v>
      </c>
      <c r="QKS247" s="29" t="e">
        <f t="shared" si="228"/>
        <v>#REF!</v>
      </c>
      <c r="QKT247" s="29" t="e">
        <f t="shared" si="228"/>
        <v>#REF!</v>
      </c>
      <c r="QKU247" s="29" t="e">
        <f t="shared" si="228"/>
        <v>#REF!</v>
      </c>
      <c r="QKV247" s="29" t="e">
        <f t="shared" si="228"/>
        <v>#REF!</v>
      </c>
      <c r="QKW247" s="29" t="e">
        <f t="shared" si="228"/>
        <v>#REF!</v>
      </c>
      <c r="QKX247" s="29" t="e">
        <f t="shared" si="228"/>
        <v>#REF!</v>
      </c>
      <c r="QKY247" s="29" t="e">
        <f t="shared" si="228"/>
        <v>#REF!</v>
      </c>
      <c r="QKZ247" s="29" t="e">
        <f t="shared" si="228"/>
        <v>#REF!</v>
      </c>
      <c r="QLA247" s="29" t="e">
        <f t="shared" si="228"/>
        <v>#REF!</v>
      </c>
      <c r="QLB247" s="29" t="e">
        <f t="shared" si="228"/>
        <v>#REF!</v>
      </c>
      <c r="QLC247" s="29" t="e">
        <f t="shared" si="228"/>
        <v>#REF!</v>
      </c>
      <c r="QLD247" s="29" t="e">
        <f t="shared" si="228"/>
        <v>#REF!</v>
      </c>
      <c r="QLE247" s="29" t="e">
        <f t="shared" si="228"/>
        <v>#REF!</v>
      </c>
      <c r="QLF247" s="29" t="e">
        <f t="shared" si="228"/>
        <v>#REF!</v>
      </c>
      <c r="QLG247" s="29" t="e">
        <f t="shared" si="228"/>
        <v>#REF!</v>
      </c>
      <c r="QLH247" s="29" t="e">
        <f t="shared" si="228"/>
        <v>#REF!</v>
      </c>
      <c r="QLI247" s="29" t="e">
        <f t="shared" si="228"/>
        <v>#REF!</v>
      </c>
      <c r="QLJ247" s="29" t="e">
        <f t="shared" si="228"/>
        <v>#REF!</v>
      </c>
      <c r="QLK247" s="29" t="e">
        <f t="shared" si="228"/>
        <v>#REF!</v>
      </c>
      <c r="QLL247" s="29" t="e">
        <f t="shared" si="228"/>
        <v>#REF!</v>
      </c>
      <c r="QLM247" s="29" t="e">
        <f t="shared" si="228"/>
        <v>#REF!</v>
      </c>
      <c r="QLN247" s="29" t="e">
        <f t="shared" si="228"/>
        <v>#REF!</v>
      </c>
      <c r="QLO247" s="29" t="e">
        <f t="shared" si="228"/>
        <v>#REF!</v>
      </c>
      <c r="QLP247" s="29" t="e">
        <f t="shared" si="228"/>
        <v>#REF!</v>
      </c>
      <c r="QLQ247" s="29" t="e">
        <f t="shared" si="228"/>
        <v>#REF!</v>
      </c>
      <c r="QLR247" s="29" t="e">
        <f t="shared" si="228"/>
        <v>#REF!</v>
      </c>
      <c r="QLS247" s="29" t="e">
        <f t="shared" si="228"/>
        <v>#REF!</v>
      </c>
      <c r="QLT247" s="29" t="e">
        <f t="shared" si="228"/>
        <v>#REF!</v>
      </c>
      <c r="QLU247" s="29" t="e">
        <f t="shared" si="228"/>
        <v>#REF!</v>
      </c>
      <c r="QLV247" s="29" t="e">
        <f t="shared" si="228"/>
        <v>#REF!</v>
      </c>
      <c r="QLW247" s="29" t="e">
        <f t="shared" si="228"/>
        <v>#REF!</v>
      </c>
      <c r="QLX247" s="29" t="e">
        <f t="shared" si="228"/>
        <v>#REF!</v>
      </c>
      <c r="QLY247" s="29" t="e">
        <f t="shared" si="228"/>
        <v>#REF!</v>
      </c>
      <c r="QLZ247" s="29" t="e">
        <f t="shared" si="228"/>
        <v>#REF!</v>
      </c>
      <c r="QMA247" s="29" t="e">
        <f t="shared" si="228"/>
        <v>#REF!</v>
      </c>
      <c r="QMB247" s="29" t="e">
        <f t="shared" si="228"/>
        <v>#REF!</v>
      </c>
      <c r="QMC247" s="29" t="e">
        <f t="shared" si="228"/>
        <v>#REF!</v>
      </c>
      <c r="QMD247" s="29" t="e">
        <f t="shared" si="228"/>
        <v>#REF!</v>
      </c>
      <c r="QME247" s="29" t="e">
        <f t="shared" si="228"/>
        <v>#REF!</v>
      </c>
      <c r="QMF247" s="29" t="e">
        <f t="shared" si="228"/>
        <v>#REF!</v>
      </c>
      <c r="QMG247" s="29" t="e">
        <f t="shared" si="228"/>
        <v>#REF!</v>
      </c>
      <c r="QMH247" s="29" t="e">
        <f t="shared" si="228"/>
        <v>#REF!</v>
      </c>
      <c r="QMI247" s="29" t="e">
        <f t="shared" si="228"/>
        <v>#REF!</v>
      </c>
      <c r="QMJ247" s="29" t="e">
        <f t="shared" si="228"/>
        <v>#REF!</v>
      </c>
      <c r="QMK247" s="29" t="e">
        <f t="shared" si="228"/>
        <v>#REF!</v>
      </c>
      <c r="QML247" s="29" t="e">
        <f t="shared" si="228"/>
        <v>#REF!</v>
      </c>
      <c r="QMM247" s="29" t="e">
        <f t="shared" si="228"/>
        <v>#REF!</v>
      </c>
      <c r="QMN247" s="29" t="e">
        <f t="shared" si="228"/>
        <v>#REF!</v>
      </c>
      <c r="QMO247" s="29" t="e">
        <f t="shared" si="228"/>
        <v>#REF!</v>
      </c>
      <c r="QMP247" s="29" t="e">
        <f t="shared" si="228"/>
        <v>#REF!</v>
      </c>
      <c r="QMQ247" s="29" t="e">
        <f t="shared" si="228"/>
        <v>#REF!</v>
      </c>
      <c r="QMR247" s="29" t="e">
        <f t="shared" si="228"/>
        <v>#REF!</v>
      </c>
      <c r="QMS247" s="29" t="e">
        <f t="shared" si="228"/>
        <v>#REF!</v>
      </c>
      <c r="QMT247" s="29" t="e">
        <f t="shared" si="228"/>
        <v>#REF!</v>
      </c>
      <c r="QMU247" s="29" t="e">
        <f t="shared" si="228"/>
        <v>#REF!</v>
      </c>
      <c r="QMV247" s="29" t="e">
        <f t="shared" si="228"/>
        <v>#REF!</v>
      </c>
      <c r="QMW247" s="29" t="e">
        <f t="shared" si="228"/>
        <v>#REF!</v>
      </c>
      <c r="QMX247" s="29" t="e">
        <f t="shared" si="228"/>
        <v>#REF!</v>
      </c>
      <c r="QMY247" s="29" t="e">
        <f t="shared" si="228"/>
        <v>#REF!</v>
      </c>
      <c r="QMZ247" s="29" t="e">
        <f t="shared" si="228"/>
        <v>#REF!</v>
      </c>
      <c r="QNA247" s="29" t="e">
        <f t="shared" ref="QNA247:QPL247" si="229">QNE247&amp;QNF247</f>
        <v>#REF!</v>
      </c>
      <c r="QNB247" s="29" t="e">
        <f t="shared" si="229"/>
        <v>#REF!</v>
      </c>
      <c r="QNC247" s="29" t="e">
        <f t="shared" si="229"/>
        <v>#REF!</v>
      </c>
      <c r="QND247" s="29" t="e">
        <f t="shared" si="229"/>
        <v>#REF!</v>
      </c>
      <c r="QNE247" s="29" t="e">
        <f t="shared" si="229"/>
        <v>#REF!</v>
      </c>
      <c r="QNF247" s="29" t="e">
        <f t="shared" si="229"/>
        <v>#REF!</v>
      </c>
      <c r="QNG247" s="29" t="e">
        <f t="shared" si="229"/>
        <v>#REF!</v>
      </c>
      <c r="QNH247" s="29" t="e">
        <f t="shared" si="229"/>
        <v>#REF!</v>
      </c>
      <c r="QNI247" s="29" t="e">
        <f t="shared" si="229"/>
        <v>#REF!</v>
      </c>
      <c r="QNJ247" s="29" t="e">
        <f t="shared" si="229"/>
        <v>#REF!</v>
      </c>
      <c r="QNK247" s="29" t="e">
        <f t="shared" si="229"/>
        <v>#REF!</v>
      </c>
      <c r="QNL247" s="29" t="e">
        <f t="shared" si="229"/>
        <v>#REF!</v>
      </c>
      <c r="QNM247" s="29" t="e">
        <f t="shared" si="229"/>
        <v>#REF!</v>
      </c>
      <c r="QNN247" s="29" t="e">
        <f t="shared" si="229"/>
        <v>#REF!</v>
      </c>
      <c r="QNO247" s="29" t="e">
        <f t="shared" si="229"/>
        <v>#REF!</v>
      </c>
      <c r="QNP247" s="29" t="e">
        <f t="shared" si="229"/>
        <v>#REF!</v>
      </c>
      <c r="QNQ247" s="29" t="e">
        <f t="shared" si="229"/>
        <v>#REF!</v>
      </c>
      <c r="QNR247" s="29" t="e">
        <f t="shared" si="229"/>
        <v>#REF!</v>
      </c>
      <c r="QNS247" s="29" t="e">
        <f t="shared" si="229"/>
        <v>#REF!</v>
      </c>
      <c r="QNT247" s="29" t="e">
        <f t="shared" si="229"/>
        <v>#REF!</v>
      </c>
      <c r="QNU247" s="29" t="e">
        <f t="shared" si="229"/>
        <v>#REF!</v>
      </c>
      <c r="QNV247" s="29" t="e">
        <f t="shared" si="229"/>
        <v>#REF!</v>
      </c>
      <c r="QNW247" s="29" t="e">
        <f t="shared" si="229"/>
        <v>#REF!</v>
      </c>
      <c r="QNX247" s="29" t="e">
        <f t="shared" si="229"/>
        <v>#REF!</v>
      </c>
      <c r="QNY247" s="29" t="e">
        <f t="shared" si="229"/>
        <v>#REF!</v>
      </c>
      <c r="QNZ247" s="29" t="e">
        <f t="shared" si="229"/>
        <v>#REF!</v>
      </c>
      <c r="QOA247" s="29" t="e">
        <f t="shared" si="229"/>
        <v>#REF!</v>
      </c>
      <c r="QOB247" s="29" t="e">
        <f t="shared" si="229"/>
        <v>#REF!</v>
      </c>
      <c r="QOC247" s="29" t="e">
        <f t="shared" si="229"/>
        <v>#REF!</v>
      </c>
      <c r="QOD247" s="29" t="e">
        <f t="shared" si="229"/>
        <v>#REF!</v>
      </c>
      <c r="QOE247" s="29" t="e">
        <f t="shared" si="229"/>
        <v>#REF!</v>
      </c>
      <c r="QOF247" s="29" t="e">
        <f t="shared" si="229"/>
        <v>#REF!</v>
      </c>
      <c r="QOG247" s="29" t="e">
        <f t="shared" si="229"/>
        <v>#REF!</v>
      </c>
      <c r="QOH247" s="29" t="e">
        <f t="shared" si="229"/>
        <v>#REF!</v>
      </c>
      <c r="QOI247" s="29" t="e">
        <f t="shared" si="229"/>
        <v>#REF!</v>
      </c>
      <c r="QOJ247" s="29" t="e">
        <f t="shared" si="229"/>
        <v>#REF!</v>
      </c>
      <c r="QOK247" s="29" t="e">
        <f t="shared" si="229"/>
        <v>#REF!</v>
      </c>
      <c r="QOL247" s="29" t="e">
        <f t="shared" si="229"/>
        <v>#REF!</v>
      </c>
      <c r="QOM247" s="29" t="e">
        <f t="shared" si="229"/>
        <v>#REF!</v>
      </c>
      <c r="QON247" s="29" t="e">
        <f t="shared" si="229"/>
        <v>#REF!</v>
      </c>
      <c r="QOO247" s="29" t="e">
        <f t="shared" si="229"/>
        <v>#REF!</v>
      </c>
      <c r="QOP247" s="29" t="e">
        <f t="shared" si="229"/>
        <v>#REF!</v>
      </c>
      <c r="QOQ247" s="29" t="e">
        <f t="shared" si="229"/>
        <v>#REF!</v>
      </c>
      <c r="QOR247" s="29" t="e">
        <f t="shared" si="229"/>
        <v>#REF!</v>
      </c>
      <c r="QOS247" s="29" t="e">
        <f t="shared" si="229"/>
        <v>#REF!</v>
      </c>
      <c r="QOT247" s="29" t="e">
        <f t="shared" si="229"/>
        <v>#REF!</v>
      </c>
      <c r="QOU247" s="29" t="e">
        <f t="shared" si="229"/>
        <v>#REF!</v>
      </c>
      <c r="QOV247" s="29" t="e">
        <f t="shared" si="229"/>
        <v>#REF!</v>
      </c>
      <c r="QOW247" s="29" t="e">
        <f t="shared" si="229"/>
        <v>#REF!</v>
      </c>
      <c r="QOX247" s="29" t="e">
        <f t="shared" si="229"/>
        <v>#REF!</v>
      </c>
      <c r="QOY247" s="29" t="e">
        <f t="shared" si="229"/>
        <v>#REF!</v>
      </c>
      <c r="QOZ247" s="29" t="e">
        <f t="shared" si="229"/>
        <v>#REF!</v>
      </c>
      <c r="QPA247" s="29" t="e">
        <f t="shared" si="229"/>
        <v>#REF!</v>
      </c>
      <c r="QPB247" s="29" t="e">
        <f t="shared" si="229"/>
        <v>#REF!</v>
      </c>
      <c r="QPC247" s="29" t="e">
        <f t="shared" si="229"/>
        <v>#REF!</v>
      </c>
      <c r="QPD247" s="29" t="e">
        <f t="shared" si="229"/>
        <v>#REF!</v>
      </c>
      <c r="QPE247" s="29" t="e">
        <f t="shared" si="229"/>
        <v>#REF!</v>
      </c>
      <c r="QPF247" s="29" t="e">
        <f t="shared" si="229"/>
        <v>#REF!</v>
      </c>
      <c r="QPG247" s="29" t="e">
        <f t="shared" si="229"/>
        <v>#REF!</v>
      </c>
      <c r="QPH247" s="29" t="e">
        <f t="shared" si="229"/>
        <v>#REF!</v>
      </c>
      <c r="QPI247" s="29" t="e">
        <f t="shared" si="229"/>
        <v>#REF!</v>
      </c>
      <c r="QPJ247" s="29" t="e">
        <f t="shared" si="229"/>
        <v>#REF!</v>
      </c>
      <c r="QPK247" s="29" t="e">
        <f t="shared" si="229"/>
        <v>#REF!</v>
      </c>
      <c r="QPL247" s="29" t="e">
        <f t="shared" si="229"/>
        <v>#REF!</v>
      </c>
      <c r="QPM247" s="29" t="e">
        <f t="shared" ref="QPM247:QRX247" si="230">QPQ247&amp;QPR247</f>
        <v>#REF!</v>
      </c>
      <c r="QPN247" s="29" t="e">
        <f t="shared" si="230"/>
        <v>#REF!</v>
      </c>
      <c r="QPO247" s="29" t="e">
        <f t="shared" si="230"/>
        <v>#REF!</v>
      </c>
      <c r="QPP247" s="29" t="e">
        <f t="shared" si="230"/>
        <v>#REF!</v>
      </c>
      <c r="QPQ247" s="29" t="e">
        <f t="shared" si="230"/>
        <v>#REF!</v>
      </c>
      <c r="QPR247" s="29" t="e">
        <f t="shared" si="230"/>
        <v>#REF!</v>
      </c>
      <c r="QPS247" s="29" t="e">
        <f t="shared" si="230"/>
        <v>#REF!</v>
      </c>
      <c r="QPT247" s="29" t="e">
        <f t="shared" si="230"/>
        <v>#REF!</v>
      </c>
      <c r="QPU247" s="29" t="e">
        <f t="shared" si="230"/>
        <v>#REF!</v>
      </c>
      <c r="QPV247" s="29" t="e">
        <f t="shared" si="230"/>
        <v>#REF!</v>
      </c>
      <c r="QPW247" s="29" t="e">
        <f t="shared" si="230"/>
        <v>#REF!</v>
      </c>
      <c r="QPX247" s="29" t="e">
        <f t="shared" si="230"/>
        <v>#REF!</v>
      </c>
      <c r="QPY247" s="29" t="e">
        <f t="shared" si="230"/>
        <v>#REF!</v>
      </c>
      <c r="QPZ247" s="29" t="e">
        <f t="shared" si="230"/>
        <v>#REF!</v>
      </c>
      <c r="QQA247" s="29" t="e">
        <f t="shared" si="230"/>
        <v>#REF!</v>
      </c>
      <c r="QQB247" s="29" t="e">
        <f t="shared" si="230"/>
        <v>#REF!</v>
      </c>
      <c r="QQC247" s="29" t="e">
        <f t="shared" si="230"/>
        <v>#REF!</v>
      </c>
      <c r="QQD247" s="29" t="e">
        <f t="shared" si="230"/>
        <v>#REF!</v>
      </c>
      <c r="QQE247" s="29" t="e">
        <f t="shared" si="230"/>
        <v>#REF!</v>
      </c>
      <c r="QQF247" s="29" t="e">
        <f t="shared" si="230"/>
        <v>#REF!</v>
      </c>
      <c r="QQG247" s="29" t="e">
        <f t="shared" si="230"/>
        <v>#REF!</v>
      </c>
      <c r="QQH247" s="29" t="e">
        <f t="shared" si="230"/>
        <v>#REF!</v>
      </c>
      <c r="QQI247" s="29" t="e">
        <f t="shared" si="230"/>
        <v>#REF!</v>
      </c>
      <c r="QQJ247" s="29" t="e">
        <f t="shared" si="230"/>
        <v>#REF!</v>
      </c>
      <c r="QQK247" s="29" t="e">
        <f t="shared" si="230"/>
        <v>#REF!</v>
      </c>
      <c r="QQL247" s="29" t="e">
        <f t="shared" si="230"/>
        <v>#REF!</v>
      </c>
      <c r="QQM247" s="29" t="e">
        <f t="shared" si="230"/>
        <v>#REF!</v>
      </c>
      <c r="QQN247" s="29" t="e">
        <f t="shared" si="230"/>
        <v>#REF!</v>
      </c>
      <c r="QQO247" s="29" t="e">
        <f t="shared" si="230"/>
        <v>#REF!</v>
      </c>
      <c r="QQP247" s="29" t="e">
        <f t="shared" si="230"/>
        <v>#REF!</v>
      </c>
      <c r="QQQ247" s="29" t="e">
        <f t="shared" si="230"/>
        <v>#REF!</v>
      </c>
      <c r="QQR247" s="29" t="e">
        <f t="shared" si="230"/>
        <v>#REF!</v>
      </c>
      <c r="QQS247" s="29" t="e">
        <f t="shared" si="230"/>
        <v>#REF!</v>
      </c>
      <c r="QQT247" s="29" t="e">
        <f t="shared" si="230"/>
        <v>#REF!</v>
      </c>
      <c r="QQU247" s="29" t="e">
        <f t="shared" si="230"/>
        <v>#REF!</v>
      </c>
      <c r="QQV247" s="29" t="e">
        <f t="shared" si="230"/>
        <v>#REF!</v>
      </c>
      <c r="QQW247" s="29" t="e">
        <f t="shared" si="230"/>
        <v>#REF!</v>
      </c>
      <c r="QQX247" s="29" t="e">
        <f t="shared" si="230"/>
        <v>#REF!</v>
      </c>
      <c r="QQY247" s="29" t="e">
        <f t="shared" si="230"/>
        <v>#REF!</v>
      </c>
      <c r="QQZ247" s="29" t="e">
        <f t="shared" si="230"/>
        <v>#REF!</v>
      </c>
      <c r="QRA247" s="29" t="e">
        <f t="shared" si="230"/>
        <v>#REF!</v>
      </c>
      <c r="QRB247" s="29" t="e">
        <f t="shared" si="230"/>
        <v>#REF!</v>
      </c>
      <c r="QRC247" s="29" t="e">
        <f t="shared" si="230"/>
        <v>#REF!</v>
      </c>
      <c r="QRD247" s="29" t="e">
        <f t="shared" si="230"/>
        <v>#REF!</v>
      </c>
      <c r="QRE247" s="29" t="e">
        <f t="shared" si="230"/>
        <v>#REF!</v>
      </c>
      <c r="QRF247" s="29" t="e">
        <f t="shared" si="230"/>
        <v>#REF!</v>
      </c>
      <c r="QRG247" s="29" t="e">
        <f t="shared" si="230"/>
        <v>#REF!</v>
      </c>
      <c r="QRH247" s="29" t="e">
        <f t="shared" si="230"/>
        <v>#REF!</v>
      </c>
      <c r="QRI247" s="29" t="e">
        <f t="shared" si="230"/>
        <v>#REF!</v>
      </c>
      <c r="QRJ247" s="29" t="e">
        <f t="shared" si="230"/>
        <v>#REF!</v>
      </c>
      <c r="QRK247" s="29" t="e">
        <f t="shared" si="230"/>
        <v>#REF!</v>
      </c>
      <c r="QRL247" s="29" t="e">
        <f t="shared" si="230"/>
        <v>#REF!</v>
      </c>
      <c r="QRM247" s="29" t="e">
        <f t="shared" si="230"/>
        <v>#REF!</v>
      </c>
      <c r="QRN247" s="29" t="e">
        <f t="shared" si="230"/>
        <v>#REF!</v>
      </c>
      <c r="QRO247" s="29" t="e">
        <f t="shared" si="230"/>
        <v>#REF!</v>
      </c>
      <c r="QRP247" s="29" t="e">
        <f t="shared" si="230"/>
        <v>#REF!</v>
      </c>
      <c r="QRQ247" s="29" t="e">
        <f t="shared" si="230"/>
        <v>#REF!</v>
      </c>
      <c r="QRR247" s="29" t="e">
        <f t="shared" si="230"/>
        <v>#REF!</v>
      </c>
      <c r="QRS247" s="29" t="e">
        <f t="shared" si="230"/>
        <v>#REF!</v>
      </c>
      <c r="QRT247" s="29" t="e">
        <f t="shared" si="230"/>
        <v>#REF!</v>
      </c>
      <c r="QRU247" s="29" t="e">
        <f t="shared" si="230"/>
        <v>#REF!</v>
      </c>
      <c r="QRV247" s="29" t="e">
        <f t="shared" si="230"/>
        <v>#REF!</v>
      </c>
      <c r="QRW247" s="29" t="e">
        <f t="shared" si="230"/>
        <v>#REF!</v>
      </c>
      <c r="QRX247" s="29" t="e">
        <f t="shared" si="230"/>
        <v>#REF!</v>
      </c>
      <c r="QRY247" s="29" t="e">
        <f t="shared" ref="QRY247:QUJ247" si="231">QSC247&amp;QSD247</f>
        <v>#REF!</v>
      </c>
      <c r="QRZ247" s="29" t="e">
        <f t="shared" si="231"/>
        <v>#REF!</v>
      </c>
      <c r="QSA247" s="29" t="e">
        <f t="shared" si="231"/>
        <v>#REF!</v>
      </c>
      <c r="QSB247" s="29" t="e">
        <f t="shared" si="231"/>
        <v>#REF!</v>
      </c>
      <c r="QSC247" s="29" t="e">
        <f t="shared" si="231"/>
        <v>#REF!</v>
      </c>
      <c r="QSD247" s="29" t="e">
        <f t="shared" si="231"/>
        <v>#REF!</v>
      </c>
      <c r="QSE247" s="29" t="e">
        <f t="shared" si="231"/>
        <v>#REF!</v>
      </c>
      <c r="QSF247" s="29" t="e">
        <f t="shared" si="231"/>
        <v>#REF!</v>
      </c>
      <c r="QSG247" s="29" t="e">
        <f t="shared" si="231"/>
        <v>#REF!</v>
      </c>
      <c r="QSH247" s="29" t="e">
        <f t="shared" si="231"/>
        <v>#REF!</v>
      </c>
      <c r="QSI247" s="29" t="e">
        <f t="shared" si="231"/>
        <v>#REF!</v>
      </c>
      <c r="QSJ247" s="29" t="e">
        <f t="shared" si="231"/>
        <v>#REF!</v>
      </c>
      <c r="QSK247" s="29" t="e">
        <f t="shared" si="231"/>
        <v>#REF!</v>
      </c>
      <c r="QSL247" s="29" t="e">
        <f t="shared" si="231"/>
        <v>#REF!</v>
      </c>
      <c r="QSM247" s="29" t="e">
        <f t="shared" si="231"/>
        <v>#REF!</v>
      </c>
      <c r="QSN247" s="29" t="e">
        <f t="shared" si="231"/>
        <v>#REF!</v>
      </c>
      <c r="QSO247" s="29" t="e">
        <f t="shared" si="231"/>
        <v>#REF!</v>
      </c>
      <c r="QSP247" s="29" t="e">
        <f t="shared" si="231"/>
        <v>#REF!</v>
      </c>
      <c r="QSQ247" s="29" t="e">
        <f t="shared" si="231"/>
        <v>#REF!</v>
      </c>
      <c r="QSR247" s="29" t="e">
        <f t="shared" si="231"/>
        <v>#REF!</v>
      </c>
      <c r="QSS247" s="29" t="e">
        <f t="shared" si="231"/>
        <v>#REF!</v>
      </c>
      <c r="QST247" s="29" t="e">
        <f t="shared" si="231"/>
        <v>#REF!</v>
      </c>
      <c r="QSU247" s="29" t="e">
        <f t="shared" si="231"/>
        <v>#REF!</v>
      </c>
      <c r="QSV247" s="29" t="e">
        <f t="shared" si="231"/>
        <v>#REF!</v>
      </c>
      <c r="QSW247" s="29" t="e">
        <f t="shared" si="231"/>
        <v>#REF!</v>
      </c>
      <c r="QSX247" s="29" t="e">
        <f t="shared" si="231"/>
        <v>#REF!</v>
      </c>
      <c r="QSY247" s="29" t="e">
        <f t="shared" si="231"/>
        <v>#REF!</v>
      </c>
      <c r="QSZ247" s="29" t="e">
        <f t="shared" si="231"/>
        <v>#REF!</v>
      </c>
      <c r="QTA247" s="29" t="e">
        <f t="shared" si="231"/>
        <v>#REF!</v>
      </c>
      <c r="QTB247" s="29" t="e">
        <f t="shared" si="231"/>
        <v>#REF!</v>
      </c>
      <c r="QTC247" s="29" t="e">
        <f t="shared" si="231"/>
        <v>#REF!</v>
      </c>
      <c r="QTD247" s="29" t="e">
        <f t="shared" si="231"/>
        <v>#REF!</v>
      </c>
      <c r="QTE247" s="29" t="e">
        <f t="shared" si="231"/>
        <v>#REF!</v>
      </c>
      <c r="QTF247" s="29" t="e">
        <f t="shared" si="231"/>
        <v>#REF!</v>
      </c>
      <c r="QTG247" s="29" t="e">
        <f t="shared" si="231"/>
        <v>#REF!</v>
      </c>
      <c r="QTH247" s="29" t="e">
        <f t="shared" si="231"/>
        <v>#REF!</v>
      </c>
      <c r="QTI247" s="29" t="e">
        <f t="shared" si="231"/>
        <v>#REF!</v>
      </c>
      <c r="QTJ247" s="29" t="e">
        <f t="shared" si="231"/>
        <v>#REF!</v>
      </c>
      <c r="QTK247" s="29" t="e">
        <f t="shared" si="231"/>
        <v>#REF!</v>
      </c>
      <c r="QTL247" s="29" t="e">
        <f t="shared" si="231"/>
        <v>#REF!</v>
      </c>
      <c r="QTM247" s="29" t="e">
        <f t="shared" si="231"/>
        <v>#REF!</v>
      </c>
      <c r="QTN247" s="29" t="e">
        <f t="shared" si="231"/>
        <v>#REF!</v>
      </c>
      <c r="QTO247" s="29" t="e">
        <f t="shared" si="231"/>
        <v>#REF!</v>
      </c>
      <c r="QTP247" s="29" t="e">
        <f t="shared" si="231"/>
        <v>#REF!</v>
      </c>
      <c r="QTQ247" s="29" t="e">
        <f t="shared" si="231"/>
        <v>#REF!</v>
      </c>
      <c r="QTR247" s="29" t="e">
        <f t="shared" si="231"/>
        <v>#REF!</v>
      </c>
      <c r="QTS247" s="29" t="e">
        <f t="shared" si="231"/>
        <v>#REF!</v>
      </c>
      <c r="QTT247" s="29" t="e">
        <f t="shared" si="231"/>
        <v>#REF!</v>
      </c>
      <c r="QTU247" s="29" t="e">
        <f t="shared" si="231"/>
        <v>#REF!</v>
      </c>
      <c r="QTV247" s="29" t="e">
        <f t="shared" si="231"/>
        <v>#REF!</v>
      </c>
      <c r="QTW247" s="29" t="e">
        <f t="shared" si="231"/>
        <v>#REF!</v>
      </c>
      <c r="QTX247" s="29" t="e">
        <f t="shared" si="231"/>
        <v>#REF!</v>
      </c>
      <c r="QTY247" s="29" t="e">
        <f t="shared" si="231"/>
        <v>#REF!</v>
      </c>
      <c r="QTZ247" s="29" t="e">
        <f t="shared" si="231"/>
        <v>#REF!</v>
      </c>
      <c r="QUA247" s="29" t="e">
        <f t="shared" si="231"/>
        <v>#REF!</v>
      </c>
      <c r="QUB247" s="29" t="e">
        <f t="shared" si="231"/>
        <v>#REF!</v>
      </c>
      <c r="QUC247" s="29" t="e">
        <f t="shared" si="231"/>
        <v>#REF!</v>
      </c>
      <c r="QUD247" s="29" t="e">
        <f t="shared" si="231"/>
        <v>#REF!</v>
      </c>
      <c r="QUE247" s="29" t="e">
        <f t="shared" si="231"/>
        <v>#REF!</v>
      </c>
      <c r="QUF247" s="29" t="e">
        <f t="shared" si="231"/>
        <v>#REF!</v>
      </c>
      <c r="QUG247" s="29" t="e">
        <f t="shared" si="231"/>
        <v>#REF!</v>
      </c>
      <c r="QUH247" s="29" t="e">
        <f t="shared" si="231"/>
        <v>#REF!</v>
      </c>
      <c r="QUI247" s="29" t="e">
        <f t="shared" si="231"/>
        <v>#REF!</v>
      </c>
      <c r="QUJ247" s="29" t="e">
        <f t="shared" si="231"/>
        <v>#REF!</v>
      </c>
      <c r="QUK247" s="29" t="e">
        <f t="shared" ref="QUK247:QWV247" si="232">QUO247&amp;QUP247</f>
        <v>#REF!</v>
      </c>
      <c r="QUL247" s="29" t="e">
        <f t="shared" si="232"/>
        <v>#REF!</v>
      </c>
      <c r="QUM247" s="29" t="e">
        <f t="shared" si="232"/>
        <v>#REF!</v>
      </c>
      <c r="QUN247" s="29" t="e">
        <f t="shared" si="232"/>
        <v>#REF!</v>
      </c>
      <c r="QUO247" s="29" t="e">
        <f t="shared" si="232"/>
        <v>#REF!</v>
      </c>
      <c r="QUP247" s="29" t="e">
        <f t="shared" si="232"/>
        <v>#REF!</v>
      </c>
      <c r="QUQ247" s="29" t="e">
        <f t="shared" si="232"/>
        <v>#REF!</v>
      </c>
      <c r="QUR247" s="29" t="e">
        <f t="shared" si="232"/>
        <v>#REF!</v>
      </c>
      <c r="QUS247" s="29" t="e">
        <f t="shared" si="232"/>
        <v>#REF!</v>
      </c>
      <c r="QUT247" s="29" t="e">
        <f t="shared" si="232"/>
        <v>#REF!</v>
      </c>
      <c r="QUU247" s="29" t="e">
        <f t="shared" si="232"/>
        <v>#REF!</v>
      </c>
      <c r="QUV247" s="29" t="e">
        <f t="shared" si="232"/>
        <v>#REF!</v>
      </c>
      <c r="QUW247" s="29" t="e">
        <f t="shared" si="232"/>
        <v>#REF!</v>
      </c>
      <c r="QUX247" s="29" t="e">
        <f t="shared" si="232"/>
        <v>#REF!</v>
      </c>
      <c r="QUY247" s="29" t="e">
        <f t="shared" si="232"/>
        <v>#REF!</v>
      </c>
      <c r="QUZ247" s="29" t="e">
        <f t="shared" si="232"/>
        <v>#REF!</v>
      </c>
      <c r="QVA247" s="29" t="e">
        <f t="shared" si="232"/>
        <v>#REF!</v>
      </c>
      <c r="QVB247" s="29" t="e">
        <f t="shared" si="232"/>
        <v>#REF!</v>
      </c>
      <c r="QVC247" s="29" t="e">
        <f t="shared" si="232"/>
        <v>#REF!</v>
      </c>
      <c r="QVD247" s="29" t="e">
        <f t="shared" si="232"/>
        <v>#REF!</v>
      </c>
      <c r="QVE247" s="29" t="e">
        <f t="shared" si="232"/>
        <v>#REF!</v>
      </c>
      <c r="QVF247" s="29" t="e">
        <f t="shared" si="232"/>
        <v>#REF!</v>
      </c>
      <c r="QVG247" s="29" t="e">
        <f t="shared" si="232"/>
        <v>#REF!</v>
      </c>
      <c r="QVH247" s="29" t="e">
        <f t="shared" si="232"/>
        <v>#REF!</v>
      </c>
      <c r="QVI247" s="29" t="e">
        <f t="shared" si="232"/>
        <v>#REF!</v>
      </c>
      <c r="QVJ247" s="29" t="e">
        <f t="shared" si="232"/>
        <v>#REF!</v>
      </c>
      <c r="QVK247" s="29" t="e">
        <f t="shared" si="232"/>
        <v>#REF!</v>
      </c>
      <c r="QVL247" s="29" t="e">
        <f t="shared" si="232"/>
        <v>#REF!</v>
      </c>
      <c r="QVM247" s="29" t="e">
        <f t="shared" si="232"/>
        <v>#REF!</v>
      </c>
      <c r="QVN247" s="29" t="e">
        <f t="shared" si="232"/>
        <v>#REF!</v>
      </c>
      <c r="QVO247" s="29" t="e">
        <f t="shared" si="232"/>
        <v>#REF!</v>
      </c>
      <c r="QVP247" s="29" t="e">
        <f t="shared" si="232"/>
        <v>#REF!</v>
      </c>
      <c r="QVQ247" s="29" t="e">
        <f t="shared" si="232"/>
        <v>#REF!</v>
      </c>
      <c r="QVR247" s="29" t="e">
        <f t="shared" si="232"/>
        <v>#REF!</v>
      </c>
      <c r="QVS247" s="29" t="e">
        <f t="shared" si="232"/>
        <v>#REF!</v>
      </c>
      <c r="QVT247" s="29" t="e">
        <f t="shared" si="232"/>
        <v>#REF!</v>
      </c>
      <c r="QVU247" s="29" t="e">
        <f t="shared" si="232"/>
        <v>#REF!</v>
      </c>
      <c r="QVV247" s="29" t="e">
        <f t="shared" si="232"/>
        <v>#REF!</v>
      </c>
      <c r="QVW247" s="29" t="e">
        <f t="shared" si="232"/>
        <v>#REF!</v>
      </c>
      <c r="QVX247" s="29" t="e">
        <f t="shared" si="232"/>
        <v>#REF!</v>
      </c>
      <c r="QVY247" s="29" t="e">
        <f t="shared" si="232"/>
        <v>#REF!</v>
      </c>
      <c r="QVZ247" s="29" t="e">
        <f t="shared" si="232"/>
        <v>#REF!</v>
      </c>
      <c r="QWA247" s="29" t="e">
        <f t="shared" si="232"/>
        <v>#REF!</v>
      </c>
      <c r="QWB247" s="29" t="e">
        <f t="shared" si="232"/>
        <v>#REF!</v>
      </c>
      <c r="QWC247" s="29" t="e">
        <f t="shared" si="232"/>
        <v>#REF!</v>
      </c>
      <c r="QWD247" s="29" t="e">
        <f t="shared" si="232"/>
        <v>#REF!</v>
      </c>
      <c r="QWE247" s="29" t="e">
        <f t="shared" si="232"/>
        <v>#REF!</v>
      </c>
      <c r="QWF247" s="29" t="e">
        <f t="shared" si="232"/>
        <v>#REF!</v>
      </c>
      <c r="QWG247" s="29" t="e">
        <f t="shared" si="232"/>
        <v>#REF!</v>
      </c>
      <c r="QWH247" s="29" t="e">
        <f t="shared" si="232"/>
        <v>#REF!</v>
      </c>
      <c r="QWI247" s="29" t="e">
        <f t="shared" si="232"/>
        <v>#REF!</v>
      </c>
      <c r="QWJ247" s="29" t="e">
        <f t="shared" si="232"/>
        <v>#REF!</v>
      </c>
      <c r="QWK247" s="29" t="e">
        <f t="shared" si="232"/>
        <v>#REF!</v>
      </c>
      <c r="QWL247" s="29" t="e">
        <f t="shared" si="232"/>
        <v>#REF!</v>
      </c>
      <c r="QWM247" s="29" t="e">
        <f t="shared" si="232"/>
        <v>#REF!</v>
      </c>
      <c r="QWN247" s="29" t="e">
        <f t="shared" si="232"/>
        <v>#REF!</v>
      </c>
      <c r="QWO247" s="29" t="e">
        <f t="shared" si="232"/>
        <v>#REF!</v>
      </c>
      <c r="QWP247" s="29" t="e">
        <f t="shared" si="232"/>
        <v>#REF!</v>
      </c>
      <c r="QWQ247" s="29" t="e">
        <f t="shared" si="232"/>
        <v>#REF!</v>
      </c>
      <c r="QWR247" s="29" t="e">
        <f t="shared" si="232"/>
        <v>#REF!</v>
      </c>
      <c r="QWS247" s="29" t="e">
        <f t="shared" si="232"/>
        <v>#REF!</v>
      </c>
      <c r="QWT247" s="29" t="e">
        <f t="shared" si="232"/>
        <v>#REF!</v>
      </c>
      <c r="QWU247" s="29" t="e">
        <f t="shared" si="232"/>
        <v>#REF!</v>
      </c>
      <c r="QWV247" s="29" t="e">
        <f t="shared" si="232"/>
        <v>#REF!</v>
      </c>
      <c r="QWW247" s="29" t="e">
        <f t="shared" ref="QWW247:QZH247" si="233">QXA247&amp;QXB247</f>
        <v>#REF!</v>
      </c>
      <c r="QWX247" s="29" t="e">
        <f t="shared" si="233"/>
        <v>#REF!</v>
      </c>
      <c r="QWY247" s="29" t="e">
        <f t="shared" si="233"/>
        <v>#REF!</v>
      </c>
      <c r="QWZ247" s="29" t="e">
        <f t="shared" si="233"/>
        <v>#REF!</v>
      </c>
      <c r="QXA247" s="29" t="e">
        <f t="shared" si="233"/>
        <v>#REF!</v>
      </c>
      <c r="QXB247" s="29" t="e">
        <f t="shared" si="233"/>
        <v>#REF!</v>
      </c>
      <c r="QXC247" s="29" t="e">
        <f t="shared" si="233"/>
        <v>#REF!</v>
      </c>
      <c r="QXD247" s="29" t="e">
        <f t="shared" si="233"/>
        <v>#REF!</v>
      </c>
      <c r="QXE247" s="29" t="e">
        <f t="shared" si="233"/>
        <v>#REF!</v>
      </c>
      <c r="QXF247" s="29" t="e">
        <f t="shared" si="233"/>
        <v>#REF!</v>
      </c>
      <c r="QXG247" s="29" t="e">
        <f t="shared" si="233"/>
        <v>#REF!</v>
      </c>
      <c r="QXH247" s="29" t="e">
        <f t="shared" si="233"/>
        <v>#REF!</v>
      </c>
      <c r="QXI247" s="29" t="e">
        <f t="shared" si="233"/>
        <v>#REF!</v>
      </c>
      <c r="QXJ247" s="29" t="e">
        <f t="shared" si="233"/>
        <v>#REF!</v>
      </c>
      <c r="QXK247" s="29" t="e">
        <f t="shared" si="233"/>
        <v>#REF!</v>
      </c>
      <c r="QXL247" s="29" t="e">
        <f t="shared" si="233"/>
        <v>#REF!</v>
      </c>
      <c r="QXM247" s="29" t="e">
        <f t="shared" si="233"/>
        <v>#REF!</v>
      </c>
      <c r="QXN247" s="29" t="e">
        <f t="shared" si="233"/>
        <v>#REF!</v>
      </c>
      <c r="QXO247" s="29" t="e">
        <f t="shared" si="233"/>
        <v>#REF!</v>
      </c>
      <c r="QXP247" s="29" t="e">
        <f t="shared" si="233"/>
        <v>#REF!</v>
      </c>
      <c r="QXQ247" s="29" t="e">
        <f t="shared" si="233"/>
        <v>#REF!</v>
      </c>
      <c r="QXR247" s="29" t="e">
        <f t="shared" si="233"/>
        <v>#REF!</v>
      </c>
      <c r="QXS247" s="29" t="e">
        <f t="shared" si="233"/>
        <v>#REF!</v>
      </c>
      <c r="QXT247" s="29" t="e">
        <f t="shared" si="233"/>
        <v>#REF!</v>
      </c>
      <c r="QXU247" s="29" t="e">
        <f t="shared" si="233"/>
        <v>#REF!</v>
      </c>
      <c r="QXV247" s="29" t="e">
        <f t="shared" si="233"/>
        <v>#REF!</v>
      </c>
      <c r="QXW247" s="29" t="e">
        <f t="shared" si="233"/>
        <v>#REF!</v>
      </c>
      <c r="QXX247" s="29" t="e">
        <f t="shared" si="233"/>
        <v>#REF!</v>
      </c>
      <c r="QXY247" s="29" t="e">
        <f t="shared" si="233"/>
        <v>#REF!</v>
      </c>
      <c r="QXZ247" s="29" t="e">
        <f t="shared" si="233"/>
        <v>#REF!</v>
      </c>
      <c r="QYA247" s="29" t="e">
        <f t="shared" si="233"/>
        <v>#REF!</v>
      </c>
      <c r="QYB247" s="29" t="e">
        <f t="shared" si="233"/>
        <v>#REF!</v>
      </c>
      <c r="QYC247" s="29" t="e">
        <f t="shared" si="233"/>
        <v>#REF!</v>
      </c>
      <c r="QYD247" s="29" t="e">
        <f t="shared" si="233"/>
        <v>#REF!</v>
      </c>
      <c r="QYE247" s="29" t="e">
        <f t="shared" si="233"/>
        <v>#REF!</v>
      </c>
      <c r="QYF247" s="29" t="e">
        <f t="shared" si="233"/>
        <v>#REF!</v>
      </c>
      <c r="QYG247" s="29" t="e">
        <f t="shared" si="233"/>
        <v>#REF!</v>
      </c>
      <c r="QYH247" s="29" t="e">
        <f t="shared" si="233"/>
        <v>#REF!</v>
      </c>
      <c r="QYI247" s="29" t="e">
        <f t="shared" si="233"/>
        <v>#REF!</v>
      </c>
      <c r="QYJ247" s="29" t="e">
        <f t="shared" si="233"/>
        <v>#REF!</v>
      </c>
      <c r="QYK247" s="29" t="e">
        <f t="shared" si="233"/>
        <v>#REF!</v>
      </c>
      <c r="QYL247" s="29" t="e">
        <f t="shared" si="233"/>
        <v>#REF!</v>
      </c>
      <c r="QYM247" s="29" t="e">
        <f t="shared" si="233"/>
        <v>#REF!</v>
      </c>
      <c r="QYN247" s="29" t="e">
        <f t="shared" si="233"/>
        <v>#REF!</v>
      </c>
      <c r="QYO247" s="29" t="e">
        <f t="shared" si="233"/>
        <v>#REF!</v>
      </c>
      <c r="QYP247" s="29" t="e">
        <f t="shared" si="233"/>
        <v>#REF!</v>
      </c>
      <c r="QYQ247" s="29" t="e">
        <f t="shared" si="233"/>
        <v>#REF!</v>
      </c>
      <c r="QYR247" s="29" t="e">
        <f t="shared" si="233"/>
        <v>#REF!</v>
      </c>
      <c r="QYS247" s="29" t="e">
        <f t="shared" si="233"/>
        <v>#REF!</v>
      </c>
      <c r="QYT247" s="29" t="e">
        <f t="shared" si="233"/>
        <v>#REF!</v>
      </c>
      <c r="QYU247" s="29" t="e">
        <f t="shared" si="233"/>
        <v>#REF!</v>
      </c>
      <c r="QYV247" s="29" t="e">
        <f t="shared" si="233"/>
        <v>#REF!</v>
      </c>
      <c r="QYW247" s="29" t="e">
        <f t="shared" si="233"/>
        <v>#REF!</v>
      </c>
      <c r="QYX247" s="29" t="e">
        <f t="shared" si="233"/>
        <v>#REF!</v>
      </c>
      <c r="QYY247" s="29" t="e">
        <f t="shared" si="233"/>
        <v>#REF!</v>
      </c>
      <c r="QYZ247" s="29" t="e">
        <f t="shared" si="233"/>
        <v>#REF!</v>
      </c>
      <c r="QZA247" s="29" t="e">
        <f t="shared" si="233"/>
        <v>#REF!</v>
      </c>
      <c r="QZB247" s="29" t="e">
        <f t="shared" si="233"/>
        <v>#REF!</v>
      </c>
      <c r="QZC247" s="29" t="e">
        <f t="shared" si="233"/>
        <v>#REF!</v>
      </c>
      <c r="QZD247" s="29" t="e">
        <f t="shared" si="233"/>
        <v>#REF!</v>
      </c>
      <c r="QZE247" s="29" t="e">
        <f t="shared" si="233"/>
        <v>#REF!</v>
      </c>
      <c r="QZF247" s="29" t="e">
        <f t="shared" si="233"/>
        <v>#REF!</v>
      </c>
      <c r="QZG247" s="29" t="e">
        <f t="shared" si="233"/>
        <v>#REF!</v>
      </c>
      <c r="QZH247" s="29" t="e">
        <f t="shared" si="233"/>
        <v>#REF!</v>
      </c>
      <c r="QZI247" s="29" t="e">
        <f t="shared" ref="QZI247:RBT247" si="234">QZM247&amp;QZN247</f>
        <v>#REF!</v>
      </c>
      <c r="QZJ247" s="29" t="e">
        <f t="shared" si="234"/>
        <v>#REF!</v>
      </c>
      <c r="QZK247" s="29" t="e">
        <f t="shared" si="234"/>
        <v>#REF!</v>
      </c>
      <c r="QZL247" s="29" t="e">
        <f t="shared" si="234"/>
        <v>#REF!</v>
      </c>
      <c r="QZM247" s="29" t="e">
        <f t="shared" si="234"/>
        <v>#REF!</v>
      </c>
      <c r="QZN247" s="29" t="e">
        <f t="shared" si="234"/>
        <v>#REF!</v>
      </c>
      <c r="QZO247" s="29" t="e">
        <f t="shared" si="234"/>
        <v>#REF!</v>
      </c>
      <c r="QZP247" s="29" t="e">
        <f t="shared" si="234"/>
        <v>#REF!</v>
      </c>
      <c r="QZQ247" s="29" t="e">
        <f t="shared" si="234"/>
        <v>#REF!</v>
      </c>
      <c r="QZR247" s="29" t="e">
        <f t="shared" si="234"/>
        <v>#REF!</v>
      </c>
      <c r="QZS247" s="29" t="e">
        <f t="shared" si="234"/>
        <v>#REF!</v>
      </c>
      <c r="QZT247" s="29" t="e">
        <f t="shared" si="234"/>
        <v>#REF!</v>
      </c>
      <c r="QZU247" s="29" t="e">
        <f t="shared" si="234"/>
        <v>#REF!</v>
      </c>
      <c r="QZV247" s="29" t="e">
        <f t="shared" si="234"/>
        <v>#REF!</v>
      </c>
      <c r="QZW247" s="29" t="e">
        <f t="shared" si="234"/>
        <v>#REF!</v>
      </c>
      <c r="QZX247" s="29" t="e">
        <f t="shared" si="234"/>
        <v>#REF!</v>
      </c>
      <c r="QZY247" s="29" t="e">
        <f t="shared" si="234"/>
        <v>#REF!</v>
      </c>
      <c r="QZZ247" s="29" t="e">
        <f t="shared" si="234"/>
        <v>#REF!</v>
      </c>
      <c r="RAA247" s="29" t="e">
        <f t="shared" si="234"/>
        <v>#REF!</v>
      </c>
      <c r="RAB247" s="29" t="e">
        <f t="shared" si="234"/>
        <v>#REF!</v>
      </c>
      <c r="RAC247" s="29" t="e">
        <f t="shared" si="234"/>
        <v>#REF!</v>
      </c>
      <c r="RAD247" s="29" t="e">
        <f t="shared" si="234"/>
        <v>#REF!</v>
      </c>
      <c r="RAE247" s="29" t="e">
        <f t="shared" si="234"/>
        <v>#REF!</v>
      </c>
      <c r="RAF247" s="29" t="e">
        <f t="shared" si="234"/>
        <v>#REF!</v>
      </c>
      <c r="RAG247" s="29" t="e">
        <f t="shared" si="234"/>
        <v>#REF!</v>
      </c>
      <c r="RAH247" s="29" t="e">
        <f t="shared" si="234"/>
        <v>#REF!</v>
      </c>
      <c r="RAI247" s="29" t="e">
        <f t="shared" si="234"/>
        <v>#REF!</v>
      </c>
      <c r="RAJ247" s="29" t="e">
        <f t="shared" si="234"/>
        <v>#REF!</v>
      </c>
      <c r="RAK247" s="29" t="e">
        <f t="shared" si="234"/>
        <v>#REF!</v>
      </c>
      <c r="RAL247" s="29" t="e">
        <f t="shared" si="234"/>
        <v>#REF!</v>
      </c>
      <c r="RAM247" s="29" t="e">
        <f t="shared" si="234"/>
        <v>#REF!</v>
      </c>
      <c r="RAN247" s="29" t="e">
        <f t="shared" si="234"/>
        <v>#REF!</v>
      </c>
      <c r="RAO247" s="29" t="e">
        <f t="shared" si="234"/>
        <v>#REF!</v>
      </c>
      <c r="RAP247" s="29" t="e">
        <f t="shared" si="234"/>
        <v>#REF!</v>
      </c>
      <c r="RAQ247" s="29" t="e">
        <f t="shared" si="234"/>
        <v>#REF!</v>
      </c>
      <c r="RAR247" s="29" t="e">
        <f t="shared" si="234"/>
        <v>#REF!</v>
      </c>
      <c r="RAS247" s="29" t="e">
        <f t="shared" si="234"/>
        <v>#REF!</v>
      </c>
      <c r="RAT247" s="29" t="e">
        <f t="shared" si="234"/>
        <v>#REF!</v>
      </c>
      <c r="RAU247" s="29" t="e">
        <f t="shared" si="234"/>
        <v>#REF!</v>
      </c>
      <c r="RAV247" s="29" t="e">
        <f t="shared" si="234"/>
        <v>#REF!</v>
      </c>
      <c r="RAW247" s="29" t="e">
        <f t="shared" si="234"/>
        <v>#REF!</v>
      </c>
      <c r="RAX247" s="29" t="e">
        <f t="shared" si="234"/>
        <v>#REF!</v>
      </c>
      <c r="RAY247" s="29" t="e">
        <f t="shared" si="234"/>
        <v>#REF!</v>
      </c>
      <c r="RAZ247" s="29" t="e">
        <f t="shared" si="234"/>
        <v>#REF!</v>
      </c>
      <c r="RBA247" s="29" t="e">
        <f t="shared" si="234"/>
        <v>#REF!</v>
      </c>
      <c r="RBB247" s="29" t="e">
        <f t="shared" si="234"/>
        <v>#REF!</v>
      </c>
      <c r="RBC247" s="29" t="e">
        <f t="shared" si="234"/>
        <v>#REF!</v>
      </c>
      <c r="RBD247" s="29" t="e">
        <f t="shared" si="234"/>
        <v>#REF!</v>
      </c>
      <c r="RBE247" s="29" t="e">
        <f t="shared" si="234"/>
        <v>#REF!</v>
      </c>
      <c r="RBF247" s="29" t="e">
        <f t="shared" si="234"/>
        <v>#REF!</v>
      </c>
      <c r="RBG247" s="29" t="e">
        <f t="shared" si="234"/>
        <v>#REF!</v>
      </c>
      <c r="RBH247" s="29" t="e">
        <f t="shared" si="234"/>
        <v>#REF!</v>
      </c>
      <c r="RBI247" s="29" t="e">
        <f t="shared" si="234"/>
        <v>#REF!</v>
      </c>
      <c r="RBJ247" s="29" t="e">
        <f t="shared" si="234"/>
        <v>#REF!</v>
      </c>
      <c r="RBK247" s="29" t="e">
        <f t="shared" si="234"/>
        <v>#REF!</v>
      </c>
      <c r="RBL247" s="29" t="e">
        <f t="shared" si="234"/>
        <v>#REF!</v>
      </c>
      <c r="RBM247" s="29" t="e">
        <f t="shared" si="234"/>
        <v>#REF!</v>
      </c>
      <c r="RBN247" s="29" t="e">
        <f t="shared" si="234"/>
        <v>#REF!</v>
      </c>
      <c r="RBO247" s="29" t="e">
        <f t="shared" si="234"/>
        <v>#REF!</v>
      </c>
      <c r="RBP247" s="29" t="e">
        <f t="shared" si="234"/>
        <v>#REF!</v>
      </c>
      <c r="RBQ247" s="29" t="e">
        <f t="shared" si="234"/>
        <v>#REF!</v>
      </c>
      <c r="RBR247" s="29" t="e">
        <f t="shared" si="234"/>
        <v>#REF!</v>
      </c>
      <c r="RBS247" s="29" t="e">
        <f t="shared" si="234"/>
        <v>#REF!</v>
      </c>
      <c r="RBT247" s="29" t="e">
        <f t="shared" si="234"/>
        <v>#REF!</v>
      </c>
      <c r="RBU247" s="29" t="e">
        <f t="shared" ref="RBU247:REF247" si="235">RBY247&amp;RBZ247</f>
        <v>#REF!</v>
      </c>
      <c r="RBV247" s="29" t="e">
        <f t="shared" si="235"/>
        <v>#REF!</v>
      </c>
      <c r="RBW247" s="29" t="e">
        <f t="shared" si="235"/>
        <v>#REF!</v>
      </c>
      <c r="RBX247" s="29" t="e">
        <f t="shared" si="235"/>
        <v>#REF!</v>
      </c>
      <c r="RBY247" s="29" t="e">
        <f t="shared" si="235"/>
        <v>#REF!</v>
      </c>
      <c r="RBZ247" s="29" t="e">
        <f t="shared" si="235"/>
        <v>#REF!</v>
      </c>
      <c r="RCA247" s="29" t="e">
        <f t="shared" si="235"/>
        <v>#REF!</v>
      </c>
      <c r="RCB247" s="29" t="e">
        <f t="shared" si="235"/>
        <v>#REF!</v>
      </c>
      <c r="RCC247" s="29" t="e">
        <f t="shared" si="235"/>
        <v>#REF!</v>
      </c>
      <c r="RCD247" s="29" t="e">
        <f t="shared" si="235"/>
        <v>#REF!</v>
      </c>
      <c r="RCE247" s="29" t="e">
        <f t="shared" si="235"/>
        <v>#REF!</v>
      </c>
      <c r="RCF247" s="29" t="e">
        <f t="shared" si="235"/>
        <v>#REF!</v>
      </c>
      <c r="RCG247" s="29" t="e">
        <f t="shared" si="235"/>
        <v>#REF!</v>
      </c>
      <c r="RCH247" s="29" t="e">
        <f t="shared" si="235"/>
        <v>#REF!</v>
      </c>
      <c r="RCI247" s="29" t="e">
        <f t="shared" si="235"/>
        <v>#REF!</v>
      </c>
      <c r="RCJ247" s="29" t="e">
        <f t="shared" si="235"/>
        <v>#REF!</v>
      </c>
      <c r="RCK247" s="29" t="e">
        <f t="shared" si="235"/>
        <v>#REF!</v>
      </c>
      <c r="RCL247" s="29" t="e">
        <f t="shared" si="235"/>
        <v>#REF!</v>
      </c>
      <c r="RCM247" s="29" t="e">
        <f t="shared" si="235"/>
        <v>#REF!</v>
      </c>
      <c r="RCN247" s="29" t="e">
        <f t="shared" si="235"/>
        <v>#REF!</v>
      </c>
      <c r="RCO247" s="29" t="e">
        <f t="shared" si="235"/>
        <v>#REF!</v>
      </c>
      <c r="RCP247" s="29" t="e">
        <f t="shared" si="235"/>
        <v>#REF!</v>
      </c>
      <c r="RCQ247" s="29" t="e">
        <f t="shared" si="235"/>
        <v>#REF!</v>
      </c>
      <c r="RCR247" s="29" t="e">
        <f t="shared" si="235"/>
        <v>#REF!</v>
      </c>
      <c r="RCS247" s="29" t="e">
        <f t="shared" si="235"/>
        <v>#REF!</v>
      </c>
      <c r="RCT247" s="29" t="e">
        <f t="shared" si="235"/>
        <v>#REF!</v>
      </c>
      <c r="RCU247" s="29" t="e">
        <f t="shared" si="235"/>
        <v>#REF!</v>
      </c>
      <c r="RCV247" s="29" t="e">
        <f t="shared" si="235"/>
        <v>#REF!</v>
      </c>
      <c r="RCW247" s="29" t="e">
        <f t="shared" si="235"/>
        <v>#REF!</v>
      </c>
      <c r="RCX247" s="29" t="e">
        <f t="shared" si="235"/>
        <v>#REF!</v>
      </c>
      <c r="RCY247" s="29" t="e">
        <f t="shared" si="235"/>
        <v>#REF!</v>
      </c>
      <c r="RCZ247" s="29" t="e">
        <f t="shared" si="235"/>
        <v>#REF!</v>
      </c>
      <c r="RDA247" s="29" t="e">
        <f t="shared" si="235"/>
        <v>#REF!</v>
      </c>
      <c r="RDB247" s="29" t="e">
        <f t="shared" si="235"/>
        <v>#REF!</v>
      </c>
      <c r="RDC247" s="29" t="e">
        <f t="shared" si="235"/>
        <v>#REF!</v>
      </c>
      <c r="RDD247" s="29" t="e">
        <f t="shared" si="235"/>
        <v>#REF!</v>
      </c>
      <c r="RDE247" s="29" t="e">
        <f t="shared" si="235"/>
        <v>#REF!</v>
      </c>
      <c r="RDF247" s="29" t="e">
        <f t="shared" si="235"/>
        <v>#REF!</v>
      </c>
      <c r="RDG247" s="29" t="e">
        <f t="shared" si="235"/>
        <v>#REF!</v>
      </c>
      <c r="RDH247" s="29" t="e">
        <f t="shared" si="235"/>
        <v>#REF!</v>
      </c>
      <c r="RDI247" s="29" t="e">
        <f t="shared" si="235"/>
        <v>#REF!</v>
      </c>
      <c r="RDJ247" s="29" t="e">
        <f t="shared" si="235"/>
        <v>#REF!</v>
      </c>
      <c r="RDK247" s="29" t="e">
        <f t="shared" si="235"/>
        <v>#REF!</v>
      </c>
      <c r="RDL247" s="29" t="e">
        <f t="shared" si="235"/>
        <v>#REF!</v>
      </c>
      <c r="RDM247" s="29" t="e">
        <f t="shared" si="235"/>
        <v>#REF!</v>
      </c>
      <c r="RDN247" s="29" t="e">
        <f t="shared" si="235"/>
        <v>#REF!</v>
      </c>
      <c r="RDO247" s="29" t="e">
        <f t="shared" si="235"/>
        <v>#REF!</v>
      </c>
      <c r="RDP247" s="29" t="e">
        <f t="shared" si="235"/>
        <v>#REF!</v>
      </c>
      <c r="RDQ247" s="29" t="e">
        <f t="shared" si="235"/>
        <v>#REF!</v>
      </c>
      <c r="RDR247" s="29" t="e">
        <f t="shared" si="235"/>
        <v>#REF!</v>
      </c>
      <c r="RDS247" s="29" t="e">
        <f t="shared" si="235"/>
        <v>#REF!</v>
      </c>
      <c r="RDT247" s="29" t="e">
        <f t="shared" si="235"/>
        <v>#REF!</v>
      </c>
      <c r="RDU247" s="29" t="e">
        <f t="shared" si="235"/>
        <v>#REF!</v>
      </c>
      <c r="RDV247" s="29" t="e">
        <f t="shared" si="235"/>
        <v>#REF!</v>
      </c>
      <c r="RDW247" s="29" t="e">
        <f t="shared" si="235"/>
        <v>#REF!</v>
      </c>
      <c r="RDX247" s="29" t="e">
        <f t="shared" si="235"/>
        <v>#REF!</v>
      </c>
      <c r="RDY247" s="29" t="e">
        <f t="shared" si="235"/>
        <v>#REF!</v>
      </c>
      <c r="RDZ247" s="29" t="e">
        <f t="shared" si="235"/>
        <v>#REF!</v>
      </c>
      <c r="REA247" s="29" t="e">
        <f t="shared" si="235"/>
        <v>#REF!</v>
      </c>
      <c r="REB247" s="29" t="e">
        <f t="shared" si="235"/>
        <v>#REF!</v>
      </c>
      <c r="REC247" s="29" t="e">
        <f t="shared" si="235"/>
        <v>#REF!</v>
      </c>
      <c r="RED247" s="29" t="e">
        <f t="shared" si="235"/>
        <v>#REF!</v>
      </c>
      <c r="REE247" s="29" t="e">
        <f t="shared" si="235"/>
        <v>#REF!</v>
      </c>
      <c r="REF247" s="29" t="e">
        <f t="shared" si="235"/>
        <v>#REF!</v>
      </c>
      <c r="REG247" s="29" t="e">
        <f t="shared" ref="REG247:RGR247" si="236">REK247&amp;REL247</f>
        <v>#REF!</v>
      </c>
      <c r="REH247" s="29" t="e">
        <f t="shared" si="236"/>
        <v>#REF!</v>
      </c>
      <c r="REI247" s="29" t="e">
        <f t="shared" si="236"/>
        <v>#REF!</v>
      </c>
      <c r="REJ247" s="29" t="e">
        <f t="shared" si="236"/>
        <v>#REF!</v>
      </c>
      <c r="REK247" s="29" t="e">
        <f t="shared" si="236"/>
        <v>#REF!</v>
      </c>
      <c r="REL247" s="29" t="e">
        <f t="shared" si="236"/>
        <v>#REF!</v>
      </c>
      <c r="REM247" s="29" t="e">
        <f t="shared" si="236"/>
        <v>#REF!</v>
      </c>
      <c r="REN247" s="29" t="e">
        <f t="shared" si="236"/>
        <v>#REF!</v>
      </c>
      <c r="REO247" s="29" t="e">
        <f t="shared" si="236"/>
        <v>#REF!</v>
      </c>
      <c r="REP247" s="29" t="e">
        <f t="shared" si="236"/>
        <v>#REF!</v>
      </c>
      <c r="REQ247" s="29" t="e">
        <f t="shared" si="236"/>
        <v>#REF!</v>
      </c>
      <c r="RER247" s="29" t="e">
        <f t="shared" si="236"/>
        <v>#REF!</v>
      </c>
      <c r="RES247" s="29" t="e">
        <f t="shared" si="236"/>
        <v>#REF!</v>
      </c>
      <c r="RET247" s="29" t="e">
        <f t="shared" si="236"/>
        <v>#REF!</v>
      </c>
      <c r="REU247" s="29" t="e">
        <f t="shared" si="236"/>
        <v>#REF!</v>
      </c>
      <c r="REV247" s="29" t="e">
        <f t="shared" si="236"/>
        <v>#REF!</v>
      </c>
      <c r="REW247" s="29" t="e">
        <f t="shared" si="236"/>
        <v>#REF!</v>
      </c>
      <c r="REX247" s="29" t="e">
        <f t="shared" si="236"/>
        <v>#REF!</v>
      </c>
      <c r="REY247" s="29" t="e">
        <f t="shared" si="236"/>
        <v>#REF!</v>
      </c>
      <c r="REZ247" s="29" t="e">
        <f t="shared" si="236"/>
        <v>#REF!</v>
      </c>
      <c r="RFA247" s="29" t="e">
        <f t="shared" si="236"/>
        <v>#REF!</v>
      </c>
      <c r="RFB247" s="29" t="e">
        <f t="shared" si="236"/>
        <v>#REF!</v>
      </c>
      <c r="RFC247" s="29" t="e">
        <f t="shared" si="236"/>
        <v>#REF!</v>
      </c>
      <c r="RFD247" s="29" t="e">
        <f t="shared" si="236"/>
        <v>#REF!</v>
      </c>
      <c r="RFE247" s="29" t="e">
        <f t="shared" si="236"/>
        <v>#REF!</v>
      </c>
      <c r="RFF247" s="29" t="e">
        <f t="shared" si="236"/>
        <v>#REF!</v>
      </c>
      <c r="RFG247" s="29" t="e">
        <f t="shared" si="236"/>
        <v>#REF!</v>
      </c>
      <c r="RFH247" s="29" t="e">
        <f t="shared" si="236"/>
        <v>#REF!</v>
      </c>
      <c r="RFI247" s="29" t="e">
        <f t="shared" si="236"/>
        <v>#REF!</v>
      </c>
      <c r="RFJ247" s="29" t="e">
        <f t="shared" si="236"/>
        <v>#REF!</v>
      </c>
      <c r="RFK247" s="29" t="e">
        <f t="shared" si="236"/>
        <v>#REF!</v>
      </c>
      <c r="RFL247" s="29" t="e">
        <f t="shared" si="236"/>
        <v>#REF!</v>
      </c>
      <c r="RFM247" s="29" t="e">
        <f t="shared" si="236"/>
        <v>#REF!</v>
      </c>
      <c r="RFN247" s="29" t="e">
        <f t="shared" si="236"/>
        <v>#REF!</v>
      </c>
      <c r="RFO247" s="29" t="e">
        <f t="shared" si="236"/>
        <v>#REF!</v>
      </c>
      <c r="RFP247" s="29" t="e">
        <f t="shared" si="236"/>
        <v>#REF!</v>
      </c>
      <c r="RFQ247" s="29" t="e">
        <f t="shared" si="236"/>
        <v>#REF!</v>
      </c>
      <c r="RFR247" s="29" t="e">
        <f t="shared" si="236"/>
        <v>#REF!</v>
      </c>
      <c r="RFS247" s="29" t="e">
        <f t="shared" si="236"/>
        <v>#REF!</v>
      </c>
      <c r="RFT247" s="29" t="e">
        <f t="shared" si="236"/>
        <v>#REF!</v>
      </c>
      <c r="RFU247" s="29" t="e">
        <f t="shared" si="236"/>
        <v>#REF!</v>
      </c>
      <c r="RFV247" s="29" t="e">
        <f t="shared" si="236"/>
        <v>#REF!</v>
      </c>
      <c r="RFW247" s="29" t="e">
        <f t="shared" si="236"/>
        <v>#REF!</v>
      </c>
      <c r="RFX247" s="29" t="e">
        <f t="shared" si="236"/>
        <v>#REF!</v>
      </c>
      <c r="RFY247" s="29" t="e">
        <f t="shared" si="236"/>
        <v>#REF!</v>
      </c>
      <c r="RFZ247" s="29" t="e">
        <f t="shared" si="236"/>
        <v>#REF!</v>
      </c>
      <c r="RGA247" s="29" t="e">
        <f t="shared" si="236"/>
        <v>#REF!</v>
      </c>
      <c r="RGB247" s="29" t="e">
        <f t="shared" si="236"/>
        <v>#REF!</v>
      </c>
      <c r="RGC247" s="29" t="e">
        <f t="shared" si="236"/>
        <v>#REF!</v>
      </c>
      <c r="RGD247" s="29" t="e">
        <f t="shared" si="236"/>
        <v>#REF!</v>
      </c>
      <c r="RGE247" s="29" t="e">
        <f t="shared" si="236"/>
        <v>#REF!</v>
      </c>
      <c r="RGF247" s="29" t="e">
        <f t="shared" si="236"/>
        <v>#REF!</v>
      </c>
      <c r="RGG247" s="29" t="e">
        <f t="shared" si="236"/>
        <v>#REF!</v>
      </c>
      <c r="RGH247" s="29" t="e">
        <f t="shared" si="236"/>
        <v>#REF!</v>
      </c>
      <c r="RGI247" s="29" t="e">
        <f t="shared" si="236"/>
        <v>#REF!</v>
      </c>
      <c r="RGJ247" s="29" t="e">
        <f t="shared" si="236"/>
        <v>#REF!</v>
      </c>
      <c r="RGK247" s="29" t="e">
        <f t="shared" si="236"/>
        <v>#REF!</v>
      </c>
      <c r="RGL247" s="29" t="e">
        <f t="shared" si="236"/>
        <v>#REF!</v>
      </c>
      <c r="RGM247" s="29" t="e">
        <f t="shared" si="236"/>
        <v>#REF!</v>
      </c>
      <c r="RGN247" s="29" t="e">
        <f t="shared" si="236"/>
        <v>#REF!</v>
      </c>
      <c r="RGO247" s="29" t="e">
        <f t="shared" si="236"/>
        <v>#REF!</v>
      </c>
      <c r="RGP247" s="29" t="e">
        <f t="shared" si="236"/>
        <v>#REF!</v>
      </c>
      <c r="RGQ247" s="29" t="e">
        <f t="shared" si="236"/>
        <v>#REF!</v>
      </c>
      <c r="RGR247" s="29" t="e">
        <f t="shared" si="236"/>
        <v>#REF!</v>
      </c>
      <c r="RGS247" s="29" t="e">
        <f t="shared" ref="RGS247:RJD247" si="237">RGW247&amp;RGX247</f>
        <v>#REF!</v>
      </c>
      <c r="RGT247" s="29" t="e">
        <f t="shared" si="237"/>
        <v>#REF!</v>
      </c>
      <c r="RGU247" s="29" t="e">
        <f t="shared" si="237"/>
        <v>#REF!</v>
      </c>
      <c r="RGV247" s="29" t="e">
        <f t="shared" si="237"/>
        <v>#REF!</v>
      </c>
      <c r="RGW247" s="29" t="e">
        <f t="shared" si="237"/>
        <v>#REF!</v>
      </c>
      <c r="RGX247" s="29" t="e">
        <f t="shared" si="237"/>
        <v>#REF!</v>
      </c>
      <c r="RGY247" s="29" t="e">
        <f t="shared" si="237"/>
        <v>#REF!</v>
      </c>
      <c r="RGZ247" s="29" t="e">
        <f t="shared" si="237"/>
        <v>#REF!</v>
      </c>
      <c r="RHA247" s="29" t="e">
        <f t="shared" si="237"/>
        <v>#REF!</v>
      </c>
      <c r="RHB247" s="29" t="e">
        <f t="shared" si="237"/>
        <v>#REF!</v>
      </c>
      <c r="RHC247" s="29" t="e">
        <f t="shared" si="237"/>
        <v>#REF!</v>
      </c>
      <c r="RHD247" s="29" t="e">
        <f t="shared" si="237"/>
        <v>#REF!</v>
      </c>
      <c r="RHE247" s="29" t="e">
        <f t="shared" si="237"/>
        <v>#REF!</v>
      </c>
      <c r="RHF247" s="29" t="e">
        <f t="shared" si="237"/>
        <v>#REF!</v>
      </c>
      <c r="RHG247" s="29" t="e">
        <f t="shared" si="237"/>
        <v>#REF!</v>
      </c>
      <c r="RHH247" s="29" t="e">
        <f t="shared" si="237"/>
        <v>#REF!</v>
      </c>
      <c r="RHI247" s="29" t="e">
        <f t="shared" si="237"/>
        <v>#REF!</v>
      </c>
      <c r="RHJ247" s="29" t="e">
        <f t="shared" si="237"/>
        <v>#REF!</v>
      </c>
      <c r="RHK247" s="29" t="e">
        <f t="shared" si="237"/>
        <v>#REF!</v>
      </c>
      <c r="RHL247" s="29" t="e">
        <f t="shared" si="237"/>
        <v>#REF!</v>
      </c>
      <c r="RHM247" s="29" t="e">
        <f t="shared" si="237"/>
        <v>#REF!</v>
      </c>
      <c r="RHN247" s="29" t="e">
        <f t="shared" si="237"/>
        <v>#REF!</v>
      </c>
      <c r="RHO247" s="29" t="e">
        <f t="shared" si="237"/>
        <v>#REF!</v>
      </c>
      <c r="RHP247" s="29" t="e">
        <f t="shared" si="237"/>
        <v>#REF!</v>
      </c>
      <c r="RHQ247" s="29" t="e">
        <f t="shared" si="237"/>
        <v>#REF!</v>
      </c>
      <c r="RHR247" s="29" t="e">
        <f t="shared" si="237"/>
        <v>#REF!</v>
      </c>
      <c r="RHS247" s="29" t="e">
        <f t="shared" si="237"/>
        <v>#REF!</v>
      </c>
      <c r="RHT247" s="29" t="e">
        <f t="shared" si="237"/>
        <v>#REF!</v>
      </c>
      <c r="RHU247" s="29" t="e">
        <f t="shared" si="237"/>
        <v>#REF!</v>
      </c>
      <c r="RHV247" s="29" t="e">
        <f t="shared" si="237"/>
        <v>#REF!</v>
      </c>
      <c r="RHW247" s="29" t="e">
        <f t="shared" si="237"/>
        <v>#REF!</v>
      </c>
      <c r="RHX247" s="29" t="e">
        <f t="shared" si="237"/>
        <v>#REF!</v>
      </c>
      <c r="RHY247" s="29" t="e">
        <f t="shared" si="237"/>
        <v>#REF!</v>
      </c>
      <c r="RHZ247" s="29" t="e">
        <f t="shared" si="237"/>
        <v>#REF!</v>
      </c>
      <c r="RIA247" s="29" t="e">
        <f t="shared" si="237"/>
        <v>#REF!</v>
      </c>
      <c r="RIB247" s="29" t="e">
        <f t="shared" si="237"/>
        <v>#REF!</v>
      </c>
      <c r="RIC247" s="29" t="e">
        <f t="shared" si="237"/>
        <v>#REF!</v>
      </c>
      <c r="RID247" s="29" t="e">
        <f t="shared" si="237"/>
        <v>#REF!</v>
      </c>
      <c r="RIE247" s="29" t="e">
        <f t="shared" si="237"/>
        <v>#REF!</v>
      </c>
      <c r="RIF247" s="29" t="e">
        <f t="shared" si="237"/>
        <v>#REF!</v>
      </c>
      <c r="RIG247" s="29" t="e">
        <f t="shared" si="237"/>
        <v>#REF!</v>
      </c>
      <c r="RIH247" s="29" t="e">
        <f t="shared" si="237"/>
        <v>#REF!</v>
      </c>
      <c r="RII247" s="29" t="e">
        <f t="shared" si="237"/>
        <v>#REF!</v>
      </c>
      <c r="RIJ247" s="29" t="e">
        <f t="shared" si="237"/>
        <v>#REF!</v>
      </c>
      <c r="RIK247" s="29" t="e">
        <f t="shared" si="237"/>
        <v>#REF!</v>
      </c>
      <c r="RIL247" s="29" t="e">
        <f t="shared" si="237"/>
        <v>#REF!</v>
      </c>
      <c r="RIM247" s="29" t="e">
        <f t="shared" si="237"/>
        <v>#REF!</v>
      </c>
      <c r="RIN247" s="29" t="e">
        <f t="shared" si="237"/>
        <v>#REF!</v>
      </c>
      <c r="RIO247" s="29" t="e">
        <f t="shared" si="237"/>
        <v>#REF!</v>
      </c>
      <c r="RIP247" s="29" t="e">
        <f t="shared" si="237"/>
        <v>#REF!</v>
      </c>
      <c r="RIQ247" s="29" t="e">
        <f t="shared" si="237"/>
        <v>#REF!</v>
      </c>
      <c r="RIR247" s="29" t="e">
        <f t="shared" si="237"/>
        <v>#REF!</v>
      </c>
      <c r="RIS247" s="29" t="e">
        <f t="shared" si="237"/>
        <v>#REF!</v>
      </c>
      <c r="RIT247" s="29" t="e">
        <f t="shared" si="237"/>
        <v>#REF!</v>
      </c>
      <c r="RIU247" s="29" t="e">
        <f t="shared" si="237"/>
        <v>#REF!</v>
      </c>
      <c r="RIV247" s="29" t="e">
        <f t="shared" si="237"/>
        <v>#REF!</v>
      </c>
      <c r="RIW247" s="29" t="e">
        <f t="shared" si="237"/>
        <v>#REF!</v>
      </c>
      <c r="RIX247" s="29" t="e">
        <f t="shared" si="237"/>
        <v>#REF!</v>
      </c>
      <c r="RIY247" s="29" t="e">
        <f t="shared" si="237"/>
        <v>#REF!</v>
      </c>
      <c r="RIZ247" s="29" t="e">
        <f t="shared" si="237"/>
        <v>#REF!</v>
      </c>
      <c r="RJA247" s="29" t="e">
        <f t="shared" si="237"/>
        <v>#REF!</v>
      </c>
      <c r="RJB247" s="29" t="e">
        <f t="shared" si="237"/>
        <v>#REF!</v>
      </c>
      <c r="RJC247" s="29" t="e">
        <f t="shared" si="237"/>
        <v>#REF!</v>
      </c>
      <c r="RJD247" s="29" t="e">
        <f t="shared" si="237"/>
        <v>#REF!</v>
      </c>
      <c r="RJE247" s="29" t="e">
        <f t="shared" ref="RJE247:RLP247" si="238">RJI247&amp;RJJ247</f>
        <v>#REF!</v>
      </c>
      <c r="RJF247" s="29" t="e">
        <f t="shared" si="238"/>
        <v>#REF!</v>
      </c>
      <c r="RJG247" s="29" t="e">
        <f t="shared" si="238"/>
        <v>#REF!</v>
      </c>
      <c r="RJH247" s="29" t="e">
        <f t="shared" si="238"/>
        <v>#REF!</v>
      </c>
      <c r="RJI247" s="29" t="e">
        <f t="shared" si="238"/>
        <v>#REF!</v>
      </c>
      <c r="RJJ247" s="29" t="e">
        <f t="shared" si="238"/>
        <v>#REF!</v>
      </c>
      <c r="RJK247" s="29" t="e">
        <f t="shared" si="238"/>
        <v>#REF!</v>
      </c>
      <c r="RJL247" s="29" t="e">
        <f t="shared" si="238"/>
        <v>#REF!</v>
      </c>
      <c r="RJM247" s="29" t="e">
        <f t="shared" si="238"/>
        <v>#REF!</v>
      </c>
      <c r="RJN247" s="29" t="e">
        <f t="shared" si="238"/>
        <v>#REF!</v>
      </c>
      <c r="RJO247" s="29" t="e">
        <f t="shared" si="238"/>
        <v>#REF!</v>
      </c>
      <c r="RJP247" s="29" t="e">
        <f t="shared" si="238"/>
        <v>#REF!</v>
      </c>
      <c r="RJQ247" s="29" t="e">
        <f t="shared" si="238"/>
        <v>#REF!</v>
      </c>
      <c r="RJR247" s="29" t="e">
        <f t="shared" si="238"/>
        <v>#REF!</v>
      </c>
      <c r="RJS247" s="29" t="e">
        <f t="shared" si="238"/>
        <v>#REF!</v>
      </c>
      <c r="RJT247" s="29" t="e">
        <f t="shared" si="238"/>
        <v>#REF!</v>
      </c>
      <c r="RJU247" s="29" t="e">
        <f t="shared" si="238"/>
        <v>#REF!</v>
      </c>
      <c r="RJV247" s="29" t="e">
        <f t="shared" si="238"/>
        <v>#REF!</v>
      </c>
      <c r="RJW247" s="29" t="e">
        <f t="shared" si="238"/>
        <v>#REF!</v>
      </c>
      <c r="RJX247" s="29" t="e">
        <f t="shared" si="238"/>
        <v>#REF!</v>
      </c>
      <c r="RJY247" s="29" t="e">
        <f t="shared" si="238"/>
        <v>#REF!</v>
      </c>
      <c r="RJZ247" s="29" t="e">
        <f t="shared" si="238"/>
        <v>#REF!</v>
      </c>
      <c r="RKA247" s="29" t="e">
        <f t="shared" si="238"/>
        <v>#REF!</v>
      </c>
      <c r="RKB247" s="29" t="e">
        <f t="shared" si="238"/>
        <v>#REF!</v>
      </c>
      <c r="RKC247" s="29" t="e">
        <f t="shared" si="238"/>
        <v>#REF!</v>
      </c>
      <c r="RKD247" s="29" t="e">
        <f t="shared" si="238"/>
        <v>#REF!</v>
      </c>
      <c r="RKE247" s="29" t="e">
        <f t="shared" si="238"/>
        <v>#REF!</v>
      </c>
      <c r="RKF247" s="29" t="e">
        <f t="shared" si="238"/>
        <v>#REF!</v>
      </c>
      <c r="RKG247" s="29" t="e">
        <f t="shared" si="238"/>
        <v>#REF!</v>
      </c>
      <c r="RKH247" s="29" t="e">
        <f t="shared" si="238"/>
        <v>#REF!</v>
      </c>
      <c r="RKI247" s="29" t="e">
        <f t="shared" si="238"/>
        <v>#REF!</v>
      </c>
      <c r="RKJ247" s="29" t="e">
        <f t="shared" si="238"/>
        <v>#REF!</v>
      </c>
      <c r="RKK247" s="29" t="e">
        <f t="shared" si="238"/>
        <v>#REF!</v>
      </c>
      <c r="RKL247" s="29" t="e">
        <f t="shared" si="238"/>
        <v>#REF!</v>
      </c>
      <c r="RKM247" s="29" t="e">
        <f t="shared" si="238"/>
        <v>#REF!</v>
      </c>
      <c r="RKN247" s="29" t="e">
        <f t="shared" si="238"/>
        <v>#REF!</v>
      </c>
      <c r="RKO247" s="29" t="e">
        <f t="shared" si="238"/>
        <v>#REF!</v>
      </c>
      <c r="RKP247" s="29" t="e">
        <f t="shared" si="238"/>
        <v>#REF!</v>
      </c>
      <c r="RKQ247" s="29" t="e">
        <f t="shared" si="238"/>
        <v>#REF!</v>
      </c>
      <c r="RKR247" s="29" t="e">
        <f t="shared" si="238"/>
        <v>#REF!</v>
      </c>
      <c r="RKS247" s="29" t="e">
        <f t="shared" si="238"/>
        <v>#REF!</v>
      </c>
      <c r="RKT247" s="29" t="e">
        <f t="shared" si="238"/>
        <v>#REF!</v>
      </c>
      <c r="RKU247" s="29" t="e">
        <f t="shared" si="238"/>
        <v>#REF!</v>
      </c>
      <c r="RKV247" s="29" t="e">
        <f t="shared" si="238"/>
        <v>#REF!</v>
      </c>
      <c r="RKW247" s="29" t="e">
        <f t="shared" si="238"/>
        <v>#REF!</v>
      </c>
      <c r="RKX247" s="29" t="e">
        <f t="shared" si="238"/>
        <v>#REF!</v>
      </c>
      <c r="RKY247" s="29" t="e">
        <f t="shared" si="238"/>
        <v>#REF!</v>
      </c>
      <c r="RKZ247" s="29" t="e">
        <f t="shared" si="238"/>
        <v>#REF!</v>
      </c>
      <c r="RLA247" s="29" t="e">
        <f t="shared" si="238"/>
        <v>#REF!</v>
      </c>
      <c r="RLB247" s="29" t="e">
        <f t="shared" si="238"/>
        <v>#REF!</v>
      </c>
      <c r="RLC247" s="29" t="e">
        <f t="shared" si="238"/>
        <v>#REF!</v>
      </c>
      <c r="RLD247" s="29" t="e">
        <f t="shared" si="238"/>
        <v>#REF!</v>
      </c>
      <c r="RLE247" s="29" t="e">
        <f t="shared" si="238"/>
        <v>#REF!</v>
      </c>
      <c r="RLF247" s="29" t="e">
        <f t="shared" si="238"/>
        <v>#REF!</v>
      </c>
      <c r="RLG247" s="29" t="e">
        <f t="shared" si="238"/>
        <v>#REF!</v>
      </c>
      <c r="RLH247" s="29" t="e">
        <f t="shared" si="238"/>
        <v>#REF!</v>
      </c>
      <c r="RLI247" s="29" t="e">
        <f t="shared" si="238"/>
        <v>#REF!</v>
      </c>
      <c r="RLJ247" s="29" t="e">
        <f t="shared" si="238"/>
        <v>#REF!</v>
      </c>
      <c r="RLK247" s="29" t="e">
        <f t="shared" si="238"/>
        <v>#REF!</v>
      </c>
      <c r="RLL247" s="29" t="e">
        <f t="shared" si="238"/>
        <v>#REF!</v>
      </c>
      <c r="RLM247" s="29" t="e">
        <f t="shared" si="238"/>
        <v>#REF!</v>
      </c>
      <c r="RLN247" s="29" t="e">
        <f t="shared" si="238"/>
        <v>#REF!</v>
      </c>
      <c r="RLO247" s="29" t="e">
        <f t="shared" si="238"/>
        <v>#REF!</v>
      </c>
      <c r="RLP247" s="29" t="e">
        <f t="shared" si="238"/>
        <v>#REF!</v>
      </c>
      <c r="RLQ247" s="29" t="e">
        <f t="shared" ref="RLQ247:ROB247" si="239">RLU247&amp;RLV247</f>
        <v>#REF!</v>
      </c>
      <c r="RLR247" s="29" t="e">
        <f t="shared" si="239"/>
        <v>#REF!</v>
      </c>
      <c r="RLS247" s="29" t="e">
        <f t="shared" si="239"/>
        <v>#REF!</v>
      </c>
      <c r="RLT247" s="29" t="e">
        <f t="shared" si="239"/>
        <v>#REF!</v>
      </c>
      <c r="RLU247" s="29" t="e">
        <f t="shared" si="239"/>
        <v>#REF!</v>
      </c>
      <c r="RLV247" s="29" t="e">
        <f t="shared" si="239"/>
        <v>#REF!</v>
      </c>
      <c r="RLW247" s="29" t="e">
        <f t="shared" si="239"/>
        <v>#REF!</v>
      </c>
      <c r="RLX247" s="29" t="e">
        <f t="shared" si="239"/>
        <v>#REF!</v>
      </c>
      <c r="RLY247" s="29" t="e">
        <f t="shared" si="239"/>
        <v>#REF!</v>
      </c>
      <c r="RLZ247" s="29" t="e">
        <f t="shared" si="239"/>
        <v>#REF!</v>
      </c>
      <c r="RMA247" s="29" t="e">
        <f t="shared" si="239"/>
        <v>#REF!</v>
      </c>
      <c r="RMB247" s="29" t="e">
        <f t="shared" si="239"/>
        <v>#REF!</v>
      </c>
      <c r="RMC247" s="29" t="e">
        <f t="shared" si="239"/>
        <v>#REF!</v>
      </c>
      <c r="RMD247" s="29" t="e">
        <f t="shared" si="239"/>
        <v>#REF!</v>
      </c>
      <c r="RME247" s="29" t="e">
        <f t="shared" si="239"/>
        <v>#REF!</v>
      </c>
      <c r="RMF247" s="29" t="e">
        <f t="shared" si="239"/>
        <v>#REF!</v>
      </c>
      <c r="RMG247" s="29" t="e">
        <f t="shared" si="239"/>
        <v>#REF!</v>
      </c>
      <c r="RMH247" s="29" t="e">
        <f t="shared" si="239"/>
        <v>#REF!</v>
      </c>
      <c r="RMI247" s="29" t="e">
        <f t="shared" si="239"/>
        <v>#REF!</v>
      </c>
      <c r="RMJ247" s="29" t="e">
        <f t="shared" si="239"/>
        <v>#REF!</v>
      </c>
      <c r="RMK247" s="29" t="e">
        <f t="shared" si="239"/>
        <v>#REF!</v>
      </c>
      <c r="RML247" s="29" t="e">
        <f t="shared" si="239"/>
        <v>#REF!</v>
      </c>
      <c r="RMM247" s="29" t="e">
        <f t="shared" si="239"/>
        <v>#REF!</v>
      </c>
      <c r="RMN247" s="29" t="e">
        <f t="shared" si="239"/>
        <v>#REF!</v>
      </c>
      <c r="RMO247" s="29" t="e">
        <f t="shared" si="239"/>
        <v>#REF!</v>
      </c>
      <c r="RMP247" s="29" t="e">
        <f t="shared" si="239"/>
        <v>#REF!</v>
      </c>
      <c r="RMQ247" s="29" t="e">
        <f t="shared" si="239"/>
        <v>#REF!</v>
      </c>
      <c r="RMR247" s="29" t="e">
        <f t="shared" si="239"/>
        <v>#REF!</v>
      </c>
      <c r="RMS247" s="29" t="e">
        <f t="shared" si="239"/>
        <v>#REF!</v>
      </c>
      <c r="RMT247" s="29" t="e">
        <f t="shared" si="239"/>
        <v>#REF!</v>
      </c>
      <c r="RMU247" s="29" t="e">
        <f t="shared" si="239"/>
        <v>#REF!</v>
      </c>
      <c r="RMV247" s="29" t="e">
        <f t="shared" si="239"/>
        <v>#REF!</v>
      </c>
      <c r="RMW247" s="29" t="e">
        <f t="shared" si="239"/>
        <v>#REF!</v>
      </c>
      <c r="RMX247" s="29" t="e">
        <f t="shared" si="239"/>
        <v>#REF!</v>
      </c>
      <c r="RMY247" s="29" t="e">
        <f t="shared" si="239"/>
        <v>#REF!</v>
      </c>
      <c r="RMZ247" s="29" t="e">
        <f t="shared" si="239"/>
        <v>#REF!</v>
      </c>
      <c r="RNA247" s="29" t="e">
        <f t="shared" si="239"/>
        <v>#REF!</v>
      </c>
      <c r="RNB247" s="29" t="e">
        <f t="shared" si="239"/>
        <v>#REF!</v>
      </c>
      <c r="RNC247" s="29" t="e">
        <f t="shared" si="239"/>
        <v>#REF!</v>
      </c>
      <c r="RND247" s="29" t="e">
        <f t="shared" si="239"/>
        <v>#REF!</v>
      </c>
      <c r="RNE247" s="29" t="e">
        <f t="shared" si="239"/>
        <v>#REF!</v>
      </c>
      <c r="RNF247" s="29" t="e">
        <f t="shared" si="239"/>
        <v>#REF!</v>
      </c>
      <c r="RNG247" s="29" t="e">
        <f t="shared" si="239"/>
        <v>#REF!</v>
      </c>
      <c r="RNH247" s="29" t="e">
        <f t="shared" si="239"/>
        <v>#REF!</v>
      </c>
      <c r="RNI247" s="29" t="e">
        <f t="shared" si="239"/>
        <v>#REF!</v>
      </c>
      <c r="RNJ247" s="29" t="e">
        <f t="shared" si="239"/>
        <v>#REF!</v>
      </c>
      <c r="RNK247" s="29" t="e">
        <f t="shared" si="239"/>
        <v>#REF!</v>
      </c>
      <c r="RNL247" s="29" t="e">
        <f t="shared" si="239"/>
        <v>#REF!</v>
      </c>
      <c r="RNM247" s="29" t="e">
        <f t="shared" si="239"/>
        <v>#REF!</v>
      </c>
      <c r="RNN247" s="29" t="e">
        <f t="shared" si="239"/>
        <v>#REF!</v>
      </c>
      <c r="RNO247" s="29" t="e">
        <f t="shared" si="239"/>
        <v>#REF!</v>
      </c>
      <c r="RNP247" s="29" t="e">
        <f t="shared" si="239"/>
        <v>#REF!</v>
      </c>
      <c r="RNQ247" s="29" t="e">
        <f t="shared" si="239"/>
        <v>#REF!</v>
      </c>
      <c r="RNR247" s="29" t="e">
        <f t="shared" si="239"/>
        <v>#REF!</v>
      </c>
      <c r="RNS247" s="29" t="e">
        <f t="shared" si="239"/>
        <v>#REF!</v>
      </c>
      <c r="RNT247" s="29" t="e">
        <f t="shared" si="239"/>
        <v>#REF!</v>
      </c>
      <c r="RNU247" s="29" t="e">
        <f t="shared" si="239"/>
        <v>#REF!</v>
      </c>
      <c r="RNV247" s="29" t="e">
        <f t="shared" si="239"/>
        <v>#REF!</v>
      </c>
      <c r="RNW247" s="29" t="e">
        <f t="shared" si="239"/>
        <v>#REF!</v>
      </c>
      <c r="RNX247" s="29" t="e">
        <f t="shared" si="239"/>
        <v>#REF!</v>
      </c>
      <c r="RNY247" s="29" t="e">
        <f t="shared" si="239"/>
        <v>#REF!</v>
      </c>
      <c r="RNZ247" s="29" t="e">
        <f t="shared" si="239"/>
        <v>#REF!</v>
      </c>
      <c r="ROA247" s="29" t="e">
        <f t="shared" si="239"/>
        <v>#REF!</v>
      </c>
      <c r="ROB247" s="29" t="e">
        <f t="shared" si="239"/>
        <v>#REF!</v>
      </c>
      <c r="ROC247" s="29" t="e">
        <f t="shared" ref="ROC247:RQN247" si="240">ROG247&amp;ROH247</f>
        <v>#REF!</v>
      </c>
      <c r="ROD247" s="29" t="e">
        <f t="shared" si="240"/>
        <v>#REF!</v>
      </c>
      <c r="ROE247" s="29" t="e">
        <f t="shared" si="240"/>
        <v>#REF!</v>
      </c>
      <c r="ROF247" s="29" t="e">
        <f t="shared" si="240"/>
        <v>#REF!</v>
      </c>
      <c r="ROG247" s="29" t="e">
        <f t="shared" si="240"/>
        <v>#REF!</v>
      </c>
      <c r="ROH247" s="29" t="e">
        <f t="shared" si="240"/>
        <v>#REF!</v>
      </c>
      <c r="ROI247" s="29" t="e">
        <f t="shared" si="240"/>
        <v>#REF!</v>
      </c>
      <c r="ROJ247" s="29" t="e">
        <f t="shared" si="240"/>
        <v>#REF!</v>
      </c>
      <c r="ROK247" s="29" t="e">
        <f t="shared" si="240"/>
        <v>#REF!</v>
      </c>
      <c r="ROL247" s="29" t="e">
        <f t="shared" si="240"/>
        <v>#REF!</v>
      </c>
      <c r="ROM247" s="29" t="e">
        <f t="shared" si="240"/>
        <v>#REF!</v>
      </c>
      <c r="RON247" s="29" t="e">
        <f t="shared" si="240"/>
        <v>#REF!</v>
      </c>
      <c r="ROO247" s="29" t="e">
        <f t="shared" si="240"/>
        <v>#REF!</v>
      </c>
      <c r="ROP247" s="29" t="e">
        <f t="shared" si="240"/>
        <v>#REF!</v>
      </c>
      <c r="ROQ247" s="29" t="e">
        <f t="shared" si="240"/>
        <v>#REF!</v>
      </c>
      <c r="ROR247" s="29" t="e">
        <f t="shared" si="240"/>
        <v>#REF!</v>
      </c>
      <c r="ROS247" s="29" t="e">
        <f t="shared" si="240"/>
        <v>#REF!</v>
      </c>
      <c r="ROT247" s="29" t="e">
        <f t="shared" si="240"/>
        <v>#REF!</v>
      </c>
      <c r="ROU247" s="29" t="e">
        <f t="shared" si="240"/>
        <v>#REF!</v>
      </c>
      <c r="ROV247" s="29" t="e">
        <f t="shared" si="240"/>
        <v>#REF!</v>
      </c>
      <c r="ROW247" s="29" t="e">
        <f t="shared" si="240"/>
        <v>#REF!</v>
      </c>
      <c r="ROX247" s="29" t="e">
        <f t="shared" si="240"/>
        <v>#REF!</v>
      </c>
      <c r="ROY247" s="29" t="e">
        <f t="shared" si="240"/>
        <v>#REF!</v>
      </c>
      <c r="ROZ247" s="29" t="e">
        <f t="shared" si="240"/>
        <v>#REF!</v>
      </c>
      <c r="RPA247" s="29" t="e">
        <f t="shared" si="240"/>
        <v>#REF!</v>
      </c>
      <c r="RPB247" s="29" t="e">
        <f t="shared" si="240"/>
        <v>#REF!</v>
      </c>
      <c r="RPC247" s="29" t="e">
        <f t="shared" si="240"/>
        <v>#REF!</v>
      </c>
      <c r="RPD247" s="29" t="e">
        <f t="shared" si="240"/>
        <v>#REF!</v>
      </c>
      <c r="RPE247" s="29" t="e">
        <f t="shared" si="240"/>
        <v>#REF!</v>
      </c>
      <c r="RPF247" s="29" t="e">
        <f t="shared" si="240"/>
        <v>#REF!</v>
      </c>
      <c r="RPG247" s="29" t="e">
        <f t="shared" si="240"/>
        <v>#REF!</v>
      </c>
      <c r="RPH247" s="29" t="e">
        <f t="shared" si="240"/>
        <v>#REF!</v>
      </c>
      <c r="RPI247" s="29" t="e">
        <f t="shared" si="240"/>
        <v>#REF!</v>
      </c>
      <c r="RPJ247" s="29" t="e">
        <f t="shared" si="240"/>
        <v>#REF!</v>
      </c>
      <c r="RPK247" s="29" t="e">
        <f t="shared" si="240"/>
        <v>#REF!</v>
      </c>
      <c r="RPL247" s="29" t="e">
        <f t="shared" si="240"/>
        <v>#REF!</v>
      </c>
      <c r="RPM247" s="29" t="e">
        <f t="shared" si="240"/>
        <v>#REF!</v>
      </c>
      <c r="RPN247" s="29" t="e">
        <f t="shared" si="240"/>
        <v>#REF!</v>
      </c>
      <c r="RPO247" s="29" t="e">
        <f t="shared" si="240"/>
        <v>#REF!</v>
      </c>
      <c r="RPP247" s="29" t="e">
        <f t="shared" si="240"/>
        <v>#REF!</v>
      </c>
      <c r="RPQ247" s="29" t="e">
        <f t="shared" si="240"/>
        <v>#REF!</v>
      </c>
      <c r="RPR247" s="29" t="e">
        <f t="shared" si="240"/>
        <v>#REF!</v>
      </c>
      <c r="RPS247" s="29" t="e">
        <f t="shared" si="240"/>
        <v>#REF!</v>
      </c>
      <c r="RPT247" s="29" t="e">
        <f t="shared" si="240"/>
        <v>#REF!</v>
      </c>
      <c r="RPU247" s="29" t="e">
        <f t="shared" si="240"/>
        <v>#REF!</v>
      </c>
      <c r="RPV247" s="29" t="e">
        <f t="shared" si="240"/>
        <v>#REF!</v>
      </c>
      <c r="RPW247" s="29" t="e">
        <f t="shared" si="240"/>
        <v>#REF!</v>
      </c>
      <c r="RPX247" s="29" t="e">
        <f t="shared" si="240"/>
        <v>#REF!</v>
      </c>
      <c r="RPY247" s="29" t="e">
        <f t="shared" si="240"/>
        <v>#REF!</v>
      </c>
      <c r="RPZ247" s="29" t="e">
        <f t="shared" si="240"/>
        <v>#REF!</v>
      </c>
      <c r="RQA247" s="29" t="e">
        <f t="shared" si="240"/>
        <v>#REF!</v>
      </c>
      <c r="RQB247" s="29" t="e">
        <f t="shared" si="240"/>
        <v>#REF!</v>
      </c>
      <c r="RQC247" s="29" t="e">
        <f t="shared" si="240"/>
        <v>#REF!</v>
      </c>
      <c r="RQD247" s="29" t="e">
        <f t="shared" si="240"/>
        <v>#REF!</v>
      </c>
      <c r="RQE247" s="29" t="e">
        <f t="shared" si="240"/>
        <v>#REF!</v>
      </c>
      <c r="RQF247" s="29" t="e">
        <f t="shared" si="240"/>
        <v>#REF!</v>
      </c>
      <c r="RQG247" s="29" t="e">
        <f t="shared" si="240"/>
        <v>#REF!</v>
      </c>
      <c r="RQH247" s="29" t="e">
        <f t="shared" si="240"/>
        <v>#REF!</v>
      </c>
      <c r="RQI247" s="29" t="e">
        <f t="shared" si="240"/>
        <v>#REF!</v>
      </c>
      <c r="RQJ247" s="29" t="e">
        <f t="shared" si="240"/>
        <v>#REF!</v>
      </c>
      <c r="RQK247" s="29" t="e">
        <f t="shared" si="240"/>
        <v>#REF!</v>
      </c>
      <c r="RQL247" s="29" t="e">
        <f t="shared" si="240"/>
        <v>#REF!</v>
      </c>
      <c r="RQM247" s="29" t="e">
        <f t="shared" si="240"/>
        <v>#REF!</v>
      </c>
      <c r="RQN247" s="29" t="e">
        <f t="shared" si="240"/>
        <v>#REF!</v>
      </c>
      <c r="RQO247" s="29" t="e">
        <f t="shared" ref="RQO247:RSZ247" si="241">RQS247&amp;RQT247</f>
        <v>#REF!</v>
      </c>
      <c r="RQP247" s="29" t="e">
        <f t="shared" si="241"/>
        <v>#REF!</v>
      </c>
      <c r="RQQ247" s="29" t="e">
        <f t="shared" si="241"/>
        <v>#REF!</v>
      </c>
      <c r="RQR247" s="29" t="e">
        <f t="shared" si="241"/>
        <v>#REF!</v>
      </c>
      <c r="RQS247" s="29" t="e">
        <f t="shared" si="241"/>
        <v>#REF!</v>
      </c>
      <c r="RQT247" s="29" t="e">
        <f t="shared" si="241"/>
        <v>#REF!</v>
      </c>
      <c r="RQU247" s="29" t="e">
        <f t="shared" si="241"/>
        <v>#REF!</v>
      </c>
      <c r="RQV247" s="29" t="e">
        <f t="shared" si="241"/>
        <v>#REF!</v>
      </c>
      <c r="RQW247" s="29" t="e">
        <f t="shared" si="241"/>
        <v>#REF!</v>
      </c>
      <c r="RQX247" s="29" t="e">
        <f t="shared" si="241"/>
        <v>#REF!</v>
      </c>
      <c r="RQY247" s="29" t="e">
        <f t="shared" si="241"/>
        <v>#REF!</v>
      </c>
      <c r="RQZ247" s="29" t="e">
        <f t="shared" si="241"/>
        <v>#REF!</v>
      </c>
      <c r="RRA247" s="29" t="e">
        <f t="shared" si="241"/>
        <v>#REF!</v>
      </c>
      <c r="RRB247" s="29" t="e">
        <f t="shared" si="241"/>
        <v>#REF!</v>
      </c>
      <c r="RRC247" s="29" t="e">
        <f t="shared" si="241"/>
        <v>#REF!</v>
      </c>
      <c r="RRD247" s="29" t="e">
        <f t="shared" si="241"/>
        <v>#REF!</v>
      </c>
      <c r="RRE247" s="29" t="e">
        <f t="shared" si="241"/>
        <v>#REF!</v>
      </c>
      <c r="RRF247" s="29" t="e">
        <f t="shared" si="241"/>
        <v>#REF!</v>
      </c>
      <c r="RRG247" s="29" t="e">
        <f t="shared" si="241"/>
        <v>#REF!</v>
      </c>
      <c r="RRH247" s="29" t="e">
        <f t="shared" si="241"/>
        <v>#REF!</v>
      </c>
      <c r="RRI247" s="29" t="e">
        <f t="shared" si="241"/>
        <v>#REF!</v>
      </c>
      <c r="RRJ247" s="29" t="e">
        <f t="shared" si="241"/>
        <v>#REF!</v>
      </c>
      <c r="RRK247" s="29" t="e">
        <f t="shared" si="241"/>
        <v>#REF!</v>
      </c>
      <c r="RRL247" s="29" t="e">
        <f t="shared" si="241"/>
        <v>#REF!</v>
      </c>
      <c r="RRM247" s="29" t="e">
        <f t="shared" si="241"/>
        <v>#REF!</v>
      </c>
      <c r="RRN247" s="29" t="e">
        <f t="shared" si="241"/>
        <v>#REF!</v>
      </c>
      <c r="RRO247" s="29" t="e">
        <f t="shared" si="241"/>
        <v>#REF!</v>
      </c>
      <c r="RRP247" s="29" t="e">
        <f t="shared" si="241"/>
        <v>#REF!</v>
      </c>
      <c r="RRQ247" s="29" t="e">
        <f t="shared" si="241"/>
        <v>#REF!</v>
      </c>
      <c r="RRR247" s="29" t="e">
        <f t="shared" si="241"/>
        <v>#REF!</v>
      </c>
      <c r="RRS247" s="29" t="e">
        <f t="shared" si="241"/>
        <v>#REF!</v>
      </c>
      <c r="RRT247" s="29" t="e">
        <f t="shared" si="241"/>
        <v>#REF!</v>
      </c>
      <c r="RRU247" s="29" t="e">
        <f t="shared" si="241"/>
        <v>#REF!</v>
      </c>
      <c r="RRV247" s="29" t="e">
        <f t="shared" si="241"/>
        <v>#REF!</v>
      </c>
      <c r="RRW247" s="29" t="e">
        <f t="shared" si="241"/>
        <v>#REF!</v>
      </c>
      <c r="RRX247" s="29" t="e">
        <f t="shared" si="241"/>
        <v>#REF!</v>
      </c>
      <c r="RRY247" s="29" t="e">
        <f t="shared" si="241"/>
        <v>#REF!</v>
      </c>
      <c r="RRZ247" s="29" t="e">
        <f t="shared" si="241"/>
        <v>#REF!</v>
      </c>
      <c r="RSA247" s="29" t="e">
        <f t="shared" si="241"/>
        <v>#REF!</v>
      </c>
      <c r="RSB247" s="29" t="e">
        <f t="shared" si="241"/>
        <v>#REF!</v>
      </c>
      <c r="RSC247" s="29" t="e">
        <f t="shared" si="241"/>
        <v>#REF!</v>
      </c>
      <c r="RSD247" s="29" t="e">
        <f t="shared" si="241"/>
        <v>#REF!</v>
      </c>
      <c r="RSE247" s="29" t="e">
        <f t="shared" si="241"/>
        <v>#REF!</v>
      </c>
      <c r="RSF247" s="29" t="e">
        <f t="shared" si="241"/>
        <v>#REF!</v>
      </c>
      <c r="RSG247" s="29" t="e">
        <f t="shared" si="241"/>
        <v>#REF!</v>
      </c>
      <c r="RSH247" s="29" t="e">
        <f t="shared" si="241"/>
        <v>#REF!</v>
      </c>
      <c r="RSI247" s="29" t="e">
        <f t="shared" si="241"/>
        <v>#REF!</v>
      </c>
      <c r="RSJ247" s="29" t="e">
        <f t="shared" si="241"/>
        <v>#REF!</v>
      </c>
      <c r="RSK247" s="29" t="e">
        <f t="shared" si="241"/>
        <v>#REF!</v>
      </c>
      <c r="RSL247" s="29" t="e">
        <f t="shared" si="241"/>
        <v>#REF!</v>
      </c>
      <c r="RSM247" s="29" t="e">
        <f t="shared" si="241"/>
        <v>#REF!</v>
      </c>
      <c r="RSN247" s="29" t="e">
        <f t="shared" si="241"/>
        <v>#REF!</v>
      </c>
      <c r="RSO247" s="29" t="e">
        <f t="shared" si="241"/>
        <v>#REF!</v>
      </c>
      <c r="RSP247" s="29" t="e">
        <f t="shared" si="241"/>
        <v>#REF!</v>
      </c>
      <c r="RSQ247" s="29" t="e">
        <f t="shared" si="241"/>
        <v>#REF!</v>
      </c>
      <c r="RSR247" s="29" t="e">
        <f t="shared" si="241"/>
        <v>#REF!</v>
      </c>
      <c r="RSS247" s="29" t="e">
        <f t="shared" si="241"/>
        <v>#REF!</v>
      </c>
      <c r="RST247" s="29" t="e">
        <f t="shared" si="241"/>
        <v>#REF!</v>
      </c>
      <c r="RSU247" s="29" t="e">
        <f t="shared" si="241"/>
        <v>#REF!</v>
      </c>
      <c r="RSV247" s="29" t="e">
        <f t="shared" si="241"/>
        <v>#REF!</v>
      </c>
      <c r="RSW247" s="29" t="e">
        <f t="shared" si="241"/>
        <v>#REF!</v>
      </c>
      <c r="RSX247" s="29" t="e">
        <f t="shared" si="241"/>
        <v>#REF!</v>
      </c>
      <c r="RSY247" s="29" t="e">
        <f t="shared" si="241"/>
        <v>#REF!</v>
      </c>
      <c r="RSZ247" s="29" t="e">
        <f t="shared" si="241"/>
        <v>#REF!</v>
      </c>
      <c r="RTA247" s="29" t="e">
        <f t="shared" ref="RTA247:RVL247" si="242">RTE247&amp;RTF247</f>
        <v>#REF!</v>
      </c>
      <c r="RTB247" s="29" t="e">
        <f t="shared" si="242"/>
        <v>#REF!</v>
      </c>
      <c r="RTC247" s="29" t="e">
        <f t="shared" si="242"/>
        <v>#REF!</v>
      </c>
      <c r="RTD247" s="29" t="e">
        <f t="shared" si="242"/>
        <v>#REF!</v>
      </c>
      <c r="RTE247" s="29" t="e">
        <f t="shared" si="242"/>
        <v>#REF!</v>
      </c>
      <c r="RTF247" s="29" t="e">
        <f t="shared" si="242"/>
        <v>#REF!</v>
      </c>
      <c r="RTG247" s="29" t="e">
        <f t="shared" si="242"/>
        <v>#REF!</v>
      </c>
      <c r="RTH247" s="29" t="e">
        <f t="shared" si="242"/>
        <v>#REF!</v>
      </c>
      <c r="RTI247" s="29" t="e">
        <f t="shared" si="242"/>
        <v>#REF!</v>
      </c>
      <c r="RTJ247" s="29" t="e">
        <f t="shared" si="242"/>
        <v>#REF!</v>
      </c>
      <c r="RTK247" s="29" t="e">
        <f t="shared" si="242"/>
        <v>#REF!</v>
      </c>
      <c r="RTL247" s="29" t="e">
        <f t="shared" si="242"/>
        <v>#REF!</v>
      </c>
      <c r="RTM247" s="29" t="e">
        <f t="shared" si="242"/>
        <v>#REF!</v>
      </c>
      <c r="RTN247" s="29" t="e">
        <f t="shared" si="242"/>
        <v>#REF!</v>
      </c>
      <c r="RTO247" s="29" t="e">
        <f t="shared" si="242"/>
        <v>#REF!</v>
      </c>
      <c r="RTP247" s="29" t="e">
        <f t="shared" si="242"/>
        <v>#REF!</v>
      </c>
      <c r="RTQ247" s="29" t="e">
        <f t="shared" si="242"/>
        <v>#REF!</v>
      </c>
      <c r="RTR247" s="29" t="e">
        <f t="shared" si="242"/>
        <v>#REF!</v>
      </c>
      <c r="RTS247" s="29" t="e">
        <f t="shared" si="242"/>
        <v>#REF!</v>
      </c>
      <c r="RTT247" s="29" t="e">
        <f t="shared" si="242"/>
        <v>#REF!</v>
      </c>
      <c r="RTU247" s="29" t="e">
        <f t="shared" si="242"/>
        <v>#REF!</v>
      </c>
      <c r="RTV247" s="29" t="e">
        <f t="shared" si="242"/>
        <v>#REF!</v>
      </c>
      <c r="RTW247" s="29" t="e">
        <f t="shared" si="242"/>
        <v>#REF!</v>
      </c>
      <c r="RTX247" s="29" t="e">
        <f t="shared" si="242"/>
        <v>#REF!</v>
      </c>
      <c r="RTY247" s="29" t="e">
        <f t="shared" si="242"/>
        <v>#REF!</v>
      </c>
      <c r="RTZ247" s="29" t="e">
        <f t="shared" si="242"/>
        <v>#REF!</v>
      </c>
      <c r="RUA247" s="29" t="e">
        <f t="shared" si="242"/>
        <v>#REF!</v>
      </c>
      <c r="RUB247" s="29" t="e">
        <f t="shared" si="242"/>
        <v>#REF!</v>
      </c>
      <c r="RUC247" s="29" t="e">
        <f t="shared" si="242"/>
        <v>#REF!</v>
      </c>
      <c r="RUD247" s="29" t="e">
        <f t="shared" si="242"/>
        <v>#REF!</v>
      </c>
      <c r="RUE247" s="29" t="e">
        <f t="shared" si="242"/>
        <v>#REF!</v>
      </c>
      <c r="RUF247" s="29" t="e">
        <f t="shared" si="242"/>
        <v>#REF!</v>
      </c>
      <c r="RUG247" s="29" t="e">
        <f t="shared" si="242"/>
        <v>#REF!</v>
      </c>
      <c r="RUH247" s="29" t="e">
        <f t="shared" si="242"/>
        <v>#REF!</v>
      </c>
      <c r="RUI247" s="29" t="e">
        <f t="shared" si="242"/>
        <v>#REF!</v>
      </c>
      <c r="RUJ247" s="29" t="e">
        <f t="shared" si="242"/>
        <v>#REF!</v>
      </c>
      <c r="RUK247" s="29" t="e">
        <f t="shared" si="242"/>
        <v>#REF!</v>
      </c>
      <c r="RUL247" s="29" t="e">
        <f t="shared" si="242"/>
        <v>#REF!</v>
      </c>
      <c r="RUM247" s="29" t="e">
        <f t="shared" si="242"/>
        <v>#REF!</v>
      </c>
      <c r="RUN247" s="29" t="e">
        <f t="shared" si="242"/>
        <v>#REF!</v>
      </c>
      <c r="RUO247" s="29" t="e">
        <f t="shared" si="242"/>
        <v>#REF!</v>
      </c>
      <c r="RUP247" s="29" t="e">
        <f t="shared" si="242"/>
        <v>#REF!</v>
      </c>
      <c r="RUQ247" s="29" t="e">
        <f t="shared" si="242"/>
        <v>#REF!</v>
      </c>
      <c r="RUR247" s="29" t="e">
        <f t="shared" si="242"/>
        <v>#REF!</v>
      </c>
      <c r="RUS247" s="29" t="e">
        <f t="shared" si="242"/>
        <v>#REF!</v>
      </c>
      <c r="RUT247" s="29" t="e">
        <f t="shared" si="242"/>
        <v>#REF!</v>
      </c>
      <c r="RUU247" s="29" t="e">
        <f t="shared" si="242"/>
        <v>#REF!</v>
      </c>
      <c r="RUV247" s="29" t="e">
        <f t="shared" si="242"/>
        <v>#REF!</v>
      </c>
      <c r="RUW247" s="29" t="e">
        <f t="shared" si="242"/>
        <v>#REF!</v>
      </c>
      <c r="RUX247" s="29" t="e">
        <f t="shared" si="242"/>
        <v>#REF!</v>
      </c>
      <c r="RUY247" s="29" t="e">
        <f t="shared" si="242"/>
        <v>#REF!</v>
      </c>
      <c r="RUZ247" s="29" t="e">
        <f t="shared" si="242"/>
        <v>#REF!</v>
      </c>
      <c r="RVA247" s="29" t="e">
        <f t="shared" si="242"/>
        <v>#REF!</v>
      </c>
      <c r="RVB247" s="29" t="e">
        <f t="shared" si="242"/>
        <v>#REF!</v>
      </c>
      <c r="RVC247" s="29" t="e">
        <f t="shared" si="242"/>
        <v>#REF!</v>
      </c>
      <c r="RVD247" s="29" t="e">
        <f t="shared" si="242"/>
        <v>#REF!</v>
      </c>
      <c r="RVE247" s="29" t="e">
        <f t="shared" si="242"/>
        <v>#REF!</v>
      </c>
      <c r="RVF247" s="29" t="e">
        <f t="shared" si="242"/>
        <v>#REF!</v>
      </c>
      <c r="RVG247" s="29" t="e">
        <f t="shared" si="242"/>
        <v>#REF!</v>
      </c>
      <c r="RVH247" s="29" t="e">
        <f t="shared" si="242"/>
        <v>#REF!</v>
      </c>
      <c r="RVI247" s="29" t="e">
        <f t="shared" si="242"/>
        <v>#REF!</v>
      </c>
      <c r="RVJ247" s="29" t="e">
        <f t="shared" si="242"/>
        <v>#REF!</v>
      </c>
      <c r="RVK247" s="29" t="e">
        <f t="shared" si="242"/>
        <v>#REF!</v>
      </c>
      <c r="RVL247" s="29" t="e">
        <f t="shared" si="242"/>
        <v>#REF!</v>
      </c>
      <c r="RVM247" s="29" t="e">
        <f t="shared" ref="RVM247:RXX247" si="243">RVQ247&amp;RVR247</f>
        <v>#REF!</v>
      </c>
      <c r="RVN247" s="29" t="e">
        <f t="shared" si="243"/>
        <v>#REF!</v>
      </c>
      <c r="RVO247" s="29" t="e">
        <f t="shared" si="243"/>
        <v>#REF!</v>
      </c>
      <c r="RVP247" s="29" t="e">
        <f t="shared" si="243"/>
        <v>#REF!</v>
      </c>
      <c r="RVQ247" s="29" t="e">
        <f t="shared" si="243"/>
        <v>#REF!</v>
      </c>
      <c r="RVR247" s="29" t="e">
        <f t="shared" si="243"/>
        <v>#REF!</v>
      </c>
      <c r="RVS247" s="29" t="e">
        <f t="shared" si="243"/>
        <v>#REF!</v>
      </c>
      <c r="RVT247" s="29" t="e">
        <f t="shared" si="243"/>
        <v>#REF!</v>
      </c>
      <c r="RVU247" s="29" t="e">
        <f t="shared" si="243"/>
        <v>#REF!</v>
      </c>
      <c r="RVV247" s="29" t="e">
        <f t="shared" si="243"/>
        <v>#REF!</v>
      </c>
      <c r="RVW247" s="29" t="e">
        <f t="shared" si="243"/>
        <v>#REF!</v>
      </c>
      <c r="RVX247" s="29" t="e">
        <f t="shared" si="243"/>
        <v>#REF!</v>
      </c>
      <c r="RVY247" s="29" t="e">
        <f t="shared" si="243"/>
        <v>#REF!</v>
      </c>
      <c r="RVZ247" s="29" t="e">
        <f t="shared" si="243"/>
        <v>#REF!</v>
      </c>
      <c r="RWA247" s="29" t="e">
        <f t="shared" si="243"/>
        <v>#REF!</v>
      </c>
      <c r="RWB247" s="29" t="e">
        <f t="shared" si="243"/>
        <v>#REF!</v>
      </c>
      <c r="RWC247" s="29" t="e">
        <f t="shared" si="243"/>
        <v>#REF!</v>
      </c>
      <c r="RWD247" s="29" t="e">
        <f t="shared" si="243"/>
        <v>#REF!</v>
      </c>
      <c r="RWE247" s="29" t="e">
        <f t="shared" si="243"/>
        <v>#REF!</v>
      </c>
      <c r="RWF247" s="29" t="e">
        <f t="shared" si="243"/>
        <v>#REF!</v>
      </c>
      <c r="RWG247" s="29" t="e">
        <f t="shared" si="243"/>
        <v>#REF!</v>
      </c>
      <c r="RWH247" s="29" t="e">
        <f t="shared" si="243"/>
        <v>#REF!</v>
      </c>
      <c r="RWI247" s="29" t="e">
        <f t="shared" si="243"/>
        <v>#REF!</v>
      </c>
      <c r="RWJ247" s="29" t="e">
        <f t="shared" si="243"/>
        <v>#REF!</v>
      </c>
      <c r="RWK247" s="29" t="e">
        <f t="shared" si="243"/>
        <v>#REF!</v>
      </c>
      <c r="RWL247" s="29" t="e">
        <f t="shared" si="243"/>
        <v>#REF!</v>
      </c>
      <c r="RWM247" s="29" t="e">
        <f t="shared" si="243"/>
        <v>#REF!</v>
      </c>
      <c r="RWN247" s="29" t="e">
        <f t="shared" si="243"/>
        <v>#REF!</v>
      </c>
      <c r="RWO247" s="29" t="e">
        <f t="shared" si="243"/>
        <v>#REF!</v>
      </c>
      <c r="RWP247" s="29" t="e">
        <f t="shared" si="243"/>
        <v>#REF!</v>
      </c>
      <c r="RWQ247" s="29" t="e">
        <f t="shared" si="243"/>
        <v>#REF!</v>
      </c>
      <c r="RWR247" s="29" t="e">
        <f t="shared" si="243"/>
        <v>#REF!</v>
      </c>
      <c r="RWS247" s="29" t="e">
        <f t="shared" si="243"/>
        <v>#REF!</v>
      </c>
      <c r="RWT247" s="29" t="e">
        <f t="shared" si="243"/>
        <v>#REF!</v>
      </c>
      <c r="RWU247" s="29" t="e">
        <f t="shared" si="243"/>
        <v>#REF!</v>
      </c>
      <c r="RWV247" s="29" t="e">
        <f t="shared" si="243"/>
        <v>#REF!</v>
      </c>
      <c r="RWW247" s="29" t="e">
        <f t="shared" si="243"/>
        <v>#REF!</v>
      </c>
      <c r="RWX247" s="29" t="e">
        <f t="shared" si="243"/>
        <v>#REF!</v>
      </c>
      <c r="RWY247" s="29" t="e">
        <f t="shared" si="243"/>
        <v>#REF!</v>
      </c>
      <c r="RWZ247" s="29" t="e">
        <f t="shared" si="243"/>
        <v>#REF!</v>
      </c>
      <c r="RXA247" s="29" t="e">
        <f t="shared" si="243"/>
        <v>#REF!</v>
      </c>
      <c r="RXB247" s="29" t="e">
        <f t="shared" si="243"/>
        <v>#REF!</v>
      </c>
      <c r="RXC247" s="29" t="e">
        <f t="shared" si="243"/>
        <v>#REF!</v>
      </c>
      <c r="RXD247" s="29" t="e">
        <f t="shared" si="243"/>
        <v>#REF!</v>
      </c>
      <c r="RXE247" s="29" t="e">
        <f t="shared" si="243"/>
        <v>#REF!</v>
      </c>
      <c r="RXF247" s="29" t="e">
        <f t="shared" si="243"/>
        <v>#REF!</v>
      </c>
      <c r="RXG247" s="29" t="e">
        <f t="shared" si="243"/>
        <v>#REF!</v>
      </c>
      <c r="RXH247" s="29" t="e">
        <f t="shared" si="243"/>
        <v>#REF!</v>
      </c>
      <c r="RXI247" s="29" t="e">
        <f t="shared" si="243"/>
        <v>#REF!</v>
      </c>
      <c r="RXJ247" s="29" t="e">
        <f t="shared" si="243"/>
        <v>#REF!</v>
      </c>
      <c r="RXK247" s="29" t="e">
        <f t="shared" si="243"/>
        <v>#REF!</v>
      </c>
      <c r="RXL247" s="29" t="e">
        <f t="shared" si="243"/>
        <v>#REF!</v>
      </c>
      <c r="RXM247" s="29" t="e">
        <f t="shared" si="243"/>
        <v>#REF!</v>
      </c>
      <c r="RXN247" s="29" t="e">
        <f t="shared" si="243"/>
        <v>#REF!</v>
      </c>
      <c r="RXO247" s="29" t="e">
        <f t="shared" si="243"/>
        <v>#REF!</v>
      </c>
      <c r="RXP247" s="29" t="e">
        <f t="shared" si="243"/>
        <v>#REF!</v>
      </c>
      <c r="RXQ247" s="29" t="e">
        <f t="shared" si="243"/>
        <v>#REF!</v>
      </c>
      <c r="RXR247" s="29" t="e">
        <f t="shared" si="243"/>
        <v>#REF!</v>
      </c>
      <c r="RXS247" s="29" t="e">
        <f t="shared" si="243"/>
        <v>#REF!</v>
      </c>
      <c r="RXT247" s="29" t="e">
        <f t="shared" si="243"/>
        <v>#REF!</v>
      </c>
      <c r="RXU247" s="29" t="e">
        <f t="shared" si="243"/>
        <v>#REF!</v>
      </c>
      <c r="RXV247" s="29" t="e">
        <f t="shared" si="243"/>
        <v>#REF!</v>
      </c>
      <c r="RXW247" s="29" t="e">
        <f t="shared" si="243"/>
        <v>#REF!</v>
      </c>
      <c r="RXX247" s="29" t="e">
        <f t="shared" si="243"/>
        <v>#REF!</v>
      </c>
      <c r="RXY247" s="29" t="e">
        <f t="shared" ref="RXY247:SAJ247" si="244">RYC247&amp;RYD247</f>
        <v>#REF!</v>
      </c>
      <c r="RXZ247" s="29" t="e">
        <f t="shared" si="244"/>
        <v>#REF!</v>
      </c>
      <c r="RYA247" s="29" t="e">
        <f t="shared" si="244"/>
        <v>#REF!</v>
      </c>
      <c r="RYB247" s="29" t="e">
        <f t="shared" si="244"/>
        <v>#REF!</v>
      </c>
      <c r="RYC247" s="29" t="e">
        <f t="shared" si="244"/>
        <v>#REF!</v>
      </c>
      <c r="RYD247" s="29" t="e">
        <f t="shared" si="244"/>
        <v>#REF!</v>
      </c>
      <c r="RYE247" s="29" t="e">
        <f t="shared" si="244"/>
        <v>#REF!</v>
      </c>
      <c r="RYF247" s="29" t="e">
        <f t="shared" si="244"/>
        <v>#REF!</v>
      </c>
      <c r="RYG247" s="29" t="e">
        <f t="shared" si="244"/>
        <v>#REF!</v>
      </c>
      <c r="RYH247" s="29" t="e">
        <f t="shared" si="244"/>
        <v>#REF!</v>
      </c>
      <c r="RYI247" s="29" t="e">
        <f t="shared" si="244"/>
        <v>#REF!</v>
      </c>
      <c r="RYJ247" s="29" t="e">
        <f t="shared" si="244"/>
        <v>#REF!</v>
      </c>
      <c r="RYK247" s="29" t="e">
        <f t="shared" si="244"/>
        <v>#REF!</v>
      </c>
      <c r="RYL247" s="29" t="e">
        <f t="shared" si="244"/>
        <v>#REF!</v>
      </c>
      <c r="RYM247" s="29" t="e">
        <f t="shared" si="244"/>
        <v>#REF!</v>
      </c>
      <c r="RYN247" s="29" t="e">
        <f t="shared" si="244"/>
        <v>#REF!</v>
      </c>
      <c r="RYO247" s="29" t="e">
        <f t="shared" si="244"/>
        <v>#REF!</v>
      </c>
      <c r="RYP247" s="29" t="e">
        <f t="shared" si="244"/>
        <v>#REF!</v>
      </c>
      <c r="RYQ247" s="29" t="e">
        <f t="shared" si="244"/>
        <v>#REF!</v>
      </c>
      <c r="RYR247" s="29" t="e">
        <f t="shared" si="244"/>
        <v>#REF!</v>
      </c>
      <c r="RYS247" s="29" t="e">
        <f t="shared" si="244"/>
        <v>#REF!</v>
      </c>
      <c r="RYT247" s="29" t="e">
        <f t="shared" si="244"/>
        <v>#REF!</v>
      </c>
      <c r="RYU247" s="29" t="e">
        <f t="shared" si="244"/>
        <v>#REF!</v>
      </c>
      <c r="RYV247" s="29" t="e">
        <f t="shared" si="244"/>
        <v>#REF!</v>
      </c>
      <c r="RYW247" s="29" t="e">
        <f t="shared" si="244"/>
        <v>#REF!</v>
      </c>
      <c r="RYX247" s="29" t="e">
        <f t="shared" si="244"/>
        <v>#REF!</v>
      </c>
      <c r="RYY247" s="29" t="e">
        <f t="shared" si="244"/>
        <v>#REF!</v>
      </c>
      <c r="RYZ247" s="29" t="e">
        <f t="shared" si="244"/>
        <v>#REF!</v>
      </c>
      <c r="RZA247" s="29" t="e">
        <f t="shared" si="244"/>
        <v>#REF!</v>
      </c>
      <c r="RZB247" s="29" t="e">
        <f t="shared" si="244"/>
        <v>#REF!</v>
      </c>
      <c r="RZC247" s="29" t="e">
        <f t="shared" si="244"/>
        <v>#REF!</v>
      </c>
      <c r="RZD247" s="29" t="e">
        <f t="shared" si="244"/>
        <v>#REF!</v>
      </c>
      <c r="RZE247" s="29" t="e">
        <f t="shared" si="244"/>
        <v>#REF!</v>
      </c>
      <c r="RZF247" s="29" t="e">
        <f t="shared" si="244"/>
        <v>#REF!</v>
      </c>
      <c r="RZG247" s="29" t="e">
        <f t="shared" si="244"/>
        <v>#REF!</v>
      </c>
      <c r="RZH247" s="29" t="e">
        <f t="shared" si="244"/>
        <v>#REF!</v>
      </c>
      <c r="RZI247" s="29" t="e">
        <f t="shared" si="244"/>
        <v>#REF!</v>
      </c>
      <c r="RZJ247" s="29" t="e">
        <f t="shared" si="244"/>
        <v>#REF!</v>
      </c>
      <c r="RZK247" s="29" t="e">
        <f t="shared" si="244"/>
        <v>#REF!</v>
      </c>
      <c r="RZL247" s="29" t="e">
        <f t="shared" si="244"/>
        <v>#REF!</v>
      </c>
      <c r="RZM247" s="29" t="e">
        <f t="shared" si="244"/>
        <v>#REF!</v>
      </c>
      <c r="RZN247" s="29" t="e">
        <f t="shared" si="244"/>
        <v>#REF!</v>
      </c>
      <c r="RZO247" s="29" t="e">
        <f t="shared" si="244"/>
        <v>#REF!</v>
      </c>
      <c r="RZP247" s="29" t="e">
        <f t="shared" si="244"/>
        <v>#REF!</v>
      </c>
      <c r="RZQ247" s="29" t="e">
        <f t="shared" si="244"/>
        <v>#REF!</v>
      </c>
      <c r="RZR247" s="29" t="e">
        <f t="shared" si="244"/>
        <v>#REF!</v>
      </c>
      <c r="RZS247" s="29" t="e">
        <f t="shared" si="244"/>
        <v>#REF!</v>
      </c>
      <c r="RZT247" s="29" t="e">
        <f t="shared" si="244"/>
        <v>#REF!</v>
      </c>
      <c r="RZU247" s="29" t="e">
        <f t="shared" si="244"/>
        <v>#REF!</v>
      </c>
      <c r="RZV247" s="29" t="e">
        <f t="shared" si="244"/>
        <v>#REF!</v>
      </c>
      <c r="RZW247" s="29" t="e">
        <f t="shared" si="244"/>
        <v>#REF!</v>
      </c>
      <c r="RZX247" s="29" t="e">
        <f t="shared" si="244"/>
        <v>#REF!</v>
      </c>
      <c r="RZY247" s="29" t="e">
        <f t="shared" si="244"/>
        <v>#REF!</v>
      </c>
      <c r="RZZ247" s="29" t="e">
        <f t="shared" si="244"/>
        <v>#REF!</v>
      </c>
      <c r="SAA247" s="29" t="e">
        <f t="shared" si="244"/>
        <v>#REF!</v>
      </c>
      <c r="SAB247" s="29" t="e">
        <f t="shared" si="244"/>
        <v>#REF!</v>
      </c>
      <c r="SAC247" s="29" t="e">
        <f t="shared" si="244"/>
        <v>#REF!</v>
      </c>
      <c r="SAD247" s="29" t="e">
        <f t="shared" si="244"/>
        <v>#REF!</v>
      </c>
      <c r="SAE247" s="29" t="e">
        <f t="shared" si="244"/>
        <v>#REF!</v>
      </c>
      <c r="SAF247" s="29" t="e">
        <f t="shared" si="244"/>
        <v>#REF!</v>
      </c>
      <c r="SAG247" s="29" t="e">
        <f t="shared" si="244"/>
        <v>#REF!</v>
      </c>
      <c r="SAH247" s="29" t="e">
        <f t="shared" si="244"/>
        <v>#REF!</v>
      </c>
      <c r="SAI247" s="29" t="e">
        <f t="shared" si="244"/>
        <v>#REF!</v>
      </c>
      <c r="SAJ247" s="29" t="e">
        <f t="shared" si="244"/>
        <v>#REF!</v>
      </c>
      <c r="SAK247" s="29" t="e">
        <f t="shared" ref="SAK247:SCV247" si="245">SAO247&amp;SAP247</f>
        <v>#REF!</v>
      </c>
      <c r="SAL247" s="29" t="e">
        <f t="shared" si="245"/>
        <v>#REF!</v>
      </c>
      <c r="SAM247" s="29" t="e">
        <f t="shared" si="245"/>
        <v>#REF!</v>
      </c>
      <c r="SAN247" s="29" t="e">
        <f t="shared" si="245"/>
        <v>#REF!</v>
      </c>
      <c r="SAO247" s="29" t="e">
        <f t="shared" si="245"/>
        <v>#REF!</v>
      </c>
      <c r="SAP247" s="29" t="e">
        <f t="shared" si="245"/>
        <v>#REF!</v>
      </c>
      <c r="SAQ247" s="29" t="e">
        <f t="shared" si="245"/>
        <v>#REF!</v>
      </c>
      <c r="SAR247" s="29" t="e">
        <f t="shared" si="245"/>
        <v>#REF!</v>
      </c>
      <c r="SAS247" s="29" t="e">
        <f t="shared" si="245"/>
        <v>#REF!</v>
      </c>
      <c r="SAT247" s="29" t="e">
        <f t="shared" si="245"/>
        <v>#REF!</v>
      </c>
      <c r="SAU247" s="29" t="e">
        <f t="shared" si="245"/>
        <v>#REF!</v>
      </c>
      <c r="SAV247" s="29" t="e">
        <f t="shared" si="245"/>
        <v>#REF!</v>
      </c>
      <c r="SAW247" s="29" t="e">
        <f t="shared" si="245"/>
        <v>#REF!</v>
      </c>
      <c r="SAX247" s="29" t="e">
        <f t="shared" si="245"/>
        <v>#REF!</v>
      </c>
      <c r="SAY247" s="29" t="e">
        <f t="shared" si="245"/>
        <v>#REF!</v>
      </c>
      <c r="SAZ247" s="29" t="e">
        <f t="shared" si="245"/>
        <v>#REF!</v>
      </c>
      <c r="SBA247" s="29" t="e">
        <f t="shared" si="245"/>
        <v>#REF!</v>
      </c>
      <c r="SBB247" s="29" t="e">
        <f t="shared" si="245"/>
        <v>#REF!</v>
      </c>
      <c r="SBC247" s="29" t="e">
        <f t="shared" si="245"/>
        <v>#REF!</v>
      </c>
      <c r="SBD247" s="29" t="e">
        <f t="shared" si="245"/>
        <v>#REF!</v>
      </c>
      <c r="SBE247" s="29" t="e">
        <f t="shared" si="245"/>
        <v>#REF!</v>
      </c>
      <c r="SBF247" s="29" t="e">
        <f t="shared" si="245"/>
        <v>#REF!</v>
      </c>
      <c r="SBG247" s="29" t="e">
        <f t="shared" si="245"/>
        <v>#REF!</v>
      </c>
      <c r="SBH247" s="29" t="e">
        <f t="shared" si="245"/>
        <v>#REF!</v>
      </c>
      <c r="SBI247" s="29" t="e">
        <f t="shared" si="245"/>
        <v>#REF!</v>
      </c>
      <c r="SBJ247" s="29" t="e">
        <f t="shared" si="245"/>
        <v>#REF!</v>
      </c>
      <c r="SBK247" s="29" t="e">
        <f t="shared" si="245"/>
        <v>#REF!</v>
      </c>
      <c r="SBL247" s="29" t="e">
        <f t="shared" si="245"/>
        <v>#REF!</v>
      </c>
      <c r="SBM247" s="29" t="e">
        <f t="shared" si="245"/>
        <v>#REF!</v>
      </c>
      <c r="SBN247" s="29" t="e">
        <f t="shared" si="245"/>
        <v>#REF!</v>
      </c>
      <c r="SBO247" s="29" t="e">
        <f t="shared" si="245"/>
        <v>#REF!</v>
      </c>
      <c r="SBP247" s="29" t="e">
        <f t="shared" si="245"/>
        <v>#REF!</v>
      </c>
      <c r="SBQ247" s="29" t="e">
        <f t="shared" si="245"/>
        <v>#REF!</v>
      </c>
      <c r="SBR247" s="29" t="e">
        <f t="shared" si="245"/>
        <v>#REF!</v>
      </c>
      <c r="SBS247" s="29" t="e">
        <f t="shared" si="245"/>
        <v>#REF!</v>
      </c>
      <c r="SBT247" s="29" t="e">
        <f t="shared" si="245"/>
        <v>#REF!</v>
      </c>
      <c r="SBU247" s="29" t="e">
        <f t="shared" si="245"/>
        <v>#REF!</v>
      </c>
      <c r="SBV247" s="29" t="e">
        <f t="shared" si="245"/>
        <v>#REF!</v>
      </c>
      <c r="SBW247" s="29" t="e">
        <f t="shared" si="245"/>
        <v>#REF!</v>
      </c>
      <c r="SBX247" s="29" t="e">
        <f t="shared" si="245"/>
        <v>#REF!</v>
      </c>
      <c r="SBY247" s="29" t="e">
        <f t="shared" si="245"/>
        <v>#REF!</v>
      </c>
      <c r="SBZ247" s="29" t="e">
        <f t="shared" si="245"/>
        <v>#REF!</v>
      </c>
      <c r="SCA247" s="29" t="e">
        <f t="shared" si="245"/>
        <v>#REF!</v>
      </c>
      <c r="SCB247" s="29" t="e">
        <f t="shared" si="245"/>
        <v>#REF!</v>
      </c>
      <c r="SCC247" s="29" t="e">
        <f t="shared" si="245"/>
        <v>#REF!</v>
      </c>
      <c r="SCD247" s="29" t="e">
        <f t="shared" si="245"/>
        <v>#REF!</v>
      </c>
      <c r="SCE247" s="29" t="e">
        <f t="shared" si="245"/>
        <v>#REF!</v>
      </c>
      <c r="SCF247" s="29" t="e">
        <f t="shared" si="245"/>
        <v>#REF!</v>
      </c>
      <c r="SCG247" s="29" t="e">
        <f t="shared" si="245"/>
        <v>#REF!</v>
      </c>
      <c r="SCH247" s="29" t="e">
        <f t="shared" si="245"/>
        <v>#REF!</v>
      </c>
      <c r="SCI247" s="29" t="e">
        <f t="shared" si="245"/>
        <v>#REF!</v>
      </c>
      <c r="SCJ247" s="29" t="e">
        <f t="shared" si="245"/>
        <v>#REF!</v>
      </c>
      <c r="SCK247" s="29" t="e">
        <f t="shared" si="245"/>
        <v>#REF!</v>
      </c>
      <c r="SCL247" s="29" t="e">
        <f t="shared" si="245"/>
        <v>#REF!</v>
      </c>
      <c r="SCM247" s="29" t="e">
        <f t="shared" si="245"/>
        <v>#REF!</v>
      </c>
      <c r="SCN247" s="29" t="e">
        <f t="shared" si="245"/>
        <v>#REF!</v>
      </c>
      <c r="SCO247" s="29" t="e">
        <f t="shared" si="245"/>
        <v>#REF!</v>
      </c>
      <c r="SCP247" s="29" t="e">
        <f t="shared" si="245"/>
        <v>#REF!</v>
      </c>
      <c r="SCQ247" s="29" t="e">
        <f t="shared" si="245"/>
        <v>#REF!</v>
      </c>
      <c r="SCR247" s="29" t="e">
        <f t="shared" si="245"/>
        <v>#REF!</v>
      </c>
      <c r="SCS247" s="29" t="e">
        <f t="shared" si="245"/>
        <v>#REF!</v>
      </c>
      <c r="SCT247" s="29" t="e">
        <f t="shared" si="245"/>
        <v>#REF!</v>
      </c>
      <c r="SCU247" s="29" t="e">
        <f t="shared" si="245"/>
        <v>#REF!</v>
      </c>
      <c r="SCV247" s="29" t="e">
        <f t="shared" si="245"/>
        <v>#REF!</v>
      </c>
      <c r="SCW247" s="29" t="e">
        <f t="shared" ref="SCW247:SFH247" si="246">SDA247&amp;SDB247</f>
        <v>#REF!</v>
      </c>
      <c r="SCX247" s="29" t="e">
        <f t="shared" si="246"/>
        <v>#REF!</v>
      </c>
      <c r="SCY247" s="29" t="e">
        <f t="shared" si="246"/>
        <v>#REF!</v>
      </c>
      <c r="SCZ247" s="29" t="e">
        <f t="shared" si="246"/>
        <v>#REF!</v>
      </c>
      <c r="SDA247" s="29" t="e">
        <f t="shared" si="246"/>
        <v>#REF!</v>
      </c>
      <c r="SDB247" s="29" t="e">
        <f t="shared" si="246"/>
        <v>#REF!</v>
      </c>
      <c r="SDC247" s="29" t="e">
        <f t="shared" si="246"/>
        <v>#REF!</v>
      </c>
      <c r="SDD247" s="29" t="e">
        <f t="shared" si="246"/>
        <v>#REF!</v>
      </c>
      <c r="SDE247" s="29" t="e">
        <f t="shared" si="246"/>
        <v>#REF!</v>
      </c>
      <c r="SDF247" s="29" t="e">
        <f t="shared" si="246"/>
        <v>#REF!</v>
      </c>
      <c r="SDG247" s="29" t="e">
        <f t="shared" si="246"/>
        <v>#REF!</v>
      </c>
      <c r="SDH247" s="29" t="e">
        <f t="shared" si="246"/>
        <v>#REF!</v>
      </c>
      <c r="SDI247" s="29" t="e">
        <f t="shared" si="246"/>
        <v>#REF!</v>
      </c>
      <c r="SDJ247" s="29" t="e">
        <f t="shared" si="246"/>
        <v>#REF!</v>
      </c>
      <c r="SDK247" s="29" t="e">
        <f t="shared" si="246"/>
        <v>#REF!</v>
      </c>
      <c r="SDL247" s="29" t="e">
        <f t="shared" si="246"/>
        <v>#REF!</v>
      </c>
      <c r="SDM247" s="29" t="e">
        <f t="shared" si="246"/>
        <v>#REF!</v>
      </c>
      <c r="SDN247" s="29" t="e">
        <f t="shared" si="246"/>
        <v>#REF!</v>
      </c>
      <c r="SDO247" s="29" t="e">
        <f t="shared" si="246"/>
        <v>#REF!</v>
      </c>
      <c r="SDP247" s="29" t="e">
        <f t="shared" si="246"/>
        <v>#REF!</v>
      </c>
      <c r="SDQ247" s="29" t="e">
        <f t="shared" si="246"/>
        <v>#REF!</v>
      </c>
      <c r="SDR247" s="29" t="e">
        <f t="shared" si="246"/>
        <v>#REF!</v>
      </c>
      <c r="SDS247" s="29" t="e">
        <f t="shared" si="246"/>
        <v>#REF!</v>
      </c>
      <c r="SDT247" s="29" t="e">
        <f t="shared" si="246"/>
        <v>#REF!</v>
      </c>
      <c r="SDU247" s="29" t="e">
        <f t="shared" si="246"/>
        <v>#REF!</v>
      </c>
      <c r="SDV247" s="29" t="e">
        <f t="shared" si="246"/>
        <v>#REF!</v>
      </c>
      <c r="SDW247" s="29" t="e">
        <f t="shared" si="246"/>
        <v>#REF!</v>
      </c>
      <c r="SDX247" s="29" t="e">
        <f t="shared" si="246"/>
        <v>#REF!</v>
      </c>
      <c r="SDY247" s="29" t="e">
        <f t="shared" si="246"/>
        <v>#REF!</v>
      </c>
      <c r="SDZ247" s="29" t="e">
        <f t="shared" si="246"/>
        <v>#REF!</v>
      </c>
      <c r="SEA247" s="29" t="e">
        <f t="shared" si="246"/>
        <v>#REF!</v>
      </c>
      <c r="SEB247" s="29" t="e">
        <f t="shared" si="246"/>
        <v>#REF!</v>
      </c>
      <c r="SEC247" s="29" t="e">
        <f t="shared" si="246"/>
        <v>#REF!</v>
      </c>
      <c r="SED247" s="29" t="e">
        <f t="shared" si="246"/>
        <v>#REF!</v>
      </c>
      <c r="SEE247" s="29" t="e">
        <f t="shared" si="246"/>
        <v>#REF!</v>
      </c>
      <c r="SEF247" s="29" t="e">
        <f t="shared" si="246"/>
        <v>#REF!</v>
      </c>
      <c r="SEG247" s="29" t="e">
        <f t="shared" si="246"/>
        <v>#REF!</v>
      </c>
      <c r="SEH247" s="29" t="e">
        <f t="shared" si="246"/>
        <v>#REF!</v>
      </c>
      <c r="SEI247" s="29" t="e">
        <f t="shared" si="246"/>
        <v>#REF!</v>
      </c>
      <c r="SEJ247" s="29" t="e">
        <f t="shared" si="246"/>
        <v>#REF!</v>
      </c>
      <c r="SEK247" s="29" t="e">
        <f t="shared" si="246"/>
        <v>#REF!</v>
      </c>
      <c r="SEL247" s="29" t="e">
        <f t="shared" si="246"/>
        <v>#REF!</v>
      </c>
      <c r="SEM247" s="29" t="e">
        <f t="shared" si="246"/>
        <v>#REF!</v>
      </c>
      <c r="SEN247" s="29" t="e">
        <f t="shared" si="246"/>
        <v>#REF!</v>
      </c>
      <c r="SEO247" s="29" t="e">
        <f t="shared" si="246"/>
        <v>#REF!</v>
      </c>
      <c r="SEP247" s="29" t="e">
        <f t="shared" si="246"/>
        <v>#REF!</v>
      </c>
      <c r="SEQ247" s="29" t="e">
        <f t="shared" si="246"/>
        <v>#REF!</v>
      </c>
      <c r="SER247" s="29" t="e">
        <f t="shared" si="246"/>
        <v>#REF!</v>
      </c>
      <c r="SES247" s="29" t="e">
        <f t="shared" si="246"/>
        <v>#REF!</v>
      </c>
      <c r="SET247" s="29" t="e">
        <f t="shared" si="246"/>
        <v>#REF!</v>
      </c>
      <c r="SEU247" s="29" t="e">
        <f t="shared" si="246"/>
        <v>#REF!</v>
      </c>
      <c r="SEV247" s="29" t="e">
        <f t="shared" si="246"/>
        <v>#REF!</v>
      </c>
      <c r="SEW247" s="29" t="e">
        <f t="shared" si="246"/>
        <v>#REF!</v>
      </c>
      <c r="SEX247" s="29" t="e">
        <f t="shared" si="246"/>
        <v>#REF!</v>
      </c>
      <c r="SEY247" s="29" t="e">
        <f t="shared" si="246"/>
        <v>#REF!</v>
      </c>
      <c r="SEZ247" s="29" t="e">
        <f t="shared" si="246"/>
        <v>#REF!</v>
      </c>
      <c r="SFA247" s="29" t="e">
        <f t="shared" si="246"/>
        <v>#REF!</v>
      </c>
      <c r="SFB247" s="29" t="e">
        <f t="shared" si="246"/>
        <v>#REF!</v>
      </c>
      <c r="SFC247" s="29" t="e">
        <f t="shared" si="246"/>
        <v>#REF!</v>
      </c>
      <c r="SFD247" s="29" t="e">
        <f t="shared" si="246"/>
        <v>#REF!</v>
      </c>
      <c r="SFE247" s="29" t="e">
        <f t="shared" si="246"/>
        <v>#REF!</v>
      </c>
      <c r="SFF247" s="29" t="e">
        <f t="shared" si="246"/>
        <v>#REF!</v>
      </c>
      <c r="SFG247" s="29" t="e">
        <f t="shared" si="246"/>
        <v>#REF!</v>
      </c>
      <c r="SFH247" s="29" t="e">
        <f t="shared" si="246"/>
        <v>#REF!</v>
      </c>
      <c r="SFI247" s="29" t="e">
        <f t="shared" ref="SFI247:SHT247" si="247">SFM247&amp;SFN247</f>
        <v>#REF!</v>
      </c>
      <c r="SFJ247" s="29" t="e">
        <f t="shared" si="247"/>
        <v>#REF!</v>
      </c>
      <c r="SFK247" s="29" t="e">
        <f t="shared" si="247"/>
        <v>#REF!</v>
      </c>
      <c r="SFL247" s="29" t="e">
        <f t="shared" si="247"/>
        <v>#REF!</v>
      </c>
      <c r="SFM247" s="29" t="e">
        <f t="shared" si="247"/>
        <v>#REF!</v>
      </c>
      <c r="SFN247" s="29" t="e">
        <f t="shared" si="247"/>
        <v>#REF!</v>
      </c>
      <c r="SFO247" s="29" t="e">
        <f t="shared" si="247"/>
        <v>#REF!</v>
      </c>
      <c r="SFP247" s="29" t="e">
        <f t="shared" si="247"/>
        <v>#REF!</v>
      </c>
      <c r="SFQ247" s="29" t="e">
        <f t="shared" si="247"/>
        <v>#REF!</v>
      </c>
      <c r="SFR247" s="29" t="e">
        <f t="shared" si="247"/>
        <v>#REF!</v>
      </c>
      <c r="SFS247" s="29" t="e">
        <f t="shared" si="247"/>
        <v>#REF!</v>
      </c>
      <c r="SFT247" s="29" t="e">
        <f t="shared" si="247"/>
        <v>#REF!</v>
      </c>
      <c r="SFU247" s="29" t="e">
        <f t="shared" si="247"/>
        <v>#REF!</v>
      </c>
      <c r="SFV247" s="29" t="e">
        <f t="shared" si="247"/>
        <v>#REF!</v>
      </c>
      <c r="SFW247" s="29" t="e">
        <f t="shared" si="247"/>
        <v>#REF!</v>
      </c>
      <c r="SFX247" s="29" t="e">
        <f t="shared" si="247"/>
        <v>#REF!</v>
      </c>
      <c r="SFY247" s="29" t="e">
        <f t="shared" si="247"/>
        <v>#REF!</v>
      </c>
      <c r="SFZ247" s="29" t="e">
        <f t="shared" si="247"/>
        <v>#REF!</v>
      </c>
      <c r="SGA247" s="29" t="e">
        <f t="shared" si="247"/>
        <v>#REF!</v>
      </c>
      <c r="SGB247" s="29" t="e">
        <f t="shared" si="247"/>
        <v>#REF!</v>
      </c>
      <c r="SGC247" s="29" t="e">
        <f t="shared" si="247"/>
        <v>#REF!</v>
      </c>
      <c r="SGD247" s="29" t="e">
        <f t="shared" si="247"/>
        <v>#REF!</v>
      </c>
      <c r="SGE247" s="29" t="e">
        <f t="shared" si="247"/>
        <v>#REF!</v>
      </c>
      <c r="SGF247" s="29" t="e">
        <f t="shared" si="247"/>
        <v>#REF!</v>
      </c>
      <c r="SGG247" s="29" t="e">
        <f t="shared" si="247"/>
        <v>#REF!</v>
      </c>
      <c r="SGH247" s="29" t="e">
        <f t="shared" si="247"/>
        <v>#REF!</v>
      </c>
      <c r="SGI247" s="29" t="e">
        <f t="shared" si="247"/>
        <v>#REF!</v>
      </c>
      <c r="SGJ247" s="29" t="e">
        <f t="shared" si="247"/>
        <v>#REF!</v>
      </c>
      <c r="SGK247" s="29" t="e">
        <f t="shared" si="247"/>
        <v>#REF!</v>
      </c>
      <c r="SGL247" s="29" t="e">
        <f t="shared" si="247"/>
        <v>#REF!</v>
      </c>
      <c r="SGM247" s="29" t="e">
        <f t="shared" si="247"/>
        <v>#REF!</v>
      </c>
      <c r="SGN247" s="29" t="e">
        <f t="shared" si="247"/>
        <v>#REF!</v>
      </c>
      <c r="SGO247" s="29" t="e">
        <f t="shared" si="247"/>
        <v>#REF!</v>
      </c>
      <c r="SGP247" s="29" t="e">
        <f t="shared" si="247"/>
        <v>#REF!</v>
      </c>
      <c r="SGQ247" s="29" t="e">
        <f t="shared" si="247"/>
        <v>#REF!</v>
      </c>
      <c r="SGR247" s="29" t="e">
        <f t="shared" si="247"/>
        <v>#REF!</v>
      </c>
      <c r="SGS247" s="29" t="e">
        <f t="shared" si="247"/>
        <v>#REF!</v>
      </c>
      <c r="SGT247" s="29" t="e">
        <f t="shared" si="247"/>
        <v>#REF!</v>
      </c>
      <c r="SGU247" s="29" t="e">
        <f t="shared" si="247"/>
        <v>#REF!</v>
      </c>
      <c r="SGV247" s="29" t="e">
        <f t="shared" si="247"/>
        <v>#REF!</v>
      </c>
      <c r="SGW247" s="29" t="e">
        <f t="shared" si="247"/>
        <v>#REF!</v>
      </c>
      <c r="SGX247" s="29" t="e">
        <f t="shared" si="247"/>
        <v>#REF!</v>
      </c>
      <c r="SGY247" s="29" t="e">
        <f t="shared" si="247"/>
        <v>#REF!</v>
      </c>
      <c r="SGZ247" s="29" t="e">
        <f t="shared" si="247"/>
        <v>#REF!</v>
      </c>
      <c r="SHA247" s="29" t="e">
        <f t="shared" si="247"/>
        <v>#REF!</v>
      </c>
      <c r="SHB247" s="29" t="e">
        <f t="shared" si="247"/>
        <v>#REF!</v>
      </c>
      <c r="SHC247" s="29" t="e">
        <f t="shared" si="247"/>
        <v>#REF!</v>
      </c>
      <c r="SHD247" s="29" t="e">
        <f t="shared" si="247"/>
        <v>#REF!</v>
      </c>
      <c r="SHE247" s="29" t="e">
        <f t="shared" si="247"/>
        <v>#REF!</v>
      </c>
      <c r="SHF247" s="29" t="e">
        <f t="shared" si="247"/>
        <v>#REF!</v>
      </c>
      <c r="SHG247" s="29" t="e">
        <f t="shared" si="247"/>
        <v>#REF!</v>
      </c>
      <c r="SHH247" s="29" t="e">
        <f t="shared" si="247"/>
        <v>#REF!</v>
      </c>
      <c r="SHI247" s="29" t="e">
        <f t="shared" si="247"/>
        <v>#REF!</v>
      </c>
      <c r="SHJ247" s="29" t="e">
        <f t="shared" si="247"/>
        <v>#REF!</v>
      </c>
      <c r="SHK247" s="29" t="e">
        <f t="shared" si="247"/>
        <v>#REF!</v>
      </c>
      <c r="SHL247" s="29" t="e">
        <f t="shared" si="247"/>
        <v>#REF!</v>
      </c>
      <c r="SHM247" s="29" t="e">
        <f t="shared" si="247"/>
        <v>#REF!</v>
      </c>
      <c r="SHN247" s="29" t="e">
        <f t="shared" si="247"/>
        <v>#REF!</v>
      </c>
      <c r="SHO247" s="29" t="e">
        <f t="shared" si="247"/>
        <v>#REF!</v>
      </c>
      <c r="SHP247" s="29" t="e">
        <f t="shared" si="247"/>
        <v>#REF!</v>
      </c>
      <c r="SHQ247" s="29" t="e">
        <f t="shared" si="247"/>
        <v>#REF!</v>
      </c>
      <c r="SHR247" s="29" t="e">
        <f t="shared" si="247"/>
        <v>#REF!</v>
      </c>
      <c r="SHS247" s="29" t="e">
        <f t="shared" si="247"/>
        <v>#REF!</v>
      </c>
      <c r="SHT247" s="29" t="e">
        <f t="shared" si="247"/>
        <v>#REF!</v>
      </c>
      <c r="SHU247" s="29" t="e">
        <f t="shared" ref="SHU247:SKF247" si="248">SHY247&amp;SHZ247</f>
        <v>#REF!</v>
      </c>
      <c r="SHV247" s="29" t="e">
        <f t="shared" si="248"/>
        <v>#REF!</v>
      </c>
      <c r="SHW247" s="29" t="e">
        <f t="shared" si="248"/>
        <v>#REF!</v>
      </c>
      <c r="SHX247" s="29" t="e">
        <f t="shared" si="248"/>
        <v>#REF!</v>
      </c>
      <c r="SHY247" s="29" t="e">
        <f t="shared" si="248"/>
        <v>#REF!</v>
      </c>
      <c r="SHZ247" s="29" t="e">
        <f t="shared" si="248"/>
        <v>#REF!</v>
      </c>
      <c r="SIA247" s="29" t="e">
        <f t="shared" si="248"/>
        <v>#REF!</v>
      </c>
      <c r="SIB247" s="29" t="e">
        <f t="shared" si="248"/>
        <v>#REF!</v>
      </c>
      <c r="SIC247" s="29" t="e">
        <f t="shared" si="248"/>
        <v>#REF!</v>
      </c>
      <c r="SID247" s="29" t="e">
        <f t="shared" si="248"/>
        <v>#REF!</v>
      </c>
      <c r="SIE247" s="29" t="e">
        <f t="shared" si="248"/>
        <v>#REF!</v>
      </c>
      <c r="SIF247" s="29" t="e">
        <f t="shared" si="248"/>
        <v>#REF!</v>
      </c>
      <c r="SIG247" s="29" t="e">
        <f t="shared" si="248"/>
        <v>#REF!</v>
      </c>
      <c r="SIH247" s="29" t="e">
        <f t="shared" si="248"/>
        <v>#REF!</v>
      </c>
      <c r="SII247" s="29" t="e">
        <f t="shared" si="248"/>
        <v>#REF!</v>
      </c>
      <c r="SIJ247" s="29" t="e">
        <f t="shared" si="248"/>
        <v>#REF!</v>
      </c>
      <c r="SIK247" s="29" t="e">
        <f t="shared" si="248"/>
        <v>#REF!</v>
      </c>
      <c r="SIL247" s="29" t="e">
        <f t="shared" si="248"/>
        <v>#REF!</v>
      </c>
      <c r="SIM247" s="29" t="e">
        <f t="shared" si="248"/>
        <v>#REF!</v>
      </c>
      <c r="SIN247" s="29" t="e">
        <f t="shared" si="248"/>
        <v>#REF!</v>
      </c>
      <c r="SIO247" s="29" t="e">
        <f t="shared" si="248"/>
        <v>#REF!</v>
      </c>
      <c r="SIP247" s="29" t="e">
        <f t="shared" si="248"/>
        <v>#REF!</v>
      </c>
      <c r="SIQ247" s="29" t="e">
        <f t="shared" si="248"/>
        <v>#REF!</v>
      </c>
      <c r="SIR247" s="29" t="e">
        <f t="shared" si="248"/>
        <v>#REF!</v>
      </c>
      <c r="SIS247" s="29" t="e">
        <f t="shared" si="248"/>
        <v>#REF!</v>
      </c>
      <c r="SIT247" s="29" t="e">
        <f t="shared" si="248"/>
        <v>#REF!</v>
      </c>
      <c r="SIU247" s="29" t="e">
        <f t="shared" si="248"/>
        <v>#REF!</v>
      </c>
      <c r="SIV247" s="29" t="e">
        <f t="shared" si="248"/>
        <v>#REF!</v>
      </c>
      <c r="SIW247" s="29" t="e">
        <f t="shared" si="248"/>
        <v>#REF!</v>
      </c>
      <c r="SIX247" s="29" t="e">
        <f t="shared" si="248"/>
        <v>#REF!</v>
      </c>
      <c r="SIY247" s="29" t="e">
        <f t="shared" si="248"/>
        <v>#REF!</v>
      </c>
      <c r="SIZ247" s="29" t="e">
        <f t="shared" si="248"/>
        <v>#REF!</v>
      </c>
      <c r="SJA247" s="29" t="e">
        <f t="shared" si="248"/>
        <v>#REF!</v>
      </c>
      <c r="SJB247" s="29" t="e">
        <f t="shared" si="248"/>
        <v>#REF!</v>
      </c>
      <c r="SJC247" s="29" t="e">
        <f t="shared" si="248"/>
        <v>#REF!</v>
      </c>
      <c r="SJD247" s="29" t="e">
        <f t="shared" si="248"/>
        <v>#REF!</v>
      </c>
      <c r="SJE247" s="29" t="e">
        <f t="shared" si="248"/>
        <v>#REF!</v>
      </c>
      <c r="SJF247" s="29" t="e">
        <f t="shared" si="248"/>
        <v>#REF!</v>
      </c>
      <c r="SJG247" s="29" t="e">
        <f t="shared" si="248"/>
        <v>#REF!</v>
      </c>
      <c r="SJH247" s="29" t="e">
        <f t="shared" si="248"/>
        <v>#REF!</v>
      </c>
      <c r="SJI247" s="29" t="e">
        <f t="shared" si="248"/>
        <v>#REF!</v>
      </c>
      <c r="SJJ247" s="29" t="e">
        <f t="shared" si="248"/>
        <v>#REF!</v>
      </c>
      <c r="SJK247" s="29" t="e">
        <f t="shared" si="248"/>
        <v>#REF!</v>
      </c>
      <c r="SJL247" s="29" t="e">
        <f t="shared" si="248"/>
        <v>#REF!</v>
      </c>
      <c r="SJM247" s="29" t="e">
        <f t="shared" si="248"/>
        <v>#REF!</v>
      </c>
      <c r="SJN247" s="29" t="e">
        <f t="shared" si="248"/>
        <v>#REF!</v>
      </c>
      <c r="SJO247" s="29" t="e">
        <f t="shared" si="248"/>
        <v>#REF!</v>
      </c>
      <c r="SJP247" s="29" t="e">
        <f t="shared" si="248"/>
        <v>#REF!</v>
      </c>
      <c r="SJQ247" s="29" t="e">
        <f t="shared" si="248"/>
        <v>#REF!</v>
      </c>
      <c r="SJR247" s="29" t="e">
        <f t="shared" si="248"/>
        <v>#REF!</v>
      </c>
      <c r="SJS247" s="29" t="e">
        <f t="shared" si="248"/>
        <v>#REF!</v>
      </c>
      <c r="SJT247" s="29" t="e">
        <f t="shared" si="248"/>
        <v>#REF!</v>
      </c>
      <c r="SJU247" s="29" t="e">
        <f t="shared" si="248"/>
        <v>#REF!</v>
      </c>
      <c r="SJV247" s="29" t="e">
        <f t="shared" si="248"/>
        <v>#REF!</v>
      </c>
      <c r="SJW247" s="29" t="e">
        <f t="shared" si="248"/>
        <v>#REF!</v>
      </c>
      <c r="SJX247" s="29" t="e">
        <f t="shared" si="248"/>
        <v>#REF!</v>
      </c>
      <c r="SJY247" s="29" t="e">
        <f t="shared" si="248"/>
        <v>#REF!</v>
      </c>
      <c r="SJZ247" s="29" t="e">
        <f t="shared" si="248"/>
        <v>#REF!</v>
      </c>
      <c r="SKA247" s="29" t="e">
        <f t="shared" si="248"/>
        <v>#REF!</v>
      </c>
      <c r="SKB247" s="29" t="e">
        <f t="shared" si="248"/>
        <v>#REF!</v>
      </c>
      <c r="SKC247" s="29" t="e">
        <f t="shared" si="248"/>
        <v>#REF!</v>
      </c>
      <c r="SKD247" s="29" t="e">
        <f t="shared" si="248"/>
        <v>#REF!</v>
      </c>
      <c r="SKE247" s="29" t="e">
        <f t="shared" si="248"/>
        <v>#REF!</v>
      </c>
      <c r="SKF247" s="29" t="e">
        <f t="shared" si="248"/>
        <v>#REF!</v>
      </c>
      <c r="SKG247" s="29" t="e">
        <f t="shared" ref="SKG247:SMR247" si="249">SKK247&amp;SKL247</f>
        <v>#REF!</v>
      </c>
      <c r="SKH247" s="29" t="e">
        <f t="shared" si="249"/>
        <v>#REF!</v>
      </c>
      <c r="SKI247" s="29" t="e">
        <f t="shared" si="249"/>
        <v>#REF!</v>
      </c>
      <c r="SKJ247" s="29" t="e">
        <f t="shared" si="249"/>
        <v>#REF!</v>
      </c>
      <c r="SKK247" s="29" t="e">
        <f t="shared" si="249"/>
        <v>#REF!</v>
      </c>
      <c r="SKL247" s="29" t="e">
        <f t="shared" si="249"/>
        <v>#REF!</v>
      </c>
      <c r="SKM247" s="29" t="e">
        <f t="shared" si="249"/>
        <v>#REF!</v>
      </c>
      <c r="SKN247" s="29" t="e">
        <f t="shared" si="249"/>
        <v>#REF!</v>
      </c>
      <c r="SKO247" s="29" t="e">
        <f t="shared" si="249"/>
        <v>#REF!</v>
      </c>
      <c r="SKP247" s="29" t="e">
        <f t="shared" si="249"/>
        <v>#REF!</v>
      </c>
      <c r="SKQ247" s="29" t="e">
        <f t="shared" si="249"/>
        <v>#REF!</v>
      </c>
      <c r="SKR247" s="29" t="e">
        <f t="shared" si="249"/>
        <v>#REF!</v>
      </c>
      <c r="SKS247" s="29" t="e">
        <f t="shared" si="249"/>
        <v>#REF!</v>
      </c>
      <c r="SKT247" s="29" t="e">
        <f t="shared" si="249"/>
        <v>#REF!</v>
      </c>
      <c r="SKU247" s="29" t="e">
        <f t="shared" si="249"/>
        <v>#REF!</v>
      </c>
      <c r="SKV247" s="29" t="e">
        <f t="shared" si="249"/>
        <v>#REF!</v>
      </c>
      <c r="SKW247" s="29" t="e">
        <f t="shared" si="249"/>
        <v>#REF!</v>
      </c>
      <c r="SKX247" s="29" t="e">
        <f t="shared" si="249"/>
        <v>#REF!</v>
      </c>
      <c r="SKY247" s="29" t="e">
        <f t="shared" si="249"/>
        <v>#REF!</v>
      </c>
      <c r="SKZ247" s="29" t="e">
        <f t="shared" si="249"/>
        <v>#REF!</v>
      </c>
      <c r="SLA247" s="29" t="e">
        <f t="shared" si="249"/>
        <v>#REF!</v>
      </c>
      <c r="SLB247" s="29" t="e">
        <f t="shared" si="249"/>
        <v>#REF!</v>
      </c>
      <c r="SLC247" s="29" t="e">
        <f t="shared" si="249"/>
        <v>#REF!</v>
      </c>
      <c r="SLD247" s="29" t="e">
        <f t="shared" si="249"/>
        <v>#REF!</v>
      </c>
      <c r="SLE247" s="29" t="e">
        <f t="shared" si="249"/>
        <v>#REF!</v>
      </c>
      <c r="SLF247" s="29" t="e">
        <f t="shared" si="249"/>
        <v>#REF!</v>
      </c>
      <c r="SLG247" s="29" t="e">
        <f t="shared" si="249"/>
        <v>#REF!</v>
      </c>
      <c r="SLH247" s="29" t="e">
        <f t="shared" si="249"/>
        <v>#REF!</v>
      </c>
      <c r="SLI247" s="29" t="e">
        <f t="shared" si="249"/>
        <v>#REF!</v>
      </c>
      <c r="SLJ247" s="29" t="e">
        <f t="shared" si="249"/>
        <v>#REF!</v>
      </c>
      <c r="SLK247" s="29" t="e">
        <f t="shared" si="249"/>
        <v>#REF!</v>
      </c>
      <c r="SLL247" s="29" t="e">
        <f t="shared" si="249"/>
        <v>#REF!</v>
      </c>
      <c r="SLM247" s="29" t="e">
        <f t="shared" si="249"/>
        <v>#REF!</v>
      </c>
      <c r="SLN247" s="29" t="e">
        <f t="shared" si="249"/>
        <v>#REF!</v>
      </c>
      <c r="SLO247" s="29" t="e">
        <f t="shared" si="249"/>
        <v>#REF!</v>
      </c>
      <c r="SLP247" s="29" t="e">
        <f t="shared" si="249"/>
        <v>#REF!</v>
      </c>
      <c r="SLQ247" s="29" t="e">
        <f t="shared" si="249"/>
        <v>#REF!</v>
      </c>
      <c r="SLR247" s="29" t="e">
        <f t="shared" si="249"/>
        <v>#REF!</v>
      </c>
      <c r="SLS247" s="29" t="e">
        <f t="shared" si="249"/>
        <v>#REF!</v>
      </c>
      <c r="SLT247" s="29" t="e">
        <f t="shared" si="249"/>
        <v>#REF!</v>
      </c>
      <c r="SLU247" s="29" t="e">
        <f t="shared" si="249"/>
        <v>#REF!</v>
      </c>
      <c r="SLV247" s="29" t="e">
        <f t="shared" si="249"/>
        <v>#REF!</v>
      </c>
      <c r="SLW247" s="29" t="e">
        <f t="shared" si="249"/>
        <v>#REF!</v>
      </c>
      <c r="SLX247" s="29" t="e">
        <f t="shared" si="249"/>
        <v>#REF!</v>
      </c>
      <c r="SLY247" s="29" t="e">
        <f t="shared" si="249"/>
        <v>#REF!</v>
      </c>
      <c r="SLZ247" s="29" t="e">
        <f t="shared" si="249"/>
        <v>#REF!</v>
      </c>
      <c r="SMA247" s="29" t="e">
        <f t="shared" si="249"/>
        <v>#REF!</v>
      </c>
      <c r="SMB247" s="29" t="e">
        <f t="shared" si="249"/>
        <v>#REF!</v>
      </c>
      <c r="SMC247" s="29" t="e">
        <f t="shared" si="249"/>
        <v>#REF!</v>
      </c>
      <c r="SMD247" s="29" t="e">
        <f t="shared" si="249"/>
        <v>#REF!</v>
      </c>
      <c r="SME247" s="29" t="e">
        <f t="shared" si="249"/>
        <v>#REF!</v>
      </c>
      <c r="SMF247" s="29" t="e">
        <f t="shared" si="249"/>
        <v>#REF!</v>
      </c>
      <c r="SMG247" s="29" t="e">
        <f t="shared" si="249"/>
        <v>#REF!</v>
      </c>
      <c r="SMH247" s="29" t="e">
        <f t="shared" si="249"/>
        <v>#REF!</v>
      </c>
      <c r="SMI247" s="29" t="e">
        <f t="shared" si="249"/>
        <v>#REF!</v>
      </c>
      <c r="SMJ247" s="29" t="e">
        <f t="shared" si="249"/>
        <v>#REF!</v>
      </c>
      <c r="SMK247" s="29" t="e">
        <f t="shared" si="249"/>
        <v>#REF!</v>
      </c>
      <c r="SML247" s="29" t="e">
        <f t="shared" si="249"/>
        <v>#REF!</v>
      </c>
      <c r="SMM247" s="29" t="e">
        <f t="shared" si="249"/>
        <v>#REF!</v>
      </c>
      <c r="SMN247" s="29" t="e">
        <f t="shared" si="249"/>
        <v>#REF!</v>
      </c>
      <c r="SMO247" s="29" t="e">
        <f t="shared" si="249"/>
        <v>#REF!</v>
      </c>
      <c r="SMP247" s="29" t="e">
        <f t="shared" si="249"/>
        <v>#REF!</v>
      </c>
      <c r="SMQ247" s="29" t="e">
        <f t="shared" si="249"/>
        <v>#REF!</v>
      </c>
      <c r="SMR247" s="29" t="e">
        <f t="shared" si="249"/>
        <v>#REF!</v>
      </c>
      <c r="SMS247" s="29" t="e">
        <f t="shared" ref="SMS247:SPD247" si="250">SMW247&amp;SMX247</f>
        <v>#REF!</v>
      </c>
      <c r="SMT247" s="29" t="e">
        <f t="shared" si="250"/>
        <v>#REF!</v>
      </c>
      <c r="SMU247" s="29" t="e">
        <f t="shared" si="250"/>
        <v>#REF!</v>
      </c>
      <c r="SMV247" s="29" t="e">
        <f t="shared" si="250"/>
        <v>#REF!</v>
      </c>
      <c r="SMW247" s="29" t="e">
        <f t="shared" si="250"/>
        <v>#REF!</v>
      </c>
      <c r="SMX247" s="29" t="e">
        <f t="shared" si="250"/>
        <v>#REF!</v>
      </c>
      <c r="SMY247" s="29" t="e">
        <f t="shared" si="250"/>
        <v>#REF!</v>
      </c>
      <c r="SMZ247" s="29" t="e">
        <f t="shared" si="250"/>
        <v>#REF!</v>
      </c>
      <c r="SNA247" s="29" t="e">
        <f t="shared" si="250"/>
        <v>#REF!</v>
      </c>
      <c r="SNB247" s="29" t="e">
        <f t="shared" si="250"/>
        <v>#REF!</v>
      </c>
      <c r="SNC247" s="29" t="e">
        <f t="shared" si="250"/>
        <v>#REF!</v>
      </c>
      <c r="SND247" s="29" t="e">
        <f t="shared" si="250"/>
        <v>#REF!</v>
      </c>
      <c r="SNE247" s="29" t="e">
        <f t="shared" si="250"/>
        <v>#REF!</v>
      </c>
      <c r="SNF247" s="29" t="e">
        <f t="shared" si="250"/>
        <v>#REF!</v>
      </c>
      <c r="SNG247" s="29" t="e">
        <f t="shared" si="250"/>
        <v>#REF!</v>
      </c>
      <c r="SNH247" s="29" t="e">
        <f t="shared" si="250"/>
        <v>#REF!</v>
      </c>
      <c r="SNI247" s="29" t="e">
        <f t="shared" si="250"/>
        <v>#REF!</v>
      </c>
      <c r="SNJ247" s="29" t="e">
        <f t="shared" si="250"/>
        <v>#REF!</v>
      </c>
      <c r="SNK247" s="29" t="e">
        <f t="shared" si="250"/>
        <v>#REF!</v>
      </c>
      <c r="SNL247" s="29" t="e">
        <f t="shared" si="250"/>
        <v>#REF!</v>
      </c>
      <c r="SNM247" s="29" t="e">
        <f t="shared" si="250"/>
        <v>#REF!</v>
      </c>
      <c r="SNN247" s="29" t="e">
        <f t="shared" si="250"/>
        <v>#REF!</v>
      </c>
      <c r="SNO247" s="29" t="e">
        <f t="shared" si="250"/>
        <v>#REF!</v>
      </c>
      <c r="SNP247" s="29" t="e">
        <f t="shared" si="250"/>
        <v>#REF!</v>
      </c>
      <c r="SNQ247" s="29" t="e">
        <f t="shared" si="250"/>
        <v>#REF!</v>
      </c>
      <c r="SNR247" s="29" t="e">
        <f t="shared" si="250"/>
        <v>#REF!</v>
      </c>
      <c r="SNS247" s="29" t="e">
        <f t="shared" si="250"/>
        <v>#REF!</v>
      </c>
      <c r="SNT247" s="29" t="e">
        <f t="shared" si="250"/>
        <v>#REF!</v>
      </c>
      <c r="SNU247" s="29" t="e">
        <f t="shared" si="250"/>
        <v>#REF!</v>
      </c>
      <c r="SNV247" s="29" t="e">
        <f t="shared" si="250"/>
        <v>#REF!</v>
      </c>
      <c r="SNW247" s="29" t="e">
        <f t="shared" si="250"/>
        <v>#REF!</v>
      </c>
      <c r="SNX247" s="29" t="e">
        <f t="shared" si="250"/>
        <v>#REF!</v>
      </c>
      <c r="SNY247" s="29" t="e">
        <f t="shared" si="250"/>
        <v>#REF!</v>
      </c>
      <c r="SNZ247" s="29" t="e">
        <f t="shared" si="250"/>
        <v>#REF!</v>
      </c>
      <c r="SOA247" s="29" t="e">
        <f t="shared" si="250"/>
        <v>#REF!</v>
      </c>
      <c r="SOB247" s="29" t="e">
        <f t="shared" si="250"/>
        <v>#REF!</v>
      </c>
      <c r="SOC247" s="29" t="e">
        <f t="shared" si="250"/>
        <v>#REF!</v>
      </c>
      <c r="SOD247" s="29" t="e">
        <f t="shared" si="250"/>
        <v>#REF!</v>
      </c>
      <c r="SOE247" s="29" t="e">
        <f t="shared" si="250"/>
        <v>#REF!</v>
      </c>
      <c r="SOF247" s="29" t="e">
        <f t="shared" si="250"/>
        <v>#REF!</v>
      </c>
      <c r="SOG247" s="29" t="e">
        <f t="shared" si="250"/>
        <v>#REF!</v>
      </c>
      <c r="SOH247" s="29" t="e">
        <f t="shared" si="250"/>
        <v>#REF!</v>
      </c>
      <c r="SOI247" s="29" t="e">
        <f t="shared" si="250"/>
        <v>#REF!</v>
      </c>
      <c r="SOJ247" s="29" t="e">
        <f t="shared" si="250"/>
        <v>#REF!</v>
      </c>
      <c r="SOK247" s="29" t="e">
        <f t="shared" si="250"/>
        <v>#REF!</v>
      </c>
      <c r="SOL247" s="29" t="e">
        <f t="shared" si="250"/>
        <v>#REF!</v>
      </c>
      <c r="SOM247" s="29" t="e">
        <f t="shared" si="250"/>
        <v>#REF!</v>
      </c>
      <c r="SON247" s="29" t="e">
        <f t="shared" si="250"/>
        <v>#REF!</v>
      </c>
      <c r="SOO247" s="29" t="e">
        <f t="shared" si="250"/>
        <v>#REF!</v>
      </c>
      <c r="SOP247" s="29" t="e">
        <f t="shared" si="250"/>
        <v>#REF!</v>
      </c>
      <c r="SOQ247" s="29" t="e">
        <f t="shared" si="250"/>
        <v>#REF!</v>
      </c>
      <c r="SOR247" s="29" t="e">
        <f t="shared" si="250"/>
        <v>#REF!</v>
      </c>
      <c r="SOS247" s="29" t="e">
        <f t="shared" si="250"/>
        <v>#REF!</v>
      </c>
      <c r="SOT247" s="29" t="e">
        <f t="shared" si="250"/>
        <v>#REF!</v>
      </c>
      <c r="SOU247" s="29" t="e">
        <f t="shared" si="250"/>
        <v>#REF!</v>
      </c>
      <c r="SOV247" s="29" t="e">
        <f t="shared" si="250"/>
        <v>#REF!</v>
      </c>
      <c r="SOW247" s="29" t="e">
        <f t="shared" si="250"/>
        <v>#REF!</v>
      </c>
      <c r="SOX247" s="29" t="e">
        <f t="shared" si="250"/>
        <v>#REF!</v>
      </c>
      <c r="SOY247" s="29" t="e">
        <f t="shared" si="250"/>
        <v>#REF!</v>
      </c>
      <c r="SOZ247" s="29" t="e">
        <f t="shared" si="250"/>
        <v>#REF!</v>
      </c>
      <c r="SPA247" s="29" t="e">
        <f t="shared" si="250"/>
        <v>#REF!</v>
      </c>
      <c r="SPB247" s="29" t="e">
        <f t="shared" si="250"/>
        <v>#REF!</v>
      </c>
      <c r="SPC247" s="29" t="e">
        <f t="shared" si="250"/>
        <v>#REF!</v>
      </c>
      <c r="SPD247" s="29" t="e">
        <f t="shared" si="250"/>
        <v>#REF!</v>
      </c>
      <c r="SPE247" s="29" t="e">
        <f t="shared" ref="SPE247:SRP247" si="251">SPI247&amp;SPJ247</f>
        <v>#REF!</v>
      </c>
      <c r="SPF247" s="29" t="e">
        <f t="shared" si="251"/>
        <v>#REF!</v>
      </c>
      <c r="SPG247" s="29" t="e">
        <f t="shared" si="251"/>
        <v>#REF!</v>
      </c>
      <c r="SPH247" s="29" t="e">
        <f t="shared" si="251"/>
        <v>#REF!</v>
      </c>
      <c r="SPI247" s="29" t="e">
        <f t="shared" si="251"/>
        <v>#REF!</v>
      </c>
      <c r="SPJ247" s="29" t="e">
        <f t="shared" si="251"/>
        <v>#REF!</v>
      </c>
      <c r="SPK247" s="29" t="e">
        <f t="shared" si="251"/>
        <v>#REF!</v>
      </c>
      <c r="SPL247" s="29" t="e">
        <f t="shared" si="251"/>
        <v>#REF!</v>
      </c>
      <c r="SPM247" s="29" t="e">
        <f t="shared" si="251"/>
        <v>#REF!</v>
      </c>
      <c r="SPN247" s="29" t="e">
        <f t="shared" si="251"/>
        <v>#REF!</v>
      </c>
      <c r="SPO247" s="29" t="e">
        <f t="shared" si="251"/>
        <v>#REF!</v>
      </c>
      <c r="SPP247" s="29" t="e">
        <f t="shared" si="251"/>
        <v>#REF!</v>
      </c>
      <c r="SPQ247" s="29" t="e">
        <f t="shared" si="251"/>
        <v>#REF!</v>
      </c>
      <c r="SPR247" s="29" t="e">
        <f t="shared" si="251"/>
        <v>#REF!</v>
      </c>
      <c r="SPS247" s="29" t="e">
        <f t="shared" si="251"/>
        <v>#REF!</v>
      </c>
      <c r="SPT247" s="29" t="e">
        <f t="shared" si="251"/>
        <v>#REF!</v>
      </c>
      <c r="SPU247" s="29" t="e">
        <f t="shared" si="251"/>
        <v>#REF!</v>
      </c>
      <c r="SPV247" s="29" t="e">
        <f t="shared" si="251"/>
        <v>#REF!</v>
      </c>
      <c r="SPW247" s="29" t="e">
        <f t="shared" si="251"/>
        <v>#REF!</v>
      </c>
      <c r="SPX247" s="29" t="e">
        <f t="shared" si="251"/>
        <v>#REF!</v>
      </c>
      <c r="SPY247" s="29" t="e">
        <f t="shared" si="251"/>
        <v>#REF!</v>
      </c>
      <c r="SPZ247" s="29" t="e">
        <f t="shared" si="251"/>
        <v>#REF!</v>
      </c>
      <c r="SQA247" s="29" t="e">
        <f t="shared" si="251"/>
        <v>#REF!</v>
      </c>
      <c r="SQB247" s="29" t="e">
        <f t="shared" si="251"/>
        <v>#REF!</v>
      </c>
      <c r="SQC247" s="29" t="e">
        <f t="shared" si="251"/>
        <v>#REF!</v>
      </c>
      <c r="SQD247" s="29" t="e">
        <f t="shared" si="251"/>
        <v>#REF!</v>
      </c>
      <c r="SQE247" s="29" t="e">
        <f t="shared" si="251"/>
        <v>#REF!</v>
      </c>
      <c r="SQF247" s="29" t="e">
        <f t="shared" si="251"/>
        <v>#REF!</v>
      </c>
      <c r="SQG247" s="29" t="e">
        <f t="shared" si="251"/>
        <v>#REF!</v>
      </c>
      <c r="SQH247" s="29" t="e">
        <f t="shared" si="251"/>
        <v>#REF!</v>
      </c>
      <c r="SQI247" s="29" t="e">
        <f t="shared" si="251"/>
        <v>#REF!</v>
      </c>
      <c r="SQJ247" s="29" t="e">
        <f t="shared" si="251"/>
        <v>#REF!</v>
      </c>
      <c r="SQK247" s="29" t="e">
        <f t="shared" si="251"/>
        <v>#REF!</v>
      </c>
      <c r="SQL247" s="29" t="e">
        <f t="shared" si="251"/>
        <v>#REF!</v>
      </c>
      <c r="SQM247" s="29" t="e">
        <f t="shared" si="251"/>
        <v>#REF!</v>
      </c>
      <c r="SQN247" s="29" t="e">
        <f t="shared" si="251"/>
        <v>#REF!</v>
      </c>
      <c r="SQO247" s="29" t="e">
        <f t="shared" si="251"/>
        <v>#REF!</v>
      </c>
      <c r="SQP247" s="29" t="e">
        <f t="shared" si="251"/>
        <v>#REF!</v>
      </c>
      <c r="SQQ247" s="29" t="e">
        <f t="shared" si="251"/>
        <v>#REF!</v>
      </c>
      <c r="SQR247" s="29" t="e">
        <f t="shared" si="251"/>
        <v>#REF!</v>
      </c>
      <c r="SQS247" s="29" t="e">
        <f t="shared" si="251"/>
        <v>#REF!</v>
      </c>
      <c r="SQT247" s="29" t="e">
        <f t="shared" si="251"/>
        <v>#REF!</v>
      </c>
      <c r="SQU247" s="29" t="e">
        <f t="shared" si="251"/>
        <v>#REF!</v>
      </c>
      <c r="SQV247" s="29" t="e">
        <f t="shared" si="251"/>
        <v>#REF!</v>
      </c>
      <c r="SQW247" s="29" t="e">
        <f t="shared" si="251"/>
        <v>#REF!</v>
      </c>
      <c r="SQX247" s="29" t="e">
        <f t="shared" si="251"/>
        <v>#REF!</v>
      </c>
      <c r="SQY247" s="29" t="e">
        <f t="shared" si="251"/>
        <v>#REF!</v>
      </c>
      <c r="SQZ247" s="29" t="e">
        <f t="shared" si="251"/>
        <v>#REF!</v>
      </c>
      <c r="SRA247" s="29" t="e">
        <f t="shared" si="251"/>
        <v>#REF!</v>
      </c>
      <c r="SRB247" s="29" t="e">
        <f t="shared" si="251"/>
        <v>#REF!</v>
      </c>
      <c r="SRC247" s="29" t="e">
        <f t="shared" si="251"/>
        <v>#REF!</v>
      </c>
      <c r="SRD247" s="29" t="e">
        <f t="shared" si="251"/>
        <v>#REF!</v>
      </c>
      <c r="SRE247" s="29" t="e">
        <f t="shared" si="251"/>
        <v>#REF!</v>
      </c>
      <c r="SRF247" s="29" t="e">
        <f t="shared" si="251"/>
        <v>#REF!</v>
      </c>
      <c r="SRG247" s="29" t="e">
        <f t="shared" si="251"/>
        <v>#REF!</v>
      </c>
      <c r="SRH247" s="29" t="e">
        <f t="shared" si="251"/>
        <v>#REF!</v>
      </c>
      <c r="SRI247" s="29" t="e">
        <f t="shared" si="251"/>
        <v>#REF!</v>
      </c>
      <c r="SRJ247" s="29" t="e">
        <f t="shared" si="251"/>
        <v>#REF!</v>
      </c>
      <c r="SRK247" s="29" t="e">
        <f t="shared" si="251"/>
        <v>#REF!</v>
      </c>
      <c r="SRL247" s="29" t="e">
        <f t="shared" si="251"/>
        <v>#REF!</v>
      </c>
      <c r="SRM247" s="29" t="e">
        <f t="shared" si="251"/>
        <v>#REF!</v>
      </c>
      <c r="SRN247" s="29" t="e">
        <f t="shared" si="251"/>
        <v>#REF!</v>
      </c>
      <c r="SRO247" s="29" t="e">
        <f t="shared" si="251"/>
        <v>#REF!</v>
      </c>
      <c r="SRP247" s="29" t="e">
        <f t="shared" si="251"/>
        <v>#REF!</v>
      </c>
      <c r="SRQ247" s="29" t="e">
        <f t="shared" ref="SRQ247:SUB247" si="252">SRU247&amp;SRV247</f>
        <v>#REF!</v>
      </c>
      <c r="SRR247" s="29" t="e">
        <f t="shared" si="252"/>
        <v>#REF!</v>
      </c>
      <c r="SRS247" s="29" t="e">
        <f t="shared" si="252"/>
        <v>#REF!</v>
      </c>
      <c r="SRT247" s="29" t="e">
        <f t="shared" si="252"/>
        <v>#REF!</v>
      </c>
      <c r="SRU247" s="29" t="e">
        <f t="shared" si="252"/>
        <v>#REF!</v>
      </c>
      <c r="SRV247" s="29" t="e">
        <f t="shared" si="252"/>
        <v>#REF!</v>
      </c>
      <c r="SRW247" s="29" t="e">
        <f t="shared" si="252"/>
        <v>#REF!</v>
      </c>
      <c r="SRX247" s="29" t="e">
        <f t="shared" si="252"/>
        <v>#REF!</v>
      </c>
      <c r="SRY247" s="29" t="e">
        <f t="shared" si="252"/>
        <v>#REF!</v>
      </c>
      <c r="SRZ247" s="29" t="e">
        <f t="shared" si="252"/>
        <v>#REF!</v>
      </c>
      <c r="SSA247" s="29" t="e">
        <f t="shared" si="252"/>
        <v>#REF!</v>
      </c>
      <c r="SSB247" s="29" t="e">
        <f t="shared" si="252"/>
        <v>#REF!</v>
      </c>
      <c r="SSC247" s="29" t="e">
        <f t="shared" si="252"/>
        <v>#REF!</v>
      </c>
      <c r="SSD247" s="29" t="e">
        <f t="shared" si="252"/>
        <v>#REF!</v>
      </c>
      <c r="SSE247" s="29" t="e">
        <f t="shared" si="252"/>
        <v>#REF!</v>
      </c>
      <c r="SSF247" s="29" t="e">
        <f t="shared" si="252"/>
        <v>#REF!</v>
      </c>
      <c r="SSG247" s="29" t="e">
        <f t="shared" si="252"/>
        <v>#REF!</v>
      </c>
      <c r="SSH247" s="29" t="e">
        <f t="shared" si="252"/>
        <v>#REF!</v>
      </c>
      <c r="SSI247" s="29" t="e">
        <f t="shared" si="252"/>
        <v>#REF!</v>
      </c>
      <c r="SSJ247" s="29" t="e">
        <f t="shared" si="252"/>
        <v>#REF!</v>
      </c>
      <c r="SSK247" s="29" t="e">
        <f t="shared" si="252"/>
        <v>#REF!</v>
      </c>
      <c r="SSL247" s="29" t="e">
        <f t="shared" si="252"/>
        <v>#REF!</v>
      </c>
      <c r="SSM247" s="29" t="e">
        <f t="shared" si="252"/>
        <v>#REF!</v>
      </c>
      <c r="SSN247" s="29" t="e">
        <f t="shared" si="252"/>
        <v>#REF!</v>
      </c>
      <c r="SSO247" s="29" t="e">
        <f t="shared" si="252"/>
        <v>#REF!</v>
      </c>
      <c r="SSP247" s="29" t="e">
        <f t="shared" si="252"/>
        <v>#REF!</v>
      </c>
      <c r="SSQ247" s="29" t="e">
        <f t="shared" si="252"/>
        <v>#REF!</v>
      </c>
      <c r="SSR247" s="29" t="e">
        <f t="shared" si="252"/>
        <v>#REF!</v>
      </c>
      <c r="SSS247" s="29" t="e">
        <f t="shared" si="252"/>
        <v>#REF!</v>
      </c>
      <c r="SST247" s="29" t="e">
        <f t="shared" si="252"/>
        <v>#REF!</v>
      </c>
      <c r="SSU247" s="29" t="e">
        <f t="shared" si="252"/>
        <v>#REF!</v>
      </c>
      <c r="SSV247" s="29" t="e">
        <f t="shared" si="252"/>
        <v>#REF!</v>
      </c>
      <c r="SSW247" s="29" t="e">
        <f t="shared" si="252"/>
        <v>#REF!</v>
      </c>
      <c r="SSX247" s="29" t="e">
        <f t="shared" si="252"/>
        <v>#REF!</v>
      </c>
      <c r="SSY247" s="29" t="e">
        <f t="shared" si="252"/>
        <v>#REF!</v>
      </c>
      <c r="SSZ247" s="29" t="e">
        <f t="shared" si="252"/>
        <v>#REF!</v>
      </c>
      <c r="STA247" s="29" t="e">
        <f t="shared" si="252"/>
        <v>#REF!</v>
      </c>
      <c r="STB247" s="29" t="e">
        <f t="shared" si="252"/>
        <v>#REF!</v>
      </c>
      <c r="STC247" s="29" t="e">
        <f t="shared" si="252"/>
        <v>#REF!</v>
      </c>
      <c r="STD247" s="29" t="e">
        <f t="shared" si="252"/>
        <v>#REF!</v>
      </c>
      <c r="STE247" s="29" t="e">
        <f t="shared" si="252"/>
        <v>#REF!</v>
      </c>
      <c r="STF247" s="29" t="e">
        <f t="shared" si="252"/>
        <v>#REF!</v>
      </c>
      <c r="STG247" s="29" t="e">
        <f t="shared" si="252"/>
        <v>#REF!</v>
      </c>
      <c r="STH247" s="29" t="e">
        <f t="shared" si="252"/>
        <v>#REF!</v>
      </c>
      <c r="STI247" s="29" t="e">
        <f t="shared" si="252"/>
        <v>#REF!</v>
      </c>
      <c r="STJ247" s="29" t="e">
        <f t="shared" si="252"/>
        <v>#REF!</v>
      </c>
      <c r="STK247" s="29" t="e">
        <f t="shared" si="252"/>
        <v>#REF!</v>
      </c>
      <c r="STL247" s="29" t="e">
        <f t="shared" si="252"/>
        <v>#REF!</v>
      </c>
      <c r="STM247" s="29" t="e">
        <f t="shared" si="252"/>
        <v>#REF!</v>
      </c>
      <c r="STN247" s="29" t="e">
        <f t="shared" si="252"/>
        <v>#REF!</v>
      </c>
      <c r="STO247" s="29" t="e">
        <f t="shared" si="252"/>
        <v>#REF!</v>
      </c>
      <c r="STP247" s="29" t="e">
        <f t="shared" si="252"/>
        <v>#REF!</v>
      </c>
      <c r="STQ247" s="29" t="e">
        <f t="shared" si="252"/>
        <v>#REF!</v>
      </c>
      <c r="STR247" s="29" t="e">
        <f t="shared" si="252"/>
        <v>#REF!</v>
      </c>
      <c r="STS247" s="29" t="e">
        <f t="shared" si="252"/>
        <v>#REF!</v>
      </c>
      <c r="STT247" s="29" t="e">
        <f t="shared" si="252"/>
        <v>#REF!</v>
      </c>
      <c r="STU247" s="29" t="e">
        <f t="shared" si="252"/>
        <v>#REF!</v>
      </c>
      <c r="STV247" s="29" t="e">
        <f t="shared" si="252"/>
        <v>#REF!</v>
      </c>
      <c r="STW247" s="29" t="e">
        <f t="shared" si="252"/>
        <v>#REF!</v>
      </c>
      <c r="STX247" s="29" t="e">
        <f t="shared" si="252"/>
        <v>#REF!</v>
      </c>
      <c r="STY247" s="29" t="e">
        <f t="shared" si="252"/>
        <v>#REF!</v>
      </c>
      <c r="STZ247" s="29" t="e">
        <f t="shared" si="252"/>
        <v>#REF!</v>
      </c>
      <c r="SUA247" s="29" t="e">
        <f t="shared" si="252"/>
        <v>#REF!</v>
      </c>
      <c r="SUB247" s="29" t="e">
        <f t="shared" si="252"/>
        <v>#REF!</v>
      </c>
      <c r="SUC247" s="29" t="e">
        <f t="shared" ref="SUC247:SWN247" si="253">SUG247&amp;SUH247</f>
        <v>#REF!</v>
      </c>
      <c r="SUD247" s="29" t="e">
        <f t="shared" si="253"/>
        <v>#REF!</v>
      </c>
      <c r="SUE247" s="29" t="e">
        <f t="shared" si="253"/>
        <v>#REF!</v>
      </c>
      <c r="SUF247" s="29" t="e">
        <f t="shared" si="253"/>
        <v>#REF!</v>
      </c>
      <c r="SUG247" s="29" t="e">
        <f t="shared" si="253"/>
        <v>#REF!</v>
      </c>
      <c r="SUH247" s="29" t="e">
        <f t="shared" si="253"/>
        <v>#REF!</v>
      </c>
      <c r="SUI247" s="29" t="e">
        <f t="shared" si="253"/>
        <v>#REF!</v>
      </c>
      <c r="SUJ247" s="29" t="e">
        <f t="shared" si="253"/>
        <v>#REF!</v>
      </c>
      <c r="SUK247" s="29" t="e">
        <f t="shared" si="253"/>
        <v>#REF!</v>
      </c>
      <c r="SUL247" s="29" t="e">
        <f t="shared" si="253"/>
        <v>#REF!</v>
      </c>
      <c r="SUM247" s="29" t="e">
        <f t="shared" si="253"/>
        <v>#REF!</v>
      </c>
      <c r="SUN247" s="29" t="e">
        <f t="shared" si="253"/>
        <v>#REF!</v>
      </c>
      <c r="SUO247" s="29" t="e">
        <f t="shared" si="253"/>
        <v>#REF!</v>
      </c>
      <c r="SUP247" s="29" t="e">
        <f t="shared" si="253"/>
        <v>#REF!</v>
      </c>
      <c r="SUQ247" s="29" t="e">
        <f t="shared" si="253"/>
        <v>#REF!</v>
      </c>
      <c r="SUR247" s="29" t="e">
        <f t="shared" si="253"/>
        <v>#REF!</v>
      </c>
      <c r="SUS247" s="29" t="e">
        <f t="shared" si="253"/>
        <v>#REF!</v>
      </c>
      <c r="SUT247" s="29" t="e">
        <f t="shared" si="253"/>
        <v>#REF!</v>
      </c>
      <c r="SUU247" s="29" t="e">
        <f t="shared" si="253"/>
        <v>#REF!</v>
      </c>
      <c r="SUV247" s="29" t="e">
        <f t="shared" si="253"/>
        <v>#REF!</v>
      </c>
      <c r="SUW247" s="29" t="e">
        <f t="shared" si="253"/>
        <v>#REF!</v>
      </c>
      <c r="SUX247" s="29" t="e">
        <f t="shared" si="253"/>
        <v>#REF!</v>
      </c>
      <c r="SUY247" s="29" t="e">
        <f t="shared" si="253"/>
        <v>#REF!</v>
      </c>
      <c r="SUZ247" s="29" t="e">
        <f t="shared" si="253"/>
        <v>#REF!</v>
      </c>
      <c r="SVA247" s="29" t="e">
        <f t="shared" si="253"/>
        <v>#REF!</v>
      </c>
      <c r="SVB247" s="29" t="e">
        <f t="shared" si="253"/>
        <v>#REF!</v>
      </c>
      <c r="SVC247" s="29" t="e">
        <f t="shared" si="253"/>
        <v>#REF!</v>
      </c>
      <c r="SVD247" s="29" t="e">
        <f t="shared" si="253"/>
        <v>#REF!</v>
      </c>
      <c r="SVE247" s="29" t="e">
        <f t="shared" si="253"/>
        <v>#REF!</v>
      </c>
      <c r="SVF247" s="29" t="e">
        <f t="shared" si="253"/>
        <v>#REF!</v>
      </c>
      <c r="SVG247" s="29" t="e">
        <f t="shared" si="253"/>
        <v>#REF!</v>
      </c>
      <c r="SVH247" s="29" t="e">
        <f t="shared" si="253"/>
        <v>#REF!</v>
      </c>
      <c r="SVI247" s="29" t="e">
        <f t="shared" si="253"/>
        <v>#REF!</v>
      </c>
      <c r="SVJ247" s="29" t="e">
        <f t="shared" si="253"/>
        <v>#REF!</v>
      </c>
      <c r="SVK247" s="29" t="e">
        <f t="shared" si="253"/>
        <v>#REF!</v>
      </c>
      <c r="SVL247" s="29" t="e">
        <f t="shared" si="253"/>
        <v>#REF!</v>
      </c>
      <c r="SVM247" s="29" t="e">
        <f t="shared" si="253"/>
        <v>#REF!</v>
      </c>
      <c r="SVN247" s="29" t="e">
        <f t="shared" si="253"/>
        <v>#REF!</v>
      </c>
      <c r="SVO247" s="29" t="e">
        <f t="shared" si="253"/>
        <v>#REF!</v>
      </c>
      <c r="SVP247" s="29" t="e">
        <f t="shared" si="253"/>
        <v>#REF!</v>
      </c>
      <c r="SVQ247" s="29" t="e">
        <f t="shared" si="253"/>
        <v>#REF!</v>
      </c>
      <c r="SVR247" s="29" t="e">
        <f t="shared" si="253"/>
        <v>#REF!</v>
      </c>
      <c r="SVS247" s="29" t="e">
        <f t="shared" si="253"/>
        <v>#REF!</v>
      </c>
      <c r="SVT247" s="29" t="e">
        <f t="shared" si="253"/>
        <v>#REF!</v>
      </c>
      <c r="SVU247" s="29" t="e">
        <f t="shared" si="253"/>
        <v>#REF!</v>
      </c>
      <c r="SVV247" s="29" t="e">
        <f t="shared" si="253"/>
        <v>#REF!</v>
      </c>
      <c r="SVW247" s="29" t="e">
        <f t="shared" si="253"/>
        <v>#REF!</v>
      </c>
      <c r="SVX247" s="29" t="e">
        <f t="shared" si="253"/>
        <v>#REF!</v>
      </c>
      <c r="SVY247" s="29" t="e">
        <f t="shared" si="253"/>
        <v>#REF!</v>
      </c>
      <c r="SVZ247" s="29" t="e">
        <f t="shared" si="253"/>
        <v>#REF!</v>
      </c>
      <c r="SWA247" s="29" t="e">
        <f t="shared" si="253"/>
        <v>#REF!</v>
      </c>
      <c r="SWB247" s="29" t="e">
        <f t="shared" si="253"/>
        <v>#REF!</v>
      </c>
      <c r="SWC247" s="29" t="e">
        <f t="shared" si="253"/>
        <v>#REF!</v>
      </c>
      <c r="SWD247" s="29" t="e">
        <f t="shared" si="253"/>
        <v>#REF!</v>
      </c>
      <c r="SWE247" s="29" t="e">
        <f t="shared" si="253"/>
        <v>#REF!</v>
      </c>
      <c r="SWF247" s="29" t="e">
        <f t="shared" si="253"/>
        <v>#REF!</v>
      </c>
      <c r="SWG247" s="29" t="e">
        <f t="shared" si="253"/>
        <v>#REF!</v>
      </c>
      <c r="SWH247" s="29" t="e">
        <f t="shared" si="253"/>
        <v>#REF!</v>
      </c>
      <c r="SWI247" s="29" t="e">
        <f t="shared" si="253"/>
        <v>#REF!</v>
      </c>
      <c r="SWJ247" s="29" t="e">
        <f t="shared" si="253"/>
        <v>#REF!</v>
      </c>
      <c r="SWK247" s="29" t="e">
        <f t="shared" si="253"/>
        <v>#REF!</v>
      </c>
      <c r="SWL247" s="29" t="e">
        <f t="shared" si="253"/>
        <v>#REF!</v>
      </c>
      <c r="SWM247" s="29" t="e">
        <f t="shared" si="253"/>
        <v>#REF!</v>
      </c>
      <c r="SWN247" s="29" t="e">
        <f t="shared" si="253"/>
        <v>#REF!</v>
      </c>
      <c r="SWO247" s="29" t="e">
        <f t="shared" ref="SWO247:SYZ247" si="254">SWS247&amp;SWT247</f>
        <v>#REF!</v>
      </c>
      <c r="SWP247" s="29" t="e">
        <f t="shared" si="254"/>
        <v>#REF!</v>
      </c>
      <c r="SWQ247" s="29" t="e">
        <f t="shared" si="254"/>
        <v>#REF!</v>
      </c>
      <c r="SWR247" s="29" t="e">
        <f t="shared" si="254"/>
        <v>#REF!</v>
      </c>
      <c r="SWS247" s="29" t="e">
        <f t="shared" si="254"/>
        <v>#REF!</v>
      </c>
      <c r="SWT247" s="29" t="e">
        <f t="shared" si="254"/>
        <v>#REF!</v>
      </c>
      <c r="SWU247" s="29" t="e">
        <f t="shared" si="254"/>
        <v>#REF!</v>
      </c>
      <c r="SWV247" s="29" t="e">
        <f t="shared" si="254"/>
        <v>#REF!</v>
      </c>
      <c r="SWW247" s="29" t="e">
        <f t="shared" si="254"/>
        <v>#REF!</v>
      </c>
      <c r="SWX247" s="29" t="e">
        <f t="shared" si="254"/>
        <v>#REF!</v>
      </c>
      <c r="SWY247" s="29" t="e">
        <f t="shared" si="254"/>
        <v>#REF!</v>
      </c>
      <c r="SWZ247" s="29" t="e">
        <f t="shared" si="254"/>
        <v>#REF!</v>
      </c>
      <c r="SXA247" s="29" t="e">
        <f t="shared" si="254"/>
        <v>#REF!</v>
      </c>
      <c r="SXB247" s="29" t="e">
        <f t="shared" si="254"/>
        <v>#REF!</v>
      </c>
      <c r="SXC247" s="29" t="e">
        <f t="shared" si="254"/>
        <v>#REF!</v>
      </c>
      <c r="SXD247" s="29" t="e">
        <f t="shared" si="254"/>
        <v>#REF!</v>
      </c>
      <c r="SXE247" s="29" t="e">
        <f t="shared" si="254"/>
        <v>#REF!</v>
      </c>
      <c r="SXF247" s="29" t="e">
        <f t="shared" si="254"/>
        <v>#REF!</v>
      </c>
      <c r="SXG247" s="29" t="e">
        <f t="shared" si="254"/>
        <v>#REF!</v>
      </c>
      <c r="SXH247" s="29" t="e">
        <f t="shared" si="254"/>
        <v>#REF!</v>
      </c>
      <c r="SXI247" s="29" t="e">
        <f t="shared" si="254"/>
        <v>#REF!</v>
      </c>
      <c r="SXJ247" s="29" t="e">
        <f t="shared" si="254"/>
        <v>#REF!</v>
      </c>
      <c r="SXK247" s="29" t="e">
        <f t="shared" si="254"/>
        <v>#REF!</v>
      </c>
      <c r="SXL247" s="29" t="e">
        <f t="shared" si="254"/>
        <v>#REF!</v>
      </c>
      <c r="SXM247" s="29" t="e">
        <f t="shared" si="254"/>
        <v>#REF!</v>
      </c>
      <c r="SXN247" s="29" t="e">
        <f t="shared" si="254"/>
        <v>#REF!</v>
      </c>
      <c r="SXO247" s="29" t="e">
        <f t="shared" si="254"/>
        <v>#REF!</v>
      </c>
      <c r="SXP247" s="29" t="e">
        <f t="shared" si="254"/>
        <v>#REF!</v>
      </c>
      <c r="SXQ247" s="29" t="e">
        <f t="shared" si="254"/>
        <v>#REF!</v>
      </c>
      <c r="SXR247" s="29" t="e">
        <f t="shared" si="254"/>
        <v>#REF!</v>
      </c>
      <c r="SXS247" s="29" t="e">
        <f t="shared" si="254"/>
        <v>#REF!</v>
      </c>
      <c r="SXT247" s="29" t="e">
        <f t="shared" si="254"/>
        <v>#REF!</v>
      </c>
      <c r="SXU247" s="29" t="e">
        <f t="shared" si="254"/>
        <v>#REF!</v>
      </c>
      <c r="SXV247" s="29" t="e">
        <f t="shared" si="254"/>
        <v>#REF!</v>
      </c>
      <c r="SXW247" s="29" t="e">
        <f t="shared" si="254"/>
        <v>#REF!</v>
      </c>
      <c r="SXX247" s="29" t="e">
        <f t="shared" si="254"/>
        <v>#REF!</v>
      </c>
      <c r="SXY247" s="29" t="e">
        <f t="shared" si="254"/>
        <v>#REF!</v>
      </c>
      <c r="SXZ247" s="29" t="e">
        <f t="shared" si="254"/>
        <v>#REF!</v>
      </c>
      <c r="SYA247" s="29" t="e">
        <f t="shared" si="254"/>
        <v>#REF!</v>
      </c>
      <c r="SYB247" s="29" t="e">
        <f t="shared" si="254"/>
        <v>#REF!</v>
      </c>
      <c r="SYC247" s="29" t="e">
        <f t="shared" si="254"/>
        <v>#REF!</v>
      </c>
      <c r="SYD247" s="29" t="e">
        <f t="shared" si="254"/>
        <v>#REF!</v>
      </c>
      <c r="SYE247" s="29" t="e">
        <f t="shared" si="254"/>
        <v>#REF!</v>
      </c>
      <c r="SYF247" s="29" t="e">
        <f t="shared" si="254"/>
        <v>#REF!</v>
      </c>
      <c r="SYG247" s="29" t="e">
        <f t="shared" si="254"/>
        <v>#REF!</v>
      </c>
      <c r="SYH247" s="29" t="e">
        <f t="shared" si="254"/>
        <v>#REF!</v>
      </c>
      <c r="SYI247" s="29" t="e">
        <f t="shared" si="254"/>
        <v>#REF!</v>
      </c>
      <c r="SYJ247" s="29" t="e">
        <f t="shared" si="254"/>
        <v>#REF!</v>
      </c>
      <c r="SYK247" s="29" t="e">
        <f t="shared" si="254"/>
        <v>#REF!</v>
      </c>
      <c r="SYL247" s="29" t="e">
        <f t="shared" si="254"/>
        <v>#REF!</v>
      </c>
      <c r="SYM247" s="29" t="e">
        <f t="shared" si="254"/>
        <v>#REF!</v>
      </c>
      <c r="SYN247" s="29" t="e">
        <f t="shared" si="254"/>
        <v>#REF!</v>
      </c>
      <c r="SYO247" s="29" t="e">
        <f t="shared" si="254"/>
        <v>#REF!</v>
      </c>
      <c r="SYP247" s="29" t="e">
        <f t="shared" si="254"/>
        <v>#REF!</v>
      </c>
      <c r="SYQ247" s="29" t="e">
        <f t="shared" si="254"/>
        <v>#REF!</v>
      </c>
      <c r="SYR247" s="29" t="e">
        <f t="shared" si="254"/>
        <v>#REF!</v>
      </c>
      <c r="SYS247" s="29" t="e">
        <f t="shared" si="254"/>
        <v>#REF!</v>
      </c>
      <c r="SYT247" s="29" t="e">
        <f t="shared" si="254"/>
        <v>#REF!</v>
      </c>
      <c r="SYU247" s="29" t="e">
        <f t="shared" si="254"/>
        <v>#REF!</v>
      </c>
      <c r="SYV247" s="29" t="e">
        <f t="shared" si="254"/>
        <v>#REF!</v>
      </c>
      <c r="SYW247" s="29" t="e">
        <f t="shared" si="254"/>
        <v>#REF!</v>
      </c>
      <c r="SYX247" s="29" t="e">
        <f t="shared" si="254"/>
        <v>#REF!</v>
      </c>
      <c r="SYY247" s="29" t="e">
        <f t="shared" si="254"/>
        <v>#REF!</v>
      </c>
      <c r="SYZ247" s="29" t="e">
        <f t="shared" si="254"/>
        <v>#REF!</v>
      </c>
      <c r="SZA247" s="29" t="e">
        <f t="shared" ref="SZA247:TBL247" si="255">SZE247&amp;SZF247</f>
        <v>#REF!</v>
      </c>
      <c r="SZB247" s="29" t="e">
        <f t="shared" si="255"/>
        <v>#REF!</v>
      </c>
      <c r="SZC247" s="29" t="e">
        <f t="shared" si="255"/>
        <v>#REF!</v>
      </c>
      <c r="SZD247" s="29" t="e">
        <f t="shared" si="255"/>
        <v>#REF!</v>
      </c>
      <c r="SZE247" s="29" t="e">
        <f t="shared" si="255"/>
        <v>#REF!</v>
      </c>
      <c r="SZF247" s="29" t="e">
        <f t="shared" si="255"/>
        <v>#REF!</v>
      </c>
      <c r="SZG247" s="29" t="e">
        <f t="shared" si="255"/>
        <v>#REF!</v>
      </c>
      <c r="SZH247" s="29" t="e">
        <f t="shared" si="255"/>
        <v>#REF!</v>
      </c>
      <c r="SZI247" s="29" t="e">
        <f t="shared" si="255"/>
        <v>#REF!</v>
      </c>
      <c r="SZJ247" s="29" t="e">
        <f t="shared" si="255"/>
        <v>#REF!</v>
      </c>
      <c r="SZK247" s="29" t="e">
        <f t="shared" si="255"/>
        <v>#REF!</v>
      </c>
      <c r="SZL247" s="29" t="e">
        <f t="shared" si="255"/>
        <v>#REF!</v>
      </c>
      <c r="SZM247" s="29" t="e">
        <f t="shared" si="255"/>
        <v>#REF!</v>
      </c>
      <c r="SZN247" s="29" t="e">
        <f t="shared" si="255"/>
        <v>#REF!</v>
      </c>
      <c r="SZO247" s="29" t="e">
        <f t="shared" si="255"/>
        <v>#REF!</v>
      </c>
      <c r="SZP247" s="29" t="e">
        <f t="shared" si="255"/>
        <v>#REF!</v>
      </c>
      <c r="SZQ247" s="29" t="e">
        <f t="shared" si="255"/>
        <v>#REF!</v>
      </c>
      <c r="SZR247" s="29" t="e">
        <f t="shared" si="255"/>
        <v>#REF!</v>
      </c>
      <c r="SZS247" s="29" t="e">
        <f t="shared" si="255"/>
        <v>#REF!</v>
      </c>
      <c r="SZT247" s="29" t="e">
        <f t="shared" si="255"/>
        <v>#REF!</v>
      </c>
      <c r="SZU247" s="29" t="e">
        <f t="shared" si="255"/>
        <v>#REF!</v>
      </c>
      <c r="SZV247" s="29" t="e">
        <f t="shared" si="255"/>
        <v>#REF!</v>
      </c>
      <c r="SZW247" s="29" t="e">
        <f t="shared" si="255"/>
        <v>#REF!</v>
      </c>
      <c r="SZX247" s="29" t="e">
        <f t="shared" si="255"/>
        <v>#REF!</v>
      </c>
      <c r="SZY247" s="29" t="e">
        <f t="shared" si="255"/>
        <v>#REF!</v>
      </c>
      <c r="SZZ247" s="29" t="e">
        <f t="shared" si="255"/>
        <v>#REF!</v>
      </c>
      <c r="TAA247" s="29" t="e">
        <f t="shared" si="255"/>
        <v>#REF!</v>
      </c>
      <c r="TAB247" s="29" t="e">
        <f t="shared" si="255"/>
        <v>#REF!</v>
      </c>
      <c r="TAC247" s="29" t="e">
        <f t="shared" si="255"/>
        <v>#REF!</v>
      </c>
      <c r="TAD247" s="29" t="e">
        <f t="shared" si="255"/>
        <v>#REF!</v>
      </c>
      <c r="TAE247" s="29" t="e">
        <f t="shared" si="255"/>
        <v>#REF!</v>
      </c>
      <c r="TAF247" s="29" t="e">
        <f t="shared" si="255"/>
        <v>#REF!</v>
      </c>
      <c r="TAG247" s="29" t="e">
        <f t="shared" si="255"/>
        <v>#REF!</v>
      </c>
      <c r="TAH247" s="29" t="e">
        <f t="shared" si="255"/>
        <v>#REF!</v>
      </c>
      <c r="TAI247" s="29" t="e">
        <f t="shared" si="255"/>
        <v>#REF!</v>
      </c>
      <c r="TAJ247" s="29" t="e">
        <f t="shared" si="255"/>
        <v>#REF!</v>
      </c>
      <c r="TAK247" s="29" t="e">
        <f t="shared" si="255"/>
        <v>#REF!</v>
      </c>
      <c r="TAL247" s="29" t="e">
        <f t="shared" si="255"/>
        <v>#REF!</v>
      </c>
      <c r="TAM247" s="29" t="e">
        <f t="shared" si="255"/>
        <v>#REF!</v>
      </c>
      <c r="TAN247" s="29" t="e">
        <f t="shared" si="255"/>
        <v>#REF!</v>
      </c>
      <c r="TAO247" s="29" t="e">
        <f t="shared" si="255"/>
        <v>#REF!</v>
      </c>
      <c r="TAP247" s="29" t="e">
        <f t="shared" si="255"/>
        <v>#REF!</v>
      </c>
      <c r="TAQ247" s="29" t="e">
        <f t="shared" si="255"/>
        <v>#REF!</v>
      </c>
      <c r="TAR247" s="29" t="e">
        <f t="shared" si="255"/>
        <v>#REF!</v>
      </c>
      <c r="TAS247" s="29" t="e">
        <f t="shared" si="255"/>
        <v>#REF!</v>
      </c>
      <c r="TAT247" s="29" t="e">
        <f t="shared" si="255"/>
        <v>#REF!</v>
      </c>
      <c r="TAU247" s="29" t="e">
        <f t="shared" si="255"/>
        <v>#REF!</v>
      </c>
      <c r="TAV247" s="29" t="e">
        <f t="shared" si="255"/>
        <v>#REF!</v>
      </c>
      <c r="TAW247" s="29" t="e">
        <f t="shared" si="255"/>
        <v>#REF!</v>
      </c>
      <c r="TAX247" s="29" t="e">
        <f t="shared" si="255"/>
        <v>#REF!</v>
      </c>
      <c r="TAY247" s="29" t="e">
        <f t="shared" si="255"/>
        <v>#REF!</v>
      </c>
      <c r="TAZ247" s="29" t="e">
        <f t="shared" si="255"/>
        <v>#REF!</v>
      </c>
      <c r="TBA247" s="29" t="e">
        <f t="shared" si="255"/>
        <v>#REF!</v>
      </c>
      <c r="TBB247" s="29" t="e">
        <f t="shared" si="255"/>
        <v>#REF!</v>
      </c>
      <c r="TBC247" s="29" t="e">
        <f t="shared" si="255"/>
        <v>#REF!</v>
      </c>
      <c r="TBD247" s="29" t="e">
        <f t="shared" si="255"/>
        <v>#REF!</v>
      </c>
      <c r="TBE247" s="29" t="e">
        <f t="shared" si="255"/>
        <v>#REF!</v>
      </c>
      <c r="TBF247" s="29" t="e">
        <f t="shared" si="255"/>
        <v>#REF!</v>
      </c>
      <c r="TBG247" s="29" t="e">
        <f t="shared" si="255"/>
        <v>#REF!</v>
      </c>
      <c r="TBH247" s="29" t="e">
        <f t="shared" si="255"/>
        <v>#REF!</v>
      </c>
      <c r="TBI247" s="29" t="e">
        <f t="shared" si="255"/>
        <v>#REF!</v>
      </c>
      <c r="TBJ247" s="29" t="e">
        <f t="shared" si="255"/>
        <v>#REF!</v>
      </c>
      <c r="TBK247" s="29" t="e">
        <f t="shared" si="255"/>
        <v>#REF!</v>
      </c>
      <c r="TBL247" s="29" t="e">
        <f t="shared" si="255"/>
        <v>#REF!</v>
      </c>
      <c r="TBM247" s="29" t="e">
        <f t="shared" ref="TBM247:TDX247" si="256">TBQ247&amp;TBR247</f>
        <v>#REF!</v>
      </c>
      <c r="TBN247" s="29" t="e">
        <f t="shared" si="256"/>
        <v>#REF!</v>
      </c>
      <c r="TBO247" s="29" t="e">
        <f t="shared" si="256"/>
        <v>#REF!</v>
      </c>
      <c r="TBP247" s="29" t="e">
        <f t="shared" si="256"/>
        <v>#REF!</v>
      </c>
      <c r="TBQ247" s="29" t="e">
        <f t="shared" si="256"/>
        <v>#REF!</v>
      </c>
      <c r="TBR247" s="29" t="e">
        <f t="shared" si="256"/>
        <v>#REF!</v>
      </c>
      <c r="TBS247" s="29" t="e">
        <f t="shared" si="256"/>
        <v>#REF!</v>
      </c>
      <c r="TBT247" s="29" t="e">
        <f t="shared" si="256"/>
        <v>#REF!</v>
      </c>
      <c r="TBU247" s="29" t="e">
        <f t="shared" si="256"/>
        <v>#REF!</v>
      </c>
      <c r="TBV247" s="29" t="e">
        <f t="shared" si="256"/>
        <v>#REF!</v>
      </c>
      <c r="TBW247" s="29" t="e">
        <f t="shared" si="256"/>
        <v>#REF!</v>
      </c>
      <c r="TBX247" s="29" t="e">
        <f t="shared" si="256"/>
        <v>#REF!</v>
      </c>
      <c r="TBY247" s="29" t="e">
        <f t="shared" si="256"/>
        <v>#REF!</v>
      </c>
      <c r="TBZ247" s="29" t="e">
        <f t="shared" si="256"/>
        <v>#REF!</v>
      </c>
      <c r="TCA247" s="29" t="e">
        <f t="shared" si="256"/>
        <v>#REF!</v>
      </c>
      <c r="TCB247" s="29" t="e">
        <f t="shared" si="256"/>
        <v>#REF!</v>
      </c>
      <c r="TCC247" s="29" t="e">
        <f t="shared" si="256"/>
        <v>#REF!</v>
      </c>
      <c r="TCD247" s="29" t="e">
        <f t="shared" si="256"/>
        <v>#REF!</v>
      </c>
      <c r="TCE247" s="29" t="e">
        <f t="shared" si="256"/>
        <v>#REF!</v>
      </c>
      <c r="TCF247" s="29" t="e">
        <f t="shared" si="256"/>
        <v>#REF!</v>
      </c>
      <c r="TCG247" s="29" t="e">
        <f t="shared" si="256"/>
        <v>#REF!</v>
      </c>
      <c r="TCH247" s="29" t="e">
        <f t="shared" si="256"/>
        <v>#REF!</v>
      </c>
      <c r="TCI247" s="29" t="e">
        <f t="shared" si="256"/>
        <v>#REF!</v>
      </c>
      <c r="TCJ247" s="29" t="e">
        <f t="shared" si="256"/>
        <v>#REF!</v>
      </c>
      <c r="TCK247" s="29" t="e">
        <f t="shared" si="256"/>
        <v>#REF!</v>
      </c>
      <c r="TCL247" s="29" t="e">
        <f t="shared" si="256"/>
        <v>#REF!</v>
      </c>
      <c r="TCM247" s="29" t="e">
        <f t="shared" si="256"/>
        <v>#REF!</v>
      </c>
      <c r="TCN247" s="29" t="e">
        <f t="shared" si="256"/>
        <v>#REF!</v>
      </c>
      <c r="TCO247" s="29" t="e">
        <f t="shared" si="256"/>
        <v>#REF!</v>
      </c>
      <c r="TCP247" s="29" t="e">
        <f t="shared" si="256"/>
        <v>#REF!</v>
      </c>
      <c r="TCQ247" s="29" t="e">
        <f t="shared" si="256"/>
        <v>#REF!</v>
      </c>
      <c r="TCR247" s="29" t="e">
        <f t="shared" si="256"/>
        <v>#REF!</v>
      </c>
      <c r="TCS247" s="29" t="e">
        <f t="shared" si="256"/>
        <v>#REF!</v>
      </c>
      <c r="TCT247" s="29" t="e">
        <f t="shared" si="256"/>
        <v>#REF!</v>
      </c>
      <c r="TCU247" s="29" t="e">
        <f t="shared" si="256"/>
        <v>#REF!</v>
      </c>
      <c r="TCV247" s="29" t="e">
        <f t="shared" si="256"/>
        <v>#REF!</v>
      </c>
      <c r="TCW247" s="29" t="e">
        <f t="shared" si="256"/>
        <v>#REF!</v>
      </c>
      <c r="TCX247" s="29" t="e">
        <f t="shared" si="256"/>
        <v>#REF!</v>
      </c>
      <c r="TCY247" s="29" t="e">
        <f t="shared" si="256"/>
        <v>#REF!</v>
      </c>
      <c r="TCZ247" s="29" t="e">
        <f t="shared" si="256"/>
        <v>#REF!</v>
      </c>
      <c r="TDA247" s="29" t="e">
        <f t="shared" si="256"/>
        <v>#REF!</v>
      </c>
      <c r="TDB247" s="29" t="e">
        <f t="shared" si="256"/>
        <v>#REF!</v>
      </c>
      <c r="TDC247" s="29" t="e">
        <f t="shared" si="256"/>
        <v>#REF!</v>
      </c>
      <c r="TDD247" s="29" t="e">
        <f t="shared" si="256"/>
        <v>#REF!</v>
      </c>
      <c r="TDE247" s="29" t="e">
        <f t="shared" si="256"/>
        <v>#REF!</v>
      </c>
      <c r="TDF247" s="29" t="e">
        <f t="shared" si="256"/>
        <v>#REF!</v>
      </c>
      <c r="TDG247" s="29" t="e">
        <f t="shared" si="256"/>
        <v>#REF!</v>
      </c>
      <c r="TDH247" s="29" t="e">
        <f t="shared" si="256"/>
        <v>#REF!</v>
      </c>
      <c r="TDI247" s="29" t="e">
        <f t="shared" si="256"/>
        <v>#REF!</v>
      </c>
      <c r="TDJ247" s="29" t="e">
        <f t="shared" si="256"/>
        <v>#REF!</v>
      </c>
      <c r="TDK247" s="29" t="e">
        <f t="shared" si="256"/>
        <v>#REF!</v>
      </c>
      <c r="TDL247" s="29" t="e">
        <f t="shared" si="256"/>
        <v>#REF!</v>
      </c>
      <c r="TDM247" s="29" t="e">
        <f t="shared" si="256"/>
        <v>#REF!</v>
      </c>
      <c r="TDN247" s="29" t="e">
        <f t="shared" si="256"/>
        <v>#REF!</v>
      </c>
      <c r="TDO247" s="29" t="e">
        <f t="shared" si="256"/>
        <v>#REF!</v>
      </c>
      <c r="TDP247" s="29" t="e">
        <f t="shared" si="256"/>
        <v>#REF!</v>
      </c>
      <c r="TDQ247" s="29" t="e">
        <f t="shared" si="256"/>
        <v>#REF!</v>
      </c>
      <c r="TDR247" s="29" t="e">
        <f t="shared" si="256"/>
        <v>#REF!</v>
      </c>
      <c r="TDS247" s="29" t="e">
        <f t="shared" si="256"/>
        <v>#REF!</v>
      </c>
      <c r="TDT247" s="29" t="e">
        <f t="shared" si="256"/>
        <v>#REF!</v>
      </c>
      <c r="TDU247" s="29" t="e">
        <f t="shared" si="256"/>
        <v>#REF!</v>
      </c>
      <c r="TDV247" s="29" t="e">
        <f t="shared" si="256"/>
        <v>#REF!</v>
      </c>
      <c r="TDW247" s="29" t="e">
        <f t="shared" si="256"/>
        <v>#REF!</v>
      </c>
      <c r="TDX247" s="29" t="e">
        <f t="shared" si="256"/>
        <v>#REF!</v>
      </c>
      <c r="TDY247" s="29" t="e">
        <f t="shared" ref="TDY247:TGJ247" si="257">TEC247&amp;TED247</f>
        <v>#REF!</v>
      </c>
      <c r="TDZ247" s="29" t="e">
        <f t="shared" si="257"/>
        <v>#REF!</v>
      </c>
      <c r="TEA247" s="29" t="e">
        <f t="shared" si="257"/>
        <v>#REF!</v>
      </c>
      <c r="TEB247" s="29" t="e">
        <f t="shared" si="257"/>
        <v>#REF!</v>
      </c>
      <c r="TEC247" s="29" t="e">
        <f t="shared" si="257"/>
        <v>#REF!</v>
      </c>
      <c r="TED247" s="29" t="e">
        <f t="shared" si="257"/>
        <v>#REF!</v>
      </c>
      <c r="TEE247" s="29" t="e">
        <f t="shared" si="257"/>
        <v>#REF!</v>
      </c>
      <c r="TEF247" s="29" t="e">
        <f t="shared" si="257"/>
        <v>#REF!</v>
      </c>
      <c r="TEG247" s="29" t="e">
        <f t="shared" si="257"/>
        <v>#REF!</v>
      </c>
      <c r="TEH247" s="29" t="e">
        <f t="shared" si="257"/>
        <v>#REF!</v>
      </c>
      <c r="TEI247" s="29" t="e">
        <f t="shared" si="257"/>
        <v>#REF!</v>
      </c>
      <c r="TEJ247" s="29" t="e">
        <f t="shared" si="257"/>
        <v>#REF!</v>
      </c>
      <c r="TEK247" s="29" t="e">
        <f t="shared" si="257"/>
        <v>#REF!</v>
      </c>
      <c r="TEL247" s="29" t="e">
        <f t="shared" si="257"/>
        <v>#REF!</v>
      </c>
      <c r="TEM247" s="29" t="e">
        <f t="shared" si="257"/>
        <v>#REF!</v>
      </c>
      <c r="TEN247" s="29" t="e">
        <f t="shared" si="257"/>
        <v>#REF!</v>
      </c>
      <c r="TEO247" s="29" t="e">
        <f t="shared" si="257"/>
        <v>#REF!</v>
      </c>
      <c r="TEP247" s="29" t="e">
        <f t="shared" si="257"/>
        <v>#REF!</v>
      </c>
      <c r="TEQ247" s="29" t="e">
        <f t="shared" si="257"/>
        <v>#REF!</v>
      </c>
      <c r="TER247" s="29" t="e">
        <f t="shared" si="257"/>
        <v>#REF!</v>
      </c>
      <c r="TES247" s="29" t="e">
        <f t="shared" si="257"/>
        <v>#REF!</v>
      </c>
      <c r="TET247" s="29" t="e">
        <f t="shared" si="257"/>
        <v>#REF!</v>
      </c>
      <c r="TEU247" s="29" t="e">
        <f t="shared" si="257"/>
        <v>#REF!</v>
      </c>
      <c r="TEV247" s="29" t="e">
        <f t="shared" si="257"/>
        <v>#REF!</v>
      </c>
      <c r="TEW247" s="29" t="e">
        <f t="shared" si="257"/>
        <v>#REF!</v>
      </c>
      <c r="TEX247" s="29" t="e">
        <f t="shared" si="257"/>
        <v>#REF!</v>
      </c>
      <c r="TEY247" s="29" t="e">
        <f t="shared" si="257"/>
        <v>#REF!</v>
      </c>
      <c r="TEZ247" s="29" t="e">
        <f t="shared" si="257"/>
        <v>#REF!</v>
      </c>
      <c r="TFA247" s="29" t="e">
        <f t="shared" si="257"/>
        <v>#REF!</v>
      </c>
      <c r="TFB247" s="29" t="e">
        <f t="shared" si="257"/>
        <v>#REF!</v>
      </c>
      <c r="TFC247" s="29" t="e">
        <f t="shared" si="257"/>
        <v>#REF!</v>
      </c>
      <c r="TFD247" s="29" t="e">
        <f t="shared" si="257"/>
        <v>#REF!</v>
      </c>
      <c r="TFE247" s="29" t="e">
        <f t="shared" si="257"/>
        <v>#REF!</v>
      </c>
      <c r="TFF247" s="29" t="e">
        <f t="shared" si="257"/>
        <v>#REF!</v>
      </c>
      <c r="TFG247" s="29" t="e">
        <f t="shared" si="257"/>
        <v>#REF!</v>
      </c>
      <c r="TFH247" s="29" t="e">
        <f t="shared" si="257"/>
        <v>#REF!</v>
      </c>
      <c r="TFI247" s="29" t="e">
        <f t="shared" si="257"/>
        <v>#REF!</v>
      </c>
      <c r="TFJ247" s="29" t="e">
        <f t="shared" si="257"/>
        <v>#REF!</v>
      </c>
      <c r="TFK247" s="29" t="e">
        <f t="shared" si="257"/>
        <v>#REF!</v>
      </c>
      <c r="TFL247" s="29" t="e">
        <f t="shared" si="257"/>
        <v>#REF!</v>
      </c>
      <c r="TFM247" s="29" t="e">
        <f t="shared" si="257"/>
        <v>#REF!</v>
      </c>
      <c r="TFN247" s="29" t="e">
        <f t="shared" si="257"/>
        <v>#REF!</v>
      </c>
      <c r="TFO247" s="29" t="e">
        <f t="shared" si="257"/>
        <v>#REF!</v>
      </c>
      <c r="TFP247" s="29" t="e">
        <f t="shared" si="257"/>
        <v>#REF!</v>
      </c>
      <c r="TFQ247" s="29" t="e">
        <f t="shared" si="257"/>
        <v>#REF!</v>
      </c>
      <c r="TFR247" s="29" t="e">
        <f t="shared" si="257"/>
        <v>#REF!</v>
      </c>
      <c r="TFS247" s="29" t="e">
        <f t="shared" si="257"/>
        <v>#REF!</v>
      </c>
      <c r="TFT247" s="29" t="e">
        <f t="shared" si="257"/>
        <v>#REF!</v>
      </c>
      <c r="TFU247" s="29" t="e">
        <f t="shared" si="257"/>
        <v>#REF!</v>
      </c>
      <c r="TFV247" s="29" t="e">
        <f t="shared" si="257"/>
        <v>#REF!</v>
      </c>
      <c r="TFW247" s="29" t="e">
        <f t="shared" si="257"/>
        <v>#REF!</v>
      </c>
      <c r="TFX247" s="29" t="e">
        <f t="shared" si="257"/>
        <v>#REF!</v>
      </c>
      <c r="TFY247" s="29" t="e">
        <f t="shared" si="257"/>
        <v>#REF!</v>
      </c>
      <c r="TFZ247" s="29" t="e">
        <f t="shared" si="257"/>
        <v>#REF!</v>
      </c>
      <c r="TGA247" s="29" t="e">
        <f t="shared" si="257"/>
        <v>#REF!</v>
      </c>
      <c r="TGB247" s="29" t="e">
        <f t="shared" si="257"/>
        <v>#REF!</v>
      </c>
      <c r="TGC247" s="29" t="e">
        <f t="shared" si="257"/>
        <v>#REF!</v>
      </c>
      <c r="TGD247" s="29" t="e">
        <f t="shared" si="257"/>
        <v>#REF!</v>
      </c>
      <c r="TGE247" s="29" t="e">
        <f t="shared" si="257"/>
        <v>#REF!</v>
      </c>
      <c r="TGF247" s="29" t="e">
        <f t="shared" si="257"/>
        <v>#REF!</v>
      </c>
      <c r="TGG247" s="29" t="e">
        <f t="shared" si="257"/>
        <v>#REF!</v>
      </c>
      <c r="TGH247" s="29" t="e">
        <f t="shared" si="257"/>
        <v>#REF!</v>
      </c>
      <c r="TGI247" s="29" t="e">
        <f t="shared" si="257"/>
        <v>#REF!</v>
      </c>
      <c r="TGJ247" s="29" t="e">
        <f t="shared" si="257"/>
        <v>#REF!</v>
      </c>
      <c r="TGK247" s="29" t="e">
        <f t="shared" ref="TGK247:TIV247" si="258">TGO247&amp;TGP247</f>
        <v>#REF!</v>
      </c>
      <c r="TGL247" s="29" t="e">
        <f t="shared" si="258"/>
        <v>#REF!</v>
      </c>
      <c r="TGM247" s="29" t="e">
        <f t="shared" si="258"/>
        <v>#REF!</v>
      </c>
      <c r="TGN247" s="29" t="e">
        <f t="shared" si="258"/>
        <v>#REF!</v>
      </c>
      <c r="TGO247" s="29" t="e">
        <f t="shared" si="258"/>
        <v>#REF!</v>
      </c>
      <c r="TGP247" s="29" t="e">
        <f t="shared" si="258"/>
        <v>#REF!</v>
      </c>
      <c r="TGQ247" s="29" t="e">
        <f t="shared" si="258"/>
        <v>#REF!</v>
      </c>
      <c r="TGR247" s="29" t="e">
        <f t="shared" si="258"/>
        <v>#REF!</v>
      </c>
      <c r="TGS247" s="29" t="e">
        <f t="shared" si="258"/>
        <v>#REF!</v>
      </c>
      <c r="TGT247" s="29" t="e">
        <f t="shared" si="258"/>
        <v>#REF!</v>
      </c>
      <c r="TGU247" s="29" t="e">
        <f t="shared" si="258"/>
        <v>#REF!</v>
      </c>
      <c r="TGV247" s="29" t="e">
        <f t="shared" si="258"/>
        <v>#REF!</v>
      </c>
      <c r="TGW247" s="29" t="e">
        <f t="shared" si="258"/>
        <v>#REF!</v>
      </c>
      <c r="TGX247" s="29" t="e">
        <f t="shared" si="258"/>
        <v>#REF!</v>
      </c>
      <c r="TGY247" s="29" t="e">
        <f t="shared" si="258"/>
        <v>#REF!</v>
      </c>
      <c r="TGZ247" s="29" t="e">
        <f t="shared" si="258"/>
        <v>#REF!</v>
      </c>
      <c r="THA247" s="29" t="e">
        <f t="shared" si="258"/>
        <v>#REF!</v>
      </c>
      <c r="THB247" s="29" t="e">
        <f t="shared" si="258"/>
        <v>#REF!</v>
      </c>
      <c r="THC247" s="29" t="e">
        <f t="shared" si="258"/>
        <v>#REF!</v>
      </c>
      <c r="THD247" s="29" t="e">
        <f t="shared" si="258"/>
        <v>#REF!</v>
      </c>
      <c r="THE247" s="29" t="e">
        <f t="shared" si="258"/>
        <v>#REF!</v>
      </c>
      <c r="THF247" s="29" t="e">
        <f t="shared" si="258"/>
        <v>#REF!</v>
      </c>
      <c r="THG247" s="29" t="e">
        <f t="shared" si="258"/>
        <v>#REF!</v>
      </c>
      <c r="THH247" s="29" t="e">
        <f t="shared" si="258"/>
        <v>#REF!</v>
      </c>
      <c r="THI247" s="29" t="e">
        <f t="shared" si="258"/>
        <v>#REF!</v>
      </c>
      <c r="THJ247" s="29" t="e">
        <f t="shared" si="258"/>
        <v>#REF!</v>
      </c>
      <c r="THK247" s="29" t="e">
        <f t="shared" si="258"/>
        <v>#REF!</v>
      </c>
      <c r="THL247" s="29" t="e">
        <f t="shared" si="258"/>
        <v>#REF!</v>
      </c>
      <c r="THM247" s="29" t="e">
        <f t="shared" si="258"/>
        <v>#REF!</v>
      </c>
      <c r="THN247" s="29" t="e">
        <f t="shared" si="258"/>
        <v>#REF!</v>
      </c>
      <c r="THO247" s="29" t="e">
        <f t="shared" si="258"/>
        <v>#REF!</v>
      </c>
      <c r="THP247" s="29" t="e">
        <f t="shared" si="258"/>
        <v>#REF!</v>
      </c>
      <c r="THQ247" s="29" t="e">
        <f t="shared" si="258"/>
        <v>#REF!</v>
      </c>
      <c r="THR247" s="29" t="e">
        <f t="shared" si="258"/>
        <v>#REF!</v>
      </c>
      <c r="THS247" s="29" t="e">
        <f t="shared" si="258"/>
        <v>#REF!</v>
      </c>
      <c r="THT247" s="29" t="e">
        <f t="shared" si="258"/>
        <v>#REF!</v>
      </c>
      <c r="THU247" s="29" t="e">
        <f t="shared" si="258"/>
        <v>#REF!</v>
      </c>
      <c r="THV247" s="29" t="e">
        <f t="shared" si="258"/>
        <v>#REF!</v>
      </c>
      <c r="THW247" s="29" t="e">
        <f t="shared" si="258"/>
        <v>#REF!</v>
      </c>
      <c r="THX247" s="29" t="e">
        <f t="shared" si="258"/>
        <v>#REF!</v>
      </c>
      <c r="THY247" s="29" t="e">
        <f t="shared" si="258"/>
        <v>#REF!</v>
      </c>
      <c r="THZ247" s="29" t="e">
        <f t="shared" si="258"/>
        <v>#REF!</v>
      </c>
      <c r="TIA247" s="29" t="e">
        <f t="shared" si="258"/>
        <v>#REF!</v>
      </c>
      <c r="TIB247" s="29" t="e">
        <f t="shared" si="258"/>
        <v>#REF!</v>
      </c>
      <c r="TIC247" s="29" t="e">
        <f t="shared" si="258"/>
        <v>#REF!</v>
      </c>
      <c r="TID247" s="29" t="e">
        <f t="shared" si="258"/>
        <v>#REF!</v>
      </c>
      <c r="TIE247" s="29" t="e">
        <f t="shared" si="258"/>
        <v>#REF!</v>
      </c>
      <c r="TIF247" s="29" t="e">
        <f t="shared" si="258"/>
        <v>#REF!</v>
      </c>
      <c r="TIG247" s="29" t="e">
        <f t="shared" si="258"/>
        <v>#REF!</v>
      </c>
      <c r="TIH247" s="29" t="e">
        <f t="shared" si="258"/>
        <v>#REF!</v>
      </c>
      <c r="TII247" s="29" t="e">
        <f t="shared" si="258"/>
        <v>#REF!</v>
      </c>
      <c r="TIJ247" s="29" t="e">
        <f t="shared" si="258"/>
        <v>#REF!</v>
      </c>
      <c r="TIK247" s="29" t="e">
        <f t="shared" si="258"/>
        <v>#REF!</v>
      </c>
      <c r="TIL247" s="29" t="e">
        <f t="shared" si="258"/>
        <v>#REF!</v>
      </c>
      <c r="TIM247" s="29" t="e">
        <f t="shared" si="258"/>
        <v>#REF!</v>
      </c>
      <c r="TIN247" s="29" t="e">
        <f t="shared" si="258"/>
        <v>#REF!</v>
      </c>
      <c r="TIO247" s="29" t="e">
        <f t="shared" si="258"/>
        <v>#REF!</v>
      </c>
      <c r="TIP247" s="29" t="e">
        <f t="shared" si="258"/>
        <v>#REF!</v>
      </c>
      <c r="TIQ247" s="29" t="e">
        <f t="shared" si="258"/>
        <v>#REF!</v>
      </c>
      <c r="TIR247" s="29" t="e">
        <f t="shared" si="258"/>
        <v>#REF!</v>
      </c>
      <c r="TIS247" s="29" t="e">
        <f t="shared" si="258"/>
        <v>#REF!</v>
      </c>
      <c r="TIT247" s="29" t="e">
        <f t="shared" si="258"/>
        <v>#REF!</v>
      </c>
      <c r="TIU247" s="29" t="e">
        <f t="shared" si="258"/>
        <v>#REF!</v>
      </c>
      <c r="TIV247" s="29" t="e">
        <f t="shared" si="258"/>
        <v>#REF!</v>
      </c>
      <c r="TIW247" s="29" t="e">
        <f t="shared" ref="TIW247:TLH247" si="259">TJA247&amp;TJB247</f>
        <v>#REF!</v>
      </c>
      <c r="TIX247" s="29" t="e">
        <f t="shared" si="259"/>
        <v>#REF!</v>
      </c>
      <c r="TIY247" s="29" t="e">
        <f t="shared" si="259"/>
        <v>#REF!</v>
      </c>
      <c r="TIZ247" s="29" t="e">
        <f t="shared" si="259"/>
        <v>#REF!</v>
      </c>
      <c r="TJA247" s="29" t="e">
        <f t="shared" si="259"/>
        <v>#REF!</v>
      </c>
      <c r="TJB247" s="29" t="e">
        <f t="shared" si="259"/>
        <v>#REF!</v>
      </c>
      <c r="TJC247" s="29" t="e">
        <f t="shared" si="259"/>
        <v>#REF!</v>
      </c>
      <c r="TJD247" s="29" t="e">
        <f t="shared" si="259"/>
        <v>#REF!</v>
      </c>
      <c r="TJE247" s="29" t="e">
        <f t="shared" si="259"/>
        <v>#REF!</v>
      </c>
      <c r="TJF247" s="29" t="e">
        <f t="shared" si="259"/>
        <v>#REF!</v>
      </c>
      <c r="TJG247" s="29" t="e">
        <f t="shared" si="259"/>
        <v>#REF!</v>
      </c>
      <c r="TJH247" s="29" t="e">
        <f t="shared" si="259"/>
        <v>#REF!</v>
      </c>
      <c r="TJI247" s="29" t="e">
        <f t="shared" si="259"/>
        <v>#REF!</v>
      </c>
      <c r="TJJ247" s="29" t="e">
        <f t="shared" si="259"/>
        <v>#REF!</v>
      </c>
      <c r="TJK247" s="29" t="e">
        <f t="shared" si="259"/>
        <v>#REF!</v>
      </c>
      <c r="TJL247" s="29" t="e">
        <f t="shared" si="259"/>
        <v>#REF!</v>
      </c>
      <c r="TJM247" s="29" t="e">
        <f t="shared" si="259"/>
        <v>#REF!</v>
      </c>
      <c r="TJN247" s="29" t="e">
        <f t="shared" si="259"/>
        <v>#REF!</v>
      </c>
      <c r="TJO247" s="29" t="e">
        <f t="shared" si="259"/>
        <v>#REF!</v>
      </c>
      <c r="TJP247" s="29" t="e">
        <f t="shared" si="259"/>
        <v>#REF!</v>
      </c>
      <c r="TJQ247" s="29" t="e">
        <f t="shared" si="259"/>
        <v>#REF!</v>
      </c>
      <c r="TJR247" s="29" t="e">
        <f t="shared" si="259"/>
        <v>#REF!</v>
      </c>
      <c r="TJS247" s="29" t="e">
        <f t="shared" si="259"/>
        <v>#REF!</v>
      </c>
      <c r="TJT247" s="29" t="e">
        <f t="shared" si="259"/>
        <v>#REF!</v>
      </c>
      <c r="TJU247" s="29" t="e">
        <f t="shared" si="259"/>
        <v>#REF!</v>
      </c>
      <c r="TJV247" s="29" t="e">
        <f t="shared" si="259"/>
        <v>#REF!</v>
      </c>
      <c r="TJW247" s="29" t="e">
        <f t="shared" si="259"/>
        <v>#REF!</v>
      </c>
      <c r="TJX247" s="29" t="e">
        <f t="shared" si="259"/>
        <v>#REF!</v>
      </c>
      <c r="TJY247" s="29" t="e">
        <f t="shared" si="259"/>
        <v>#REF!</v>
      </c>
      <c r="TJZ247" s="29" t="e">
        <f t="shared" si="259"/>
        <v>#REF!</v>
      </c>
      <c r="TKA247" s="29" t="e">
        <f t="shared" si="259"/>
        <v>#REF!</v>
      </c>
      <c r="TKB247" s="29" t="e">
        <f t="shared" si="259"/>
        <v>#REF!</v>
      </c>
      <c r="TKC247" s="29" t="e">
        <f t="shared" si="259"/>
        <v>#REF!</v>
      </c>
      <c r="TKD247" s="29" t="e">
        <f t="shared" si="259"/>
        <v>#REF!</v>
      </c>
      <c r="TKE247" s="29" t="e">
        <f t="shared" si="259"/>
        <v>#REF!</v>
      </c>
      <c r="TKF247" s="29" t="e">
        <f t="shared" si="259"/>
        <v>#REF!</v>
      </c>
      <c r="TKG247" s="29" t="e">
        <f t="shared" si="259"/>
        <v>#REF!</v>
      </c>
      <c r="TKH247" s="29" t="e">
        <f t="shared" si="259"/>
        <v>#REF!</v>
      </c>
      <c r="TKI247" s="29" t="e">
        <f t="shared" si="259"/>
        <v>#REF!</v>
      </c>
      <c r="TKJ247" s="29" t="e">
        <f t="shared" si="259"/>
        <v>#REF!</v>
      </c>
      <c r="TKK247" s="29" t="e">
        <f t="shared" si="259"/>
        <v>#REF!</v>
      </c>
      <c r="TKL247" s="29" t="e">
        <f t="shared" si="259"/>
        <v>#REF!</v>
      </c>
      <c r="TKM247" s="29" t="e">
        <f t="shared" si="259"/>
        <v>#REF!</v>
      </c>
      <c r="TKN247" s="29" t="e">
        <f t="shared" si="259"/>
        <v>#REF!</v>
      </c>
      <c r="TKO247" s="29" t="e">
        <f t="shared" si="259"/>
        <v>#REF!</v>
      </c>
      <c r="TKP247" s="29" t="e">
        <f t="shared" si="259"/>
        <v>#REF!</v>
      </c>
      <c r="TKQ247" s="29" t="e">
        <f t="shared" si="259"/>
        <v>#REF!</v>
      </c>
      <c r="TKR247" s="29" t="e">
        <f t="shared" si="259"/>
        <v>#REF!</v>
      </c>
      <c r="TKS247" s="29" t="e">
        <f t="shared" si="259"/>
        <v>#REF!</v>
      </c>
      <c r="TKT247" s="29" t="e">
        <f t="shared" si="259"/>
        <v>#REF!</v>
      </c>
      <c r="TKU247" s="29" t="e">
        <f t="shared" si="259"/>
        <v>#REF!</v>
      </c>
      <c r="TKV247" s="29" t="e">
        <f t="shared" si="259"/>
        <v>#REF!</v>
      </c>
      <c r="TKW247" s="29" t="e">
        <f t="shared" si="259"/>
        <v>#REF!</v>
      </c>
      <c r="TKX247" s="29" t="e">
        <f t="shared" si="259"/>
        <v>#REF!</v>
      </c>
      <c r="TKY247" s="29" t="e">
        <f t="shared" si="259"/>
        <v>#REF!</v>
      </c>
      <c r="TKZ247" s="29" t="e">
        <f t="shared" si="259"/>
        <v>#REF!</v>
      </c>
      <c r="TLA247" s="29" t="e">
        <f t="shared" si="259"/>
        <v>#REF!</v>
      </c>
      <c r="TLB247" s="29" t="e">
        <f t="shared" si="259"/>
        <v>#REF!</v>
      </c>
      <c r="TLC247" s="29" t="e">
        <f t="shared" si="259"/>
        <v>#REF!</v>
      </c>
      <c r="TLD247" s="29" t="e">
        <f t="shared" si="259"/>
        <v>#REF!</v>
      </c>
      <c r="TLE247" s="29" t="e">
        <f t="shared" si="259"/>
        <v>#REF!</v>
      </c>
      <c r="TLF247" s="29" t="e">
        <f t="shared" si="259"/>
        <v>#REF!</v>
      </c>
      <c r="TLG247" s="29" t="e">
        <f t="shared" si="259"/>
        <v>#REF!</v>
      </c>
      <c r="TLH247" s="29" t="e">
        <f t="shared" si="259"/>
        <v>#REF!</v>
      </c>
      <c r="TLI247" s="29" t="e">
        <f t="shared" ref="TLI247:TNT247" si="260">TLM247&amp;TLN247</f>
        <v>#REF!</v>
      </c>
      <c r="TLJ247" s="29" t="e">
        <f t="shared" si="260"/>
        <v>#REF!</v>
      </c>
      <c r="TLK247" s="29" t="e">
        <f t="shared" si="260"/>
        <v>#REF!</v>
      </c>
      <c r="TLL247" s="29" t="e">
        <f t="shared" si="260"/>
        <v>#REF!</v>
      </c>
      <c r="TLM247" s="29" t="e">
        <f t="shared" si="260"/>
        <v>#REF!</v>
      </c>
      <c r="TLN247" s="29" t="e">
        <f t="shared" si="260"/>
        <v>#REF!</v>
      </c>
      <c r="TLO247" s="29" t="e">
        <f t="shared" si="260"/>
        <v>#REF!</v>
      </c>
      <c r="TLP247" s="29" t="e">
        <f t="shared" si="260"/>
        <v>#REF!</v>
      </c>
      <c r="TLQ247" s="29" t="e">
        <f t="shared" si="260"/>
        <v>#REF!</v>
      </c>
      <c r="TLR247" s="29" t="e">
        <f t="shared" si="260"/>
        <v>#REF!</v>
      </c>
      <c r="TLS247" s="29" t="e">
        <f t="shared" si="260"/>
        <v>#REF!</v>
      </c>
      <c r="TLT247" s="29" t="e">
        <f t="shared" si="260"/>
        <v>#REF!</v>
      </c>
      <c r="TLU247" s="29" t="e">
        <f t="shared" si="260"/>
        <v>#REF!</v>
      </c>
      <c r="TLV247" s="29" t="e">
        <f t="shared" si="260"/>
        <v>#REF!</v>
      </c>
      <c r="TLW247" s="29" t="e">
        <f t="shared" si="260"/>
        <v>#REF!</v>
      </c>
      <c r="TLX247" s="29" t="e">
        <f t="shared" si="260"/>
        <v>#REF!</v>
      </c>
      <c r="TLY247" s="29" t="e">
        <f t="shared" si="260"/>
        <v>#REF!</v>
      </c>
      <c r="TLZ247" s="29" t="e">
        <f t="shared" si="260"/>
        <v>#REF!</v>
      </c>
      <c r="TMA247" s="29" t="e">
        <f t="shared" si="260"/>
        <v>#REF!</v>
      </c>
      <c r="TMB247" s="29" t="e">
        <f t="shared" si="260"/>
        <v>#REF!</v>
      </c>
      <c r="TMC247" s="29" t="e">
        <f t="shared" si="260"/>
        <v>#REF!</v>
      </c>
      <c r="TMD247" s="29" t="e">
        <f t="shared" si="260"/>
        <v>#REF!</v>
      </c>
      <c r="TME247" s="29" t="e">
        <f t="shared" si="260"/>
        <v>#REF!</v>
      </c>
      <c r="TMF247" s="29" t="e">
        <f t="shared" si="260"/>
        <v>#REF!</v>
      </c>
      <c r="TMG247" s="29" t="e">
        <f t="shared" si="260"/>
        <v>#REF!</v>
      </c>
      <c r="TMH247" s="29" t="e">
        <f t="shared" si="260"/>
        <v>#REF!</v>
      </c>
      <c r="TMI247" s="29" t="e">
        <f t="shared" si="260"/>
        <v>#REF!</v>
      </c>
      <c r="TMJ247" s="29" t="e">
        <f t="shared" si="260"/>
        <v>#REF!</v>
      </c>
      <c r="TMK247" s="29" t="e">
        <f t="shared" si="260"/>
        <v>#REF!</v>
      </c>
      <c r="TML247" s="29" t="e">
        <f t="shared" si="260"/>
        <v>#REF!</v>
      </c>
      <c r="TMM247" s="29" t="e">
        <f t="shared" si="260"/>
        <v>#REF!</v>
      </c>
      <c r="TMN247" s="29" t="e">
        <f t="shared" si="260"/>
        <v>#REF!</v>
      </c>
      <c r="TMO247" s="29" t="e">
        <f t="shared" si="260"/>
        <v>#REF!</v>
      </c>
      <c r="TMP247" s="29" t="e">
        <f t="shared" si="260"/>
        <v>#REF!</v>
      </c>
      <c r="TMQ247" s="29" t="e">
        <f t="shared" si="260"/>
        <v>#REF!</v>
      </c>
      <c r="TMR247" s="29" t="e">
        <f t="shared" si="260"/>
        <v>#REF!</v>
      </c>
      <c r="TMS247" s="29" t="e">
        <f t="shared" si="260"/>
        <v>#REF!</v>
      </c>
      <c r="TMT247" s="29" t="e">
        <f t="shared" si="260"/>
        <v>#REF!</v>
      </c>
      <c r="TMU247" s="29" t="e">
        <f t="shared" si="260"/>
        <v>#REF!</v>
      </c>
      <c r="TMV247" s="29" t="e">
        <f t="shared" si="260"/>
        <v>#REF!</v>
      </c>
      <c r="TMW247" s="29" t="e">
        <f t="shared" si="260"/>
        <v>#REF!</v>
      </c>
      <c r="TMX247" s="29" t="e">
        <f t="shared" si="260"/>
        <v>#REF!</v>
      </c>
      <c r="TMY247" s="29" t="e">
        <f t="shared" si="260"/>
        <v>#REF!</v>
      </c>
      <c r="TMZ247" s="29" t="e">
        <f t="shared" si="260"/>
        <v>#REF!</v>
      </c>
      <c r="TNA247" s="29" t="e">
        <f t="shared" si="260"/>
        <v>#REF!</v>
      </c>
      <c r="TNB247" s="29" t="e">
        <f t="shared" si="260"/>
        <v>#REF!</v>
      </c>
      <c r="TNC247" s="29" t="e">
        <f t="shared" si="260"/>
        <v>#REF!</v>
      </c>
      <c r="TND247" s="29" t="e">
        <f t="shared" si="260"/>
        <v>#REF!</v>
      </c>
      <c r="TNE247" s="29" t="e">
        <f t="shared" si="260"/>
        <v>#REF!</v>
      </c>
      <c r="TNF247" s="29" t="e">
        <f t="shared" si="260"/>
        <v>#REF!</v>
      </c>
      <c r="TNG247" s="29" t="e">
        <f t="shared" si="260"/>
        <v>#REF!</v>
      </c>
      <c r="TNH247" s="29" t="e">
        <f t="shared" si="260"/>
        <v>#REF!</v>
      </c>
      <c r="TNI247" s="29" t="e">
        <f t="shared" si="260"/>
        <v>#REF!</v>
      </c>
      <c r="TNJ247" s="29" t="e">
        <f t="shared" si="260"/>
        <v>#REF!</v>
      </c>
      <c r="TNK247" s="29" t="e">
        <f t="shared" si="260"/>
        <v>#REF!</v>
      </c>
      <c r="TNL247" s="29" t="e">
        <f t="shared" si="260"/>
        <v>#REF!</v>
      </c>
      <c r="TNM247" s="29" t="e">
        <f t="shared" si="260"/>
        <v>#REF!</v>
      </c>
      <c r="TNN247" s="29" t="e">
        <f t="shared" si="260"/>
        <v>#REF!</v>
      </c>
      <c r="TNO247" s="29" t="e">
        <f t="shared" si="260"/>
        <v>#REF!</v>
      </c>
      <c r="TNP247" s="29" t="e">
        <f t="shared" si="260"/>
        <v>#REF!</v>
      </c>
      <c r="TNQ247" s="29" t="e">
        <f t="shared" si="260"/>
        <v>#REF!</v>
      </c>
      <c r="TNR247" s="29" t="e">
        <f t="shared" si="260"/>
        <v>#REF!</v>
      </c>
      <c r="TNS247" s="29" t="e">
        <f t="shared" si="260"/>
        <v>#REF!</v>
      </c>
      <c r="TNT247" s="29" t="e">
        <f t="shared" si="260"/>
        <v>#REF!</v>
      </c>
      <c r="TNU247" s="29" t="e">
        <f t="shared" ref="TNU247:TQF247" si="261">TNY247&amp;TNZ247</f>
        <v>#REF!</v>
      </c>
      <c r="TNV247" s="29" t="e">
        <f t="shared" si="261"/>
        <v>#REF!</v>
      </c>
      <c r="TNW247" s="29" t="e">
        <f t="shared" si="261"/>
        <v>#REF!</v>
      </c>
      <c r="TNX247" s="29" t="e">
        <f t="shared" si="261"/>
        <v>#REF!</v>
      </c>
      <c r="TNY247" s="29" t="e">
        <f t="shared" si="261"/>
        <v>#REF!</v>
      </c>
      <c r="TNZ247" s="29" t="e">
        <f t="shared" si="261"/>
        <v>#REF!</v>
      </c>
      <c r="TOA247" s="29" t="e">
        <f t="shared" si="261"/>
        <v>#REF!</v>
      </c>
      <c r="TOB247" s="29" t="e">
        <f t="shared" si="261"/>
        <v>#REF!</v>
      </c>
      <c r="TOC247" s="29" t="e">
        <f t="shared" si="261"/>
        <v>#REF!</v>
      </c>
      <c r="TOD247" s="29" t="e">
        <f t="shared" si="261"/>
        <v>#REF!</v>
      </c>
      <c r="TOE247" s="29" t="e">
        <f t="shared" si="261"/>
        <v>#REF!</v>
      </c>
      <c r="TOF247" s="29" t="e">
        <f t="shared" si="261"/>
        <v>#REF!</v>
      </c>
      <c r="TOG247" s="29" t="e">
        <f t="shared" si="261"/>
        <v>#REF!</v>
      </c>
      <c r="TOH247" s="29" t="e">
        <f t="shared" si="261"/>
        <v>#REF!</v>
      </c>
      <c r="TOI247" s="29" t="e">
        <f t="shared" si="261"/>
        <v>#REF!</v>
      </c>
      <c r="TOJ247" s="29" t="e">
        <f t="shared" si="261"/>
        <v>#REF!</v>
      </c>
      <c r="TOK247" s="29" t="e">
        <f t="shared" si="261"/>
        <v>#REF!</v>
      </c>
      <c r="TOL247" s="29" t="e">
        <f t="shared" si="261"/>
        <v>#REF!</v>
      </c>
      <c r="TOM247" s="29" t="e">
        <f t="shared" si="261"/>
        <v>#REF!</v>
      </c>
      <c r="TON247" s="29" t="e">
        <f t="shared" si="261"/>
        <v>#REF!</v>
      </c>
      <c r="TOO247" s="29" t="e">
        <f t="shared" si="261"/>
        <v>#REF!</v>
      </c>
      <c r="TOP247" s="29" t="e">
        <f t="shared" si="261"/>
        <v>#REF!</v>
      </c>
      <c r="TOQ247" s="29" t="e">
        <f t="shared" si="261"/>
        <v>#REF!</v>
      </c>
      <c r="TOR247" s="29" t="e">
        <f t="shared" si="261"/>
        <v>#REF!</v>
      </c>
      <c r="TOS247" s="29" t="e">
        <f t="shared" si="261"/>
        <v>#REF!</v>
      </c>
      <c r="TOT247" s="29" t="e">
        <f t="shared" si="261"/>
        <v>#REF!</v>
      </c>
      <c r="TOU247" s="29" t="e">
        <f t="shared" si="261"/>
        <v>#REF!</v>
      </c>
      <c r="TOV247" s="29" t="e">
        <f t="shared" si="261"/>
        <v>#REF!</v>
      </c>
      <c r="TOW247" s="29" t="e">
        <f t="shared" si="261"/>
        <v>#REF!</v>
      </c>
      <c r="TOX247" s="29" t="e">
        <f t="shared" si="261"/>
        <v>#REF!</v>
      </c>
      <c r="TOY247" s="29" t="e">
        <f t="shared" si="261"/>
        <v>#REF!</v>
      </c>
      <c r="TOZ247" s="29" t="e">
        <f t="shared" si="261"/>
        <v>#REF!</v>
      </c>
      <c r="TPA247" s="29" t="e">
        <f t="shared" si="261"/>
        <v>#REF!</v>
      </c>
      <c r="TPB247" s="29" t="e">
        <f t="shared" si="261"/>
        <v>#REF!</v>
      </c>
      <c r="TPC247" s="29" t="e">
        <f t="shared" si="261"/>
        <v>#REF!</v>
      </c>
      <c r="TPD247" s="29" t="e">
        <f t="shared" si="261"/>
        <v>#REF!</v>
      </c>
      <c r="TPE247" s="29" t="e">
        <f t="shared" si="261"/>
        <v>#REF!</v>
      </c>
      <c r="TPF247" s="29" t="e">
        <f t="shared" si="261"/>
        <v>#REF!</v>
      </c>
      <c r="TPG247" s="29" t="e">
        <f t="shared" si="261"/>
        <v>#REF!</v>
      </c>
      <c r="TPH247" s="29" t="e">
        <f t="shared" si="261"/>
        <v>#REF!</v>
      </c>
      <c r="TPI247" s="29" t="e">
        <f t="shared" si="261"/>
        <v>#REF!</v>
      </c>
      <c r="TPJ247" s="29" t="e">
        <f t="shared" si="261"/>
        <v>#REF!</v>
      </c>
      <c r="TPK247" s="29" t="e">
        <f t="shared" si="261"/>
        <v>#REF!</v>
      </c>
      <c r="TPL247" s="29" t="e">
        <f t="shared" si="261"/>
        <v>#REF!</v>
      </c>
      <c r="TPM247" s="29" t="e">
        <f t="shared" si="261"/>
        <v>#REF!</v>
      </c>
      <c r="TPN247" s="29" t="e">
        <f t="shared" si="261"/>
        <v>#REF!</v>
      </c>
      <c r="TPO247" s="29" t="e">
        <f t="shared" si="261"/>
        <v>#REF!</v>
      </c>
      <c r="TPP247" s="29" t="e">
        <f t="shared" si="261"/>
        <v>#REF!</v>
      </c>
      <c r="TPQ247" s="29" t="e">
        <f t="shared" si="261"/>
        <v>#REF!</v>
      </c>
      <c r="TPR247" s="29" t="e">
        <f t="shared" si="261"/>
        <v>#REF!</v>
      </c>
      <c r="TPS247" s="29" t="e">
        <f t="shared" si="261"/>
        <v>#REF!</v>
      </c>
      <c r="TPT247" s="29" t="e">
        <f t="shared" si="261"/>
        <v>#REF!</v>
      </c>
      <c r="TPU247" s="29" t="e">
        <f t="shared" si="261"/>
        <v>#REF!</v>
      </c>
      <c r="TPV247" s="29" t="e">
        <f t="shared" si="261"/>
        <v>#REF!</v>
      </c>
      <c r="TPW247" s="29" t="e">
        <f t="shared" si="261"/>
        <v>#REF!</v>
      </c>
      <c r="TPX247" s="29" t="e">
        <f t="shared" si="261"/>
        <v>#REF!</v>
      </c>
      <c r="TPY247" s="29" t="e">
        <f t="shared" si="261"/>
        <v>#REF!</v>
      </c>
      <c r="TPZ247" s="29" t="e">
        <f t="shared" si="261"/>
        <v>#REF!</v>
      </c>
      <c r="TQA247" s="29" t="e">
        <f t="shared" si="261"/>
        <v>#REF!</v>
      </c>
      <c r="TQB247" s="29" t="e">
        <f t="shared" si="261"/>
        <v>#REF!</v>
      </c>
      <c r="TQC247" s="29" t="e">
        <f t="shared" si="261"/>
        <v>#REF!</v>
      </c>
      <c r="TQD247" s="29" t="e">
        <f t="shared" si="261"/>
        <v>#REF!</v>
      </c>
      <c r="TQE247" s="29" t="e">
        <f t="shared" si="261"/>
        <v>#REF!</v>
      </c>
      <c r="TQF247" s="29" t="e">
        <f t="shared" si="261"/>
        <v>#REF!</v>
      </c>
      <c r="TQG247" s="29" t="e">
        <f t="shared" ref="TQG247:TSR247" si="262">TQK247&amp;TQL247</f>
        <v>#REF!</v>
      </c>
      <c r="TQH247" s="29" t="e">
        <f t="shared" si="262"/>
        <v>#REF!</v>
      </c>
      <c r="TQI247" s="29" t="e">
        <f t="shared" si="262"/>
        <v>#REF!</v>
      </c>
      <c r="TQJ247" s="29" t="e">
        <f t="shared" si="262"/>
        <v>#REF!</v>
      </c>
      <c r="TQK247" s="29" t="e">
        <f t="shared" si="262"/>
        <v>#REF!</v>
      </c>
      <c r="TQL247" s="29" t="e">
        <f t="shared" si="262"/>
        <v>#REF!</v>
      </c>
      <c r="TQM247" s="29" t="e">
        <f t="shared" si="262"/>
        <v>#REF!</v>
      </c>
      <c r="TQN247" s="29" t="e">
        <f t="shared" si="262"/>
        <v>#REF!</v>
      </c>
      <c r="TQO247" s="29" t="e">
        <f t="shared" si="262"/>
        <v>#REF!</v>
      </c>
      <c r="TQP247" s="29" t="e">
        <f t="shared" si="262"/>
        <v>#REF!</v>
      </c>
      <c r="TQQ247" s="29" t="e">
        <f t="shared" si="262"/>
        <v>#REF!</v>
      </c>
      <c r="TQR247" s="29" t="e">
        <f t="shared" si="262"/>
        <v>#REF!</v>
      </c>
      <c r="TQS247" s="29" t="e">
        <f t="shared" si="262"/>
        <v>#REF!</v>
      </c>
      <c r="TQT247" s="29" t="e">
        <f t="shared" si="262"/>
        <v>#REF!</v>
      </c>
      <c r="TQU247" s="29" t="e">
        <f t="shared" si="262"/>
        <v>#REF!</v>
      </c>
      <c r="TQV247" s="29" t="e">
        <f t="shared" si="262"/>
        <v>#REF!</v>
      </c>
      <c r="TQW247" s="29" t="e">
        <f t="shared" si="262"/>
        <v>#REF!</v>
      </c>
      <c r="TQX247" s="29" t="e">
        <f t="shared" si="262"/>
        <v>#REF!</v>
      </c>
      <c r="TQY247" s="29" t="e">
        <f t="shared" si="262"/>
        <v>#REF!</v>
      </c>
      <c r="TQZ247" s="29" t="e">
        <f t="shared" si="262"/>
        <v>#REF!</v>
      </c>
      <c r="TRA247" s="29" t="e">
        <f t="shared" si="262"/>
        <v>#REF!</v>
      </c>
      <c r="TRB247" s="29" t="e">
        <f t="shared" si="262"/>
        <v>#REF!</v>
      </c>
      <c r="TRC247" s="29" t="e">
        <f t="shared" si="262"/>
        <v>#REF!</v>
      </c>
      <c r="TRD247" s="29" t="e">
        <f t="shared" si="262"/>
        <v>#REF!</v>
      </c>
      <c r="TRE247" s="29" t="e">
        <f t="shared" si="262"/>
        <v>#REF!</v>
      </c>
      <c r="TRF247" s="29" t="e">
        <f t="shared" si="262"/>
        <v>#REF!</v>
      </c>
      <c r="TRG247" s="29" t="e">
        <f t="shared" si="262"/>
        <v>#REF!</v>
      </c>
      <c r="TRH247" s="29" t="e">
        <f t="shared" si="262"/>
        <v>#REF!</v>
      </c>
      <c r="TRI247" s="29" t="e">
        <f t="shared" si="262"/>
        <v>#REF!</v>
      </c>
      <c r="TRJ247" s="29" t="e">
        <f t="shared" si="262"/>
        <v>#REF!</v>
      </c>
      <c r="TRK247" s="29" t="e">
        <f t="shared" si="262"/>
        <v>#REF!</v>
      </c>
      <c r="TRL247" s="29" t="e">
        <f t="shared" si="262"/>
        <v>#REF!</v>
      </c>
      <c r="TRM247" s="29" t="e">
        <f t="shared" si="262"/>
        <v>#REF!</v>
      </c>
      <c r="TRN247" s="29" t="e">
        <f t="shared" si="262"/>
        <v>#REF!</v>
      </c>
      <c r="TRO247" s="29" t="e">
        <f t="shared" si="262"/>
        <v>#REF!</v>
      </c>
      <c r="TRP247" s="29" t="e">
        <f t="shared" si="262"/>
        <v>#REF!</v>
      </c>
      <c r="TRQ247" s="29" t="e">
        <f t="shared" si="262"/>
        <v>#REF!</v>
      </c>
      <c r="TRR247" s="29" t="e">
        <f t="shared" si="262"/>
        <v>#REF!</v>
      </c>
      <c r="TRS247" s="29" t="e">
        <f t="shared" si="262"/>
        <v>#REF!</v>
      </c>
      <c r="TRT247" s="29" t="e">
        <f t="shared" si="262"/>
        <v>#REF!</v>
      </c>
      <c r="TRU247" s="29" t="e">
        <f t="shared" si="262"/>
        <v>#REF!</v>
      </c>
      <c r="TRV247" s="29" t="e">
        <f t="shared" si="262"/>
        <v>#REF!</v>
      </c>
      <c r="TRW247" s="29" t="e">
        <f t="shared" si="262"/>
        <v>#REF!</v>
      </c>
      <c r="TRX247" s="29" t="e">
        <f t="shared" si="262"/>
        <v>#REF!</v>
      </c>
      <c r="TRY247" s="29" t="e">
        <f t="shared" si="262"/>
        <v>#REF!</v>
      </c>
      <c r="TRZ247" s="29" t="e">
        <f t="shared" si="262"/>
        <v>#REF!</v>
      </c>
      <c r="TSA247" s="29" t="e">
        <f t="shared" si="262"/>
        <v>#REF!</v>
      </c>
      <c r="TSB247" s="29" t="e">
        <f t="shared" si="262"/>
        <v>#REF!</v>
      </c>
      <c r="TSC247" s="29" t="e">
        <f t="shared" si="262"/>
        <v>#REF!</v>
      </c>
      <c r="TSD247" s="29" t="e">
        <f t="shared" si="262"/>
        <v>#REF!</v>
      </c>
      <c r="TSE247" s="29" t="e">
        <f t="shared" si="262"/>
        <v>#REF!</v>
      </c>
      <c r="TSF247" s="29" t="e">
        <f t="shared" si="262"/>
        <v>#REF!</v>
      </c>
      <c r="TSG247" s="29" t="e">
        <f t="shared" si="262"/>
        <v>#REF!</v>
      </c>
      <c r="TSH247" s="29" t="e">
        <f t="shared" si="262"/>
        <v>#REF!</v>
      </c>
      <c r="TSI247" s="29" t="e">
        <f t="shared" si="262"/>
        <v>#REF!</v>
      </c>
      <c r="TSJ247" s="29" t="e">
        <f t="shared" si="262"/>
        <v>#REF!</v>
      </c>
      <c r="TSK247" s="29" t="e">
        <f t="shared" si="262"/>
        <v>#REF!</v>
      </c>
      <c r="TSL247" s="29" t="e">
        <f t="shared" si="262"/>
        <v>#REF!</v>
      </c>
      <c r="TSM247" s="29" t="e">
        <f t="shared" si="262"/>
        <v>#REF!</v>
      </c>
      <c r="TSN247" s="29" t="e">
        <f t="shared" si="262"/>
        <v>#REF!</v>
      </c>
      <c r="TSO247" s="29" t="e">
        <f t="shared" si="262"/>
        <v>#REF!</v>
      </c>
      <c r="TSP247" s="29" t="e">
        <f t="shared" si="262"/>
        <v>#REF!</v>
      </c>
      <c r="TSQ247" s="29" t="e">
        <f t="shared" si="262"/>
        <v>#REF!</v>
      </c>
      <c r="TSR247" s="29" t="e">
        <f t="shared" si="262"/>
        <v>#REF!</v>
      </c>
      <c r="TSS247" s="29" t="e">
        <f t="shared" ref="TSS247:TVD247" si="263">TSW247&amp;TSX247</f>
        <v>#REF!</v>
      </c>
      <c r="TST247" s="29" t="e">
        <f t="shared" si="263"/>
        <v>#REF!</v>
      </c>
      <c r="TSU247" s="29" t="e">
        <f t="shared" si="263"/>
        <v>#REF!</v>
      </c>
      <c r="TSV247" s="29" t="e">
        <f t="shared" si="263"/>
        <v>#REF!</v>
      </c>
      <c r="TSW247" s="29" t="e">
        <f t="shared" si="263"/>
        <v>#REF!</v>
      </c>
      <c r="TSX247" s="29" t="e">
        <f t="shared" si="263"/>
        <v>#REF!</v>
      </c>
      <c r="TSY247" s="29" t="e">
        <f t="shared" si="263"/>
        <v>#REF!</v>
      </c>
      <c r="TSZ247" s="29" t="e">
        <f t="shared" si="263"/>
        <v>#REF!</v>
      </c>
      <c r="TTA247" s="29" t="e">
        <f t="shared" si="263"/>
        <v>#REF!</v>
      </c>
      <c r="TTB247" s="29" t="e">
        <f t="shared" si="263"/>
        <v>#REF!</v>
      </c>
      <c r="TTC247" s="29" t="e">
        <f t="shared" si="263"/>
        <v>#REF!</v>
      </c>
      <c r="TTD247" s="29" t="e">
        <f t="shared" si="263"/>
        <v>#REF!</v>
      </c>
      <c r="TTE247" s="29" t="e">
        <f t="shared" si="263"/>
        <v>#REF!</v>
      </c>
      <c r="TTF247" s="29" t="e">
        <f t="shared" si="263"/>
        <v>#REF!</v>
      </c>
      <c r="TTG247" s="29" t="e">
        <f t="shared" si="263"/>
        <v>#REF!</v>
      </c>
      <c r="TTH247" s="29" t="e">
        <f t="shared" si="263"/>
        <v>#REF!</v>
      </c>
      <c r="TTI247" s="29" t="e">
        <f t="shared" si="263"/>
        <v>#REF!</v>
      </c>
      <c r="TTJ247" s="29" t="e">
        <f t="shared" si="263"/>
        <v>#REF!</v>
      </c>
      <c r="TTK247" s="29" t="e">
        <f t="shared" si="263"/>
        <v>#REF!</v>
      </c>
      <c r="TTL247" s="29" t="e">
        <f t="shared" si="263"/>
        <v>#REF!</v>
      </c>
      <c r="TTM247" s="29" t="e">
        <f t="shared" si="263"/>
        <v>#REF!</v>
      </c>
      <c r="TTN247" s="29" t="e">
        <f t="shared" si="263"/>
        <v>#REF!</v>
      </c>
      <c r="TTO247" s="29" t="e">
        <f t="shared" si="263"/>
        <v>#REF!</v>
      </c>
      <c r="TTP247" s="29" t="e">
        <f t="shared" si="263"/>
        <v>#REF!</v>
      </c>
      <c r="TTQ247" s="29" t="e">
        <f t="shared" si="263"/>
        <v>#REF!</v>
      </c>
      <c r="TTR247" s="29" t="e">
        <f t="shared" si="263"/>
        <v>#REF!</v>
      </c>
      <c r="TTS247" s="29" t="e">
        <f t="shared" si="263"/>
        <v>#REF!</v>
      </c>
      <c r="TTT247" s="29" t="e">
        <f t="shared" si="263"/>
        <v>#REF!</v>
      </c>
      <c r="TTU247" s="29" t="e">
        <f t="shared" si="263"/>
        <v>#REF!</v>
      </c>
      <c r="TTV247" s="29" t="e">
        <f t="shared" si="263"/>
        <v>#REF!</v>
      </c>
      <c r="TTW247" s="29" t="e">
        <f t="shared" si="263"/>
        <v>#REF!</v>
      </c>
      <c r="TTX247" s="29" t="e">
        <f t="shared" si="263"/>
        <v>#REF!</v>
      </c>
      <c r="TTY247" s="29" t="e">
        <f t="shared" si="263"/>
        <v>#REF!</v>
      </c>
      <c r="TTZ247" s="29" t="e">
        <f t="shared" si="263"/>
        <v>#REF!</v>
      </c>
      <c r="TUA247" s="29" t="e">
        <f t="shared" si="263"/>
        <v>#REF!</v>
      </c>
      <c r="TUB247" s="29" t="e">
        <f t="shared" si="263"/>
        <v>#REF!</v>
      </c>
      <c r="TUC247" s="29" t="e">
        <f t="shared" si="263"/>
        <v>#REF!</v>
      </c>
      <c r="TUD247" s="29" t="e">
        <f t="shared" si="263"/>
        <v>#REF!</v>
      </c>
      <c r="TUE247" s="29" t="e">
        <f t="shared" si="263"/>
        <v>#REF!</v>
      </c>
      <c r="TUF247" s="29" t="e">
        <f t="shared" si="263"/>
        <v>#REF!</v>
      </c>
      <c r="TUG247" s="29" t="e">
        <f t="shared" si="263"/>
        <v>#REF!</v>
      </c>
      <c r="TUH247" s="29" t="e">
        <f t="shared" si="263"/>
        <v>#REF!</v>
      </c>
      <c r="TUI247" s="29" t="e">
        <f t="shared" si="263"/>
        <v>#REF!</v>
      </c>
      <c r="TUJ247" s="29" t="e">
        <f t="shared" si="263"/>
        <v>#REF!</v>
      </c>
      <c r="TUK247" s="29" t="e">
        <f t="shared" si="263"/>
        <v>#REF!</v>
      </c>
      <c r="TUL247" s="29" t="e">
        <f t="shared" si="263"/>
        <v>#REF!</v>
      </c>
      <c r="TUM247" s="29" t="e">
        <f t="shared" si="263"/>
        <v>#REF!</v>
      </c>
      <c r="TUN247" s="29" t="e">
        <f t="shared" si="263"/>
        <v>#REF!</v>
      </c>
      <c r="TUO247" s="29" t="e">
        <f t="shared" si="263"/>
        <v>#REF!</v>
      </c>
      <c r="TUP247" s="29" t="e">
        <f t="shared" si="263"/>
        <v>#REF!</v>
      </c>
      <c r="TUQ247" s="29" t="e">
        <f t="shared" si="263"/>
        <v>#REF!</v>
      </c>
      <c r="TUR247" s="29" t="e">
        <f t="shared" si="263"/>
        <v>#REF!</v>
      </c>
      <c r="TUS247" s="29" t="e">
        <f t="shared" si="263"/>
        <v>#REF!</v>
      </c>
      <c r="TUT247" s="29" t="e">
        <f t="shared" si="263"/>
        <v>#REF!</v>
      </c>
      <c r="TUU247" s="29" t="e">
        <f t="shared" si="263"/>
        <v>#REF!</v>
      </c>
      <c r="TUV247" s="29" t="e">
        <f t="shared" si="263"/>
        <v>#REF!</v>
      </c>
      <c r="TUW247" s="29" t="e">
        <f t="shared" si="263"/>
        <v>#REF!</v>
      </c>
      <c r="TUX247" s="29" t="e">
        <f t="shared" si="263"/>
        <v>#REF!</v>
      </c>
      <c r="TUY247" s="29" t="e">
        <f t="shared" si="263"/>
        <v>#REF!</v>
      </c>
      <c r="TUZ247" s="29" t="e">
        <f t="shared" si="263"/>
        <v>#REF!</v>
      </c>
      <c r="TVA247" s="29" t="e">
        <f t="shared" si="263"/>
        <v>#REF!</v>
      </c>
      <c r="TVB247" s="29" t="e">
        <f t="shared" si="263"/>
        <v>#REF!</v>
      </c>
      <c r="TVC247" s="29" t="e">
        <f t="shared" si="263"/>
        <v>#REF!</v>
      </c>
      <c r="TVD247" s="29" t="e">
        <f t="shared" si="263"/>
        <v>#REF!</v>
      </c>
      <c r="TVE247" s="29" t="e">
        <f t="shared" ref="TVE247:TXP247" si="264">TVI247&amp;TVJ247</f>
        <v>#REF!</v>
      </c>
      <c r="TVF247" s="29" t="e">
        <f t="shared" si="264"/>
        <v>#REF!</v>
      </c>
      <c r="TVG247" s="29" t="e">
        <f t="shared" si="264"/>
        <v>#REF!</v>
      </c>
      <c r="TVH247" s="29" t="e">
        <f t="shared" si="264"/>
        <v>#REF!</v>
      </c>
      <c r="TVI247" s="29" t="e">
        <f t="shared" si="264"/>
        <v>#REF!</v>
      </c>
      <c r="TVJ247" s="29" t="e">
        <f t="shared" si="264"/>
        <v>#REF!</v>
      </c>
      <c r="TVK247" s="29" t="e">
        <f t="shared" si="264"/>
        <v>#REF!</v>
      </c>
      <c r="TVL247" s="29" t="e">
        <f t="shared" si="264"/>
        <v>#REF!</v>
      </c>
      <c r="TVM247" s="29" t="e">
        <f t="shared" si="264"/>
        <v>#REF!</v>
      </c>
      <c r="TVN247" s="29" t="e">
        <f t="shared" si="264"/>
        <v>#REF!</v>
      </c>
      <c r="TVO247" s="29" t="e">
        <f t="shared" si="264"/>
        <v>#REF!</v>
      </c>
      <c r="TVP247" s="29" t="e">
        <f t="shared" si="264"/>
        <v>#REF!</v>
      </c>
      <c r="TVQ247" s="29" t="e">
        <f t="shared" si="264"/>
        <v>#REF!</v>
      </c>
      <c r="TVR247" s="29" t="e">
        <f t="shared" si="264"/>
        <v>#REF!</v>
      </c>
      <c r="TVS247" s="29" t="e">
        <f t="shared" si="264"/>
        <v>#REF!</v>
      </c>
      <c r="TVT247" s="29" t="e">
        <f t="shared" si="264"/>
        <v>#REF!</v>
      </c>
      <c r="TVU247" s="29" t="e">
        <f t="shared" si="264"/>
        <v>#REF!</v>
      </c>
      <c r="TVV247" s="29" t="e">
        <f t="shared" si="264"/>
        <v>#REF!</v>
      </c>
      <c r="TVW247" s="29" t="e">
        <f t="shared" si="264"/>
        <v>#REF!</v>
      </c>
      <c r="TVX247" s="29" t="e">
        <f t="shared" si="264"/>
        <v>#REF!</v>
      </c>
      <c r="TVY247" s="29" t="e">
        <f t="shared" si="264"/>
        <v>#REF!</v>
      </c>
      <c r="TVZ247" s="29" t="e">
        <f t="shared" si="264"/>
        <v>#REF!</v>
      </c>
      <c r="TWA247" s="29" t="e">
        <f t="shared" si="264"/>
        <v>#REF!</v>
      </c>
      <c r="TWB247" s="29" t="e">
        <f t="shared" si="264"/>
        <v>#REF!</v>
      </c>
      <c r="TWC247" s="29" t="e">
        <f t="shared" si="264"/>
        <v>#REF!</v>
      </c>
      <c r="TWD247" s="29" t="e">
        <f t="shared" si="264"/>
        <v>#REF!</v>
      </c>
      <c r="TWE247" s="29" t="e">
        <f t="shared" si="264"/>
        <v>#REF!</v>
      </c>
      <c r="TWF247" s="29" t="e">
        <f t="shared" si="264"/>
        <v>#REF!</v>
      </c>
      <c r="TWG247" s="29" t="e">
        <f t="shared" si="264"/>
        <v>#REF!</v>
      </c>
      <c r="TWH247" s="29" t="e">
        <f t="shared" si="264"/>
        <v>#REF!</v>
      </c>
      <c r="TWI247" s="29" t="e">
        <f t="shared" si="264"/>
        <v>#REF!</v>
      </c>
      <c r="TWJ247" s="29" t="e">
        <f t="shared" si="264"/>
        <v>#REF!</v>
      </c>
      <c r="TWK247" s="29" t="e">
        <f t="shared" si="264"/>
        <v>#REF!</v>
      </c>
      <c r="TWL247" s="29" t="e">
        <f t="shared" si="264"/>
        <v>#REF!</v>
      </c>
      <c r="TWM247" s="29" t="e">
        <f t="shared" si="264"/>
        <v>#REF!</v>
      </c>
      <c r="TWN247" s="29" t="e">
        <f t="shared" si="264"/>
        <v>#REF!</v>
      </c>
      <c r="TWO247" s="29" t="e">
        <f t="shared" si="264"/>
        <v>#REF!</v>
      </c>
      <c r="TWP247" s="29" t="e">
        <f t="shared" si="264"/>
        <v>#REF!</v>
      </c>
      <c r="TWQ247" s="29" t="e">
        <f t="shared" si="264"/>
        <v>#REF!</v>
      </c>
      <c r="TWR247" s="29" t="e">
        <f t="shared" si="264"/>
        <v>#REF!</v>
      </c>
      <c r="TWS247" s="29" t="e">
        <f t="shared" si="264"/>
        <v>#REF!</v>
      </c>
      <c r="TWT247" s="29" t="e">
        <f t="shared" si="264"/>
        <v>#REF!</v>
      </c>
      <c r="TWU247" s="29" t="e">
        <f t="shared" si="264"/>
        <v>#REF!</v>
      </c>
      <c r="TWV247" s="29" t="e">
        <f t="shared" si="264"/>
        <v>#REF!</v>
      </c>
      <c r="TWW247" s="29" t="e">
        <f t="shared" si="264"/>
        <v>#REF!</v>
      </c>
      <c r="TWX247" s="29" t="e">
        <f t="shared" si="264"/>
        <v>#REF!</v>
      </c>
      <c r="TWY247" s="29" t="e">
        <f t="shared" si="264"/>
        <v>#REF!</v>
      </c>
      <c r="TWZ247" s="29" t="e">
        <f t="shared" si="264"/>
        <v>#REF!</v>
      </c>
      <c r="TXA247" s="29" t="e">
        <f t="shared" si="264"/>
        <v>#REF!</v>
      </c>
      <c r="TXB247" s="29" t="e">
        <f t="shared" si="264"/>
        <v>#REF!</v>
      </c>
      <c r="TXC247" s="29" t="e">
        <f t="shared" si="264"/>
        <v>#REF!</v>
      </c>
      <c r="TXD247" s="29" t="e">
        <f t="shared" si="264"/>
        <v>#REF!</v>
      </c>
      <c r="TXE247" s="29" t="e">
        <f t="shared" si="264"/>
        <v>#REF!</v>
      </c>
      <c r="TXF247" s="29" t="e">
        <f t="shared" si="264"/>
        <v>#REF!</v>
      </c>
      <c r="TXG247" s="29" t="e">
        <f t="shared" si="264"/>
        <v>#REF!</v>
      </c>
      <c r="TXH247" s="29" t="e">
        <f t="shared" si="264"/>
        <v>#REF!</v>
      </c>
      <c r="TXI247" s="29" t="e">
        <f t="shared" si="264"/>
        <v>#REF!</v>
      </c>
      <c r="TXJ247" s="29" t="e">
        <f t="shared" si="264"/>
        <v>#REF!</v>
      </c>
      <c r="TXK247" s="29" t="e">
        <f t="shared" si="264"/>
        <v>#REF!</v>
      </c>
      <c r="TXL247" s="29" t="e">
        <f t="shared" si="264"/>
        <v>#REF!</v>
      </c>
      <c r="TXM247" s="29" t="e">
        <f t="shared" si="264"/>
        <v>#REF!</v>
      </c>
      <c r="TXN247" s="29" t="e">
        <f t="shared" si="264"/>
        <v>#REF!</v>
      </c>
      <c r="TXO247" s="29" t="e">
        <f t="shared" si="264"/>
        <v>#REF!</v>
      </c>
      <c r="TXP247" s="29" t="e">
        <f t="shared" si="264"/>
        <v>#REF!</v>
      </c>
      <c r="TXQ247" s="29" t="e">
        <f t="shared" ref="TXQ247:UAB247" si="265">TXU247&amp;TXV247</f>
        <v>#REF!</v>
      </c>
      <c r="TXR247" s="29" t="e">
        <f t="shared" si="265"/>
        <v>#REF!</v>
      </c>
      <c r="TXS247" s="29" t="e">
        <f t="shared" si="265"/>
        <v>#REF!</v>
      </c>
      <c r="TXT247" s="29" t="e">
        <f t="shared" si="265"/>
        <v>#REF!</v>
      </c>
      <c r="TXU247" s="29" t="e">
        <f t="shared" si="265"/>
        <v>#REF!</v>
      </c>
      <c r="TXV247" s="29" t="e">
        <f t="shared" si="265"/>
        <v>#REF!</v>
      </c>
      <c r="TXW247" s="29" t="e">
        <f t="shared" si="265"/>
        <v>#REF!</v>
      </c>
      <c r="TXX247" s="29" t="e">
        <f t="shared" si="265"/>
        <v>#REF!</v>
      </c>
      <c r="TXY247" s="29" t="e">
        <f t="shared" si="265"/>
        <v>#REF!</v>
      </c>
      <c r="TXZ247" s="29" t="e">
        <f t="shared" si="265"/>
        <v>#REF!</v>
      </c>
      <c r="TYA247" s="29" t="e">
        <f t="shared" si="265"/>
        <v>#REF!</v>
      </c>
      <c r="TYB247" s="29" t="e">
        <f t="shared" si="265"/>
        <v>#REF!</v>
      </c>
      <c r="TYC247" s="29" t="e">
        <f t="shared" si="265"/>
        <v>#REF!</v>
      </c>
      <c r="TYD247" s="29" t="e">
        <f t="shared" si="265"/>
        <v>#REF!</v>
      </c>
      <c r="TYE247" s="29" t="e">
        <f t="shared" si="265"/>
        <v>#REF!</v>
      </c>
      <c r="TYF247" s="29" t="e">
        <f t="shared" si="265"/>
        <v>#REF!</v>
      </c>
      <c r="TYG247" s="29" t="e">
        <f t="shared" si="265"/>
        <v>#REF!</v>
      </c>
      <c r="TYH247" s="29" t="e">
        <f t="shared" si="265"/>
        <v>#REF!</v>
      </c>
      <c r="TYI247" s="29" t="e">
        <f t="shared" si="265"/>
        <v>#REF!</v>
      </c>
      <c r="TYJ247" s="29" t="e">
        <f t="shared" si="265"/>
        <v>#REF!</v>
      </c>
      <c r="TYK247" s="29" t="e">
        <f t="shared" si="265"/>
        <v>#REF!</v>
      </c>
      <c r="TYL247" s="29" t="e">
        <f t="shared" si="265"/>
        <v>#REF!</v>
      </c>
      <c r="TYM247" s="29" t="e">
        <f t="shared" si="265"/>
        <v>#REF!</v>
      </c>
      <c r="TYN247" s="29" t="e">
        <f t="shared" si="265"/>
        <v>#REF!</v>
      </c>
      <c r="TYO247" s="29" t="e">
        <f t="shared" si="265"/>
        <v>#REF!</v>
      </c>
      <c r="TYP247" s="29" t="e">
        <f t="shared" si="265"/>
        <v>#REF!</v>
      </c>
      <c r="TYQ247" s="29" t="e">
        <f t="shared" si="265"/>
        <v>#REF!</v>
      </c>
      <c r="TYR247" s="29" t="e">
        <f t="shared" si="265"/>
        <v>#REF!</v>
      </c>
      <c r="TYS247" s="29" t="e">
        <f t="shared" si="265"/>
        <v>#REF!</v>
      </c>
      <c r="TYT247" s="29" t="e">
        <f t="shared" si="265"/>
        <v>#REF!</v>
      </c>
      <c r="TYU247" s="29" t="e">
        <f t="shared" si="265"/>
        <v>#REF!</v>
      </c>
      <c r="TYV247" s="29" t="e">
        <f t="shared" si="265"/>
        <v>#REF!</v>
      </c>
      <c r="TYW247" s="29" t="e">
        <f t="shared" si="265"/>
        <v>#REF!</v>
      </c>
      <c r="TYX247" s="29" t="e">
        <f t="shared" si="265"/>
        <v>#REF!</v>
      </c>
      <c r="TYY247" s="29" t="e">
        <f t="shared" si="265"/>
        <v>#REF!</v>
      </c>
      <c r="TYZ247" s="29" t="e">
        <f t="shared" si="265"/>
        <v>#REF!</v>
      </c>
      <c r="TZA247" s="29" t="e">
        <f t="shared" si="265"/>
        <v>#REF!</v>
      </c>
      <c r="TZB247" s="29" t="e">
        <f t="shared" si="265"/>
        <v>#REF!</v>
      </c>
      <c r="TZC247" s="29" t="e">
        <f t="shared" si="265"/>
        <v>#REF!</v>
      </c>
      <c r="TZD247" s="29" t="e">
        <f t="shared" si="265"/>
        <v>#REF!</v>
      </c>
      <c r="TZE247" s="29" t="e">
        <f t="shared" si="265"/>
        <v>#REF!</v>
      </c>
      <c r="TZF247" s="29" t="e">
        <f t="shared" si="265"/>
        <v>#REF!</v>
      </c>
      <c r="TZG247" s="29" t="e">
        <f t="shared" si="265"/>
        <v>#REF!</v>
      </c>
      <c r="TZH247" s="29" t="e">
        <f t="shared" si="265"/>
        <v>#REF!</v>
      </c>
      <c r="TZI247" s="29" t="e">
        <f t="shared" si="265"/>
        <v>#REF!</v>
      </c>
      <c r="TZJ247" s="29" t="e">
        <f t="shared" si="265"/>
        <v>#REF!</v>
      </c>
      <c r="TZK247" s="29" t="e">
        <f t="shared" si="265"/>
        <v>#REF!</v>
      </c>
      <c r="TZL247" s="29" t="e">
        <f t="shared" si="265"/>
        <v>#REF!</v>
      </c>
      <c r="TZM247" s="29" t="e">
        <f t="shared" si="265"/>
        <v>#REF!</v>
      </c>
      <c r="TZN247" s="29" t="e">
        <f t="shared" si="265"/>
        <v>#REF!</v>
      </c>
      <c r="TZO247" s="29" t="e">
        <f t="shared" si="265"/>
        <v>#REF!</v>
      </c>
      <c r="TZP247" s="29" t="e">
        <f t="shared" si="265"/>
        <v>#REF!</v>
      </c>
      <c r="TZQ247" s="29" t="e">
        <f t="shared" si="265"/>
        <v>#REF!</v>
      </c>
      <c r="TZR247" s="29" t="e">
        <f t="shared" si="265"/>
        <v>#REF!</v>
      </c>
      <c r="TZS247" s="29" t="e">
        <f t="shared" si="265"/>
        <v>#REF!</v>
      </c>
      <c r="TZT247" s="29" t="e">
        <f t="shared" si="265"/>
        <v>#REF!</v>
      </c>
      <c r="TZU247" s="29" t="e">
        <f t="shared" si="265"/>
        <v>#REF!</v>
      </c>
      <c r="TZV247" s="29" t="e">
        <f t="shared" si="265"/>
        <v>#REF!</v>
      </c>
      <c r="TZW247" s="29" t="e">
        <f t="shared" si="265"/>
        <v>#REF!</v>
      </c>
      <c r="TZX247" s="29" t="e">
        <f t="shared" si="265"/>
        <v>#REF!</v>
      </c>
      <c r="TZY247" s="29" t="e">
        <f t="shared" si="265"/>
        <v>#REF!</v>
      </c>
      <c r="TZZ247" s="29" t="e">
        <f t="shared" si="265"/>
        <v>#REF!</v>
      </c>
      <c r="UAA247" s="29" t="e">
        <f t="shared" si="265"/>
        <v>#REF!</v>
      </c>
      <c r="UAB247" s="29" t="e">
        <f t="shared" si="265"/>
        <v>#REF!</v>
      </c>
      <c r="UAC247" s="29" t="e">
        <f t="shared" ref="UAC247:UCN247" si="266">UAG247&amp;UAH247</f>
        <v>#REF!</v>
      </c>
      <c r="UAD247" s="29" t="e">
        <f t="shared" si="266"/>
        <v>#REF!</v>
      </c>
      <c r="UAE247" s="29" t="e">
        <f t="shared" si="266"/>
        <v>#REF!</v>
      </c>
      <c r="UAF247" s="29" t="e">
        <f t="shared" si="266"/>
        <v>#REF!</v>
      </c>
      <c r="UAG247" s="29" t="e">
        <f t="shared" si="266"/>
        <v>#REF!</v>
      </c>
      <c r="UAH247" s="29" t="e">
        <f t="shared" si="266"/>
        <v>#REF!</v>
      </c>
      <c r="UAI247" s="29" t="e">
        <f t="shared" si="266"/>
        <v>#REF!</v>
      </c>
      <c r="UAJ247" s="29" t="e">
        <f t="shared" si="266"/>
        <v>#REF!</v>
      </c>
      <c r="UAK247" s="29" t="e">
        <f t="shared" si="266"/>
        <v>#REF!</v>
      </c>
      <c r="UAL247" s="29" t="e">
        <f t="shared" si="266"/>
        <v>#REF!</v>
      </c>
      <c r="UAM247" s="29" t="e">
        <f t="shared" si="266"/>
        <v>#REF!</v>
      </c>
      <c r="UAN247" s="29" t="e">
        <f t="shared" si="266"/>
        <v>#REF!</v>
      </c>
      <c r="UAO247" s="29" t="e">
        <f t="shared" si="266"/>
        <v>#REF!</v>
      </c>
      <c r="UAP247" s="29" t="e">
        <f t="shared" si="266"/>
        <v>#REF!</v>
      </c>
      <c r="UAQ247" s="29" t="e">
        <f t="shared" si="266"/>
        <v>#REF!</v>
      </c>
      <c r="UAR247" s="29" t="e">
        <f t="shared" si="266"/>
        <v>#REF!</v>
      </c>
      <c r="UAS247" s="29" t="e">
        <f t="shared" si="266"/>
        <v>#REF!</v>
      </c>
      <c r="UAT247" s="29" t="e">
        <f t="shared" si="266"/>
        <v>#REF!</v>
      </c>
      <c r="UAU247" s="29" t="e">
        <f t="shared" si="266"/>
        <v>#REF!</v>
      </c>
      <c r="UAV247" s="29" t="e">
        <f t="shared" si="266"/>
        <v>#REF!</v>
      </c>
      <c r="UAW247" s="29" t="e">
        <f t="shared" si="266"/>
        <v>#REF!</v>
      </c>
      <c r="UAX247" s="29" t="e">
        <f t="shared" si="266"/>
        <v>#REF!</v>
      </c>
      <c r="UAY247" s="29" t="e">
        <f t="shared" si="266"/>
        <v>#REF!</v>
      </c>
      <c r="UAZ247" s="29" t="e">
        <f t="shared" si="266"/>
        <v>#REF!</v>
      </c>
      <c r="UBA247" s="29" t="e">
        <f t="shared" si="266"/>
        <v>#REF!</v>
      </c>
      <c r="UBB247" s="29" t="e">
        <f t="shared" si="266"/>
        <v>#REF!</v>
      </c>
      <c r="UBC247" s="29" t="e">
        <f t="shared" si="266"/>
        <v>#REF!</v>
      </c>
      <c r="UBD247" s="29" t="e">
        <f t="shared" si="266"/>
        <v>#REF!</v>
      </c>
      <c r="UBE247" s="29" t="e">
        <f t="shared" si="266"/>
        <v>#REF!</v>
      </c>
      <c r="UBF247" s="29" t="e">
        <f t="shared" si="266"/>
        <v>#REF!</v>
      </c>
      <c r="UBG247" s="29" t="e">
        <f t="shared" si="266"/>
        <v>#REF!</v>
      </c>
      <c r="UBH247" s="29" t="e">
        <f t="shared" si="266"/>
        <v>#REF!</v>
      </c>
      <c r="UBI247" s="29" t="e">
        <f t="shared" si="266"/>
        <v>#REF!</v>
      </c>
      <c r="UBJ247" s="29" t="e">
        <f t="shared" si="266"/>
        <v>#REF!</v>
      </c>
      <c r="UBK247" s="29" t="e">
        <f t="shared" si="266"/>
        <v>#REF!</v>
      </c>
      <c r="UBL247" s="29" t="e">
        <f t="shared" si="266"/>
        <v>#REF!</v>
      </c>
      <c r="UBM247" s="29" t="e">
        <f t="shared" si="266"/>
        <v>#REF!</v>
      </c>
      <c r="UBN247" s="29" t="e">
        <f t="shared" si="266"/>
        <v>#REF!</v>
      </c>
      <c r="UBO247" s="29" t="e">
        <f t="shared" si="266"/>
        <v>#REF!</v>
      </c>
      <c r="UBP247" s="29" t="e">
        <f t="shared" si="266"/>
        <v>#REF!</v>
      </c>
      <c r="UBQ247" s="29" t="e">
        <f t="shared" si="266"/>
        <v>#REF!</v>
      </c>
      <c r="UBR247" s="29" t="e">
        <f t="shared" si="266"/>
        <v>#REF!</v>
      </c>
      <c r="UBS247" s="29" t="e">
        <f t="shared" si="266"/>
        <v>#REF!</v>
      </c>
      <c r="UBT247" s="29" t="e">
        <f t="shared" si="266"/>
        <v>#REF!</v>
      </c>
      <c r="UBU247" s="29" t="e">
        <f t="shared" si="266"/>
        <v>#REF!</v>
      </c>
      <c r="UBV247" s="29" t="e">
        <f t="shared" si="266"/>
        <v>#REF!</v>
      </c>
      <c r="UBW247" s="29" t="e">
        <f t="shared" si="266"/>
        <v>#REF!</v>
      </c>
      <c r="UBX247" s="29" t="e">
        <f t="shared" si="266"/>
        <v>#REF!</v>
      </c>
      <c r="UBY247" s="29" t="e">
        <f t="shared" si="266"/>
        <v>#REF!</v>
      </c>
      <c r="UBZ247" s="29" t="e">
        <f t="shared" si="266"/>
        <v>#REF!</v>
      </c>
      <c r="UCA247" s="29" t="e">
        <f t="shared" si="266"/>
        <v>#REF!</v>
      </c>
      <c r="UCB247" s="29" t="e">
        <f t="shared" si="266"/>
        <v>#REF!</v>
      </c>
      <c r="UCC247" s="29" t="e">
        <f t="shared" si="266"/>
        <v>#REF!</v>
      </c>
      <c r="UCD247" s="29" t="e">
        <f t="shared" si="266"/>
        <v>#REF!</v>
      </c>
      <c r="UCE247" s="29" t="e">
        <f t="shared" si="266"/>
        <v>#REF!</v>
      </c>
      <c r="UCF247" s="29" t="e">
        <f t="shared" si="266"/>
        <v>#REF!</v>
      </c>
      <c r="UCG247" s="29" t="e">
        <f t="shared" si="266"/>
        <v>#REF!</v>
      </c>
      <c r="UCH247" s="29" t="e">
        <f t="shared" si="266"/>
        <v>#REF!</v>
      </c>
      <c r="UCI247" s="29" t="e">
        <f t="shared" si="266"/>
        <v>#REF!</v>
      </c>
      <c r="UCJ247" s="29" t="e">
        <f t="shared" si="266"/>
        <v>#REF!</v>
      </c>
      <c r="UCK247" s="29" t="e">
        <f t="shared" si="266"/>
        <v>#REF!</v>
      </c>
      <c r="UCL247" s="29" t="e">
        <f t="shared" si="266"/>
        <v>#REF!</v>
      </c>
      <c r="UCM247" s="29" t="e">
        <f t="shared" si="266"/>
        <v>#REF!</v>
      </c>
      <c r="UCN247" s="29" t="e">
        <f t="shared" si="266"/>
        <v>#REF!</v>
      </c>
      <c r="UCO247" s="29" t="e">
        <f t="shared" ref="UCO247:UEZ247" si="267">UCS247&amp;UCT247</f>
        <v>#REF!</v>
      </c>
      <c r="UCP247" s="29" t="e">
        <f t="shared" si="267"/>
        <v>#REF!</v>
      </c>
      <c r="UCQ247" s="29" t="e">
        <f t="shared" si="267"/>
        <v>#REF!</v>
      </c>
      <c r="UCR247" s="29" t="e">
        <f t="shared" si="267"/>
        <v>#REF!</v>
      </c>
      <c r="UCS247" s="29" t="e">
        <f t="shared" si="267"/>
        <v>#REF!</v>
      </c>
      <c r="UCT247" s="29" t="e">
        <f t="shared" si="267"/>
        <v>#REF!</v>
      </c>
      <c r="UCU247" s="29" t="e">
        <f t="shared" si="267"/>
        <v>#REF!</v>
      </c>
      <c r="UCV247" s="29" t="e">
        <f t="shared" si="267"/>
        <v>#REF!</v>
      </c>
      <c r="UCW247" s="29" t="e">
        <f t="shared" si="267"/>
        <v>#REF!</v>
      </c>
      <c r="UCX247" s="29" t="e">
        <f t="shared" si="267"/>
        <v>#REF!</v>
      </c>
      <c r="UCY247" s="29" t="e">
        <f t="shared" si="267"/>
        <v>#REF!</v>
      </c>
      <c r="UCZ247" s="29" t="e">
        <f t="shared" si="267"/>
        <v>#REF!</v>
      </c>
      <c r="UDA247" s="29" t="e">
        <f t="shared" si="267"/>
        <v>#REF!</v>
      </c>
      <c r="UDB247" s="29" t="e">
        <f t="shared" si="267"/>
        <v>#REF!</v>
      </c>
      <c r="UDC247" s="29" t="e">
        <f t="shared" si="267"/>
        <v>#REF!</v>
      </c>
      <c r="UDD247" s="29" t="e">
        <f t="shared" si="267"/>
        <v>#REF!</v>
      </c>
      <c r="UDE247" s="29" t="e">
        <f t="shared" si="267"/>
        <v>#REF!</v>
      </c>
      <c r="UDF247" s="29" t="e">
        <f t="shared" si="267"/>
        <v>#REF!</v>
      </c>
      <c r="UDG247" s="29" t="e">
        <f t="shared" si="267"/>
        <v>#REF!</v>
      </c>
      <c r="UDH247" s="29" t="e">
        <f t="shared" si="267"/>
        <v>#REF!</v>
      </c>
      <c r="UDI247" s="29" t="e">
        <f t="shared" si="267"/>
        <v>#REF!</v>
      </c>
      <c r="UDJ247" s="29" t="e">
        <f t="shared" si="267"/>
        <v>#REF!</v>
      </c>
      <c r="UDK247" s="29" t="e">
        <f t="shared" si="267"/>
        <v>#REF!</v>
      </c>
      <c r="UDL247" s="29" t="e">
        <f t="shared" si="267"/>
        <v>#REF!</v>
      </c>
      <c r="UDM247" s="29" t="e">
        <f t="shared" si="267"/>
        <v>#REF!</v>
      </c>
      <c r="UDN247" s="29" t="e">
        <f t="shared" si="267"/>
        <v>#REF!</v>
      </c>
      <c r="UDO247" s="29" t="e">
        <f t="shared" si="267"/>
        <v>#REF!</v>
      </c>
      <c r="UDP247" s="29" t="e">
        <f t="shared" si="267"/>
        <v>#REF!</v>
      </c>
      <c r="UDQ247" s="29" t="e">
        <f t="shared" si="267"/>
        <v>#REF!</v>
      </c>
      <c r="UDR247" s="29" t="e">
        <f t="shared" si="267"/>
        <v>#REF!</v>
      </c>
      <c r="UDS247" s="29" t="e">
        <f t="shared" si="267"/>
        <v>#REF!</v>
      </c>
      <c r="UDT247" s="29" t="e">
        <f t="shared" si="267"/>
        <v>#REF!</v>
      </c>
      <c r="UDU247" s="29" t="e">
        <f t="shared" si="267"/>
        <v>#REF!</v>
      </c>
      <c r="UDV247" s="29" t="e">
        <f t="shared" si="267"/>
        <v>#REF!</v>
      </c>
      <c r="UDW247" s="29" t="e">
        <f t="shared" si="267"/>
        <v>#REF!</v>
      </c>
      <c r="UDX247" s="29" t="e">
        <f t="shared" si="267"/>
        <v>#REF!</v>
      </c>
      <c r="UDY247" s="29" t="e">
        <f t="shared" si="267"/>
        <v>#REF!</v>
      </c>
      <c r="UDZ247" s="29" t="e">
        <f t="shared" si="267"/>
        <v>#REF!</v>
      </c>
      <c r="UEA247" s="29" t="e">
        <f t="shared" si="267"/>
        <v>#REF!</v>
      </c>
      <c r="UEB247" s="29" t="e">
        <f t="shared" si="267"/>
        <v>#REF!</v>
      </c>
      <c r="UEC247" s="29" t="e">
        <f t="shared" si="267"/>
        <v>#REF!</v>
      </c>
      <c r="UED247" s="29" t="e">
        <f t="shared" si="267"/>
        <v>#REF!</v>
      </c>
      <c r="UEE247" s="29" t="e">
        <f t="shared" si="267"/>
        <v>#REF!</v>
      </c>
      <c r="UEF247" s="29" t="e">
        <f t="shared" si="267"/>
        <v>#REF!</v>
      </c>
      <c r="UEG247" s="29" t="e">
        <f t="shared" si="267"/>
        <v>#REF!</v>
      </c>
      <c r="UEH247" s="29" t="e">
        <f t="shared" si="267"/>
        <v>#REF!</v>
      </c>
      <c r="UEI247" s="29" t="e">
        <f t="shared" si="267"/>
        <v>#REF!</v>
      </c>
      <c r="UEJ247" s="29" t="e">
        <f t="shared" si="267"/>
        <v>#REF!</v>
      </c>
      <c r="UEK247" s="29" t="e">
        <f t="shared" si="267"/>
        <v>#REF!</v>
      </c>
      <c r="UEL247" s="29" t="e">
        <f t="shared" si="267"/>
        <v>#REF!</v>
      </c>
      <c r="UEM247" s="29" t="e">
        <f t="shared" si="267"/>
        <v>#REF!</v>
      </c>
      <c r="UEN247" s="29" t="e">
        <f t="shared" si="267"/>
        <v>#REF!</v>
      </c>
      <c r="UEO247" s="29" t="e">
        <f t="shared" si="267"/>
        <v>#REF!</v>
      </c>
      <c r="UEP247" s="29" t="e">
        <f t="shared" si="267"/>
        <v>#REF!</v>
      </c>
      <c r="UEQ247" s="29" t="e">
        <f t="shared" si="267"/>
        <v>#REF!</v>
      </c>
      <c r="UER247" s="29" t="e">
        <f t="shared" si="267"/>
        <v>#REF!</v>
      </c>
      <c r="UES247" s="29" t="e">
        <f t="shared" si="267"/>
        <v>#REF!</v>
      </c>
      <c r="UET247" s="29" t="e">
        <f t="shared" si="267"/>
        <v>#REF!</v>
      </c>
      <c r="UEU247" s="29" t="e">
        <f t="shared" si="267"/>
        <v>#REF!</v>
      </c>
      <c r="UEV247" s="29" t="e">
        <f t="shared" si="267"/>
        <v>#REF!</v>
      </c>
      <c r="UEW247" s="29" t="e">
        <f t="shared" si="267"/>
        <v>#REF!</v>
      </c>
      <c r="UEX247" s="29" t="e">
        <f t="shared" si="267"/>
        <v>#REF!</v>
      </c>
      <c r="UEY247" s="29" t="e">
        <f t="shared" si="267"/>
        <v>#REF!</v>
      </c>
      <c r="UEZ247" s="29" t="e">
        <f t="shared" si="267"/>
        <v>#REF!</v>
      </c>
      <c r="UFA247" s="29" t="e">
        <f t="shared" ref="UFA247:UHL247" si="268">UFE247&amp;UFF247</f>
        <v>#REF!</v>
      </c>
      <c r="UFB247" s="29" t="e">
        <f t="shared" si="268"/>
        <v>#REF!</v>
      </c>
      <c r="UFC247" s="29" t="e">
        <f t="shared" si="268"/>
        <v>#REF!</v>
      </c>
      <c r="UFD247" s="29" t="e">
        <f t="shared" si="268"/>
        <v>#REF!</v>
      </c>
      <c r="UFE247" s="29" t="e">
        <f t="shared" si="268"/>
        <v>#REF!</v>
      </c>
      <c r="UFF247" s="29" t="e">
        <f t="shared" si="268"/>
        <v>#REF!</v>
      </c>
      <c r="UFG247" s="29" t="e">
        <f t="shared" si="268"/>
        <v>#REF!</v>
      </c>
      <c r="UFH247" s="29" t="e">
        <f t="shared" si="268"/>
        <v>#REF!</v>
      </c>
      <c r="UFI247" s="29" t="e">
        <f t="shared" si="268"/>
        <v>#REF!</v>
      </c>
      <c r="UFJ247" s="29" t="e">
        <f t="shared" si="268"/>
        <v>#REF!</v>
      </c>
      <c r="UFK247" s="29" t="e">
        <f t="shared" si="268"/>
        <v>#REF!</v>
      </c>
      <c r="UFL247" s="29" t="e">
        <f t="shared" si="268"/>
        <v>#REF!</v>
      </c>
      <c r="UFM247" s="29" t="e">
        <f t="shared" si="268"/>
        <v>#REF!</v>
      </c>
      <c r="UFN247" s="29" t="e">
        <f t="shared" si="268"/>
        <v>#REF!</v>
      </c>
      <c r="UFO247" s="29" t="e">
        <f t="shared" si="268"/>
        <v>#REF!</v>
      </c>
      <c r="UFP247" s="29" t="e">
        <f t="shared" si="268"/>
        <v>#REF!</v>
      </c>
      <c r="UFQ247" s="29" t="e">
        <f t="shared" si="268"/>
        <v>#REF!</v>
      </c>
      <c r="UFR247" s="29" t="e">
        <f t="shared" si="268"/>
        <v>#REF!</v>
      </c>
      <c r="UFS247" s="29" t="e">
        <f t="shared" si="268"/>
        <v>#REF!</v>
      </c>
      <c r="UFT247" s="29" t="e">
        <f t="shared" si="268"/>
        <v>#REF!</v>
      </c>
      <c r="UFU247" s="29" t="e">
        <f t="shared" si="268"/>
        <v>#REF!</v>
      </c>
      <c r="UFV247" s="29" t="e">
        <f t="shared" si="268"/>
        <v>#REF!</v>
      </c>
      <c r="UFW247" s="29" t="e">
        <f t="shared" si="268"/>
        <v>#REF!</v>
      </c>
      <c r="UFX247" s="29" t="e">
        <f t="shared" si="268"/>
        <v>#REF!</v>
      </c>
      <c r="UFY247" s="29" t="e">
        <f t="shared" si="268"/>
        <v>#REF!</v>
      </c>
      <c r="UFZ247" s="29" t="e">
        <f t="shared" si="268"/>
        <v>#REF!</v>
      </c>
      <c r="UGA247" s="29" t="e">
        <f t="shared" si="268"/>
        <v>#REF!</v>
      </c>
      <c r="UGB247" s="29" t="e">
        <f t="shared" si="268"/>
        <v>#REF!</v>
      </c>
      <c r="UGC247" s="29" t="e">
        <f t="shared" si="268"/>
        <v>#REF!</v>
      </c>
      <c r="UGD247" s="29" t="e">
        <f t="shared" si="268"/>
        <v>#REF!</v>
      </c>
      <c r="UGE247" s="29" t="e">
        <f t="shared" si="268"/>
        <v>#REF!</v>
      </c>
      <c r="UGF247" s="29" t="e">
        <f t="shared" si="268"/>
        <v>#REF!</v>
      </c>
      <c r="UGG247" s="29" t="e">
        <f t="shared" si="268"/>
        <v>#REF!</v>
      </c>
      <c r="UGH247" s="29" t="e">
        <f t="shared" si="268"/>
        <v>#REF!</v>
      </c>
      <c r="UGI247" s="29" t="e">
        <f t="shared" si="268"/>
        <v>#REF!</v>
      </c>
      <c r="UGJ247" s="29" t="e">
        <f t="shared" si="268"/>
        <v>#REF!</v>
      </c>
      <c r="UGK247" s="29" t="e">
        <f t="shared" si="268"/>
        <v>#REF!</v>
      </c>
      <c r="UGL247" s="29" t="e">
        <f t="shared" si="268"/>
        <v>#REF!</v>
      </c>
      <c r="UGM247" s="29" t="e">
        <f t="shared" si="268"/>
        <v>#REF!</v>
      </c>
      <c r="UGN247" s="29" t="e">
        <f t="shared" si="268"/>
        <v>#REF!</v>
      </c>
      <c r="UGO247" s="29" t="e">
        <f t="shared" si="268"/>
        <v>#REF!</v>
      </c>
      <c r="UGP247" s="29" t="e">
        <f t="shared" si="268"/>
        <v>#REF!</v>
      </c>
      <c r="UGQ247" s="29" t="e">
        <f t="shared" si="268"/>
        <v>#REF!</v>
      </c>
      <c r="UGR247" s="29" t="e">
        <f t="shared" si="268"/>
        <v>#REF!</v>
      </c>
      <c r="UGS247" s="29" t="e">
        <f t="shared" si="268"/>
        <v>#REF!</v>
      </c>
      <c r="UGT247" s="29" t="e">
        <f t="shared" si="268"/>
        <v>#REF!</v>
      </c>
      <c r="UGU247" s="29" t="e">
        <f t="shared" si="268"/>
        <v>#REF!</v>
      </c>
      <c r="UGV247" s="29" t="e">
        <f t="shared" si="268"/>
        <v>#REF!</v>
      </c>
      <c r="UGW247" s="29" t="e">
        <f t="shared" si="268"/>
        <v>#REF!</v>
      </c>
      <c r="UGX247" s="29" t="e">
        <f t="shared" si="268"/>
        <v>#REF!</v>
      </c>
      <c r="UGY247" s="29" t="e">
        <f t="shared" si="268"/>
        <v>#REF!</v>
      </c>
      <c r="UGZ247" s="29" t="e">
        <f t="shared" si="268"/>
        <v>#REF!</v>
      </c>
      <c r="UHA247" s="29" t="e">
        <f t="shared" si="268"/>
        <v>#REF!</v>
      </c>
      <c r="UHB247" s="29" t="e">
        <f t="shared" si="268"/>
        <v>#REF!</v>
      </c>
      <c r="UHC247" s="29" t="e">
        <f t="shared" si="268"/>
        <v>#REF!</v>
      </c>
      <c r="UHD247" s="29" t="e">
        <f t="shared" si="268"/>
        <v>#REF!</v>
      </c>
      <c r="UHE247" s="29" t="e">
        <f t="shared" si="268"/>
        <v>#REF!</v>
      </c>
      <c r="UHF247" s="29" t="e">
        <f t="shared" si="268"/>
        <v>#REF!</v>
      </c>
      <c r="UHG247" s="29" t="e">
        <f t="shared" si="268"/>
        <v>#REF!</v>
      </c>
      <c r="UHH247" s="29" t="e">
        <f t="shared" si="268"/>
        <v>#REF!</v>
      </c>
      <c r="UHI247" s="29" t="e">
        <f t="shared" si="268"/>
        <v>#REF!</v>
      </c>
      <c r="UHJ247" s="29" t="e">
        <f t="shared" si="268"/>
        <v>#REF!</v>
      </c>
      <c r="UHK247" s="29" t="e">
        <f t="shared" si="268"/>
        <v>#REF!</v>
      </c>
      <c r="UHL247" s="29" t="e">
        <f t="shared" si="268"/>
        <v>#REF!</v>
      </c>
      <c r="UHM247" s="29" t="e">
        <f t="shared" ref="UHM247:UJX247" si="269">UHQ247&amp;UHR247</f>
        <v>#REF!</v>
      </c>
      <c r="UHN247" s="29" t="e">
        <f t="shared" si="269"/>
        <v>#REF!</v>
      </c>
      <c r="UHO247" s="29" t="e">
        <f t="shared" si="269"/>
        <v>#REF!</v>
      </c>
      <c r="UHP247" s="29" t="e">
        <f t="shared" si="269"/>
        <v>#REF!</v>
      </c>
      <c r="UHQ247" s="29" t="e">
        <f t="shared" si="269"/>
        <v>#REF!</v>
      </c>
      <c r="UHR247" s="29" t="e">
        <f t="shared" si="269"/>
        <v>#REF!</v>
      </c>
      <c r="UHS247" s="29" t="e">
        <f t="shared" si="269"/>
        <v>#REF!</v>
      </c>
      <c r="UHT247" s="29" t="e">
        <f t="shared" si="269"/>
        <v>#REF!</v>
      </c>
      <c r="UHU247" s="29" t="e">
        <f t="shared" si="269"/>
        <v>#REF!</v>
      </c>
      <c r="UHV247" s="29" t="e">
        <f t="shared" si="269"/>
        <v>#REF!</v>
      </c>
      <c r="UHW247" s="29" t="e">
        <f t="shared" si="269"/>
        <v>#REF!</v>
      </c>
      <c r="UHX247" s="29" t="e">
        <f t="shared" si="269"/>
        <v>#REF!</v>
      </c>
      <c r="UHY247" s="29" t="e">
        <f t="shared" si="269"/>
        <v>#REF!</v>
      </c>
      <c r="UHZ247" s="29" t="e">
        <f t="shared" si="269"/>
        <v>#REF!</v>
      </c>
      <c r="UIA247" s="29" t="e">
        <f t="shared" si="269"/>
        <v>#REF!</v>
      </c>
      <c r="UIB247" s="29" t="e">
        <f t="shared" si="269"/>
        <v>#REF!</v>
      </c>
      <c r="UIC247" s="29" t="e">
        <f t="shared" si="269"/>
        <v>#REF!</v>
      </c>
      <c r="UID247" s="29" t="e">
        <f t="shared" si="269"/>
        <v>#REF!</v>
      </c>
      <c r="UIE247" s="29" t="e">
        <f t="shared" si="269"/>
        <v>#REF!</v>
      </c>
      <c r="UIF247" s="29" t="e">
        <f t="shared" si="269"/>
        <v>#REF!</v>
      </c>
      <c r="UIG247" s="29" t="e">
        <f t="shared" si="269"/>
        <v>#REF!</v>
      </c>
      <c r="UIH247" s="29" t="e">
        <f t="shared" si="269"/>
        <v>#REF!</v>
      </c>
      <c r="UII247" s="29" t="e">
        <f t="shared" si="269"/>
        <v>#REF!</v>
      </c>
      <c r="UIJ247" s="29" t="e">
        <f t="shared" si="269"/>
        <v>#REF!</v>
      </c>
      <c r="UIK247" s="29" t="e">
        <f t="shared" si="269"/>
        <v>#REF!</v>
      </c>
      <c r="UIL247" s="29" t="e">
        <f t="shared" si="269"/>
        <v>#REF!</v>
      </c>
      <c r="UIM247" s="29" t="e">
        <f t="shared" si="269"/>
        <v>#REF!</v>
      </c>
      <c r="UIN247" s="29" t="e">
        <f t="shared" si="269"/>
        <v>#REF!</v>
      </c>
      <c r="UIO247" s="29" t="e">
        <f t="shared" si="269"/>
        <v>#REF!</v>
      </c>
      <c r="UIP247" s="29" t="e">
        <f t="shared" si="269"/>
        <v>#REF!</v>
      </c>
      <c r="UIQ247" s="29" t="e">
        <f t="shared" si="269"/>
        <v>#REF!</v>
      </c>
      <c r="UIR247" s="29" t="e">
        <f t="shared" si="269"/>
        <v>#REF!</v>
      </c>
      <c r="UIS247" s="29" t="e">
        <f t="shared" si="269"/>
        <v>#REF!</v>
      </c>
      <c r="UIT247" s="29" t="e">
        <f t="shared" si="269"/>
        <v>#REF!</v>
      </c>
      <c r="UIU247" s="29" t="e">
        <f t="shared" si="269"/>
        <v>#REF!</v>
      </c>
      <c r="UIV247" s="29" t="e">
        <f t="shared" si="269"/>
        <v>#REF!</v>
      </c>
      <c r="UIW247" s="29" t="e">
        <f t="shared" si="269"/>
        <v>#REF!</v>
      </c>
      <c r="UIX247" s="29" t="e">
        <f t="shared" si="269"/>
        <v>#REF!</v>
      </c>
      <c r="UIY247" s="29" t="e">
        <f t="shared" si="269"/>
        <v>#REF!</v>
      </c>
      <c r="UIZ247" s="29" t="e">
        <f t="shared" si="269"/>
        <v>#REF!</v>
      </c>
      <c r="UJA247" s="29" t="e">
        <f t="shared" si="269"/>
        <v>#REF!</v>
      </c>
      <c r="UJB247" s="29" t="e">
        <f t="shared" si="269"/>
        <v>#REF!</v>
      </c>
      <c r="UJC247" s="29" t="e">
        <f t="shared" si="269"/>
        <v>#REF!</v>
      </c>
      <c r="UJD247" s="29" t="e">
        <f t="shared" si="269"/>
        <v>#REF!</v>
      </c>
      <c r="UJE247" s="29" t="e">
        <f t="shared" si="269"/>
        <v>#REF!</v>
      </c>
      <c r="UJF247" s="29" t="e">
        <f t="shared" si="269"/>
        <v>#REF!</v>
      </c>
      <c r="UJG247" s="29" t="e">
        <f t="shared" si="269"/>
        <v>#REF!</v>
      </c>
      <c r="UJH247" s="29" t="e">
        <f t="shared" si="269"/>
        <v>#REF!</v>
      </c>
      <c r="UJI247" s="29" t="e">
        <f t="shared" si="269"/>
        <v>#REF!</v>
      </c>
      <c r="UJJ247" s="29" t="e">
        <f t="shared" si="269"/>
        <v>#REF!</v>
      </c>
      <c r="UJK247" s="29" t="e">
        <f t="shared" si="269"/>
        <v>#REF!</v>
      </c>
      <c r="UJL247" s="29" t="e">
        <f t="shared" si="269"/>
        <v>#REF!</v>
      </c>
      <c r="UJM247" s="29" t="e">
        <f t="shared" si="269"/>
        <v>#REF!</v>
      </c>
      <c r="UJN247" s="29" t="e">
        <f t="shared" si="269"/>
        <v>#REF!</v>
      </c>
      <c r="UJO247" s="29" t="e">
        <f t="shared" si="269"/>
        <v>#REF!</v>
      </c>
      <c r="UJP247" s="29" t="e">
        <f t="shared" si="269"/>
        <v>#REF!</v>
      </c>
      <c r="UJQ247" s="29" t="e">
        <f t="shared" si="269"/>
        <v>#REF!</v>
      </c>
      <c r="UJR247" s="29" t="e">
        <f t="shared" si="269"/>
        <v>#REF!</v>
      </c>
      <c r="UJS247" s="29" t="e">
        <f t="shared" si="269"/>
        <v>#REF!</v>
      </c>
      <c r="UJT247" s="29" t="e">
        <f t="shared" si="269"/>
        <v>#REF!</v>
      </c>
      <c r="UJU247" s="29" t="e">
        <f t="shared" si="269"/>
        <v>#REF!</v>
      </c>
      <c r="UJV247" s="29" t="e">
        <f t="shared" si="269"/>
        <v>#REF!</v>
      </c>
      <c r="UJW247" s="29" t="e">
        <f t="shared" si="269"/>
        <v>#REF!</v>
      </c>
      <c r="UJX247" s="29" t="e">
        <f t="shared" si="269"/>
        <v>#REF!</v>
      </c>
      <c r="UJY247" s="29" t="e">
        <f t="shared" ref="UJY247:UMJ247" si="270">UKC247&amp;UKD247</f>
        <v>#REF!</v>
      </c>
      <c r="UJZ247" s="29" t="e">
        <f t="shared" si="270"/>
        <v>#REF!</v>
      </c>
      <c r="UKA247" s="29" t="e">
        <f t="shared" si="270"/>
        <v>#REF!</v>
      </c>
      <c r="UKB247" s="29" t="e">
        <f t="shared" si="270"/>
        <v>#REF!</v>
      </c>
      <c r="UKC247" s="29" t="e">
        <f t="shared" si="270"/>
        <v>#REF!</v>
      </c>
      <c r="UKD247" s="29" t="e">
        <f t="shared" si="270"/>
        <v>#REF!</v>
      </c>
      <c r="UKE247" s="29" t="e">
        <f t="shared" si="270"/>
        <v>#REF!</v>
      </c>
      <c r="UKF247" s="29" t="e">
        <f t="shared" si="270"/>
        <v>#REF!</v>
      </c>
      <c r="UKG247" s="29" t="e">
        <f t="shared" si="270"/>
        <v>#REF!</v>
      </c>
      <c r="UKH247" s="29" t="e">
        <f t="shared" si="270"/>
        <v>#REF!</v>
      </c>
      <c r="UKI247" s="29" t="e">
        <f t="shared" si="270"/>
        <v>#REF!</v>
      </c>
      <c r="UKJ247" s="29" t="e">
        <f t="shared" si="270"/>
        <v>#REF!</v>
      </c>
      <c r="UKK247" s="29" t="e">
        <f t="shared" si="270"/>
        <v>#REF!</v>
      </c>
      <c r="UKL247" s="29" t="e">
        <f t="shared" si="270"/>
        <v>#REF!</v>
      </c>
      <c r="UKM247" s="29" t="e">
        <f t="shared" si="270"/>
        <v>#REF!</v>
      </c>
      <c r="UKN247" s="29" t="e">
        <f t="shared" si="270"/>
        <v>#REF!</v>
      </c>
      <c r="UKO247" s="29" t="e">
        <f t="shared" si="270"/>
        <v>#REF!</v>
      </c>
      <c r="UKP247" s="29" t="e">
        <f t="shared" si="270"/>
        <v>#REF!</v>
      </c>
      <c r="UKQ247" s="29" t="e">
        <f t="shared" si="270"/>
        <v>#REF!</v>
      </c>
      <c r="UKR247" s="29" t="e">
        <f t="shared" si="270"/>
        <v>#REF!</v>
      </c>
      <c r="UKS247" s="29" t="e">
        <f t="shared" si="270"/>
        <v>#REF!</v>
      </c>
      <c r="UKT247" s="29" t="e">
        <f t="shared" si="270"/>
        <v>#REF!</v>
      </c>
      <c r="UKU247" s="29" t="e">
        <f t="shared" si="270"/>
        <v>#REF!</v>
      </c>
      <c r="UKV247" s="29" t="e">
        <f t="shared" si="270"/>
        <v>#REF!</v>
      </c>
      <c r="UKW247" s="29" t="e">
        <f t="shared" si="270"/>
        <v>#REF!</v>
      </c>
      <c r="UKX247" s="29" t="e">
        <f t="shared" si="270"/>
        <v>#REF!</v>
      </c>
      <c r="UKY247" s="29" t="e">
        <f t="shared" si="270"/>
        <v>#REF!</v>
      </c>
      <c r="UKZ247" s="29" t="e">
        <f t="shared" si="270"/>
        <v>#REF!</v>
      </c>
      <c r="ULA247" s="29" t="e">
        <f t="shared" si="270"/>
        <v>#REF!</v>
      </c>
      <c r="ULB247" s="29" t="e">
        <f t="shared" si="270"/>
        <v>#REF!</v>
      </c>
      <c r="ULC247" s="29" t="e">
        <f t="shared" si="270"/>
        <v>#REF!</v>
      </c>
      <c r="ULD247" s="29" t="e">
        <f t="shared" si="270"/>
        <v>#REF!</v>
      </c>
      <c r="ULE247" s="29" t="e">
        <f t="shared" si="270"/>
        <v>#REF!</v>
      </c>
      <c r="ULF247" s="29" t="e">
        <f t="shared" si="270"/>
        <v>#REF!</v>
      </c>
      <c r="ULG247" s="29" t="e">
        <f t="shared" si="270"/>
        <v>#REF!</v>
      </c>
      <c r="ULH247" s="29" t="e">
        <f t="shared" si="270"/>
        <v>#REF!</v>
      </c>
      <c r="ULI247" s="29" t="e">
        <f t="shared" si="270"/>
        <v>#REF!</v>
      </c>
      <c r="ULJ247" s="29" t="e">
        <f t="shared" si="270"/>
        <v>#REF!</v>
      </c>
      <c r="ULK247" s="29" t="e">
        <f t="shared" si="270"/>
        <v>#REF!</v>
      </c>
      <c r="ULL247" s="29" t="e">
        <f t="shared" si="270"/>
        <v>#REF!</v>
      </c>
      <c r="ULM247" s="29" t="e">
        <f t="shared" si="270"/>
        <v>#REF!</v>
      </c>
      <c r="ULN247" s="29" t="e">
        <f t="shared" si="270"/>
        <v>#REF!</v>
      </c>
      <c r="ULO247" s="29" t="e">
        <f t="shared" si="270"/>
        <v>#REF!</v>
      </c>
      <c r="ULP247" s="29" t="e">
        <f t="shared" si="270"/>
        <v>#REF!</v>
      </c>
      <c r="ULQ247" s="29" t="e">
        <f t="shared" si="270"/>
        <v>#REF!</v>
      </c>
      <c r="ULR247" s="29" t="e">
        <f t="shared" si="270"/>
        <v>#REF!</v>
      </c>
      <c r="ULS247" s="29" t="e">
        <f t="shared" si="270"/>
        <v>#REF!</v>
      </c>
      <c r="ULT247" s="29" t="e">
        <f t="shared" si="270"/>
        <v>#REF!</v>
      </c>
      <c r="ULU247" s="29" t="e">
        <f t="shared" si="270"/>
        <v>#REF!</v>
      </c>
      <c r="ULV247" s="29" t="e">
        <f t="shared" si="270"/>
        <v>#REF!</v>
      </c>
      <c r="ULW247" s="29" t="e">
        <f t="shared" si="270"/>
        <v>#REF!</v>
      </c>
      <c r="ULX247" s="29" t="e">
        <f t="shared" si="270"/>
        <v>#REF!</v>
      </c>
      <c r="ULY247" s="29" t="e">
        <f t="shared" si="270"/>
        <v>#REF!</v>
      </c>
      <c r="ULZ247" s="29" t="e">
        <f t="shared" si="270"/>
        <v>#REF!</v>
      </c>
      <c r="UMA247" s="29" t="e">
        <f t="shared" si="270"/>
        <v>#REF!</v>
      </c>
      <c r="UMB247" s="29" t="e">
        <f t="shared" si="270"/>
        <v>#REF!</v>
      </c>
      <c r="UMC247" s="29" t="e">
        <f t="shared" si="270"/>
        <v>#REF!</v>
      </c>
      <c r="UMD247" s="29" t="e">
        <f t="shared" si="270"/>
        <v>#REF!</v>
      </c>
      <c r="UME247" s="29" t="e">
        <f t="shared" si="270"/>
        <v>#REF!</v>
      </c>
      <c r="UMF247" s="29" t="e">
        <f t="shared" si="270"/>
        <v>#REF!</v>
      </c>
      <c r="UMG247" s="29" t="e">
        <f t="shared" si="270"/>
        <v>#REF!</v>
      </c>
      <c r="UMH247" s="29" t="e">
        <f t="shared" si="270"/>
        <v>#REF!</v>
      </c>
      <c r="UMI247" s="29" t="e">
        <f t="shared" si="270"/>
        <v>#REF!</v>
      </c>
      <c r="UMJ247" s="29" t="e">
        <f t="shared" si="270"/>
        <v>#REF!</v>
      </c>
      <c r="UMK247" s="29" t="e">
        <f t="shared" ref="UMK247:UOV247" si="271">UMO247&amp;UMP247</f>
        <v>#REF!</v>
      </c>
      <c r="UML247" s="29" t="e">
        <f t="shared" si="271"/>
        <v>#REF!</v>
      </c>
      <c r="UMM247" s="29" t="e">
        <f t="shared" si="271"/>
        <v>#REF!</v>
      </c>
      <c r="UMN247" s="29" t="e">
        <f t="shared" si="271"/>
        <v>#REF!</v>
      </c>
      <c r="UMO247" s="29" t="e">
        <f t="shared" si="271"/>
        <v>#REF!</v>
      </c>
      <c r="UMP247" s="29" t="e">
        <f t="shared" si="271"/>
        <v>#REF!</v>
      </c>
      <c r="UMQ247" s="29" t="e">
        <f t="shared" si="271"/>
        <v>#REF!</v>
      </c>
      <c r="UMR247" s="29" t="e">
        <f t="shared" si="271"/>
        <v>#REF!</v>
      </c>
      <c r="UMS247" s="29" t="e">
        <f t="shared" si="271"/>
        <v>#REF!</v>
      </c>
      <c r="UMT247" s="29" t="e">
        <f t="shared" si="271"/>
        <v>#REF!</v>
      </c>
      <c r="UMU247" s="29" t="e">
        <f t="shared" si="271"/>
        <v>#REF!</v>
      </c>
      <c r="UMV247" s="29" t="e">
        <f t="shared" si="271"/>
        <v>#REF!</v>
      </c>
      <c r="UMW247" s="29" t="e">
        <f t="shared" si="271"/>
        <v>#REF!</v>
      </c>
      <c r="UMX247" s="29" t="e">
        <f t="shared" si="271"/>
        <v>#REF!</v>
      </c>
      <c r="UMY247" s="29" t="e">
        <f t="shared" si="271"/>
        <v>#REF!</v>
      </c>
      <c r="UMZ247" s="29" t="e">
        <f t="shared" si="271"/>
        <v>#REF!</v>
      </c>
      <c r="UNA247" s="29" t="e">
        <f t="shared" si="271"/>
        <v>#REF!</v>
      </c>
      <c r="UNB247" s="29" t="e">
        <f t="shared" si="271"/>
        <v>#REF!</v>
      </c>
      <c r="UNC247" s="29" t="e">
        <f t="shared" si="271"/>
        <v>#REF!</v>
      </c>
      <c r="UND247" s="29" t="e">
        <f t="shared" si="271"/>
        <v>#REF!</v>
      </c>
      <c r="UNE247" s="29" t="e">
        <f t="shared" si="271"/>
        <v>#REF!</v>
      </c>
      <c r="UNF247" s="29" t="e">
        <f t="shared" si="271"/>
        <v>#REF!</v>
      </c>
      <c r="UNG247" s="29" t="e">
        <f t="shared" si="271"/>
        <v>#REF!</v>
      </c>
      <c r="UNH247" s="29" t="e">
        <f t="shared" si="271"/>
        <v>#REF!</v>
      </c>
      <c r="UNI247" s="29" t="e">
        <f t="shared" si="271"/>
        <v>#REF!</v>
      </c>
      <c r="UNJ247" s="29" t="e">
        <f t="shared" si="271"/>
        <v>#REF!</v>
      </c>
      <c r="UNK247" s="29" t="e">
        <f t="shared" si="271"/>
        <v>#REF!</v>
      </c>
      <c r="UNL247" s="29" t="e">
        <f t="shared" si="271"/>
        <v>#REF!</v>
      </c>
      <c r="UNM247" s="29" t="e">
        <f t="shared" si="271"/>
        <v>#REF!</v>
      </c>
      <c r="UNN247" s="29" t="e">
        <f t="shared" si="271"/>
        <v>#REF!</v>
      </c>
      <c r="UNO247" s="29" t="e">
        <f t="shared" si="271"/>
        <v>#REF!</v>
      </c>
      <c r="UNP247" s="29" t="e">
        <f t="shared" si="271"/>
        <v>#REF!</v>
      </c>
      <c r="UNQ247" s="29" t="e">
        <f t="shared" si="271"/>
        <v>#REF!</v>
      </c>
      <c r="UNR247" s="29" t="e">
        <f t="shared" si="271"/>
        <v>#REF!</v>
      </c>
      <c r="UNS247" s="29" t="e">
        <f t="shared" si="271"/>
        <v>#REF!</v>
      </c>
      <c r="UNT247" s="29" t="e">
        <f t="shared" si="271"/>
        <v>#REF!</v>
      </c>
      <c r="UNU247" s="29" t="e">
        <f t="shared" si="271"/>
        <v>#REF!</v>
      </c>
      <c r="UNV247" s="29" t="e">
        <f t="shared" si="271"/>
        <v>#REF!</v>
      </c>
      <c r="UNW247" s="29" t="e">
        <f t="shared" si="271"/>
        <v>#REF!</v>
      </c>
      <c r="UNX247" s="29" t="e">
        <f t="shared" si="271"/>
        <v>#REF!</v>
      </c>
      <c r="UNY247" s="29" t="e">
        <f t="shared" si="271"/>
        <v>#REF!</v>
      </c>
      <c r="UNZ247" s="29" t="e">
        <f t="shared" si="271"/>
        <v>#REF!</v>
      </c>
      <c r="UOA247" s="29" t="e">
        <f t="shared" si="271"/>
        <v>#REF!</v>
      </c>
      <c r="UOB247" s="29" t="e">
        <f t="shared" si="271"/>
        <v>#REF!</v>
      </c>
      <c r="UOC247" s="29" t="e">
        <f t="shared" si="271"/>
        <v>#REF!</v>
      </c>
      <c r="UOD247" s="29" t="e">
        <f t="shared" si="271"/>
        <v>#REF!</v>
      </c>
      <c r="UOE247" s="29" t="e">
        <f t="shared" si="271"/>
        <v>#REF!</v>
      </c>
      <c r="UOF247" s="29" t="e">
        <f t="shared" si="271"/>
        <v>#REF!</v>
      </c>
      <c r="UOG247" s="29" t="e">
        <f t="shared" si="271"/>
        <v>#REF!</v>
      </c>
      <c r="UOH247" s="29" t="e">
        <f t="shared" si="271"/>
        <v>#REF!</v>
      </c>
      <c r="UOI247" s="29" t="e">
        <f t="shared" si="271"/>
        <v>#REF!</v>
      </c>
      <c r="UOJ247" s="29" t="e">
        <f t="shared" si="271"/>
        <v>#REF!</v>
      </c>
      <c r="UOK247" s="29" t="e">
        <f t="shared" si="271"/>
        <v>#REF!</v>
      </c>
      <c r="UOL247" s="29" t="e">
        <f t="shared" si="271"/>
        <v>#REF!</v>
      </c>
      <c r="UOM247" s="29" t="e">
        <f t="shared" si="271"/>
        <v>#REF!</v>
      </c>
      <c r="UON247" s="29" t="e">
        <f t="shared" si="271"/>
        <v>#REF!</v>
      </c>
      <c r="UOO247" s="29" t="e">
        <f t="shared" si="271"/>
        <v>#REF!</v>
      </c>
      <c r="UOP247" s="29" t="e">
        <f t="shared" si="271"/>
        <v>#REF!</v>
      </c>
      <c r="UOQ247" s="29" t="e">
        <f t="shared" si="271"/>
        <v>#REF!</v>
      </c>
      <c r="UOR247" s="29" t="e">
        <f t="shared" si="271"/>
        <v>#REF!</v>
      </c>
      <c r="UOS247" s="29" t="e">
        <f t="shared" si="271"/>
        <v>#REF!</v>
      </c>
      <c r="UOT247" s="29" t="e">
        <f t="shared" si="271"/>
        <v>#REF!</v>
      </c>
      <c r="UOU247" s="29" t="e">
        <f t="shared" si="271"/>
        <v>#REF!</v>
      </c>
      <c r="UOV247" s="29" t="e">
        <f t="shared" si="271"/>
        <v>#REF!</v>
      </c>
      <c r="UOW247" s="29" t="e">
        <f t="shared" ref="UOW247:URH247" si="272">UPA247&amp;UPB247</f>
        <v>#REF!</v>
      </c>
      <c r="UOX247" s="29" t="e">
        <f t="shared" si="272"/>
        <v>#REF!</v>
      </c>
      <c r="UOY247" s="29" t="e">
        <f t="shared" si="272"/>
        <v>#REF!</v>
      </c>
      <c r="UOZ247" s="29" t="e">
        <f t="shared" si="272"/>
        <v>#REF!</v>
      </c>
      <c r="UPA247" s="29" t="e">
        <f t="shared" si="272"/>
        <v>#REF!</v>
      </c>
      <c r="UPB247" s="29" t="e">
        <f t="shared" si="272"/>
        <v>#REF!</v>
      </c>
      <c r="UPC247" s="29" t="e">
        <f t="shared" si="272"/>
        <v>#REF!</v>
      </c>
      <c r="UPD247" s="29" t="e">
        <f t="shared" si="272"/>
        <v>#REF!</v>
      </c>
      <c r="UPE247" s="29" t="e">
        <f t="shared" si="272"/>
        <v>#REF!</v>
      </c>
      <c r="UPF247" s="29" t="e">
        <f t="shared" si="272"/>
        <v>#REF!</v>
      </c>
      <c r="UPG247" s="29" t="e">
        <f t="shared" si="272"/>
        <v>#REF!</v>
      </c>
      <c r="UPH247" s="29" t="e">
        <f t="shared" si="272"/>
        <v>#REF!</v>
      </c>
      <c r="UPI247" s="29" t="e">
        <f t="shared" si="272"/>
        <v>#REF!</v>
      </c>
      <c r="UPJ247" s="29" t="e">
        <f t="shared" si="272"/>
        <v>#REF!</v>
      </c>
      <c r="UPK247" s="29" t="e">
        <f t="shared" si="272"/>
        <v>#REF!</v>
      </c>
      <c r="UPL247" s="29" t="e">
        <f t="shared" si="272"/>
        <v>#REF!</v>
      </c>
      <c r="UPM247" s="29" t="e">
        <f t="shared" si="272"/>
        <v>#REF!</v>
      </c>
      <c r="UPN247" s="29" t="e">
        <f t="shared" si="272"/>
        <v>#REF!</v>
      </c>
      <c r="UPO247" s="29" t="e">
        <f t="shared" si="272"/>
        <v>#REF!</v>
      </c>
      <c r="UPP247" s="29" t="e">
        <f t="shared" si="272"/>
        <v>#REF!</v>
      </c>
      <c r="UPQ247" s="29" t="e">
        <f t="shared" si="272"/>
        <v>#REF!</v>
      </c>
      <c r="UPR247" s="29" t="e">
        <f t="shared" si="272"/>
        <v>#REF!</v>
      </c>
      <c r="UPS247" s="29" t="e">
        <f t="shared" si="272"/>
        <v>#REF!</v>
      </c>
      <c r="UPT247" s="29" t="e">
        <f t="shared" si="272"/>
        <v>#REF!</v>
      </c>
      <c r="UPU247" s="29" t="e">
        <f t="shared" si="272"/>
        <v>#REF!</v>
      </c>
      <c r="UPV247" s="29" t="e">
        <f t="shared" si="272"/>
        <v>#REF!</v>
      </c>
      <c r="UPW247" s="29" t="e">
        <f t="shared" si="272"/>
        <v>#REF!</v>
      </c>
      <c r="UPX247" s="29" t="e">
        <f t="shared" si="272"/>
        <v>#REF!</v>
      </c>
      <c r="UPY247" s="29" t="e">
        <f t="shared" si="272"/>
        <v>#REF!</v>
      </c>
      <c r="UPZ247" s="29" t="e">
        <f t="shared" si="272"/>
        <v>#REF!</v>
      </c>
      <c r="UQA247" s="29" t="e">
        <f t="shared" si="272"/>
        <v>#REF!</v>
      </c>
      <c r="UQB247" s="29" t="e">
        <f t="shared" si="272"/>
        <v>#REF!</v>
      </c>
      <c r="UQC247" s="29" t="e">
        <f t="shared" si="272"/>
        <v>#REF!</v>
      </c>
      <c r="UQD247" s="29" t="e">
        <f t="shared" si="272"/>
        <v>#REF!</v>
      </c>
      <c r="UQE247" s="29" t="e">
        <f t="shared" si="272"/>
        <v>#REF!</v>
      </c>
      <c r="UQF247" s="29" t="e">
        <f t="shared" si="272"/>
        <v>#REF!</v>
      </c>
      <c r="UQG247" s="29" t="e">
        <f t="shared" si="272"/>
        <v>#REF!</v>
      </c>
      <c r="UQH247" s="29" t="e">
        <f t="shared" si="272"/>
        <v>#REF!</v>
      </c>
      <c r="UQI247" s="29" t="e">
        <f t="shared" si="272"/>
        <v>#REF!</v>
      </c>
      <c r="UQJ247" s="29" t="e">
        <f t="shared" si="272"/>
        <v>#REF!</v>
      </c>
      <c r="UQK247" s="29" t="e">
        <f t="shared" si="272"/>
        <v>#REF!</v>
      </c>
      <c r="UQL247" s="29" t="e">
        <f t="shared" si="272"/>
        <v>#REF!</v>
      </c>
      <c r="UQM247" s="29" t="e">
        <f t="shared" si="272"/>
        <v>#REF!</v>
      </c>
      <c r="UQN247" s="29" t="e">
        <f t="shared" si="272"/>
        <v>#REF!</v>
      </c>
      <c r="UQO247" s="29" t="e">
        <f t="shared" si="272"/>
        <v>#REF!</v>
      </c>
      <c r="UQP247" s="29" t="e">
        <f t="shared" si="272"/>
        <v>#REF!</v>
      </c>
      <c r="UQQ247" s="29" t="e">
        <f t="shared" si="272"/>
        <v>#REF!</v>
      </c>
      <c r="UQR247" s="29" t="e">
        <f t="shared" si="272"/>
        <v>#REF!</v>
      </c>
      <c r="UQS247" s="29" t="e">
        <f t="shared" si="272"/>
        <v>#REF!</v>
      </c>
      <c r="UQT247" s="29" t="e">
        <f t="shared" si="272"/>
        <v>#REF!</v>
      </c>
      <c r="UQU247" s="29" t="e">
        <f t="shared" si="272"/>
        <v>#REF!</v>
      </c>
      <c r="UQV247" s="29" t="e">
        <f t="shared" si="272"/>
        <v>#REF!</v>
      </c>
      <c r="UQW247" s="29" t="e">
        <f t="shared" si="272"/>
        <v>#REF!</v>
      </c>
      <c r="UQX247" s="29" t="e">
        <f t="shared" si="272"/>
        <v>#REF!</v>
      </c>
      <c r="UQY247" s="29" t="e">
        <f t="shared" si="272"/>
        <v>#REF!</v>
      </c>
      <c r="UQZ247" s="29" t="e">
        <f t="shared" si="272"/>
        <v>#REF!</v>
      </c>
      <c r="URA247" s="29" t="e">
        <f t="shared" si="272"/>
        <v>#REF!</v>
      </c>
      <c r="URB247" s="29" t="e">
        <f t="shared" si="272"/>
        <v>#REF!</v>
      </c>
      <c r="URC247" s="29" t="e">
        <f t="shared" si="272"/>
        <v>#REF!</v>
      </c>
      <c r="URD247" s="29" t="e">
        <f t="shared" si="272"/>
        <v>#REF!</v>
      </c>
      <c r="URE247" s="29" t="e">
        <f t="shared" si="272"/>
        <v>#REF!</v>
      </c>
      <c r="URF247" s="29" t="e">
        <f t="shared" si="272"/>
        <v>#REF!</v>
      </c>
      <c r="URG247" s="29" t="e">
        <f t="shared" si="272"/>
        <v>#REF!</v>
      </c>
      <c r="URH247" s="29" t="e">
        <f t="shared" si="272"/>
        <v>#REF!</v>
      </c>
      <c r="URI247" s="29" t="e">
        <f t="shared" ref="URI247:UTT247" si="273">URM247&amp;URN247</f>
        <v>#REF!</v>
      </c>
      <c r="URJ247" s="29" t="e">
        <f t="shared" si="273"/>
        <v>#REF!</v>
      </c>
      <c r="URK247" s="29" t="e">
        <f t="shared" si="273"/>
        <v>#REF!</v>
      </c>
      <c r="URL247" s="29" t="e">
        <f t="shared" si="273"/>
        <v>#REF!</v>
      </c>
      <c r="URM247" s="29" t="e">
        <f t="shared" si="273"/>
        <v>#REF!</v>
      </c>
      <c r="URN247" s="29" t="e">
        <f t="shared" si="273"/>
        <v>#REF!</v>
      </c>
      <c r="URO247" s="29" t="e">
        <f t="shared" si="273"/>
        <v>#REF!</v>
      </c>
      <c r="URP247" s="29" t="e">
        <f t="shared" si="273"/>
        <v>#REF!</v>
      </c>
      <c r="URQ247" s="29" t="e">
        <f t="shared" si="273"/>
        <v>#REF!</v>
      </c>
      <c r="URR247" s="29" t="e">
        <f t="shared" si="273"/>
        <v>#REF!</v>
      </c>
      <c r="URS247" s="29" t="e">
        <f t="shared" si="273"/>
        <v>#REF!</v>
      </c>
      <c r="URT247" s="29" t="e">
        <f t="shared" si="273"/>
        <v>#REF!</v>
      </c>
      <c r="URU247" s="29" t="e">
        <f t="shared" si="273"/>
        <v>#REF!</v>
      </c>
      <c r="URV247" s="29" t="e">
        <f t="shared" si="273"/>
        <v>#REF!</v>
      </c>
      <c r="URW247" s="29" t="e">
        <f t="shared" si="273"/>
        <v>#REF!</v>
      </c>
      <c r="URX247" s="29" t="e">
        <f t="shared" si="273"/>
        <v>#REF!</v>
      </c>
      <c r="URY247" s="29" t="e">
        <f t="shared" si="273"/>
        <v>#REF!</v>
      </c>
      <c r="URZ247" s="29" t="e">
        <f t="shared" si="273"/>
        <v>#REF!</v>
      </c>
      <c r="USA247" s="29" t="e">
        <f t="shared" si="273"/>
        <v>#REF!</v>
      </c>
      <c r="USB247" s="29" t="e">
        <f t="shared" si="273"/>
        <v>#REF!</v>
      </c>
      <c r="USC247" s="29" t="e">
        <f t="shared" si="273"/>
        <v>#REF!</v>
      </c>
      <c r="USD247" s="29" t="e">
        <f t="shared" si="273"/>
        <v>#REF!</v>
      </c>
      <c r="USE247" s="29" t="e">
        <f t="shared" si="273"/>
        <v>#REF!</v>
      </c>
      <c r="USF247" s="29" t="e">
        <f t="shared" si="273"/>
        <v>#REF!</v>
      </c>
      <c r="USG247" s="29" t="e">
        <f t="shared" si="273"/>
        <v>#REF!</v>
      </c>
      <c r="USH247" s="29" t="e">
        <f t="shared" si="273"/>
        <v>#REF!</v>
      </c>
      <c r="USI247" s="29" t="e">
        <f t="shared" si="273"/>
        <v>#REF!</v>
      </c>
      <c r="USJ247" s="29" t="e">
        <f t="shared" si="273"/>
        <v>#REF!</v>
      </c>
      <c r="USK247" s="29" t="e">
        <f t="shared" si="273"/>
        <v>#REF!</v>
      </c>
      <c r="USL247" s="29" t="e">
        <f t="shared" si="273"/>
        <v>#REF!</v>
      </c>
      <c r="USM247" s="29" t="e">
        <f t="shared" si="273"/>
        <v>#REF!</v>
      </c>
      <c r="USN247" s="29" t="e">
        <f t="shared" si="273"/>
        <v>#REF!</v>
      </c>
      <c r="USO247" s="29" t="e">
        <f t="shared" si="273"/>
        <v>#REF!</v>
      </c>
      <c r="USP247" s="29" t="e">
        <f t="shared" si="273"/>
        <v>#REF!</v>
      </c>
      <c r="USQ247" s="29" t="e">
        <f t="shared" si="273"/>
        <v>#REF!</v>
      </c>
      <c r="USR247" s="29" t="e">
        <f t="shared" si="273"/>
        <v>#REF!</v>
      </c>
      <c r="USS247" s="29" t="e">
        <f t="shared" si="273"/>
        <v>#REF!</v>
      </c>
      <c r="UST247" s="29" t="e">
        <f t="shared" si="273"/>
        <v>#REF!</v>
      </c>
      <c r="USU247" s="29" t="e">
        <f t="shared" si="273"/>
        <v>#REF!</v>
      </c>
      <c r="USV247" s="29" t="e">
        <f t="shared" si="273"/>
        <v>#REF!</v>
      </c>
      <c r="USW247" s="29" t="e">
        <f t="shared" si="273"/>
        <v>#REF!</v>
      </c>
      <c r="USX247" s="29" t="e">
        <f t="shared" si="273"/>
        <v>#REF!</v>
      </c>
      <c r="USY247" s="29" t="e">
        <f t="shared" si="273"/>
        <v>#REF!</v>
      </c>
      <c r="USZ247" s="29" t="e">
        <f t="shared" si="273"/>
        <v>#REF!</v>
      </c>
      <c r="UTA247" s="29" t="e">
        <f t="shared" si="273"/>
        <v>#REF!</v>
      </c>
      <c r="UTB247" s="29" t="e">
        <f t="shared" si="273"/>
        <v>#REF!</v>
      </c>
      <c r="UTC247" s="29" t="e">
        <f t="shared" si="273"/>
        <v>#REF!</v>
      </c>
      <c r="UTD247" s="29" t="e">
        <f t="shared" si="273"/>
        <v>#REF!</v>
      </c>
      <c r="UTE247" s="29" t="e">
        <f t="shared" si="273"/>
        <v>#REF!</v>
      </c>
      <c r="UTF247" s="29" t="e">
        <f t="shared" si="273"/>
        <v>#REF!</v>
      </c>
      <c r="UTG247" s="29" t="e">
        <f t="shared" si="273"/>
        <v>#REF!</v>
      </c>
      <c r="UTH247" s="29" t="e">
        <f t="shared" si="273"/>
        <v>#REF!</v>
      </c>
      <c r="UTI247" s="29" t="e">
        <f t="shared" si="273"/>
        <v>#REF!</v>
      </c>
      <c r="UTJ247" s="29" t="e">
        <f t="shared" si="273"/>
        <v>#REF!</v>
      </c>
      <c r="UTK247" s="29" t="e">
        <f t="shared" si="273"/>
        <v>#REF!</v>
      </c>
      <c r="UTL247" s="29" t="e">
        <f t="shared" si="273"/>
        <v>#REF!</v>
      </c>
      <c r="UTM247" s="29" t="e">
        <f t="shared" si="273"/>
        <v>#REF!</v>
      </c>
      <c r="UTN247" s="29" t="e">
        <f t="shared" si="273"/>
        <v>#REF!</v>
      </c>
      <c r="UTO247" s="29" t="e">
        <f t="shared" si="273"/>
        <v>#REF!</v>
      </c>
      <c r="UTP247" s="29" t="e">
        <f t="shared" si="273"/>
        <v>#REF!</v>
      </c>
      <c r="UTQ247" s="29" t="e">
        <f t="shared" si="273"/>
        <v>#REF!</v>
      </c>
      <c r="UTR247" s="29" t="e">
        <f t="shared" si="273"/>
        <v>#REF!</v>
      </c>
      <c r="UTS247" s="29" t="e">
        <f t="shared" si="273"/>
        <v>#REF!</v>
      </c>
      <c r="UTT247" s="29" t="e">
        <f t="shared" si="273"/>
        <v>#REF!</v>
      </c>
      <c r="UTU247" s="29" t="e">
        <f t="shared" ref="UTU247:UWF247" si="274">UTY247&amp;UTZ247</f>
        <v>#REF!</v>
      </c>
      <c r="UTV247" s="29" t="e">
        <f t="shared" si="274"/>
        <v>#REF!</v>
      </c>
      <c r="UTW247" s="29" t="e">
        <f t="shared" si="274"/>
        <v>#REF!</v>
      </c>
      <c r="UTX247" s="29" t="e">
        <f t="shared" si="274"/>
        <v>#REF!</v>
      </c>
      <c r="UTY247" s="29" t="e">
        <f t="shared" si="274"/>
        <v>#REF!</v>
      </c>
      <c r="UTZ247" s="29" t="e">
        <f t="shared" si="274"/>
        <v>#REF!</v>
      </c>
      <c r="UUA247" s="29" t="e">
        <f t="shared" si="274"/>
        <v>#REF!</v>
      </c>
      <c r="UUB247" s="29" t="e">
        <f t="shared" si="274"/>
        <v>#REF!</v>
      </c>
      <c r="UUC247" s="29" t="e">
        <f t="shared" si="274"/>
        <v>#REF!</v>
      </c>
      <c r="UUD247" s="29" t="e">
        <f t="shared" si="274"/>
        <v>#REF!</v>
      </c>
      <c r="UUE247" s="29" t="e">
        <f t="shared" si="274"/>
        <v>#REF!</v>
      </c>
      <c r="UUF247" s="29" t="e">
        <f t="shared" si="274"/>
        <v>#REF!</v>
      </c>
      <c r="UUG247" s="29" t="e">
        <f t="shared" si="274"/>
        <v>#REF!</v>
      </c>
      <c r="UUH247" s="29" t="e">
        <f t="shared" si="274"/>
        <v>#REF!</v>
      </c>
      <c r="UUI247" s="29" t="e">
        <f t="shared" si="274"/>
        <v>#REF!</v>
      </c>
      <c r="UUJ247" s="29" t="e">
        <f t="shared" si="274"/>
        <v>#REF!</v>
      </c>
      <c r="UUK247" s="29" t="e">
        <f t="shared" si="274"/>
        <v>#REF!</v>
      </c>
      <c r="UUL247" s="29" t="e">
        <f t="shared" si="274"/>
        <v>#REF!</v>
      </c>
      <c r="UUM247" s="29" t="e">
        <f t="shared" si="274"/>
        <v>#REF!</v>
      </c>
      <c r="UUN247" s="29" t="e">
        <f t="shared" si="274"/>
        <v>#REF!</v>
      </c>
      <c r="UUO247" s="29" t="e">
        <f t="shared" si="274"/>
        <v>#REF!</v>
      </c>
      <c r="UUP247" s="29" t="e">
        <f t="shared" si="274"/>
        <v>#REF!</v>
      </c>
      <c r="UUQ247" s="29" t="e">
        <f t="shared" si="274"/>
        <v>#REF!</v>
      </c>
      <c r="UUR247" s="29" t="e">
        <f t="shared" si="274"/>
        <v>#REF!</v>
      </c>
      <c r="UUS247" s="29" t="e">
        <f t="shared" si="274"/>
        <v>#REF!</v>
      </c>
      <c r="UUT247" s="29" t="e">
        <f t="shared" si="274"/>
        <v>#REF!</v>
      </c>
      <c r="UUU247" s="29" t="e">
        <f t="shared" si="274"/>
        <v>#REF!</v>
      </c>
      <c r="UUV247" s="29" t="e">
        <f t="shared" si="274"/>
        <v>#REF!</v>
      </c>
      <c r="UUW247" s="29" t="e">
        <f t="shared" si="274"/>
        <v>#REF!</v>
      </c>
      <c r="UUX247" s="29" t="e">
        <f t="shared" si="274"/>
        <v>#REF!</v>
      </c>
      <c r="UUY247" s="29" t="e">
        <f t="shared" si="274"/>
        <v>#REF!</v>
      </c>
      <c r="UUZ247" s="29" t="e">
        <f t="shared" si="274"/>
        <v>#REF!</v>
      </c>
      <c r="UVA247" s="29" t="e">
        <f t="shared" si="274"/>
        <v>#REF!</v>
      </c>
      <c r="UVB247" s="29" t="e">
        <f t="shared" si="274"/>
        <v>#REF!</v>
      </c>
      <c r="UVC247" s="29" t="e">
        <f t="shared" si="274"/>
        <v>#REF!</v>
      </c>
      <c r="UVD247" s="29" t="e">
        <f t="shared" si="274"/>
        <v>#REF!</v>
      </c>
      <c r="UVE247" s="29" t="e">
        <f t="shared" si="274"/>
        <v>#REF!</v>
      </c>
      <c r="UVF247" s="29" t="e">
        <f t="shared" si="274"/>
        <v>#REF!</v>
      </c>
      <c r="UVG247" s="29" t="e">
        <f t="shared" si="274"/>
        <v>#REF!</v>
      </c>
      <c r="UVH247" s="29" t="e">
        <f t="shared" si="274"/>
        <v>#REF!</v>
      </c>
      <c r="UVI247" s="29" t="e">
        <f t="shared" si="274"/>
        <v>#REF!</v>
      </c>
      <c r="UVJ247" s="29" t="e">
        <f t="shared" si="274"/>
        <v>#REF!</v>
      </c>
      <c r="UVK247" s="29" t="e">
        <f t="shared" si="274"/>
        <v>#REF!</v>
      </c>
      <c r="UVL247" s="29" t="e">
        <f t="shared" si="274"/>
        <v>#REF!</v>
      </c>
      <c r="UVM247" s="29" t="e">
        <f t="shared" si="274"/>
        <v>#REF!</v>
      </c>
      <c r="UVN247" s="29" t="e">
        <f t="shared" si="274"/>
        <v>#REF!</v>
      </c>
      <c r="UVO247" s="29" t="e">
        <f t="shared" si="274"/>
        <v>#REF!</v>
      </c>
      <c r="UVP247" s="29" t="e">
        <f t="shared" si="274"/>
        <v>#REF!</v>
      </c>
      <c r="UVQ247" s="29" t="e">
        <f t="shared" si="274"/>
        <v>#REF!</v>
      </c>
      <c r="UVR247" s="29" t="e">
        <f t="shared" si="274"/>
        <v>#REF!</v>
      </c>
      <c r="UVS247" s="29" t="e">
        <f t="shared" si="274"/>
        <v>#REF!</v>
      </c>
      <c r="UVT247" s="29" t="e">
        <f t="shared" si="274"/>
        <v>#REF!</v>
      </c>
      <c r="UVU247" s="29" t="e">
        <f t="shared" si="274"/>
        <v>#REF!</v>
      </c>
      <c r="UVV247" s="29" t="e">
        <f t="shared" si="274"/>
        <v>#REF!</v>
      </c>
      <c r="UVW247" s="29" t="e">
        <f t="shared" si="274"/>
        <v>#REF!</v>
      </c>
      <c r="UVX247" s="29" t="e">
        <f t="shared" si="274"/>
        <v>#REF!</v>
      </c>
      <c r="UVY247" s="29" t="e">
        <f t="shared" si="274"/>
        <v>#REF!</v>
      </c>
      <c r="UVZ247" s="29" t="e">
        <f t="shared" si="274"/>
        <v>#REF!</v>
      </c>
      <c r="UWA247" s="29" t="e">
        <f t="shared" si="274"/>
        <v>#REF!</v>
      </c>
      <c r="UWB247" s="29" t="e">
        <f t="shared" si="274"/>
        <v>#REF!</v>
      </c>
      <c r="UWC247" s="29" t="e">
        <f t="shared" si="274"/>
        <v>#REF!</v>
      </c>
      <c r="UWD247" s="29" t="e">
        <f t="shared" si="274"/>
        <v>#REF!</v>
      </c>
      <c r="UWE247" s="29" t="e">
        <f t="shared" si="274"/>
        <v>#REF!</v>
      </c>
      <c r="UWF247" s="29" t="e">
        <f t="shared" si="274"/>
        <v>#REF!</v>
      </c>
      <c r="UWG247" s="29" t="e">
        <f t="shared" ref="UWG247:UYR247" si="275">UWK247&amp;UWL247</f>
        <v>#REF!</v>
      </c>
      <c r="UWH247" s="29" t="e">
        <f t="shared" si="275"/>
        <v>#REF!</v>
      </c>
      <c r="UWI247" s="29" t="e">
        <f t="shared" si="275"/>
        <v>#REF!</v>
      </c>
      <c r="UWJ247" s="29" t="e">
        <f t="shared" si="275"/>
        <v>#REF!</v>
      </c>
      <c r="UWK247" s="29" t="e">
        <f t="shared" si="275"/>
        <v>#REF!</v>
      </c>
      <c r="UWL247" s="29" t="e">
        <f t="shared" si="275"/>
        <v>#REF!</v>
      </c>
      <c r="UWM247" s="29" t="e">
        <f t="shared" si="275"/>
        <v>#REF!</v>
      </c>
      <c r="UWN247" s="29" t="e">
        <f t="shared" si="275"/>
        <v>#REF!</v>
      </c>
      <c r="UWO247" s="29" t="e">
        <f t="shared" si="275"/>
        <v>#REF!</v>
      </c>
      <c r="UWP247" s="29" t="e">
        <f t="shared" si="275"/>
        <v>#REF!</v>
      </c>
      <c r="UWQ247" s="29" t="e">
        <f t="shared" si="275"/>
        <v>#REF!</v>
      </c>
      <c r="UWR247" s="29" t="e">
        <f t="shared" si="275"/>
        <v>#REF!</v>
      </c>
      <c r="UWS247" s="29" t="e">
        <f t="shared" si="275"/>
        <v>#REF!</v>
      </c>
      <c r="UWT247" s="29" t="e">
        <f t="shared" si="275"/>
        <v>#REF!</v>
      </c>
      <c r="UWU247" s="29" t="e">
        <f t="shared" si="275"/>
        <v>#REF!</v>
      </c>
      <c r="UWV247" s="29" t="e">
        <f t="shared" si="275"/>
        <v>#REF!</v>
      </c>
      <c r="UWW247" s="29" t="e">
        <f t="shared" si="275"/>
        <v>#REF!</v>
      </c>
      <c r="UWX247" s="29" t="e">
        <f t="shared" si="275"/>
        <v>#REF!</v>
      </c>
      <c r="UWY247" s="29" t="e">
        <f t="shared" si="275"/>
        <v>#REF!</v>
      </c>
      <c r="UWZ247" s="29" t="e">
        <f t="shared" si="275"/>
        <v>#REF!</v>
      </c>
      <c r="UXA247" s="29" t="e">
        <f t="shared" si="275"/>
        <v>#REF!</v>
      </c>
      <c r="UXB247" s="29" t="e">
        <f t="shared" si="275"/>
        <v>#REF!</v>
      </c>
      <c r="UXC247" s="29" t="e">
        <f t="shared" si="275"/>
        <v>#REF!</v>
      </c>
      <c r="UXD247" s="29" t="e">
        <f t="shared" si="275"/>
        <v>#REF!</v>
      </c>
      <c r="UXE247" s="29" t="e">
        <f t="shared" si="275"/>
        <v>#REF!</v>
      </c>
      <c r="UXF247" s="29" t="e">
        <f t="shared" si="275"/>
        <v>#REF!</v>
      </c>
      <c r="UXG247" s="29" t="e">
        <f t="shared" si="275"/>
        <v>#REF!</v>
      </c>
      <c r="UXH247" s="29" t="e">
        <f t="shared" si="275"/>
        <v>#REF!</v>
      </c>
      <c r="UXI247" s="29" t="e">
        <f t="shared" si="275"/>
        <v>#REF!</v>
      </c>
      <c r="UXJ247" s="29" t="e">
        <f t="shared" si="275"/>
        <v>#REF!</v>
      </c>
      <c r="UXK247" s="29" t="e">
        <f t="shared" si="275"/>
        <v>#REF!</v>
      </c>
      <c r="UXL247" s="29" t="e">
        <f t="shared" si="275"/>
        <v>#REF!</v>
      </c>
      <c r="UXM247" s="29" t="e">
        <f t="shared" si="275"/>
        <v>#REF!</v>
      </c>
      <c r="UXN247" s="29" t="e">
        <f t="shared" si="275"/>
        <v>#REF!</v>
      </c>
      <c r="UXO247" s="29" t="e">
        <f t="shared" si="275"/>
        <v>#REF!</v>
      </c>
      <c r="UXP247" s="29" t="e">
        <f t="shared" si="275"/>
        <v>#REF!</v>
      </c>
      <c r="UXQ247" s="29" t="e">
        <f t="shared" si="275"/>
        <v>#REF!</v>
      </c>
      <c r="UXR247" s="29" t="e">
        <f t="shared" si="275"/>
        <v>#REF!</v>
      </c>
      <c r="UXS247" s="29" t="e">
        <f t="shared" si="275"/>
        <v>#REF!</v>
      </c>
      <c r="UXT247" s="29" t="e">
        <f t="shared" si="275"/>
        <v>#REF!</v>
      </c>
      <c r="UXU247" s="29" t="e">
        <f t="shared" si="275"/>
        <v>#REF!</v>
      </c>
      <c r="UXV247" s="29" t="e">
        <f t="shared" si="275"/>
        <v>#REF!</v>
      </c>
      <c r="UXW247" s="29" t="e">
        <f t="shared" si="275"/>
        <v>#REF!</v>
      </c>
      <c r="UXX247" s="29" t="e">
        <f t="shared" si="275"/>
        <v>#REF!</v>
      </c>
      <c r="UXY247" s="29" t="e">
        <f t="shared" si="275"/>
        <v>#REF!</v>
      </c>
      <c r="UXZ247" s="29" t="e">
        <f t="shared" si="275"/>
        <v>#REF!</v>
      </c>
      <c r="UYA247" s="29" t="e">
        <f t="shared" si="275"/>
        <v>#REF!</v>
      </c>
      <c r="UYB247" s="29" t="e">
        <f t="shared" si="275"/>
        <v>#REF!</v>
      </c>
      <c r="UYC247" s="29" t="e">
        <f t="shared" si="275"/>
        <v>#REF!</v>
      </c>
      <c r="UYD247" s="29" t="e">
        <f t="shared" si="275"/>
        <v>#REF!</v>
      </c>
      <c r="UYE247" s="29" t="e">
        <f t="shared" si="275"/>
        <v>#REF!</v>
      </c>
      <c r="UYF247" s="29" t="e">
        <f t="shared" si="275"/>
        <v>#REF!</v>
      </c>
      <c r="UYG247" s="29" t="e">
        <f t="shared" si="275"/>
        <v>#REF!</v>
      </c>
      <c r="UYH247" s="29" t="e">
        <f t="shared" si="275"/>
        <v>#REF!</v>
      </c>
      <c r="UYI247" s="29" t="e">
        <f t="shared" si="275"/>
        <v>#REF!</v>
      </c>
      <c r="UYJ247" s="29" t="e">
        <f t="shared" si="275"/>
        <v>#REF!</v>
      </c>
      <c r="UYK247" s="29" t="e">
        <f t="shared" si="275"/>
        <v>#REF!</v>
      </c>
      <c r="UYL247" s="29" t="e">
        <f t="shared" si="275"/>
        <v>#REF!</v>
      </c>
      <c r="UYM247" s="29" t="e">
        <f t="shared" si="275"/>
        <v>#REF!</v>
      </c>
      <c r="UYN247" s="29" t="e">
        <f t="shared" si="275"/>
        <v>#REF!</v>
      </c>
      <c r="UYO247" s="29" t="e">
        <f t="shared" si="275"/>
        <v>#REF!</v>
      </c>
      <c r="UYP247" s="29" t="e">
        <f t="shared" si="275"/>
        <v>#REF!</v>
      </c>
      <c r="UYQ247" s="29" t="e">
        <f t="shared" si="275"/>
        <v>#REF!</v>
      </c>
      <c r="UYR247" s="29" t="e">
        <f t="shared" si="275"/>
        <v>#REF!</v>
      </c>
      <c r="UYS247" s="29" t="e">
        <f t="shared" ref="UYS247:VBD247" si="276">UYW247&amp;UYX247</f>
        <v>#REF!</v>
      </c>
      <c r="UYT247" s="29" t="e">
        <f t="shared" si="276"/>
        <v>#REF!</v>
      </c>
      <c r="UYU247" s="29" t="e">
        <f t="shared" si="276"/>
        <v>#REF!</v>
      </c>
      <c r="UYV247" s="29" t="e">
        <f t="shared" si="276"/>
        <v>#REF!</v>
      </c>
      <c r="UYW247" s="29" t="e">
        <f t="shared" si="276"/>
        <v>#REF!</v>
      </c>
      <c r="UYX247" s="29" t="e">
        <f t="shared" si="276"/>
        <v>#REF!</v>
      </c>
      <c r="UYY247" s="29" t="e">
        <f t="shared" si="276"/>
        <v>#REF!</v>
      </c>
      <c r="UYZ247" s="29" t="e">
        <f t="shared" si="276"/>
        <v>#REF!</v>
      </c>
      <c r="UZA247" s="29" t="e">
        <f t="shared" si="276"/>
        <v>#REF!</v>
      </c>
      <c r="UZB247" s="29" t="e">
        <f t="shared" si="276"/>
        <v>#REF!</v>
      </c>
      <c r="UZC247" s="29" t="e">
        <f t="shared" si="276"/>
        <v>#REF!</v>
      </c>
      <c r="UZD247" s="29" t="e">
        <f t="shared" si="276"/>
        <v>#REF!</v>
      </c>
      <c r="UZE247" s="29" t="e">
        <f t="shared" si="276"/>
        <v>#REF!</v>
      </c>
      <c r="UZF247" s="29" t="e">
        <f t="shared" si="276"/>
        <v>#REF!</v>
      </c>
      <c r="UZG247" s="29" t="e">
        <f t="shared" si="276"/>
        <v>#REF!</v>
      </c>
      <c r="UZH247" s="29" t="e">
        <f t="shared" si="276"/>
        <v>#REF!</v>
      </c>
      <c r="UZI247" s="29" t="e">
        <f t="shared" si="276"/>
        <v>#REF!</v>
      </c>
      <c r="UZJ247" s="29" t="e">
        <f t="shared" si="276"/>
        <v>#REF!</v>
      </c>
      <c r="UZK247" s="29" t="e">
        <f t="shared" si="276"/>
        <v>#REF!</v>
      </c>
      <c r="UZL247" s="29" t="e">
        <f t="shared" si="276"/>
        <v>#REF!</v>
      </c>
      <c r="UZM247" s="29" t="e">
        <f t="shared" si="276"/>
        <v>#REF!</v>
      </c>
      <c r="UZN247" s="29" t="e">
        <f t="shared" si="276"/>
        <v>#REF!</v>
      </c>
      <c r="UZO247" s="29" t="e">
        <f t="shared" si="276"/>
        <v>#REF!</v>
      </c>
      <c r="UZP247" s="29" t="e">
        <f t="shared" si="276"/>
        <v>#REF!</v>
      </c>
      <c r="UZQ247" s="29" t="e">
        <f t="shared" si="276"/>
        <v>#REF!</v>
      </c>
      <c r="UZR247" s="29" t="e">
        <f t="shared" si="276"/>
        <v>#REF!</v>
      </c>
      <c r="UZS247" s="29" t="e">
        <f t="shared" si="276"/>
        <v>#REF!</v>
      </c>
      <c r="UZT247" s="29" t="e">
        <f t="shared" si="276"/>
        <v>#REF!</v>
      </c>
      <c r="UZU247" s="29" t="e">
        <f t="shared" si="276"/>
        <v>#REF!</v>
      </c>
      <c r="UZV247" s="29" t="e">
        <f t="shared" si="276"/>
        <v>#REF!</v>
      </c>
      <c r="UZW247" s="29" t="e">
        <f t="shared" si="276"/>
        <v>#REF!</v>
      </c>
      <c r="UZX247" s="29" t="e">
        <f t="shared" si="276"/>
        <v>#REF!</v>
      </c>
      <c r="UZY247" s="29" t="e">
        <f t="shared" si="276"/>
        <v>#REF!</v>
      </c>
      <c r="UZZ247" s="29" t="e">
        <f t="shared" si="276"/>
        <v>#REF!</v>
      </c>
      <c r="VAA247" s="29" t="e">
        <f t="shared" si="276"/>
        <v>#REF!</v>
      </c>
      <c r="VAB247" s="29" t="e">
        <f t="shared" si="276"/>
        <v>#REF!</v>
      </c>
      <c r="VAC247" s="29" t="e">
        <f t="shared" si="276"/>
        <v>#REF!</v>
      </c>
      <c r="VAD247" s="29" t="e">
        <f t="shared" si="276"/>
        <v>#REF!</v>
      </c>
      <c r="VAE247" s="29" t="e">
        <f t="shared" si="276"/>
        <v>#REF!</v>
      </c>
      <c r="VAF247" s="29" t="e">
        <f t="shared" si="276"/>
        <v>#REF!</v>
      </c>
      <c r="VAG247" s="29" t="e">
        <f t="shared" si="276"/>
        <v>#REF!</v>
      </c>
      <c r="VAH247" s="29" t="e">
        <f t="shared" si="276"/>
        <v>#REF!</v>
      </c>
      <c r="VAI247" s="29" t="e">
        <f t="shared" si="276"/>
        <v>#REF!</v>
      </c>
      <c r="VAJ247" s="29" t="e">
        <f t="shared" si="276"/>
        <v>#REF!</v>
      </c>
      <c r="VAK247" s="29" t="e">
        <f t="shared" si="276"/>
        <v>#REF!</v>
      </c>
      <c r="VAL247" s="29" t="e">
        <f t="shared" si="276"/>
        <v>#REF!</v>
      </c>
      <c r="VAM247" s="29" t="e">
        <f t="shared" si="276"/>
        <v>#REF!</v>
      </c>
      <c r="VAN247" s="29" t="e">
        <f t="shared" si="276"/>
        <v>#REF!</v>
      </c>
      <c r="VAO247" s="29" t="e">
        <f t="shared" si="276"/>
        <v>#REF!</v>
      </c>
      <c r="VAP247" s="29" t="e">
        <f t="shared" si="276"/>
        <v>#REF!</v>
      </c>
      <c r="VAQ247" s="29" t="e">
        <f t="shared" si="276"/>
        <v>#REF!</v>
      </c>
      <c r="VAR247" s="29" t="e">
        <f t="shared" si="276"/>
        <v>#REF!</v>
      </c>
      <c r="VAS247" s="29" t="e">
        <f t="shared" si="276"/>
        <v>#REF!</v>
      </c>
      <c r="VAT247" s="29" t="e">
        <f t="shared" si="276"/>
        <v>#REF!</v>
      </c>
      <c r="VAU247" s="29" t="e">
        <f t="shared" si="276"/>
        <v>#REF!</v>
      </c>
      <c r="VAV247" s="29" t="e">
        <f t="shared" si="276"/>
        <v>#REF!</v>
      </c>
      <c r="VAW247" s="29" t="e">
        <f t="shared" si="276"/>
        <v>#REF!</v>
      </c>
      <c r="VAX247" s="29" t="e">
        <f t="shared" si="276"/>
        <v>#REF!</v>
      </c>
      <c r="VAY247" s="29" t="e">
        <f t="shared" si="276"/>
        <v>#REF!</v>
      </c>
      <c r="VAZ247" s="29" t="e">
        <f t="shared" si="276"/>
        <v>#REF!</v>
      </c>
      <c r="VBA247" s="29" t="e">
        <f t="shared" si="276"/>
        <v>#REF!</v>
      </c>
      <c r="VBB247" s="29" t="e">
        <f t="shared" si="276"/>
        <v>#REF!</v>
      </c>
      <c r="VBC247" s="29" t="e">
        <f t="shared" si="276"/>
        <v>#REF!</v>
      </c>
      <c r="VBD247" s="29" t="e">
        <f t="shared" si="276"/>
        <v>#REF!</v>
      </c>
      <c r="VBE247" s="29" t="e">
        <f t="shared" ref="VBE247:VDP247" si="277">VBI247&amp;VBJ247</f>
        <v>#REF!</v>
      </c>
      <c r="VBF247" s="29" t="e">
        <f t="shared" si="277"/>
        <v>#REF!</v>
      </c>
      <c r="VBG247" s="29" t="e">
        <f t="shared" si="277"/>
        <v>#REF!</v>
      </c>
      <c r="VBH247" s="29" t="e">
        <f t="shared" si="277"/>
        <v>#REF!</v>
      </c>
      <c r="VBI247" s="29" t="e">
        <f t="shared" si="277"/>
        <v>#REF!</v>
      </c>
      <c r="VBJ247" s="29" t="e">
        <f t="shared" si="277"/>
        <v>#REF!</v>
      </c>
      <c r="VBK247" s="29" t="e">
        <f t="shared" si="277"/>
        <v>#REF!</v>
      </c>
      <c r="VBL247" s="29" t="e">
        <f t="shared" si="277"/>
        <v>#REF!</v>
      </c>
      <c r="VBM247" s="29" t="e">
        <f t="shared" si="277"/>
        <v>#REF!</v>
      </c>
      <c r="VBN247" s="29" t="e">
        <f t="shared" si="277"/>
        <v>#REF!</v>
      </c>
      <c r="VBO247" s="29" t="e">
        <f t="shared" si="277"/>
        <v>#REF!</v>
      </c>
      <c r="VBP247" s="29" t="e">
        <f t="shared" si="277"/>
        <v>#REF!</v>
      </c>
      <c r="VBQ247" s="29" t="e">
        <f t="shared" si="277"/>
        <v>#REF!</v>
      </c>
      <c r="VBR247" s="29" t="e">
        <f t="shared" si="277"/>
        <v>#REF!</v>
      </c>
      <c r="VBS247" s="29" t="e">
        <f t="shared" si="277"/>
        <v>#REF!</v>
      </c>
      <c r="VBT247" s="29" t="e">
        <f t="shared" si="277"/>
        <v>#REF!</v>
      </c>
      <c r="VBU247" s="29" t="e">
        <f t="shared" si="277"/>
        <v>#REF!</v>
      </c>
      <c r="VBV247" s="29" t="e">
        <f t="shared" si="277"/>
        <v>#REF!</v>
      </c>
      <c r="VBW247" s="29" t="e">
        <f t="shared" si="277"/>
        <v>#REF!</v>
      </c>
      <c r="VBX247" s="29" t="e">
        <f t="shared" si="277"/>
        <v>#REF!</v>
      </c>
      <c r="VBY247" s="29" t="e">
        <f t="shared" si="277"/>
        <v>#REF!</v>
      </c>
      <c r="VBZ247" s="29" t="e">
        <f t="shared" si="277"/>
        <v>#REF!</v>
      </c>
      <c r="VCA247" s="29" t="e">
        <f t="shared" si="277"/>
        <v>#REF!</v>
      </c>
      <c r="VCB247" s="29" t="e">
        <f t="shared" si="277"/>
        <v>#REF!</v>
      </c>
      <c r="VCC247" s="29" t="e">
        <f t="shared" si="277"/>
        <v>#REF!</v>
      </c>
      <c r="VCD247" s="29" t="e">
        <f t="shared" si="277"/>
        <v>#REF!</v>
      </c>
      <c r="VCE247" s="29" t="e">
        <f t="shared" si="277"/>
        <v>#REF!</v>
      </c>
      <c r="VCF247" s="29" t="e">
        <f t="shared" si="277"/>
        <v>#REF!</v>
      </c>
      <c r="VCG247" s="29" t="e">
        <f t="shared" si="277"/>
        <v>#REF!</v>
      </c>
      <c r="VCH247" s="29" t="e">
        <f t="shared" si="277"/>
        <v>#REF!</v>
      </c>
      <c r="VCI247" s="29" t="e">
        <f t="shared" si="277"/>
        <v>#REF!</v>
      </c>
      <c r="VCJ247" s="29" t="e">
        <f t="shared" si="277"/>
        <v>#REF!</v>
      </c>
      <c r="VCK247" s="29" t="e">
        <f t="shared" si="277"/>
        <v>#REF!</v>
      </c>
      <c r="VCL247" s="29" t="e">
        <f t="shared" si="277"/>
        <v>#REF!</v>
      </c>
      <c r="VCM247" s="29" t="e">
        <f t="shared" si="277"/>
        <v>#REF!</v>
      </c>
      <c r="VCN247" s="29" t="e">
        <f t="shared" si="277"/>
        <v>#REF!</v>
      </c>
      <c r="VCO247" s="29" t="e">
        <f t="shared" si="277"/>
        <v>#REF!</v>
      </c>
      <c r="VCP247" s="29" t="e">
        <f t="shared" si="277"/>
        <v>#REF!</v>
      </c>
      <c r="VCQ247" s="29" t="e">
        <f t="shared" si="277"/>
        <v>#REF!</v>
      </c>
      <c r="VCR247" s="29" t="e">
        <f t="shared" si="277"/>
        <v>#REF!</v>
      </c>
      <c r="VCS247" s="29" t="e">
        <f t="shared" si="277"/>
        <v>#REF!</v>
      </c>
      <c r="VCT247" s="29" t="e">
        <f t="shared" si="277"/>
        <v>#REF!</v>
      </c>
      <c r="VCU247" s="29" t="e">
        <f t="shared" si="277"/>
        <v>#REF!</v>
      </c>
      <c r="VCV247" s="29" t="e">
        <f t="shared" si="277"/>
        <v>#REF!</v>
      </c>
      <c r="VCW247" s="29" t="e">
        <f t="shared" si="277"/>
        <v>#REF!</v>
      </c>
      <c r="VCX247" s="29" t="e">
        <f t="shared" si="277"/>
        <v>#REF!</v>
      </c>
      <c r="VCY247" s="29" t="e">
        <f t="shared" si="277"/>
        <v>#REF!</v>
      </c>
      <c r="VCZ247" s="29" t="e">
        <f t="shared" si="277"/>
        <v>#REF!</v>
      </c>
      <c r="VDA247" s="29" t="e">
        <f t="shared" si="277"/>
        <v>#REF!</v>
      </c>
      <c r="VDB247" s="29" t="e">
        <f t="shared" si="277"/>
        <v>#REF!</v>
      </c>
      <c r="VDC247" s="29" t="e">
        <f t="shared" si="277"/>
        <v>#REF!</v>
      </c>
      <c r="VDD247" s="29" t="e">
        <f t="shared" si="277"/>
        <v>#REF!</v>
      </c>
      <c r="VDE247" s="29" t="e">
        <f t="shared" si="277"/>
        <v>#REF!</v>
      </c>
      <c r="VDF247" s="29" t="e">
        <f t="shared" si="277"/>
        <v>#REF!</v>
      </c>
      <c r="VDG247" s="29" t="e">
        <f t="shared" si="277"/>
        <v>#REF!</v>
      </c>
      <c r="VDH247" s="29" t="e">
        <f t="shared" si="277"/>
        <v>#REF!</v>
      </c>
      <c r="VDI247" s="29" t="e">
        <f t="shared" si="277"/>
        <v>#REF!</v>
      </c>
      <c r="VDJ247" s="29" t="e">
        <f t="shared" si="277"/>
        <v>#REF!</v>
      </c>
      <c r="VDK247" s="29" t="e">
        <f t="shared" si="277"/>
        <v>#REF!</v>
      </c>
      <c r="VDL247" s="29" t="e">
        <f t="shared" si="277"/>
        <v>#REF!</v>
      </c>
      <c r="VDM247" s="29" t="e">
        <f t="shared" si="277"/>
        <v>#REF!</v>
      </c>
      <c r="VDN247" s="29" t="e">
        <f t="shared" si="277"/>
        <v>#REF!</v>
      </c>
      <c r="VDO247" s="29" t="e">
        <f t="shared" si="277"/>
        <v>#REF!</v>
      </c>
      <c r="VDP247" s="29" t="e">
        <f t="shared" si="277"/>
        <v>#REF!</v>
      </c>
      <c r="VDQ247" s="29" t="e">
        <f t="shared" ref="VDQ247:VGB247" si="278">VDU247&amp;VDV247</f>
        <v>#REF!</v>
      </c>
      <c r="VDR247" s="29" t="e">
        <f t="shared" si="278"/>
        <v>#REF!</v>
      </c>
      <c r="VDS247" s="29" t="e">
        <f t="shared" si="278"/>
        <v>#REF!</v>
      </c>
      <c r="VDT247" s="29" t="e">
        <f t="shared" si="278"/>
        <v>#REF!</v>
      </c>
      <c r="VDU247" s="29" t="e">
        <f t="shared" si="278"/>
        <v>#REF!</v>
      </c>
      <c r="VDV247" s="29" t="e">
        <f t="shared" si="278"/>
        <v>#REF!</v>
      </c>
      <c r="VDW247" s="29" t="e">
        <f t="shared" si="278"/>
        <v>#REF!</v>
      </c>
      <c r="VDX247" s="29" t="e">
        <f t="shared" si="278"/>
        <v>#REF!</v>
      </c>
      <c r="VDY247" s="29" t="e">
        <f t="shared" si="278"/>
        <v>#REF!</v>
      </c>
      <c r="VDZ247" s="29" t="e">
        <f t="shared" si="278"/>
        <v>#REF!</v>
      </c>
      <c r="VEA247" s="29" t="e">
        <f t="shared" si="278"/>
        <v>#REF!</v>
      </c>
      <c r="VEB247" s="29" t="e">
        <f t="shared" si="278"/>
        <v>#REF!</v>
      </c>
      <c r="VEC247" s="29" t="e">
        <f t="shared" si="278"/>
        <v>#REF!</v>
      </c>
      <c r="VED247" s="29" t="e">
        <f t="shared" si="278"/>
        <v>#REF!</v>
      </c>
      <c r="VEE247" s="29" t="e">
        <f t="shared" si="278"/>
        <v>#REF!</v>
      </c>
      <c r="VEF247" s="29" t="e">
        <f t="shared" si="278"/>
        <v>#REF!</v>
      </c>
      <c r="VEG247" s="29" t="e">
        <f t="shared" si="278"/>
        <v>#REF!</v>
      </c>
      <c r="VEH247" s="29" t="e">
        <f t="shared" si="278"/>
        <v>#REF!</v>
      </c>
      <c r="VEI247" s="29" t="e">
        <f t="shared" si="278"/>
        <v>#REF!</v>
      </c>
      <c r="VEJ247" s="29" t="e">
        <f t="shared" si="278"/>
        <v>#REF!</v>
      </c>
      <c r="VEK247" s="29" t="e">
        <f t="shared" si="278"/>
        <v>#REF!</v>
      </c>
      <c r="VEL247" s="29" t="e">
        <f t="shared" si="278"/>
        <v>#REF!</v>
      </c>
      <c r="VEM247" s="29" t="e">
        <f t="shared" si="278"/>
        <v>#REF!</v>
      </c>
      <c r="VEN247" s="29" t="e">
        <f t="shared" si="278"/>
        <v>#REF!</v>
      </c>
      <c r="VEO247" s="29" t="e">
        <f t="shared" si="278"/>
        <v>#REF!</v>
      </c>
      <c r="VEP247" s="29" t="e">
        <f t="shared" si="278"/>
        <v>#REF!</v>
      </c>
      <c r="VEQ247" s="29" t="e">
        <f t="shared" si="278"/>
        <v>#REF!</v>
      </c>
      <c r="VER247" s="29" t="e">
        <f t="shared" si="278"/>
        <v>#REF!</v>
      </c>
      <c r="VES247" s="29" t="e">
        <f t="shared" si="278"/>
        <v>#REF!</v>
      </c>
      <c r="VET247" s="29" t="e">
        <f t="shared" si="278"/>
        <v>#REF!</v>
      </c>
      <c r="VEU247" s="29" t="e">
        <f t="shared" si="278"/>
        <v>#REF!</v>
      </c>
      <c r="VEV247" s="29" t="e">
        <f t="shared" si="278"/>
        <v>#REF!</v>
      </c>
      <c r="VEW247" s="29" t="e">
        <f t="shared" si="278"/>
        <v>#REF!</v>
      </c>
      <c r="VEX247" s="29" t="e">
        <f t="shared" si="278"/>
        <v>#REF!</v>
      </c>
      <c r="VEY247" s="29" t="e">
        <f t="shared" si="278"/>
        <v>#REF!</v>
      </c>
      <c r="VEZ247" s="29" t="e">
        <f t="shared" si="278"/>
        <v>#REF!</v>
      </c>
      <c r="VFA247" s="29" t="e">
        <f t="shared" si="278"/>
        <v>#REF!</v>
      </c>
      <c r="VFB247" s="29" t="e">
        <f t="shared" si="278"/>
        <v>#REF!</v>
      </c>
      <c r="VFC247" s="29" t="e">
        <f t="shared" si="278"/>
        <v>#REF!</v>
      </c>
      <c r="VFD247" s="29" t="e">
        <f t="shared" si="278"/>
        <v>#REF!</v>
      </c>
      <c r="VFE247" s="29" t="e">
        <f t="shared" si="278"/>
        <v>#REF!</v>
      </c>
      <c r="VFF247" s="29" t="e">
        <f t="shared" si="278"/>
        <v>#REF!</v>
      </c>
      <c r="VFG247" s="29" t="e">
        <f t="shared" si="278"/>
        <v>#REF!</v>
      </c>
      <c r="VFH247" s="29" t="e">
        <f t="shared" si="278"/>
        <v>#REF!</v>
      </c>
      <c r="VFI247" s="29" t="e">
        <f t="shared" si="278"/>
        <v>#REF!</v>
      </c>
      <c r="VFJ247" s="29" t="e">
        <f t="shared" si="278"/>
        <v>#REF!</v>
      </c>
      <c r="VFK247" s="29" t="e">
        <f t="shared" si="278"/>
        <v>#REF!</v>
      </c>
      <c r="VFL247" s="29" t="e">
        <f t="shared" si="278"/>
        <v>#REF!</v>
      </c>
      <c r="VFM247" s="29" t="e">
        <f t="shared" si="278"/>
        <v>#REF!</v>
      </c>
      <c r="VFN247" s="29" t="e">
        <f t="shared" si="278"/>
        <v>#REF!</v>
      </c>
      <c r="VFO247" s="29" t="e">
        <f t="shared" si="278"/>
        <v>#REF!</v>
      </c>
      <c r="VFP247" s="29" t="e">
        <f t="shared" si="278"/>
        <v>#REF!</v>
      </c>
      <c r="VFQ247" s="29" t="e">
        <f t="shared" si="278"/>
        <v>#REF!</v>
      </c>
      <c r="VFR247" s="29" t="e">
        <f t="shared" si="278"/>
        <v>#REF!</v>
      </c>
      <c r="VFS247" s="29" t="e">
        <f t="shared" si="278"/>
        <v>#REF!</v>
      </c>
      <c r="VFT247" s="29" t="e">
        <f t="shared" si="278"/>
        <v>#REF!</v>
      </c>
      <c r="VFU247" s="29" t="e">
        <f t="shared" si="278"/>
        <v>#REF!</v>
      </c>
      <c r="VFV247" s="29" t="e">
        <f t="shared" si="278"/>
        <v>#REF!</v>
      </c>
      <c r="VFW247" s="29" t="e">
        <f t="shared" si="278"/>
        <v>#REF!</v>
      </c>
      <c r="VFX247" s="29" t="e">
        <f t="shared" si="278"/>
        <v>#REF!</v>
      </c>
      <c r="VFY247" s="29" t="e">
        <f t="shared" si="278"/>
        <v>#REF!</v>
      </c>
      <c r="VFZ247" s="29" t="e">
        <f t="shared" si="278"/>
        <v>#REF!</v>
      </c>
      <c r="VGA247" s="29" t="e">
        <f t="shared" si="278"/>
        <v>#REF!</v>
      </c>
      <c r="VGB247" s="29" t="e">
        <f t="shared" si="278"/>
        <v>#REF!</v>
      </c>
      <c r="VGC247" s="29" t="e">
        <f t="shared" ref="VGC247:VIN247" si="279">VGG247&amp;VGH247</f>
        <v>#REF!</v>
      </c>
      <c r="VGD247" s="29" t="e">
        <f t="shared" si="279"/>
        <v>#REF!</v>
      </c>
      <c r="VGE247" s="29" t="e">
        <f t="shared" si="279"/>
        <v>#REF!</v>
      </c>
      <c r="VGF247" s="29" t="e">
        <f t="shared" si="279"/>
        <v>#REF!</v>
      </c>
      <c r="VGG247" s="29" t="e">
        <f t="shared" si="279"/>
        <v>#REF!</v>
      </c>
      <c r="VGH247" s="29" t="e">
        <f t="shared" si="279"/>
        <v>#REF!</v>
      </c>
      <c r="VGI247" s="29" t="e">
        <f t="shared" si="279"/>
        <v>#REF!</v>
      </c>
      <c r="VGJ247" s="29" t="e">
        <f t="shared" si="279"/>
        <v>#REF!</v>
      </c>
      <c r="VGK247" s="29" t="e">
        <f t="shared" si="279"/>
        <v>#REF!</v>
      </c>
      <c r="VGL247" s="29" t="e">
        <f t="shared" si="279"/>
        <v>#REF!</v>
      </c>
      <c r="VGM247" s="29" t="e">
        <f t="shared" si="279"/>
        <v>#REF!</v>
      </c>
      <c r="VGN247" s="29" t="e">
        <f t="shared" si="279"/>
        <v>#REF!</v>
      </c>
      <c r="VGO247" s="29" t="e">
        <f t="shared" si="279"/>
        <v>#REF!</v>
      </c>
      <c r="VGP247" s="29" t="e">
        <f t="shared" si="279"/>
        <v>#REF!</v>
      </c>
      <c r="VGQ247" s="29" t="e">
        <f t="shared" si="279"/>
        <v>#REF!</v>
      </c>
      <c r="VGR247" s="29" t="e">
        <f t="shared" si="279"/>
        <v>#REF!</v>
      </c>
      <c r="VGS247" s="29" t="e">
        <f t="shared" si="279"/>
        <v>#REF!</v>
      </c>
      <c r="VGT247" s="29" t="e">
        <f t="shared" si="279"/>
        <v>#REF!</v>
      </c>
      <c r="VGU247" s="29" t="e">
        <f t="shared" si="279"/>
        <v>#REF!</v>
      </c>
      <c r="VGV247" s="29" t="e">
        <f t="shared" si="279"/>
        <v>#REF!</v>
      </c>
      <c r="VGW247" s="29" t="e">
        <f t="shared" si="279"/>
        <v>#REF!</v>
      </c>
      <c r="VGX247" s="29" t="e">
        <f t="shared" si="279"/>
        <v>#REF!</v>
      </c>
      <c r="VGY247" s="29" t="e">
        <f t="shared" si="279"/>
        <v>#REF!</v>
      </c>
      <c r="VGZ247" s="29" t="e">
        <f t="shared" si="279"/>
        <v>#REF!</v>
      </c>
      <c r="VHA247" s="29" t="e">
        <f t="shared" si="279"/>
        <v>#REF!</v>
      </c>
      <c r="VHB247" s="29" t="e">
        <f t="shared" si="279"/>
        <v>#REF!</v>
      </c>
      <c r="VHC247" s="29" t="e">
        <f t="shared" si="279"/>
        <v>#REF!</v>
      </c>
      <c r="VHD247" s="29" t="e">
        <f t="shared" si="279"/>
        <v>#REF!</v>
      </c>
      <c r="VHE247" s="29" t="e">
        <f t="shared" si="279"/>
        <v>#REF!</v>
      </c>
      <c r="VHF247" s="29" t="e">
        <f t="shared" si="279"/>
        <v>#REF!</v>
      </c>
      <c r="VHG247" s="29" t="e">
        <f t="shared" si="279"/>
        <v>#REF!</v>
      </c>
      <c r="VHH247" s="29" t="e">
        <f t="shared" si="279"/>
        <v>#REF!</v>
      </c>
      <c r="VHI247" s="29" t="e">
        <f t="shared" si="279"/>
        <v>#REF!</v>
      </c>
      <c r="VHJ247" s="29" t="e">
        <f t="shared" si="279"/>
        <v>#REF!</v>
      </c>
      <c r="VHK247" s="29" t="e">
        <f t="shared" si="279"/>
        <v>#REF!</v>
      </c>
      <c r="VHL247" s="29" t="e">
        <f t="shared" si="279"/>
        <v>#REF!</v>
      </c>
      <c r="VHM247" s="29" t="e">
        <f t="shared" si="279"/>
        <v>#REF!</v>
      </c>
      <c r="VHN247" s="29" t="e">
        <f t="shared" si="279"/>
        <v>#REF!</v>
      </c>
      <c r="VHO247" s="29" t="e">
        <f t="shared" si="279"/>
        <v>#REF!</v>
      </c>
      <c r="VHP247" s="29" t="e">
        <f t="shared" si="279"/>
        <v>#REF!</v>
      </c>
      <c r="VHQ247" s="29" t="e">
        <f t="shared" si="279"/>
        <v>#REF!</v>
      </c>
      <c r="VHR247" s="29" t="e">
        <f t="shared" si="279"/>
        <v>#REF!</v>
      </c>
      <c r="VHS247" s="29" t="e">
        <f t="shared" si="279"/>
        <v>#REF!</v>
      </c>
      <c r="VHT247" s="29" t="e">
        <f t="shared" si="279"/>
        <v>#REF!</v>
      </c>
      <c r="VHU247" s="29" t="e">
        <f t="shared" si="279"/>
        <v>#REF!</v>
      </c>
      <c r="VHV247" s="29" t="e">
        <f t="shared" si="279"/>
        <v>#REF!</v>
      </c>
      <c r="VHW247" s="29" t="e">
        <f t="shared" si="279"/>
        <v>#REF!</v>
      </c>
      <c r="VHX247" s="29" t="e">
        <f t="shared" si="279"/>
        <v>#REF!</v>
      </c>
      <c r="VHY247" s="29" t="e">
        <f t="shared" si="279"/>
        <v>#REF!</v>
      </c>
      <c r="VHZ247" s="29" t="e">
        <f t="shared" si="279"/>
        <v>#REF!</v>
      </c>
      <c r="VIA247" s="29" t="e">
        <f t="shared" si="279"/>
        <v>#REF!</v>
      </c>
      <c r="VIB247" s="29" t="e">
        <f t="shared" si="279"/>
        <v>#REF!</v>
      </c>
      <c r="VIC247" s="29" t="e">
        <f t="shared" si="279"/>
        <v>#REF!</v>
      </c>
      <c r="VID247" s="29" t="e">
        <f t="shared" si="279"/>
        <v>#REF!</v>
      </c>
      <c r="VIE247" s="29" t="e">
        <f t="shared" si="279"/>
        <v>#REF!</v>
      </c>
      <c r="VIF247" s="29" t="e">
        <f t="shared" si="279"/>
        <v>#REF!</v>
      </c>
      <c r="VIG247" s="29" t="e">
        <f t="shared" si="279"/>
        <v>#REF!</v>
      </c>
      <c r="VIH247" s="29" t="e">
        <f t="shared" si="279"/>
        <v>#REF!</v>
      </c>
      <c r="VII247" s="29" t="e">
        <f t="shared" si="279"/>
        <v>#REF!</v>
      </c>
      <c r="VIJ247" s="29" t="e">
        <f t="shared" si="279"/>
        <v>#REF!</v>
      </c>
      <c r="VIK247" s="29" t="e">
        <f t="shared" si="279"/>
        <v>#REF!</v>
      </c>
      <c r="VIL247" s="29" t="e">
        <f t="shared" si="279"/>
        <v>#REF!</v>
      </c>
      <c r="VIM247" s="29" t="e">
        <f t="shared" si="279"/>
        <v>#REF!</v>
      </c>
      <c r="VIN247" s="29" t="e">
        <f t="shared" si="279"/>
        <v>#REF!</v>
      </c>
      <c r="VIO247" s="29" t="e">
        <f t="shared" ref="VIO247:VKZ247" si="280">VIS247&amp;VIT247</f>
        <v>#REF!</v>
      </c>
      <c r="VIP247" s="29" t="e">
        <f t="shared" si="280"/>
        <v>#REF!</v>
      </c>
      <c r="VIQ247" s="29" t="e">
        <f t="shared" si="280"/>
        <v>#REF!</v>
      </c>
      <c r="VIR247" s="29" t="e">
        <f t="shared" si="280"/>
        <v>#REF!</v>
      </c>
      <c r="VIS247" s="29" t="e">
        <f t="shared" si="280"/>
        <v>#REF!</v>
      </c>
      <c r="VIT247" s="29" t="e">
        <f t="shared" si="280"/>
        <v>#REF!</v>
      </c>
      <c r="VIU247" s="29" t="e">
        <f t="shared" si="280"/>
        <v>#REF!</v>
      </c>
      <c r="VIV247" s="29" t="e">
        <f t="shared" si="280"/>
        <v>#REF!</v>
      </c>
      <c r="VIW247" s="29" t="e">
        <f t="shared" si="280"/>
        <v>#REF!</v>
      </c>
      <c r="VIX247" s="29" t="e">
        <f t="shared" si="280"/>
        <v>#REF!</v>
      </c>
      <c r="VIY247" s="29" t="e">
        <f t="shared" si="280"/>
        <v>#REF!</v>
      </c>
      <c r="VIZ247" s="29" t="e">
        <f t="shared" si="280"/>
        <v>#REF!</v>
      </c>
      <c r="VJA247" s="29" t="e">
        <f t="shared" si="280"/>
        <v>#REF!</v>
      </c>
      <c r="VJB247" s="29" t="e">
        <f t="shared" si="280"/>
        <v>#REF!</v>
      </c>
      <c r="VJC247" s="29" t="e">
        <f t="shared" si="280"/>
        <v>#REF!</v>
      </c>
      <c r="VJD247" s="29" t="e">
        <f t="shared" si="280"/>
        <v>#REF!</v>
      </c>
      <c r="VJE247" s="29" t="e">
        <f t="shared" si="280"/>
        <v>#REF!</v>
      </c>
      <c r="VJF247" s="29" t="e">
        <f t="shared" si="280"/>
        <v>#REF!</v>
      </c>
      <c r="VJG247" s="29" t="e">
        <f t="shared" si="280"/>
        <v>#REF!</v>
      </c>
      <c r="VJH247" s="29" t="e">
        <f t="shared" si="280"/>
        <v>#REF!</v>
      </c>
      <c r="VJI247" s="29" t="e">
        <f t="shared" si="280"/>
        <v>#REF!</v>
      </c>
      <c r="VJJ247" s="29" t="e">
        <f t="shared" si="280"/>
        <v>#REF!</v>
      </c>
      <c r="VJK247" s="29" t="e">
        <f t="shared" si="280"/>
        <v>#REF!</v>
      </c>
      <c r="VJL247" s="29" t="e">
        <f t="shared" si="280"/>
        <v>#REF!</v>
      </c>
      <c r="VJM247" s="29" t="e">
        <f t="shared" si="280"/>
        <v>#REF!</v>
      </c>
      <c r="VJN247" s="29" t="e">
        <f t="shared" si="280"/>
        <v>#REF!</v>
      </c>
      <c r="VJO247" s="29" t="e">
        <f t="shared" si="280"/>
        <v>#REF!</v>
      </c>
      <c r="VJP247" s="29" t="e">
        <f t="shared" si="280"/>
        <v>#REF!</v>
      </c>
      <c r="VJQ247" s="29" t="e">
        <f t="shared" si="280"/>
        <v>#REF!</v>
      </c>
      <c r="VJR247" s="29" t="e">
        <f t="shared" si="280"/>
        <v>#REF!</v>
      </c>
      <c r="VJS247" s="29" t="e">
        <f t="shared" si="280"/>
        <v>#REF!</v>
      </c>
      <c r="VJT247" s="29" t="e">
        <f t="shared" si="280"/>
        <v>#REF!</v>
      </c>
      <c r="VJU247" s="29" t="e">
        <f t="shared" si="280"/>
        <v>#REF!</v>
      </c>
      <c r="VJV247" s="29" t="e">
        <f t="shared" si="280"/>
        <v>#REF!</v>
      </c>
      <c r="VJW247" s="29" t="e">
        <f t="shared" si="280"/>
        <v>#REF!</v>
      </c>
      <c r="VJX247" s="29" t="e">
        <f t="shared" si="280"/>
        <v>#REF!</v>
      </c>
      <c r="VJY247" s="29" t="e">
        <f t="shared" si="280"/>
        <v>#REF!</v>
      </c>
      <c r="VJZ247" s="29" t="e">
        <f t="shared" si="280"/>
        <v>#REF!</v>
      </c>
      <c r="VKA247" s="29" t="e">
        <f t="shared" si="280"/>
        <v>#REF!</v>
      </c>
      <c r="VKB247" s="29" t="e">
        <f t="shared" si="280"/>
        <v>#REF!</v>
      </c>
      <c r="VKC247" s="29" t="e">
        <f t="shared" si="280"/>
        <v>#REF!</v>
      </c>
      <c r="VKD247" s="29" t="e">
        <f t="shared" si="280"/>
        <v>#REF!</v>
      </c>
      <c r="VKE247" s="29" t="e">
        <f t="shared" si="280"/>
        <v>#REF!</v>
      </c>
      <c r="VKF247" s="29" t="e">
        <f t="shared" si="280"/>
        <v>#REF!</v>
      </c>
      <c r="VKG247" s="29" t="e">
        <f t="shared" si="280"/>
        <v>#REF!</v>
      </c>
      <c r="VKH247" s="29" t="e">
        <f t="shared" si="280"/>
        <v>#REF!</v>
      </c>
      <c r="VKI247" s="29" t="e">
        <f t="shared" si="280"/>
        <v>#REF!</v>
      </c>
      <c r="VKJ247" s="29" t="e">
        <f t="shared" si="280"/>
        <v>#REF!</v>
      </c>
      <c r="VKK247" s="29" t="e">
        <f t="shared" si="280"/>
        <v>#REF!</v>
      </c>
      <c r="VKL247" s="29" t="e">
        <f t="shared" si="280"/>
        <v>#REF!</v>
      </c>
      <c r="VKM247" s="29" t="e">
        <f t="shared" si="280"/>
        <v>#REF!</v>
      </c>
      <c r="VKN247" s="29" t="e">
        <f t="shared" si="280"/>
        <v>#REF!</v>
      </c>
      <c r="VKO247" s="29" t="e">
        <f t="shared" si="280"/>
        <v>#REF!</v>
      </c>
      <c r="VKP247" s="29" t="e">
        <f t="shared" si="280"/>
        <v>#REF!</v>
      </c>
      <c r="VKQ247" s="29" t="e">
        <f t="shared" si="280"/>
        <v>#REF!</v>
      </c>
      <c r="VKR247" s="29" t="e">
        <f t="shared" si="280"/>
        <v>#REF!</v>
      </c>
      <c r="VKS247" s="29" t="e">
        <f t="shared" si="280"/>
        <v>#REF!</v>
      </c>
      <c r="VKT247" s="29" t="e">
        <f t="shared" si="280"/>
        <v>#REF!</v>
      </c>
      <c r="VKU247" s="29" t="e">
        <f t="shared" si="280"/>
        <v>#REF!</v>
      </c>
      <c r="VKV247" s="29" t="e">
        <f t="shared" si="280"/>
        <v>#REF!</v>
      </c>
      <c r="VKW247" s="29" t="e">
        <f t="shared" si="280"/>
        <v>#REF!</v>
      </c>
      <c r="VKX247" s="29" t="e">
        <f t="shared" si="280"/>
        <v>#REF!</v>
      </c>
      <c r="VKY247" s="29" t="e">
        <f t="shared" si="280"/>
        <v>#REF!</v>
      </c>
      <c r="VKZ247" s="29" t="e">
        <f t="shared" si="280"/>
        <v>#REF!</v>
      </c>
      <c r="VLA247" s="29" t="e">
        <f t="shared" ref="VLA247:VNL247" si="281">VLE247&amp;VLF247</f>
        <v>#REF!</v>
      </c>
      <c r="VLB247" s="29" t="e">
        <f t="shared" si="281"/>
        <v>#REF!</v>
      </c>
      <c r="VLC247" s="29" t="e">
        <f t="shared" si="281"/>
        <v>#REF!</v>
      </c>
      <c r="VLD247" s="29" t="e">
        <f t="shared" si="281"/>
        <v>#REF!</v>
      </c>
      <c r="VLE247" s="29" t="e">
        <f t="shared" si="281"/>
        <v>#REF!</v>
      </c>
      <c r="VLF247" s="29" t="e">
        <f t="shared" si="281"/>
        <v>#REF!</v>
      </c>
      <c r="VLG247" s="29" t="e">
        <f t="shared" si="281"/>
        <v>#REF!</v>
      </c>
      <c r="VLH247" s="29" t="e">
        <f t="shared" si="281"/>
        <v>#REF!</v>
      </c>
      <c r="VLI247" s="29" t="e">
        <f t="shared" si="281"/>
        <v>#REF!</v>
      </c>
      <c r="VLJ247" s="29" t="e">
        <f t="shared" si="281"/>
        <v>#REF!</v>
      </c>
      <c r="VLK247" s="29" t="e">
        <f t="shared" si="281"/>
        <v>#REF!</v>
      </c>
      <c r="VLL247" s="29" t="e">
        <f t="shared" si="281"/>
        <v>#REF!</v>
      </c>
      <c r="VLM247" s="29" t="e">
        <f t="shared" si="281"/>
        <v>#REF!</v>
      </c>
      <c r="VLN247" s="29" t="e">
        <f t="shared" si="281"/>
        <v>#REF!</v>
      </c>
      <c r="VLO247" s="29" t="e">
        <f t="shared" si="281"/>
        <v>#REF!</v>
      </c>
      <c r="VLP247" s="29" t="e">
        <f t="shared" si="281"/>
        <v>#REF!</v>
      </c>
      <c r="VLQ247" s="29" t="e">
        <f t="shared" si="281"/>
        <v>#REF!</v>
      </c>
      <c r="VLR247" s="29" t="e">
        <f t="shared" si="281"/>
        <v>#REF!</v>
      </c>
      <c r="VLS247" s="29" t="e">
        <f t="shared" si="281"/>
        <v>#REF!</v>
      </c>
      <c r="VLT247" s="29" t="e">
        <f t="shared" si="281"/>
        <v>#REF!</v>
      </c>
      <c r="VLU247" s="29" t="e">
        <f t="shared" si="281"/>
        <v>#REF!</v>
      </c>
      <c r="VLV247" s="29" t="e">
        <f t="shared" si="281"/>
        <v>#REF!</v>
      </c>
      <c r="VLW247" s="29" t="e">
        <f t="shared" si="281"/>
        <v>#REF!</v>
      </c>
      <c r="VLX247" s="29" t="e">
        <f t="shared" si="281"/>
        <v>#REF!</v>
      </c>
      <c r="VLY247" s="29" t="e">
        <f t="shared" si="281"/>
        <v>#REF!</v>
      </c>
      <c r="VLZ247" s="29" t="e">
        <f t="shared" si="281"/>
        <v>#REF!</v>
      </c>
      <c r="VMA247" s="29" t="e">
        <f t="shared" si="281"/>
        <v>#REF!</v>
      </c>
      <c r="VMB247" s="29" t="e">
        <f t="shared" si="281"/>
        <v>#REF!</v>
      </c>
      <c r="VMC247" s="29" t="e">
        <f t="shared" si="281"/>
        <v>#REF!</v>
      </c>
      <c r="VMD247" s="29" t="e">
        <f t="shared" si="281"/>
        <v>#REF!</v>
      </c>
      <c r="VME247" s="29" t="e">
        <f t="shared" si="281"/>
        <v>#REF!</v>
      </c>
      <c r="VMF247" s="29" t="e">
        <f t="shared" si="281"/>
        <v>#REF!</v>
      </c>
      <c r="VMG247" s="29" t="e">
        <f t="shared" si="281"/>
        <v>#REF!</v>
      </c>
      <c r="VMH247" s="29" t="e">
        <f t="shared" si="281"/>
        <v>#REF!</v>
      </c>
      <c r="VMI247" s="29" t="e">
        <f t="shared" si="281"/>
        <v>#REF!</v>
      </c>
      <c r="VMJ247" s="29" t="e">
        <f t="shared" si="281"/>
        <v>#REF!</v>
      </c>
      <c r="VMK247" s="29" t="e">
        <f t="shared" si="281"/>
        <v>#REF!</v>
      </c>
      <c r="VML247" s="29" t="e">
        <f t="shared" si="281"/>
        <v>#REF!</v>
      </c>
      <c r="VMM247" s="29" t="e">
        <f t="shared" si="281"/>
        <v>#REF!</v>
      </c>
      <c r="VMN247" s="29" t="e">
        <f t="shared" si="281"/>
        <v>#REF!</v>
      </c>
      <c r="VMO247" s="29" t="e">
        <f t="shared" si="281"/>
        <v>#REF!</v>
      </c>
      <c r="VMP247" s="29" t="e">
        <f t="shared" si="281"/>
        <v>#REF!</v>
      </c>
      <c r="VMQ247" s="29" t="e">
        <f t="shared" si="281"/>
        <v>#REF!</v>
      </c>
      <c r="VMR247" s="29" t="e">
        <f t="shared" si="281"/>
        <v>#REF!</v>
      </c>
      <c r="VMS247" s="29" t="e">
        <f t="shared" si="281"/>
        <v>#REF!</v>
      </c>
      <c r="VMT247" s="29" t="e">
        <f t="shared" si="281"/>
        <v>#REF!</v>
      </c>
      <c r="VMU247" s="29" t="e">
        <f t="shared" si="281"/>
        <v>#REF!</v>
      </c>
      <c r="VMV247" s="29" t="e">
        <f t="shared" si="281"/>
        <v>#REF!</v>
      </c>
      <c r="VMW247" s="29" t="e">
        <f t="shared" si="281"/>
        <v>#REF!</v>
      </c>
      <c r="VMX247" s="29" t="e">
        <f t="shared" si="281"/>
        <v>#REF!</v>
      </c>
      <c r="VMY247" s="29" t="e">
        <f t="shared" si="281"/>
        <v>#REF!</v>
      </c>
      <c r="VMZ247" s="29" t="e">
        <f t="shared" si="281"/>
        <v>#REF!</v>
      </c>
      <c r="VNA247" s="29" t="e">
        <f t="shared" si="281"/>
        <v>#REF!</v>
      </c>
      <c r="VNB247" s="29" t="e">
        <f t="shared" si="281"/>
        <v>#REF!</v>
      </c>
      <c r="VNC247" s="29" t="e">
        <f t="shared" si="281"/>
        <v>#REF!</v>
      </c>
      <c r="VND247" s="29" t="e">
        <f t="shared" si="281"/>
        <v>#REF!</v>
      </c>
      <c r="VNE247" s="29" t="e">
        <f t="shared" si="281"/>
        <v>#REF!</v>
      </c>
      <c r="VNF247" s="29" t="e">
        <f t="shared" si="281"/>
        <v>#REF!</v>
      </c>
      <c r="VNG247" s="29" t="e">
        <f t="shared" si="281"/>
        <v>#REF!</v>
      </c>
      <c r="VNH247" s="29" t="e">
        <f t="shared" si="281"/>
        <v>#REF!</v>
      </c>
      <c r="VNI247" s="29" t="e">
        <f t="shared" si="281"/>
        <v>#REF!</v>
      </c>
      <c r="VNJ247" s="29" t="e">
        <f t="shared" si="281"/>
        <v>#REF!</v>
      </c>
      <c r="VNK247" s="29" t="e">
        <f t="shared" si="281"/>
        <v>#REF!</v>
      </c>
      <c r="VNL247" s="29" t="e">
        <f t="shared" si="281"/>
        <v>#REF!</v>
      </c>
      <c r="VNM247" s="29" t="e">
        <f t="shared" ref="VNM247:VPX247" si="282">VNQ247&amp;VNR247</f>
        <v>#REF!</v>
      </c>
      <c r="VNN247" s="29" t="e">
        <f t="shared" si="282"/>
        <v>#REF!</v>
      </c>
      <c r="VNO247" s="29" t="e">
        <f t="shared" si="282"/>
        <v>#REF!</v>
      </c>
      <c r="VNP247" s="29" t="e">
        <f t="shared" si="282"/>
        <v>#REF!</v>
      </c>
      <c r="VNQ247" s="29" t="e">
        <f t="shared" si="282"/>
        <v>#REF!</v>
      </c>
      <c r="VNR247" s="29" t="e">
        <f t="shared" si="282"/>
        <v>#REF!</v>
      </c>
      <c r="VNS247" s="29" t="e">
        <f t="shared" si="282"/>
        <v>#REF!</v>
      </c>
      <c r="VNT247" s="29" t="e">
        <f t="shared" si="282"/>
        <v>#REF!</v>
      </c>
      <c r="VNU247" s="29" t="e">
        <f t="shared" si="282"/>
        <v>#REF!</v>
      </c>
      <c r="VNV247" s="29" t="e">
        <f t="shared" si="282"/>
        <v>#REF!</v>
      </c>
      <c r="VNW247" s="29" t="e">
        <f t="shared" si="282"/>
        <v>#REF!</v>
      </c>
      <c r="VNX247" s="29" t="e">
        <f t="shared" si="282"/>
        <v>#REF!</v>
      </c>
      <c r="VNY247" s="29" t="e">
        <f t="shared" si="282"/>
        <v>#REF!</v>
      </c>
      <c r="VNZ247" s="29" t="e">
        <f t="shared" si="282"/>
        <v>#REF!</v>
      </c>
      <c r="VOA247" s="29" t="e">
        <f t="shared" si="282"/>
        <v>#REF!</v>
      </c>
      <c r="VOB247" s="29" t="e">
        <f t="shared" si="282"/>
        <v>#REF!</v>
      </c>
      <c r="VOC247" s="29" t="e">
        <f t="shared" si="282"/>
        <v>#REF!</v>
      </c>
      <c r="VOD247" s="29" t="e">
        <f t="shared" si="282"/>
        <v>#REF!</v>
      </c>
      <c r="VOE247" s="29" t="e">
        <f t="shared" si="282"/>
        <v>#REF!</v>
      </c>
      <c r="VOF247" s="29" t="e">
        <f t="shared" si="282"/>
        <v>#REF!</v>
      </c>
      <c r="VOG247" s="29" t="e">
        <f t="shared" si="282"/>
        <v>#REF!</v>
      </c>
      <c r="VOH247" s="29" t="e">
        <f t="shared" si="282"/>
        <v>#REF!</v>
      </c>
      <c r="VOI247" s="29" t="e">
        <f t="shared" si="282"/>
        <v>#REF!</v>
      </c>
      <c r="VOJ247" s="29" t="e">
        <f t="shared" si="282"/>
        <v>#REF!</v>
      </c>
      <c r="VOK247" s="29" t="e">
        <f t="shared" si="282"/>
        <v>#REF!</v>
      </c>
      <c r="VOL247" s="29" t="e">
        <f t="shared" si="282"/>
        <v>#REF!</v>
      </c>
      <c r="VOM247" s="29" t="e">
        <f t="shared" si="282"/>
        <v>#REF!</v>
      </c>
      <c r="VON247" s="29" t="e">
        <f t="shared" si="282"/>
        <v>#REF!</v>
      </c>
      <c r="VOO247" s="29" t="e">
        <f t="shared" si="282"/>
        <v>#REF!</v>
      </c>
      <c r="VOP247" s="29" t="e">
        <f t="shared" si="282"/>
        <v>#REF!</v>
      </c>
      <c r="VOQ247" s="29" t="e">
        <f t="shared" si="282"/>
        <v>#REF!</v>
      </c>
      <c r="VOR247" s="29" t="e">
        <f t="shared" si="282"/>
        <v>#REF!</v>
      </c>
      <c r="VOS247" s="29" t="e">
        <f t="shared" si="282"/>
        <v>#REF!</v>
      </c>
      <c r="VOT247" s="29" t="e">
        <f t="shared" si="282"/>
        <v>#REF!</v>
      </c>
      <c r="VOU247" s="29" t="e">
        <f t="shared" si="282"/>
        <v>#REF!</v>
      </c>
      <c r="VOV247" s="29" t="e">
        <f t="shared" si="282"/>
        <v>#REF!</v>
      </c>
      <c r="VOW247" s="29" t="e">
        <f t="shared" si="282"/>
        <v>#REF!</v>
      </c>
      <c r="VOX247" s="29" t="e">
        <f t="shared" si="282"/>
        <v>#REF!</v>
      </c>
      <c r="VOY247" s="29" t="e">
        <f t="shared" si="282"/>
        <v>#REF!</v>
      </c>
      <c r="VOZ247" s="29" t="e">
        <f t="shared" si="282"/>
        <v>#REF!</v>
      </c>
      <c r="VPA247" s="29" t="e">
        <f t="shared" si="282"/>
        <v>#REF!</v>
      </c>
      <c r="VPB247" s="29" t="e">
        <f t="shared" si="282"/>
        <v>#REF!</v>
      </c>
      <c r="VPC247" s="29" t="e">
        <f t="shared" si="282"/>
        <v>#REF!</v>
      </c>
      <c r="VPD247" s="29" t="e">
        <f t="shared" si="282"/>
        <v>#REF!</v>
      </c>
      <c r="VPE247" s="29" t="e">
        <f t="shared" si="282"/>
        <v>#REF!</v>
      </c>
      <c r="VPF247" s="29" t="e">
        <f t="shared" si="282"/>
        <v>#REF!</v>
      </c>
      <c r="VPG247" s="29" t="e">
        <f t="shared" si="282"/>
        <v>#REF!</v>
      </c>
      <c r="VPH247" s="29" t="e">
        <f t="shared" si="282"/>
        <v>#REF!</v>
      </c>
      <c r="VPI247" s="29" t="e">
        <f t="shared" si="282"/>
        <v>#REF!</v>
      </c>
      <c r="VPJ247" s="29" t="e">
        <f t="shared" si="282"/>
        <v>#REF!</v>
      </c>
      <c r="VPK247" s="29" t="e">
        <f t="shared" si="282"/>
        <v>#REF!</v>
      </c>
      <c r="VPL247" s="29" t="e">
        <f t="shared" si="282"/>
        <v>#REF!</v>
      </c>
      <c r="VPM247" s="29" t="e">
        <f t="shared" si="282"/>
        <v>#REF!</v>
      </c>
      <c r="VPN247" s="29" t="e">
        <f t="shared" si="282"/>
        <v>#REF!</v>
      </c>
      <c r="VPO247" s="29" t="e">
        <f t="shared" si="282"/>
        <v>#REF!</v>
      </c>
      <c r="VPP247" s="29" t="e">
        <f t="shared" si="282"/>
        <v>#REF!</v>
      </c>
      <c r="VPQ247" s="29" t="e">
        <f t="shared" si="282"/>
        <v>#REF!</v>
      </c>
      <c r="VPR247" s="29" t="e">
        <f t="shared" si="282"/>
        <v>#REF!</v>
      </c>
      <c r="VPS247" s="29" t="e">
        <f t="shared" si="282"/>
        <v>#REF!</v>
      </c>
      <c r="VPT247" s="29" t="e">
        <f t="shared" si="282"/>
        <v>#REF!</v>
      </c>
      <c r="VPU247" s="29" t="e">
        <f t="shared" si="282"/>
        <v>#REF!</v>
      </c>
      <c r="VPV247" s="29" t="e">
        <f t="shared" si="282"/>
        <v>#REF!</v>
      </c>
      <c r="VPW247" s="29" t="e">
        <f t="shared" si="282"/>
        <v>#REF!</v>
      </c>
      <c r="VPX247" s="29" t="e">
        <f t="shared" si="282"/>
        <v>#REF!</v>
      </c>
      <c r="VPY247" s="29" t="e">
        <f t="shared" ref="VPY247:VSJ247" si="283">VQC247&amp;VQD247</f>
        <v>#REF!</v>
      </c>
      <c r="VPZ247" s="29" t="e">
        <f t="shared" si="283"/>
        <v>#REF!</v>
      </c>
      <c r="VQA247" s="29" t="e">
        <f t="shared" si="283"/>
        <v>#REF!</v>
      </c>
      <c r="VQB247" s="29" t="e">
        <f t="shared" si="283"/>
        <v>#REF!</v>
      </c>
      <c r="VQC247" s="29" t="e">
        <f t="shared" si="283"/>
        <v>#REF!</v>
      </c>
      <c r="VQD247" s="29" t="e">
        <f t="shared" si="283"/>
        <v>#REF!</v>
      </c>
      <c r="VQE247" s="29" t="e">
        <f t="shared" si="283"/>
        <v>#REF!</v>
      </c>
      <c r="VQF247" s="29" t="e">
        <f t="shared" si="283"/>
        <v>#REF!</v>
      </c>
      <c r="VQG247" s="29" t="e">
        <f t="shared" si="283"/>
        <v>#REF!</v>
      </c>
      <c r="VQH247" s="29" t="e">
        <f t="shared" si="283"/>
        <v>#REF!</v>
      </c>
      <c r="VQI247" s="29" t="e">
        <f t="shared" si="283"/>
        <v>#REF!</v>
      </c>
      <c r="VQJ247" s="29" t="e">
        <f t="shared" si="283"/>
        <v>#REF!</v>
      </c>
      <c r="VQK247" s="29" t="e">
        <f t="shared" si="283"/>
        <v>#REF!</v>
      </c>
      <c r="VQL247" s="29" t="e">
        <f t="shared" si="283"/>
        <v>#REF!</v>
      </c>
      <c r="VQM247" s="29" t="e">
        <f t="shared" si="283"/>
        <v>#REF!</v>
      </c>
      <c r="VQN247" s="29" t="e">
        <f t="shared" si="283"/>
        <v>#REF!</v>
      </c>
      <c r="VQO247" s="29" t="e">
        <f t="shared" si="283"/>
        <v>#REF!</v>
      </c>
      <c r="VQP247" s="29" t="e">
        <f t="shared" si="283"/>
        <v>#REF!</v>
      </c>
      <c r="VQQ247" s="29" t="e">
        <f t="shared" si="283"/>
        <v>#REF!</v>
      </c>
      <c r="VQR247" s="29" t="e">
        <f t="shared" si="283"/>
        <v>#REF!</v>
      </c>
      <c r="VQS247" s="29" t="e">
        <f t="shared" si="283"/>
        <v>#REF!</v>
      </c>
      <c r="VQT247" s="29" t="e">
        <f t="shared" si="283"/>
        <v>#REF!</v>
      </c>
      <c r="VQU247" s="29" t="e">
        <f t="shared" si="283"/>
        <v>#REF!</v>
      </c>
      <c r="VQV247" s="29" t="e">
        <f t="shared" si="283"/>
        <v>#REF!</v>
      </c>
      <c r="VQW247" s="29" t="e">
        <f t="shared" si="283"/>
        <v>#REF!</v>
      </c>
      <c r="VQX247" s="29" t="e">
        <f t="shared" si="283"/>
        <v>#REF!</v>
      </c>
      <c r="VQY247" s="29" t="e">
        <f t="shared" si="283"/>
        <v>#REF!</v>
      </c>
      <c r="VQZ247" s="29" t="e">
        <f t="shared" si="283"/>
        <v>#REF!</v>
      </c>
      <c r="VRA247" s="29" t="e">
        <f t="shared" si="283"/>
        <v>#REF!</v>
      </c>
      <c r="VRB247" s="29" t="e">
        <f t="shared" si="283"/>
        <v>#REF!</v>
      </c>
      <c r="VRC247" s="29" t="e">
        <f t="shared" si="283"/>
        <v>#REF!</v>
      </c>
      <c r="VRD247" s="29" t="e">
        <f t="shared" si="283"/>
        <v>#REF!</v>
      </c>
      <c r="VRE247" s="29" t="e">
        <f t="shared" si="283"/>
        <v>#REF!</v>
      </c>
      <c r="VRF247" s="29" t="e">
        <f t="shared" si="283"/>
        <v>#REF!</v>
      </c>
      <c r="VRG247" s="29" t="e">
        <f t="shared" si="283"/>
        <v>#REF!</v>
      </c>
      <c r="VRH247" s="29" t="e">
        <f t="shared" si="283"/>
        <v>#REF!</v>
      </c>
      <c r="VRI247" s="29" t="e">
        <f t="shared" si="283"/>
        <v>#REF!</v>
      </c>
      <c r="VRJ247" s="29" t="e">
        <f t="shared" si="283"/>
        <v>#REF!</v>
      </c>
      <c r="VRK247" s="29" t="e">
        <f t="shared" si="283"/>
        <v>#REF!</v>
      </c>
      <c r="VRL247" s="29" t="e">
        <f t="shared" si="283"/>
        <v>#REF!</v>
      </c>
      <c r="VRM247" s="29" t="e">
        <f t="shared" si="283"/>
        <v>#REF!</v>
      </c>
      <c r="VRN247" s="29" t="e">
        <f t="shared" si="283"/>
        <v>#REF!</v>
      </c>
      <c r="VRO247" s="29" t="e">
        <f t="shared" si="283"/>
        <v>#REF!</v>
      </c>
      <c r="VRP247" s="29" t="e">
        <f t="shared" si="283"/>
        <v>#REF!</v>
      </c>
      <c r="VRQ247" s="29" t="e">
        <f t="shared" si="283"/>
        <v>#REF!</v>
      </c>
      <c r="VRR247" s="29" t="e">
        <f t="shared" si="283"/>
        <v>#REF!</v>
      </c>
      <c r="VRS247" s="29" t="e">
        <f t="shared" si="283"/>
        <v>#REF!</v>
      </c>
      <c r="VRT247" s="29" t="e">
        <f t="shared" si="283"/>
        <v>#REF!</v>
      </c>
      <c r="VRU247" s="29" t="e">
        <f t="shared" si="283"/>
        <v>#REF!</v>
      </c>
      <c r="VRV247" s="29" t="e">
        <f t="shared" si="283"/>
        <v>#REF!</v>
      </c>
      <c r="VRW247" s="29" t="e">
        <f t="shared" si="283"/>
        <v>#REF!</v>
      </c>
      <c r="VRX247" s="29" t="e">
        <f t="shared" si="283"/>
        <v>#REF!</v>
      </c>
      <c r="VRY247" s="29" t="e">
        <f t="shared" si="283"/>
        <v>#REF!</v>
      </c>
      <c r="VRZ247" s="29" t="e">
        <f t="shared" si="283"/>
        <v>#REF!</v>
      </c>
      <c r="VSA247" s="29" t="e">
        <f t="shared" si="283"/>
        <v>#REF!</v>
      </c>
      <c r="VSB247" s="29" t="e">
        <f t="shared" si="283"/>
        <v>#REF!</v>
      </c>
      <c r="VSC247" s="29" t="e">
        <f t="shared" si="283"/>
        <v>#REF!</v>
      </c>
      <c r="VSD247" s="29" t="e">
        <f t="shared" si="283"/>
        <v>#REF!</v>
      </c>
      <c r="VSE247" s="29" t="e">
        <f t="shared" si="283"/>
        <v>#REF!</v>
      </c>
      <c r="VSF247" s="29" t="e">
        <f t="shared" si="283"/>
        <v>#REF!</v>
      </c>
      <c r="VSG247" s="29" t="e">
        <f t="shared" si="283"/>
        <v>#REF!</v>
      </c>
      <c r="VSH247" s="29" t="e">
        <f t="shared" si="283"/>
        <v>#REF!</v>
      </c>
      <c r="VSI247" s="29" t="e">
        <f t="shared" si="283"/>
        <v>#REF!</v>
      </c>
      <c r="VSJ247" s="29" t="e">
        <f t="shared" si="283"/>
        <v>#REF!</v>
      </c>
      <c r="VSK247" s="29" t="e">
        <f t="shared" ref="VSK247:VUV247" si="284">VSO247&amp;VSP247</f>
        <v>#REF!</v>
      </c>
      <c r="VSL247" s="29" t="e">
        <f t="shared" si="284"/>
        <v>#REF!</v>
      </c>
      <c r="VSM247" s="29" t="e">
        <f t="shared" si="284"/>
        <v>#REF!</v>
      </c>
      <c r="VSN247" s="29" t="e">
        <f t="shared" si="284"/>
        <v>#REF!</v>
      </c>
      <c r="VSO247" s="29" t="e">
        <f t="shared" si="284"/>
        <v>#REF!</v>
      </c>
      <c r="VSP247" s="29" t="e">
        <f t="shared" si="284"/>
        <v>#REF!</v>
      </c>
      <c r="VSQ247" s="29" t="e">
        <f t="shared" si="284"/>
        <v>#REF!</v>
      </c>
      <c r="VSR247" s="29" t="e">
        <f t="shared" si="284"/>
        <v>#REF!</v>
      </c>
      <c r="VSS247" s="29" t="e">
        <f t="shared" si="284"/>
        <v>#REF!</v>
      </c>
      <c r="VST247" s="29" t="e">
        <f t="shared" si="284"/>
        <v>#REF!</v>
      </c>
      <c r="VSU247" s="29" t="e">
        <f t="shared" si="284"/>
        <v>#REF!</v>
      </c>
      <c r="VSV247" s="29" t="e">
        <f t="shared" si="284"/>
        <v>#REF!</v>
      </c>
      <c r="VSW247" s="29" t="e">
        <f t="shared" si="284"/>
        <v>#REF!</v>
      </c>
      <c r="VSX247" s="29" t="e">
        <f t="shared" si="284"/>
        <v>#REF!</v>
      </c>
      <c r="VSY247" s="29" t="e">
        <f t="shared" si="284"/>
        <v>#REF!</v>
      </c>
      <c r="VSZ247" s="29" t="e">
        <f t="shared" si="284"/>
        <v>#REF!</v>
      </c>
      <c r="VTA247" s="29" t="e">
        <f t="shared" si="284"/>
        <v>#REF!</v>
      </c>
      <c r="VTB247" s="29" t="e">
        <f t="shared" si="284"/>
        <v>#REF!</v>
      </c>
      <c r="VTC247" s="29" t="e">
        <f t="shared" si="284"/>
        <v>#REF!</v>
      </c>
      <c r="VTD247" s="29" t="e">
        <f t="shared" si="284"/>
        <v>#REF!</v>
      </c>
      <c r="VTE247" s="29" t="e">
        <f t="shared" si="284"/>
        <v>#REF!</v>
      </c>
      <c r="VTF247" s="29" t="e">
        <f t="shared" si="284"/>
        <v>#REF!</v>
      </c>
      <c r="VTG247" s="29" t="e">
        <f t="shared" si="284"/>
        <v>#REF!</v>
      </c>
      <c r="VTH247" s="29" t="e">
        <f t="shared" si="284"/>
        <v>#REF!</v>
      </c>
      <c r="VTI247" s="29" t="e">
        <f t="shared" si="284"/>
        <v>#REF!</v>
      </c>
      <c r="VTJ247" s="29" t="e">
        <f t="shared" si="284"/>
        <v>#REF!</v>
      </c>
      <c r="VTK247" s="29" t="e">
        <f t="shared" si="284"/>
        <v>#REF!</v>
      </c>
      <c r="VTL247" s="29" t="e">
        <f t="shared" si="284"/>
        <v>#REF!</v>
      </c>
      <c r="VTM247" s="29" t="e">
        <f t="shared" si="284"/>
        <v>#REF!</v>
      </c>
      <c r="VTN247" s="29" t="e">
        <f t="shared" si="284"/>
        <v>#REF!</v>
      </c>
      <c r="VTO247" s="29" t="e">
        <f t="shared" si="284"/>
        <v>#REF!</v>
      </c>
      <c r="VTP247" s="29" t="e">
        <f t="shared" si="284"/>
        <v>#REF!</v>
      </c>
      <c r="VTQ247" s="29" t="e">
        <f t="shared" si="284"/>
        <v>#REF!</v>
      </c>
      <c r="VTR247" s="29" t="e">
        <f t="shared" si="284"/>
        <v>#REF!</v>
      </c>
      <c r="VTS247" s="29" t="e">
        <f t="shared" si="284"/>
        <v>#REF!</v>
      </c>
      <c r="VTT247" s="29" t="e">
        <f t="shared" si="284"/>
        <v>#REF!</v>
      </c>
      <c r="VTU247" s="29" t="e">
        <f t="shared" si="284"/>
        <v>#REF!</v>
      </c>
      <c r="VTV247" s="29" t="e">
        <f t="shared" si="284"/>
        <v>#REF!</v>
      </c>
      <c r="VTW247" s="29" t="e">
        <f t="shared" si="284"/>
        <v>#REF!</v>
      </c>
      <c r="VTX247" s="29" t="e">
        <f t="shared" si="284"/>
        <v>#REF!</v>
      </c>
      <c r="VTY247" s="29" t="e">
        <f t="shared" si="284"/>
        <v>#REF!</v>
      </c>
      <c r="VTZ247" s="29" t="e">
        <f t="shared" si="284"/>
        <v>#REF!</v>
      </c>
      <c r="VUA247" s="29" t="e">
        <f t="shared" si="284"/>
        <v>#REF!</v>
      </c>
      <c r="VUB247" s="29" t="e">
        <f t="shared" si="284"/>
        <v>#REF!</v>
      </c>
      <c r="VUC247" s="29" t="e">
        <f t="shared" si="284"/>
        <v>#REF!</v>
      </c>
      <c r="VUD247" s="29" t="e">
        <f t="shared" si="284"/>
        <v>#REF!</v>
      </c>
      <c r="VUE247" s="29" t="e">
        <f t="shared" si="284"/>
        <v>#REF!</v>
      </c>
      <c r="VUF247" s="29" t="e">
        <f t="shared" si="284"/>
        <v>#REF!</v>
      </c>
      <c r="VUG247" s="29" t="e">
        <f t="shared" si="284"/>
        <v>#REF!</v>
      </c>
      <c r="VUH247" s="29" t="e">
        <f t="shared" si="284"/>
        <v>#REF!</v>
      </c>
      <c r="VUI247" s="29" t="e">
        <f t="shared" si="284"/>
        <v>#REF!</v>
      </c>
      <c r="VUJ247" s="29" t="e">
        <f t="shared" si="284"/>
        <v>#REF!</v>
      </c>
      <c r="VUK247" s="29" t="e">
        <f t="shared" si="284"/>
        <v>#REF!</v>
      </c>
      <c r="VUL247" s="29" t="e">
        <f t="shared" si="284"/>
        <v>#REF!</v>
      </c>
      <c r="VUM247" s="29" t="e">
        <f t="shared" si="284"/>
        <v>#REF!</v>
      </c>
      <c r="VUN247" s="29" t="e">
        <f t="shared" si="284"/>
        <v>#REF!</v>
      </c>
      <c r="VUO247" s="29" t="e">
        <f t="shared" si="284"/>
        <v>#REF!</v>
      </c>
      <c r="VUP247" s="29" t="e">
        <f t="shared" si="284"/>
        <v>#REF!</v>
      </c>
      <c r="VUQ247" s="29" t="e">
        <f t="shared" si="284"/>
        <v>#REF!</v>
      </c>
      <c r="VUR247" s="29" t="e">
        <f t="shared" si="284"/>
        <v>#REF!</v>
      </c>
      <c r="VUS247" s="29" t="e">
        <f t="shared" si="284"/>
        <v>#REF!</v>
      </c>
      <c r="VUT247" s="29" t="e">
        <f t="shared" si="284"/>
        <v>#REF!</v>
      </c>
      <c r="VUU247" s="29" t="e">
        <f t="shared" si="284"/>
        <v>#REF!</v>
      </c>
      <c r="VUV247" s="29" t="e">
        <f t="shared" si="284"/>
        <v>#REF!</v>
      </c>
      <c r="VUW247" s="29" t="e">
        <f t="shared" ref="VUW247:VXH247" si="285">VVA247&amp;VVB247</f>
        <v>#REF!</v>
      </c>
      <c r="VUX247" s="29" t="e">
        <f t="shared" si="285"/>
        <v>#REF!</v>
      </c>
      <c r="VUY247" s="29" t="e">
        <f t="shared" si="285"/>
        <v>#REF!</v>
      </c>
      <c r="VUZ247" s="29" t="e">
        <f t="shared" si="285"/>
        <v>#REF!</v>
      </c>
      <c r="VVA247" s="29" t="e">
        <f t="shared" si="285"/>
        <v>#REF!</v>
      </c>
      <c r="VVB247" s="29" t="e">
        <f t="shared" si="285"/>
        <v>#REF!</v>
      </c>
      <c r="VVC247" s="29" t="e">
        <f t="shared" si="285"/>
        <v>#REF!</v>
      </c>
      <c r="VVD247" s="29" t="e">
        <f t="shared" si="285"/>
        <v>#REF!</v>
      </c>
      <c r="VVE247" s="29" t="e">
        <f t="shared" si="285"/>
        <v>#REF!</v>
      </c>
      <c r="VVF247" s="29" t="e">
        <f t="shared" si="285"/>
        <v>#REF!</v>
      </c>
      <c r="VVG247" s="29" t="e">
        <f t="shared" si="285"/>
        <v>#REF!</v>
      </c>
      <c r="VVH247" s="29" t="e">
        <f t="shared" si="285"/>
        <v>#REF!</v>
      </c>
      <c r="VVI247" s="29" t="e">
        <f t="shared" si="285"/>
        <v>#REF!</v>
      </c>
      <c r="VVJ247" s="29" t="e">
        <f t="shared" si="285"/>
        <v>#REF!</v>
      </c>
      <c r="VVK247" s="29" t="e">
        <f t="shared" si="285"/>
        <v>#REF!</v>
      </c>
      <c r="VVL247" s="29" t="e">
        <f t="shared" si="285"/>
        <v>#REF!</v>
      </c>
      <c r="VVM247" s="29" t="e">
        <f t="shared" si="285"/>
        <v>#REF!</v>
      </c>
      <c r="VVN247" s="29" t="e">
        <f t="shared" si="285"/>
        <v>#REF!</v>
      </c>
      <c r="VVO247" s="29" t="e">
        <f t="shared" si="285"/>
        <v>#REF!</v>
      </c>
      <c r="VVP247" s="29" t="e">
        <f t="shared" si="285"/>
        <v>#REF!</v>
      </c>
      <c r="VVQ247" s="29" t="e">
        <f t="shared" si="285"/>
        <v>#REF!</v>
      </c>
      <c r="VVR247" s="29" t="e">
        <f t="shared" si="285"/>
        <v>#REF!</v>
      </c>
      <c r="VVS247" s="29" t="e">
        <f t="shared" si="285"/>
        <v>#REF!</v>
      </c>
      <c r="VVT247" s="29" t="e">
        <f t="shared" si="285"/>
        <v>#REF!</v>
      </c>
      <c r="VVU247" s="29" t="e">
        <f t="shared" si="285"/>
        <v>#REF!</v>
      </c>
      <c r="VVV247" s="29" t="e">
        <f t="shared" si="285"/>
        <v>#REF!</v>
      </c>
      <c r="VVW247" s="29" t="e">
        <f t="shared" si="285"/>
        <v>#REF!</v>
      </c>
      <c r="VVX247" s="29" t="e">
        <f t="shared" si="285"/>
        <v>#REF!</v>
      </c>
      <c r="VVY247" s="29" t="e">
        <f t="shared" si="285"/>
        <v>#REF!</v>
      </c>
      <c r="VVZ247" s="29" t="e">
        <f t="shared" si="285"/>
        <v>#REF!</v>
      </c>
      <c r="VWA247" s="29" t="e">
        <f t="shared" si="285"/>
        <v>#REF!</v>
      </c>
      <c r="VWB247" s="29" t="e">
        <f t="shared" si="285"/>
        <v>#REF!</v>
      </c>
      <c r="VWC247" s="29" t="e">
        <f t="shared" si="285"/>
        <v>#REF!</v>
      </c>
      <c r="VWD247" s="29" t="e">
        <f t="shared" si="285"/>
        <v>#REF!</v>
      </c>
      <c r="VWE247" s="29" t="e">
        <f t="shared" si="285"/>
        <v>#REF!</v>
      </c>
      <c r="VWF247" s="29" t="e">
        <f t="shared" si="285"/>
        <v>#REF!</v>
      </c>
      <c r="VWG247" s="29" t="e">
        <f t="shared" si="285"/>
        <v>#REF!</v>
      </c>
      <c r="VWH247" s="29" t="e">
        <f t="shared" si="285"/>
        <v>#REF!</v>
      </c>
      <c r="VWI247" s="29" t="e">
        <f t="shared" si="285"/>
        <v>#REF!</v>
      </c>
      <c r="VWJ247" s="29" t="e">
        <f t="shared" si="285"/>
        <v>#REF!</v>
      </c>
      <c r="VWK247" s="29" t="e">
        <f t="shared" si="285"/>
        <v>#REF!</v>
      </c>
      <c r="VWL247" s="29" t="e">
        <f t="shared" si="285"/>
        <v>#REF!</v>
      </c>
      <c r="VWM247" s="29" t="e">
        <f t="shared" si="285"/>
        <v>#REF!</v>
      </c>
      <c r="VWN247" s="29" t="e">
        <f t="shared" si="285"/>
        <v>#REF!</v>
      </c>
      <c r="VWO247" s="29" t="e">
        <f t="shared" si="285"/>
        <v>#REF!</v>
      </c>
      <c r="VWP247" s="29" t="e">
        <f t="shared" si="285"/>
        <v>#REF!</v>
      </c>
      <c r="VWQ247" s="29" t="e">
        <f t="shared" si="285"/>
        <v>#REF!</v>
      </c>
      <c r="VWR247" s="29" t="e">
        <f t="shared" si="285"/>
        <v>#REF!</v>
      </c>
      <c r="VWS247" s="29" t="e">
        <f t="shared" si="285"/>
        <v>#REF!</v>
      </c>
      <c r="VWT247" s="29" t="e">
        <f t="shared" si="285"/>
        <v>#REF!</v>
      </c>
      <c r="VWU247" s="29" t="e">
        <f t="shared" si="285"/>
        <v>#REF!</v>
      </c>
      <c r="VWV247" s="29" t="e">
        <f t="shared" si="285"/>
        <v>#REF!</v>
      </c>
      <c r="VWW247" s="29" t="e">
        <f t="shared" si="285"/>
        <v>#REF!</v>
      </c>
      <c r="VWX247" s="29" t="e">
        <f t="shared" si="285"/>
        <v>#REF!</v>
      </c>
      <c r="VWY247" s="29" t="e">
        <f t="shared" si="285"/>
        <v>#REF!</v>
      </c>
      <c r="VWZ247" s="29" t="e">
        <f t="shared" si="285"/>
        <v>#REF!</v>
      </c>
      <c r="VXA247" s="29" t="e">
        <f t="shared" si="285"/>
        <v>#REF!</v>
      </c>
      <c r="VXB247" s="29" t="e">
        <f t="shared" si="285"/>
        <v>#REF!</v>
      </c>
      <c r="VXC247" s="29" t="e">
        <f t="shared" si="285"/>
        <v>#REF!</v>
      </c>
      <c r="VXD247" s="29" t="e">
        <f t="shared" si="285"/>
        <v>#REF!</v>
      </c>
      <c r="VXE247" s="29" t="e">
        <f t="shared" si="285"/>
        <v>#REF!</v>
      </c>
      <c r="VXF247" s="29" t="e">
        <f t="shared" si="285"/>
        <v>#REF!</v>
      </c>
      <c r="VXG247" s="29" t="e">
        <f t="shared" si="285"/>
        <v>#REF!</v>
      </c>
      <c r="VXH247" s="29" t="e">
        <f t="shared" si="285"/>
        <v>#REF!</v>
      </c>
      <c r="VXI247" s="29" t="e">
        <f t="shared" ref="VXI247:VZT247" si="286">VXM247&amp;VXN247</f>
        <v>#REF!</v>
      </c>
      <c r="VXJ247" s="29" t="e">
        <f t="shared" si="286"/>
        <v>#REF!</v>
      </c>
      <c r="VXK247" s="29" t="e">
        <f t="shared" si="286"/>
        <v>#REF!</v>
      </c>
      <c r="VXL247" s="29" t="e">
        <f t="shared" si="286"/>
        <v>#REF!</v>
      </c>
      <c r="VXM247" s="29" t="e">
        <f t="shared" si="286"/>
        <v>#REF!</v>
      </c>
      <c r="VXN247" s="29" t="e">
        <f t="shared" si="286"/>
        <v>#REF!</v>
      </c>
      <c r="VXO247" s="29" t="e">
        <f t="shared" si="286"/>
        <v>#REF!</v>
      </c>
      <c r="VXP247" s="29" t="e">
        <f t="shared" si="286"/>
        <v>#REF!</v>
      </c>
      <c r="VXQ247" s="29" t="e">
        <f t="shared" si="286"/>
        <v>#REF!</v>
      </c>
      <c r="VXR247" s="29" t="e">
        <f t="shared" si="286"/>
        <v>#REF!</v>
      </c>
      <c r="VXS247" s="29" t="e">
        <f t="shared" si="286"/>
        <v>#REF!</v>
      </c>
      <c r="VXT247" s="29" t="e">
        <f t="shared" si="286"/>
        <v>#REF!</v>
      </c>
      <c r="VXU247" s="29" t="e">
        <f t="shared" si="286"/>
        <v>#REF!</v>
      </c>
      <c r="VXV247" s="29" t="e">
        <f t="shared" si="286"/>
        <v>#REF!</v>
      </c>
      <c r="VXW247" s="29" t="e">
        <f t="shared" si="286"/>
        <v>#REF!</v>
      </c>
      <c r="VXX247" s="29" t="e">
        <f t="shared" si="286"/>
        <v>#REF!</v>
      </c>
      <c r="VXY247" s="29" t="e">
        <f t="shared" si="286"/>
        <v>#REF!</v>
      </c>
      <c r="VXZ247" s="29" t="e">
        <f t="shared" si="286"/>
        <v>#REF!</v>
      </c>
      <c r="VYA247" s="29" t="e">
        <f t="shared" si="286"/>
        <v>#REF!</v>
      </c>
      <c r="VYB247" s="29" t="e">
        <f t="shared" si="286"/>
        <v>#REF!</v>
      </c>
      <c r="VYC247" s="29" t="e">
        <f t="shared" si="286"/>
        <v>#REF!</v>
      </c>
      <c r="VYD247" s="29" t="e">
        <f t="shared" si="286"/>
        <v>#REF!</v>
      </c>
      <c r="VYE247" s="29" t="e">
        <f t="shared" si="286"/>
        <v>#REF!</v>
      </c>
      <c r="VYF247" s="29" t="e">
        <f t="shared" si="286"/>
        <v>#REF!</v>
      </c>
      <c r="VYG247" s="29" t="e">
        <f t="shared" si="286"/>
        <v>#REF!</v>
      </c>
      <c r="VYH247" s="29" t="e">
        <f t="shared" si="286"/>
        <v>#REF!</v>
      </c>
      <c r="VYI247" s="29" t="e">
        <f t="shared" si="286"/>
        <v>#REF!</v>
      </c>
      <c r="VYJ247" s="29" t="e">
        <f t="shared" si="286"/>
        <v>#REF!</v>
      </c>
      <c r="VYK247" s="29" t="e">
        <f t="shared" si="286"/>
        <v>#REF!</v>
      </c>
      <c r="VYL247" s="29" t="e">
        <f t="shared" si="286"/>
        <v>#REF!</v>
      </c>
      <c r="VYM247" s="29" t="e">
        <f t="shared" si="286"/>
        <v>#REF!</v>
      </c>
      <c r="VYN247" s="29" t="e">
        <f t="shared" si="286"/>
        <v>#REF!</v>
      </c>
      <c r="VYO247" s="29" t="e">
        <f t="shared" si="286"/>
        <v>#REF!</v>
      </c>
      <c r="VYP247" s="29" t="e">
        <f t="shared" si="286"/>
        <v>#REF!</v>
      </c>
      <c r="VYQ247" s="29" t="e">
        <f t="shared" si="286"/>
        <v>#REF!</v>
      </c>
      <c r="VYR247" s="29" t="e">
        <f t="shared" si="286"/>
        <v>#REF!</v>
      </c>
      <c r="VYS247" s="29" t="e">
        <f t="shared" si="286"/>
        <v>#REF!</v>
      </c>
      <c r="VYT247" s="29" t="e">
        <f t="shared" si="286"/>
        <v>#REF!</v>
      </c>
      <c r="VYU247" s="29" t="e">
        <f t="shared" si="286"/>
        <v>#REF!</v>
      </c>
      <c r="VYV247" s="29" t="e">
        <f t="shared" si="286"/>
        <v>#REF!</v>
      </c>
      <c r="VYW247" s="29" t="e">
        <f t="shared" si="286"/>
        <v>#REF!</v>
      </c>
      <c r="VYX247" s="29" t="e">
        <f t="shared" si="286"/>
        <v>#REF!</v>
      </c>
      <c r="VYY247" s="29" t="e">
        <f t="shared" si="286"/>
        <v>#REF!</v>
      </c>
      <c r="VYZ247" s="29" t="e">
        <f t="shared" si="286"/>
        <v>#REF!</v>
      </c>
      <c r="VZA247" s="29" t="e">
        <f t="shared" si="286"/>
        <v>#REF!</v>
      </c>
      <c r="VZB247" s="29" t="e">
        <f t="shared" si="286"/>
        <v>#REF!</v>
      </c>
      <c r="VZC247" s="29" t="e">
        <f t="shared" si="286"/>
        <v>#REF!</v>
      </c>
      <c r="VZD247" s="29" t="e">
        <f t="shared" si="286"/>
        <v>#REF!</v>
      </c>
      <c r="VZE247" s="29" t="e">
        <f t="shared" si="286"/>
        <v>#REF!</v>
      </c>
      <c r="VZF247" s="29" t="e">
        <f t="shared" si="286"/>
        <v>#REF!</v>
      </c>
      <c r="VZG247" s="29" t="e">
        <f t="shared" si="286"/>
        <v>#REF!</v>
      </c>
      <c r="VZH247" s="29" t="e">
        <f t="shared" si="286"/>
        <v>#REF!</v>
      </c>
      <c r="VZI247" s="29" t="e">
        <f t="shared" si="286"/>
        <v>#REF!</v>
      </c>
      <c r="VZJ247" s="29" t="e">
        <f t="shared" si="286"/>
        <v>#REF!</v>
      </c>
      <c r="VZK247" s="29" t="e">
        <f t="shared" si="286"/>
        <v>#REF!</v>
      </c>
      <c r="VZL247" s="29" t="e">
        <f t="shared" si="286"/>
        <v>#REF!</v>
      </c>
      <c r="VZM247" s="29" t="e">
        <f t="shared" si="286"/>
        <v>#REF!</v>
      </c>
      <c r="VZN247" s="29" t="e">
        <f t="shared" si="286"/>
        <v>#REF!</v>
      </c>
      <c r="VZO247" s="29" t="e">
        <f t="shared" si="286"/>
        <v>#REF!</v>
      </c>
      <c r="VZP247" s="29" t="e">
        <f t="shared" si="286"/>
        <v>#REF!</v>
      </c>
      <c r="VZQ247" s="29" t="e">
        <f t="shared" si="286"/>
        <v>#REF!</v>
      </c>
      <c r="VZR247" s="29" t="e">
        <f t="shared" si="286"/>
        <v>#REF!</v>
      </c>
      <c r="VZS247" s="29" t="e">
        <f t="shared" si="286"/>
        <v>#REF!</v>
      </c>
      <c r="VZT247" s="29" t="e">
        <f t="shared" si="286"/>
        <v>#REF!</v>
      </c>
      <c r="VZU247" s="29" t="e">
        <f t="shared" ref="VZU247:WCF247" si="287">VZY247&amp;VZZ247</f>
        <v>#REF!</v>
      </c>
      <c r="VZV247" s="29" t="e">
        <f t="shared" si="287"/>
        <v>#REF!</v>
      </c>
      <c r="VZW247" s="29" t="e">
        <f t="shared" si="287"/>
        <v>#REF!</v>
      </c>
      <c r="VZX247" s="29" t="e">
        <f t="shared" si="287"/>
        <v>#REF!</v>
      </c>
      <c r="VZY247" s="29" t="e">
        <f t="shared" si="287"/>
        <v>#REF!</v>
      </c>
      <c r="VZZ247" s="29" t="e">
        <f t="shared" si="287"/>
        <v>#REF!</v>
      </c>
      <c r="WAA247" s="29" t="e">
        <f t="shared" si="287"/>
        <v>#REF!</v>
      </c>
      <c r="WAB247" s="29" t="e">
        <f t="shared" si="287"/>
        <v>#REF!</v>
      </c>
      <c r="WAC247" s="29" t="e">
        <f t="shared" si="287"/>
        <v>#REF!</v>
      </c>
      <c r="WAD247" s="29" t="e">
        <f t="shared" si="287"/>
        <v>#REF!</v>
      </c>
      <c r="WAE247" s="29" t="e">
        <f t="shared" si="287"/>
        <v>#REF!</v>
      </c>
      <c r="WAF247" s="29" t="e">
        <f t="shared" si="287"/>
        <v>#REF!</v>
      </c>
      <c r="WAG247" s="29" t="e">
        <f t="shared" si="287"/>
        <v>#REF!</v>
      </c>
      <c r="WAH247" s="29" t="e">
        <f t="shared" si="287"/>
        <v>#REF!</v>
      </c>
      <c r="WAI247" s="29" t="e">
        <f t="shared" si="287"/>
        <v>#REF!</v>
      </c>
      <c r="WAJ247" s="29" t="e">
        <f t="shared" si="287"/>
        <v>#REF!</v>
      </c>
      <c r="WAK247" s="29" t="e">
        <f t="shared" si="287"/>
        <v>#REF!</v>
      </c>
      <c r="WAL247" s="29" t="e">
        <f t="shared" si="287"/>
        <v>#REF!</v>
      </c>
      <c r="WAM247" s="29" t="e">
        <f t="shared" si="287"/>
        <v>#REF!</v>
      </c>
      <c r="WAN247" s="29" t="e">
        <f t="shared" si="287"/>
        <v>#REF!</v>
      </c>
      <c r="WAO247" s="29" t="e">
        <f t="shared" si="287"/>
        <v>#REF!</v>
      </c>
      <c r="WAP247" s="29" t="e">
        <f t="shared" si="287"/>
        <v>#REF!</v>
      </c>
      <c r="WAQ247" s="29" t="e">
        <f t="shared" si="287"/>
        <v>#REF!</v>
      </c>
      <c r="WAR247" s="29" t="e">
        <f t="shared" si="287"/>
        <v>#REF!</v>
      </c>
      <c r="WAS247" s="29" t="e">
        <f t="shared" si="287"/>
        <v>#REF!</v>
      </c>
      <c r="WAT247" s="29" t="e">
        <f t="shared" si="287"/>
        <v>#REF!</v>
      </c>
      <c r="WAU247" s="29" t="e">
        <f t="shared" si="287"/>
        <v>#REF!</v>
      </c>
      <c r="WAV247" s="29" t="e">
        <f t="shared" si="287"/>
        <v>#REF!</v>
      </c>
      <c r="WAW247" s="29" t="e">
        <f t="shared" si="287"/>
        <v>#REF!</v>
      </c>
      <c r="WAX247" s="29" t="e">
        <f t="shared" si="287"/>
        <v>#REF!</v>
      </c>
      <c r="WAY247" s="29" t="e">
        <f t="shared" si="287"/>
        <v>#REF!</v>
      </c>
      <c r="WAZ247" s="29" t="e">
        <f t="shared" si="287"/>
        <v>#REF!</v>
      </c>
      <c r="WBA247" s="29" t="e">
        <f t="shared" si="287"/>
        <v>#REF!</v>
      </c>
      <c r="WBB247" s="29" t="e">
        <f t="shared" si="287"/>
        <v>#REF!</v>
      </c>
      <c r="WBC247" s="29" t="e">
        <f t="shared" si="287"/>
        <v>#REF!</v>
      </c>
      <c r="WBD247" s="29" t="e">
        <f t="shared" si="287"/>
        <v>#REF!</v>
      </c>
      <c r="WBE247" s="29" t="e">
        <f t="shared" si="287"/>
        <v>#REF!</v>
      </c>
      <c r="WBF247" s="29" t="e">
        <f t="shared" si="287"/>
        <v>#REF!</v>
      </c>
      <c r="WBG247" s="29" t="e">
        <f t="shared" si="287"/>
        <v>#REF!</v>
      </c>
      <c r="WBH247" s="29" t="e">
        <f t="shared" si="287"/>
        <v>#REF!</v>
      </c>
      <c r="WBI247" s="29" t="e">
        <f t="shared" si="287"/>
        <v>#REF!</v>
      </c>
      <c r="WBJ247" s="29" t="e">
        <f t="shared" si="287"/>
        <v>#REF!</v>
      </c>
      <c r="WBK247" s="29" t="e">
        <f t="shared" si="287"/>
        <v>#REF!</v>
      </c>
      <c r="WBL247" s="29" t="e">
        <f t="shared" si="287"/>
        <v>#REF!</v>
      </c>
      <c r="WBM247" s="29" t="e">
        <f t="shared" si="287"/>
        <v>#REF!</v>
      </c>
      <c r="WBN247" s="29" t="e">
        <f t="shared" si="287"/>
        <v>#REF!</v>
      </c>
      <c r="WBO247" s="29" t="e">
        <f t="shared" si="287"/>
        <v>#REF!</v>
      </c>
      <c r="WBP247" s="29" t="e">
        <f t="shared" si="287"/>
        <v>#REF!</v>
      </c>
      <c r="WBQ247" s="29" t="e">
        <f t="shared" si="287"/>
        <v>#REF!</v>
      </c>
      <c r="WBR247" s="29" t="e">
        <f t="shared" si="287"/>
        <v>#REF!</v>
      </c>
      <c r="WBS247" s="29" t="e">
        <f t="shared" si="287"/>
        <v>#REF!</v>
      </c>
      <c r="WBT247" s="29" t="e">
        <f t="shared" si="287"/>
        <v>#REF!</v>
      </c>
      <c r="WBU247" s="29" t="e">
        <f t="shared" si="287"/>
        <v>#REF!</v>
      </c>
      <c r="WBV247" s="29" t="e">
        <f t="shared" si="287"/>
        <v>#REF!</v>
      </c>
      <c r="WBW247" s="29" t="e">
        <f t="shared" si="287"/>
        <v>#REF!</v>
      </c>
      <c r="WBX247" s="29" t="e">
        <f t="shared" si="287"/>
        <v>#REF!</v>
      </c>
      <c r="WBY247" s="29" t="e">
        <f t="shared" si="287"/>
        <v>#REF!</v>
      </c>
      <c r="WBZ247" s="29" t="e">
        <f t="shared" si="287"/>
        <v>#REF!</v>
      </c>
      <c r="WCA247" s="29" t="e">
        <f t="shared" si="287"/>
        <v>#REF!</v>
      </c>
      <c r="WCB247" s="29" t="e">
        <f t="shared" si="287"/>
        <v>#REF!</v>
      </c>
      <c r="WCC247" s="29" t="e">
        <f t="shared" si="287"/>
        <v>#REF!</v>
      </c>
      <c r="WCD247" s="29" t="e">
        <f t="shared" si="287"/>
        <v>#REF!</v>
      </c>
      <c r="WCE247" s="29" t="e">
        <f t="shared" si="287"/>
        <v>#REF!</v>
      </c>
      <c r="WCF247" s="29" t="e">
        <f t="shared" si="287"/>
        <v>#REF!</v>
      </c>
      <c r="WCG247" s="29" t="e">
        <f t="shared" ref="WCG247:WER247" si="288">WCK247&amp;WCL247</f>
        <v>#REF!</v>
      </c>
      <c r="WCH247" s="29" t="e">
        <f t="shared" si="288"/>
        <v>#REF!</v>
      </c>
      <c r="WCI247" s="29" t="e">
        <f t="shared" si="288"/>
        <v>#REF!</v>
      </c>
      <c r="WCJ247" s="29" t="e">
        <f t="shared" si="288"/>
        <v>#REF!</v>
      </c>
      <c r="WCK247" s="29" t="e">
        <f t="shared" si="288"/>
        <v>#REF!</v>
      </c>
      <c r="WCL247" s="29" t="e">
        <f t="shared" si="288"/>
        <v>#REF!</v>
      </c>
      <c r="WCM247" s="29" t="e">
        <f t="shared" si="288"/>
        <v>#REF!</v>
      </c>
      <c r="WCN247" s="29" t="e">
        <f t="shared" si="288"/>
        <v>#REF!</v>
      </c>
      <c r="WCO247" s="29" t="e">
        <f t="shared" si="288"/>
        <v>#REF!</v>
      </c>
      <c r="WCP247" s="29" t="e">
        <f t="shared" si="288"/>
        <v>#REF!</v>
      </c>
      <c r="WCQ247" s="29" t="e">
        <f t="shared" si="288"/>
        <v>#REF!</v>
      </c>
      <c r="WCR247" s="29" t="e">
        <f t="shared" si="288"/>
        <v>#REF!</v>
      </c>
      <c r="WCS247" s="29" t="e">
        <f t="shared" si="288"/>
        <v>#REF!</v>
      </c>
      <c r="WCT247" s="29" t="e">
        <f t="shared" si="288"/>
        <v>#REF!</v>
      </c>
      <c r="WCU247" s="29" t="e">
        <f t="shared" si="288"/>
        <v>#REF!</v>
      </c>
      <c r="WCV247" s="29" t="e">
        <f t="shared" si="288"/>
        <v>#REF!</v>
      </c>
      <c r="WCW247" s="29" t="e">
        <f t="shared" si="288"/>
        <v>#REF!</v>
      </c>
      <c r="WCX247" s="29" t="e">
        <f t="shared" si="288"/>
        <v>#REF!</v>
      </c>
      <c r="WCY247" s="29" t="e">
        <f t="shared" si="288"/>
        <v>#REF!</v>
      </c>
      <c r="WCZ247" s="29" t="e">
        <f t="shared" si="288"/>
        <v>#REF!</v>
      </c>
      <c r="WDA247" s="29" t="e">
        <f t="shared" si="288"/>
        <v>#REF!</v>
      </c>
      <c r="WDB247" s="29" t="e">
        <f t="shared" si="288"/>
        <v>#REF!</v>
      </c>
      <c r="WDC247" s="29" t="e">
        <f t="shared" si="288"/>
        <v>#REF!</v>
      </c>
      <c r="WDD247" s="29" t="e">
        <f t="shared" si="288"/>
        <v>#REF!</v>
      </c>
      <c r="WDE247" s="29" t="e">
        <f t="shared" si="288"/>
        <v>#REF!</v>
      </c>
      <c r="WDF247" s="29" t="e">
        <f t="shared" si="288"/>
        <v>#REF!</v>
      </c>
      <c r="WDG247" s="29" t="e">
        <f t="shared" si="288"/>
        <v>#REF!</v>
      </c>
      <c r="WDH247" s="29" t="e">
        <f t="shared" si="288"/>
        <v>#REF!</v>
      </c>
      <c r="WDI247" s="29" t="e">
        <f t="shared" si="288"/>
        <v>#REF!</v>
      </c>
      <c r="WDJ247" s="29" t="e">
        <f t="shared" si="288"/>
        <v>#REF!</v>
      </c>
      <c r="WDK247" s="29" t="e">
        <f t="shared" si="288"/>
        <v>#REF!</v>
      </c>
      <c r="WDL247" s="29" t="e">
        <f t="shared" si="288"/>
        <v>#REF!</v>
      </c>
      <c r="WDM247" s="29" t="e">
        <f t="shared" si="288"/>
        <v>#REF!</v>
      </c>
      <c r="WDN247" s="29" t="e">
        <f t="shared" si="288"/>
        <v>#REF!</v>
      </c>
      <c r="WDO247" s="29" t="e">
        <f t="shared" si="288"/>
        <v>#REF!</v>
      </c>
      <c r="WDP247" s="29" t="e">
        <f t="shared" si="288"/>
        <v>#REF!</v>
      </c>
      <c r="WDQ247" s="29" t="e">
        <f t="shared" si="288"/>
        <v>#REF!</v>
      </c>
      <c r="WDR247" s="29" t="e">
        <f t="shared" si="288"/>
        <v>#REF!</v>
      </c>
      <c r="WDS247" s="29" t="e">
        <f t="shared" si="288"/>
        <v>#REF!</v>
      </c>
      <c r="WDT247" s="29" t="e">
        <f t="shared" si="288"/>
        <v>#REF!</v>
      </c>
      <c r="WDU247" s="29" t="e">
        <f t="shared" si="288"/>
        <v>#REF!</v>
      </c>
      <c r="WDV247" s="29" t="e">
        <f t="shared" si="288"/>
        <v>#REF!</v>
      </c>
      <c r="WDW247" s="29" t="e">
        <f t="shared" si="288"/>
        <v>#REF!</v>
      </c>
      <c r="WDX247" s="29" t="e">
        <f t="shared" si="288"/>
        <v>#REF!</v>
      </c>
      <c r="WDY247" s="29" t="e">
        <f t="shared" si="288"/>
        <v>#REF!</v>
      </c>
      <c r="WDZ247" s="29" t="e">
        <f t="shared" si="288"/>
        <v>#REF!</v>
      </c>
      <c r="WEA247" s="29" t="e">
        <f t="shared" si="288"/>
        <v>#REF!</v>
      </c>
      <c r="WEB247" s="29" t="e">
        <f t="shared" si="288"/>
        <v>#REF!</v>
      </c>
      <c r="WEC247" s="29" t="e">
        <f t="shared" si="288"/>
        <v>#REF!</v>
      </c>
      <c r="WED247" s="29" t="e">
        <f t="shared" si="288"/>
        <v>#REF!</v>
      </c>
      <c r="WEE247" s="29" t="e">
        <f t="shared" si="288"/>
        <v>#REF!</v>
      </c>
      <c r="WEF247" s="29" t="e">
        <f t="shared" si="288"/>
        <v>#REF!</v>
      </c>
      <c r="WEG247" s="29" t="e">
        <f t="shared" si="288"/>
        <v>#REF!</v>
      </c>
      <c r="WEH247" s="29" t="e">
        <f t="shared" si="288"/>
        <v>#REF!</v>
      </c>
      <c r="WEI247" s="29" t="e">
        <f t="shared" si="288"/>
        <v>#REF!</v>
      </c>
      <c r="WEJ247" s="29" t="e">
        <f t="shared" si="288"/>
        <v>#REF!</v>
      </c>
      <c r="WEK247" s="29" t="e">
        <f t="shared" si="288"/>
        <v>#REF!</v>
      </c>
      <c r="WEL247" s="29" t="e">
        <f t="shared" si="288"/>
        <v>#REF!</v>
      </c>
      <c r="WEM247" s="29" t="e">
        <f t="shared" si="288"/>
        <v>#REF!</v>
      </c>
      <c r="WEN247" s="29" t="e">
        <f t="shared" si="288"/>
        <v>#REF!</v>
      </c>
      <c r="WEO247" s="29" t="e">
        <f t="shared" si="288"/>
        <v>#REF!</v>
      </c>
      <c r="WEP247" s="29" t="e">
        <f t="shared" si="288"/>
        <v>#REF!</v>
      </c>
      <c r="WEQ247" s="29" t="e">
        <f t="shared" si="288"/>
        <v>#REF!</v>
      </c>
      <c r="WER247" s="29" t="e">
        <f t="shared" si="288"/>
        <v>#REF!</v>
      </c>
      <c r="WES247" s="29" t="e">
        <f t="shared" ref="WES247:WHD247" si="289">WEW247&amp;WEX247</f>
        <v>#REF!</v>
      </c>
      <c r="WET247" s="29" t="e">
        <f t="shared" si="289"/>
        <v>#REF!</v>
      </c>
      <c r="WEU247" s="29" t="e">
        <f t="shared" si="289"/>
        <v>#REF!</v>
      </c>
      <c r="WEV247" s="29" t="e">
        <f t="shared" si="289"/>
        <v>#REF!</v>
      </c>
      <c r="WEW247" s="29" t="e">
        <f t="shared" si="289"/>
        <v>#REF!</v>
      </c>
      <c r="WEX247" s="29" t="e">
        <f t="shared" si="289"/>
        <v>#REF!</v>
      </c>
      <c r="WEY247" s="29" t="e">
        <f t="shared" si="289"/>
        <v>#REF!</v>
      </c>
      <c r="WEZ247" s="29" t="e">
        <f t="shared" si="289"/>
        <v>#REF!</v>
      </c>
      <c r="WFA247" s="29" t="e">
        <f t="shared" si="289"/>
        <v>#REF!</v>
      </c>
      <c r="WFB247" s="29" t="e">
        <f t="shared" si="289"/>
        <v>#REF!</v>
      </c>
      <c r="WFC247" s="29" t="e">
        <f t="shared" si="289"/>
        <v>#REF!</v>
      </c>
      <c r="WFD247" s="29" t="e">
        <f t="shared" si="289"/>
        <v>#REF!</v>
      </c>
      <c r="WFE247" s="29" t="e">
        <f t="shared" si="289"/>
        <v>#REF!</v>
      </c>
      <c r="WFF247" s="29" t="e">
        <f t="shared" si="289"/>
        <v>#REF!</v>
      </c>
      <c r="WFG247" s="29" t="e">
        <f t="shared" si="289"/>
        <v>#REF!</v>
      </c>
      <c r="WFH247" s="29" t="e">
        <f t="shared" si="289"/>
        <v>#REF!</v>
      </c>
      <c r="WFI247" s="29" t="e">
        <f t="shared" si="289"/>
        <v>#REF!</v>
      </c>
      <c r="WFJ247" s="29" t="e">
        <f t="shared" si="289"/>
        <v>#REF!</v>
      </c>
      <c r="WFK247" s="29" t="e">
        <f t="shared" si="289"/>
        <v>#REF!</v>
      </c>
      <c r="WFL247" s="29" t="e">
        <f t="shared" si="289"/>
        <v>#REF!</v>
      </c>
      <c r="WFM247" s="29" t="e">
        <f t="shared" si="289"/>
        <v>#REF!</v>
      </c>
      <c r="WFN247" s="29" t="e">
        <f t="shared" si="289"/>
        <v>#REF!</v>
      </c>
      <c r="WFO247" s="29" t="e">
        <f t="shared" si="289"/>
        <v>#REF!</v>
      </c>
      <c r="WFP247" s="29" t="e">
        <f t="shared" si="289"/>
        <v>#REF!</v>
      </c>
      <c r="WFQ247" s="29" t="e">
        <f t="shared" si="289"/>
        <v>#REF!</v>
      </c>
      <c r="WFR247" s="29" t="e">
        <f t="shared" si="289"/>
        <v>#REF!</v>
      </c>
      <c r="WFS247" s="29" t="e">
        <f t="shared" si="289"/>
        <v>#REF!</v>
      </c>
      <c r="WFT247" s="29" t="e">
        <f t="shared" si="289"/>
        <v>#REF!</v>
      </c>
      <c r="WFU247" s="29" t="e">
        <f t="shared" si="289"/>
        <v>#REF!</v>
      </c>
      <c r="WFV247" s="29" t="e">
        <f t="shared" si="289"/>
        <v>#REF!</v>
      </c>
      <c r="WFW247" s="29" t="e">
        <f t="shared" si="289"/>
        <v>#REF!</v>
      </c>
      <c r="WFX247" s="29" t="e">
        <f t="shared" si="289"/>
        <v>#REF!</v>
      </c>
      <c r="WFY247" s="29" t="e">
        <f t="shared" si="289"/>
        <v>#REF!</v>
      </c>
      <c r="WFZ247" s="29" t="e">
        <f t="shared" si="289"/>
        <v>#REF!</v>
      </c>
      <c r="WGA247" s="29" t="e">
        <f t="shared" si="289"/>
        <v>#REF!</v>
      </c>
      <c r="WGB247" s="29" t="e">
        <f t="shared" si="289"/>
        <v>#REF!</v>
      </c>
      <c r="WGC247" s="29" t="e">
        <f t="shared" si="289"/>
        <v>#REF!</v>
      </c>
      <c r="WGD247" s="29" t="e">
        <f t="shared" si="289"/>
        <v>#REF!</v>
      </c>
      <c r="WGE247" s="29" t="e">
        <f t="shared" si="289"/>
        <v>#REF!</v>
      </c>
      <c r="WGF247" s="29" t="e">
        <f t="shared" si="289"/>
        <v>#REF!</v>
      </c>
      <c r="WGG247" s="29" t="e">
        <f t="shared" si="289"/>
        <v>#REF!</v>
      </c>
      <c r="WGH247" s="29" t="e">
        <f t="shared" si="289"/>
        <v>#REF!</v>
      </c>
      <c r="WGI247" s="29" t="e">
        <f t="shared" si="289"/>
        <v>#REF!</v>
      </c>
      <c r="WGJ247" s="29" t="e">
        <f t="shared" si="289"/>
        <v>#REF!</v>
      </c>
      <c r="WGK247" s="29" t="e">
        <f t="shared" si="289"/>
        <v>#REF!</v>
      </c>
      <c r="WGL247" s="29" t="e">
        <f t="shared" si="289"/>
        <v>#REF!</v>
      </c>
      <c r="WGM247" s="29" t="e">
        <f t="shared" si="289"/>
        <v>#REF!</v>
      </c>
      <c r="WGN247" s="29" t="e">
        <f t="shared" si="289"/>
        <v>#REF!</v>
      </c>
      <c r="WGO247" s="29" t="e">
        <f t="shared" si="289"/>
        <v>#REF!</v>
      </c>
      <c r="WGP247" s="29" t="e">
        <f t="shared" si="289"/>
        <v>#REF!</v>
      </c>
      <c r="WGQ247" s="29" t="e">
        <f t="shared" si="289"/>
        <v>#REF!</v>
      </c>
      <c r="WGR247" s="29" t="e">
        <f t="shared" si="289"/>
        <v>#REF!</v>
      </c>
      <c r="WGS247" s="29" t="e">
        <f t="shared" si="289"/>
        <v>#REF!</v>
      </c>
      <c r="WGT247" s="29" t="e">
        <f t="shared" si="289"/>
        <v>#REF!</v>
      </c>
      <c r="WGU247" s="29" t="e">
        <f t="shared" si="289"/>
        <v>#REF!</v>
      </c>
      <c r="WGV247" s="29" t="e">
        <f t="shared" si="289"/>
        <v>#REF!</v>
      </c>
      <c r="WGW247" s="29" t="e">
        <f t="shared" si="289"/>
        <v>#REF!</v>
      </c>
      <c r="WGX247" s="29" t="e">
        <f t="shared" si="289"/>
        <v>#REF!</v>
      </c>
      <c r="WGY247" s="29" t="e">
        <f t="shared" si="289"/>
        <v>#REF!</v>
      </c>
      <c r="WGZ247" s="29" t="e">
        <f t="shared" si="289"/>
        <v>#REF!</v>
      </c>
      <c r="WHA247" s="29" t="e">
        <f t="shared" si="289"/>
        <v>#REF!</v>
      </c>
      <c r="WHB247" s="29" t="e">
        <f t="shared" si="289"/>
        <v>#REF!</v>
      </c>
      <c r="WHC247" s="29" t="e">
        <f t="shared" si="289"/>
        <v>#REF!</v>
      </c>
      <c r="WHD247" s="29" t="e">
        <f t="shared" si="289"/>
        <v>#REF!</v>
      </c>
      <c r="WHE247" s="29" t="e">
        <f t="shared" ref="WHE247:WJP247" si="290">WHI247&amp;WHJ247</f>
        <v>#REF!</v>
      </c>
      <c r="WHF247" s="29" t="e">
        <f t="shared" si="290"/>
        <v>#REF!</v>
      </c>
      <c r="WHG247" s="29" t="e">
        <f t="shared" si="290"/>
        <v>#REF!</v>
      </c>
      <c r="WHH247" s="29" t="e">
        <f t="shared" si="290"/>
        <v>#REF!</v>
      </c>
      <c r="WHI247" s="29" t="e">
        <f t="shared" si="290"/>
        <v>#REF!</v>
      </c>
      <c r="WHJ247" s="29" t="e">
        <f t="shared" si="290"/>
        <v>#REF!</v>
      </c>
      <c r="WHK247" s="29" t="e">
        <f t="shared" si="290"/>
        <v>#REF!</v>
      </c>
      <c r="WHL247" s="29" t="e">
        <f t="shared" si="290"/>
        <v>#REF!</v>
      </c>
      <c r="WHM247" s="29" t="e">
        <f t="shared" si="290"/>
        <v>#REF!</v>
      </c>
      <c r="WHN247" s="29" t="e">
        <f t="shared" si="290"/>
        <v>#REF!</v>
      </c>
      <c r="WHO247" s="29" t="e">
        <f t="shared" si="290"/>
        <v>#REF!</v>
      </c>
      <c r="WHP247" s="29" t="e">
        <f t="shared" si="290"/>
        <v>#REF!</v>
      </c>
      <c r="WHQ247" s="29" t="e">
        <f t="shared" si="290"/>
        <v>#REF!</v>
      </c>
      <c r="WHR247" s="29" t="e">
        <f t="shared" si="290"/>
        <v>#REF!</v>
      </c>
      <c r="WHS247" s="29" t="e">
        <f t="shared" si="290"/>
        <v>#REF!</v>
      </c>
      <c r="WHT247" s="29" t="e">
        <f t="shared" si="290"/>
        <v>#REF!</v>
      </c>
      <c r="WHU247" s="29" t="e">
        <f t="shared" si="290"/>
        <v>#REF!</v>
      </c>
      <c r="WHV247" s="29" t="e">
        <f t="shared" si="290"/>
        <v>#REF!</v>
      </c>
      <c r="WHW247" s="29" t="e">
        <f t="shared" si="290"/>
        <v>#REF!</v>
      </c>
      <c r="WHX247" s="29" t="e">
        <f t="shared" si="290"/>
        <v>#REF!</v>
      </c>
      <c r="WHY247" s="29" t="e">
        <f t="shared" si="290"/>
        <v>#REF!</v>
      </c>
      <c r="WHZ247" s="29" t="e">
        <f t="shared" si="290"/>
        <v>#REF!</v>
      </c>
      <c r="WIA247" s="29" t="e">
        <f t="shared" si="290"/>
        <v>#REF!</v>
      </c>
      <c r="WIB247" s="29" t="e">
        <f t="shared" si="290"/>
        <v>#REF!</v>
      </c>
      <c r="WIC247" s="29" t="e">
        <f t="shared" si="290"/>
        <v>#REF!</v>
      </c>
      <c r="WID247" s="29" t="e">
        <f t="shared" si="290"/>
        <v>#REF!</v>
      </c>
      <c r="WIE247" s="29" t="e">
        <f t="shared" si="290"/>
        <v>#REF!</v>
      </c>
      <c r="WIF247" s="29" t="e">
        <f t="shared" si="290"/>
        <v>#REF!</v>
      </c>
      <c r="WIG247" s="29" t="e">
        <f t="shared" si="290"/>
        <v>#REF!</v>
      </c>
      <c r="WIH247" s="29" t="e">
        <f t="shared" si="290"/>
        <v>#REF!</v>
      </c>
      <c r="WII247" s="29" t="e">
        <f t="shared" si="290"/>
        <v>#REF!</v>
      </c>
      <c r="WIJ247" s="29" t="e">
        <f t="shared" si="290"/>
        <v>#REF!</v>
      </c>
      <c r="WIK247" s="29" t="e">
        <f t="shared" si="290"/>
        <v>#REF!</v>
      </c>
      <c r="WIL247" s="29" t="e">
        <f t="shared" si="290"/>
        <v>#REF!</v>
      </c>
      <c r="WIM247" s="29" t="e">
        <f t="shared" si="290"/>
        <v>#REF!</v>
      </c>
      <c r="WIN247" s="29" t="e">
        <f t="shared" si="290"/>
        <v>#REF!</v>
      </c>
      <c r="WIO247" s="29" t="e">
        <f t="shared" si="290"/>
        <v>#REF!</v>
      </c>
      <c r="WIP247" s="29" t="e">
        <f t="shared" si="290"/>
        <v>#REF!</v>
      </c>
      <c r="WIQ247" s="29" t="e">
        <f t="shared" si="290"/>
        <v>#REF!</v>
      </c>
      <c r="WIR247" s="29" t="e">
        <f t="shared" si="290"/>
        <v>#REF!</v>
      </c>
      <c r="WIS247" s="29" t="e">
        <f t="shared" si="290"/>
        <v>#REF!</v>
      </c>
      <c r="WIT247" s="29" t="e">
        <f t="shared" si="290"/>
        <v>#REF!</v>
      </c>
      <c r="WIU247" s="29" t="e">
        <f t="shared" si="290"/>
        <v>#REF!</v>
      </c>
      <c r="WIV247" s="29" t="e">
        <f t="shared" si="290"/>
        <v>#REF!</v>
      </c>
      <c r="WIW247" s="29" t="e">
        <f t="shared" si="290"/>
        <v>#REF!</v>
      </c>
      <c r="WIX247" s="29" t="e">
        <f t="shared" si="290"/>
        <v>#REF!</v>
      </c>
      <c r="WIY247" s="29" t="e">
        <f t="shared" si="290"/>
        <v>#REF!</v>
      </c>
      <c r="WIZ247" s="29" t="e">
        <f t="shared" si="290"/>
        <v>#REF!</v>
      </c>
      <c r="WJA247" s="29" t="e">
        <f t="shared" si="290"/>
        <v>#REF!</v>
      </c>
      <c r="WJB247" s="29" t="e">
        <f t="shared" si="290"/>
        <v>#REF!</v>
      </c>
      <c r="WJC247" s="29" t="e">
        <f t="shared" si="290"/>
        <v>#REF!</v>
      </c>
      <c r="WJD247" s="29" t="e">
        <f t="shared" si="290"/>
        <v>#REF!</v>
      </c>
      <c r="WJE247" s="29" t="e">
        <f t="shared" si="290"/>
        <v>#REF!</v>
      </c>
      <c r="WJF247" s="29" t="e">
        <f t="shared" si="290"/>
        <v>#REF!</v>
      </c>
      <c r="WJG247" s="29" t="e">
        <f t="shared" si="290"/>
        <v>#REF!</v>
      </c>
      <c r="WJH247" s="29" t="e">
        <f t="shared" si="290"/>
        <v>#REF!</v>
      </c>
      <c r="WJI247" s="29" t="e">
        <f t="shared" si="290"/>
        <v>#REF!</v>
      </c>
      <c r="WJJ247" s="29" t="e">
        <f t="shared" si="290"/>
        <v>#REF!</v>
      </c>
      <c r="WJK247" s="29" t="e">
        <f t="shared" si="290"/>
        <v>#REF!</v>
      </c>
      <c r="WJL247" s="29" t="e">
        <f t="shared" si="290"/>
        <v>#REF!</v>
      </c>
      <c r="WJM247" s="29" t="e">
        <f t="shared" si="290"/>
        <v>#REF!</v>
      </c>
      <c r="WJN247" s="29" t="e">
        <f t="shared" si="290"/>
        <v>#REF!</v>
      </c>
      <c r="WJO247" s="29" t="e">
        <f t="shared" si="290"/>
        <v>#REF!</v>
      </c>
      <c r="WJP247" s="29" t="e">
        <f t="shared" si="290"/>
        <v>#REF!</v>
      </c>
      <c r="WJQ247" s="29" t="e">
        <f t="shared" ref="WJQ247:WMB247" si="291">WJU247&amp;WJV247</f>
        <v>#REF!</v>
      </c>
      <c r="WJR247" s="29" t="e">
        <f t="shared" si="291"/>
        <v>#REF!</v>
      </c>
      <c r="WJS247" s="29" t="e">
        <f t="shared" si="291"/>
        <v>#REF!</v>
      </c>
      <c r="WJT247" s="29" t="e">
        <f t="shared" si="291"/>
        <v>#REF!</v>
      </c>
      <c r="WJU247" s="29" t="e">
        <f t="shared" si="291"/>
        <v>#REF!</v>
      </c>
      <c r="WJV247" s="29" t="e">
        <f t="shared" si="291"/>
        <v>#REF!</v>
      </c>
      <c r="WJW247" s="29" t="e">
        <f t="shared" si="291"/>
        <v>#REF!</v>
      </c>
      <c r="WJX247" s="29" t="e">
        <f t="shared" si="291"/>
        <v>#REF!</v>
      </c>
      <c r="WJY247" s="29" t="e">
        <f t="shared" si="291"/>
        <v>#REF!</v>
      </c>
      <c r="WJZ247" s="29" t="e">
        <f t="shared" si="291"/>
        <v>#REF!</v>
      </c>
      <c r="WKA247" s="29" t="e">
        <f t="shared" si="291"/>
        <v>#REF!</v>
      </c>
      <c r="WKB247" s="29" t="e">
        <f t="shared" si="291"/>
        <v>#REF!</v>
      </c>
      <c r="WKC247" s="29" t="e">
        <f t="shared" si="291"/>
        <v>#REF!</v>
      </c>
      <c r="WKD247" s="29" t="e">
        <f t="shared" si="291"/>
        <v>#REF!</v>
      </c>
      <c r="WKE247" s="29" t="e">
        <f t="shared" si="291"/>
        <v>#REF!</v>
      </c>
      <c r="WKF247" s="29" t="e">
        <f t="shared" si="291"/>
        <v>#REF!</v>
      </c>
      <c r="WKG247" s="29" t="e">
        <f t="shared" si="291"/>
        <v>#REF!</v>
      </c>
      <c r="WKH247" s="29" t="e">
        <f t="shared" si="291"/>
        <v>#REF!</v>
      </c>
      <c r="WKI247" s="29" t="e">
        <f t="shared" si="291"/>
        <v>#REF!</v>
      </c>
      <c r="WKJ247" s="29" t="e">
        <f t="shared" si="291"/>
        <v>#REF!</v>
      </c>
      <c r="WKK247" s="29" t="e">
        <f t="shared" si="291"/>
        <v>#REF!</v>
      </c>
      <c r="WKL247" s="29" t="e">
        <f t="shared" si="291"/>
        <v>#REF!</v>
      </c>
      <c r="WKM247" s="29" t="e">
        <f t="shared" si="291"/>
        <v>#REF!</v>
      </c>
      <c r="WKN247" s="29" t="e">
        <f t="shared" si="291"/>
        <v>#REF!</v>
      </c>
      <c r="WKO247" s="29" t="e">
        <f t="shared" si="291"/>
        <v>#REF!</v>
      </c>
      <c r="WKP247" s="29" t="e">
        <f t="shared" si="291"/>
        <v>#REF!</v>
      </c>
      <c r="WKQ247" s="29" t="e">
        <f t="shared" si="291"/>
        <v>#REF!</v>
      </c>
      <c r="WKR247" s="29" t="e">
        <f t="shared" si="291"/>
        <v>#REF!</v>
      </c>
      <c r="WKS247" s="29" t="e">
        <f t="shared" si="291"/>
        <v>#REF!</v>
      </c>
      <c r="WKT247" s="29" t="e">
        <f t="shared" si="291"/>
        <v>#REF!</v>
      </c>
      <c r="WKU247" s="29" t="e">
        <f t="shared" si="291"/>
        <v>#REF!</v>
      </c>
      <c r="WKV247" s="29" t="e">
        <f t="shared" si="291"/>
        <v>#REF!</v>
      </c>
      <c r="WKW247" s="29" t="e">
        <f t="shared" si="291"/>
        <v>#REF!</v>
      </c>
      <c r="WKX247" s="29" t="e">
        <f t="shared" si="291"/>
        <v>#REF!</v>
      </c>
      <c r="WKY247" s="29" t="e">
        <f t="shared" si="291"/>
        <v>#REF!</v>
      </c>
      <c r="WKZ247" s="29" t="e">
        <f t="shared" si="291"/>
        <v>#REF!</v>
      </c>
      <c r="WLA247" s="29" t="e">
        <f t="shared" si="291"/>
        <v>#REF!</v>
      </c>
      <c r="WLB247" s="29" t="e">
        <f t="shared" si="291"/>
        <v>#REF!</v>
      </c>
      <c r="WLC247" s="29" t="e">
        <f t="shared" si="291"/>
        <v>#REF!</v>
      </c>
      <c r="WLD247" s="29" t="e">
        <f t="shared" si="291"/>
        <v>#REF!</v>
      </c>
      <c r="WLE247" s="29" t="e">
        <f t="shared" si="291"/>
        <v>#REF!</v>
      </c>
      <c r="WLF247" s="29" t="e">
        <f t="shared" si="291"/>
        <v>#REF!</v>
      </c>
      <c r="WLG247" s="29" t="e">
        <f t="shared" si="291"/>
        <v>#REF!</v>
      </c>
      <c r="WLH247" s="29" t="e">
        <f t="shared" si="291"/>
        <v>#REF!</v>
      </c>
      <c r="WLI247" s="29" t="e">
        <f t="shared" si="291"/>
        <v>#REF!</v>
      </c>
      <c r="WLJ247" s="29" t="e">
        <f t="shared" si="291"/>
        <v>#REF!</v>
      </c>
      <c r="WLK247" s="29" t="e">
        <f t="shared" si="291"/>
        <v>#REF!</v>
      </c>
      <c r="WLL247" s="29" t="e">
        <f t="shared" si="291"/>
        <v>#REF!</v>
      </c>
      <c r="WLM247" s="29" t="e">
        <f t="shared" si="291"/>
        <v>#REF!</v>
      </c>
      <c r="WLN247" s="29" t="e">
        <f t="shared" si="291"/>
        <v>#REF!</v>
      </c>
      <c r="WLO247" s="29" t="e">
        <f t="shared" si="291"/>
        <v>#REF!</v>
      </c>
      <c r="WLP247" s="29" t="e">
        <f t="shared" si="291"/>
        <v>#REF!</v>
      </c>
      <c r="WLQ247" s="29" t="e">
        <f t="shared" si="291"/>
        <v>#REF!</v>
      </c>
      <c r="WLR247" s="29" t="e">
        <f t="shared" si="291"/>
        <v>#REF!</v>
      </c>
      <c r="WLS247" s="29" t="e">
        <f t="shared" si="291"/>
        <v>#REF!</v>
      </c>
      <c r="WLT247" s="29" t="e">
        <f t="shared" si="291"/>
        <v>#REF!</v>
      </c>
      <c r="WLU247" s="29" t="e">
        <f t="shared" si="291"/>
        <v>#REF!</v>
      </c>
      <c r="WLV247" s="29" t="e">
        <f t="shared" si="291"/>
        <v>#REF!</v>
      </c>
      <c r="WLW247" s="29" t="e">
        <f t="shared" si="291"/>
        <v>#REF!</v>
      </c>
      <c r="WLX247" s="29" t="e">
        <f t="shared" si="291"/>
        <v>#REF!</v>
      </c>
      <c r="WLY247" s="29" t="e">
        <f t="shared" si="291"/>
        <v>#REF!</v>
      </c>
      <c r="WLZ247" s="29" t="e">
        <f t="shared" si="291"/>
        <v>#REF!</v>
      </c>
      <c r="WMA247" s="29" t="e">
        <f t="shared" si="291"/>
        <v>#REF!</v>
      </c>
      <c r="WMB247" s="29" t="e">
        <f t="shared" si="291"/>
        <v>#REF!</v>
      </c>
      <c r="WMC247" s="29" t="e">
        <f t="shared" ref="WMC247:WON247" si="292">WMG247&amp;WMH247</f>
        <v>#REF!</v>
      </c>
      <c r="WMD247" s="29" t="e">
        <f t="shared" si="292"/>
        <v>#REF!</v>
      </c>
      <c r="WME247" s="29" t="e">
        <f t="shared" si="292"/>
        <v>#REF!</v>
      </c>
      <c r="WMF247" s="29" t="e">
        <f t="shared" si="292"/>
        <v>#REF!</v>
      </c>
      <c r="WMG247" s="29" t="e">
        <f t="shared" si="292"/>
        <v>#REF!</v>
      </c>
      <c r="WMH247" s="29" t="e">
        <f t="shared" si="292"/>
        <v>#REF!</v>
      </c>
      <c r="WMI247" s="29" t="e">
        <f t="shared" si="292"/>
        <v>#REF!</v>
      </c>
      <c r="WMJ247" s="29" t="e">
        <f t="shared" si="292"/>
        <v>#REF!</v>
      </c>
      <c r="WMK247" s="29" t="e">
        <f t="shared" si="292"/>
        <v>#REF!</v>
      </c>
      <c r="WML247" s="29" t="e">
        <f t="shared" si="292"/>
        <v>#REF!</v>
      </c>
      <c r="WMM247" s="29" t="e">
        <f t="shared" si="292"/>
        <v>#REF!</v>
      </c>
      <c r="WMN247" s="29" t="e">
        <f t="shared" si="292"/>
        <v>#REF!</v>
      </c>
      <c r="WMO247" s="29" t="e">
        <f t="shared" si="292"/>
        <v>#REF!</v>
      </c>
      <c r="WMP247" s="29" t="e">
        <f t="shared" si="292"/>
        <v>#REF!</v>
      </c>
      <c r="WMQ247" s="29" t="e">
        <f t="shared" si="292"/>
        <v>#REF!</v>
      </c>
      <c r="WMR247" s="29" t="e">
        <f t="shared" si="292"/>
        <v>#REF!</v>
      </c>
      <c r="WMS247" s="29" t="e">
        <f t="shared" si="292"/>
        <v>#REF!</v>
      </c>
      <c r="WMT247" s="29" t="e">
        <f t="shared" si="292"/>
        <v>#REF!</v>
      </c>
      <c r="WMU247" s="29" t="e">
        <f t="shared" si="292"/>
        <v>#REF!</v>
      </c>
      <c r="WMV247" s="29" t="e">
        <f t="shared" si="292"/>
        <v>#REF!</v>
      </c>
      <c r="WMW247" s="29" t="e">
        <f t="shared" si="292"/>
        <v>#REF!</v>
      </c>
      <c r="WMX247" s="29" t="e">
        <f t="shared" si="292"/>
        <v>#REF!</v>
      </c>
      <c r="WMY247" s="29" t="e">
        <f t="shared" si="292"/>
        <v>#REF!</v>
      </c>
      <c r="WMZ247" s="29" t="e">
        <f t="shared" si="292"/>
        <v>#REF!</v>
      </c>
      <c r="WNA247" s="29" t="e">
        <f t="shared" si="292"/>
        <v>#REF!</v>
      </c>
      <c r="WNB247" s="29" t="e">
        <f t="shared" si="292"/>
        <v>#REF!</v>
      </c>
      <c r="WNC247" s="29" t="e">
        <f t="shared" si="292"/>
        <v>#REF!</v>
      </c>
      <c r="WND247" s="29" t="e">
        <f t="shared" si="292"/>
        <v>#REF!</v>
      </c>
      <c r="WNE247" s="29" t="e">
        <f t="shared" si="292"/>
        <v>#REF!</v>
      </c>
      <c r="WNF247" s="29" t="e">
        <f t="shared" si="292"/>
        <v>#REF!</v>
      </c>
      <c r="WNG247" s="29" t="e">
        <f t="shared" si="292"/>
        <v>#REF!</v>
      </c>
      <c r="WNH247" s="29" t="e">
        <f t="shared" si="292"/>
        <v>#REF!</v>
      </c>
      <c r="WNI247" s="29" t="e">
        <f t="shared" si="292"/>
        <v>#REF!</v>
      </c>
      <c r="WNJ247" s="29" t="e">
        <f t="shared" si="292"/>
        <v>#REF!</v>
      </c>
      <c r="WNK247" s="29" t="e">
        <f t="shared" si="292"/>
        <v>#REF!</v>
      </c>
      <c r="WNL247" s="29" t="e">
        <f t="shared" si="292"/>
        <v>#REF!</v>
      </c>
      <c r="WNM247" s="29" t="e">
        <f t="shared" si="292"/>
        <v>#REF!</v>
      </c>
      <c r="WNN247" s="29" t="e">
        <f t="shared" si="292"/>
        <v>#REF!</v>
      </c>
      <c r="WNO247" s="29" t="e">
        <f t="shared" si="292"/>
        <v>#REF!</v>
      </c>
      <c r="WNP247" s="29" t="e">
        <f t="shared" si="292"/>
        <v>#REF!</v>
      </c>
      <c r="WNQ247" s="29" t="e">
        <f t="shared" si="292"/>
        <v>#REF!</v>
      </c>
      <c r="WNR247" s="29" t="e">
        <f t="shared" si="292"/>
        <v>#REF!</v>
      </c>
      <c r="WNS247" s="29" t="e">
        <f t="shared" si="292"/>
        <v>#REF!</v>
      </c>
      <c r="WNT247" s="29" t="e">
        <f t="shared" si="292"/>
        <v>#REF!</v>
      </c>
      <c r="WNU247" s="29" t="e">
        <f t="shared" si="292"/>
        <v>#REF!</v>
      </c>
      <c r="WNV247" s="29" t="e">
        <f t="shared" si="292"/>
        <v>#REF!</v>
      </c>
      <c r="WNW247" s="29" t="e">
        <f t="shared" si="292"/>
        <v>#REF!</v>
      </c>
      <c r="WNX247" s="29" t="e">
        <f t="shared" si="292"/>
        <v>#REF!</v>
      </c>
      <c r="WNY247" s="29" t="e">
        <f t="shared" si="292"/>
        <v>#REF!</v>
      </c>
      <c r="WNZ247" s="29" t="e">
        <f t="shared" si="292"/>
        <v>#REF!</v>
      </c>
      <c r="WOA247" s="29" t="e">
        <f t="shared" si="292"/>
        <v>#REF!</v>
      </c>
      <c r="WOB247" s="29" t="e">
        <f t="shared" si="292"/>
        <v>#REF!</v>
      </c>
      <c r="WOC247" s="29" t="e">
        <f t="shared" si="292"/>
        <v>#REF!</v>
      </c>
      <c r="WOD247" s="29" t="e">
        <f t="shared" si="292"/>
        <v>#REF!</v>
      </c>
      <c r="WOE247" s="29" t="e">
        <f t="shared" si="292"/>
        <v>#REF!</v>
      </c>
      <c r="WOF247" s="29" t="e">
        <f t="shared" si="292"/>
        <v>#REF!</v>
      </c>
      <c r="WOG247" s="29" t="e">
        <f t="shared" si="292"/>
        <v>#REF!</v>
      </c>
      <c r="WOH247" s="29" t="e">
        <f t="shared" si="292"/>
        <v>#REF!</v>
      </c>
      <c r="WOI247" s="29" t="e">
        <f t="shared" si="292"/>
        <v>#REF!</v>
      </c>
      <c r="WOJ247" s="29" t="e">
        <f t="shared" si="292"/>
        <v>#REF!</v>
      </c>
      <c r="WOK247" s="29" t="e">
        <f t="shared" si="292"/>
        <v>#REF!</v>
      </c>
      <c r="WOL247" s="29" t="e">
        <f t="shared" si="292"/>
        <v>#REF!</v>
      </c>
      <c r="WOM247" s="29" t="e">
        <f t="shared" si="292"/>
        <v>#REF!</v>
      </c>
      <c r="WON247" s="29" t="e">
        <f t="shared" si="292"/>
        <v>#REF!</v>
      </c>
      <c r="WOO247" s="29" t="e">
        <f t="shared" ref="WOO247:WQZ247" si="293">WOS247&amp;WOT247</f>
        <v>#REF!</v>
      </c>
      <c r="WOP247" s="29" t="e">
        <f t="shared" si="293"/>
        <v>#REF!</v>
      </c>
      <c r="WOQ247" s="29" t="e">
        <f t="shared" si="293"/>
        <v>#REF!</v>
      </c>
      <c r="WOR247" s="29" t="e">
        <f t="shared" si="293"/>
        <v>#REF!</v>
      </c>
      <c r="WOS247" s="29" t="e">
        <f t="shared" si="293"/>
        <v>#REF!</v>
      </c>
      <c r="WOT247" s="29" t="e">
        <f t="shared" si="293"/>
        <v>#REF!</v>
      </c>
      <c r="WOU247" s="29" t="e">
        <f t="shared" si="293"/>
        <v>#REF!</v>
      </c>
      <c r="WOV247" s="29" t="e">
        <f t="shared" si="293"/>
        <v>#REF!</v>
      </c>
      <c r="WOW247" s="29" t="e">
        <f t="shared" si="293"/>
        <v>#REF!</v>
      </c>
      <c r="WOX247" s="29" t="e">
        <f t="shared" si="293"/>
        <v>#REF!</v>
      </c>
      <c r="WOY247" s="29" t="e">
        <f t="shared" si="293"/>
        <v>#REF!</v>
      </c>
      <c r="WOZ247" s="29" t="e">
        <f t="shared" si="293"/>
        <v>#REF!</v>
      </c>
      <c r="WPA247" s="29" t="e">
        <f t="shared" si="293"/>
        <v>#REF!</v>
      </c>
      <c r="WPB247" s="29" t="e">
        <f t="shared" si="293"/>
        <v>#REF!</v>
      </c>
      <c r="WPC247" s="29" t="e">
        <f t="shared" si="293"/>
        <v>#REF!</v>
      </c>
      <c r="WPD247" s="29" t="e">
        <f t="shared" si="293"/>
        <v>#REF!</v>
      </c>
      <c r="WPE247" s="29" t="e">
        <f t="shared" si="293"/>
        <v>#REF!</v>
      </c>
      <c r="WPF247" s="29" t="e">
        <f t="shared" si="293"/>
        <v>#REF!</v>
      </c>
      <c r="WPG247" s="29" t="e">
        <f t="shared" si="293"/>
        <v>#REF!</v>
      </c>
      <c r="WPH247" s="29" t="e">
        <f t="shared" si="293"/>
        <v>#REF!</v>
      </c>
      <c r="WPI247" s="29" t="e">
        <f t="shared" si="293"/>
        <v>#REF!</v>
      </c>
      <c r="WPJ247" s="29" t="e">
        <f t="shared" si="293"/>
        <v>#REF!</v>
      </c>
      <c r="WPK247" s="29" t="e">
        <f t="shared" si="293"/>
        <v>#REF!</v>
      </c>
      <c r="WPL247" s="29" t="e">
        <f t="shared" si="293"/>
        <v>#REF!</v>
      </c>
      <c r="WPM247" s="29" t="e">
        <f t="shared" si="293"/>
        <v>#REF!</v>
      </c>
      <c r="WPN247" s="29" t="e">
        <f t="shared" si="293"/>
        <v>#REF!</v>
      </c>
      <c r="WPO247" s="29" t="e">
        <f t="shared" si="293"/>
        <v>#REF!</v>
      </c>
      <c r="WPP247" s="29" t="e">
        <f t="shared" si="293"/>
        <v>#REF!</v>
      </c>
      <c r="WPQ247" s="29" t="e">
        <f t="shared" si="293"/>
        <v>#REF!</v>
      </c>
      <c r="WPR247" s="29" t="e">
        <f t="shared" si="293"/>
        <v>#REF!</v>
      </c>
      <c r="WPS247" s="29" t="e">
        <f t="shared" si="293"/>
        <v>#REF!</v>
      </c>
      <c r="WPT247" s="29" t="e">
        <f t="shared" si="293"/>
        <v>#REF!</v>
      </c>
      <c r="WPU247" s="29" t="e">
        <f t="shared" si="293"/>
        <v>#REF!</v>
      </c>
      <c r="WPV247" s="29" t="e">
        <f t="shared" si="293"/>
        <v>#REF!</v>
      </c>
      <c r="WPW247" s="29" t="e">
        <f t="shared" si="293"/>
        <v>#REF!</v>
      </c>
      <c r="WPX247" s="29" t="e">
        <f t="shared" si="293"/>
        <v>#REF!</v>
      </c>
      <c r="WPY247" s="29" t="e">
        <f t="shared" si="293"/>
        <v>#REF!</v>
      </c>
      <c r="WPZ247" s="29" t="e">
        <f t="shared" si="293"/>
        <v>#REF!</v>
      </c>
      <c r="WQA247" s="29" t="e">
        <f t="shared" si="293"/>
        <v>#REF!</v>
      </c>
      <c r="WQB247" s="29" t="e">
        <f t="shared" si="293"/>
        <v>#REF!</v>
      </c>
      <c r="WQC247" s="29" t="e">
        <f t="shared" si="293"/>
        <v>#REF!</v>
      </c>
      <c r="WQD247" s="29" t="e">
        <f t="shared" si="293"/>
        <v>#REF!</v>
      </c>
      <c r="WQE247" s="29" t="e">
        <f t="shared" si="293"/>
        <v>#REF!</v>
      </c>
      <c r="WQF247" s="29" t="e">
        <f t="shared" si="293"/>
        <v>#REF!</v>
      </c>
      <c r="WQG247" s="29" t="e">
        <f t="shared" si="293"/>
        <v>#REF!</v>
      </c>
      <c r="WQH247" s="29" t="e">
        <f t="shared" si="293"/>
        <v>#REF!</v>
      </c>
      <c r="WQI247" s="29" t="e">
        <f t="shared" si="293"/>
        <v>#REF!</v>
      </c>
      <c r="WQJ247" s="29" t="e">
        <f t="shared" si="293"/>
        <v>#REF!</v>
      </c>
      <c r="WQK247" s="29" t="e">
        <f t="shared" si="293"/>
        <v>#REF!</v>
      </c>
      <c r="WQL247" s="29" t="e">
        <f t="shared" si="293"/>
        <v>#REF!</v>
      </c>
      <c r="WQM247" s="29" t="e">
        <f t="shared" si="293"/>
        <v>#REF!</v>
      </c>
      <c r="WQN247" s="29" t="e">
        <f t="shared" si="293"/>
        <v>#REF!</v>
      </c>
      <c r="WQO247" s="29" t="e">
        <f t="shared" si="293"/>
        <v>#REF!</v>
      </c>
      <c r="WQP247" s="29" t="e">
        <f t="shared" si="293"/>
        <v>#REF!</v>
      </c>
      <c r="WQQ247" s="29" t="e">
        <f t="shared" si="293"/>
        <v>#REF!</v>
      </c>
      <c r="WQR247" s="29" t="e">
        <f t="shared" si="293"/>
        <v>#REF!</v>
      </c>
      <c r="WQS247" s="29" t="e">
        <f t="shared" si="293"/>
        <v>#REF!</v>
      </c>
      <c r="WQT247" s="29" t="e">
        <f t="shared" si="293"/>
        <v>#REF!</v>
      </c>
      <c r="WQU247" s="29" t="e">
        <f t="shared" si="293"/>
        <v>#REF!</v>
      </c>
      <c r="WQV247" s="29" t="e">
        <f t="shared" si="293"/>
        <v>#REF!</v>
      </c>
      <c r="WQW247" s="29" t="e">
        <f t="shared" si="293"/>
        <v>#REF!</v>
      </c>
      <c r="WQX247" s="29" t="e">
        <f t="shared" si="293"/>
        <v>#REF!</v>
      </c>
      <c r="WQY247" s="29" t="e">
        <f t="shared" si="293"/>
        <v>#REF!</v>
      </c>
      <c r="WQZ247" s="29" t="e">
        <f t="shared" si="293"/>
        <v>#REF!</v>
      </c>
      <c r="WRA247" s="29" t="e">
        <f t="shared" ref="WRA247:WTL247" si="294">WRE247&amp;WRF247</f>
        <v>#REF!</v>
      </c>
      <c r="WRB247" s="29" t="e">
        <f t="shared" si="294"/>
        <v>#REF!</v>
      </c>
      <c r="WRC247" s="29" t="e">
        <f t="shared" si="294"/>
        <v>#REF!</v>
      </c>
      <c r="WRD247" s="29" t="e">
        <f t="shared" si="294"/>
        <v>#REF!</v>
      </c>
      <c r="WRE247" s="29" t="e">
        <f t="shared" si="294"/>
        <v>#REF!</v>
      </c>
      <c r="WRF247" s="29" t="e">
        <f t="shared" si="294"/>
        <v>#REF!</v>
      </c>
      <c r="WRG247" s="29" t="e">
        <f t="shared" si="294"/>
        <v>#REF!</v>
      </c>
      <c r="WRH247" s="29" t="e">
        <f t="shared" si="294"/>
        <v>#REF!</v>
      </c>
      <c r="WRI247" s="29" t="e">
        <f t="shared" si="294"/>
        <v>#REF!</v>
      </c>
      <c r="WRJ247" s="29" t="e">
        <f t="shared" si="294"/>
        <v>#REF!</v>
      </c>
      <c r="WRK247" s="29" t="e">
        <f t="shared" si="294"/>
        <v>#REF!</v>
      </c>
      <c r="WRL247" s="29" t="e">
        <f t="shared" si="294"/>
        <v>#REF!</v>
      </c>
      <c r="WRM247" s="29" t="e">
        <f t="shared" si="294"/>
        <v>#REF!</v>
      </c>
      <c r="WRN247" s="29" t="e">
        <f t="shared" si="294"/>
        <v>#REF!</v>
      </c>
      <c r="WRO247" s="29" t="e">
        <f t="shared" si="294"/>
        <v>#REF!</v>
      </c>
      <c r="WRP247" s="29" t="e">
        <f t="shared" si="294"/>
        <v>#REF!</v>
      </c>
      <c r="WRQ247" s="29" t="e">
        <f t="shared" si="294"/>
        <v>#REF!</v>
      </c>
      <c r="WRR247" s="29" t="e">
        <f t="shared" si="294"/>
        <v>#REF!</v>
      </c>
      <c r="WRS247" s="29" t="e">
        <f t="shared" si="294"/>
        <v>#REF!</v>
      </c>
      <c r="WRT247" s="29" t="e">
        <f t="shared" si="294"/>
        <v>#REF!</v>
      </c>
      <c r="WRU247" s="29" t="e">
        <f t="shared" si="294"/>
        <v>#REF!</v>
      </c>
      <c r="WRV247" s="29" t="e">
        <f t="shared" si="294"/>
        <v>#REF!</v>
      </c>
      <c r="WRW247" s="29" t="e">
        <f t="shared" si="294"/>
        <v>#REF!</v>
      </c>
      <c r="WRX247" s="29" t="e">
        <f t="shared" si="294"/>
        <v>#REF!</v>
      </c>
      <c r="WRY247" s="29" t="e">
        <f t="shared" si="294"/>
        <v>#REF!</v>
      </c>
      <c r="WRZ247" s="29" t="e">
        <f t="shared" si="294"/>
        <v>#REF!</v>
      </c>
      <c r="WSA247" s="29" t="e">
        <f t="shared" si="294"/>
        <v>#REF!</v>
      </c>
      <c r="WSB247" s="29" t="e">
        <f t="shared" si="294"/>
        <v>#REF!</v>
      </c>
      <c r="WSC247" s="29" t="e">
        <f t="shared" si="294"/>
        <v>#REF!</v>
      </c>
      <c r="WSD247" s="29" t="e">
        <f t="shared" si="294"/>
        <v>#REF!</v>
      </c>
      <c r="WSE247" s="29" t="e">
        <f t="shared" si="294"/>
        <v>#REF!</v>
      </c>
      <c r="WSF247" s="29" t="e">
        <f t="shared" si="294"/>
        <v>#REF!</v>
      </c>
      <c r="WSG247" s="29" t="e">
        <f t="shared" si="294"/>
        <v>#REF!</v>
      </c>
      <c r="WSH247" s="29" t="e">
        <f t="shared" si="294"/>
        <v>#REF!</v>
      </c>
      <c r="WSI247" s="29" t="e">
        <f t="shared" si="294"/>
        <v>#REF!</v>
      </c>
      <c r="WSJ247" s="29" t="e">
        <f t="shared" si="294"/>
        <v>#REF!</v>
      </c>
      <c r="WSK247" s="29" t="e">
        <f t="shared" si="294"/>
        <v>#REF!</v>
      </c>
      <c r="WSL247" s="29" t="e">
        <f t="shared" si="294"/>
        <v>#REF!</v>
      </c>
      <c r="WSM247" s="29" t="e">
        <f t="shared" si="294"/>
        <v>#REF!</v>
      </c>
      <c r="WSN247" s="29" t="e">
        <f t="shared" si="294"/>
        <v>#REF!</v>
      </c>
      <c r="WSO247" s="29" t="e">
        <f t="shared" si="294"/>
        <v>#REF!</v>
      </c>
      <c r="WSP247" s="29" t="e">
        <f t="shared" si="294"/>
        <v>#REF!</v>
      </c>
      <c r="WSQ247" s="29" t="e">
        <f t="shared" si="294"/>
        <v>#REF!</v>
      </c>
      <c r="WSR247" s="29" t="e">
        <f t="shared" si="294"/>
        <v>#REF!</v>
      </c>
      <c r="WSS247" s="29" t="e">
        <f t="shared" si="294"/>
        <v>#REF!</v>
      </c>
      <c r="WST247" s="29" t="e">
        <f t="shared" si="294"/>
        <v>#REF!</v>
      </c>
      <c r="WSU247" s="29" t="e">
        <f t="shared" si="294"/>
        <v>#REF!</v>
      </c>
      <c r="WSV247" s="29" t="e">
        <f t="shared" si="294"/>
        <v>#REF!</v>
      </c>
      <c r="WSW247" s="29" t="e">
        <f t="shared" si="294"/>
        <v>#REF!</v>
      </c>
      <c r="WSX247" s="29" t="e">
        <f t="shared" si="294"/>
        <v>#REF!</v>
      </c>
      <c r="WSY247" s="29" t="e">
        <f t="shared" si="294"/>
        <v>#REF!</v>
      </c>
      <c r="WSZ247" s="29" t="e">
        <f t="shared" si="294"/>
        <v>#REF!</v>
      </c>
      <c r="WTA247" s="29" t="e">
        <f t="shared" si="294"/>
        <v>#REF!</v>
      </c>
      <c r="WTB247" s="29" t="e">
        <f t="shared" si="294"/>
        <v>#REF!</v>
      </c>
      <c r="WTC247" s="29" t="e">
        <f t="shared" si="294"/>
        <v>#REF!</v>
      </c>
      <c r="WTD247" s="29" t="e">
        <f t="shared" si="294"/>
        <v>#REF!</v>
      </c>
      <c r="WTE247" s="29" t="e">
        <f t="shared" si="294"/>
        <v>#REF!</v>
      </c>
      <c r="WTF247" s="29" t="e">
        <f t="shared" si="294"/>
        <v>#REF!</v>
      </c>
      <c r="WTG247" s="29" t="e">
        <f t="shared" si="294"/>
        <v>#REF!</v>
      </c>
      <c r="WTH247" s="29" t="e">
        <f t="shared" si="294"/>
        <v>#REF!</v>
      </c>
      <c r="WTI247" s="29" t="e">
        <f t="shared" si="294"/>
        <v>#REF!</v>
      </c>
      <c r="WTJ247" s="29" t="e">
        <f t="shared" si="294"/>
        <v>#REF!</v>
      </c>
      <c r="WTK247" s="29" t="e">
        <f t="shared" si="294"/>
        <v>#REF!</v>
      </c>
      <c r="WTL247" s="29" t="e">
        <f t="shared" si="294"/>
        <v>#REF!</v>
      </c>
      <c r="WTM247" s="29" t="e">
        <f t="shared" ref="WTM247:WVX247" si="295">WTQ247&amp;WTR247</f>
        <v>#REF!</v>
      </c>
      <c r="WTN247" s="29" t="e">
        <f t="shared" si="295"/>
        <v>#REF!</v>
      </c>
      <c r="WTO247" s="29" t="e">
        <f t="shared" si="295"/>
        <v>#REF!</v>
      </c>
      <c r="WTP247" s="29" t="e">
        <f t="shared" si="295"/>
        <v>#REF!</v>
      </c>
      <c r="WTQ247" s="29" t="e">
        <f t="shared" si="295"/>
        <v>#REF!</v>
      </c>
      <c r="WTR247" s="29" t="e">
        <f t="shared" si="295"/>
        <v>#REF!</v>
      </c>
      <c r="WTS247" s="29" t="e">
        <f t="shared" si="295"/>
        <v>#REF!</v>
      </c>
      <c r="WTT247" s="29" t="e">
        <f t="shared" si="295"/>
        <v>#REF!</v>
      </c>
      <c r="WTU247" s="29" t="e">
        <f t="shared" si="295"/>
        <v>#REF!</v>
      </c>
      <c r="WTV247" s="29" t="e">
        <f t="shared" si="295"/>
        <v>#REF!</v>
      </c>
      <c r="WTW247" s="29" t="e">
        <f t="shared" si="295"/>
        <v>#REF!</v>
      </c>
      <c r="WTX247" s="29" t="e">
        <f t="shared" si="295"/>
        <v>#REF!</v>
      </c>
      <c r="WTY247" s="29" t="e">
        <f t="shared" si="295"/>
        <v>#REF!</v>
      </c>
      <c r="WTZ247" s="29" t="e">
        <f t="shared" si="295"/>
        <v>#REF!</v>
      </c>
      <c r="WUA247" s="29" t="e">
        <f t="shared" si="295"/>
        <v>#REF!</v>
      </c>
      <c r="WUB247" s="29" t="e">
        <f t="shared" si="295"/>
        <v>#REF!</v>
      </c>
      <c r="WUC247" s="29" t="e">
        <f t="shared" si="295"/>
        <v>#REF!</v>
      </c>
      <c r="WUD247" s="29" t="e">
        <f t="shared" si="295"/>
        <v>#REF!</v>
      </c>
      <c r="WUE247" s="29" t="e">
        <f t="shared" si="295"/>
        <v>#REF!</v>
      </c>
      <c r="WUF247" s="29" t="e">
        <f t="shared" si="295"/>
        <v>#REF!</v>
      </c>
      <c r="WUG247" s="29" t="e">
        <f t="shared" si="295"/>
        <v>#REF!</v>
      </c>
      <c r="WUH247" s="29" t="e">
        <f t="shared" si="295"/>
        <v>#REF!</v>
      </c>
      <c r="WUI247" s="29" t="e">
        <f t="shared" si="295"/>
        <v>#REF!</v>
      </c>
      <c r="WUJ247" s="29" t="e">
        <f t="shared" si="295"/>
        <v>#REF!</v>
      </c>
      <c r="WUK247" s="29" t="e">
        <f t="shared" si="295"/>
        <v>#REF!</v>
      </c>
      <c r="WUL247" s="29" t="e">
        <f t="shared" si="295"/>
        <v>#REF!</v>
      </c>
      <c r="WUM247" s="29" t="e">
        <f t="shared" si="295"/>
        <v>#REF!</v>
      </c>
      <c r="WUN247" s="29" t="e">
        <f t="shared" si="295"/>
        <v>#REF!</v>
      </c>
      <c r="WUO247" s="29" t="e">
        <f t="shared" si="295"/>
        <v>#REF!</v>
      </c>
      <c r="WUP247" s="29" t="e">
        <f t="shared" si="295"/>
        <v>#REF!</v>
      </c>
      <c r="WUQ247" s="29" t="e">
        <f t="shared" si="295"/>
        <v>#REF!</v>
      </c>
      <c r="WUR247" s="29" t="e">
        <f t="shared" si="295"/>
        <v>#REF!</v>
      </c>
      <c r="WUS247" s="29" t="e">
        <f t="shared" si="295"/>
        <v>#REF!</v>
      </c>
      <c r="WUT247" s="29" t="e">
        <f t="shared" si="295"/>
        <v>#REF!</v>
      </c>
      <c r="WUU247" s="29" t="e">
        <f t="shared" si="295"/>
        <v>#REF!</v>
      </c>
      <c r="WUV247" s="29" t="e">
        <f t="shared" si="295"/>
        <v>#REF!</v>
      </c>
      <c r="WUW247" s="29" t="e">
        <f t="shared" si="295"/>
        <v>#REF!</v>
      </c>
      <c r="WUX247" s="29" t="e">
        <f t="shared" si="295"/>
        <v>#REF!</v>
      </c>
      <c r="WUY247" s="29" t="e">
        <f t="shared" si="295"/>
        <v>#REF!</v>
      </c>
      <c r="WUZ247" s="29" t="e">
        <f t="shared" si="295"/>
        <v>#REF!</v>
      </c>
      <c r="WVA247" s="29" t="e">
        <f t="shared" si="295"/>
        <v>#REF!</v>
      </c>
      <c r="WVB247" s="29" t="e">
        <f t="shared" si="295"/>
        <v>#REF!</v>
      </c>
      <c r="WVC247" s="29" t="e">
        <f t="shared" si="295"/>
        <v>#REF!</v>
      </c>
      <c r="WVD247" s="29" t="e">
        <f t="shared" si="295"/>
        <v>#REF!</v>
      </c>
      <c r="WVE247" s="29" t="e">
        <f t="shared" si="295"/>
        <v>#REF!</v>
      </c>
      <c r="WVF247" s="29" t="e">
        <f t="shared" si="295"/>
        <v>#REF!</v>
      </c>
      <c r="WVG247" s="29" t="e">
        <f t="shared" si="295"/>
        <v>#REF!</v>
      </c>
      <c r="WVH247" s="29" t="e">
        <f t="shared" si="295"/>
        <v>#REF!</v>
      </c>
      <c r="WVI247" s="29" t="e">
        <f t="shared" si="295"/>
        <v>#REF!</v>
      </c>
      <c r="WVJ247" s="29" t="e">
        <f t="shared" si="295"/>
        <v>#REF!</v>
      </c>
      <c r="WVK247" s="29" t="e">
        <f t="shared" si="295"/>
        <v>#REF!</v>
      </c>
      <c r="WVL247" s="29" t="e">
        <f t="shared" si="295"/>
        <v>#REF!</v>
      </c>
      <c r="WVM247" s="29" t="e">
        <f t="shared" si="295"/>
        <v>#REF!</v>
      </c>
      <c r="WVN247" s="29" t="e">
        <f t="shared" si="295"/>
        <v>#REF!</v>
      </c>
      <c r="WVO247" s="29" t="e">
        <f t="shared" si="295"/>
        <v>#REF!</v>
      </c>
      <c r="WVP247" s="29" t="e">
        <f t="shared" si="295"/>
        <v>#REF!</v>
      </c>
      <c r="WVQ247" s="29" t="e">
        <f t="shared" si="295"/>
        <v>#REF!</v>
      </c>
      <c r="WVR247" s="29" t="e">
        <f t="shared" si="295"/>
        <v>#REF!</v>
      </c>
      <c r="WVS247" s="29" t="e">
        <f t="shared" si="295"/>
        <v>#REF!</v>
      </c>
      <c r="WVT247" s="29" t="e">
        <f t="shared" si="295"/>
        <v>#REF!</v>
      </c>
      <c r="WVU247" s="29" t="e">
        <f t="shared" si="295"/>
        <v>#REF!</v>
      </c>
      <c r="WVV247" s="29" t="e">
        <f t="shared" si="295"/>
        <v>#REF!</v>
      </c>
      <c r="WVW247" s="29" t="e">
        <f t="shared" si="295"/>
        <v>#REF!</v>
      </c>
      <c r="WVX247" s="29" t="e">
        <f t="shared" si="295"/>
        <v>#REF!</v>
      </c>
      <c r="WVY247" s="29" t="e">
        <f t="shared" ref="WVY247:WYJ247" si="296">WWC247&amp;WWD247</f>
        <v>#REF!</v>
      </c>
      <c r="WVZ247" s="29" t="e">
        <f t="shared" si="296"/>
        <v>#REF!</v>
      </c>
      <c r="WWA247" s="29" t="e">
        <f t="shared" si="296"/>
        <v>#REF!</v>
      </c>
      <c r="WWB247" s="29" t="e">
        <f t="shared" si="296"/>
        <v>#REF!</v>
      </c>
      <c r="WWC247" s="29" t="e">
        <f t="shared" si="296"/>
        <v>#REF!</v>
      </c>
      <c r="WWD247" s="29" t="e">
        <f t="shared" si="296"/>
        <v>#REF!</v>
      </c>
      <c r="WWE247" s="29" t="e">
        <f t="shared" si="296"/>
        <v>#REF!</v>
      </c>
      <c r="WWF247" s="29" t="e">
        <f t="shared" si="296"/>
        <v>#REF!</v>
      </c>
      <c r="WWG247" s="29" t="e">
        <f t="shared" si="296"/>
        <v>#REF!</v>
      </c>
      <c r="WWH247" s="29" t="e">
        <f t="shared" si="296"/>
        <v>#REF!</v>
      </c>
      <c r="WWI247" s="29" t="e">
        <f t="shared" si="296"/>
        <v>#REF!</v>
      </c>
      <c r="WWJ247" s="29" t="e">
        <f t="shared" si="296"/>
        <v>#REF!</v>
      </c>
      <c r="WWK247" s="29" t="e">
        <f t="shared" si="296"/>
        <v>#REF!</v>
      </c>
      <c r="WWL247" s="29" t="e">
        <f t="shared" si="296"/>
        <v>#REF!</v>
      </c>
      <c r="WWM247" s="29" t="e">
        <f t="shared" si="296"/>
        <v>#REF!</v>
      </c>
      <c r="WWN247" s="29" t="e">
        <f t="shared" si="296"/>
        <v>#REF!</v>
      </c>
      <c r="WWO247" s="29" t="e">
        <f t="shared" si="296"/>
        <v>#REF!</v>
      </c>
      <c r="WWP247" s="29" t="e">
        <f t="shared" si="296"/>
        <v>#REF!</v>
      </c>
      <c r="WWQ247" s="29" t="e">
        <f t="shared" si="296"/>
        <v>#REF!</v>
      </c>
      <c r="WWR247" s="29" t="e">
        <f t="shared" si="296"/>
        <v>#REF!</v>
      </c>
      <c r="WWS247" s="29" t="e">
        <f t="shared" si="296"/>
        <v>#REF!</v>
      </c>
      <c r="WWT247" s="29" t="e">
        <f t="shared" si="296"/>
        <v>#REF!</v>
      </c>
      <c r="WWU247" s="29" t="e">
        <f t="shared" si="296"/>
        <v>#REF!</v>
      </c>
      <c r="WWV247" s="29" t="e">
        <f t="shared" si="296"/>
        <v>#REF!</v>
      </c>
      <c r="WWW247" s="29" t="e">
        <f t="shared" si="296"/>
        <v>#REF!</v>
      </c>
      <c r="WWX247" s="29" t="e">
        <f t="shared" si="296"/>
        <v>#REF!</v>
      </c>
      <c r="WWY247" s="29" t="e">
        <f t="shared" si="296"/>
        <v>#REF!</v>
      </c>
      <c r="WWZ247" s="29" t="e">
        <f t="shared" si="296"/>
        <v>#REF!</v>
      </c>
      <c r="WXA247" s="29" t="e">
        <f t="shared" si="296"/>
        <v>#REF!</v>
      </c>
      <c r="WXB247" s="29" t="e">
        <f t="shared" si="296"/>
        <v>#REF!</v>
      </c>
      <c r="WXC247" s="29" t="e">
        <f t="shared" si="296"/>
        <v>#REF!</v>
      </c>
      <c r="WXD247" s="29" t="e">
        <f t="shared" si="296"/>
        <v>#REF!</v>
      </c>
      <c r="WXE247" s="29" t="e">
        <f t="shared" si="296"/>
        <v>#REF!</v>
      </c>
      <c r="WXF247" s="29" t="e">
        <f t="shared" si="296"/>
        <v>#REF!</v>
      </c>
      <c r="WXG247" s="29" t="e">
        <f t="shared" si="296"/>
        <v>#REF!</v>
      </c>
      <c r="WXH247" s="29" t="e">
        <f t="shared" si="296"/>
        <v>#REF!</v>
      </c>
      <c r="WXI247" s="29" t="e">
        <f t="shared" si="296"/>
        <v>#REF!</v>
      </c>
      <c r="WXJ247" s="29" t="e">
        <f t="shared" si="296"/>
        <v>#REF!</v>
      </c>
      <c r="WXK247" s="29" t="e">
        <f t="shared" si="296"/>
        <v>#REF!</v>
      </c>
      <c r="WXL247" s="29" t="e">
        <f t="shared" si="296"/>
        <v>#REF!</v>
      </c>
      <c r="WXM247" s="29" t="e">
        <f t="shared" si="296"/>
        <v>#REF!</v>
      </c>
      <c r="WXN247" s="29" t="e">
        <f t="shared" si="296"/>
        <v>#REF!</v>
      </c>
      <c r="WXO247" s="29" t="e">
        <f t="shared" si="296"/>
        <v>#REF!</v>
      </c>
      <c r="WXP247" s="29" t="e">
        <f t="shared" si="296"/>
        <v>#REF!</v>
      </c>
      <c r="WXQ247" s="29" t="e">
        <f t="shared" si="296"/>
        <v>#REF!</v>
      </c>
      <c r="WXR247" s="29" t="e">
        <f t="shared" si="296"/>
        <v>#REF!</v>
      </c>
      <c r="WXS247" s="29" t="e">
        <f t="shared" si="296"/>
        <v>#REF!</v>
      </c>
      <c r="WXT247" s="29" t="e">
        <f t="shared" si="296"/>
        <v>#REF!</v>
      </c>
      <c r="WXU247" s="29" t="e">
        <f t="shared" si="296"/>
        <v>#REF!</v>
      </c>
      <c r="WXV247" s="29" t="e">
        <f t="shared" si="296"/>
        <v>#REF!</v>
      </c>
      <c r="WXW247" s="29" t="e">
        <f t="shared" si="296"/>
        <v>#REF!</v>
      </c>
      <c r="WXX247" s="29" t="e">
        <f t="shared" si="296"/>
        <v>#REF!</v>
      </c>
      <c r="WXY247" s="29" t="e">
        <f t="shared" si="296"/>
        <v>#REF!</v>
      </c>
      <c r="WXZ247" s="29" t="e">
        <f t="shared" si="296"/>
        <v>#REF!</v>
      </c>
      <c r="WYA247" s="29" t="e">
        <f t="shared" si="296"/>
        <v>#REF!</v>
      </c>
      <c r="WYB247" s="29" t="e">
        <f t="shared" si="296"/>
        <v>#REF!</v>
      </c>
      <c r="WYC247" s="29" t="e">
        <f t="shared" si="296"/>
        <v>#REF!</v>
      </c>
      <c r="WYD247" s="29" t="e">
        <f t="shared" si="296"/>
        <v>#REF!</v>
      </c>
      <c r="WYE247" s="29" t="e">
        <f t="shared" si="296"/>
        <v>#REF!</v>
      </c>
      <c r="WYF247" s="29" t="e">
        <f t="shared" si="296"/>
        <v>#REF!</v>
      </c>
      <c r="WYG247" s="29" t="e">
        <f t="shared" si="296"/>
        <v>#REF!</v>
      </c>
      <c r="WYH247" s="29" t="e">
        <f t="shared" si="296"/>
        <v>#REF!</v>
      </c>
      <c r="WYI247" s="29" t="e">
        <f t="shared" si="296"/>
        <v>#REF!</v>
      </c>
      <c r="WYJ247" s="29" t="e">
        <f t="shared" si="296"/>
        <v>#REF!</v>
      </c>
      <c r="WYK247" s="29" t="e">
        <f t="shared" ref="WYK247:XAV247" si="297">WYO247&amp;WYP247</f>
        <v>#REF!</v>
      </c>
      <c r="WYL247" s="29" t="e">
        <f t="shared" si="297"/>
        <v>#REF!</v>
      </c>
      <c r="WYM247" s="29" t="e">
        <f t="shared" si="297"/>
        <v>#REF!</v>
      </c>
      <c r="WYN247" s="29" t="e">
        <f t="shared" si="297"/>
        <v>#REF!</v>
      </c>
      <c r="WYO247" s="29" t="e">
        <f t="shared" si="297"/>
        <v>#REF!</v>
      </c>
      <c r="WYP247" s="29" t="e">
        <f t="shared" si="297"/>
        <v>#REF!</v>
      </c>
      <c r="WYQ247" s="29" t="e">
        <f t="shared" si="297"/>
        <v>#REF!</v>
      </c>
      <c r="WYR247" s="29" t="e">
        <f t="shared" si="297"/>
        <v>#REF!</v>
      </c>
      <c r="WYS247" s="29" t="e">
        <f t="shared" si="297"/>
        <v>#REF!</v>
      </c>
      <c r="WYT247" s="29" t="e">
        <f t="shared" si="297"/>
        <v>#REF!</v>
      </c>
      <c r="WYU247" s="29" t="e">
        <f t="shared" si="297"/>
        <v>#REF!</v>
      </c>
      <c r="WYV247" s="29" t="e">
        <f t="shared" si="297"/>
        <v>#REF!</v>
      </c>
      <c r="WYW247" s="29" t="e">
        <f t="shared" si="297"/>
        <v>#REF!</v>
      </c>
      <c r="WYX247" s="29" t="e">
        <f t="shared" si="297"/>
        <v>#REF!</v>
      </c>
      <c r="WYY247" s="29" t="e">
        <f t="shared" si="297"/>
        <v>#REF!</v>
      </c>
      <c r="WYZ247" s="29" t="e">
        <f t="shared" si="297"/>
        <v>#REF!</v>
      </c>
      <c r="WZA247" s="29" t="e">
        <f t="shared" si="297"/>
        <v>#REF!</v>
      </c>
      <c r="WZB247" s="29" t="e">
        <f t="shared" si="297"/>
        <v>#REF!</v>
      </c>
      <c r="WZC247" s="29" t="e">
        <f t="shared" si="297"/>
        <v>#REF!</v>
      </c>
      <c r="WZD247" s="29" t="e">
        <f t="shared" si="297"/>
        <v>#REF!</v>
      </c>
      <c r="WZE247" s="29" t="e">
        <f t="shared" si="297"/>
        <v>#REF!</v>
      </c>
      <c r="WZF247" s="29" t="e">
        <f t="shared" si="297"/>
        <v>#REF!</v>
      </c>
      <c r="WZG247" s="29" t="e">
        <f t="shared" si="297"/>
        <v>#REF!</v>
      </c>
      <c r="WZH247" s="29" t="e">
        <f t="shared" si="297"/>
        <v>#REF!</v>
      </c>
      <c r="WZI247" s="29" t="e">
        <f t="shared" si="297"/>
        <v>#REF!</v>
      </c>
      <c r="WZJ247" s="29" t="e">
        <f t="shared" si="297"/>
        <v>#REF!</v>
      </c>
      <c r="WZK247" s="29" t="e">
        <f t="shared" si="297"/>
        <v>#REF!</v>
      </c>
      <c r="WZL247" s="29" t="e">
        <f t="shared" si="297"/>
        <v>#REF!</v>
      </c>
      <c r="WZM247" s="29" t="e">
        <f t="shared" si="297"/>
        <v>#REF!</v>
      </c>
      <c r="WZN247" s="29" t="e">
        <f t="shared" si="297"/>
        <v>#REF!</v>
      </c>
      <c r="WZO247" s="29" t="e">
        <f t="shared" si="297"/>
        <v>#REF!</v>
      </c>
      <c r="WZP247" s="29" t="e">
        <f t="shared" si="297"/>
        <v>#REF!</v>
      </c>
      <c r="WZQ247" s="29" t="e">
        <f t="shared" si="297"/>
        <v>#REF!</v>
      </c>
      <c r="WZR247" s="29" t="e">
        <f t="shared" si="297"/>
        <v>#REF!</v>
      </c>
      <c r="WZS247" s="29" t="e">
        <f t="shared" si="297"/>
        <v>#REF!</v>
      </c>
      <c r="WZT247" s="29" t="e">
        <f t="shared" si="297"/>
        <v>#REF!</v>
      </c>
      <c r="WZU247" s="29" t="e">
        <f t="shared" si="297"/>
        <v>#REF!</v>
      </c>
      <c r="WZV247" s="29" t="e">
        <f t="shared" si="297"/>
        <v>#REF!</v>
      </c>
      <c r="WZW247" s="29" t="e">
        <f t="shared" si="297"/>
        <v>#REF!</v>
      </c>
      <c r="WZX247" s="29" t="e">
        <f t="shared" si="297"/>
        <v>#REF!</v>
      </c>
      <c r="WZY247" s="29" t="e">
        <f t="shared" si="297"/>
        <v>#REF!</v>
      </c>
      <c r="WZZ247" s="29" t="e">
        <f t="shared" si="297"/>
        <v>#REF!</v>
      </c>
      <c r="XAA247" s="29" t="e">
        <f t="shared" si="297"/>
        <v>#REF!</v>
      </c>
      <c r="XAB247" s="29" t="e">
        <f t="shared" si="297"/>
        <v>#REF!</v>
      </c>
      <c r="XAC247" s="29" t="e">
        <f t="shared" si="297"/>
        <v>#REF!</v>
      </c>
      <c r="XAD247" s="29" t="e">
        <f t="shared" si="297"/>
        <v>#REF!</v>
      </c>
      <c r="XAE247" s="29" t="e">
        <f t="shared" si="297"/>
        <v>#REF!</v>
      </c>
      <c r="XAF247" s="29" t="e">
        <f t="shared" si="297"/>
        <v>#REF!</v>
      </c>
      <c r="XAG247" s="29" t="e">
        <f t="shared" si="297"/>
        <v>#REF!</v>
      </c>
      <c r="XAH247" s="29" t="e">
        <f t="shared" si="297"/>
        <v>#REF!</v>
      </c>
      <c r="XAI247" s="29" t="e">
        <f t="shared" si="297"/>
        <v>#REF!</v>
      </c>
      <c r="XAJ247" s="29" t="e">
        <f t="shared" si="297"/>
        <v>#REF!</v>
      </c>
      <c r="XAK247" s="29" t="e">
        <f t="shared" si="297"/>
        <v>#REF!</v>
      </c>
      <c r="XAL247" s="29" t="e">
        <f t="shared" si="297"/>
        <v>#REF!</v>
      </c>
      <c r="XAM247" s="29" t="e">
        <f t="shared" si="297"/>
        <v>#REF!</v>
      </c>
      <c r="XAN247" s="29" t="e">
        <f t="shared" si="297"/>
        <v>#REF!</v>
      </c>
      <c r="XAO247" s="29" t="e">
        <f t="shared" si="297"/>
        <v>#REF!</v>
      </c>
      <c r="XAP247" s="29" t="e">
        <f t="shared" si="297"/>
        <v>#REF!</v>
      </c>
      <c r="XAQ247" s="29" t="e">
        <f t="shared" si="297"/>
        <v>#REF!</v>
      </c>
      <c r="XAR247" s="29" t="e">
        <f t="shared" si="297"/>
        <v>#REF!</v>
      </c>
      <c r="XAS247" s="29" t="e">
        <f t="shared" si="297"/>
        <v>#REF!</v>
      </c>
      <c r="XAT247" s="29" t="e">
        <f t="shared" si="297"/>
        <v>#REF!</v>
      </c>
      <c r="XAU247" s="29" t="e">
        <f t="shared" si="297"/>
        <v>#REF!</v>
      </c>
      <c r="XAV247" s="29" t="e">
        <f t="shared" si="297"/>
        <v>#REF!</v>
      </c>
      <c r="XAW247" s="29" t="e">
        <f t="shared" ref="XAW247:XDH247" si="298">XBA247&amp;XBB247</f>
        <v>#REF!</v>
      </c>
      <c r="XAX247" s="29" t="e">
        <f t="shared" si="298"/>
        <v>#REF!</v>
      </c>
      <c r="XAY247" s="29" t="e">
        <f t="shared" si="298"/>
        <v>#REF!</v>
      </c>
      <c r="XAZ247" s="29" t="e">
        <f t="shared" si="298"/>
        <v>#REF!</v>
      </c>
      <c r="XBA247" s="29" t="e">
        <f t="shared" si="298"/>
        <v>#REF!</v>
      </c>
      <c r="XBB247" s="29" t="e">
        <f t="shared" si="298"/>
        <v>#REF!</v>
      </c>
      <c r="XBC247" s="29" t="e">
        <f t="shared" si="298"/>
        <v>#REF!</v>
      </c>
      <c r="XBD247" s="29" t="e">
        <f t="shared" si="298"/>
        <v>#REF!</v>
      </c>
      <c r="XBE247" s="29" t="e">
        <f t="shared" si="298"/>
        <v>#REF!</v>
      </c>
      <c r="XBF247" s="29" t="e">
        <f t="shared" si="298"/>
        <v>#REF!</v>
      </c>
      <c r="XBG247" s="29" t="e">
        <f t="shared" si="298"/>
        <v>#REF!</v>
      </c>
      <c r="XBH247" s="29" t="e">
        <f t="shared" si="298"/>
        <v>#REF!</v>
      </c>
      <c r="XBI247" s="29" t="e">
        <f t="shared" si="298"/>
        <v>#REF!</v>
      </c>
      <c r="XBJ247" s="29" t="e">
        <f t="shared" si="298"/>
        <v>#REF!</v>
      </c>
      <c r="XBK247" s="29" t="e">
        <f t="shared" si="298"/>
        <v>#REF!</v>
      </c>
      <c r="XBL247" s="29" t="e">
        <f t="shared" si="298"/>
        <v>#REF!</v>
      </c>
      <c r="XBM247" s="29" t="e">
        <f t="shared" si="298"/>
        <v>#REF!</v>
      </c>
      <c r="XBN247" s="29" t="e">
        <f t="shared" si="298"/>
        <v>#REF!</v>
      </c>
      <c r="XBO247" s="29" t="e">
        <f t="shared" si="298"/>
        <v>#REF!</v>
      </c>
      <c r="XBP247" s="29" t="e">
        <f t="shared" si="298"/>
        <v>#REF!</v>
      </c>
      <c r="XBQ247" s="29" t="e">
        <f t="shared" si="298"/>
        <v>#REF!</v>
      </c>
      <c r="XBR247" s="29" t="e">
        <f t="shared" si="298"/>
        <v>#REF!</v>
      </c>
      <c r="XBS247" s="29" t="e">
        <f t="shared" si="298"/>
        <v>#REF!</v>
      </c>
      <c r="XBT247" s="29" t="e">
        <f t="shared" si="298"/>
        <v>#REF!</v>
      </c>
      <c r="XBU247" s="29" t="e">
        <f t="shared" si="298"/>
        <v>#REF!</v>
      </c>
      <c r="XBV247" s="29" t="e">
        <f t="shared" si="298"/>
        <v>#REF!</v>
      </c>
      <c r="XBW247" s="29" t="e">
        <f t="shared" si="298"/>
        <v>#REF!</v>
      </c>
      <c r="XBX247" s="29" t="e">
        <f t="shared" si="298"/>
        <v>#REF!</v>
      </c>
      <c r="XBY247" s="29" t="e">
        <f t="shared" si="298"/>
        <v>#REF!</v>
      </c>
      <c r="XBZ247" s="29" t="e">
        <f t="shared" si="298"/>
        <v>#REF!</v>
      </c>
      <c r="XCA247" s="29" t="e">
        <f t="shared" si="298"/>
        <v>#REF!</v>
      </c>
      <c r="XCB247" s="29" t="e">
        <f t="shared" si="298"/>
        <v>#REF!</v>
      </c>
      <c r="XCC247" s="29" t="e">
        <f t="shared" si="298"/>
        <v>#REF!</v>
      </c>
      <c r="XCD247" s="29" t="e">
        <f t="shared" si="298"/>
        <v>#REF!</v>
      </c>
      <c r="XCE247" s="29" t="e">
        <f t="shared" si="298"/>
        <v>#REF!</v>
      </c>
      <c r="XCF247" s="29" t="e">
        <f t="shared" si="298"/>
        <v>#REF!</v>
      </c>
      <c r="XCG247" s="29" t="e">
        <f t="shared" si="298"/>
        <v>#REF!</v>
      </c>
      <c r="XCH247" s="29" t="e">
        <f t="shared" si="298"/>
        <v>#REF!</v>
      </c>
      <c r="XCI247" s="29" t="e">
        <f t="shared" si="298"/>
        <v>#REF!</v>
      </c>
      <c r="XCJ247" s="29" t="e">
        <f t="shared" si="298"/>
        <v>#REF!</v>
      </c>
      <c r="XCK247" s="29" t="e">
        <f t="shared" si="298"/>
        <v>#REF!</v>
      </c>
      <c r="XCL247" s="29" t="e">
        <f t="shared" si="298"/>
        <v>#REF!</v>
      </c>
      <c r="XCM247" s="29" t="e">
        <f t="shared" si="298"/>
        <v>#REF!</v>
      </c>
      <c r="XCN247" s="29" t="e">
        <f t="shared" si="298"/>
        <v>#REF!</v>
      </c>
      <c r="XCO247" s="29" t="e">
        <f t="shared" si="298"/>
        <v>#REF!</v>
      </c>
      <c r="XCP247" s="29" t="e">
        <f t="shared" si="298"/>
        <v>#REF!</v>
      </c>
      <c r="XCQ247" s="29" t="e">
        <f t="shared" si="298"/>
        <v>#REF!</v>
      </c>
      <c r="XCR247" s="29" t="e">
        <f t="shared" si="298"/>
        <v>#REF!</v>
      </c>
      <c r="XCS247" s="29" t="e">
        <f t="shared" si="298"/>
        <v>#REF!</v>
      </c>
      <c r="XCT247" s="29" t="e">
        <f t="shared" si="298"/>
        <v>#REF!</v>
      </c>
      <c r="XCU247" s="29" t="e">
        <f t="shared" si="298"/>
        <v>#REF!</v>
      </c>
      <c r="XCV247" s="29" t="e">
        <f t="shared" si="298"/>
        <v>#REF!</v>
      </c>
      <c r="XCW247" s="29" t="e">
        <f t="shared" si="298"/>
        <v>#REF!</v>
      </c>
      <c r="XCX247" s="29" t="e">
        <f t="shared" si="298"/>
        <v>#REF!</v>
      </c>
      <c r="XCY247" s="29" t="e">
        <f t="shared" si="298"/>
        <v>#REF!</v>
      </c>
      <c r="XCZ247" s="29" t="e">
        <f t="shared" si="298"/>
        <v>#REF!</v>
      </c>
      <c r="XDA247" s="29" t="e">
        <f t="shared" si="298"/>
        <v>#REF!</v>
      </c>
      <c r="XDB247" s="29" t="e">
        <f t="shared" si="298"/>
        <v>#REF!</v>
      </c>
      <c r="XDC247" s="29" t="e">
        <f t="shared" si="298"/>
        <v>#REF!</v>
      </c>
      <c r="XDD247" s="29" t="e">
        <f t="shared" si="298"/>
        <v>#REF!</v>
      </c>
      <c r="XDE247" s="29" t="e">
        <f t="shared" si="298"/>
        <v>#REF!</v>
      </c>
      <c r="XDF247" s="29" t="e">
        <f t="shared" si="298"/>
        <v>#REF!</v>
      </c>
      <c r="XDG247" s="29" t="e">
        <f t="shared" si="298"/>
        <v>#REF!</v>
      </c>
      <c r="XDH247" s="29" t="e">
        <f t="shared" si="298"/>
        <v>#REF!</v>
      </c>
      <c r="XDI247" s="29" t="e">
        <f t="shared" ref="XDI247:XEY247" si="299">XDM247&amp;XDN247</f>
        <v>#REF!</v>
      </c>
      <c r="XDJ247" s="29" t="e">
        <f t="shared" si="299"/>
        <v>#REF!</v>
      </c>
      <c r="XDK247" s="29" t="e">
        <f t="shared" si="299"/>
        <v>#REF!</v>
      </c>
      <c r="XDL247" s="29" t="e">
        <f t="shared" si="299"/>
        <v>#REF!</v>
      </c>
      <c r="XDM247" s="29" t="e">
        <f t="shared" si="299"/>
        <v>#REF!</v>
      </c>
      <c r="XDN247" s="29" t="e">
        <f t="shared" si="299"/>
        <v>#REF!</v>
      </c>
      <c r="XDO247" s="29" t="e">
        <f t="shared" si="299"/>
        <v>#REF!</v>
      </c>
      <c r="XDP247" s="29" t="e">
        <f t="shared" si="299"/>
        <v>#REF!</v>
      </c>
      <c r="XDQ247" s="29" t="e">
        <f t="shared" si="299"/>
        <v>#REF!</v>
      </c>
      <c r="XDR247" s="29" t="e">
        <f t="shared" si="299"/>
        <v>#REF!</v>
      </c>
      <c r="XDS247" s="29" t="e">
        <f t="shared" si="299"/>
        <v>#REF!</v>
      </c>
      <c r="XDT247" s="29" t="e">
        <f t="shared" si="299"/>
        <v>#REF!</v>
      </c>
      <c r="XDU247" s="29" t="e">
        <f t="shared" si="299"/>
        <v>#REF!</v>
      </c>
      <c r="XDV247" s="29" t="e">
        <f t="shared" si="299"/>
        <v>#REF!</v>
      </c>
      <c r="XDW247" s="29" t="e">
        <f t="shared" si="299"/>
        <v>#REF!</v>
      </c>
      <c r="XDX247" s="29" t="e">
        <f t="shared" si="299"/>
        <v>#REF!</v>
      </c>
      <c r="XDY247" s="29" t="e">
        <f t="shared" si="299"/>
        <v>#REF!</v>
      </c>
      <c r="XDZ247" s="29" t="e">
        <f t="shared" si="299"/>
        <v>#REF!</v>
      </c>
      <c r="XEA247" s="29" t="e">
        <f t="shared" si="299"/>
        <v>#REF!</v>
      </c>
      <c r="XEB247" s="29" t="e">
        <f t="shared" si="299"/>
        <v>#REF!</v>
      </c>
      <c r="XEC247" s="29" t="e">
        <f t="shared" si="299"/>
        <v>#REF!</v>
      </c>
      <c r="XED247" s="29" t="e">
        <f t="shared" si="299"/>
        <v>#REF!</v>
      </c>
      <c r="XEE247" s="29" t="e">
        <f t="shared" si="299"/>
        <v>#REF!</v>
      </c>
      <c r="XEF247" s="29" t="e">
        <f t="shared" si="299"/>
        <v>#REF!</v>
      </c>
      <c r="XEG247" s="29" t="e">
        <f t="shared" si="299"/>
        <v>#REF!</v>
      </c>
      <c r="XEH247" s="29" t="e">
        <f t="shared" si="299"/>
        <v>#REF!</v>
      </c>
      <c r="XEI247" s="29" t="e">
        <f t="shared" si="299"/>
        <v>#REF!</v>
      </c>
      <c r="XEJ247" s="29" t="e">
        <f t="shared" si="299"/>
        <v>#REF!</v>
      </c>
      <c r="XEK247" s="29" t="e">
        <f t="shared" si="299"/>
        <v>#REF!</v>
      </c>
      <c r="XEL247" s="29" t="e">
        <f t="shared" si="299"/>
        <v>#REF!</v>
      </c>
      <c r="XEM247" s="29" t="e">
        <f t="shared" si="299"/>
        <v>#REF!</v>
      </c>
      <c r="XEN247" s="29" t="e">
        <f t="shared" si="299"/>
        <v>#REF!</v>
      </c>
      <c r="XEO247" s="29" t="e">
        <f t="shared" si="299"/>
        <v>#REF!</v>
      </c>
      <c r="XEP247" s="29" t="e">
        <f t="shared" si="299"/>
        <v>#REF!</v>
      </c>
      <c r="XEQ247" s="29" t="e">
        <f t="shared" si="299"/>
        <v>#REF!</v>
      </c>
      <c r="XER247" s="29" t="e">
        <f t="shared" si="299"/>
        <v>#REF!</v>
      </c>
      <c r="XES247" s="29" t="e">
        <f t="shared" si="299"/>
        <v>#REF!</v>
      </c>
      <c r="XET247" s="29" t="e">
        <f t="shared" si="299"/>
        <v>#REF!</v>
      </c>
      <c r="XEU247" s="29" t="e">
        <f t="shared" si="299"/>
        <v>#REF!</v>
      </c>
      <c r="XEV247" s="29" t="e">
        <f t="shared" si="299"/>
        <v>#REF!</v>
      </c>
      <c r="XEW247" s="29" t="e">
        <f t="shared" si="299"/>
        <v>#REF!</v>
      </c>
      <c r="XEX247" s="29" t="e">
        <f t="shared" si="299"/>
        <v>#REF!</v>
      </c>
      <c r="XEY247" s="29" t="e">
        <f t="shared" si="299"/>
        <v>#REF!</v>
      </c>
      <c r="XEZ247" s="29" t="e">
        <f>XFD247&amp;#REF!</f>
        <v>#REF!</v>
      </c>
      <c r="XFA247" s="29" t="e">
        <f>#REF!&amp;#REF!</f>
        <v>#REF!</v>
      </c>
      <c r="XFB247" s="29" t="e">
        <f>#REF!&amp;#REF!</f>
        <v>#REF!</v>
      </c>
      <c r="XFC247" s="29" t="e">
        <f>#REF!&amp;#REF!</f>
        <v>#REF!</v>
      </c>
      <c r="XFD247" s="29" t="e">
        <f>#REF!&amp;#REF!</f>
        <v>#REF!</v>
      </c>
    </row>
    <row r="248" spans="1:16384" outlineLevel="1">
      <c r="A248" s="29" t="str">
        <f t="shared" si="40"/>
        <v>modesg_param_sfics_taxon_europeiadscrc</v>
      </c>
      <c r="B248" s="67" t="s">
        <v>26</v>
      </c>
      <c r="C248" s="68" t="s">
        <v>181</v>
      </c>
      <c r="D248" s="64" t="s">
        <v>40</v>
      </c>
      <c r="E248" s="66" t="s">
        <v>2096</v>
      </c>
      <c r="F248" s="64" t="s">
        <v>197</v>
      </c>
      <c r="G248" s="64" t="str">
        <f>INDEX(Auxiliar!$B$16:$B$24,MATCH(Plano_V3!H248,Auxiliar!$C$16:$C$24,0),1)</f>
        <v>1. Concluído</v>
      </c>
      <c r="H248" s="64">
        <f>VLOOKUP(A248,'Aux - pivots1'!$A:$B,2,0)</f>
        <v>1</v>
      </c>
      <c r="I248" s="180">
        <f>SUMIFS(Table1[Estimação (horas)],Table1[Tabela],Plano_V3!E248,Table1[Campo],Plano_V3!F248)</f>
        <v>0.6</v>
      </c>
      <c r="J248" s="180">
        <f t="shared" si="41"/>
        <v>7.4999999999999997E-2</v>
      </c>
      <c r="K248" s="180">
        <f>SUMIFS(Table1[Horas efetivas],Table1[Tabela],Plano_V3!E248,Table1[Campo],Plano_V3!F248)</f>
        <v>0.6</v>
      </c>
      <c r="L248" s="180">
        <f t="shared" si="42"/>
        <v>7.4999999999999997E-2</v>
      </c>
      <c r="M248" s="174"/>
      <c r="N248" s="174">
        <f t="shared" si="43"/>
        <v>1</v>
      </c>
      <c r="O248" s="174">
        <f t="shared" si="30"/>
        <v>1</v>
      </c>
      <c r="P248" s="89" t="s">
        <v>39</v>
      </c>
      <c r="Q248" s="90">
        <f t="shared" si="31"/>
        <v>7.4999999999999997E-2</v>
      </c>
      <c r="R248" s="78"/>
      <c r="S248" s="78"/>
      <c r="T248" s="78"/>
      <c r="U248" s="78"/>
      <c r="V248" s="78"/>
      <c r="W248" s="78"/>
      <c r="X248" s="78"/>
      <c r="Y248" s="78"/>
      <c r="Z248" s="78"/>
      <c r="AA248" s="78"/>
      <c r="AB248" s="78"/>
      <c r="AC248" s="78"/>
      <c r="AD248" s="78"/>
      <c r="AE248" s="78"/>
      <c r="AF248" s="78"/>
      <c r="AG248" s="78"/>
      <c r="AH248" s="78"/>
      <c r="AI248" s="78"/>
      <c r="AJ248" s="78"/>
      <c r="AK248" s="78"/>
      <c r="AL248" s="78"/>
      <c r="AM248" s="78"/>
      <c r="AN248" s="78"/>
      <c r="AO248" s="78"/>
      <c r="AP248" s="78"/>
      <c r="AQ248" s="78"/>
      <c r="AR248" s="78"/>
      <c r="AS248" s="78"/>
      <c r="AT248" s="78"/>
      <c r="AU248" s="78"/>
      <c r="AV248" s="78"/>
      <c r="AW248" s="78"/>
      <c r="AX248" s="78"/>
      <c r="AY248" s="91"/>
      <c r="AZ248" s="78"/>
      <c r="BA248" s="78"/>
      <c r="BB248" s="78"/>
      <c r="BC248" s="78"/>
      <c r="BD248" s="78"/>
      <c r="BE248" s="78"/>
      <c r="BF248" s="78"/>
      <c r="BG248" s="78"/>
      <c r="BH248" s="78"/>
      <c r="BI248" s="78"/>
      <c r="BJ248" s="78"/>
      <c r="BK248" s="78"/>
      <c r="BL248" s="78"/>
      <c r="BM248" s="78"/>
      <c r="BN248" s="78"/>
      <c r="BO248" s="78"/>
      <c r="BP248" s="78"/>
      <c r="BQ248" s="78"/>
      <c r="BR248" s="78"/>
      <c r="BS248" s="78"/>
      <c r="BT248" s="78"/>
      <c r="BU248" s="78"/>
      <c r="BV248" s="78"/>
      <c r="BW248" s="78"/>
      <c r="BX248" s="78"/>
      <c r="BY248" s="78"/>
      <c r="BZ248" s="78"/>
      <c r="CA248" s="78"/>
      <c r="CB248" s="78"/>
      <c r="CC248" s="78"/>
      <c r="CD248" s="78"/>
      <c r="CE248" s="78"/>
      <c r="CF248" s="78"/>
      <c r="CG248" s="78"/>
      <c r="CH248" s="78"/>
      <c r="CI248" s="78"/>
      <c r="CJ248" s="78"/>
      <c r="CK248" s="78"/>
      <c r="CL248" s="78"/>
      <c r="CM248" s="78"/>
      <c r="CN248" s="78"/>
      <c r="CO248" s="78"/>
      <c r="CP248" s="78"/>
      <c r="CQ248" s="78"/>
      <c r="CR248" s="78"/>
      <c r="CS248" s="78"/>
      <c r="CT248" s="78"/>
      <c r="CU248" s="78"/>
      <c r="CV248" s="78"/>
      <c r="CW248" s="78"/>
      <c r="CX248" s="78"/>
      <c r="CY248" s="78"/>
      <c r="CZ248" s="78"/>
      <c r="DA248" s="78"/>
      <c r="DB248" s="78"/>
      <c r="DC248" s="78"/>
      <c r="DD248" s="78"/>
      <c r="DE248" s="78"/>
      <c r="DF248" s="78"/>
      <c r="DG248" s="78"/>
      <c r="DH248" s="78"/>
      <c r="DI248" s="78"/>
      <c r="DJ248" s="78"/>
      <c r="DK248" s="78"/>
      <c r="DL248" s="78"/>
      <c r="DM248" s="78"/>
      <c r="DN248" s="78"/>
      <c r="DO248" s="78"/>
      <c r="DP248" s="78"/>
      <c r="DQ248" s="78"/>
      <c r="DR248" s="78"/>
      <c r="DS248" s="78"/>
      <c r="DT248" s="78"/>
      <c r="DU248" s="78"/>
      <c r="DV248" s="78"/>
      <c r="DW248" s="78"/>
      <c r="DX248" s="78"/>
      <c r="DY248" s="78"/>
      <c r="DZ248" s="78"/>
      <c r="EA248" s="78"/>
      <c r="EB248" s="78"/>
      <c r="EC248" s="78"/>
      <c r="ED248" s="78"/>
      <c r="EE248" s="78"/>
      <c r="EF248" s="78"/>
      <c r="EG248" s="78"/>
      <c r="EH248" s="78"/>
      <c r="EI248" s="78"/>
      <c r="EJ248" s="78"/>
      <c r="EK248" s="78"/>
      <c r="EL248" s="78"/>
      <c r="EM248" s="78"/>
      <c r="EN248" s="91"/>
      <c r="EO248" s="91"/>
      <c r="EP248" s="91"/>
      <c r="EQ248" s="91"/>
      <c r="ER248" s="91"/>
      <c r="ES248" s="91"/>
    </row>
    <row r="249" spans="1:16384" outlineLevel="1">
      <c r="A249" s="29" t="str">
        <f t="shared" si="40"/>
        <v>modesg_param_sfics_taxon_europeiacomite</v>
      </c>
      <c r="B249" s="67" t="s">
        <v>26</v>
      </c>
      <c r="C249" s="68" t="s">
        <v>181</v>
      </c>
      <c r="D249" s="64" t="s">
        <v>40</v>
      </c>
      <c r="E249" s="66" t="s">
        <v>2096</v>
      </c>
      <c r="F249" s="64" t="s">
        <v>192</v>
      </c>
      <c r="G249" s="64" t="str">
        <f>INDEX(Auxiliar!$B$16:$B$24,MATCH(Plano_V3!H249,Auxiliar!$C$16:$C$24,0),1)</f>
        <v>1. Concluído</v>
      </c>
      <c r="H249" s="64">
        <f>VLOOKUP(A249,'Aux - pivots1'!$A:$B,2,0)</f>
        <v>1</v>
      </c>
      <c r="I249" s="180">
        <f>SUMIFS(Table1[Estimação (horas)],Table1[Tabela],Plano_V3!E249,Table1[Campo],Plano_V3!F249)</f>
        <v>0.6</v>
      </c>
      <c r="J249" s="180">
        <f t="shared" si="41"/>
        <v>7.4999999999999997E-2</v>
      </c>
      <c r="K249" s="180">
        <f>SUMIFS(Table1[Horas efetivas],Table1[Tabela],Plano_V3!E249,Table1[Campo],Plano_V3!F249)</f>
        <v>0.6</v>
      </c>
      <c r="L249" s="180">
        <f t="shared" si="42"/>
        <v>7.4999999999999997E-2</v>
      </c>
      <c r="M249" s="174"/>
      <c r="N249" s="174">
        <f t="shared" si="43"/>
        <v>1</v>
      </c>
      <c r="O249" s="174">
        <f t="shared" si="30"/>
        <v>1</v>
      </c>
      <c r="P249" s="89" t="s">
        <v>39</v>
      </c>
      <c r="Q249" s="90">
        <f t="shared" si="31"/>
        <v>7.4999999999999997E-2</v>
      </c>
      <c r="R249" s="78"/>
      <c r="S249" s="78"/>
      <c r="T249" s="78"/>
      <c r="U249" s="78"/>
      <c r="V249" s="78"/>
      <c r="W249" s="78"/>
      <c r="X249" s="78"/>
      <c r="Y249" s="78"/>
      <c r="Z249" s="78"/>
      <c r="AA249" s="78"/>
      <c r="AB249" s="78"/>
      <c r="AC249" s="78"/>
      <c r="AD249" s="78"/>
      <c r="AE249" s="78"/>
      <c r="AF249" s="78"/>
      <c r="AG249" s="78"/>
      <c r="AH249" s="78"/>
      <c r="AI249" s="78"/>
      <c r="AJ249" s="78"/>
      <c r="AK249" s="78"/>
      <c r="AL249" s="78"/>
      <c r="AM249" s="78"/>
      <c r="AN249" s="78"/>
      <c r="AO249" s="78"/>
      <c r="AP249" s="78"/>
      <c r="AQ249" s="78"/>
      <c r="AR249" s="78"/>
      <c r="AS249" s="78"/>
      <c r="AT249" s="78"/>
      <c r="AU249" s="78"/>
      <c r="AV249" s="78"/>
      <c r="AW249" s="78"/>
      <c r="AX249" s="78"/>
      <c r="AY249" s="91"/>
      <c r="AZ249" s="78"/>
      <c r="BA249" s="78"/>
      <c r="BB249" s="78"/>
      <c r="BC249" s="78"/>
      <c r="BD249" s="78"/>
      <c r="BE249" s="78"/>
      <c r="BF249" s="78"/>
      <c r="BG249" s="78"/>
      <c r="BH249" s="78"/>
      <c r="BI249" s="78"/>
      <c r="BJ249" s="78"/>
      <c r="BK249" s="78"/>
      <c r="BL249" s="78"/>
      <c r="BM249" s="78"/>
      <c r="BN249" s="78"/>
      <c r="BO249" s="78"/>
      <c r="BP249" s="78"/>
      <c r="BQ249" s="78"/>
      <c r="BR249" s="78"/>
      <c r="BS249" s="78"/>
      <c r="BT249" s="78"/>
      <c r="BU249" s="78"/>
      <c r="BV249" s="78"/>
      <c r="BW249" s="78"/>
      <c r="BX249" s="78"/>
      <c r="BY249" s="78"/>
      <c r="BZ249" s="78"/>
      <c r="CA249" s="78"/>
      <c r="CB249" s="78"/>
      <c r="CC249" s="78"/>
      <c r="CD249" s="78"/>
      <c r="CE249" s="78"/>
      <c r="CF249" s="78"/>
      <c r="CG249" s="78"/>
      <c r="CH249" s="78"/>
      <c r="CI249" s="78"/>
      <c r="CJ249" s="78"/>
      <c r="CK249" s="78"/>
      <c r="CL249" s="78"/>
      <c r="CM249" s="78"/>
      <c r="CN249" s="78"/>
      <c r="CO249" s="78"/>
      <c r="CP249" s="78"/>
      <c r="CQ249" s="78"/>
      <c r="CR249" s="78"/>
      <c r="CS249" s="78"/>
      <c r="CT249" s="78"/>
      <c r="CU249" s="78"/>
      <c r="CV249" s="78"/>
      <c r="CW249" s="78"/>
      <c r="CX249" s="78"/>
      <c r="CY249" s="78"/>
      <c r="CZ249" s="78"/>
      <c r="DA249" s="78"/>
      <c r="DB249" s="78"/>
      <c r="DC249" s="78"/>
      <c r="DD249" s="78"/>
      <c r="DE249" s="78"/>
      <c r="DF249" s="78"/>
      <c r="DG249" s="78"/>
      <c r="DH249" s="78"/>
      <c r="DI249" s="78"/>
      <c r="DJ249" s="78"/>
      <c r="DK249" s="78"/>
      <c r="DL249" s="78"/>
      <c r="DM249" s="78"/>
      <c r="DN249" s="78"/>
      <c r="DO249" s="78"/>
      <c r="DP249" s="78"/>
      <c r="DQ249" s="78"/>
      <c r="DR249" s="78"/>
      <c r="DS249" s="78"/>
      <c r="DT249" s="78"/>
      <c r="DU249" s="78"/>
      <c r="DV249" s="78"/>
      <c r="DW249" s="78"/>
      <c r="DX249" s="78"/>
      <c r="DY249" s="78"/>
      <c r="DZ249" s="78"/>
      <c r="EA249" s="78"/>
      <c r="EB249" s="78"/>
      <c r="EC249" s="78"/>
      <c r="ED249" s="78"/>
      <c r="EE249" s="78"/>
      <c r="EF249" s="78"/>
      <c r="EG249" s="78"/>
      <c r="EH249" s="78"/>
      <c r="EI249" s="78"/>
      <c r="EJ249" s="78"/>
      <c r="EK249" s="78"/>
      <c r="EL249" s="78"/>
      <c r="EM249" s="78"/>
      <c r="EN249" s="91"/>
      <c r="EO249" s="91"/>
      <c r="EP249" s="91"/>
      <c r="EQ249" s="91"/>
      <c r="ER249" s="91"/>
      <c r="ES249" s="91"/>
    </row>
    <row r="250" spans="1:16384" outlineLevel="1">
      <c r="A250" s="29" t="str">
        <f t="shared" si="40"/>
        <v>modesg_param_sfics_taxon_europeiadata_aprvc</v>
      </c>
      <c r="B250" s="67" t="s">
        <v>26</v>
      </c>
      <c r="C250" s="68" t="s">
        <v>181</v>
      </c>
      <c r="D250" s="64" t="s">
        <v>40</v>
      </c>
      <c r="E250" s="66" t="s">
        <v>2096</v>
      </c>
      <c r="F250" s="64" t="s">
        <v>193</v>
      </c>
      <c r="G250" s="64" t="str">
        <f>INDEX(Auxiliar!$B$16:$B$24,MATCH(Plano_V3!H250,Auxiliar!$C$16:$C$24,0),1)</f>
        <v>1. Concluído</v>
      </c>
      <c r="H250" s="64">
        <f>VLOOKUP(A250,'Aux - pivots1'!$A:$B,2,0)</f>
        <v>1</v>
      </c>
      <c r="I250" s="180" t="e">
        <f>SUMIFS(Table1[Estimação (horas)],Table1[Tabela],Plano_V3!E250,Table1[Campo],Plano_V3!F250)</f>
        <v>#N/A</v>
      </c>
      <c r="J250" s="180" t="e">
        <f t="shared" si="41"/>
        <v>#N/A</v>
      </c>
      <c r="K250" s="180" t="e">
        <f>SUMIFS(Table1[Horas efetivas],Table1[Tabela],Plano_V3!E250,Table1[Campo],Plano_V3!F250)</f>
        <v>#N/A</v>
      </c>
      <c r="L250" s="180" t="e">
        <f t="shared" si="42"/>
        <v>#N/A</v>
      </c>
      <c r="M250" s="174"/>
      <c r="N250" s="174" t="e">
        <f t="shared" si="43"/>
        <v>#N/A</v>
      </c>
      <c r="O250" s="174" t="e">
        <f t="shared" si="30"/>
        <v>#N/A</v>
      </c>
      <c r="P250" s="89" t="s">
        <v>39</v>
      </c>
      <c r="Q250" s="90" t="e">
        <f t="shared" si="31"/>
        <v>#N/A</v>
      </c>
      <c r="R250" s="78"/>
      <c r="S250" s="78"/>
      <c r="T250" s="78"/>
      <c r="U250" s="78"/>
      <c r="V250" s="78"/>
      <c r="W250" s="78"/>
      <c r="X250" s="78"/>
      <c r="Y250" s="78"/>
      <c r="Z250" s="78"/>
      <c r="AA250" s="78"/>
      <c r="AB250" s="78"/>
      <c r="AC250" s="78"/>
      <c r="AD250" s="78"/>
      <c r="AE250" s="78"/>
      <c r="AF250" s="78"/>
      <c r="AG250" s="78"/>
      <c r="AH250" s="78"/>
      <c r="AI250" s="78"/>
      <c r="AJ250" s="78"/>
      <c r="AK250" s="78"/>
      <c r="AL250" s="78"/>
      <c r="AM250" s="78"/>
      <c r="AN250" s="78"/>
      <c r="AO250" s="78"/>
      <c r="AP250" s="78"/>
      <c r="AQ250" s="78"/>
      <c r="AR250" s="78"/>
      <c r="AS250" s="78"/>
      <c r="AT250" s="78"/>
      <c r="AU250" s="78"/>
      <c r="AV250" s="78"/>
      <c r="AW250" s="78"/>
      <c r="AX250" s="78"/>
      <c r="AY250" s="91"/>
      <c r="AZ250" s="78"/>
      <c r="BA250" s="78"/>
      <c r="BB250" s="78"/>
      <c r="BC250" s="78"/>
      <c r="BD250" s="78"/>
      <c r="BE250" s="78"/>
      <c r="BF250" s="78"/>
      <c r="BG250" s="78"/>
      <c r="BH250" s="78"/>
      <c r="BI250" s="78"/>
      <c r="BJ250" s="78"/>
      <c r="BK250" s="78"/>
      <c r="BL250" s="78"/>
      <c r="BM250" s="78"/>
      <c r="BN250" s="78"/>
      <c r="BO250" s="78"/>
      <c r="BP250" s="78"/>
      <c r="BQ250" s="78"/>
      <c r="BR250" s="78"/>
      <c r="BS250" s="78"/>
      <c r="BT250" s="78"/>
      <c r="BU250" s="78"/>
      <c r="BV250" s="78"/>
      <c r="BW250" s="78"/>
      <c r="BX250" s="78"/>
      <c r="BY250" s="78"/>
      <c r="BZ250" s="78"/>
      <c r="CA250" s="78"/>
      <c r="CB250" s="78"/>
      <c r="CC250" s="78"/>
      <c r="CD250" s="78"/>
      <c r="CE250" s="78"/>
      <c r="CF250" s="78"/>
      <c r="CG250" s="78"/>
      <c r="CH250" s="78"/>
      <c r="CI250" s="78"/>
      <c r="CJ250" s="78"/>
      <c r="CK250" s="78"/>
      <c r="CL250" s="78"/>
      <c r="CM250" s="78"/>
      <c r="CN250" s="78"/>
      <c r="CO250" s="78"/>
      <c r="CP250" s="78"/>
      <c r="CQ250" s="78"/>
      <c r="CR250" s="78"/>
      <c r="CS250" s="78"/>
      <c r="CT250" s="78"/>
      <c r="CU250" s="78"/>
      <c r="CV250" s="78"/>
      <c r="CW250" s="78"/>
      <c r="CX250" s="78"/>
      <c r="CY250" s="78"/>
      <c r="CZ250" s="78"/>
      <c r="DA250" s="78"/>
      <c r="DB250" s="78"/>
      <c r="DC250" s="78"/>
      <c r="DD250" s="78"/>
      <c r="DE250" s="78"/>
      <c r="DF250" s="78"/>
      <c r="DG250" s="78"/>
      <c r="DH250" s="78"/>
      <c r="DI250" s="78"/>
      <c r="DJ250" s="78"/>
      <c r="DK250" s="78"/>
      <c r="DL250" s="78"/>
      <c r="DM250" s="78"/>
      <c r="DN250" s="78"/>
      <c r="DO250" s="78"/>
      <c r="DP250" s="78"/>
      <c r="DQ250" s="78"/>
      <c r="DR250" s="78"/>
      <c r="DS250" s="78"/>
      <c r="DT250" s="78"/>
      <c r="DU250" s="78"/>
      <c r="DV250" s="78"/>
      <c r="DW250" s="78"/>
      <c r="DX250" s="78"/>
      <c r="DY250" s="78"/>
      <c r="DZ250" s="78"/>
      <c r="EA250" s="78"/>
      <c r="EB250" s="78"/>
      <c r="EC250" s="78"/>
      <c r="ED250" s="78"/>
      <c r="EE250" s="78"/>
      <c r="EF250" s="78"/>
      <c r="EG250" s="78"/>
      <c r="EH250" s="78"/>
      <c r="EI250" s="78"/>
      <c r="EJ250" s="78"/>
      <c r="EK250" s="78"/>
      <c r="EL250" s="78"/>
      <c r="EM250" s="78"/>
      <c r="EN250" s="91"/>
      <c r="EO250" s="91"/>
      <c r="EP250" s="91"/>
      <c r="EQ250" s="91"/>
      <c r="ER250" s="91"/>
      <c r="ES250" s="91"/>
    </row>
    <row r="251" spans="1:16384" outlineLevel="1">
      <c r="A251" s="29" t="str">
        <f t="shared" si="40"/>
        <v>modesg_param_sfics_taxon_europeiadata_inicial</v>
      </c>
      <c r="B251" s="67" t="s">
        <v>26</v>
      </c>
      <c r="C251" s="68" t="s">
        <v>181</v>
      </c>
      <c r="D251" s="64" t="s">
        <v>40</v>
      </c>
      <c r="E251" s="66" t="s">
        <v>2096</v>
      </c>
      <c r="F251" s="64" t="s">
        <v>195</v>
      </c>
      <c r="G251" s="64" t="str">
        <f>INDEX(Auxiliar!$B$16:$B$24,MATCH(Plano_V3!H251,Auxiliar!$C$16:$C$24,0),1)</f>
        <v>1. Concluído</v>
      </c>
      <c r="H251" s="64">
        <f>VLOOKUP(A251,'Aux - pivots1'!$A:$B,2,0)</f>
        <v>1</v>
      </c>
      <c r="I251" s="180" t="e">
        <f>SUMIFS(Table1[Estimação (horas)],Table1[Tabela],Plano_V3!E251,Table1[Campo],Plano_V3!F251)</f>
        <v>#N/A</v>
      </c>
      <c r="J251" s="180" t="e">
        <f t="shared" si="41"/>
        <v>#N/A</v>
      </c>
      <c r="K251" s="180" t="e">
        <f>SUMIFS(Table1[Horas efetivas],Table1[Tabela],Plano_V3!E251,Table1[Campo],Plano_V3!F251)</f>
        <v>#N/A</v>
      </c>
      <c r="L251" s="180" t="e">
        <f t="shared" si="42"/>
        <v>#N/A</v>
      </c>
      <c r="M251" s="174"/>
      <c r="N251" s="174" t="e">
        <f t="shared" si="43"/>
        <v>#N/A</v>
      </c>
      <c r="O251" s="174" t="e">
        <f t="shared" si="30"/>
        <v>#N/A</v>
      </c>
      <c r="P251" s="89" t="s">
        <v>39</v>
      </c>
      <c r="Q251" s="90" t="e">
        <f t="shared" si="31"/>
        <v>#N/A</v>
      </c>
      <c r="R251" s="78"/>
      <c r="S251" s="78"/>
      <c r="T251" s="78"/>
      <c r="U251" s="78"/>
      <c r="V251" s="78"/>
      <c r="W251" s="78"/>
      <c r="X251" s="78"/>
      <c r="Y251" s="78"/>
      <c r="Z251" s="78"/>
      <c r="AA251" s="78"/>
      <c r="AB251" s="78"/>
      <c r="AC251" s="78"/>
      <c r="AD251" s="78"/>
      <c r="AE251" s="78"/>
      <c r="AF251" s="78"/>
      <c r="AG251" s="78"/>
      <c r="AH251" s="78"/>
      <c r="AI251" s="78"/>
      <c r="AJ251" s="78"/>
      <c r="AK251" s="78"/>
      <c r="AL251" s="78"/>
      <c r="AM251" s="78"/>
      <c r="AN251" s="78"/>
      <c r="AO251" s="78"/>
      <c r="AP251" s="78"/>
      <c r="AQ251" s="78"/>
      <c r="AR251" s="78"/>
      <c r="AS251" s="78"/>
      <c r="AT251" s="78"/>
      <c r="AU251" s="78"/>
      <c r="AV251" s="78"/>
      <c r="AW251" s="78"/>
      <c r="AX251" s="78"/>
      <c r="AY251" s="91"/>
      <c r="AZ251" s="78"/>
      <c r="BA251" s="78"/>
      <c r="BB251" s="78"/>
      <c r="BC251" s="78"/>
      <c r="BD251" s="78"/>
      <c r="BE251" s="78"/>
      <c r="BF251" s="78"/>
      <c r="BG251" s="78"/>
      <c r="BH251" s="78"/>
      <c r="BI251" s="78"/>
      <c r="BJ251" s="78"/>
      <c r="BK251" s="78"/>
      <c r="BL251" s="78"/>
      <c r="BM251" s="78"/>
      <c r="BN251" s="78"/>
      <c r="BO251" s="78"/>
      <c r="BP251" s="78"/>
      <c r="BQ251" s="78"/>
      <c r="BR251" s="78"/>
      <c r="BS251" s="78"/>
      <c r="BT251" s="78"/>
      <c r="BU251" s="78"/>
      <c r="BV251" s="78"/>
      <c r="BW251" s="78"/>
      <c r="BX251" s="78"/>
      <c r="BY251" s="78"/>
      <c r="BZ251" s="78"/>
      <c r="CA251" s="78"/>
      <c r="CB251" s="78"/>
      <c r="CC251" s="78"/>
      <c r="CD251" s="78"/>
      <c r="CE251" s="78"/>
      <c r="CF251" s="78"/>
      <c r="CG251" s="78"/>
      <c r="CH251" s="78"/>
      <c r="CI251" s="78"/>
      <c r="CJ251" s="78"/>
      <c r="CK251" s="78"/>
      <c r="CL251" s="78"/>
      <c r="CM251" s="78"/>
      <c r="CN251" s="78"/>
      <c r="CO251" s="78"/>
      <c r="CP251" s="78"/>
      <c r="CQ251" s="78"/>
      <c r="CR251" s="78"/>
      <c r="CS251" s="78"/>
      <c r="CT251" s="78"/>
      <c r="CU251" s="78"/>
      <c r="CV251" s="78"/>
      <c r="CW251" s="78"/>
      <c r="CX251" s="78"/>
      <c r="CY251" s="78"/>
      <c r="CZ251" s="78"/>
      <c r="DA251" s="78"/>
      <c r="DB251" s="78"/>
      <c r="DC251" s="78"/>
      <c r="DD251" s="78"/>
      <c r="DE251" s="78"/>
      <c r="DF251" s="78"/>
      <c r="DG251" s="78"/>
      <c r="DH251" s="78"/>
      <c r="DI251" s="78"/>
      <c r="DJ251" s="78"/>
      <c r="DK251" s="78"/>
      <c r="DL251" s="78"/>
      <c r="DM251" s="78"/>
      <c r="DN251" s="78"/>
      <c r="DO251" s="78"/>
      <c r="DP251" s="78"/>
      <c r="DQ251" s="78"/>
      <c r="DR251" s="78"/>
      <c r="DS251" s="78"/>
      <c r="DT251" s="78"/>
      <c r="DU251" s="78"/>
      <c r="DV251" s="78"/>
      <c r="DW251" s="78"/>
      <c r="DX251" s="78"/>
      <c r="DY251" s="78"/>
      <c r="DZ251" s="78"/>
      <c r="EA251" s="78"/>
      <c r="EB251" s="78"/>
      <c r="EC251" s="78"/>
      <c r="ED251" s="78"/>
      <c r="EE251" s="78"/>
      <c r="EF251" s="78"/>
      <c r="EG251" s="78"/>
      <c r="EH251" s="78"/>
      <c r="EI251" s="78"/>
      <c r="EJ251" s="78"/>
      <c r="EK251" s="78"/>
      <c r="EL251" s="78"/>
      <c r="EM251" s="78"/>
      <c r="EN251" s="91"/>
      <c r="EO251" s="91"/>
      <c r="EP251" s="91"/>
      <c r="EQ251" s="91"/>
      <c r="ER251" s="91"/>
      <c r="ES251" s="91"/>
    </row>
    <row r="252" spans="1:16384" outlineLevel="1">
      <c r="A252" s="29" t="str">
        <f t="shared" si="40"/>
        <v>modesg_param_sfics_taxon_europeiadata_final</v>
      </c>
      <c r="B252" s="67" t="s">
        <v>26</v>
      </c>
      <c r="C252" s="68" t="s">
        <v>181</v>
      </c>
      <c r="D252" s="64" t="s">
        <v>40</v>
      </c>
      <c r="E252" s="66" t="s">
        <v>2096</v>
      </c>
      <c r="F252" s="64" t="s">
        <v>194</v>
      </c>
      <c r="G252" s="64" t="str">
        <f>INDEX(Auxiliar!$B$16:$B$24,MATCH(Plano_V3!H252,Auxiliar!$C$16:$C$24,0),1)</f>
        <v>1. Concluído</v>
      </c>
      <c r="H252" s="64">
        <f>VLOOKUP(A252,'Aux - pivots1'!$A:$B,2,0)</f>
        <v>1</v>
      </c>
      <c r="I252" s="180" t="e">
        <f>SUMIFS(Table1[Estimação (horas)],Table1[Tabela],Plano_V3!E252,Table1[Campo],Plano_V3!F252)</f>
        <v>#N/A</v>
      </c>
      <c r="J252" s="180" t="e">
        <f t="shared" si="41"/>
        <v>#N/A</v>
      </c>
      <c r="K252" s="180" t="e">
        <f>SUMIFS(Table1[Horas efetivas],Table1[Tabela],Plano_V3!E252,Table1[Campo],Plano_V3!F252)</f>
        <v>#N/A</v>
      </c>
      <c r="L252" s="180" t="e">
        <f t="shared" si="42"/>
        <v>#N/A</v>
      </c>
      <c r="M252" s="174"/>
      <c r="N252" s="174" t="e">
        <f t="shared" si="43"/>
        <v>#N/A</v>
      </c>
      <c r="O252" s="174" t="e">
        <f t="shared" si="30"/>
        <v>#N/A</v>
      </c>
      <c r="P252" s="89" t="s">
        <v>39</v>
      </c>
      <c r="Q252" s="90" t="e">
        <f t="shared" si="31"/>
        <v>#N/A</v>
      </c>
      <c r="R252" s="78"/>
      <c r="S252" s="78"/>
      <c r="T252" s="78"/>
      <c r="U252" s="78"/>
      <c r="V252" s="78"/>
      <c r="W252" s="78"/>
      <c r="X252" s="78"/>
      <c r="Y252" s="78"/>
      <c r="Z252" s="78"/>
      <c r="AA252" s="78"/>
      <c r="AB252" s="78"/>
      <c r="AC252" s="78"/>
      <c r="AD252" s="78"/>
      <c r="AE252" s="78"/>
      <c r="AF252" s="78"/>
      <c r="AG252" s="78"/>
      <c r="AH252" s="78"/>
      <c r="AI252" s="78"/>
      <c r="AJ252" s="78"/>
      <c r="AK252" s="78"/>
      <c r="AL252" s="78"/>
      <c r="AM252" s="78"/>
      <c r="AN252" s="78"/>
      <c r="AO252" s="78"/>
      <c r="AP252" s="78"/>
      <c r="AQ252" s="78"/>
      <c r="AR252" s="78"/>
      <c r="AS252" s="78"/>
      <c r="AT252" s="78"/>
      <c r="AU252" s="78"/>
      <c r="AV252" s="78"/>
      <c r="AW252" s="78"/>
      <c r="AX252" s="78"/>
      <c r="AY252" s="91"/>
      <c r="AZ252" s="78"/>
      <c r="BA252" s="78"/>
      <c r="BB252" s="78"/>
      <c r="BC252" s="78"/>
      <c r="BD252" s="78"/>
      <c r="BE252" s="78"/>
      <c r="BF252" s="78"/>
      <c r="BG252" s="78"/>
      <c r="BH252" s="78"/>
      <c r="BI252" s="78"/>
      <c r="BJ252" s="78"/>
      <c r="BK252" s="78"/>
      <c r="BL252" s="78"/>
      <c r="BM252" s="78"/>
      <c r="BN252" s="78"/>
      <c r="BO252" s="78"/>
      <c r="BP252" s="78"/>
      <c r="BQ252" s="78"/>
      <c r="BR252" s="78"/>
      <c r="BS252" s="78"/>
      <c r="BT252" s="78"/>
      <c r="BU252" s="78"/>
      <c r="BV252" s="78"/>
      <c r="BW252" s="78"/>
      <c r="BX252" s="78"/>
      <c r="BY252" s="78"/>
      <c r="BZ252" s="78"/>
      <c r="CA252" s="78"/>
      <c r="CB252" s="78"/>
      <c r="CC252" s="78"/>
      <c r="CD252" s="78"/>
      <c r="CE252" s="78"/>
      <c r="CF252" s="78"/>
      <c r="CG252" s="78"/>
      <c r="CH252" s="78"/>
      <c r="CI252" s="78"/>
      <c r="CJ252" s="78"/>
      <c r="CK252" s="78"/>
      <c r="CL252" s="78"/>
      <c r="CM252" s="78"/>
      <c r="CN252" s="78"/>
      <c r="CO252" s="78"/>
      <c r="CP252" s="78"/>
      <c r="CQ252" s="78"/>
      <c r="CR252" s="78"/>
      <c r="CS252" s="78"/>
      <c r="CT252" s="78"/>
      <c r="CU252" s="78"/>
      <c r="CV252" s="78"/>
      <c r="CW252" s="78"/>
      <c r="CX252" s="78"/>
      <c r="CY252" s="78"/>
      <c r="CZ252" s="78"/>
      <c r="DA252" s="78"/>
      <c r="DB252" s="78"/>
      <c r="DC252" s="78"/>
      <c r="DD252" s="78"/>
      <c r="DE252" s="78"/>
      <c r="DF252" s="78"/>
      <c r="DG252" s="78"/>
      <c r="DH252" s="78"/>
      <c r="DI252" s="78"/>
      <c r="DJ252" s="78"/>
      <c r="DK252" s="78"/>
      <c r="DL252" s="78"/>
      <c r="DM252" s="78"/>
      <c r="DN252" s="78"/>
      <c r="DO252" s="78"/>
      <c r="DP252" s="78"/>
      <c r="DQ252" s="78"/>
      <c r="DR252" s="78"/>
      <c r="DS252" s="78"/>
      <c r="DT252" s="78"/>
      <c r="DU252" s="78"/>
      <c r="DV252" s="78"/>
      <c r="DW252" s="78"/>
      <c r="DX252" s="78"/>
      <c r="DY252" s="78"/>
      <c r="DZ252" s="78"/>
      <c r="EA252" s="78"/>
      <c r="EB252" s="78"/>
      <c r="EC252" s="78"/>
      <c r="ED252" s="78"/>
      <c r="EE252" s="78"/>
      <c r="EF252" s="78"/>
      <c r="EG252" s="78"/>
      <c r="EH252" s="78"/>
      <c r="EI252" s="78"/>
      <c r="EJ252" s="78"/>
      <c r="EK252" s="78"/>
      <c r="EL252" s="78"/>
      <c r="EM252" s="78"/>
      <c r="EN252" s="91"/>
      <c r="EO252" s="91"/>
      <c r="EP252" s="91"/>
      <c r="EQ252" s="91"/>
      <c r="ER252" s="91"/>
      <c r="ES252" s="91"/>
    </row>
    <row r="253" spans="1:16384" outlineLevel="1">
      <c r="A253" s="29" t="str">
        <f t="shared" si="40"/>
        <v>modesg_param_sfics_taxon_europeiazcliente</v>
      </c>
      <c r="B253" s="67" t="s">
        <v>26</v>
      </c>
      <c r="C253" s="68" t="s">
        <v>181</v>
      </c>
      <c r="D253" s="64" t="s">
        <v>40</v>
      </c>
      <c r="E253" s="66" t="s">
        <v>2096</v>
      </c>
      <c r="F253" s="64" t="s">
        <v>209</v>
      </c>
      <c r="G253" s="64" t="str">
        <f>INDEX(Auxiliar!$B$16:$B$24,MATCH(Plano_V3!H253,Auxiliar!$C$16:$C$24,0),1)</f>
        <v>1. Concluído</v>
      </c>
      <c r="H253" s="64">
        <f>VLOOKUP(A253,'Aux - pivots1'!$A:$B,2,0)</f>
        <v>1</v>
      </c>
      <c r="I253" s="180" t="e">
        <f>SUMIFS(Table1[Estimação (horas)],Table1[Tabela],Plano_V3!E253,Table1[Campo],Plano_V3!F253)</f>
        <v>#N/A</v>
      </c>
      <c r="J253" s="180" t="e">
        <f t="shared" si="41"/>
        <v>#N/A</v>
      </c>
      <c r="K253" s="180" t="e">
        <f>SUMIFS(Table1[Horas efetivas],Table1[Tabela],Plano_V3!E253,Table1[Campo],Plano_V3!F253)</f>
        <v>#N/A</v>
      </c>
      <c r="L253" s="180" t="e">
        <f t="shared" si="42"/>
        <v>#N/A</v>
      </c>
      <c r="M253" s="174"/>
      <c r="N253" s="174" t="e">
        <f t="shared" si="43"/>
        <v>#N/A</v>
      </c>
      <c r="O253" s="174" t="e">
        <f t="shared" si="30"/>
        <v>#N/A</v>
      </c>
      <c r="P253" s="89" t="s">
        <v>39</v>
      </c>
      <c r="Q253" s="90" t="e">
        <f t="shared" si="31"/>
        <v>#N/A</v>
      </c>
      <c r="R253" s="78"/>
      <c r="S253" s="78"/>
      <c r="T253" s="78"/>
      <c r="U253" s="78"/>
      <c r="V253" s="78"/>
      <c r="W253" s="78"/>
      <c r="X253" s="78"/>
      <c r="Y253" s="78"/>
      <c r="Z253" s="78"/>
      <c r="AA253" s="78"/>
      <c r="AB253" s="78"/>
      <c r="AC253" s="78"/>
      <c r="AD253" s="78"/>
      <c r="AE253" s="78"/>
      <c r="AF253" s="78"/>
      <c r="AG253" s="78"/>
      <c r="AH253" s="78"/>
      <c r="AI253" s="78"/>
      <c r="AJ253" s="78"/>
      <c r="AK253" s="78"/>
      <c r="AL253" s="78"/>
      <c r="AM253" s="78"/>
      <c r="AN253" s="78"/>
      <c r="AO253" s="78"/>
      <c r="AP253" s="78"/>
      <c r="AQ253" s="78"/>
      <c r="AR253" s="78"/>
      <c r="AS253" s="78"/>
      <c r="AT253" s="78"/>
      <c r="AU253" s="78"/>
      <c r="AV253" s="78"/>
      <c r="AW253" s="78"/>
      <c r="AX253" s="78"/>
      <c r="AY253" s="91"/>
      <c r="AZ253" s="78"/>
      <c r="BA253" s="78"/>
      <c r="BB253" s="78"/>
      <c r="BC253" s="78"/>
      <c r="BD253" s="78"/>
      <c r="BE253" s="78"/>
      <c r="BF253" s="78"/>
      <c r="BG253" s="78"/>
      <c r="BH253" s="78"/>
      <c r="BI253" s="78"/>
      <c r="BJ253" s="78"/>
      <c r="BK253" s="78"/>
      <c r="BL253" s="78"/>
      <c r="BM253" s="78"/>
      <c r="BN253" s="78"/>
      <c r="BO253" s="78"/>
      <c r="BP253" s="78"/>
      <c r="BQ253" s="78"/>
      <c r="BR253" s="78"/>
      <c r="BS253" s="78"/>
      <c r="BT253" s="78"/>
      <c r="BU253" s="78"/>
      <c r="BV253" s="78"/>
      <c r="BW253" s="78"/>
      <c r="BX253" s="78"/>
      <c r="BY253" s="78"/>
      <c r="BZ253" s="78"/>
      <c r="CA253" s="78"/>
      <c r="CB253" s="78"/>
      <c r="CC253" s="78"/>
      <c r="CD253" s="78"/>
      <c r="CE253" s="78"/>
      <c r="CF253" s="78"/>
      <c r="CG253" s="78"/>
      <c r="CH253" s="78"/>
      <c r="CI253" s="78"/>
      <c r="CJ253" s="78"/>
      <c r="CK253" s="78"/>
      <c r="CL253" s="78"/>
      <c r="CM253" s="78"/>
      <c r="CN253" s="78"/>
      <c r="CO253" s="78"/>
      <c r="CP253" s="78"/>
      <c r="CQ253" s="78"/>
      <c r="CR253" s="78"/>
      <c r="CS253" s="78"/>
      <c r="CT253" s="78"/>
      <c r="CU253" s="78"/>
      <c r="CV253" s="78"/>
      <c r="CW253" s="78"/>
      <c r="CX253" s="78"/>
      <c r="CY253" s="78"/>
      <c r="CZ253" s="78"/>
      <c r="DA253" s="78"/>
      <c r="DB253" s="78"/>
      <c r="DC253" s="78"/>
      <c r="DD253" s="78"/>
      <c r="DE253" s="78"/>
      <c r="DF253" s="78"/>
      <c r="DG253" s="78"/>
      <c r="DH253" s="78"/>
      <c r="DI253" s="78"/>
      <c r="DJ253" s="78"/>
      <c r="DK253" s="78"/>
      <c r="DL253" s="78"/>
      <c r="DM253" s="78"/>
      <c r="DN253" s="78"/>
      <c r="DO253" s="78"/>
      <c r="DP253" s="78"/>
      <c r="DQ253" s="78"/>
      <c r="DR253" s="78"/>
      <c r="DS253" s="78"/>
      <c r="DT253" s="78"/>
      <c r="DU253" s="78"/>
      <c r="DV253" s="78"/>
      <c r="DW253" s="78"/>
      <c r="DX253" s="78"/>
      <c r="DY253" s="78"/>
      <c r="DZ253" s="78"/>
      <c r="EA253" s="78"/>
      <c r="EB253" s="78"/>
      <c r="EC253" s="78"/>
      <c r="ED253" s="78"/>
      <c r="EE253" s="78"/>
      <c r="EF253" s="78"/>
      <c r="EG253" s="78"/>
      <c r="EH253" s="78"/>
      <c r="EI253" s="78"/>
      <c r="EJ253" s="78"/>
      <c r="EK253" s="78"/>
      <c r="EL253" s="78"/>
      <c r="EM253" s="78"/>
      <c r="EN253" s="91"/>
      <c r="EO253" s="91"/>
      <c r="EP253" s="91"/>
      <c r="EQ253" s="91"/>
      <c r="ER253" s="91"/>
      <c r="ES253" s="91"/>
    </row>
    <row r="254" spans="1:16384" outlineLevel="1">
      <c r="A254" s="29" t="str">
        <f t="shared" si="40"/>
        <v>modesg_param_sfics_taxon_europeiacempcta</v>
      </c>
      <c r="B254" s="67" t="s">
        <v>26</v>
      </c>
      <c r="C254" s="68" t="s">
        <v>181</v>
      </c>
      <c r="D254" s="64" t="s">
        <v>40</v>
      </c>
      <c r="E254" s="66" t="s">
        <v>2096</v>
      </c>
      <c r="F254" s="64" t="s">
        <v>2402</v>
      </c>
      <c r="G254" s="64" t="str">
        <f>INDEX(Auxiliar!$B$16:$B$24,MATCH(Plano_V3!H254,Auxiliar!$C$16:$C$24,0),1)</f>
        <v>1. Concluído</v>
      </c>
      <c r="H254" s="64">
        <f>VLOOKUP(A254,'Aux - pivots1'!$A:$B,2,0)</f>
        <v>1</v>
      </c>
      <c r="I254" s="180">
        <f>SUMIFS(Table1[Estimação (horas)],Table1[Tabela],Plano_V3!E254,Table1[Campo],Plano_V3!F254)</f>
        <v>0.6</v>
      </c>
      <c r="J254" s="180">
        <f t="shared" si="41"/>
        <v>7.4999999999999997E-2</v>
      </c>
      <c r="K254" s="180">
        <f>SUMIFS(Table1[Horas efetivas],Table1[Tabela],Plano_V3!E254,Table1[Campo],Plano_V3!F254)</f>
        <v>0.6</v>
      </c>
      <c r="L254" s="180">
        <f t="shared" si="42"/>
        <v>7.4999999999999997E-2</v>
      </c>
      <c r="M254" s="174"/>
      <c r="N254" s="174">
        <f t="shared" si="43"/>
        <v>1</v>
      </c>
      <c r="O254" s="174">
        <f t="shared" si="30"/>
        <v>1</v>
      </c>
      <c r="P254" s="89" t="s">
        <v>39</v>
      </c>
      <c r="Q254" s="90">
        <f t="shared" si="31"/>
        <v>7.4999999999999997E-2</v>
      </c>
      <c r="R254" s="78"/>
      <c r="S254" s="78"/>
      <c r="T254" s="78"/>
      <c r="U254" s="78"/>
      <c r="V254" s="78"/>
      <c r="W254" s="78"/>
      <c r="X254" s="78"/>
      <c r="Y254" s="78"/>
      <c r="Z254" s="78"/>
      <c r="AA254" s="78"/>
      <c r="AB254" s="78"/>
      <c r="AC254" s="78"/>
      <c r="AD254" s="78"/>
      <c r="AE254" s="78"/>
      <c r="AF254" s="78"/>
      <c r="AG254" s="78"/>
      <c r="AH254" s="78"/>
      <c r="AI254" s="78"/>
      <c r="AJ254" s="78"/>
      <c r="AK254" s="78"/>
      <c r="AL254" s="78"/>
      <c r="AM254" s="78"/>
      <c r="AN254" s="78"/>
      <c r="AO254" s="78"/>
      <c r="AP254" s="78"/>
      <c r="AQ254" s="78"/>
      <c r="AR254" s="78"/>
      <c r="AS254" s="78"/>
      <c r="AT254" s="78"/>
      <c r="AU254" s="78"/>
      <c r="AV254" s="78"/>
      <c r="AW254" s="78"/>
      <c r="AX254" s="78"/>
      <c r="AY254" s="91"/>
      <c r="AZ254" s="78"/>
      <c r="BA254" s="78"/>
      <c r="BB254" s="78"/>
      <c r="BC254" s="78"/>
      <c r="BD254" s="78"/>
      <c r="BE254" s="78"/>
      <c r="BF254" s="78"/>
      <c r="BG254" s="78"/>
      <c r="BH254" s="78"/>
      <c r="BI254" s="78"/>
      <c r="BJ254" s="78"/>
      <c r="BK254" s="78"/>
      <c r="BL254" s="78"/>
      <c r="BM254" s="78"/>
      <c r="BN254" s="78"/>
      <c r="BO254" s="78"/>
      <c r="BP254" s="78"/>
      <c r="BQ254" s="78"/>
      <c r="BR254" s="78"/>
      <c r="BS254" s="78"/>
      <c r="BT254" s="78"/>
      <c r="BU254" s="78"/>
      <c r="BV254" s="78"/>
      <c r="BW254" s="78"/>
      <c r="BX254" s="78"/>
      <c r="BY254" s="78"/>
      <c r="BZ254" s="78"/>
      <c r="CA254" s="78"/>
      <c r="CB254" s="78"/>
      <c r="CC254" s="78"/>
      <c r="CD254" s="78"/>
      <c r="CE254" s="78"/>
      <c r="CF254" s="78"/>
      <c r="CG254" s="78"/>
      <c r="CH254" s="78"/>
      <c r="CI254" s="78"/>
      <c r="CJ254" s="78"/>
      <c r="CK254" s="78"/>
      <c r="CL254" s="78"/>
      <c r="CM254" s="78"/>
      <c r="CN254" s="78"/>
      <c r="CO254" s="78"/>
      <c r="CP254" s="78"/>
      <c r="CQ254" s="78"/>
      <c r="CR254" s="78"/>
      <c r="CS254" s="78"/>
      <c r="CT254" s="78"/>
      <c r="CU254" s="78"/>
      <c r="CV254" s="78"/>
      <c r="CW254" s="78"/>
      <c r="CX254" s="78"/>
      <c r="CY254" s="78"/>
      <c r="CZ254" s="78"/>
      <c r="DA254" s="78"/>
      <c r="DB254" s="78"/>
      <c r="DC254" s="78"/>
      <c r="DD254" s="78"/>
      <c r="DE254" s="78"/>
      <c r="DF254" s="78"/>
      <c r="DG254" s="78"/>
      <c r="DH254" s="78"/>
      <c r="DI254" s="78"/>
      <c r="DJ254" s="78"/>
      <c r="DK254" s="78"/>
      <c r="DL254" s="78"/>
      <c r="DM254" s="78"/>
      <c r="DN254" s="78"/>
      <c r="DO254" s="78"/>
      <c r="DP254" s="78"/>
      <c r="DQ254" s="78"/>
      <c r="DR254" s="78"/>
      <c r="DS254" s="78"/>
      <c r="DT254" s="78"/>
      <c r="DU254" s="78"/>
      <c r="DV254" s="78"/>
      <c r="DW254" s="78"/>
      <c r="DX254" s="78"/>
      <c r="DY254" s="78"/>
      <c r="DZ254" s="78"/>
      <c r="EA254" s="78"/>
      <c r="EB254" s="78"/>
      <c r="EC254" s="78"/>
      <c r="ED254" s="78"/>
      <c r="EE254" s="78"/>
      <c r="EF254" s="78"/>
      <c r="EG254" s="78"/>
      <c r="EH254" s="78"/>
      <c r="EI254" s="78"/>
      <c r="EJ254" s="78"/>
      <c r="EK254" s="78"/>
      <c r="EL254" s="78"/>
      <c r="EM254" s="78"/>
      <c r="EN254" s="91"/>
      <c r="EO254" s="91"/>
      <c r="EP254" s="91"/>
      <c r="EQ254" s="91"/>
      <c r="ER254" s="91"/>
      <c r="ES254" s="91"/>
    </row>
    <row r="255" spans="1:16384" outlineLevel="1">
      <c r="A255" s="29" t="str">
        <f t="shared" si="40"/>
        <v>modesg_param_sfics_taxon_europeiackbalcao</v>
      </c>
      <c r="B255" s="67" t="s">
        <v>26</v>
      </c>
      <c r="C255" s="68" t="s">
        <v>181</v>
      </c>
      <c r="D255" s="64" t="s">
        <v>40</v>
      </c>
      <c r="E255" s="66" t="s">
        <v>2096</v>
      </c>
      <c r="F255" s="64" t="s">
        <v>457</v>
      </c>
      <c r="G255" s="64" t="str">
        <f>INDEX(Auxiliar!$B$16:$B$24,MATCH(Plano_V3!H255,Auxiliar!$C$16:$C$24,0),1)</f>
        <v>1. Concluído</v>
      </c>
      <c r="H255" s="64">
        <f>VLOOKUP(A255,'Aux - pivots1'!$A:$B,2,0)</f>
        <v>1</v>
      </c>
      <c r="I255" s="180">
        <f>SUMIFS(Table1[Estimação (horas)],Table1[Tabela],Plano_V3!E255,Table1[Campo],Plano_V3!F255)</f>
        <v>0.6</v>
      </c>
      <c r="J255" s="180">
        <f t="shared" si="41"/>
        <v>7.4999999999999997E-2</v>
      </c>
      <c r="K255" s="180">
        <f>SUMIFS(Table1[Horas efetivas],Table1[Tabela],Plano_V3!E255,Table1[Campo],Plano_V3!F255)</f>
        <v>0.6</v>
      </c>
      <c r="L255" s="180">
        <f t="shared" si="42"/>
        <v>7.4999999999999997E-2</v>
      </c>
      <c r="M255" s="174"/>
      <c r="N255" s="174">
        <f t="shared" si="43"/>
        <v>1</v>
      </c>
      <c r="O255" s="174">
        <f t="shared" si="30"/>
        <v>1</v>
      </c>
      <c r="P255" s="89" t="s">
        <v>39</v>
      </c>
      <c r="Q255" s="90">
        <f t="shared" si="31"/>
        <v>7.4999999999999997E-2</v>
      </c>
      <c r="R255" s="78"/>
      <c r="S255" s="78"/>
      <c r="T255" s="78"/>
      <c r="U255" s="78"/>
      <c r="V255" s="78"/>
      <c r="W255" s="78"/>
      <c r="X255" s="78"/>
      <c r="Y255" s="78"/>
      <c r="Z255" s="78"/>
      <c r="AA255" s="78"/>
      <c r="AB255" s="78"/>
      <c r="AC255" s="78"/>
      <c r="AD255" s="78"/>
      <c r="AE255" s="78"/>
      <c r="AF255" s="78"/>
      <c r="AG255" s="78"/>
      <c r="AH255" s="78"/>
      <c r="AI255" s="78"/>
      <c r="AJ255" s="78"/>
      <c r="AK255" s="78"/>
      <c r="AL255" s="78"/>
      <c r="AM255" s="78"/>
      <c r="AN255" s="78"/>
      <c r="AO255" s="78"/>
      <c r="AP255" s="78"/>
      <c r="AQ255" s="78"/>
      <c r="AR255" s="78"/>
      <c r="AS255" s="78"/>
      <c r="AT255" s="78"/>
      <c r="AU255" s="78"/>
      <c r="AV255" s="78"/>
      <c r="AW255" s="78"/>
      <c r="AX255" s="78"/>
      <c r="AY255" s="91"/>
      <c r="AZ255" s="78"/>
      <c r="BA255" s="78"/>
      <c r="BB255" s="78"/>
      <c r="BC255" s="78"/>
      <c r="BD255" s="78"/>
      <c r="BE255" s="78"/>
      <c r="BF255" s="78"/>
      <c r="BG255" s="78"/>
      <c r="BH255" s="78"/>
      <c r="BI255" s="78"/>
      <c r="BJ255" s="78"/>
      <c r="BK255" s="78"/>
      <c r="BL255" s="78"/>
      <c r="BM255" s="78"/>
      <c r="BN255" s="78"/>
      <c r="BO255" s="78"/>
      <c r="BP255" s="78"/>
      <c r="BQ255" s="78"/>
      <c r="BR255" s="78"/>
      <c r="BS255" s="78"/>
      <c r="BT255" s="78"/>
      <c r="BU255" s="78"/>
      <c r="BV255" s="78"/>
      <c r="BW255" s="78"/>
      <c r="BX255" s="78"/>
      <c r="BY255" s="78"/>
      <c r="BZ255" s="78"/>
      <c r="CA255" s="78"/>
      <c r="CB255" s="78"/>
      <c r="CC255" s="78"/>
      <c r="CD255" s="78"/>
      <c r="CE255" s="78"/>
      <c r="CF255" s="78"/>
      <c r="CG255" s="78"/>
      <c r="CH255" s="78"/>
      <c r="CI255" s="78"/>
      <c r="CJ255" s="78"/>
      <c r="CK255" s="78"/>
      <c r="CL255" s="78"/>
      <c r="CM255" s="78"/>
      <c r="CN255" s="78"/>
      <c r="CO255" s="78"/>
      <c r="CP255" s="78"/>
      <c r="CQ255" s="78"/>
      <c r="CR255" s="78"/>
      <c r="CS255" s="78"/>
      <c r="CT255" s="78"/>
      <c r="CU255" s="78"/>
      <c r="CV255" s="78"/>
      <c r="CW255" s="78"/>
      <c r="CX255" s="78"/>
      <c r="CY255" s="78"/>
      <c r="CZ255" s="78"/>
      <c r="DA255" s="78"/>
      <c r="DB255" s="78"/>
      <c r="DC255" s="78"/>
      <c r="DD255" s="78"/>
      <c r="DE255" s="78"/>
      <c r="DF255" s="78"/>
      <c r="DG255" s="78"/>
      <c r="DH255" s="78"/>
      <c r="DI255" s="78"/>
      <c r="DJ255" s="78"/>
      <c r="DK255" s="78"/>
      <c r="DL255" s="78"/>
      <c r="DM255" s="78"/>
      <c r="DN255" s="78"/>
      <c r="DO255" s="78"/>
      <c r="DP255" s="78"/>
      <c r="DQ255" s="78"/>
      <c r="DR255" s="78"/>
      <c r="DS255" s="78"/>
      <c r="DT255" s="78"/>
      <c r="DU255" s="78"/>
      <c r="DV255" s="78"/>
      <c r="DW255" s="78"/>
      <c r="DX255" s="78"/>
      <c r="DY255" s="78"/>
      <c r="DZ255" s="78"/>
      <c r="EA255" s="78"/>
      <c r="EB255" s="78"/>
      <c r="EC255" s="78"/>
      <c r="ED255" s="78"/>
      <c r="EE255" s="78"/>
      <c r="EF255" s="78"/>
      <c r="EG255" s="78"/>
      <c r="EH255" s="78"/>
      <c r="EI255" s="78"/>
      <c r="EJ255" s="78"/>
      <c r="EK255" s="78"/>
      <c r="EL255" s="78"/>
      <c r="EM255" s="78"/>
      <c r="EN255" s="91"/>
      <c r="EO255" s="91"/>
      <c r="EP255" s="91"/>
      <c r="EQ255" s="91"/>
      <c r="ER255" s="91"/>
      <c r="ES255" s="91"/>
    </row>
    <row r="256" spans="1:16384" outlineLevel="1">
      <c r="A256" s="29" t="str">
        <f t="shared" si="40"/>
        <v>modesg_param_sfics_taxon_europeiacknumcta</v>
      </c>
      <c r="B256" s="67" t="s">
        <v>26</v>
      </c>
      <c r="C256" s="68" t="s">
        <v>181</v>
      </c>
      <c r="D256" s="64" t="s">
        <v>40</v>
      </c>
      <c r="E256" s="66" t="s">
        <v>2096</v>
      </c>
      <c r="F256" s="64" t="s">
        <v>458</v>
      </c>
      <c r="G256" s="64" t="str">
        <f>INDEX(Auxiliar!$B$16:$B$24,MATCH(Plano_V3!H256,Auxiliar!$C$16:$C$24,0),1)</f>
        <v>1. Concluído</v>
      </c>
      <c r="H256" s="64">
        <f>VLOOKUP(A256,'Aux - pivots1'!$A:$B,2,0)</f>
        <v>1</v>
      </c>
      <c r="I256" s="180">
        <f>SUMIFS(Table1[Estimação (horas)],Table1[Tabela],Plano_V3!E256,Table1[Campo],Plano_V3!F256)</f>
        <v>0.5</v>
      </c>
      <c r="J256" s="180">
        <f t="shared" si="41"/>
        <v>6.25E-2</v>
      </c>
      <c r="K256" s="180">
        <f>SUMIFS(Table1[Horas efetivas],Table1[Tabela],Plano_V3!E256,Table1[Campo],Plano_V3!F256)</f>
        <v>0.5</v>
      </c>
      <c r="L256" s="180">
        <f t="shared" si="42"/>
        <v>6.25E-2</v>
      </c>
      <c r="M256" s="174"/>
      <c r="N256" s="174">
        <f t="shared" si="43"/>
        <v>1</v>
      </c>
      <c r="O256" s="174">
        <f t="shared" si="30"/>
        <v>1</v>
      </c>
      <c r="P256" s="89" t="s">
        <v>39</v>
      </c>
      <c r="Q256" s="90">
        <f t="shared" si="31"/>
        <v>6.25E-2</v>
      </c>
      <c r="R256" s="78"/>
      <c r="S256" s="78"/>
      <c r="T256" s="78"/>
      <c r="U256" s="78"/>
      <c r="V256" s="78"/>
      <c r="W256" s="78"/>
      <c r="X256" s="78"/>
      <c r="Y256" s="78"/>
      <c r="Z256" s="78"/>
      <c r="AA256" s="78"/>
      <c r="AB256" s="78"/>
      <c r="AC256" s="78"/>
      <c r="AD256" s="78"/>
      <c r="AE256" s="78"/>
      <c r="AF256" s="78"/>
      <c r="AG256" s="78"/>
      <c r="AH256" s="78"/>
      <c r="AI256" s="78"/>
      <c r="AJ256" s="78"/>
      <c r="AK256" s="78"/>
      <c r="AL256" s="78"/>
      <c r="AM256" s="78"/>
      <c r="AN256" s="78"/>
      <c r="AO256" s="78"/>
      <c r="AP256" s="78"/>
      <c r="AQ256" s="78"/>
      <c r="AR256" s="78"/>
      <c r="AS256" s="78"/>
      <c r="AT256" s="78"/>
      <c r="AU256" s="78"/>
      <c r="AV256" s="78"/>
      <c r="AW256" s="78"/>
      <c r="AX256" s="78"/>
      <c r="AY256" s="91"/>
      <c r="AZ256" s="78"/>
      <c r="BA256" s="78"/>
      <c r="BB256" s="78"/>
      <c r="BC256" s="78"/>
      <c r="BD256" s="78"/>
      <c r="BE256" s="78"/>
      <c r="BF256" s="78"/>
      <c r="BG256" s="78"/>
      <c r="BH256" s="78"/>
      <c r="BI256" s="78"/>
      <c r="BJ256" s="78"/>
      <c r="BK256" s="78"/>
      <c r="BL256" s="78"/>
      <c r="BM256" s="78"/>
      <c r="BN256" s="78"/>
      <c r="BO256" s="78"/>
      <c r="BP256" s="78"/>
      <c r="BQ256" s="78"/>
      <c r="BR256" s="78"/>
      <c r="BS256" s="78"/>
      <c r="BT256" s="78"/>
      <c r="BU256" s="78"/>
      <c r="BV256" s="78"/>
      <c r="BW256" s="78"/>
      <c r="BX256" s="78"/>
      <c r="BY256" s="78"/>
      <c r="BZ256" s="78"/>
      <c r="CA256" s="78"/>
      <c r="CB256" s="78"/>
      <c r="CC256" s="78"/>
      <c r="CD256" s="78"/>
      <c r="CE256" s="78"/>
      <c r="CF256" s="78"/>
      <c r="CG256" s="78"/>
      <c r="CH256" s="78"/>
      <c r="CI256" s="78"/>
      <c r="CJ256" s="78"/>
      <c r="CK256" s="78"/>
      <c r="CL256" s="78"/>
      <c r="CM256" s="78"/>
      <c r="CN256" s="78"/>
      <c r="CO256" s="78"/>
      <c r="CP256" s="78"/>
      <c r="CQ256" s="78"/>
      <c r="CR256" s="78"/>
      <c r="CS256" s="78"/>
      <c r="CT256" s="78"/>
      <c r="CU256" s="78"/>
      <c r="CV256" s="78"/>
      <c r="CW256" s="78"/>
      <c r="CX256" s="78"/>
      <c r="CY256" s="78"/>
      <c r="CZ256" s="78"/>
      <c r="DA256" s="78"/>
      <c r="DB256" s="78"/>
      <c r="DC256" s="78"/>
      <c r="DD256" s="78"/>
      <c r="DE256" s="78"/>
      <c r="DF256" s="78"/>
      <c r="DG256" s="78"/>
      <c r="DH256" s="78"/>
      <c r="DI256" s="78"/>
      <c r="DJ256" s="78"/>
      <c r="DK256" s="78"/>
      <c r="DL256" s="78"/>
      <c r="DM256" s="78"/>
      <c r="DN256" s="78"/>
      <c r="DO256" s="78"/>
      <c r="DP256" s="78"/>
      <c r="DQ256" s="78"/>
      <c r="DR256" s="78"/>
      <c r="DS256" s="78"/>
      <c r="DT256" s="78"/>
      <c r="DU256" s="78"/>
      <c r="DV256" s="78"/>
      <c r="DW256" s="78"/>
      <c r="DX256" s="78"/>
      <c r="DY256" s="78"/>
      <c r="DZ256" s="78"/>
      <c r="EA256" s="78"/>
      <c r="EB256" s="78"/>
      <c r="EC256" s="78"/>
      <c r="ED256" s="78"/>
      <c r="EE256" s="78"/>
      <c r="EF256" s="78"/>
      <c r="EG256" s="78"/>
      <c r="EH256" s="78"/>
      <c r="EI256" s="78"/>
      <c r="EJ256" s="78"/>
      <c r="EK256" s="78"/>
      <c r="EL256" s="78"/>
      <c r="EM256" s="78"/>
      <c r="EN256" s="91"/>
      <c r="EO256" s="91"/>
      <c r="EP256" s="91"/>
      <c r="EQ256" s="91"/>
      <c r="ER256" s="91"/>
      <c r="ES256" s="91"/>
    </row>
    <row r="257" spans="1:149" outlineLevel="1">
      <c r="A257" s="29" t="str">
        <f t="shared" si="40"/>
        <v>modesg_param_sfics_taxon_europeiazdeposit</v>
      </c>
      <c r="B257" s="67" t="s">
        <v>26</v>
      </c>
      <c r="C257" s="68" t="s">
        <v>181</v>
      </c>
      <c r="D257" s="64" t="s">
        <v>40</v>
      </c>
      <c r="E257" s="66" t="s">
        <v>2096</v>
      </c>
      <c r="F257" s="64" t="s">
        <v>210</v>
      </c>
      <c r="G257" s="64" t="str">
        <f>INDEX(Auxiliar!$B$16:$B$24,MATCH(Plano_V3!H257,Auxiliar!$C$16:$C$24,0),1)</f>
        <v>1. Concluído</v>
      </c>
      <c r="H257" s="64">
        <f>VLOOKUP(A257,'Aux - pivots1'!$A:$B,2,0)</f>
        <v>1</v>
      </c>
      <c r="I257" s="180"/>
      <c r="J257" s="180"/>
      <c r="K257" s="180"/>
      <c r="L257" s="180"/>
      <c r="M257" s="174"/>
      <c r="N257" s="174"/>
      <c r="O257" s="174"/>
      <c r="P257" s="89"/>
      <c r="Q257" s="90"/>
      <c r="R257" s="78"/>
      <c r="S257" s="78"/>
      <c r="T257" s="78"/>
      <c r="U257" s="78"/>
      <c r="V257" s="78"/>
      <c r="W257" s="78"/>
      <c r="X257" s="78"/>
      <c r="Y257" s="78"/>
      <c r="Z257" s="78"/>
      <c r="AA257" s="78"/>
      <c r="AB257" s="78"/>
      <c r="AC257" s="78"/>
      <c r="AD257" s="78"/>
      <c r="AE257" s="78"/>
      <c r="AF257" s="78"/>
      <c r="AG257" s="78"/>
      <c r="AH257" s="78"/>
      <c r="AI257" s="78"/>
      <c r="AJ257" s="78"/>
      <c r="AK257" s="78"/>
      <c r="AL257" s="78"/>
      <c r="AM257" s="78"/>
      <c r="AN257" s="78"/>
      <c r="AO257" s="78"/>
      <c r="AP257" s="78"/>
      <c r="AQ257" s="78"/>
      <c r="AR257" s="78"/>
      <c r="AS257" s="78"/>
      <c r="AT257" s="78"/>
      <c r="AU257" s="78"/>
      <c r="AV257" s="78"/>
      <c r="AW257" s="78"/>
      <c r="AX257" s="78"/>
      <c r="AY257" s="91"/>
      <c r="AZ257" s="78"/>
      <c r="BA257" s="78"/>
      <c r="BB257" s="78"/>
      <c r="BC257" s="78"/>
      <c r="BD257" s="78"/>
      <c r="BE257" s="78"/>
      <c r="BF257" s="78"/>
      <c r="BG257" s="78"/>
      <c r="BH257" s="78"/>
      <c r="BI257" s="78"/>
      <c r="BJ257" s="78"/>
      <c r="BK257" s="78"/>
      <c r="BL257" s="78"/>
      <c r="BM257" s="78"/>
      <c r="BN257" s="78"/>
      <c r="BO257" s="78"/>
      <c r="BP257" s="78"/>
      <c r="BQ257" s="78"/>
      <c r="BR257" s="78"/>
      <c r="BS257" s="78"/>
      <c r="BT257" s="78"/>
      <c r="BU257" s="78"/>
      <c r="BV257" s="78"/>
      <c r="BW257" s="78"/>
      <c r="BX257" s="78"/>
      <c r="BY257" s="78"/>
      <c r="BZ257" s="78"/>
      <c r="CA257" s="78"/>
      <c r="CB257" s="78"/>
      <c r="CC257" s="78"/>
      <c r="CD257" s="78"/>
      <c r="CE257" s="78"/>
      <c r="CF257" s="78"/>
      <c r="CG257" s="78"/>
      <c r="CH257" s="78"/>
      <c r="CI257" s="78"/>
      <c r="CJ257" s="78"/>
      <c r="CK257" s="78"/>
      <c r="CL257" s="78"/>
      <c r="CM257" s="78"/>
      <c r="CN257" s="78"/>
      <c r="CO257" s="78"/>
      <c r="CP257" s="78"/>
      <c r="CQ257" s="78"/>
      <c r="CR257" s="78"/>
      <c r="CS257" s="78"/>
      <c r="CT257" s="78"/>
      <c r="CU257" s="78"/>
      <c r="CV257" s="78"/>
      <c r="CW257" s="78"/>
      <c r="CX257" s="78"/>
      <c r="CY257" s="78"/>
      <c r="CZ257" s="78"/>
      <c r="DA257" s="78"/>
      <c r="DB257" s="78"/>
      <c r="DC257" s="78"/>
      <c r="DD257" s="78"/>
      <c r="DE257" s="78"/>
      <c r="DF257" s="78"/>
      <c r="DG257" s="78"/>
      <c r="DH257" s="78"/>
      <c r="DI257" s="78"/>
      <c r="DJ257" s="78"/>
      <c r="DK257" s="78"/>
      <c r="DL257" s="78"/>
      <c r="DM257" s="78"/>
      <c r="DN257" s="78"/>
      <c r="DO257" s="78"/>
      <c r="DP257" s="78"/>
      <c r="DQ257" s="78"/>
      <c r="DR257" s="78"/>
      <c r="DS257" s="78"/>
      <c r="DT257" s="78"/>
      <c r="DU257" s="78"/>
      <c r="DV257" s="78"/>
      <c r="DW257" s="78"/>
      <c r="DX257" s="78"/>
      <c r="DY257" s="78"/>
      <c r="DZ257" s="78"/>
      <c r="EA257" s="78"/>
      <c r="EB257" s="78"/>
      <c r="EC257" s="78"/>
      <c r="ED257" s="78"/>
      <c r="EE257" s="78"/>
      <c r="EF257" s="78"/>
      <c r="EG257" s="78"/>
      <c r="EH257" s="78"/>
      <c r="EI257" s="78"/>
      <c r="EJ257" s="78"/>
      <c r="EK257" s="78"/>
      <c r="EL257" s="78"/>
      <c r="EM257" s="78"/>
      <c r="EN257" s="91"/>
      <c r="EO257" s="91"/>
      <c r="EP257" s="91"/>
      <c r="EQ257" s="91"/>
      <c r="ER257" s="91"/>
      <c r="ES257" s="91"/>
    </row>
    <row r="258" spans="1:149" outlineLevel="1">
      <c r="A258" s="29" t="str">
        <f t="shared" si="40"/>
        <v>modesg_param_sfics_taxon_europeiackmetamis</v>
      </c>
      <c r="B258" s="67" t="s">
        <v>26</v>
      </c>
      <c r="C258" s="68" t="s">
        <v>181</v>
      </c>
      <c r="D258" s="64" t="s">
        <v>40</v>
      </c>
      <c r="E258" s="66" t="s">
        <v>2096</v>
      </c>
      <c r="F258" s="64" t="s">
        <v>185</v>
      </c>
      <c r="G258" s="64" t="str">
        <f>INDEX(Auxiliar!$B$16:$B$24,MATCH(Plano_V3!H258,Auxiliar!$C$16:$C$24,0),1)</f>
        <v>1. Concluído</v>
      </c>
      <c r="H258" s="64">
        <f>VLOOKUP(A258,'Aux - pivots1'!$A:$B,2,0)</f>
        <v>1</v>
      </c>
      <c r="I258" s="180"/>
      <c r="J258" s="180"/>
      <c r="K258" s="180"/>
      <c r="L258" s="180"/>
      <c r="M258" s="174"/>
      <c r="N258" s="174"/>
      <c r="O258" s="174"/>
      <c r="P258" s="89"/>
      <c r="Q258" s="90"/>
      <c r="R258" s="78"/>
      <c r="S258" s="78"/>
      <c r="T258" s="78"/>
      <c r="U258" s="78"/>
      <c r="V258" s="78"/>
      <c r="W258" s="78"/>
      <c r="X258" s="78"/>
      <c r="Y258" s="78"/>
      <c r="Z258" s="78"/>
      <c r="AA258" s="78"/>
      <c r="AB258" s="78"/>
      <c r="AC258" s="78"/>
      <c r="AD258" s="78"/>
      <c r="AE258" s="78"/>
      <c r="AF258" s="78"/>
      <c r="AG258" s="78"/>
      <c r="AH258" s="78"/>
      <c r="AI258" s="78"/>
      <c r="AJ258" s="78"/>
      <c r="AK258" s="78"/>
      <c r="AL258" s="78"/>
      <c r="AM258" s="78"/>
      <c r="AN258" s="78"/>
      <c r="AO258" s="78"/>
      <c r="AP258" s="78"/>
      <c r="AQ258" s="78"/>
      <c r="AR258" s="78"/>
      <c r="AS258" s="78"/>
      <c r="AT258" s="78"/>
      <c r="AU258" s="78"/>
      <c r="AV258" s="78"/>
      <c r="AW258" s="78"/>
      <c r="AX258" s="78"/>
      <c r="AY258" s="91"/>
      <c r="AZ258" s="78"/>
      <c r="BA258" s="78"/>
      <c r="BB258" s="78"/>
      <c r="BC258" s="78"/>
      <c r="BD258" s="78"/>
      <c r="BE258" s="78"/>
      <c r="BF258" s="78"/>
      <c r="BG258" s="78"/>
      <c r="BH258" s="78"/>
      <c r="BI258" s="78"/>
      <c r="BJ258" s="78"/>
      <c r="BK258" s="78"/>
      <c r="BL258" s="78"/>
      <c r="BM258" s="78"/>
      <c r="BN258" s="78"/>
      <c r="BO258" s="78"/>
      <c r="BP258" s="78"/>
      <c r="BQ258" s="78"/>
      <c r="BR258" s="78"/>
      <c r="BS258" s="78"/>
      <c r="BT258" s="78"/>
      <c r="BU258" s="78"/>
      <c r="BV258" s="78"/>
      <c r="BW258" s="78"/>
      <c r="BX258" s="78"/>
      <c r="BY258" s="78"/>
      <c r="BZ258" s="78"/>
      <c r="CA258" s="78"/>
      <c r="CB258" s="78"/>
      <c r="CC258" s="78"/>
      <c r="CD258" s="78"/>
      <c r="CE258" s="78"/>
      <c r="CF258" s="78"/>
      <c r="CG258" s="78"/>
      <c r="CH258" s="78"/>
      <c r="CI258" s="78"/>
      <c r="CJ258" s="78"/>
      <c r="CK258" s="78"/>
      <c r="CL258" s="78"/>
      <c r="CM258" s="78"/>
      <c r="CN258" s="78"/>
      <c r="CO258" s="78"/>
      <c r="CP258" s="78"/>
      <c r="CQ258" s="78"/>
      <c r="CR258" s="78"/>
      <c r="CS258" s="78"/>
      <c r="CT258" s="78"/>
      <c r="CU258" s="78"/>
      <c r="CV258" s="78"/>
      <c r="CW258" s="78"/>
      <c r="CX258" s="78"/>
      <c r="CY258" s="78"/>
      <c r="CZ258" s="78"/>
      <c r="DA258" s="78"/>
      <c r="DB258" s="78"/>
      <c r="DC258" s="78"/>
      <c r="DD258" s="78"/>
      <c r="DE258" s="78"/>
      <c r="DF258" s="78"/>
      <c r="DG258" s="78"/>
      <c r="DH258" s="78"/>
      <c r="DI258" s="78"/>
      <c r="DJ258" s="78"/>
      <c r="DK258" s="78"/>
      <c r="DL258" s="78"/>
      <c r="DM258" s="78"/>
      <c r="DN258" s="78"/>
      <c r="DO258" s="78"/>
      <c r="DP258" s="78"/>
      <c r="DQ258" s="78"/>
      <c r="DR258" s="78"/>
      <c r="DS258" s="78"/>
      <c r="DT258" s="78"/>
      <c r="DU258" s="78"/>
      <c r="DV258" s="78"/>
      <c r="DW258" s="78"/>
      <c r="DX258" s="78"/>
      <c r="DY258" s="78"/>
      <c r="DZ258" s="78"/>
      <c r="EA258" s="78"/>
      <c r="EB258" s="78"/>
      <c r="EC258" s="78"/>
      <c r="ED258" s="78"/>
      <c r="EE258" s="78"/>
      <c r="EF258" s="78"/>
      <c r="EG258" s="78"/>
      <c r="EH258" s="78"/>
      <c r="EI258" s="78"/>
      <c r="EJ258" s="78"/>
      <c r="EK258" s="78"/>
      <c r="EL258" s="78"/>
      <c r="EM258" s="78"/>
      <c r="EN258" s="91"/>
      <c r="EO258" s="91"/>
      <c r="EP258" s="91"/>
      <c r="EQ258" s="91"/>
      <c r="ER258" s="91"/>
      <c r="ES258" s="91"/>
    </row>
    <row r="259" spans="1:149" outlineLevel="1">
      <c r="A259" s="29" t="str">
        <f t="shared" si="40"/>
        <v>modesg_param_sfics_taxon_europeiackprodmi</v>
      </c>
      <c r="B259" s="67" t="s">
        <v>26</v>
      </c>
      <c r="C259" s="68" t="s">
        <v>181</v>
      </c>
      <c r="D259" s="64" t="s">
        <v>40</v>
      </c>
      <c r="E259" s="66" t="s">
        <v>2096</v>
      </c>
      <c r="F259" s="64" t="s">
        <v>186</v>
      </c>
      <c r="G259" s="64" t="str">
        <f>INDEX(Auxiliar!$B$16:$B$24,MATCH(Plano_V3!H259,Auxiliar!$C$16:$C$24,0),1)</f>
        <v>1. Concluído</v>
      </c>
      <c r="H259" s="64">
        <f>VLOOKUP(A259,'Aux - pivots1'!$A:$B,2,0)</f>
        <v>1</v>
      </c>
      <c r="I259" s="180"/>
      <c r="J259" s="180"/>
      <c r="K259" s="180"/>
      <c r="L259" s="180"/>
      <c r="M259" s="174"/>
      <c r="N259" s="174"/>
      <c r="O259" s="174"/>
      <c r="P259" s="89"/>
      <c r="Q259" s="90"/>
      <c r="R259" s="78"/>
      <c r="S259" s="78"/>
      <c r="T259" s="78"/>
      <c r="U259" s="78"/>
      <c r="V259" s="78"/>
      <c r="W259" s="78"/>
      <c r="X259" s="78"/>
      <c r="Y259" s="78"/>
      <c r="Z259" s="78"/>
      <c r="AA259" s="78"/>
      <c r="AB259" s="78"/>
      <c r="AC259" s="78"/>
      <c r="AD259" s="78"/>
      <c r="AE259" s="78"/>
      <c r="AF259" s="78"/>
      <c r="AG259" s="78"/>
      <c r="AH259" s="78"/>
      <c r="AI259" s="78"/>
      <c r="AJ259" s="78"/>
      <c r="AK259" s="78"/>
      <c r="AL259" s="78"/>
      <c r="AM259" s="78"/>
      <c r="AN259" s="78"/>
      <c r="AO259" s="78"/>
      <c r="AP259" s="78"/>
      <c r="AQ259" s="78"/>
      <c r="AR259" s="78"/>
      <c r="AS259" s="78"/>
      <c r="AT259" s="78"/>
      <c r="AU259" s="78"/>
      <c r="AV259" s="78"/>
      <c r="AW259" s="78"/>
      <c r="AX259" s="78"/>
      <c r="AY259" s="91"/>
      <c r="AZ259" s="78"/>
      <c r="BA259" s="78"/>
      <c r="BB259" s="78"/>
      <c r="BC259" s="78"/>
      <c r="BD259" s="78"/>
      <c r="BE259" s="78"/>
      <c r="BF259" s="78"/>
      <c r="BG259" s="78"/>
      <c r="BH259" s="78"/>
      <c r="BI259" s="78"/>
      <c r="BJ259" s="78"/>
      <c r="BK259" s="78"/>
      <c r="BL259" s="78"/>
      <c r="BM259" s="78"/>
      <c r="BN259" s="78"/>
      <c r="BO259" s="78"/>
      <c r="BP259" s="78"/>
      <c r="BQ259" s="78"/>
      <c r="BR259" s="78"/>
      <c r="BS259" s="78"/>
      <c r="BT259" s="78"/>
      <c r="BU259" s="78"/>
      <c r="BV259" s="78"/>
      <c r="BW259" s="78"/>
      <c r="BX259" s="78"/>
      <c r="BY259" s="78"/>
      <c r="BZ259" s="78"/>
      <c r="CA259" s="78"/>
      <c r="CB259" s="78"/>
      <c r="CC259" s="78"/>
      <c r="CD259" s="78"/>
      <c r="CE259" s="78"/>
      <c r="CF259" s="78"/>
      <c r="CG259" s="78"/>
      <c r="CH259" s="78"/>
      <c r="CI259" s="78"/>
      <c r="CJ259" s="78"/>
      <c r="CK259" s="78"/>
      <c r="CL259" s="78"/>
      <c r="CM259" s="78"/>
      <c r="CN259" s="78"/>
      <c r="CO259" s="78"/>
      <c r="CP259" s="78"/>
      <c r="CQ259" s="78"/>
      <c r="CR259" s="78"/>
      <c r="CS259" s="78"/>
      <c r="CT259" s="78"/>
      <c r="CU259" s="78"/>
      <c r="CV259" s="78"/>
      <c r="CW259" s="78"/>
      <c r="CX259" s="78"/>
      <c r="CY259" s="78"/>
      <c r="CZ259" s="78"/>
      <c r="DA259" s="78"/>
      <c r="DB259" s="78"/>
      <c r="DC259" s="78"/>
      <c r="DD259" s="78"/>
      <c r="DE259" s="78"/>
      <c r="DF259" s="78"/>
      <c r="DG259" s="78"/>
      <c r="DH259" s="78"/>
      <c r="DI259" s="78"/>
      <c r="DJ259" s="78"/>
      <c r="DK259" s="78"/>
      <c r="DL259" s="78"/>
      <c r="DM259" s="78"/>
      <c r="DN259" s="78"/>
      <c r="DO259" s="78"/>
      <c r="DP259" s="78"/>
      <c r="DQ259" s="78"/>
      <c r="DR259" s="78"/>
      <c r="DS259" s="78"/>
      <c r="DT259" s="78"/>
      <c r="DU259" s="78"/>
      <c r="DV259" s="78"/>
      <c r="DW259" s="78"/>
      <c r="DX259" s="78"/>
      <c r="DY259" s="78"/>
      <c r="DZ259" s="78"/>
      <c r="EA259" s="78"/>
      <c r="EB259" s="78"/>
      <c r="EC259" s="78"/>
      <c r="ED259" s="78"/>
      <c r="EE259" s="78"/>
      <c r="EF259" s="78"/>
      <c r="EG259" s="78"/>
      <c r="EH259" s="78"/>
      <c r="EI259" s="78"/>
      <c r="EJ259" s="78"/>
      <c r="EK259" s="78"/>
      <c r="EL259" s="78"/>
      <c r="EM259" s="78"/>
      <c r="EN259" s="91"/>
      <c r="EO259" s="91"/>
      <c r="EP259" s="91"/>
      <c r="EQ259" s="91"/>
      <c r="ER259" s="91"/>
      <c r="ES259" s="91"/>
    </row>
    <row r="260" spans="1:149" outlineLevel="1">
      <c r="A260" s="29" t="str">
        <f t="shared" si="40"/>
        <v>modesg_param_sfics_taxon_europeiacmetanseg</v>
      </c>
      <c r="B260" s="67" t="s">
        <v>26</v>
      </c>
      <c r="C260" s="68" t="s">
        <v>181</v>
      </c>
      <c r="D260" s="64" t="s">
        <v>40</v>
      </c>
      <c r="E260" s="66" t="s">
        <v>2096</v>
      </c>
      <c r="F260" s="64" t="s">
        <v>187</v>
      </c>
      <c r="G260" s="64" t="str">
        <f>INDEX(Auxiliar!$B$16:$B$24,MATCH(Plano_V3!H260,Auxiliar!$C$16:$C$24,0),1)</f>
        <v>1. Concluído</v>
      </c>
      <c r="H260" s="64">
        <f>VLOOKUP(A260,'Aux - pivots1'!$A:$B,2,0)</f>
        <v>1</v>
      </c>
      <c r="I260" s="180"/>
      <c r="J260" s="180"/>
      <c r="K260" s="180"/>
      <c r="L260" s="180"/>
      <c r="M260" s="174"/>
      <c r="N260" s="174"/>
      <c r="O260" s="174"/>
      <c r="P260" s="89"/>
      <c r="Q260" s="90"/>
      <c r="R260" s="78"/>
      <c r="S260" s="78"/>
      <c r="T260" s="78"/>
      <c r="U260" s="78"/>
      <c r="V260" s="78"/>
      <c r="W260" s="78"/>
      <c r="X260" s="78"/>
      <c r="Y260" s="78"/>
      <c r="Z260" s="78"/>
      <c r="AA260" s="78"/>
      <c r="AB260" s="78"/>
      <c r="AC260" s="78"/>
      <c r="AD260" s="78"/>
      <c r="AE260" s="78"/>
      <c r="AF260" s="78"/>
      <c r="AG260" s="78"/>
      <c r="AH260" s="78"/>
      <c r="AI260" s="78"/>
      <c r="AJ260" s="78"/>
      <c r="AK260" s="78"/>
      <c r="AL260" s="78"/>
      <c r="AM260" s="78"/>
      <c r="AN260" s="78"/>
      <c r="AO260" s="78"/>
      <c r="AP260" s="78"/>
      <c r="AQ260" s="78"/>
      <c r="AR260" s="78"/>
      <c r="AS260" s="78"/>
      <c r="AT260" s="78"/>
      <c r="AU260" s="78"/>
      <c r="AV260" s="78"/>
      <c r="AW260" s="78"/>
      <c r="AX260" s="78"/>
      <c r="AY260" s="91"/>
      <c r="AZ260" s="78"/>
      <c r="BA260" s="78"/>
      <c r="BB260" s="78"/>
      <c r="BC260" s="78"/>
      <c r="BD260" s="78"/>
      <c r="BE260" s="78"/>
      <c r="BF260" s="78"/>
      <c r="BG260" s="78"/>
      <c r="BH260" s="78"/>
      <c r="BI260" s="78"/>
      <c r="BJ260" s="78"/>
      <c r="BK260" s="78"/>
      <c r="BL260" s="78"/>
      <c r="BM260" s="78"/>
      <c r="BN260" s="78"/>
      <c r="BO260" s="78"/>
      <c r="BP260" s="78"/>
      <c r="BQ260" s="78"/>
      <c r="BR260" s="78"/>
      <c r="BS260" s="78"/>
      <c r="BT260" s="78"/>
      <c r="BU260" s="78"/>
      <c r="BV260" s="78"/>
      <c r="BW260" s="78"/>
      <c r="BX260" s="78"/>
      <c r="BY260" s="78"/>
      <c r="BZ260" s="78"/>
      <c r="CA260" s="78"/>
      <c r="CB260" s="78"/>
      <c r="CC260" s="78"/>
      <c r="CD260" s="78"/>
      <c r="CE260" s="78"/>
      <c r="CF260" s="78"/>
      <c r="CG260" s="78"/>
      <c r="CH260" s="78"/>
      <c r="CI260" s="78"/>
      <c r="CJ260" s="78"/>
      <c r="CK260" s="78"/>
      <c r="CL260" s="78"/>
      <c r="CM260" s="78"/>
      <c r="CN260" s="78"/>
      <c r="CO260" s="78"/>
      <c r="CP260" s="78"/>
      <c r="CQ260" s="78"/>
      <c r="CR260" s="78"/>
      <c r="CS260" s="78"/>
      <c r="CT260" s="78"/>
      <c r="CU260" s="78"/>
      <c r="CV260" s="78"/>
      <c r="CW260" s="78"/>
      <c r="CX260" s="78"/>
      <c r="CY260" s="78"/>
      <c r="CZ260" s="78"/>
      <c r="DA260" s="78"/>
      <c r="DB260" s="78"/>
      <c r="DC260" s="78"/>
      <c r="DD260" s="78"/>
      <c r="DE260" s="78"/>
      <c r="DF260" s="78"/>
      <c r="DG260" s="78"/>
      <c r="DH260" s="78"/>
      <c r="DI260" s="78"/>
      <c r="DJ260" s="78"/>
      <c r="DK260" s="78"/>
      <c r="DL260" s="78"/>
      <c r="DM260" s="78"/>
      <c r="DN260" s="78"/>
      <c r="DO260" s="78"/>
      <c r="DP260" s="78"/>
      <c r="DQ260" s="78"/>
      <c r="DR260" s="78"/>
      <c r="DS260" s="78"/>
      <c r="DT260" s="78"/>
      <c r="DU260" s="78"/>
      <c r="DV260" s="78"/>
      <c r="DW260" s="78"/>
      <c r="DX260" s="78"/>
      <c r="DY260" s="78"/>
      <c r="DZ260" s="78"/>
      <c r="EA260" s="78"/>
      <c r="EB260" s="78"/>
      <c r="EC260" s="78"/>
      <c r="ED260" s="78"/>
      <c r="EE260" s="78"/>
      <c r="EF260" s="78"/>
      <c r="EG260" s="78"/>
      <c r="EH260" s="78"/>
      <c r="EI260" s="78"/>
      <c r="EJ260" s="78"/>
      <c r="EK260" s="78"/>
      <c r="EL260" s="78"/>
      <c r="EM260" s="78"/>
      <c r="EN260" s="91"/>
      <c r="EO260" s="91"/>
      <c r="EP260" s="91"/>
      <c r="EQ260" s="91"/>
      <c r="ER260" s="91"/>
      <c r="ES260" s="91"/>
    </row>
    <row r="261" spans="1:149" outlineLevel="1">
      <c r="A261" s="29" t="str">
        <f t="shared" si="40"/>
        <v>modesg_param_sfics_taxon_europeiaepc</v>
      </c>
      <c r="B261" s="67" t="s">
        <v>26</v>
      </c>
      <c r="C261" s="68" t="s">
        <v>181</v>
      </c>
      <c r="D261" s="64" t="s">
        <v>40</v>
      </c>
      <c r="E261" s="66" t="s">
        <v>2096</v>
      </c>
      <c r="F261" s="64" t="s">
        <v>198</v>
      </c>
      <c r="G261" s="64" t="str">
        <f>INDEX(Auxiliar!$B$16:$B$24,MATCH(Plano_V3!H261,Auxiliar!$C$16:$C$24,0),1)</f>
        <v>1. Concluído</v>
      </c>
      <c r="H261" s="64">
        <f>VLOOKUP(A261,'Aux - pivots1'!$A:$B,2,0)</f>
        <v>1</v>
      </c>
      <c r="I261" s="180">
        <f>SUMIFS(Table1[Estimação (horas)],Table1[Tabela],Plano_V3!E261,Table1[Campo],Plano_V3!F261)</f>
        <v>0.6</v>
      </c>
      <c r="J261" s="180">
        <f t="shared" si="41"/>
        <v>7.4999999999999997E-2</v>
      </c>
      <c r="K261" s="180">
        <f>SUMIFS(Table1[Horas efetivas],Table1[Tabela],Plano_V3!E261,Table1[Campo],Plano_V3!F261)</f>
        <v>0.6</v>
      </c>
      <c r="L261" s="180">
        <f t="shared" si="42"/>
        <v>7.4999999999999997E-2</v>
      </c>
      <c r="M261" s="174"/>
      <c r="N261" s="174">
        <f t="shared" si="43"/>
        <v>1</v>
      </c>
      <c r="O261" s="174">
        <f t="shared" ref="O261:O340" si="300">N261-M261</f>
        <v>1</v>
      </c>
      <c r="P261" s="89" t="s">
        <v>39</v>
      </c>
      <c r="Q261" s="90">
        <f t="shared" si="31"/>
        <v>7.4999999999999997E-2</v>
      </c>
      <c r="R261" s="78"/>
      <c r="S261" s="78"/>
      <c r="T261" s="78"/>
      <c r="U261" s="78"/>
      <c r="V261" s="78"/>
      <c r="W261" s="78"/>
      <c r="X261" s="78"/>
      <c r="Y261" s="78"/>
      <c r="Z261" s="78"/>
      <c r="AA261" s="78"/>
      <c r="AB261" s="78"/>
      <c r="AC261" s="78"/>
      <c r="AD261" s="78"/>
      <c r="AE261" s="78"/>
      <c r="AF261" s="78"/>
      <c r="AG261" s="78"/>
      <c r="AH261" s="78"/>
      <c r="AI261" s="78"/>
      <c r="AJ261" s="78"/>
      <c r="AK261" s="78"/>
      <c r="AL261" s="78"/>
      <c r="AM261" s="78"/>
      <c r="AN261" s="78"/>
      <c r="AO261" s="78"/>
      <c r="AP261" s="78"/>
      <c r="AQ261" s="78"/>
      <c r="AR261" s="78"/>
      <c r="AS261" s="78"/>
      <c r="AT261" s="78"/>
      <c r="AU261" s="78"/>
      <c r="AV261" s="78"/>
      <c r="AW261" s="78"/>
      <c r="AX261" s="78"/>
      <c r="AY261" s="91"/>
      <c r="AZ261" s="78"/>
      <c r="BA261" s="78"/>
      <c r="BB261" s="78"/>
      <c r="BC261" s="78"/>
      <c r="BD261" s="78"/>
      <c r="BE261" s="78"/>
      <c r="BF261" s="78"/>
      <c r="BG261" s="78"/>
      <c r="BH261" s="78"/>
      <c r="BI261" s="78"/>
      <c r="BJ261" s="78"/>
      <c r="BK261" s="78"/>
      <c r="BL261" s="78"/>
      <c r="BM261" s="78"/>
      <c r="BN261" s="78"/>
      <c r="BO261" s="78"/>
      <c r="BP261" s="78"/>
      <c r="BQ261" s="78"/>
      <c r="BR261" s="78"/>
      <c r="BS261" s="78"/>
      <c r="BT261" s="78"/>
      <c r="BU261" s="78"/>
      <c r="BV261" s="78"/>
      <c r="BW261" s="78"/>
      <c r="BX261" s="78"/>
      <c r="BY261" s="78"/>
      <c r="BZ261" s="78"/>
      <c r="CA261" s="78"/>
      <c r="CB261" s="78"/>
      <c r="CC261" s="78"/>
      <c r="CD261" s="78"/>
      <c r="CE261" s="78"/>
      <c r="CF261" s="78"/>
      <c r="CG261" s="78"/>
      <c r="CH261" s="78"/>
      <c r="CI261" s="78"/>
      <c r="CJ261" s="78"/>
      <c r="CK261" s="78"/>
      <c r="CL261" s="78"/>
      <c r="CM261" s="78"/>
      <c r="CN261" s="78"/>
      <c r="CO261" s="78"/>
      <c r="CP261" s="78"/>
      <c r="CQ261" s="78"/>
      <c r="CR261" s="78"/>
      <c r="CS261" s="78"/>
      <c r="CT261" s="78"/>
      <c r="CU261" s="78"/>
      <c r="CV261" s="78"/>
      <c r="CW261" s="78"/>
      <c r="CX261" s="78"/>
      <c r="CY261" s="78"/>
      <c r="CZ261" s="78"/>
      <c r="DA261" s="78"/>
      <c r="DB261" s="78"/>
      <c r="DC261" s="78"/>
      <c r="DD261" s="78"/>
      <c r="DE261" s="78"/>
      <c r="DF261" s="78"/>
      <c r="DG261" s="78"/>
      <c r="DH261" s="78"/>
      <c r="DI261" s="78"/>
      <c r="DJ261" s="78"/>
      <c r="DK261" s="78"/>
      <c r="DL261" s="78"/>
      <c r="DM261" s="78"/>
      <c r="DN261" s="78"/>
      <c r="DO261" s="78"/>
      <c r="DP261" s="78"/>
      <c r="DQ261" s="78"/>
      <c r="DR261" s="78"/>
      <c r="DS261" s="78"/>
      <c r="DT261" s="78"/>
      <c r="DU261" s="78"/>
      <c r="DV261" s="78"/>
      <c r="DW261" s="78"/>
      <c r="DX261" s="78"/>
      <c r="DY261" s="78"/>
      <c r="DZ261" s="78"/>
      <c r="EA261" s="78"/>
      <c r="EB261" s="78"/>
      <c r="EC261" s="78"/>
      <c r="ED261" s="78"/>
      <c r="EE261" s="78"/>
      <c r="EF261" s="78"/>
      <c r="EG261" s="78"/>
      <c r="EH261" s="78"/>
      <c r="EI261" s="78"/>
      <c r="EJ261" s="78"/>
      <c r="EK261" s="78"/>
      <c r="EL261" s="78"/>
      <c r="EM261" s="78"/>
      <c r="EN261" s="91"/>
      <c r="EO261" s="91"/>
      <c r="EP261" s="91"/>
      <c r="EQ261" s="91"/>
      <c r="ER261" s="91"/>
      <c r="ES261" s="91"/>
    </row>
    <row r="262" spans="1:149" outlineLevel="1">
      <c r="A262" s="29" t="str">
        <f t="shared" si="40"/>
        <v>modesg_param_sfics_taxon_europeiaambito</v>
      </c>
      <c r="B262" s="67" t="s">
        <v>26</v>
      </c>
      <c r="C262" s="68" t="s">
        <v>181</v>
      </c>
      <c r="D262" s="64" t="s">
        <v>40</v>
      </c>
      <c r="E262" s="66" t="s">
        <v>2096</v>
      </c>
      <c r="F262" s="64" t="s">
        <v>390</v>
      </c>
      <c r="G262" s="64" t="str">
        <f>INDEX(Auxiliar!$B$16:$B$24,MATCH(Plano_V3!H262,Auxiliar!$C$16:$C$24,0),1)</f>
        <v>1. Concluído</v>
      </c>
      <c r="H262" s="64">
        <f>VLOOKUP(A262,'Aux - pivots1'!$A:$B,2,0)</f>
        <v>1</v>
      </c>
      <c r="I262" s="180" t="e">
        <f>SUMIFS(Table1[Estimação (horas)],Table1[Tabela],Plano_V3!E262,Table1[Campo],Plano_V3!F262)</f>
        <v>#N/A</v>
      </c>
      <c r="J262" s="180" t="e">
        <f t="shared" si="41"/>
        <v>#N/A</v>
      </c>
      <c r="K262" s="180" t="e">
        <f>SUMIFS(Table1[Horas efetivas],Table1[Tabela],Plano_V3!E262,Table1[Campo],Plano_V3!F262)</f>
        <v>#N/A</v>
      </c>
      <c r="L262" s="180" t="e">
        <f t="shared" si="42"/>
        <v>#N/A</v>
      </c>
      <c r="M262" s="174"/>
      <c r="N262" s="174" t="e">
        <f t="shared" si="43"/>
        <v>#N/A</v>
      </c>
      <c r="O262" s="174" t="e">
        <f t="shared" si="300"/>
        <v>#N/A</v>
      </c>
      <c r="P262" s="89" t="s">
        <v>39</v>
      </c>
      <c r="Q262" s="90" t="e">
        <f t="shared" si="31"/>
        <v>#N/A</v>
      </c>
      <c r="R262" s="78"/>
      <c r="S262" s="78"/>
      <c r="T262" s="78"/>
      <c r="U262" s="78"/>
      <c r="V262" s="78"/>
      <c r="W262" s="78"/>
      <c r="X262" s="78"/>
      <c r="Y262" s="78"/>
      <c r="Z262" s="78"/>
      <c r="AA262" s="78"/>
      <c r="AB262" s="78"/>
      <c r="AC262" s="78"/>
      <c r="AD262" s="78"/>
      <c r="AE262" s="78"/>
      <c r="AF262" s="78"/>
      <c r="AG262" s="78"/>
      <c r="AH262" s="78"/>
      <c r="AI262" s="78"/>
      <c r="AJ262" s="78"/>
      <c r="AK262" s="78"/>
      <c r="AL262" s="78"/>
      <c r="AM262" s="78"/>
      <c r="AN262" s="78"/>
      <c r="AO262" s="78"/>
      <c r="AP262" s="78"/>
      <c r="AQ262" s="78"/>
      <c r="AR262" s="78"/>
      <c r="AS262" s="78"/>
      <c r="AT262" s="78"/>
      <c r="AU262" s="78"/>
      <c r="AV262" s="78"/>
      <c r="AW262" s="78"/>
      <c r="AX262" s="78"/>
      <c r="AY262" s="91"/>
      <c r="AZ262" s="78"/>
      <c r="BA262" s="78"/>
      <c r="BB262" s="78"/>
      <c r="BC262" s="78"/>
      <c r="BD262" s="78"/>
      <c r="BE262" s="78"/>
      <c r="BF262" s="78"/>
      <c r="BG262" s="78"/>
      <c r="BH262" s="78"/>
      <c r="BI262" s="78"/>
      <c r="BJ262" s="78"/>
      <c r="BK262" s="78"/>
      <c r="BL262" s="78"/>
      <c r="BM262" s="78"/>
      <c r="BN262" s="78"/>
      <c r="BO262" s="78"/>
      <c r="BP262" s="78"/>
      <c r="BQ262" s="78"/>
      <c r="BR262" s="78"/>
      <c r="BS262" s="78"/>
      <c r="BT262" s="78"/>
      <c r="BU262" s="78"/>
      <c r="BV262" s="78"/>
      <c r="BW262" s="78"/>
      <c r="BX262" s="78"/>
      <c r="BY262" s="78"/>
      <c r="BZ262" s="78"/>
      <c r="CA262" s="78"/>
      <c r="CB262" s="78"/>
      <c r="CC262" s="78"/>
      <c r="CD262" s="78"/>
      <c r="CE262" s="78"/>
      <c r="CF262" s="78"/>
      <c r="CG262" s="78"/>
      <c r="CH262" s="78"/>
      <c r="CI262" s="78"/>
      <c r="CJ262" s="78"/>
      <c r="CK262" s="78"/>
      <c r="CL262" s="78"/>
      <c r="CM262" s="78"/>
      <c r="CN262" s="78"/>
      <c r="CO262" s="78"/>
      <c r="CP262" s="78"/>
      <c r="CQ262" s="78"/>
      <c r="CR262" s="78"/>
      <c r="CS262" s="78"/>
      <c r="CT262" s="78"/>
      <c r="CU262" s="78"/>
      <c r="CV262" s="78"/>
      <c r="CW262" s="78"/>
      <c r="CX262" s="78"/>
      <c r="CY262" s="78"/>
      <c r="CZ262" s="78"/>
      <c r="DA262" s="78"/>
      <c r="DB262" s="78"/>
      <c r="DC262" s="78"/>
      <c r="DD262" s="78"/>
      <c r="DE262" s="78"/>
      <c r="DF262" s="78"/>
      <c r="DG262" s="78"/>
      <c r="DH262" s="78"/>
      <c r="DI262" s="78"/>
      <c r="DJ262" s="78"/>
      <c r="DK262" s="78"/>
      <c r="DL262" s="78"/>
      <c r="DM262" s="78"/>
      <c r="DN262" s="78"/>
      <c r="DO262" s="78"/>
      <c r="DP262" s="78"/>
      <c r="DQ262" s="78"/>
      <c r="DR262" s="78"/>
      <c r="DS262" s="78"/>
      <c r="DT262" s="78"/>
      <c r="DU262" s="78"/>
      <c r="DV262" s="78"/>
      <c r="DW262" s="78"/>
      <c r="DX262" s="78"/>
      <c r="DY262" s="78"/>
      <c r="DZ262" s="78"/>
      <c r="EA262" s="78"/>
      <c r="EB262" s="78"/>
      <c r="EC262" s="78"/>
      <c r="ED262" s="78"/>
      <c r="EE262" s="78"/>
      <c r="EF262" s="78"/>
      <c r="EG262" s="78"/>
      <c r="EH262" s="78"/>
      <c r="EI262" s="78"/>
      <c r="EJ262" s="78"/>
      <c r="EK262" s="78"/>
      <c r="EL262" s="78"/>
      <c r="EM262" s="78"/>
      <c r="EN262" s="91"/>
      <c r="EO262" s="91"/>
      <c r="EP262" s="91"/>
      <c r="EQ262" s="91"/>
      <c r="ER262" s="91"/>
      <c r="ES262" s="91"/>
    </row>
    <row r="263" spans="1:149" outlineLevel="1">
      <c r="A263" s="29" t="str">
        <f t="shared" si="40"/>
        <v>modesg_param_sfics_taxon_europeianome_ctgr_sfics</v>
      </c>
      <c r="B263" s="67" t="s">
        <v>26</v>
      </c>
      <c r="C263" s="68" t="s">
        <v>181</v>
      </c>
      <c r="D263" s="64" t="s">
        <v>40</v>
      </c>
      <c r="E263" s="66" t="s">
        <v>2096</v>
      </c>
      <c r="F263" s="64" t="s">
        <v>2047</v>
      </c>
      <c r="G263" s="64" t="str">
        <f>INDEX(Auxiliar!$B$16:$B$24,MATCH(Plano_V3!H263,Auxiliar!$C$16:$C$24,0),1)</f>
        <v>1. Concluído</v>
      </c>
      <c r="H263" s="64">
        <f>VLOOKUP(A263,'Aux - pivots1'!$A:$B,2,0)</f>
        <v>1</v>
      </c>
      <c r="I263" s="180" t="e">
        <f>SUMIFS(Table1[Estimação (horas)],Table1[Tabela],Plano_V3!E263,Table1[Campo],Plano_V3!F263)</f>
        <v>#N/A</v>
      </c>
      <c r="J263" s="180" t="e">
        <f t="shared" si="41"/>
        <v>#N/A</v>
      </c>
      <c r="K263" s="180" t="e">
        <f>SUMIFS(Table1[Horas efetivas],Table1[Tabela],Plano_V3!E263,Table1[Campo],Plano_V3!F263)</f>
        <v>#N/A</v>
      </c>
      <c r="L263" s="180" t="e">
        <f t="shared" si="42"/>
        <v>#N/A</v>
      </c>
      <c r="M263" s="174"/>
      <c r="N263" s="174" t="e">
        <f t="shared" si="43"/>
        <v>#N/A</v>
      </c>
      <c r="O263" s="174" t="e">
        <f t="shared" si="300"/>
        <v>#N/A</v>
      </c>
      <c r="P263" s="89" t="s">
        <v>39</v>
      </c>
      <c r="Q263" s="90" t="e">
        <f t="shared" si="31"/>
        <v>#N/A</v>
      </c>
      <c r="R263" s="78"/>
      <c r="S263" s="78"/>
      <c r="T263" s="78"/>
      <c r="U263" s="78"/>
      <c r="V263" s="78"/>
      <c r="W263" s="78"/>
      <c r="X263" s="78"/>
      <c r="Y263" s="78"/>
      <c r="Z263" s="78"/>
      <c r="AA263" s="78"/>
      <c r="AB263" s="78"/>
      <c r="AC263" s="78"/>
      <c r="AD263" s="78"/>
      <c r="AE263" s="78"/>
      <c r="AF263" s="78"/>
      <c r="AG263" s="78"/>
      <c r="AH263" s="78"/>
      <c r="AI263" s="78"/>
      <c r="AJ263" s="78"/>
      <c r="AK263" s="78"/>
      <c r="AL263" s="78"/>
      <c r="AM263" s="78"/>
      <c r="AN263" s="78"/>
      <c r="AO263" s="78"/>
      <c r="AP263" s="78"/>
      <c r="AQ263" s="78"/>
      <c r="AR263" s="78"/>
      <c r="AS263" s="78"/>
      <c r="AT263" s="78"/>
      <c r="AU263" s="78"/>
      <c r="AV263" s="78"/>
      <c r="AW263" s="78"/>
      <c r="AX263" s="78"/>
      <c r="AY263" s="91"/>
      <c r="AZ263" s="78"/>
      <c r="BA263" s="78"/>
      <c r="BB263" s="78"/>
      <c r="BC263" s="78"/>
      <c r="BD263" s="78"/>
      <c r="BE263" s="78"/>
      <c r="BF263" s="78"/>
      <c r="BG263" s="78"/>
      <c r="BH263" s="78"/>
      <c r="BI263" s="78"/>
      <c r="BJ263" s="78"/>
      <c r="BK263" s="78"/>
      <c r="BL263" s="78"/>
      <c r="BM263" s="78"/>
      <c r="BN263" s="78"/>
      <c r="BO263" s="78"/>
      <c r="BP263" s="78"/>
      <c r="BQ263" s="78"/>
      <c r="BR263" s="78"/>
      <c r="BS263" s="78"/>
      <c r="BT263" s="78"/>
      <c r="BU263" s="78"/>
      <c r="BV263" s="78"/>
      <c r="BW263" s="78"/>
      <c r="BX263" s="78"/>
      <c r="BY263" s="78"/>
      <c r="BZ263" s="78"/>
      <c r="CA263" s="78"/>
      <c r="CB263" s="78"/>
      <c r="CC263" s="78"/>
      <c r="CD263" s="78"/>
      <c r="CE263" s="78"/>
      <c r="CF263" s="78"/>
      <c r="CG263" s="78"/>
      <c r="CH263" s="78"/>
      <c r="CI263" s="78"/>
      <c r="CJ263" s="78"/>
      <c r="CK263" s="78"/>
      <c r="CL263" s="78"/>
      <c r="CM263" s="78"/>
      <c r="CN263" s="78"/>
      <c r="CO263" s="78"/>
      <c r="CP263" s="78"/>
      <c r="CQ263" s="78"/>
      <c r="CR263" s="78"/>
      <c r="CS263" s="78"/>
      <c r="CT263" s="78"/>
      <c r="CU263" s="78"/>
      <c r="CV263" s="78"/>
      <c r="CW263" s="78"/>
      <c r="CX263" s="78"/>
      <c r="CY263" s="78"/>
      <c r="CZ263" s="78"/>
      <c r="DA263" s="78"/>
      <c r="DB263" s="78"/>
      <c r="DC263" s="78"/>
      <c r="DD263" s="78"/>
      <c r="DE263" s="78"/>
      <c r="DF263" s="78"/>
      <c r="DG263" s="78"/>
      <c r="DH263" s="78"/>
      <c r="DI263" s="78"/>
      <c r="DJ263" s="78"/>
      <c r="DK263" s="78"/>
      <c r="DL263" s="78"/>
      <c r="DM263" s="78"/>
      <c r="DN263" s="78"/>
      <c r="DO263" s="78"/>
      <c r="DP263" s="78"/>
      <c r="DQ263" s="78"/>
      <c r="DR263" s="78"/>
      <c r="DS263" s="78"/>
      <c r="DT263" s="78"/>
      <c r="DU263" s="78"/>
      <c r="DV263" s="78"/>
      <c r="DW263" s="78"/>
      <c r="DX263" s="78"/>
      <c r="DY263" s="78"/>
      <c r="DZ263" s="78"/>
      <c r="EA263" s="78"/>
      <c r="EB263" s="78"/>
      <c r="EC263" s="78"/>
      <c r="ED263" s="78"/>
      <c r="EE263" s="78"/>
      <c r="EF263" s="78"/>
      <c r="EG263" s="78"/>
      <c r="EH263" s="78"/>
      <c r="EI263" s="78"/>
      <c r="EJ263" s="78"/>
      <c r="EK263" s="78"/>
      <c r="EL263" s="78"/>
      <c r="EM263" s="78"/>
      <c r="EN263" s="91"/>
      <c r="EO263" s="91"/>
      <c r="EP263" s="91"/>
      <c r="EQ263" s="91"/>
      <c r="ER263" s="91"/>
      <c r="ES263" s="91"/>
    </row>
    <row r="264" spans="1:149" outlineLevel="1">
      <c r="A264" s="29" t="str">
        <f t="shared" si="40"/>
        <v>modesg_param_sfics_taxon_europeiamontante_pndrc</v>
      </c>
      <c r="B264" s="67" t="s">
        <v>26</v>
      </c>
      <c r="C264" s="68" t="s">
        <v>181</v>
      </c>
      <c r="D264" s="64" t="s">
        <v>40</v>
      </c>
      <c r="E264" s="66" t="s">
        <v>2096</v>
      </c>
      <c r="F264" s="64" t="s">
        <v>202</v>
      </c>
      <c r="G264" s="64" t="str">
        <f>INDEX(Auxiliar!$B$16:$B$24,MATCH(Plano_V3!H264,Auxiliar!$C$16:$C$24,0),1)</f>
        <v>1. Concluído</v>
      </c>
      <c r="H264" s="64">
        <f>VLOOKUP(A264,'Aux - pivots1'!$A:$B,2,0)</f>
        <v>1</v>
      </c>
      <c r="I264" s="180" t="e">
        <f>SUMIFS(Table1[Estimação (horas)],Table1[Tabela],Plano_V3!E264,Table1[Campo],Plano_V3!F264)</f>
        <v>#N/A</v>
      </c>
      <c r="J264" s="180" t="e">
        <f t="shared" si="41"/>
        <v>#N/A</v>
      </c>
      <c r="K264" s="180" t="e">
        <f>SUMIFS(Table1[Horas efetivas],Table1[Tabela],Plano_V3!E264,Table1[Campo],Plano_V3!F264)</f>
        <v>#N/A</v>
      </c>
      <c r="L264" s="180" t="e">
        <f t="shared" si="42"/>
        <v>#N/A</v>
      </c>
      <c r="M264" s="174"/>
      <c r="N264" s="174" t="e">
        <f t="shared" si="43"/>
        <v>#N/A</v>
      </c>
      <c r="O264" s="174" t="e">
        <f t="shared" si="300"/>
        <v>#N/A</v>
      </c>
      <c r="P264" s="89" t="s">
        <v>39</v>
      </c>
      <c r="Q264" s="90" t="e">
        <f t="shared" si="31"/>
        <v>#N/A</v>
      </c>
      <c r="R264" s="78"/>
      <c r="S264" s="78"/>
      <c r="T264" s="78"/>
      <c r="U264" s="78"/>
      <c r="V264" s="78"/>
      <c r="W264" s="78"/>
      <c r="X264" s="78"/>
      <c r="Y264" s="78"/>
      <c r="Z264" s="78"/>
      <c r="AA264" s="78"/>
      <c r="AB264" s="78"/>
      <c r="AC264" s="78"/>
      <c r="AD264" s="78"/>
      <c r="AE264" s="78"/>
      <c r="AF264" s="78"/>
      <c r="AG264" s="78"/>
      <c r="AH264" s="78"/>
      <c r="AI264" s="78"/>
      <c r="AJ264" s="78"/>
      <c r="AK264" s="78"/>
      <c r="AL264" s="78"/>
      <c r="AM264" s="78"/>
      <c r="AN264" s="78"/>
      <c r="AO264" s="78"/>
      <c r="AP264" s="78"/>
      <c r="AQ264" s="78"/>
      <c r="AR264" s="78"/>
      <c r="AS264" s="78"/>
      <c r="AT264" s="78"/>
      <c r="AU264" s="78"/>
      <c r="AV264" s="78"/>
      <c r="AW264" s="78"/>
      <c r="AX264" s="78"/>
      <c r="AY264" s="91"/>
      <c r="AZ264" s="78"/>
      <c r="BA264" s="78"/>
      <c r="BB264" s="78"/>
      <c r="BC264" s="78"/>
      <c r="BD264" s="78"/>
      <c r="BE264" s="78"/>
      <c r="BF264" s="78"/>
      <c r="BG264" s="78"/>
      <c r="BH264" s="78"/>
      <c r="BI264" s="78"/>
      <c r="BJ264" s="78"/>
      <c r="BK264" s="78"/>
      <c r="BL264" s="78"/>
      <c r="BM264" s="78"/>
      <c r="BN264" s="78"/>
      <c r="BO264" s="78"/>
      <c r="BP264" s="78"/>
      <c r="BQ264" s="78"/>
      <c r="BR264" s="78"/>
      <c r="BS264" s="78"/>
      <c r="BT264" s="78"/>
      <c r="BU264" s="78"/>
      <c r="BV264" s="78"/>
      <c r="BW264" s="78"/>
      <c r="BX264" s="78"/>
      <c r="BY264" s="78"/>
      <c r="BZ264" s="78"/>
      <c r="CA264" s="78"/>
      <c r="CB264" s="78"/>
      <c r="CC264" s="78"/>
      <c r="CD264" s="78"/>
      <c r="CE264" s="78"/>
      <c r="CF264" s="78"/>
      <c r="CG264" s="78"/>
      <c r="CH264" s="78"/>
      <c r="CI264" s="78"/>
      <c r="CJ264" s="78"/>
      <c r="CK264" s="78"/>
      <c r="CL264" s="78"/>
      <c r="CM264" s="78"/>
      <c r="CN264" s="78"/>
      <c r="CO264" s="78"/>
      <c r="CP264" s="78"/>
      <c r="CQ264" s="78"/>
      <c r="CR264" s="78"/>
      <c r="CS264" s="78"/>
      <c r="CT264" s="78"/>
      <c r="CU264" s="78"/>
      <c r="CV264" s="78"/>
      <c r="CW264" s="78"/>
      <c r="CX264" s="78"/>
      <c r="CY264" s="78"/>
      <c r="CZ264" s="78"/>
      <c r="DA264" s="78"/>
      <c r="DB264" s="78"/>
      <c r="DC264" s="78"/>
      <c r="DD264" s="78"/>
      <c r="DE264" s="78"/>
      <c r="DF264" s="78"/>
      <c r="DG264" s="78"/>
      <c r="DH264" s="78"/>
      <c r="DI264" s="78"/>
      <c r="DJ264" s="78"/>
      <c r="DK264" s="78"/>
      <c r="DL264" s="78"/>
      <c r="DM264" s="78"/>
      <c r="DN264" s="78"/>
      <c r="DO264" s="78"/>
      <c r="DP264" s="78"/>
      <c r="DQ264" s="78"/>
      <c r="DR264" s="78"/>
      <c r="DS264" s="78"/>
      <c r="DT264" s="78"/>
      <c r="DU264" s="78"/>
      <c r="DV264" s="78"/>
      <c r="DW264" s="78"/>
      <c r="DX264" s="78"/>
      <c r="DY264" s="78"/>
      <c r="DZ264" s="78"/>
      <c r="EA264" s="78"/>
      <c r="EB264" s="78"/>
      <c r="EC264" s="78"/>
      <c r="ED264" s="78"/>
      <c r="EE264" s="78"/>
      <c r="EF264" s="78"/>
      <c r="EG264" s="78"/>
      <c r="EH264" s="78"/>
      <c r="EI264" s="78"/>
      <c r="EJ264" s="78"/>
      <c r="EK264" s="78"/>
      <c r="EL264" s="78"/>
      <c r="EM264" s="78"/>
      <c r="EN264" s="91"/>
      <c r="EO264" s="91"/>
      <c r="EP264" s="91"/>
      <c r="EQ264" s="91"/>
      <c r="ER264" s="91"/>
      <c r="ES264" s="91"/>
    </row>
    <row r="265" spans="1:149" outlineLevel="1">
      <c r="A265" s="29" t="str">
        <f t="shared" si="40"/>
        <v>modesg_param_sfics_taxon_europeiacontraparte</v>
      </c>
      <c r="B265" s="67" t="s">
        <v>26</v>
      </c>
      <c r="C265" s="68" t="s">
        <v>181</v>
      </c>
      <c r="D265" s="64" t="s">
        <v>40</v>
      </c>
      <c r="E265" s="66" t="s">
        <v>2096</v>
      </c>
      <c r="F265" s="64" t="s">
        <v>394</v>
      </c>
      <c r="G265" s="64" t="str">
        <f>INDEX(Auxiliar!$B$16:$B$24,MATCH(Plano_V3!H265,Auxiliar!$C$16:$C$24,0),1)</f>
        <v>1. Concluído</v>
      </c>
      <c r="H265" s="64">
        <f>VLOOKUP(A265,'Aux - pivots1'!$A:$B,2,0)</f>
        <v>1</v>
      </c>
      <c r="I265" s="180" t="e">
        <f>SUMIFS(Table1[Estimação (horas)],Table1[Tabela],Plano_V3!E265,Table1[Campo],Plano_V3!F265)</f>
        <v>#N/A</v>
      </c>
      <c r="J265" s="180" t="e">
        <f t="shared" si="41"/>
        <v>#N/A</v>
      </c>
      <c r="K265" s="180" t="e">
        <f>SUMIFS(Table1[Horas efetivas],Table1[Tabela],Plano_V3!E265,Table1[Campo],Plano_V3!F265)</f>
        <v>#N/A</v>
      </c>
      <c r="L265" s="180" t="e">
        <f t="shared" si="42"/>
        <v>#N/A</v>
      </c>
      <c r="M265" s="174"/>
      <c r="N265" s="174" t="e">
        <f t="shared" si="43"/>
        <v>#N/A</v>
      </c>
      <c r="O265" s="174" t="e">
        <f t="shared" si="300"/>
        <v>#N/A</v>
      </c>
      <c r="P265" s="89" t="s">
        <v>39</v>
      </c>
      <c r="Q265" s="90" t="e">
        <f t="shared" si="31"/>
        <v>#N/A</v>
      </c>
      <c r="R265" s="78"/>
      <c r="S265" s="78"/>
      <c r="T265" s="78"/>
      <c r="U265" s="78"/>
      <c r="V265" s="78"/>
      <c r="W265" s="78"/>
      <c r="X265" s="78"/>
      <c r="Y265" s="78"/>
      <c r="Z265" s="78"/>
      <c r="AA265" s="78"/>
      <c r="AB265" s="78"/>
      <c r="AC265" s="78"/>
      <c r="AD265" s="78"/>
      <c r="AE265" s="78"/>
      <c r="AF265" s="78"/>
      <c r="AG265" s="78"/>
      <c r="AH265" s="78"/>
      <c r="AI265" s="78"/>
      <c r="AJ265" s="78"/>
      <c r="AK265" s="78"/>
      <c r="AL265" s="78"/>
      <c r="AM265" s="78"/>
      <c r="AN265" s="78"/>
      <c r="AO265" s="78"/>
      <c r="AP265" s="78"/>
      <c r="AQ265" s="78"/>
      <c r="AR265" s="78"/>
      <c r="AS265" s="78"/>
      <c r="AT265" s="78"/>
      <c r="AU265" s="78"/>
      <c r="AV265" s="78"/>
      <c r="AW265" s="78"/>
      <c r="AX265" s="78"/>
      <c r="AY265" s="91"/>
      <c r="AZ265" s="78"/>
      <c r="BA265" s="78"/>
      <c r="BB265" s="78"/>
      <c r="BC265" s="78"/>
      <c r="BD265" s="78"/>
      <c r="BE265" s="78"/>
      <c r="BF265" s="78"/>
      <c r="BG265" s="78"/>
      <c r="BH265" s="78"/>
      <c r="BI265" s="78"/>
      <c r="BJ265" s="78"/>
      <c r="BK265" s="78"/>
      <c r="BL265" s="78"/>
      <c r="BM265" s="78"/>
      <c r="BN265" s="78"/>
      <c r="BO265" s="78"/>
      <c r="BP265" s="78"/>
      <c r="BQ265" s="78"/>
      <c r="BR265" s="78"/>
      <c r="BS265" s="78"/>
      <c r="BT265" s="78"/>
      <c r="BU265" s="78"/>
      <c r="BV265" s="78"/>
      <c r="BW265" s="78"/>
      <c r="BX265" s="78"/>
      <c r="BY265" s="78"/>
      <c r="BZ265" s="78"/>
      <c r="CA265" s="78"/>
      <c r="CB265" s="78"/>
      <c r="CC265" s="78"/>
      <c r="CD265" s="78"/>
      <c r="CE265" s="78"/>
      <c r="CF265" s="78"/>
      <c r="CG265" s="78"/>
      <c r="CH265" s="78"/>
      <c r="CI265" s="78"/>
      <c r="CJ265" s="78"/>
      <c r="CK265" s="78"/>
      <c r="CL265" s="78"/>
      <c r="CM265" s="78"/>
      <c r="CN265" s="78"/>
      <c r="CO265" s="78"/>
      <c r="CP265" s="78"/>
      <c r="CQ265" s="78"/>
      <c r="CR265" s="78"/>
      <c r="CS265" s="78"/>
      <c r="CT265" s="78"/>
      <c r="CU265" s="78"/>
      <c r="CV265" s="78"/>
      <c r="CW265" s="78"/>
      <c r="CX265" s="78"/>
      <c r="CY265" s="78"/>
      <c r="CZ265" s="78"/>
      <c r="DA265" s="78"/>
      <c r="DB265" s="78"/>
      <c r="DC265" s="78"/>
      <c r="DD265" s="78"/>
      <c r="DE265" s="78"/>
      <c r="DF265" s="78"/>
      <c r="DG265" s="78"/>
      <c r="DH265" s="78"/>
      <c r="DI265" s="78"/>
      <c r="DJ265" s="78"/>
      <c r="DK265" s="78"/>
      <c r="DL265" s="78"/>
      <c r="DM265" s="78"/>
      <c r="DN265" s="78"/>
      <c r="DO265" s="78"/>
      <c r="DP265" s="78"/>
      <c r="DQ265" s="78"/>
      <c r="DR265" s="78"/>
      <c r="DS265" s="78"/>
      <c r="DT265" s="78"/>
      <c r="DU265" s="78"/>
      <c r="DV265" s="78"/>
      <c r="DW265" s="78"/>
      <c r="DX265" s="78"/>
      <c r="DY265" s="78"/>
      <c r="DZ265" s="78"/>
      <c r="EA265" s="78"/>
      <c r="EB265" s="78"/>
      <c r="EC265" s="78"/>
      <c r="ED265" s="78"/>
      <c r="EE265" s="78"/>
      <c r="EF265" s="78"/>
      <c r="EG265" s="78"/>
      <c r="EH265" s="78"/>
      <c r="EI265" s="78"/>
      <c r="EJ265" s="78"/>
      <c r="EK265" s="78"/>
      <c r="EL265" s="78"/>
      <c r="EM265" s="78"/>
      <c r="EN265" s="91"/>
      <c r="EO265" s="91"/>
      <c r="EP265" s="91"/>
      <c r="EQ265" s="91"/>
      <c r="ER265" s="91"/>
      <c r="ES265" s="91"/>
    </row>
    <row r="266" spans="1:149" outlineLevel="1">
      <c r="A266" s="29" t="str">
        <f t="shared" si="40"/>
        <v>modesg_param_sfics_taxon_europeiaflag_project_finance</v>
      </c>
      <c r="B266" s="67" t="s">
        <v>26</v>
      </c>
      <c r="C266" s="68" t="s">
        <v>181</v>
      </c>
      <c r="D266" s="64" t="s">
        <v>40</v>
      </c>
      <c r="E266" s="66" t="s">
        <v>2096</v>
      </c>
      <c r="F266" s="64" t="s">
        <v>199</v>
      </c>
      <c r="G266" s="64" t="str">
        <f>INDEX(Auxiliar!$B$16:$B$24,MATCH(Plano_V3!H266,Auxiliar!$C$16:$C$24,0),1)</f>
        <v>1. Concluído</v>
      </c>
      <c r="H266" s="64">
        <f>VLOOKUP(A266,'Aux - pivots1'!$A:$B,2,0)</f>
        <v>1</v>
      </c>
      <c r="I266" s="180" t="e">
        <f>SUMIFS(Table1[Estimação (horas)],Table1[Tabela],Plano_V3!E266,Table1[Campo],Plano_V3!F266)</f>
        <v>#N/A</v>
      </c>
      <c r="J266" s="180" t="e">
        <f t="shared" si="41"/>
        <v>#N/A</v>
      </c>
      <c r="K266" s="180" t="e">
        <f>SUMIFS(Table1[Horas efetivas],Table1[Tabela],Plano_V3!E266,Table1[Campo],Plano_V3!F266)</f>
        <v>#N/A</v>
      </c>
      <c r="L266" s="180" t="e">
        <f t="shared" si="42"/>
        <v>#N/A</v>
      </c>
      <c r="M266" s="174"/>
      <c r="N266" s="174" t="e">
        <f t="shared" si="43"/>
        <v>#N/A</v>
      </c>
      <c r="O266" s="174" t="e">
        <f t="shared" si="300"/>
        <v>#N/A</v>
      </c>
      <c r="P266" s="89" t="s">
        <v>39</v>
      </c>
      <c r="Q266" s="90" t="e">
        <f t="shared" si="31"/>
        <v>#N/A</v>
      </c>
      <c r="R266" s="78"/>
      <c r="S266" s="78"/>
      <c r="T266" s="78"/>
      <c r="U266" s="78"/>
      <c r="V266" s="78"/>
      <c r="W266" s="78"/>
      <c r="X266" s="78"/>
      <c r="Y266" s="78"/>
      <c r="Z266" s="78"/>
      <c r="AA266" s="78"/>
      <c r="AB266" s="78"/>
      <c r="AC266" s="78"/>
      <c r="AD266" s="78"/>
      <c r="AE266" s="78"/>
      <c r="AF266" s="78"/>
      <c r="AG266" s="78"/>
      <c r="AH266" s="78"/>
      <c r="AI266" s="78"/>
      <c r="AJ266" s="78"/>
      <c r="AK266" s="78"/>
      <c r="AL266" s="78"/>
      <c r="AM266" s="78"/>
      <c r="AN266" s="78"/>
      <c r="AO266" s="78"/>
      <c r="AP266" s="78"/>
      <c r="AQ266" s="78"/>
      <c r="AR266" s="78"/>
      <c r="AS266" s="78"/>
      <c r="AT266" s="78"/>
      <c r="AU266" s="78"/>
      <c r="AV266" s="78"/>
      <c r="AW266" s="78"/>
      <c r="AX266" s="78"/>
      <c r="AY266" s="91"/>
      <c r="AZ266" s="78"/>
      <c r="BA266" s="78"/>
      <c r="BB266" s="78"/>
      <c r="BC266" s="78"/>
      <c r="BD266" s="78"/>
      <c r="BE266" s="78"/>
      <c r="BF266" s="78"/>
      <c r="BG266" s="78"/>
      <c r="BH266" s="78"/>
      <c r="BI266" s="78"/>
      <c r="BJ266" s="78"/>
      <c r="BK266" s="78"/>
      <c r="BL266" s="78"/>
      <c r="BM266" s="78"/>
      <c r="BN266" s="78"/>
      <c r="BO266" s="78"/>
      <c r="BP266" s="78"/>
      <c r="BQ266" s="78"/>
      <c r="BR266" s="78"/>
      <c r="BS266" s="78"/>
      <c r="BT266" s="78"/>
      <c r="BU266" s="78"/>
      <c r="BV266" s="78"/>
      <c r="BW266" s="78"/>
      <c r="BX266" s="78"/>
      <c r="BY266" s="78"/>
      <c r="BZ266" s="78"/>
      <c r="CA266" s="78"/>
      <c r="CB266" s="78"/>
      <c r="CC266" s="78"/>
      <c r="CD266" s="78"/>
      <c r="CE266" s="78"/>
      <c r="CF266" s="78"/>
      <c r="CG266" s="78"/>
      <c r="CH266" s="78"/>
      <c r="CI266" s="78"/>
      <c r="CJ266" s="78"/>
      <c r="CK266" s="78"/>
      <c r="CL266" s="78"/>
      <c r="CM266" s="78"/>
      <c r="CN266" s="78"/>
      <c r="CO266" s="78"/>
      <c r="CP266" s="78"/>
      <c r="CQ266" s="78"/>
      <c r="CR266" s="78"/>
      <c r="CS266" s="78"/>
      <c r="CT266" s="78"/>
      <c r="CU266" s="78"/>
      <c r="CV266" s="78"/>
      <c r="CW266" s="78"/>
      <c r="CX266" s="78"/>
      <c r="CY266" s="78"/>
      <c r="CZ266" s="78"/>
      <c r="DA266" s="78"/>
      <c r="DB266" s="78"/>
      <c r="DC266" s="78"/>
      <c r="DD266" s="78"/>
      <c r="DE266" s="78"/>
      <c r="DF266" s="78"/>
      <c r="DG266" s="78"/>
      <c r="DH266" s="78"/>
      <c r="DI266" s="78"/>
      <c r="DJ266" s="78"/>
      <c r="DK266" s="78"/>
      <c r="DL266" s="78"/>
      <c r="DM266" s="78"/>
      <c r="DN266" s="78"/>
      <c r="DO266" s="78"/>
      <c r="DP266" s="78"/>
      <c r="DQ266" s="78"/>
      <c r="DR266" s="78"/>
      <c r="DS266" s="78"/>
      <c r="DT266" s="78"/>
      <c r="DU266" s="78"/>
      <c r="DV266" s="78"/>
      <c r="DW266" s="78"/>
      <c r="DX266" s="78"/>
      <c r="DY266" s="78"/>
      <c r="DZ266" s="78"/>
      <c r="EA266" s="78"/>
      <c r="EB266" s="78"/>
      <c r="EC266" s="78"/>
      <c r="ED266" s="78"/>
      <c r="EE266" s="78"/>
      <c r="EF266" s="78"/>
      <c r="EG266" s="78"/>
      <c r="EH266" s="78"/>
      <c r="EI266" s="78"/>
      <c r="EJ266" s="78"/>
      <c r="EK266" s="78"/>
      <c r="EL266" s="78"/>
      <c r="EM266" s="78"/>
      <c r="EN266" s="91"/>
      <c r="EO266" s="91"/>
      <c r="EP266" s="91"/>
      <c r="EQ266" s="91"/>
      <c r="ER266" s="91"/>
      <c r="ES266" s="91"/>
    </row>
    <row r="267" spans="1:149" outlineLevel="1">
      <c r="A267" s="29" t="str">
        <f t="shared" si="40"/>
        <v>modesg_param_sfics_taxon_europeiaprdt_sprdt</v>
      </c>
      <c r="B267" s="67" t="s">
        <v>26</v>
      </c>
      <c r="C267" s="68" t="s">
        <v>181</v>
      </c>
      <c r="D267" s="64" t="s">
        <v>40</v>
      </c>
      <c r="E267" s="66" t="s">
        <v>2096</v>
      </c>
      <c r="F267" s="64" t="s">
        <v>2048</v>
      </c>
      <c r="G267" s="64" t="str">
        <f>INDEX(Auxiliar!$B$16:$B$24,MATCH(Plano_V3!H267,Auxiliar!$C$16:$C$24,0),1)</f>
        <v>1. Concluído</v>
      </c>
      <c r="H267" s="64">
        <f>VLOOKUP(A267,'Aux - pivots1'!$A:$B,2,0)</f>
        <v>1</v>
      </c>
      <c r="I267" s="180" t="e">
        <f>SUMIFS(Table1[Estimação (horas)],Table1[Tabela],Plano_V3!E267,Table1[Campo],Plano_V3!F267)</f>
        <v>#N/A</v>
      </c>
      <c r="J267" s="180" t="e">
        <f t="shared" si="41"/>
        <v>#N/A</v>
      </c>
      <c r="K267" s="180" t="e">
        <f>SUMIFS(Table1[Horas efetivas],Table1[Tabela],Plano_V3!E267,Table1[Campo],Plano_V3!F267)</f>
        <v>#N/A</v>
      </c>
      <c r="L267" s="180" t="e">
        <f t="shared" si="42"/>
        <v>#N/A</v>
      </c>
      <c r="M267" s="174"/>
      <c r="N267" s="174" t="e">
        <f t="shared" si="43"/>
        <v>#N/A</v>
      </c>
      <c r="O267" s="174" t="e">
        <f t="shared" si="300"/>
        <v>#N/A</v>
      </c>
      <c r="P267" s="89" t="s">
        <v>39</v>
      </c>
      <c r="Q267" s="90" t="e">
        <f t="shared" si="31"/>
        <v>#N/A</v>
      </c>
      <c r="R267" s="78"/>
      <c r="S267" s="78"/>
      <c r="T267" s="78"/>
      <c r="U267" s="78"/>
      <c r="V267" s="78"/>
      <c r="W267" s="78"/>
      <c r="X267" s="78"/>
      <c r="Y267" s="78"/>
      <c r="Z267" s="78"/>
      <c r="AA267" s="78"/>
      <c r="AB267" s="78"/>
      <c r="AC267" s="78"/>
      <c r="AD267" s="78"/>
      <c r="AE267" s="78"/>
      <c r="AF267" s="78"/>
      <c r="AG267" s="78"/>
      <c r="AH267" s="78"/>
      <c r="AI267" s="78"/>
      <c r="AJ267" s="78"/>
      <c r="AK267" s="78"/>
      <c r="AL267" s="78"/>
      <c r="AM267" s="78"/>
      <c r="AN267" s="78"/>
      <c r="AO267" s="78"/>
      <c r="AP267" s="78"/>
      <c r="AQ267" s="78"/>
      <c r="AR267" s="78"/>
      <c r="AS267" s="78"/>
      <c r="AT267" s="78"/>
      <c r="AU267" s="78"/>
      <c r="AV267" s="78"/>
      <c r="AW267" s="78"/>
      <c r="AX267" s="78"/>
      <c r="AY267" s="91"/>
      <c r="AZ267" s="78"/>
      <c r="BA267" s="78"/>
      <c r="BB267" s="78"/>
      <c r="BC267" s="78"/>
      <c r="BD267" s="78"/>
      <c r="BE267" s="78"/>
      <c r="BF267" s="78"/>
      <c r="BG267" s="78"/>
      <c r="BH267" s="78"/>
      <c r="BI267" s="78"/>
      <c r="BJ267" s="78"/>
      <c r="BK267" s="78"/>
      <c r="BL267" s="78"/>
      <c r="BM267" s="78"/>
      <c r="BN267" s="78"/>
      <c r="BO267" s="78"/>
      <c r="BP267" s="78"/>
      <c r="BQ267" s="78"/>
      <c r="BR267" s="78"/>
      <c r="BS267" s="78"/>
      <c r="BT267" s="78"/>
      <c r="BU267" s="78"/>
      <c r="BV267" s="78"/>
      <c r="BW267" s="78"/>
      <c r="BX267" s="78"/>
      <c r="BY267" s="78"/>
      <c r="BZ267" s="78"/>
      <c r="CA267" s="78"/>
      <c r="CB267" s="78"/>
      <c r="CC267" s="78"/>
      <c r="CD267" s="78"/>
      <c r="CE267" s="78"/>
      <c r="CF267" s="78"/>
      <c r="CG267" s="78"/>
      <c r="CH267" s="78"/>
      <c r="CI267" s="78"/>
      <c r="CJ267" s="78"/>
      <c r="CK267" s="78"/>
      <c r="CL267" s="78"/>
      <c r="CM267" s="78"/>
      <c r="CN267" s="78"/>
      <c r="CO267" s="78"/>
      <c r="CP267" s="78"/>
      <c r="CQ267" s="78"/>
      <c r="CR267" s="78"/>
      <c r="CS267" s="78"/>
      <c r="CT267" s="78"/>
      <c r="CU267" s="78"/>
      <c r="CV267" s="78"/>
      <c r="CW267" s="78"/>
      <c r="CX267" s="78"/>
      <c r="CY267" s="78"/>
      <c r="CZ267" s="78"/>
      <c r="DA267" s="78"/>
      <c r="DB267" s="78"/>
      <c r="DC267" s="78"/>
      <c r="DD267" s="78"/>
      <c r="DE267" s="78"/>
      <c r="DF267" s="78"/>
      <c r="DG267" s="78"/>
      <c r="DH267" s="78"/>
      <c r="DI267" s="78"/>
      <c r="DJ267" s="78"/>
      <c r="DK267" s="78"/>
      <c r="DL267" s="78"/>
      <c r="DM267" s="78"/>
      <c r="DN267" s="78"/>
      <c r="DO267" s="78"/>
      <c r="DP267" s="78"/>
      <c r="DQ267" s="78"/>
      <c r="DR267" s="78"/>
      <c r="DS267" s="78"/>
      <c r="DT267" s="78"/>
      <c r="DU267" s="78"/>
      <c r="DV267" s="78"/>
      <c r="DW267" s="78"/>
      <c r="DX267" s="78"/>
      <c r="DY267" s="78"/>
      <c r="DZ267" s="78"/>
      <c r="EA267" s="78"/>
      <c r="EB267" s="78"/>
      <c r="EC267" s="78"/>
      <c r="ED267" s="78"/>
      <c r="EE267" s="78"/>
      <c r="EF267" s="78"/>
      <c r="EG267" s="78"/>
      <c r="EH267" s="78"/>
      <c r="EI267" s="78"/>
      <c r="EJ267" s="78"/>
      <c r="EK267" s="78"/>
      <c r="EL267" s="78"/>
      <c r="EM267" s="78"/>
      <c r="EN267" s="91"/>
      <c r="EO267" s="91"/>
      <c r="EP267" s="91"/>
      <c r="EQ267" s="91"/>
      <c r="ER267" s="91"/>
      <c r="ES267" s="91"/>
    </row>
    <row r="268" spans="1:149" outlineLevel="1">
      <c r="A268" s="29" t="str">
        <f t="shared" si="40"/>
        <v>modesg_param_sfics_taxon_europeiaflg_csrd</v>
      </c>
      <c r="B268" s="67" t="s">
        <v>26</v>
      </c>
      <c r="C268" s="68" t="s">
        <v>181</v>
      </c>
      <c r="D268" s="64" t="s">
        <v>40</v>
      </c>
      <c r="E268" s="66" t="s">
        <v>2096</v>
      </c>
      <c r="F268" s="64" t="s">
        <v>2049</v>
      </c>
      <c r="G268" s="64" t="str">
        <f>INDEX(Auxiliar!$B$16:$B$24,MATCH(Plano_V3!H268,Auxiliar!$C$16:$C$24,0),1)</f>
        <v>1. Concluído</v>
      </c>
      <c r="H268" s="64">
        <f>VLOOKUP(A268,'Aux - pivots1'!$A:$B,2,0)</f>
        <v>1</v>
      </c>
      <c r="I268" s="180">
        <f>SUMIFS(Table1[Estimação (horas)],Table1[Tabela],Plano_V3!E268,Table1[Campo],Plano_V3!F268)</f>
        <v>0.6</v>
      </c>
      <c r="J268" s="180">
        <f t="shared" si="41"/>
        <v>7.4999999999999997E-2</v>
      </c>
      <c r="K268" s="180">
        <f>SUMIFS(Table1[Horas efetivas],Table1[Tabela],Plano_V3!E268,Table1[Campo],Plano_V3!F268)</f>
        <v>0.6</v>
      </c>
      <c r="L268" s="180">
        <f t="shared" si="42"/>
        <v>7.4999999999999997E-2</v>
      </c>
      <c r="M268" s="174"/>
      <c r="N268" s="174">
        <f t="shared" si="43"/>
        <v>1</v>
      </c>
      <c r="O268" s="174">
        <f t="shared" si="300"/>
        <v>1</v>
      </c>
      <c r="P268" s="89" t="s">
        <v>39</v>
      </c>
      <c r="Q268" s="90">
        <f t="shared" si="31"/>
        <v>7.4999999999999997E-2</v>
      </c>
      <c r="R268" s="78"/>
      <c r="S268" s="78"/>
      <c r="T268" s="78"/>
      <c r="U268" s="78"/>
      <c r="V268" s="78"/>
      <c r="W268" s="78"/>
      <c r="X268" s="78"/>
      <c r="Y268" s="78"/>
      <c r="Z268" s="78"/>
      <c r="AA268" s="78"/>
      <c r="AB268" s="78"/>
      <c r="AC268" s="78"/>
      <c r="AD268" s="78"/>
      <c r="AE268" s="78"/>
      <c r="AF268" s="78"/>
      <c r="AG268" s="78"/>
      <c r="AH268" s="78"/>
      <c r="AI268" s="78"/>
      <c r="AJ268" s="78"/>
      <c r="AK268" s="78"/>
      <c r="AL268" s="78"/>
      <c r="AM268" s="78"/>
      <c r="AN268" s="78"/>
      <c r="AO268" s="78"/>
      <c r="AP268" s="78"/>
      <c r="AQ268" s="78"/>
      <c r="AR268" s="78"/>
      <c r="AS268" s="78"/>
      <c r="AT268" s="78"/>
      <c r="AU268" s="78"/>
      <c r="AV268" s="78"/>
      <c r="AW268" s="78"/>
      <c r="AX268" s="78"/>
      <c r="AY268" s="91"/>
      <c r="AZ268" s="78"/>
      <c r="BA268" s="78"/>
      <c r="BB268" s="78"/>
      <c r="BC268" s="78"/>
      <c r="BD268" s="78"/>
      <c r="BE268" s="78"/>
      <c r="BF268" s="78"/>
      <c r="BG268" s="78"/>
      <c r="BH268" s="78"/>
      <c r="BI268" s="78"/>
      <c r="BJ268" s="78"/>
      <c r="BK268" s="78"/>
      <c r="BL268" s="78"/>
      <c r="BM268" s="78"/>
      <c r="BN268" s="78"/>
      <c r="BO268" s="78"/>
      <c r="BP268" s="78"/>
      <c r="BQ268" s="78"/>
      <c r="BR268" s="78"/>
      <c r="BS268" s="78"/>
      <c r="BT268" s="78"/>
      <c r="BU268" s="78"/>
      <c r="BV268" s="78"/>
      <c r="BW268" s="78"/>
      <c r="BX268" s="78"/>
      <c r="BY268" s="78"/>
      <c r="BZ268" s="78"/>
      <c r="CA268" s="78"/>
      <c r="CB268" s="78"/>
      <c r="CC268" s="78"/>
      <c r="CD268" s="78"/>
      <c r="CE268" s="78"/>
      <c r="CF268" s="78"/>
      <c r="CG268" s="78"/>
      <c r="CH268" s="78"/>
      <c r="CI268" s="78"/>
      <c r="CJ268" s="78"/>
      <c r="CK268" s="78"/>
      <c r="CL268" s="78"/>
      <c r="CM268" s="78"/>
      <c r="CN268" s="78"/>
      <c r="CO268" s="78"/>
      <c r="CP268" s="78"/>
      <c r="CQ268" s="78"/>
      <c r="CR268" s="78"/>
      <c r="CS268" s="78"/>
      <c r="CT268" s="78"/>
      <c r="CU268" s="78"/>
      <c r="CV268" s="78"/>
      <c r="CW268" s="78"/>
      <c r="CX268" s="78"/>
      <c r="CY268" s="78"/>
      <c r="CZ268" s="78"/>
      <c r="DA268" s="78"/>
      <c r="DB268" s="78"/>
      <c r="DC268" s="78"/>
      <c r="DD268" s="78"/>
      <c r="DE268" s="78"/>
      <c r="DF268" s="78"/>
      <c r="DG268" s="78"/>
      <c r="DH268" s="78"/>
      <c r="DI268" s="78"/>
      <c r="DJ268" s="78"/>
      <c r="DK268" s="78"/>
      <c r="DL268" s="78"/>
      <c r="DM268" s="78"/>
      <c r="DN268" s="78"/>
      <c r="DO268" s="78"/>
      <c r="DP268" s="78"/>
      <c r="DQ268" s="78"/>
      <c r="DR268" s="78"/>
      <c r="DS268" s="78"/>
      <c r="DT268" s="78"/>
      <c r="DU268" s="78"/>
      <c r="DV268" s="78"/>
      <c r="DW268" s="78"/>
      <c r="DX268" s="78"/>
      <c r="DY268" s="78"/>
      <c r="DZ268" s="78"/>
      <c r="EA268" s="78"/>
      <c r="EB268" s="78"/>
      <c r="EC268" s="78"/>
      <c r="ED268" s="78"/>
      <c r="EE268" s="78"/>
      <c r="EF268" s="78"/>
      <c r="EG268" s="78"/>
      <c r="EH268" s="78"/>
      <c r="EI268" s="78"/>
      <c r="EJ268" s="78"/>
      <c r="EK268" s="78"/>
      <c r="EL268" s="78"/>
      <c r="EM268" s="78"/>
      <c r="EN268" s="91"/>
      <c r="EO268" s="91"/>
      <c r="EP268" s="91"/>
      <c r="EQ268" s="91"/>
      <c r="ER268" s="91"/>
      <c r="ES268" s="91"/>
    </row>
    <row r="269" spans="1:149" outlineLevel="1">
      <c r="A269" s="29" t="str">
        <f t="shared" si="40"/>
        <v>modesg_param_sfics_taxon_europeiacombustivel</v>
      </c>
      <c r="B269" s="67" t="s">
        <v>26</v>
      </c>
      <c r="C269" s="68" t="s">
        <v>181</v>
      </c>
      <c r="D269" s="64" t="s">
        <v>40</v>
      </c>
      <c r="E269" s="66" t="s">
        <v>2096</v>
      </c>
      <c r="F269" s="64" t="s">
        <v>2050</v>
      </c>
      <c r="G269" s="64" t="str">
        <f>INDEX(Auxiliar!$B$16:$B$24,MATCH(Plano_V3!H269,Auxiliar!$C$16:$C$24,0),1)</f>
        <v>1. Concluído</v>
      </c>
      <c r="H269" s="64">
        <f>VLOOKUP(A269,'Aux - pivots1'!$A:$B,2,0)</f>
        <v>1</v>
      </c>
      <c r="I269" s="180">
        <f>SUMIFS(Table1[Estimação (horas)],Table1[Tabela],Plano_V3!E269,Table1[Campo],Plano_V3!F269)</f>
        <v>0.6</v>
      </c>
      <c r="J269" s="180">
        <f t="shared" si="41"/>
        <v>7.4999999999999997E-2</v>
      </c>
      <c r="K269" s="180">
        <f>SUMIFS(Table1[Horas efetivas],Table1[Tabela],Plano_V3!E269,Table1[Campo],Plano_V3!F269)</f>
        <v>0.6</v>
      </c>
      <c r="L269" s="180">
        <f t="shared" si="42"/>
        <v>7.4999999999999997E-2</v>
      </c>
      <c r="M269" s="174"/>
      <c r="N269" s="174">
        <f t="shared" si="43"/>
        <v>1</v>
      </c>
      <c r="O269" s="174">
        <f t="shared" si="300"/>
        <v>1</v>
      </c>
      <c r="P269" s="89" t="s">
        <v>39</v>
      </c>
      <c r="Q269" s="90">
        <f t="shared" ref="Q269:Q351" si="301">J269-SUM(R269:ES269)</f>
        <v>7.4999999999999997E-2</v>
      </c>
      <c r="R269" s="78"/>
      <c r="S269" s="78"/>
      <c r="T269" s="78"/>
      <c r="U269" s="78"/>
      <c r="V269" s="78"/>
      <c r="W269" s="78"/>
      <c r="X269" s="78"/>
      <c r="Y269" s="78"/>
      <c r="Z269" s="78"/>
      <c r="AA269" s="78"/>
      <c r="AB269" s="78"/>
      <c r="AC269" s="78"/>
      <c r="AD269" s="78"/>
      <c r="AE269" s="78"/>
      <c r="AF269" s="78"/>
      <c r="AG269" s="78"/>
      <c r="AH269" s="78"/>
      <c r="AI269" s="78"/>
      <c r="AJ269" s="78"/>
      <c r="AK269" s="78"/>
      <c r="AL269" s="78"/>
      <c r="AM269" s="78"/>
      <c r="AN269" s="78"/>
      <c r="AO269" s="78"/>
      <c r="AP269" s="78"/>
      <c r="AQ269" s="78"/>
      <c r="AR269" s="78"/>
      <c r="AS269" s="78"/>
      <c r="AT269" s="78"/>
      <c r="AU269" s="78"/>
      <c r="AV269" s="78"/>
      <c r="AW269" s="78"/>
      <c r="AX269" s="78"/>
      <c r="AY269" s="91"/>
      <c r="AZ269" s="78"/>
      <c r="BA269" s="78"/>
      <c r="BB269" s="78"/>
      <c r="BC269" s="78"/>
      <c r="BD269" s="78"/>
      <c r="BE269" s="78"/>
      <c r="BF269" s="78"/>
      <c r="BG269" s="78"/>
      <c r="BH269" s="78"/>
      <c r="BI269" s="78"/>
      <c r="BJ269" s="78"/>
      <c r="BK269" s="78"/>
      <c r="BL269" s="78"/>
      <c r="BM269" s="78"/>
      <c r="BN269" s="78"/>
      <c r="BO269" s="78"/>
      <c r="BP269" s="78"/>
      <c r="BQ269" s="78"/>
      <c r="BR269" s="78"/>
      <c r="BS269" s="78"/>
      <c r="BT269" s="78"/>
      <c r="BU269" s="78"/>
      <c r="BV269" s="78"/>
      <c r="BW269" s="78"/>
      <c r="BX269" s="78"/>
      <c r="BY269" s="78"/>
      <c r="BZ269" s="78"/>
      <c r="CA269" s="78"/>
      <c r="CB269" s="78"/>
      <c r="CC269" s="78"/>
      <c r="CD269" s="78"/>
      <c r="CE269" s="78"/>
      <c r="CF269" s="78"/>
      <c r="CG269" s="78"/>
      <c r="CH269" s="78"/>
      <c r="CI269" s="78"/>
      <c r="CJ269" s="78"/>
      <c r="CK269" s="78"/>
      <c r="CL269" s="78"/>
      <c r="CM269" s="78"/>
      <c r="CN269" s="78"/>
      <c r="CO269" s="78"/>
      <c r="CP269" s="78"/>
      <c r="CQ269" s="78"/>
      <c r="CR269" s="78"/>
      <c r="CS269" s="78"/>
      <c r="CT269" s="78"/>
      <c r="CU269" s="78"/>
      <c r="CV269" s="78"/>
      <c r="CW269" s="78"/>
      <c r="CX269" s="78"/>
      <c r="CY269" s="78"/>
      <c r="CZ269" s="78"/>
      <c r="DA269" s="78"/>
      <c r="DB269" s="78"/>
      <c r="DC269" s="78"/>
      <c r="DD269" s="78"/>
      <c r="DE269" s="78"/>
      <c r="DF269" s="78"/>
      <c r="DG269" s="78"/>
      <c r="DH269" s="78"/>
      <c r="DI269" s="78"/>
      <c r="DJ269" s="78"/>
      <c r="DK269" s="78"/>
      <c r="DL269" s="78"/>
      <c r="DM269" s="78"/>
      <c r="DN269" s="78"/>
      <c r="DO269" s="78"/>
      <c r="DP269" s="78"/>
      <c r="DQ269" s="78"/>
      <c r="DR269" s="78"/>
      <c r="DS269" s="78"/>
      <c r="DT269" s="78"/>
      <c r="DU269" s="78"/>
      <c r="DV269" s="78"/>
      <c r="DW269" s="78"/>
      <c r="DX269" s="78"/>
      <c r="DY269" s="78"/>
      <c r="DZ269" s="78"/>
      <c r="EA269" s="78"/>
      <c r="EB269" s="78"/>
      <c r="EC269" s="78"/>
      <c r="ED269" s="78"/>
      <c r="EE269" s="78"/>
      <c r="EF269" s="78"/>
      <c r="EG269" s="78"/>
      <c r="EH269" s="78"/>
      <c r="EI269" s="78"/>
      <c r="EJ269" s="78"/>
      <c r="EK269" s="78"/>
      <c r="EL269" s="78"/>
      <c r="EM269" s="78"/>
      <c r="EN269" s="91"/>
      <c r="EO269" s="91"/>
      <c r="EP269" s="91"/>
      <c r="EQ269" s="91"/>
      <c r="ER269" s="91"/>
      <c r="ES269" s="91"/>
    </row>
    <row r="270" spans="1:149" outlineLevel="1">
      <c r="A270" s="29" t="str">
        <f t="shared" si="40"/>
        <v>modesg_param_sfics_taxon_europeiaco2</v>
      </c>
      <c r="B270" s="67" t="s">
        <v>26</v>
      </c>
      <c r="C270" s="68" t="s">
        <v>181</v>
      </c>
      <c r="D270" s="64" t="s">
        <v>40</v>
      </c>
      <c r="E270" s="66" t="s">
        <v>2096</v>
      </c>
      <c r="F270" s="64" t="s">
        <v>2051</v>
      </c>
      <c r="G270" s="64" t="str">
        <f>INDEX(Auxiliar!$B$16:$B$24,MATCH(Plano_V3!H270,Auxiliar!$C$16:$C$24,0),1)</f>
        <v>1. Concluído</v>
      </c>
      <c r="H270" s="64">
        <f>VLOOKUP(A270,'Aux - pivots1'!$A:$B,2,0)</f>
        <v>1</v>
      </c>
      <c r="I270" s="180" t="e">
        <f>SUMIFS(Table1[Estimação (horas)],Table1[Tabela],Plano_V3!E270,Table1[Campo],Plano_V3!F270)</f>
        <v>#N/A</v>
      </c>
      <c r="J270" s="180" t="e">
        <f t="shared" si="41"/>
        <v>#N/A</v>
      </c>
      <c r="K270" s="180" t="e">
        <f>SUMIFS(Table1[Horas efetivas],Table1[Tabela],Plano_V3!E270,Table1[Campo],Plano_V3!F270)</f>
        <v>#N/A</v>
      </c>
      <c r="L270" s="180" t="e">
        <f t="shared" si="42"/>
        <v>#N/A</v>
      </c>
      <c r="M270" s="174"/>
      <c r="N270" s="174" t="e">
        <f t="shared" si="43"/>
        <v>#N/A</v>
      </c>
      <c r="O270" s="174" t="e">
        <f t="shared" si="300"/>
        <v>#N/A</v>
      </c>
      <c r="P270" s="89" t="s">
        <v>39</v>
      </c>
      <c r="Q270" s="90" t="e">
        <f t="shared" si="301"/>
        <v>#N/A</v>
      </c>
      <c r="R270" s="78"/>
      <c r="S270" s="78"/>
      <c r="T270" s="78"/>
      <c r="U270" s="78"/>
      <c r="V270" s="78"/>
      <c r="W270" s="78"/>
      <c r="X270" s="78"/>
      <c r="Y270" s="78"/>
      <c r="Z270" s="78"/>
      <c r="AA270" s="78"/>
      <c r="AB270" s="78"/>
      <c r="AC270" s="78"/>
      <c r="AD270" s="78"/>
      <c r="AE270" s="78"/>
      <c r="AF270" s="78"/>
      <c r="AG270" s="78"/>
      <c r="AH270" s="78"/>
      <c r="AI270" s="78"/>
      <c r="AJ270" s="78"/>
      <c r="AK270" s="78"/>
      <c r="AL270" s="78"/>
      <c r="AM270" s="78"/>
      <c r="AN270" s="78"/>
      <c r="AO270" s="78"/>
      <c r="AP270" s="78"/>
      <c r="AQ270" s="78"/>
      <c r="AR270" s="78"/>
      <c r="AS270" s="78"/>
      <c r="AT270" s="78"/>
      <c r="AU270" s="78"/>
      <c r="AV270" s="78"/>
      <c r="AW270" s="78"/>
      <c r="AX270" s="78"/>
      <c r="AY270" s="91"/>
      <c r="AZ270" s="78"/>
      <c r="BA270" s="78"/>
      <c r="BB270" s="78"/>
      <c r="BC270" s="78"/>
      <c r="BD270" s="78"/>
      <c r="BE270" s="78"/>
      <c r="BF270" s="78"/>
      <c r="BG270" s="78"/>
      <c r="BH270" s="78"/>
      <c r="BI270" s="78"/>
      <c r="BJ270" s="78"/>
      <c r="BK270" s="78"/>
      <c r="BL270" s="78"/>
      <c r="BM270" s="78"/>
      <c r="BN270" s="78"/>
      <c r="BO270" s="78"/>
      <c r="BP270" s="78"/>
      <c r="BQ270" s="78"/>
      <c r="BR270" s="78"/>
      <c r="BS270" s="78"/>
      <c r="BT270" s="78"/>
      <c r="BU270" s="78"/>
      <c r="BV270" s="78"/>
      <c r="BW270" s="78"/>
      <c r="BX270" s="78"/>
      <c r="BY270" s="78"/>
      <c r="BZ270" s="78"/>
      <c r="CA270" s="78"/>
      <c r="CB270" s="78"/>
      <c r="CC270" s="78"/>
      <c r="CD270" s="78"/>
      <c r="CE270" s="78"/>
      <c r="CF270" s="78"/>
      <c r="CG270" s="78"/>
      <c r="CH270" s="78"/>
      <c r="CI270" s="78"/>
      <c r="CJ270" s="78"/>
      <c r="CK270" s="78"/>
      <c r="CL270" s="78"/>
      <c r="CM270" s="78"/>
      <c r="CN270" s="78"/>
      <c r="CO270" s="78"/>
      <c r="CP270" s="78"/>
      <c r="CQ270" s="78"/>
      <c r="CR270" s="78"/>
      <c r="CS270" s="78"/>
      <c r="CT270" s="78"/>
      <c r="CU270" s="78"/>
      <c r="CV270" s="78"/>
      <c r="CW270" s="78"/>
      <c r="CX270" s="78"/>
      <c r="CY270" s="78"/>
      <c r="CZ270" s="78"/>
      <c r="DA270" s="78"/>
      <c r="DB270" s="78"/>
      <c r="DC270" s="78"/>
      <c r="DD270" s="78"/>
      <c r="DE270" s="78"/>
      <c r="DF270" s="78"/>
      <c r="DG270" s="78"/>
      <c r="DH270" s="78"/>
      <c r="DI270" s="78"/>
      <c r="DJ270" s="78"/>
      <c r="DK270" s="78"/>
      <c r="DL270" s="78"/>
      <c r="DM270" s="78"/>
      <c r="DN270" s="78"/>
      <c r="DO270" s="78"/>
      <c r="DP270" s="78"/>
      <c r="DQ270" s="78"/>
      <c r="DR270" s="78"/>
      <c r="DS270" s="78"/>
      <c r="DT270" s="78"/>
      <c r="DU270" s="78"/>
      <c r="DV270" s="78"/>
      <c r="DW270" s="78"/>
      <c r="DX270" s="78"/>
      <c r="DY270" s="78"/>
      <c r="DZ270" s="78"/>
      <c r="EA270" s="78"/>
      <c r="EB270" s="78"/>
      <c r="EC270" s="78"/>
      <c r="ED270" s="78"/>
      <c r="EE270" s="78"/>
      <c r="EF270" s="78"/>
      <c r="EG270" s="78"/>
      <c r="EH270" s="78"/>
      <c r="EI270" s="78"/>
      <c r="EJ270" s="78"/>
      <c r="EK270" s="78"/>
      <c r="EL270" s="78"/>
      <c r="EM270" s="78"/>
      <c r="EN270" s="91"/>
      <c r="EO270" s="91"/>
      <c r="EP270" s="91"/>
      <c r="EQ270" s="91"/>
      <c r="ER270" s="91"/>
      <c r="ES270" s="91"/>
    </row>
    <row r="271" spans="1:149" outlineLevel="1">
      <c r="A271" s="29" t="str">
        <f t="shared" si="40"/>
        <v>modesg_param_sfics_taxon_europeiacfamilia</v>
      </c>
      <c r="B271" s="67" t="s">
        <v>26</v>
      </c>
      <c r="C271" s="68" t="s">
        <v>181</v>
      </c>
      <c r="D271" s="64" t="s">
        <v>40</v>
      </c>
      <c r="E271" s="66" t="s">
        <v>2096</v>
      </c>
      <c r="F271" s="64" t="s">
        <v>2052</v>
      </c>
      <c r="G271" s="64" t="str">
        <f>INDEX(Auxiliar!$B$16:$B$24,MATCH(Plano_V3!H271,Auxiliar!$C$16:$C$24,0),1)</f>
        <v>1. Concluído</v>
      </c>
      <c r="H271" s="64">
        <f>VLOOKUP(A271,'Aux - pivots1'!$A:$B,2,0)</f>
        <v>1</v>
      </c>
      <c r="I271" s="180">
        <f>SUMIFS(Table1[Estimação (horas)],Table1[Tabela],Plano_V3!E271,Table1[Campo],Plano_V3!F271)</f>
        <v>0.6</v>
      </c>
      <c r="J271" s="180">
        <f t="shared" si="41"/>
        <v>7.4999999999999997E-2</v>
      </c>
      <c r="K271" s="180">
        <f>SUMIFS(Table1[Horas efetivas],Table1[Tabela],Plano_V3!E271,Table1[Campo],Plano_V3!F271)</f>
        <v>0.6</v>
      </c>
      <c r="L271" s="180">
        <f t="shared" si="42"/>
        <v>7.4999999999999997E-2</v>
      </c>
      <c r="M271" s="174"/>
      <c r="N271" s="174">
        <f t="shared" si="43"/>
        <v>1</v>
      </c>
      <c r="O271" s="174">
        <f t="shared" si="300"/>
        <v>1</v>
      </c>
      <c r="P271" s="89" t="s">
        <v>39</v>
      </c>
      <c r="Q271" s="90">
        <f t="shared" si="301"/>
        <v>7.4999999999999997E-2</v>
      </c>
      <c r="R271" s="78"/>
      <c r="S271" s="78"/>
      <c r="T271" s="78"/>
      <c r="U271" s="78"/>
      <c r="V271" s="78"/>
      <c r="W271" s="78"/>
      <c r="X271" s="78"/>
      <c r="Y271" s="78"/>
      <c r="Z271" s="78"/>
      <c r="AA271" s="78"/>
      <c r="AB271" s="78"/>
      <c r="AC271" s="78"/>
      <c r="AD271" s="78"/>
      <c r="AE271" s="78"/>
      <c r="AF271" s="78"/>
      <c r="AG271" s="78"/>
      <c r="AH271" s="78"/>
      <c r="AI271" s="78"/>
      <c r="AJ271" s="78"/>
      <c r="AK271" s="78"/>
      <c r="AL271" s="78"/>
      <c r="AM271" s="78"/>
      <c r="AN271" s="78"/>
      <c r="AO271" s="78"/>
      <c r="AP271" s="78"/>
      <c r="AQ271" s="78"/>
      <c r="AR271" s="78"/>
      <c r="AS271" s="78"/>
      <c r="AT271" s="78"/>
      <c r="AU271" s="78"/>
      <c r="AV271" s="78"/>
      <c r="AW271" s="78"/>
      <c r="AX271" s="78"/>
      <c r="AY271" s="91"/>
      <c r="AZ271" s="78"/>
      <c r="BA271" s="78"/>
      <c r="BB271" s="78"/>
      <c r="BC271" s="78"/>
      <c r="BD271" s="78"/>
      <c r="BE271" s="78"/>
      <c r="BF271" s="78"/>
      <c r="BG271" s="78"/>
      <c r="BH271" s="78"/>
      <c r="BI271" s="78"/>
      <c r="BJ271" s="78"/>
      <c r="BK271" s="78"/>
      <c r="BL271" s="78"/>
      <c r="BM271" s="78"/>
      <c r="BN271" s="78"/>
      <c r="BO271" s="78"/>
      <c r="BP271" s="78"/>
      <c r="BQ271" s="78"/>
      <c r="BR271" s="78"/>
      <c r="BS271" s="78"/>
      <c r="BT271" s="78"/>
      <c r="BU271" s="78"/>
      <c r="BV271" s="78"/>
      <c r="BW271" s="78"/>
      <c r="BX271" s="78"/>
      <c r="BY271" s="78"/>
      <c r="BZ271" s="78"/>
      <c r="CA271" s="78"/>
      <c r="CB271" s="78"/>
      <c r="CC271" s="78"/>
      <c r="CD271" s="78"/>
      <c r="CE271" s="78"/>
      <c r="CF271" s="78"/>
      <c r="CG271" s="78"/>
      <c r="CH271" s="78"/>
      <c r="CI271" s="78"/>
      <c r="CJ271" s="78"/>
      <c r="CK271" s="78"/>
      <c r="CL271" s="78"/>
      <c r="CM271" s="78"/>
      <c r="CN271" s="78"/>
      <c r="CO271" s="78"/>
      <c r="CP271" s="78"/>
      <c r="CQ271" s="78"/>
      <c r="CR271" s="78"/>
      <c r="CS271" s="78"/>
      <c r="CT271" s="78"/>
      <c r="CU271" s="78"/>
      <c r="CV271" s="78"/>
      <c r="CW271" s="78"/>
      <c r="CX271" s="78"/>
      <c r="CY271" s="78"/>
      <c r="CZ271" s="78"/>
      <c r="DA271" s="78"/>
      <c r="DB271" s="78"/>
      <c r="DC271" s="78"/>
      <c r="DD271" s="78"/>
      <c r="DE271" s="78"/>
      <c r="DF271" s="78"/>
      <c r="DG271" s="78"/>
      <c r="DH271" s="78"/>
      <c r="DI271" s="78"/>
      <c r="DJ271" s="78"/>
      <c r="DK271" s="78"/>
      <c r="DL271" s="78"/>
      <c r="DM271" s="78"/>
      <c r="DN271" s="78"/>
      <c r="DO271" s="78"/>
      <c r="DP271" s="78"/>
      <c r="DQ271" s="78"/>
      <c r="DR271" s="78"/>
      <c r="DS271" s="78"/>
      <c r="DT271" s="78"/>
      <c r="DU271" s="78"/>
      <c r="DV271" s="78"/>
      <c r="DW271" s="78"/>
      <c r="DX271" s="78"/>
      <c r="DY271" s="78"/>
      <c r="DZ271" s="78"/>
      <c r="EA271" s="78"/>
      <c r="EB271" s="78"/>
      <c r="EC271" s="78"/>
      <c r="ED271" s="78"/>
      <c r="EE271" s="78"/>
      <c r="EF271" s="78"/>
      <c r="EG271" s="78"/>
      <c r="EH271" s="78"/>
      <c r="EI271" s="78"/>
      <c r="EJ271" s="78"/>
      <c r="EK271" s="78"/>
      <c r="EL271" s="78"/>
      <c r="EM271" s="78"/>
      <c r="EN271" s="91"/>
      <c r="EO271" s="91"/>
      <c r="EP271" s="91"/>
      <c r="EQ271" s="91"/>
      <c r="ER271" s="91"/>
      <c r="ES271" s="91"/>
    </row>
    <row r="272" spans="1:149" outlineLevel="1">
      <c r="A272" s="29" t="str">
        <f t="shared" si="40"/>
        <v>modesg_param_sfics_taxon_europeiaflg_rsc_fsc_crnc</v>
      </c>
      <c r="B272" s="67" t="s">
        <v>26</v>
      </c>
      <c r="C272" s="68" t="s">
        <v>181</v>
      </c>
      <c r="D272" s="64" t="s">
        <v>40</v>
      </c>
      <c r="E272" s="66" t="s">
        <v>2096</v>
      </c>
      <c r="F272" s="64" t="s">
        <v>283</v>
      </c>
      <c r="G272" s="64" t="str">
        <f>INDEX(Auxiliar!$B$16:$B$24,MATCH(Plano_V3!H272,Auxiliar!$C$16:$C$24,0),1)</f>
        <v>1. Concluído</v>
      </c>
      <c r="H272" s="64">
        <f>VLOOKUP(A272,'Aux - pivots1'!$A:$B,2,0)</f>
        <v>1</v>
      </c>
      <c r="I272" s="180">
        <f>SUMIFS(Table1[Estimação (horas)],Table1[Tabela],Plano_V3!E272,Table1[Campo],Plano_V3!F272)</f>
        <v>0.6</v>
      </c>
      <c r="J272" s="180">
        <f t="shared" si="41"/>
        <v>7.4999999999999997E-2</v>
      </c>
      <c r="K272" s="180">
        <f>SUMIFS(Table1[Horas efetivas],Table1[Tabela],Plano_V3!E272,Table1[Campo],Plano_V3!F272)</f>
        <v>0.6</v>
      </c>
      <c r="L272" s="180">
        <f t="shared" si="42"/>
        <v>7.4999999999999997E-2</v>
      </c>
      <c r="M272" s="174"/>
      <c r="N272" s="174">
        <f t="shared" si="43"/>
        <v>1</v>
      </c>
      <c r="O272" s="174">
        <f t="shared" si="300"/>
        <v>1</v>
      </c>
      <c r="P272" s="89" t="s">
        <v>39</v>
      </c>
      <c r="Q272" s="90">
        <f t="shared" si="301"/>
        <v>7.4999999999999997E-2</v>
      </c>
      <c r="R272" s="78"/>
      <c r="S272" s="78"/>
      <c r="T272" s="78"/>
      <c r="U272" s="78"/>
      <c r="V272" s="78"/>
      <c r="W272" s="78"/>
      <c r="X272" s="78"/>
      <c r="Y272" s="78"/>
      <c r="Z272" s="78"/>
      <c r="AA272" s="78"/>
      <c r="AB272" s="78"/>
      <c r="AC272" s="78"/>
      <c r="AD272" s="78"/>
      <c r="AE272" s="78"/>
      <c r="AF272" s="78"/>
      <c r="AG272" s="78"/>
      <c r="AH272" s="78"/>
      <c r="AI272" s="78"/>
      <c r="AJ272" s="78"/>
      <c r="AK272" s="78"/>
      <c r="AL272" s="78"/>
      <c r="AM272" s="78"/>
      <c r="AN272" s="78"/>
      <c r="AO272" s="78"/>
      <c r="AP272" s="78"/>
      <c r="AQ272" s="78"/>
      <c r="AR272" s="78"/>
      <c r="AS272" s="78"/>
      <c r="AT272" s="78"/>
      <c r="AU272" s="78"/>
      <c r="AV272" s="78"/>
      <c r="AW272" s="78"/>
      <c r="AX272" s="78"/>
      <c r="AY272" s="91"/>
      <c r="AZ272" s="78"/>
      <c r="BA272" s="78"/>
      <c r="BB272" s="78"/>
      <c r="BC272" s="78"/>
      <c r="BD272" s="78"/>
      <c r="BE272" s="78"/>
      <c r="BF272" s="78"/>
      <c r="BG272" s="78"/>
      <c r="BH272" s="78"/>
      <c r="BI272" s="78"/>
      <c r="BJ272" s="78"/>
      <c r="BK272" s="78"/>
      <c r="BL272" s="78"/>
      <c r="BM272" s="78"/>
      <c r="BN272" s="78"/>
      <c r="BO272" s="78"/>
      <c r="BP272" s="78"/>
      <c r="BQ272" s="78"/>
      <c r="BR272" s="78"/>
      <c r="BS272" s="78"/>
      <c r="BT272" s="78"/>
      <c r="BU272" s="78"/>
      <c r="BV272" s="78"/>
      <c r="BW272" s="78"/>
      <c r="BX272" s="78"/>
      <c r="BY272" s="78"/>
      <c r="BZ272" s="78"/>
      <c r="CA272" s="78"/>
      <c r="CB272" s="78"/>
      <c r="CC272" s="78"/>
      <c r="CD272" s="78"/>
      <c r="CE272" s="78"/>
      <c r="CF272" s="78"/>
      <c r="CG272" s="78"/>
      <c r="CH272" s="78"/>
      <c r="CI272" s="78"/>
      <c r="CJ272" s="78"/>
      <c r="CK272" s="78"/>
      <c r="CL272" s="78"/>
      <c r="CM272" s="78"/>
      <c r="CN272" s="78"/>
      <c r="CO272" s="78"/>
      <c r="CP272" s="78"/>
      <c r="CQ272" s="78"/>
      <c r="CR272" s="78"/>
      <c r="CS272" s="78"/>
      <c r="CT272" s="78"/>
      <c r="CU272" s="78"/>
      <c r="CV272" s="78"/>
      <c r="CW272" s="78"/>
      <c r="CX272" s="78"/>
      <c r="CY272" s="78"/>
      <c r="CZ272" s="78"/>
      <c r="DA272" s="78"/>
      <c r="DB272" s="78"/>
      <c r="DC272" s="78"/>
      <c r="DD272" s="78"/>
      <c r="DE272" s="78"/>
      <c r="DF272" s="78"/>
      <c r="DG272" s="78"/>
      <c r="DH272" s="78"/>
      <c r="DI272" s="78"/>
      <c r="DJ272" s="78"/>
      <c r="DK272" s="78"/>
      <c r="DL272" s="78"/>
      <c r="DM272" s="78"/>
      <c r="DN272" s="78"/>
      <c r="DO272" s="78"/>
      <c r="DP272" s="78"/>
      <c r="DQ272" s="78"/>
      <c r="DR272" s="78"/>
      <c r="DS272" s="78"/>
      <c r="DT272" s="78"/>
      <c r="DU272" s="78"/>
      <c r="DV272" s="78"/>
      <c r="DW272" s="78"/>
      <c r="DX272" s="78"/>
      <c r="DY272" s="78"/>
      <c r="DZ272" s="78"/>
      <c r="EA272" s="78"/>
      <c r="EB272" s="78"/>
      <c r="EC272" s="78"/>
      <c r="ED272" s="78"/>
      <c r="EE272" s="78"/>
      <c r="EF272" s="78"/>
      <c r="EG272" s="78"/>
      <c r="EH272" s="78"/>
      <c r="EI272" s="78"/>
      <c r="EJ272" s="78"/>
      <c r="EK272" s="78"/>
      <c r="EL272" s="78"/>
      <c r="EM272" s="78"/>
      <c r="EN272" s="91"/>
      <c r="EO272" s="91"/>
      <c r="EP272" s="91"/>
      <c r="EQ272" s="91"/>
      <c r="ER272" s="91"/>
      <c r="ES272" s="91"/>
    </row>
    <row r="273" spans="1:149" outlineLevel="1">
      <c r="A273" s="29" t="str">
        <f t="shared" si="40"/>
        <v>modesg_param_sfics_taxon_europeiaflg_rsc_fsc_agd</v>
      </c>
      <c r="B273" s="67" t="s">
        <v>26</v>
      </c>
      <c r="C273" s="68" t="s">
        <v>181</v>
      </c>
      <c r="D273" s="64" t="s">
        <v>40</v>
      </c>
      <c r="E273" s="66" t="s">
        <v>2096</v>
      </c>
      <c r="F273" s="64" t="s">
        <v>282</v>
      </c>
      <c r="G273" s="64" t="str">
        <f>INDEX(Auxiliar!$B$16:$B$24,MATCH(Plano_V3!H273,Auxiliar!$C$16:$C$24,0),1)</f>
        <v>1. Concluído</v>
      </c>
      <c r="H273" s="64">
        <f>VLOOKUP(A273,'Aux - pivots1'!$A:$B,2,0)</f>
        <v>1</v>
      </c>
      <c r="I273" s="180">
        <f>SUMIFS(Table1[Estimação (horas)],Table1[Tabela],Plano_V3!E273,Table1[Campo],Plano_V3!F273)</f>
        <v>0.6</v>
      </c>
      <c r="J273" s="180">
        <f t="shared" si="41"/>
        <v>7.4999999999999997E-2</v>
      </c>
      <c r="K273" s="180">
        <f>SUMIFS(Table1[Horas efetivas],Table1[Tabela],Plano_V3!E273,Table1[Campo],Plano_V3!F273)</f>
        <v>0.6</v>
      </c>
      <c r="L273" s="180">
        <f t="shared" si="42"/>
        <v>7.4999999999999997E-2</v>
      </c>
      <c r="M273" s="174"/>
      <c r="N273" s="174">
        <f t="shared" si="43"/>
        <v>1</v>
      </c>
      <c r="O273" s="174">
        <f t="shared" si="300"/>
        <v>1</v>
      </c>
      <c r="P273" s="89" t="s">
        <v>39</v>
      </c>
      <c r="Q273" s="90">
        <f t="shared" si="301"/>
        <v>7.4999999999999997E-2</v>
      </c>
      <c r="R273" s="78"/>
      <c r="S273" s="78"/>
      <c r="T273" s="78"/>
      <c r="U273" s="78"/>
      <c r="V273" s="78"/>
      <c r="W273" s="78"/>
      <c r="X273" s="78"/>
      <c r="Y273" s="78"/>
      <c r="Z273" s="78"/>
      <c r="AA273" s="78"/>
      <c r="AB273" s="78"/>
      <c r="AC273" s="78"/>
      <c r="AD273" s="78"/>
      <c r="AE273" s="78"/>
      <c r="AF273" s="78"/>
      <c r="AG273" s="78"/>
      <c r="AH273" s="78"/>
      <c r="AI273" s="78"/>
      <c r="AJ273" s="78"/>
      <c r="AK273" s="78"/>
      <c r="AL273" s="78"/>
      <c r="AM273" s="78"/>
      <c r="AN273" s="78"/>
      <c r="AO273" s="78"/>
      <c r="AP273" s="78"/>
      <c r="AQ273" s="78"/>
      <c r="AR273" s="78"/>
      <c r="AS273" s="78"/>
      <c r="AT273" s="78"/>
      <c r="AU273" s="78"/>
      <c r="AV273" s="78"/>
      <c r="AW273" s="78"/>
      <c r="AX273" s="78"/>
      <c r="AY273" s="91"/>
      <c r="AZ273" s="78"/>
      <c r="BA273" s="78"/>
      <c r="BB273" s="78"/>
      <c r="BC273" s="78"/>
      <c r="BD273" s="78"/>
      <c r="BE273" s="78"/>
      <c r="BF273" s="78"/>
      <c r="BG273" s="78"/>
      <c r="BH273" s="78"/>
      <c r="BI273" s="78"/>
      <c r="BJ273" s="78"/>
      <c r="BK273" s="78"/>
      <c r="BL273" s="78"/>
      <c r="BM273" s="78"/>
      <c r="BN273" s="78"/>
      <c r="BO273" s="78"/>
      <c r="BP273" s="78"/>
      <c r="BQ273" s="78"/>
      <c r="BR273" s="78"/>
      <c r="BS273" s="78"/>
      <c r="BT273" s="78"/>
      <c r="BU273" s="78"/>
      <c r="BV273" s="78"/>
      <c r="BW273" s="78"/>
      <c r="BX273" s="78"/>
      <c r="BY273" s="78"/>
      <c r="BZ273" s="78"/>
      <c r="CA273" s="78"/>
      <c r="CB273" s="78"/>
      <c r="CC273" s="78"/>
      <c r="CD273" s="78"/>
      <c r="CE273" s="78"/>
      <c r="CF273" s="78"/>
      <c r="CG273" s="78"/>
      <c r="CH273" s="78"/>
      <c r="CI273" s="78"/>
      <c r="CJ273" s="78"/>
      <c r="CK273" s="78"/>
      <c r="CL273" s="78"/>
      <c r="CM273" s="78"/>
      <c r="CN273" s="78"/>
      <c r="CO273" s="78"/>
      <c r="CP273" s="78"/>
      <c r="CQ273" s="78"/>
      <c r="CR273" s="78"/>
      <c r="CS273" s="78"/>
      <c r="CT273" s="78"/>
      <c r="CU273" s="78"/>
      <c r="CV273" s="78"/>
      <c r="CW273" s="78"/>
      <c r="CX273" s="78"/>
      <c r="CY273" s="78"/>
      <c r="CZ273" s="78"/>
      <c r="DA273" s="78"/>
      <c r="DB273" s="78"/>
      <c r="DC273" s="78"/>
      <c r="DD273" s="78"/>
      <c r="DE273" s="78"/>
      <c r="DF273" s="78"/>
      <c r="DG273" s="78"/>
      <c r="DH273" s="78"/>
      <c r="DI273" s="78"/>
      <c r="DJ273" s="78"/>
      <c r="DK273" s="78"/>
      <c r="DL273" s="78"/>
      <c r="DM273" s="78"/>
      <c r="DN273" s="78"/>
      <c r="DO273" s="78"/>
      <c r="DP273" s="78"/>
      <c r="DQ273" s="78"/>
      <c r="DR273" s="78"/>
      <c r="DS273" s="78"/>
      <c r="DT273" s="78"/>
      <c r="DU273" s="78"/>
      <c r="DV273" s="78"/>
      <c r="DW273" s="78"/>
      <c r="DX273" s="78"/>
      <c r="DY273" s="78"/>
      <c r="DZ273" s="78"/>
      <c r="EA273" s="78"/>
      <c r="EB273" s="78"/>
      <c r="EC273" s="78"/>
      <c r="ED273" s="78"/>
      <c r="EE273" s="78"/>
      <c r="EF273" s="78"/>
      <c r="EG273" s="78"/>
      <c r="EH273" s="78"/>
      <c r="EI273" s="78"/>
      <c r="EJ273" s="78"/>
      <c r="EK273" s="78"/>
      <c r="EL273" s="78"/>
      <c r="EM273" s="78"/>
      <c r="EN273" s="91"/>
      <c r="EO273" s="91"/>
      <c r="EP273" s="91"/>
      <c r="EQ273" s="91"/>
      <c r="ER273" s="91"/>
      <c r="ES273" s="91"/>
    </row>
    <row r="274" spans="1:149" outlineLevel="1">
      <c r="A274" s="29" t="str">
        <f t="shared" si="40"/>
        <v>modesg_param_sfics_taxon_europeiaproperty_purpose_code</v>
      </c>
      <c r="B274" s="67" t="s">
        <v>26</v>
      </c>
      <c r="C274" s="68" t="s">
        <v>181</v>
      </c>
      <c r="D274" s="64" t="s">
        <v>40</v>
      </c>
      <c r="E274" s="66" t="s">
        <v>2096</v>
      </c>
      <c r="F274" s="64" t="s">
        <v>2053</v>
      </c>
      <c r="G274" s="64" t="str">
        <f>INDEX(Auxiliar!$B$16:$B$24,MATCH(Plano_V3!H274,Auxiliar!$C$16:$C$24,0),1)</f>
        <v>1. Concluído</v>
      </c>
      <c r="H274" s="64">
        <f>VLOOKUP(A274,'Aux - pivots1'!$A:$B,2,0)</f>
        <v>1</v>
      </c>
      <c r="I274" s="180" t="e">
        <f>SUMIFS(Table1[Estimação (horas)],Table1[Tabela],Plano_V3!E274,Table1[Campo],Plano_V3!F274)</f>
        <v>#N/A</v>
      </c>
      <c r="J274" s="180" t="e">
        <f t="shared" si="41"/>
        <v>#N/A</v>
      </c>
      <c r="K274" s="180" t="e">
        <f>SUMIFS(Table1[Horas efetivas],Table1[Tabela],Plano_V3!E274,Table1[Campo],Plano_V3!F274)</f>
        <v>#N/A</v>
      </c>
      <c r="L274" s="180" t="e">
        <f t="shared" si="42"/>
        <v>#N/A</v>
      </c>
      <c r="M274" s="174"/>
      <c r="N274" s="174" t="e">
        <f t="shared" si="43"/>
        <v>#N/A</v>
      </c>
      <c r="O274" s="174" t="e">
        <f t="shared" si="300"/>
        <v>#N/A</v>
      </c>
      <c r="P274" s="89" t="s">
        <v>39</v>
      </c>
      <c r="Q274" s="90" t="e">
        <f t="shared" si="301"/>
        <v>#N/A</v>
      </c>
      <c r="R274" s="78"/>
      <c r="S274" s="78"/>
      <c r="T274" s="78"/>
      <c r="U274" s="78"/>
      <c r="V274" s="78"/>
      <c r="W274" s="78"/>
      <c r="X274" s="78"/>
      <c r="Y274" s="78"/>
      <c r="Z274" s="78"/>
      <c r="AA274" s="78"/>
      <c r="AB274" s="78"/>
      <c r="AC274" s="78"/>
      <c r="AD274" s="78"/>
      <c r="AE274" s="78"/>
      <c r="AF274" s="78"/>
      <c r="AG274" s="78"/>
      <c r="AH274" s="78"/>
      <c r="AI274" s="78"/>
      <c r="AJ274" s="78"/>
      <c r="AK274" s="78"/>
      <c r="AL274" s="78"/>
      <c r="AM274" s="78"/>
      <c r="AN274" s="78"/>
      <c r="AO274" s="78"/>
      <c r="AP274" s="78"/>
      <c r="AQ274" s="78"/>
      <c r="AR274" s="78"/>
      <c r="AS274" s="78"/>
      <c r="AT274" s="78"/>
      <c r="AU274" s="78"/>
      <c r="AV274" s="78"/>
      <c r="AW274" s="78"/>
      <c r="AX274" s="78"/>
      <c r="AY274" s="91"/>
      <c r="AZ274" s="78"/>
      <c r="BA274" s="78"/>
      <c r="BB274" s="78"/>
      <c r="BC274" s="78"/>
      <c r="BD274" s="78"/>
      <c r="BE274" s="78"/>
      <c r="BF274" s="78"/>
      <c r="BG274" s="78"/>
      <c r="BH274" s="78"/>
      <c r="BI274" s="78"/>
      <c r="BJ274" s="78"/>
      <c r="BK274" s="78"/>
      <c r="BL274" s="78"/>
      <c r="BM274" s="78"/>
      <c r="BN274" s="78"/>
      <c r="BO274" s="78"/>
      <c r="BP274" s="78"/>
      <c r="BQ274" s="78"/>
      <c r="BR274" s="78"/>
      <c r="BS274" s="78"/>
      <c r="BT274" s="78"/>
      <c r="BU274" s="78"/>
      <c r="BV274" s="78"/>
      <c r="BW274" s="78"/>
      <c r="BX274" s="78"/>
      <c r="BY274" s="78"/>
      <c r="BZ274" s="78"/>
      <c r="CA274" s="78"/>
      <c r="CB274" s="78"/>
      <c r="CC274" s="78"/>
      <c r="CD274" s="78"/>
      <c r="CE274" s="78"/>
      <c r="CF274" s="78"/>
      <c r="CG274" s="78"/>
      <c r="CH274" s="78"/>
      <c r="CI274" s="78"/>
      <c r="CJ274" s="78"/>
      <c r="CK274" s="78"/>
      <c r="CL274" s="78"/>
      <c r="CM274" s="78"/>
      <c r="CN274" s="78"/>
      <c r="CO274" s="78"/>
      <c r="CP274" s="78"/>
      <c r="CQ274" s="78"/>
      <c r="CR274" s="78"/>
      <c r="CS274" s="78"/>
      <c r="CT274" s="78"/>
      <c r="CU274" s="78"/>
      <c r="CV274" s="78"/>
      <c r="CW274" s="78"/>
      <c r="CX274" s="78"/>
      <c r="CY274" s="78"/>
      <c r="CZ274" s="78"/>
      <c r="DA274" s="78"/>
      <c r="DB274" s="78"/>
      <c r="DC274" s="78"/>
      <c r="DD274" s="78"/>
      <c r="DE274" s="78"/>
      <c r="DF274" s="78"/>
      <c r="DG274" s="78"/>
      <c r="DH274" s="78"/>
      <c r="DI274" s="78"/>
      <c r="DJ274" s="78"/>
      <c r="DK274" s="78"/>
      <c r="DL274" s="78"/>
      <c r="DM274" s="78"/>
      <c r="DN274" s="78"/>
      <c r="DO274" s="78"/>
      <c r="DP274" s="78"/>
      <c r="DQ274" s="78"/>
      <c r="DR274" s="78"/>
      <c r="DS274" s="78"/>
      <c r="DT274" s="78"/>
      <c r="DU274" s="78"/>
      <c r="DV274" s="78"/>
      <c r="DW274" s="78"/>
      <c r="DX274" s="78"/>
      <c r="DY274" s="78"/>
      <c r="DZ274" s="78"/>
      <c r="EA274" s="78"/>
      <c r="EB274" s="78"/>
      <c r="EC274" s="78"/>
      <c r="ED274" s="78"/>
      <c r="EE274" s="78"/>
      <c r="EF274" s="78"/>
      <c r="EG274" s="78"/>
      <c r="EH274" s="78"/>
      <c r="EI274" s="78"/>
      <c r="EJ274" s="78"/>
      <c r="EK274" s="78"/>
      <c r="EL274" s="78"/>
      <c r="EM274" s="78"/>
      <c r="EN274" s="91"/>
      <c r="EO274" s="91"/>
      <c r="EP274" s="91"/>
      <c r="EQ274" s="91"/>
      <c r="ER274" s="91"/>
      <c r="ES274" s="91"/>
    </row>
    <row r="275" spans="1:149" outlineLevel="1">
      <c r="A275" s="29" t="str">
        <f t="shared" ref="A275:A342" si="302">E275&amp;F275</f>
        <v>modesg_param_sfics_taxon_europeiadabertur</v>
      </c>
      <c r="B275" s="67" t="s">
        <v>26</v>
      </c>
      <c r="C275" s="68" t="s">
        <v>181</v>
      </c>
      <c r="D275" s="64" t="s">
        <v>40</v>
      </c>
      <c r="E275" s="66" t="s">
        <v>2096</v>
      </c>
      <c r="F275" s="64" t="s">
        <v>2054</v>
      </c>
      <c r="G275" s="64" t="str">
        <f>INDEX(Auxiliar!$B$16:$B$24,MATCH(Plano_V3!H275,Auxiliar!$C$16:$C$24,0),1)</f>
        <v>1. Concluído</v>
      </c>
      <c r="H275" s="64">
        <f>VLOOKUP(A275,'Aux - pivots1'!$A:$B,2,0)</f>
        <v>1</v>
      </c>
      <c r="I275" s="180" t="e">
        <f>SUMIFS(Table1[Estimação (horas)],Table1[Tabela],Plano_V3!E275,Table1[Campo],Plano_V3!F275)</f>
        <v>#N/A</v>
      </c>
      <c r="J275" s="180" t="e">
        <f t="shared" si="41"/>
        <v>#N/A</v>
      </c>
      <c r="K275" s="180" t="e">
        <f>SUMIFS(Table1[Horas efetivas],Table1[Tabela],Plano_V3!E275,Table1[Campo],Plano_V3!F275)</f>
        <v>#N/A</v>
      </c>
      <c r="L275" s="180" t="e">
        <f t="shared" si="42"/>
        <v>#N/A</v>
      </c>
      <c r="M275" s="174"/>
      <c r="N275" s="174" t="e">
        <f t="shared" si="43"/>
        <v>#N/A</v>
      </c>
      <c r="O275" s="174" t="e">
        <f t="shared" si="300"/>
        <v>#N/A</v>
      </c>
      <c r="P275" s="89" t="s">
        <v>39</v>
      </c>
      <c r="Q275" s="90" t="e">
        <f t="shared" si="301"/>
        <v>#N/A</v>
      </c>
      <c r="R275" s="78"/>
      <c r="S275" s="78"/>
      <c r="T275" s="78"/>
      <c r="U275" s="78"/>
      <c r="V275" s="78"/>
      <c r="W275" s="78"/>
      <c r="X275" s="78"/>
      <c r="Y275" s="78"/>
      <c r="Z275" s="78"/>
      <c r="AA275" s="78"/>
      <c r="AB275" s="78"/>
      <c r="AC275" s="78"/>
      <c r="AD275" s="78"/>
      <c r="AE275" s="78"/>
      <c r="AF275" s="78"/>
      <c r="AG275" s="78"/>
      <c r="AH275" s="78"/>
      <c r="AI275" s="78"/>
      <c r="AJ275" s="78"/>
      <c r="AK275" s="78"/>
      <c r="AL275" s="78"/>
      <c r="AM275" s="78"/>
      <c r="AN275" s="78"/>
      <c r="AO275" s="78"/>
      <c r="AP275" s="78"/>
      <c r="AQ275" s="78"/>
      <c r="AR275" s="78"/>
      <c r="AS275" s="78"/>
      <c r="AT275" s="78"/>
      <c r="AU275" s="78"/>
      <c r="AV275" s="78"/>
      <c r="AW275" s="78"/>
      <c r="AX275" s="78"/>
      <c r="AY275" s="91"/>
      <c r="AZ275" s="78"/>
      <c r="BA275" s="78"/>
      <c r="BB275" s="78"/>
      <c r="BC275" s="78"/>
      <c r="BD275" s="78"/>
      <c r="BE275" s="78"/>
      <c r="BF275" s="78"/>
      <c r="BG275" s="78"/>
      <c r="BH275" s="78"/>
      <c r="BI275" s="78"/>
      <c r="BJ275" s="78"/>
      <c r="BK275" s="78"/>
      <c r="BL275" s="78"/>
      <c r="BM275" s="78"/>
      <c r="BN275" s="78"/>
      <c r="BO275" s="78"/>
      <c r="BP275" s="78"/>
      <c r="BQ275" s="78"/>
      <c r="BR275" s="78"/>
      <c r="BS275" s="78"/>
      <c r="BT275" s="78"/>
      <c r="BU275" s="78"/>
      <c r="BV275" s="78"/>
      <c r="BW275" s="78"/>
      <c r="BX275" s="78"/>
      <c r="BY275" s="78"/>
      <c r="BZ275" s="78"/>
      <c r="CA275" s="78"/>
      <c r="CB275" s="78"/>
      <c r="CC275" s="78"/>
      <c r="CD275" s="78"/>
      <c r="CE275" s="78"/>
      <c r="CF275" s="78"/>
      <c r="CG275" s="78"/>
      <c r="CH275" s="78"/>
      <c r="CI275" s="78"/>
      <c r="CJ275" s="78"/>
      <c r="CK275" s="78"/>
      <c r="CL275" s="78"/>
      <c r="CM275" s="78"/>
      <c r="CN275" s="78"/>
      <c r="CO275" s="78"/>
      <c r="CP275" s="78"/>
      <c r="CQ275" s="78"/>
      <c r="CR275" s="78"/>
      <c r="CS275" s="78"/>
      <c r="CT275" s="78"/>
      <c r="CU275" s="78"/>
      <c r="CV275" s="78"/>
      <c r="CW275" s="78"/>
      <c r="CX275" s="78"/>
      <c r="CY275" s="78"/>
      <c r="CZ275" s="78"/>
      <c r="DA275" s="78"/>
      <c r="DB275" s="78"/>
      <c r="DC275" s="78"/>
      <c r="DD275" s="78"/>
      <c r="DE275" s="78"/>
      <c r="DF275" s="78"/>
      <c r="DG275" s="78"/>
      <c r="DH275" s="78"/>
      <c r="DI275" s="78"/>
      <c r="DJ275" s="78"/>
      <c r="DK275" s="78"/>
      <c r="DL275" s="78"/>
      <c r="DM275" s="78"/>
      <c r="DN275" s="78"/>
      <c r="DO275" s="78"/>
      <c r="DP275" s="78"/>
      <c r="DQ275" s="78"/>
      <c r="DR275" s="78"/>
      <c r="DS275" s="78"/>
      <c r="DT275" s="78"/>
      <c r="DU275" s="78"/>
      <c r="DV275" s="78"/>
      <c r="DW275" s="78"/>
      <c r="DX275" s="78"/>
      <c r="DY275" s="78"/>
      <c r="DZ275" s="78"/>
      <c r="EA275" s="78"/>
      <c r="EB275" s="78"/>
      <c r="EC275" s="78"/>
      <c r="ED275" s="78"/>
      <c r="EE275" s="78"/>
      <c r="EF275" s="78"/>
      <c r="EG275" s="78"/>
      <c r="EH275" s="78"/>
      <c r="EI275" s="78"/>
      <c r="EJ275" s="78"/>
      <c r="EK275" s="78"/>
      <c r="EL275" s="78"/>
      <c r="EM275" s="78"/>
      <c r="EN275" s="91"/>
      <c r="EO275" s="91"/>
      <c r="EP275" s="91"/>
      <c r="EQ275" s="91"/>
      <c r="ER275" s="91"/>
      <c r="ES275" s="91"/>
    </row>
    <row r="276" spans="1:149" outlineLevel="1">
      <c r="A276" s="29" t="str">
        <f t="shared" si="302"/>
        <v>modesg_param_sfics_taxon_europeiatipo_eqp</v>
      </c>
      <c r="B276" s="67" t="s">
        <v>26</v>
      </c>
      <c r="C276" s="68" t="s">
        <v>181</v>
      </c>
      <c r="D276" s="64" t="s">
        <v>40</v>
      </c>
      <c r="E276" s="66" t="s">
        <v>2096</v>
      </c>
      <c r="F276" s="64" t="s">
        <v>2055</v>
      </c>
      <c r="G276" s="64" t="str">
        <f>INDEX(Auxiliar!$B$16:$B$24,MATCH(Plano_V3!H276,Auxiliar!$C$16:$C$24,0),1)</f>
        <v>1. Concluído</v>
      </c>
      <c r="H276" s="64">
        <f>VLOOKUP(A276,'Aux - pivots1'!$A:$B,2,0)</f>
        <v>1</v>
      </c>
      <c r="I276" s="180">
        <f>SUMIFS(Table1[Estimação (horas)],Table1[Tabela],Plano_V3!E276,Table1[Campo],Plano_V3!F276)</f>
        <v>0.6</v>
      </c>
      <c r="J276" s="180">
        <f t="shared" si="41"/>
        <v>7.4999999999999997E-2</v>
      </c>
      <c r="K276" s="180">
        <f>SUMIFS(Table1[Horas efetivas],Table1[Tabela],Plano_V3!E276,Table1[Campo],Plano_V3!F276)</f>
        <v>0.6</v>
      </c>
      <c r="L276" s="180">
        <f t="shared" si="42"/>
        <v>7.4999999999999997E-2</v>
      </c>
      <c r="M276" s="174"/>
      <c r="N276" s="174">
        <f t="shared" si="43"/>
        <v>1</v>
      </c>
      <c r="O276" s="174">
        <f t="shared" si="300"/>
        <v>1</v>
      </c>
      <c r="P276" s="89" t="s">
        <v>39</v>
      </c>
      <c r="Q276" s="90">
        <f t="shared" si="301"/>
        <v>7.4999999999999997E-2</v>
      </c>
      <c r="R276" s="78"/>
      <c r="S276" s="78"/>
      <c r="T276" s="78"/>
      <c r="U276" s="78"/>
      <c r="V276" s="78"/>
      <c r="W276" s="78"/>
      <c r="X276" s="78"/>
      <c r="Y276" s="78"/>
      <c r="Z276" s="78"/>
      <c r="AA276" s="78"/>
      <c r="AB276" s="78"/>
      <c r="AC276" s="78"/>
      <c r="AD276" s="78"/>
      <c r="AE276" s="78"/>
      <c r="AF276" s="78"/>
      <c r="AG276" s="78"/>
      <c r="AH276" s="78"/>
      <c r="AI276" s="78"/>
      <c r="AJ276" s="78"/>
      <c r="AK276" s="78"/>
      <c r="AL276" s="78"/>
      <c r="AM276" s="78"/>
      <c r="AN276" s="78"/>
      <c r="AO276" s="78"/>
      <c r="AP276" s="78"/>
      <c r="AQ276" s="78"/>
      <c r="AR276" s="78"/>
      <c r="AS276" s="78"/>
      <c r="AT276" s="78"/>
      <c r="AU276" s="78"/>
      <c r="AV276" s="78"/>
      <c r="AW276" s="78"/>
      <c r="AX276" s="78"/>
      <c r="AY276" s="91"/>
      <c r="AZ276" s="78"/>
      <c r="BA276" s="78"/>
      <c r="BB276" s="78"/>
      <c r="BC276" s="78"/>
      <c r="BD276" s="78"/>
      <c r="BE276" s="78"/>
      <c r="BF276" s="78"/>
      <c r="BG276" s="78"/>
      <c r="BH276" s="78"/>
      <c r="BI276" s="78"/>
      <c r="BJ276" s="78"/>
      <c r="BK276" s="78"/>
      <c r="BL276" s="78"/>
      <c r="BM276" s="78"/>
      <c r="BN276" s="78"/>
      <c r="BO276" s="78"/>
      <c r="BP276" s="78"/>
      <c r="BQ276" s="78"/>
      <c r="BR276" s="78"/>
      <c r="BS276" s="78"/>
      <c r="BT276" s="78"/>
      <c r="BU276" s="78"/>
      <c r="BV276" s="78"/>
      <c r="BW276" s="78"/>
      <c r="BX276" s="78"/>
      <c r="BY276" s="78"/>
      <c r="BZ276" s="78"/>
      <c r="CA276" s="78"/>
      <c r="CB276" s="78"/>
      <c r="CC276" s="78"/>
      <c r="CD276" s="78"/>
      <c r="CE276" s="78"/>
      <c r="CF276" s="78"/>
      <c r="CG276" s="78"/>
      <c r="CH276" s="78"/>
      <c r="CI276" s="78"/>
      <c r="CJ276" s="78"/>
      <c r="CK276" s="78"/>
      <c r="CL276" s="78"/>
      <c r="CM276" s="78"/>
      <c r="CN276" s="78"/>
      <c r="CO276" s="78"/>
      <c r="CP276" s="78"/>
      <c r="CQ276" s="78"/>
      <c r="CR276" s="78"/>
      <c r="CS276" s="78"/>
      <c r="CT276" s="78"/>
      <c r="CU276" s="78"/>
      <c r="CV276" s="78"/>
      <c r="CW276" s="78"/>
      <c r="CX276" s="78"/>
      <c r="CY276" s="78"/>
      <c r="CZ276" s="78"/>
      <c r="DA276" s="78"/>
      <c r="DB276" s="78"/>
      <c r="DC276" s="78"/>
      <c r="DD276" s="78"/>
      <c r="DE276" s="78"/>
      <c r="DF276" s="78"/>
      <c r="DG276" s="78"/>
      <c r="DH276" s="78"/>
      <c r="DI276" s="78"/>
      <c r="DJ276" s="78"/>
      <c r="DK276" s="78"/>
      <c r="DL276" s="78"/>
      <c r="DM276" s="78"/>
      <c r="DN276" s="78"/>
      <c r="DO276" s="78"/>
      <c r="DP276" s="78"/>
      <c r="DQ276" s="78"/>
      <c r="DR276" s="78"/>
      <c r="DS276" s="78"/>
      <c r="DT276" s="78"/>
      <c r="DU276" s="78"/>
      <c r="DV276" s="78"/>
      <c r="DW276" s="78"/>
      <c r="DX276" s="78"/>
      <c r="DY276" s="78"/>
      <c r="DZ276" s="78"/>
      <c r="EA276" s="78"/>
      <c r="EB276" s="78"/>
      <c r="EC276" s="78"/>
      <c r="ED276" s="78"/>
      <c r="EE276" s="78"/>
      <c r="EF276" s="78"/>
      <c r="EG276" s="78"/>
      <c r="EH276" s="78"/>
      <c r="EI276" s="78"/>
      <c r="EJ276" s="78"/>
      <c r="EK276" s="78"/>
      <c r="EL276" s="78"/>
      <c r="EM276" s="78"/>
      <c r="EN276" s="91"/>
      <c r="EO276" s="91"/>
      <c r="EP276" s="91"/>
      <c r="EQ276" s="91"/>
      <c r="ER276" s="91"/>
      <c r="ES276" s="91"/>
    </row>
    <row r="277" spans="1:149" outlineLevel="1">
      <c r="A277" s="29" t="str">
        <f t="shared" si="302"/>
        <v>modesg_param_sfics_taxon_europeiaconstruction_year</v>
      </c>
      <c r="B277" s="67" t="s">
        <v>26</v>
      </c>
      <c r="C277" s="68" t="s">
        <v>181</v>
      </c>
      <c r="D277" s="64" t="s">
        <v>40</v>
      </c>
      <c r="E277" s="66" t="s">
        <v>2096</v>
      </c>
      <c r="F277" s="64" t="s">
        <v>2056</v>
      </c>
      <c r="G277" s="64" t="str">
        <f>INDEX(Auxiliar!$B$16:$B$24,MATCH(Plano_V3!H277,Auxiliar!$C$16:$C$24,0),1)</f>
        <v>1. Concluído</v>
      </c>
      <c r="H277" s="64">
        <f>VLOOKUP(A277,'Aux - pivots1'!$A:$B,2,0)</f>
        <v>1</v>
      </c>
      <c r="I277" s="180" t="e">
        <f>SUMIFS(Table1[Estimação (horas)],Table1[Tabela],Plano_V3!E277,Table1[Campo],Plano_V3!F277)</f>
        <v>#N/A</v>
      </c>
      <c r="J277" s="180" t="e">
        <f t="shared" si="41"/>
        <v>#N/A</v>
      </c>
      <c r="K277" s="180" t="e">
        <f>SUMIFS(Table1[Horas efetivas],Table1[Tabela],Plano_V3!E277,Table1[Campo],Plano_V3!F277)</f>
        <v>#N/A</v>
      </c>
      <c r="L277" s="180" t="e">
        <f t="shared" si="42"/>
        <v>#N/A</v>
      </c>
      <c r="M277" s="174"/>
      <c r="N277" s="174" t="e">
        <f t="shared" si="43"/>
        <v>#N/A</v>
      </c>
      <c r="O277" s="174" t="e">
        <f t="shared" si="300"/>
        <v>#N/A</v>
      </c>
      <c r="P277" s="89" t="s">
        <v>39</v>
      </c>
      <c r="Q277" s="90" t="e">
        <f t="shared" si="301"/>
        <v>#N/A</v>
      </c>
      <c r="R277" s="78"/>
      <c r="S277" s="78"/>
      <c r="T277" s="78"/>
      <c r="U277" s="78"/>
      <c r="V277" s="78"/>
      <c r="W277" s="78"/>
      <c r="X277" s="78"/>
      <c r="Y277" s="78"/>
      <c r="Z277" s="78"/>
      <c r="AA277" s="78"/>
      <c r="AB277" s="78"/>
      <c r="AC277" s="78"/>
      <c r="AD277" s="78"/>
      <c r="AE277" s="78"/>
      <c r="AF277" s="78"/>
      <c r="AG277" s="78"/>
      <c r="AH277" s="78"/>
      <c r="AI277" s="78"/>
      <c r="AJ277" s="78"/>
      <c r="AK277" s="78"/>
      <c r="AL277" s="78"/>
      <c r="AM277" s="78"/>
      <c r="AN277" s="78"/>
      <c r="AO277" s="78"/>
      <c r="AP277" s="78"/>
      <c r="AQ277" s="78"/>
      <c r="AR277" s="78"/>
      <c r="AS277" s="78"/>
      <c r="AT277" s="78"/>
      <c r="AU277" s="78"/>
      <c r="AV277" s="78"/>
      <c r="AW277" s="78"/>
      <c r="AX277" s="78"/>
      <c r="AY277" s="91"/>
      <c r="AZ277" s="78"/>
      <c r="BA277" s="78"/>
      <c r="BB277" s="78"/>
      <c r="BC277" s="78"/>
      <c r="BD277" s="78"/>
      <c r="BE277" s="78"/>
      <c r="BF277" s="78"/>
      <c r="BG277" s="78"/>
      <c r="BH277" s="78"/>
      <c r="BI277" s="78"/>
      <c r="BJ277" s="78"/>
      <c r="BK277" s="78"/>
      <c r="BL277" s="78"/>
      <c r="BM277" s="78"/>
      <c r="BN277" s="78"/>
      <c r="BO277" s="78"/>
      <c r="BP277" s="78"/>
      <c r="BQ277" s="78"/>
      <c r="BR277" s="78"/>
      <c r="BS277" s="78"/>
      <c r="BT277" s="78"/>
      <c r="BU277" s="78"/>
      <c r="BV277" s="78"/>
      <c r="BW277" s="78"/>
      <c r="BX277" s="78"/>
      <c r="BY277" s="78"/>
      <c r="BZ277" s="78"/>
      <c r="CA277" s="78"/>
      <c r="CB277" s="78"/>
      <c r="CC277" s="78"/>
      <c r="CD277" s="78"/>
      <c r="CE277" s="78"/>
      <c r="CF277" s="78"/>
      <c r="CG277" s="78"/>
      <c r="CH277" s="78"/>
      <c r="CI277" s="78"/>
      <c r="CJ277" s="78"/>
      <c r="CK277" s="78"/>
      <c r="CL277" s="78"/>
      <c r="CM277" s="78"/>
      <c r="CN277" s="78"/>
      <c r="CO277" s="78"/>
      <c r="CP277" s="78"/>
      <c r="CQ277" s="78"/>
      <c r="CR277" s="78"/>
      <c r="CS277" s="78"/>
      <c r="CT277" s="78"/>
      <c r="CU277" s="78"/>
      <c r="CV277" s="78"/>
      <c r="CW277" s="78"/>
      <c r="CX277" s="78"/>
      <c r="CY277" s="78"/>
      <c r="CZ277" s="78"/>
      <c r="DA277" s="78"/>
      <c r="DB277" s="78"/>
      <c r="DC277" s="78"/>
      <c r="DD277" s="78"/>
      <c r="DE277" s="78"/>
      <c r="DF277" s="78"/>
      <c r="DG277" s="78"/>
      <c r="DH277" s="78"/>
      <c r="DI277" s="78"/>
      <c r="DJ277" s="78"/>
      <c r="DK277" s="78"/>
      <c r="DL277" s="78"/>
      <c r="DM277" s="78"/>
      <c r="DN277" s="78"/>
      <c r="DO277" s="78"/>
      <c r="DP277" s="78"/>
      <c r="DQ277" s="78"/>
      <c r="DR277" s="78"/>
      <c r="DS277" s="78"/>
      <c r="DT277" s="78"/>
      <c r="DU277" s="78"/>
      <c r="DV277" s="78"/>
      <c r="DW277" s="78"/>
      <c r="DX277" s="78"/>
      <c r="DY277" s="78"/>
      <c r="DZ277" s="78"/>
      <c r="EA277" s="78"/>
      <c r="EB277" s="78"/>
      <c r="EC277" s="78"/>
      <c r="ED277" s="78"/>
      <c r="EE277" s="78"/>
      <c r="EF277" s="78"/>
      <c r="EG277" s="78"/>
      <c r="EH277" s="78"/>
      <c r="EI277" s="78"/>
      <c r="EJ277" s="78"/>
      <c r="EK277" s="78"/>
      <c r="EL277" s="78"/>
      <c r="EM277" s="78"/>
      <c r="EN277" s="91"/>
      <c r="EO277" s="91"/>
      <c r="EP277" s="91"/>
      <c r="EQ277" s="91"/>
      <c r="ER277" s="91"/>
      <c r="ES277" s="91"/>
    </row>
    <row r="278" spans="1:149" outlineLevel="1">
      <c r="A278" s="29" t="str">
        <f t="shared" si="302"/>
        <v>modesg_param_sfics_taxon_europeiaref_date</v>
      </c>
      <c r="B278" s="67" t="s">
        <v>26</v>
      </c>
      <c r="C278" s="68" t="s">
        <v>181</v>
      </c>
      <c r="D278" s="64" t="s">
        <v>40</v>
      </c>
      <c r="E278" s="66" t="s">
        <v>2096</v>
      </c>
      <c r="F278" s="64" t="s">
        <v>208</v>
      </c>
      <c r="G278" s="64" t="str">
        <f>INDEX(Auxiliar!$B$16:$B$24,MATCH(Plano_V3!H278,Auxiliar!$C$16:$C$24,0),1)</f>
        <v>1. Concluído</v>
      </c>
      <c r="H278" s="64">
        <f>VLOOKUP(A278,'Aux - pivots1'!$A:$B,2,0)</f>
        <v>1</v>
      </c>
      <c r="I278" s="180">
        <f>SUMIFS(Table1[Estimação (horas)],Table1[Tabela],Plano_V3!E278,Table1[Campo],Plano_V3!F278)</f>
        <v>0.6</v>
      </c>
      <c r="J278" s="180">
        <f>I278/8</f>
        <v>7.4999999999999997E-2</v>
      </c>
      <c r="K278" s="180">
        <f>SUMIFS(Table1[Horas efetivas],Table1[Tabela],Plano_V3!E278,Table1[Campo],Plano_V3!F278)</f>
        <v>0.6</v>
      </c>
      <c r="L278" s="180">
        <f>K278/8</f>
        <v>7.4999999999999997E-2</v>
      </c>
      <c r="M278" s="174"/>
      <c r="N278" s="174">
        <f>L278/J278</f>
        <v>1</v>
      </c>
      <c r="O278" s="174">
        <f t="shared" si="300"/>
        <v>1</v>
      </c>
      <c r="P278" s="89" t="s">
        <v>39</v>
      </c>
      <c r="Q278" s="90"/>
      <c r="R278" s="78"/>
      <c r="S278" s="78"/>
      <c r="T278" s="78"/>
      <c r="U278" s="78"/>
      <c r="V278" s="78"/>
      <c r="W278" s="78"/>
      <c r="X278" s="78"/>
      <c r="Y278" s="78"/>
      <c r="Z278" s="78"/>
      <c r="AA278" s="78"/>
      <c r="AB278" s="78"/>
      <c r="AC278" s="78"/>
      <c r="AD278" s="78"/>
      <c r="AE278" s="78"/>
      <c r="AF278" s="78"/>
      <c r="AG278" s="78"/>
      <c r="AH278" s="78"/>
      <c r="AI278" s="78"/>
      <c r="AJ278" s="78"/>
      <c r="AK278" s="78"/>
      <c r="AL278" s="78"/>
      <c r="AM278" s="78"/>
      <c r="AN278" s="78"/>
      <c r="AO278" s="78"/>
      <c r="AP278" s="78"/>
      <c r="AQ278" s="78"/>
      <c r="AR278" s="78"/>
      <c r="AS278" s="78"/>
      <c r="AT278" s="78"/>
      <c r="AU278" s="78"/>
      <c r="AV278" s="78"/>
      <c r="AW278" s="78"/>
      <c r="AX278" s="78"/>
      <c r="AY278" s="91"/>
      <c r="AZ278" s="78"/>
      <c r="BA278" s="78"/>
      <c r="BB278" s="78"/>
      <c r="BC278" s="78"/>
      <c r="BD278" s="78"/>
      <c r="BE278" s="78"/>
      <c r="BF278" s="78"/>
      <c r="BG278" s="78"/>
      <c r="BH278" s="78"/>
      <c r="BI278" s="78"/>
      <c r="BJ278" s="78"/>
      <c r="BK278" s="78"/>
      <c r="BL278" s="78"/>
      <c r="BM278" s="78"/>
      <c r="BN278" s="78"/>
      <c r="BO278" s="78"/>
      <c r="BP278" s="78"/>
      <c r="BQ278" s="78"/>
      <c r="BR278" s="78"/>
      <c r="BS278" s="78"/>
      <c r="BT278" s="78"/>
      <c r="BU278" s="78"/>
      <c r="BV278" s="78"/>
      <c r="BW278" s="78"/>
      <c r="BX278" s="78"/>
      <c r="BY278" s="78"/>
      <c r="BZ278" s="78"/>
      <c r="CA278" s="78"/>
      <c r="CB278" s="78"/>
      <c r="CC278" s="78"/>
      <c r="CD278" s="78"/>
      <c r="CE278" s="78"/>
      <c r="CF278" s="78"/>
      <c r="CG278" s="78"/>
      <c r="CH278" s="78"/>
      <c r="CI278" s="78"/>
      <c r="CJ278" s="78"/>
      <c r="CK278" s="78"/>
      <c r="CL278" s="78"/>
      <c r="CM278" s="78"/>
      <c r="CN278" s="78"/>
      <c r="CO278" s="78"/>
      <c r="CP278" s="78"/>
      <c r="CQ278" s="78"/>
      <c r="CR278" s="78"/>
      <c r="CS278" s="78"/>
      <c r="CT278" s="78"/>
      <c r="CU278" s="78"/>
      <c r="CV278" s="78"/>
      <c r="CW278" s="78"/>
      <c r="CX278" s="78"/>
      <c r="CY278" s="78"/>
      <c r="CZ278" s="78"/>
      <c r="DA278" s="78"/>
      <c r="DB278" s="78"/>
      <c r="DC278" s="78"/>
      <c r="DD278" s="78"/>
      <c r="DE278" s="78"/>
      <c r="DF278" s="78"/>
      <c r="DG278" s="78"/>
      <c r="DH278" s="78"/>
      <c r="DI278" s="78"/>
      <c r="DJ278" s="78"/>
      <c r="DK278" s="78"/>
      <c r="DL278" s="78"/>
      <c r="DM278" s="78"/>
      <c r="DN278" s="78"/>
      <c r="DO278" s="78"/>
      <c r="DP278" s="78"/>
      <c r="DQ278" s="78"/>
      <c r="DR278" s="78"/>
      <c r="DS278" s="78"/>
      <c r="DT278" s="78"/>
      <c r="DU278" s="78"/>
      <c r="DV278" s="78"/>
      <c r="DW278" s="78"/>
      <c r="DX278" s="78"/>
      <c r="DY278" s="78"/>
      <c r="DZ278" s="78"/>
      <c r="EA278" s="78"/>
      <c r="EB278" s="78"/>
      <c r="EC278" s="78"/>
      <c r="ED278" s="78"/>
      <c r="EE278" s="78"/>
      <c r="EF278" s="78"/>
      <c r="EG278" s="78"/>
      <c r="EH278" s="78"/>
      <c r="EI278" s="78"/>
      <c r="EJ278" s="78"/>
      <c r="EK278" s="78"/>
      <c r="EL278" s="78"/>
      <c r="EM278" s="78"/>
      <c r="EN278" s="91"/>
      <c r="EO278" s="91"/>
      <c r="EP278" s="91"/>
      <c r="EQ278" s="91"/>
      <c r="ER278" s="91"/>
      <c r="ES278" s="91"/>
    </row>
    <row r="279" spans="1:149" outlineLevel="1">
      <c r="A279" s="29" t="str">
        <f t="shared" si="302"/>
        <v>modesg_param_sfics_taxon_europeiaquality_score</v>
      </c>
      <c r="B279" s="67" t="s">
        <v>26</v>
      </c>
      <c r="C279" s="68" t="s">
        <v>181</v>
      </c>
      <c r="D279" s="64" t="s">
        <v>40</v>
      </c>
      <c r="E279" s="66" t="s">
        <v>2096</v>
      </c>
      <c r="F279" s="64" t="s">
        <v>2057</v>
      </c>
      <c r="G279" s="64" t="str">
        <f>INDEX(Auxiliar!$B$16:$B$24,MATCH(Plano_V3!H279,Auxiliar!$C$16:$C$24,0),1)</f>
        <v>1. Concluído</v>
      </c>
      <c r="H279" s="64">
        <f>VLOOKUP(A279,'Aux - pivots1'!$A:$B,2,0)</f>
        <v>1</v>
      </c>
      <c r="I279" s="180" t="e">
        <f>SUMIFS(Table1[Estimação (horas)],Table1[Tabela],Plano_V3!E279,Table1[Campo],Plano_V3!F279)</f>
        <v>#N/A</v>
      </c>
      <c r="J279" s="180" t="e">
        <f t="shared" ref="J279:J287" si="303">I279/8</f>
        <v>#N/A</v>
      </c>
      <c r="K279" s="180" t="e">
        <f>SUMIFS(Table1[Horas efetivas],Table1[Tabela],Plano_V3!E279,Table1[Campo],Plano_V3!F279)</f>
        <v>#N/A</v>
      </c>
      <c r="L279" s="180" t="e">
        <f t="shared" ref="L279:L287" si="304">K279/8</f>
        <v>#N/A</v>
      </c>
      <c r="M279" s="174"/>
      <c r="N279" s="174" t="e">
        <f t="shared" ref="N279:N287" si="305">L279/J279</f>
        <v>#N/A</v>
      </c>
      <c r="O279" s="174" t="e">
        <f t="shared" ref="O279:O287" si="306">N279-M279</f>
        <v>#N/A</v>
      </c>
      <c r="P279" s="89" t="s">
        <v>39</v>
      </c>
      <c r="Q279" s="90"/>
      <c r="R279" s="78"/>
      <c r="S279" s="78"/>
      <c r="T279" s="78"/>
      <c r="U279" s="78"/>
      <c r="V279" s="78"/>
      <c r="W279" s="78"/>
      <c r="X279" s="78"/>
      <c r="Y279" s="78"/>
      <c r="Z279" s="78"/>
      <c r="AA279" s="78"/>
      <c r="AB279" s="78"/>
      <c r="AC279" s="78"/>
      <c r="AD279" s="78"/>
      <c r="AE279" s="78"/>
      <c r="AF279" s="78"/>
      <c r="AG279" s="78"/>
      <c r="AH279" s="78"/>
      <c r="AI279" s="78"/>
      <c r="AJ279" s="78"/>
      <c r="AK279" s="78"/>
      <c r="AL279" s="78"/>
      <c r="AM279" s="78"/>
      <c r="AN279" s="78"/>
      <c r="AO279" s="78"/>
      <c r="AP279" s="78"/>
      <c r="AQ279" s="78"/>
      <c r="AR279" s="78"/>
      <c r="AS279" s="78"/>
      <c r="AT279" s="78"/>
      <c r="AU279" s="78"/>
      <c r="AV279" s="78"/>
      <c r="AW279" s="78"/>
      <c r="AX279" s="78"/>
      <c r="AY279" s="91"/>
      <c r="AZ279" s="78"/>
      <c r="BA279" s="78"/>
      <c r="BB279" s="78"/>
      <c r="BC279" s="78"/>
      <c r="BD279" s="78"/>
      <c r="BE279" s="78"/>
      <c r="BF279" s="78"/>
      <c r="BG279" s="78"/>
      <c r="BH279" s="78"/>
      <c r="BI279" s="78"/>
      <c r="BJ279" s="78"/>
      <c r="BK279" s="78"/>
      <c r="BL279" s="78"/>
      <c r="BM279" s="78"/>
      <c r="BN279" s="78"/>
      <c r="BO279" s="78"/>
      <c r="BP279" s="78"/>
      <c r="BQ279" s="78"/>
      <c r="BR279" s="78"/>
      <c r="BS279" s="78"/>
      <c r="BT279" s="78"/>
      <c r="BU279" s="78"/>
      <c r="BV279" s="78"/>
      <c r="BW279" s="78"/>
      <c r="BX279" s="78"/>
      <c r="BY279" s="78"/>
      <c r="BZ279" s="78"/>
      <c r="CA279" s="78"/>
      <c r="CB279" s="78"/>
      <c r="CC279" s="78"/>
      <c r="CD279" s="78"/>
      <c r="CE279" s="78"/>
      <c r="CF279" s="78"/>
      <c r="CG279" s="78"/>
      <c r="CH279" s="78"/>
      <c r="CI279" s="78"/>
      <c r="CJ279" s="78"/>
      <c r="CK279" s="78"/>
      <c r="CL279" s="78"/>
      <c r="CM279" s="78"/>
      <c r="CN279" s="78"/>
      <c r="CO279" s="78"/>
      <c r="CP279" s="78"/>
      <c r="CQ279" s="78"/>
      <c r="CR279" s="78"/>
      <c r="CS279" s="78"/>
      <c r="CT279" s="78"/>
      <c r="CU279" s="78"/>
      <c r="CV279" s="78"/>
      <c r="CW279" s="78"/>
      <c r="CX279" s="78"/>
      <c r="CY279" s="78"/>
      <c r="CZ279" s="78"/>
      <c r="DA279" s="78"/>
      <c r="DB279" s="78"/>
      <c r="DC279" s="78"/>
      <c r="DD279" s="78"/>
      <c r="DE279" s="78"/>
      <c r="DF279" s="78"/>
      <c r="DG279" s="78"/>
      <c r="DH279" s="78"/>
      <c r="DI279" s="78"/>
      <c r="DJ279" s="78"/>
      <c r="DK279" s="78"/>
      <c r="DL279" s="78"/>
      <c r="DM279" s="78"/>
      <c r="DN279" s="78"/>
      <c r="DO279" s="78"/>
      <c r="DP279" s="78"/>
      <c r="DQ279" s="78"/>
      <c r="DR279" s="78"/>
      <c r="DS279" s="78"/>
      <c r="DT279" s="78"/>
      <c r="DU279" s="78"/>
      <c r="DV279" s="78"/>
      <c r="DW279" s="78"/>
      <c r="DX279" s="78"/>
      <c r="DY279" s="78"/>
      <c r="DZ279" s="78"/>
      <c r="EA279" s="78"/>
      <c r="EB279" s="78"/>
      <c r="EC279" s="78"/>
      <c r="ED279" s="78"/>
      <c r="EE279" s="78"/>
      <c r="EF279" s="78"/>
      <c r="EG279" s="78"/>
      <c r="EH279" s="78"/>
      <c r="EI279" s="78"/>
      <c r="EJ279" s="78"/>
      <c r="EK279" s="78"/>
      <c r="EL279" s="78"/>
      <c r="EM279" s="78"/>
      <c r="EN279" s="91"/>
      <c r="EO279" s="91"/>
      <c r="EP279" s="91"/>
      <c r="EQ279" s="91"/>
      <c r="ER279" s="91"/>
      <c r="ES279" s="91"/>
    </row>
    <row r="280" spans="1:149" outlineLevel="1">
      <c r="A280" s="29" t="str">
        <f t="shared" si="302"/>
        <v>modesg_param_sfics_taxon_europeiaprimary_energy_req_value</v>
      </c>
      <c r="B280" s="67" t="s">
        <v>26</v>
      </c>
      <c r="C280" s="68" t="s">
        <v>181</v>
      </c>
      <c r="D280" s="64" t="s">
        <v>40</v>
      </c>
      <c r="E280" s="66" t="s">
        <v>2096</v>
      </c>
      <c r="F280" s="64" t="s">
        <v>2411</v>
      </c>
      <c r="G280" s="64" t="str">
        <f>INDEX(Auxiliar!$B$16:$B$24,MATCH(Plano_V3!H280,Auxiliar!$C$16:$C$24,0),1)</f>
        <v>1. Concluído</v>
      </c>
      <c r="H280" s="64">
        <f>VLOOKUP(A280,'Aux - pivots1'!$A:$B,2,0)</f>
        <v>1</v>
      </c>
      <c r="I280" s="180" t="e">
        <f>SUMIFS(Table1[Estimação (horas)],Table1[Tabela],Plano_V3!E280,Table1[Campo],Plano_V3!F280)</f>
        <v>#N/A</v>
      </c>
      <c r="J280" s="180" t="e">
        <f t="shared" si="303"/>
        <v>#N/A</v>
      </c>
      <c r="K280" s="180" t="e">
        <f>SUMIFS(Table1[Horas efetivas],Table1[Tabela],Plano_V3!E280,Table1[Campo],Plano_V3!F280)</f>
        <v>#N/A</v>
      </c>
      <c r="L280" s="180" t="e">
        <f t="shared" si="304"/>
        <v>#N/A</v>
      </c>
      <c r="M280" s="174"/>
      <c r="N280" s="174" t="e">
        <f t="shared" si="305"/>
        <v>#N/A</v>
      </c>
      <c r="O280" s="174" t="e">
        <f t="shared" si="306"/>
        <v>#N/A</v>
      </c>
      <c r="P280" s="89" t="s">
        <v>39</v>
      </c>
      <c r="Q280" s="90"/>
      <c r="R280" s="78"/>
      <c r="S280" s="78"/>
      <c r="T280" s="78"/>
      <c r="U280" s="78"/>
      <c r="V280" s="78"/>
      <c r="W280" s="78"/>
      <c r="X280" s="78"/>
      <c r="Y280" s="78"/>
      <c r="Z280" s="78"/>
      <c r="AA280" s="78"/>
      <c r="AB280" s="78"/>
      <c r="AC280" s="78"/>
      <c r="AD280" s="78"/>
      <c r="AE280" s="78"/>
      <c r="AF280" s="78"/>
      <c r="AG280" s="78"/>
      <c r="AH280" s="78"/>
      <c r="AI280" s="78"/>
      <c r="AJ280" s="78"/>
      <c r="AK280" s="78"/>
      <c r="AL280" s="78"/>
      <c r="AM280" s="78"/>
      <c r="AN280" s="78"/>
      <c r="AO280" s="78"/>
      <c r="AP280" s="78"/>
      <c r="AQ280" s="78"/>
      <c r="AR280" s="78"/>
      <c r="AS280" s="78"/>
      <c r="AT280" s="78"/>
      <c r="AU280" s="78"/>
      <c r="AV280" s="78"/>
      <c r="AW280" s="78"/>
      <c r="AX280" s="78"/>
      <c r="AY280" s="91"/>
      <c r="AZ280" s="78"/>
      <c r="BA280" s="78"/>
      <c r="BB280" s="78"/>
      <c r="BC280" s="78"/>
      <c r="BD280" s="78"/>
      <c r="BE280" s="78"/>
      <c r="BF280" s="78"/>
      <c r="BG280" s="78"/>
      <c r="BH280" s="78"/>
      <c r="BI280" s="78"/>
      <c r="BJ280" s="78"/>
      <c r="BK280" s="78"/>
      <c r="BL280" s="78"/>
      <c r="BM280" s="78"/>
      <c r="BN280" s="78"/>
      <c r="BO280" s="78"/>
      <c r="BP280" s="78"/>
      <c r="BQ280" s="78"/>
      <c r="BR280" s="78"/>
      <c r="BS280" s="78"/>
      <c r="BT280" s="78"/>
      <c r="BU280" s="78"/>
      <c r="BV280" s="78"/>
      <c r="BW280" s="78"/>
      <c r="BX280" s="78"/>
      <c r="BY280" s="78"/>
      <c r="BZ280" s="78"/>
      <c r="CA280" s="78"/>
      <c r="CB280" s="78"/>
      <c r="CC280" s="78"/>
      <c r="CD280" s="78"/>
      <c r="CE280" s="78"/>
      <c r="CF280" s="78"/>
      <c r="CG280" s="78"/>
      <c r="CH280" s="78"/>
      <c r="CI280" s="78"/>
      <c r="CJ280" s="78"/>
      <c r="CK280" s="78"/>
      <c r="CL280" s="78"/>
      <c r="CM280" s="78"/>
      <c r="CN280" s="78"/>
      <c r="CO280" s="78"/>
      <c r="CP280" s="78"/>
      <c r="CQ280" s="78"/>
      <c r="CR280" s="78"/>
      <c r="CS280" s="78"/>
      <c r="CT280" s="78"/>
      <c r="CU280" s="78"/>
      <c r="CV280" s="78"/>
      <c r="CW280" s="78"/>
      <c r="CX280" s="78"/>
      <c r="CY280" s="78"/>
      <c r="CZ280" s="78"/>
      <c r="DA280" s="78"/>
      <c r="DB280" s="78"/>
      <c r="DC280" s="78"/>
      <c r="DD280" s="78"/>
      <c r="DE280" s="78"/>
      <c r="DF280" s="78"/>
      <c r="DG280" s="78"/>
      <c r="DH280" s="78"/>
      <c r="DI280" s="78"/>
      <c r="DJ280" s="78"/>
      <c r="DK280" s="78"/>
      <c r="DL280" s="78"/>
      <c r="DM280" s="78"/>
      <c r="DN280" s="78"/>
      <c r="DO280" s="78"/>
      <c r="DP280" s="78"/>
      <c r="DQ280" s="78"/>
      <c r="DR280" s="78"/>
      <c r="DS280" s="78"/>
      <c r="DT280" s="78"/>
      <c r="DU280" s="78"/>
      <c r="DV280" s="78"/>
      <c r="DW280" s="78"/>
      <c r="DX280" s="78"/>
      <c r="DY280" s="78"/>
      <c r="DZ280" s="78"/>
      <c r="EA280" s="78"/>
      <c r="EB280" s="78"/>
      <c r="EC280" s="78"/>
      <c r="ED280" s="78"/>
      <c r="EE280" s="78"/>
      <c r="EF280" s="78"/>
      <c r="EG280" s="78"/>
      <c r="EH280" s="78"/>
      <c r="EI280" s="78"/>
      <c r="EJ280" s="78"/>
      <c r="EK280" s="78"/>
      <c r="EL280" s="78"/>
      <c r="EM280" s="78"/>
      <c r="EN280" s="91"/>
      <c r="EO280" s="91"/>
      <c r="EP280" s="91"/>
      <c r="EQ280" s="91"/>
      <c r="ER280" s="91"/>
      <c r="ES280" s="91"/>
    </row>
    <row r="281" spans="1:149" outlineLevel="1">
      <c r="A281" s="29" t="str">
        <f t="shared" si="302"/>
        <v>modesg_param_sfics_taxon_europeianet_floor_area</v>
      </c>
      <c r="B281" s="67" t="s">
        <v>26</v>
      </c>
      <c r="C281" s="68" t="s">
        <v>181</v>
      </c>
      <c r="D281" s="64" t="s">
        <v>40</v>
      </c>
      <c r="E281" s="66" t="s">
        <v>2096</v>
      </c>
      <c r="F281" s="64" t="s">
        <v>2400</v>
      </c>
      <c r="G281" s="64" t="str">
        <f>INDEX(Auxiliar!$B$16:$B$24,MATCH(Plano_V3!H281,Auxiliar!$C$16:$C$24,0),1)</f>
        <v>1. Concluído</v>
      </c>
      <c r="H281" s="64">
        <f>VLOOKUP(A281,'Aux - pivots1'!$A:$B,2,0)</f>
        <v>1</v>
      </c>
      <c r="I281" s="180">
        <f>SUMIFS(Table1[Estimação (horas)],Table1[Tabela],Plano_V3!E281,Table1[Campo],Plano_V3!F281)</f>
        <v>0.6</v>
      </c>
      <c r="J281" s="180">
        <f t="shared" si="303"/>
        <v>7.4999999999999997E-2</v>
      </c>
      <c r="K281" s="180">
        <f>SUMIFS(Table1[Horas efetivas],Table1[Tabela],Plano_V3!E281,Table1[Campo],Plano_V3!F281)</f>
        <v>0.6</v>
      </c>
      <c r="L281" s="180">
        <f t="shared" si="304"/>
        <v>7.4999999999999997E-2</v>
      </c>
      <c r="M281" s="174"/>
      <c r="N281" s="174">
        <f t="shared" si="305"/>
        <v>1</v>
      </c>
      <c r="O281" s="174">
        <f t="shared" si="306"/>
        <v>1</v>
      </c>
      <c r="P281" s="89" t="s">
        <v>39</v>
      </c>
      <c r="Q281" s="90"/>
      <c r="R281" s="78"/>
      <c r="S281" s="78"/>
      <c r="T281" s="78"/>
      <c r="U281" s="78"/>
      <c r="V281" s="78"/>
      <c r="W281" s="78"/>
      <c r="X281" s="78"/>
      <c r="Y281" s="78"/>
      <c r="Z281" s="78"/>
      <c r="AA281" s="78"/>
      <c r="AB281" s="78"/>
      <c r="AC281" s="78"/>
      <c r="AD281" s="78"/>
      <c r="AE281" s="78"/>
      <c r="AF281" s="78"/>
      <c r="AG281" s="78"/>
      <c r="AH281" s="78"/>
      <c r="AI281" s="78"/>
      <c r="AJ281" s="78"/>
      <c r="AK281" s="78"/>
      <c r="AL281" s="78"/>
      <c r="AM281" s="78"/>
      <c r="AN281" s="78"/>
      <c r="AO281" s="78"/>
      <c r="AP281" s="78"/>
      <c r="AQ281" s="78"/>
      <c r="AR281" s="78"/>
      <c r="AS281" s="78"/>
      <c r="AT281" s="78"/>
      <c r="AU281" s="78"/>
      <c r="AV281" s="78"/>
      <c r="AW281" s="78"/>
      <c r="AX281" s="78"/>
      <c r="AY281" s="91"/>
      <c r="AZ281" s="78"/>
      <c r="BA281" s="78"/>
      <c r="BB281" s="78"/>
      <c r="BC281" s="78"/>
      <c r="BD281" s="78"/>
      <c r="BE281" s="78"/>
      <c r="BF281" s="78"/>
      <c r="BG281" s="78"/>
      <c r="BH281" s="78"/>
      <c r="BI281" s="78"/>
      <c r="BJ281" s="78"/>
      <c r="BK281" s="78"/>
      <c r="BL281" s="78"/>
      <c r="BM281" s="78"/>
      <c r="BN281" s="78"/>
      <c r="BO281" s="78"/>
      <c r="BP281" s="78"/>
      <c r="BQ281" s="78"/>
      <c r="BR281" s="78"/>
      <c r="BS281" s="78"/>
      <c r="BT281" s="78"/>
      <c r="BU281" s="78"/>
      <c r="BV281" s="78"/>
      <c r="BW281" s="78"/>
      <c r="BX281" s="78"/>
      <c r="BY281" s="78"/>
      <c r="BZ281" s="78"/>
      <c r="CA281" s="78"/>
      <c r="CB281" s="78"/>
      <c r="CC281" s="78"/>
      <c r="CD281" s="78"/>
      <c r="CE281" s="78"/>
      <c r="CF281" s="78"/>
      <c r="CG281" s="78"/>
      <c r="CH281" s="78"/>
      <c r="CI281" s="78"/>
      <c r="CJ281" s="78"/>
      <c r="CK281" s="78"/>
      <c r="CL281" s="78"/>
      <c r="CM281" s="78"/>
      <c r="CN281" s="78"/>
      <c r="CO281" s="78"/>
      <c r="CP281" s="78"/>
      <c r="CQ281" s="78"/>
      <c r="CR281" s="78"/>
      <c r="CS281" s="78"/>
      <c r="CT281" s="78"/>
      <c r="CU281" s="78"/>
      <c r="CV281" s="78"/>
      <c r="CW281" s="78"/>
      <c r="CX281" s="78"/>
      <c r="CY281" s="78"/>
      <c r="CZ281" s="78"/>
      <c r="DA281" s="78"/>
      <c r="DB281" s="78"/>
      <c r="DC281" s="78"/>
      <c r="DD281" s="78"/>
      <c r="DE281" s="78"/>
      <c r="DF281" s="78"/>
      <c r="DG281" s="78"/>
      <c r="DH281" s="78"/>
      <c r="DI281" s="78"/>
      <c r="DJ281" s="78"/>
      <c r="DK281" s="78"/>
      <c r="DL281" s="78"/>
      <c r="DM281" s="78"/>
      <c r="DN281" s="78"/>
      <c r="DO281" s="78"/>
      <c r="DP281" s="78"/>
      <c r="DQ281" s="78"/>
      <c r="DR281" s="78"/>
      <c r="DS281" s="78"/>
      <c r="DT281" s="78"/>
      <c r="DU281" s="78"/>
      <c r="DV281" s="78"/>
      <c r="DW281" s="78"/>
      <c r="DX281" s="78"/>
      <c r="DY281" s="78"/>
      <c r="DZ281" s="78"/>
      <c r="EA281" s="78"/>
      <c r="EB281" s="78"/>
      <c r="EC281" s="78"/>
      <c r="ED281" s="78"/>
      <c r="EE281" s="78"/>
      <c r="EF281" s="78"/>
      <c r="EG281" s="78"/>
      <c r="EH281" s="78"/>
      <c r="EI281" s="78"/>
      <c r="EJ281" s="78"/>
      <c r="EK281" s="78"/>
      <c r="EL281" s="78"/>
      <c r="EM281" s="78"/>
      <c r="EN281" s="91"/>
      <c r="EO281" s="91"/>
      <c r="EP281" s="91"/>
      <c r="EQ281" s="91"/>
      <c r="ER281" s="91"/>
      <c r="ES281" s="91"/>
    </row>
    <row r="282" spans="1:149" outlineLevel="1">
      <c r="A282" s="29" t="str">
        <f t="shared" si="302"/>
        <v>modesg_param_sfics_taxon_europeianome_purpose_esg_nalinh_tax</v>
      </c>
      <c r="B282" s="67" t="s">
        <v>26</v>
      </c>
      <c r="C282" s="68" t="s">
        <v>181</v>
      </c>
      <c r="D282" s="64" t="s">
        <v>40</v>
      </c>
      <c r="E282" s="66" t="s">
        <v>2096</v>
      </c>
      <c r="F282" s="64" t="s">
        <v>2059</v>
      </c>
      <c r="G282" s="64" t="str">
        <f>INDEX(Auxiliar!$B$16:$B$24,MATCH(Plano_V3!H282,Auxiliar!$C$16:$C$24,0),1)</f>
        <v>1. Concluído</v>
      </c>
      <c r="H282" s="64">
        <f>VLOOKUP(A282,'Aux - pivots1'!$A:$B,2,0)</f>
        <v>1</v>
      </c>
      <c r="I282" s="180">
        <f>SUMIFS(Table1[Estimação (horas)],Table1[Tabela],Plano_V3!E282,Table1[Campo],Plano_V3!F282)</f>
        <v>0.6</v>
      </c>
      <c r="J282" s="180">
        <f t="shared" si="303"/>
        <v>7.4999999999999997E-2</v>
      </c>
      <c r="K282" s="180">
        <f>SUMIFS(Table1[Horas efetivas],Table1[Tabela],Plano_V3!E282,Table1[Campo],Plano_V3!F282)</f>
        <v>0.6</v>
      </c>
      <c r="L282" s="180">
        <f t="shared" si="304"/>
        <v>7.4999999999999997E-2</v>
      </c>
      <c r="M282" s="174"/>
      <c r="N282" s="174">
        <f t="shared" si="305"/>
        <v>1</v>
      </c>
      <c r="O282" s="174">
        <f t="shared" si="306"/>
        <v>1</v>
      </c>
      <c r="P282" s="89" t="s">
        <v>39</v>
      </c>
      <c r="Q282" s="90"/>
      <c r="R282" s="78"/>
      <c r="S282" s="78"/>
      <c r="T282" s="78"/>
      <c r="U282" s="78"/>
      <c r="V282" s="78"/>
      <c r="W282" s="78"/>
      <c r="X282" s="78"/>
      <c r="Y282" s="78"/>
      <c r="Z282" s="78"/>
      <c r="AA282" s="78"/>
      <c r="AB282" s="78"/>
      <c r="AC282" s="78"/>
      <c r="AD282" s="78"/>
      <c r="AE282" s="78"/>
      <c r="AF282" s="78"/>
      <c r="AG282" s="78"/>
      <c r="AH282" s="78"/>
      <c r="AI282" s="78"/>
      <c r="AJ282" s="78"/>
      <c r="AK282" s="78"/>
      <c r="AL282" s="78"/>
      <c r="AM282" s="78"/>
      <c r="AN282" s="78"/>
      <c r="AO282" s="78"/>
      <c r="AP282" s="78"/>
      <c r="AQ282" s="78"/>
      <c r="AR282" s="78"/>
      <c r="AS282" s="78"/>
      <c r="AT282" s="78"/>
      <c r="AU282" s="78"/>
      <c r="AV282" s="78"/>
      <c r="AW282" s="78"/>
      <c r="AX282" s="78"/>
      <c r="AY282" s="91"/>
      <c r="AZ282" s="78"/>
      <c r="BA282" s="78"/>
      <c r="BB282" s="78"/>
      <c r="BC282" s="78"/>
      <c r="BD282" s="78"/>
      <c r="BE282" s="78"/>
      <c r="BF282" s="78"/>
      <c r="BG282" s="78"/>
      <c r="BH282" s="78"/>
      <c r="BI282" s="78"/>
      <c r="BJ282" s="78"/>
      <c r="BK282" s="78"/>
      <c r="BL282" s="78"/>
      <c r="BM282" s="78"/>
      <c r="BN282" s="78"/>
      <c r="BO282" s="78"/>
      <c r="BP282" s="78"/>
      <c r="BQ282" s="78"/>
      <c r="BR282" s="78"/>
      <c r="BS282" s="78"/>
      <c r="BT282" s="78"/>
      <c r="BU282" s="78"/>
      <c r="BV282" s="78"/>
      <c r="BW282" s="78"/>
      <c r="BX282" s="78"/>
      <c r="BY282" s="78"/>
      <c r="BZ282" s="78"/>
      <c r="CA282" s="78"/>
      <c r="CB282" s="78"/>
      <c r="CC282" s="78"/>
      <c r="CD282" s="78"/>
      <c r="CE282" s="78"/>
      <c r="CF282" s="78"/>
      <c r="CG282" s="78"/>
      <c r="CH282" s="78"/>
      <c r="CI282" s="78"/>
      <c r="CJ282" s="78"/>
      <c r="CK282" s="78"/>
      <c r="CL282" s="78"/>
      <c r="CM282" s="78"/>
      <c r="CN282" s="78"/>
      <c r="CO282" s="78"/>
      <c r="CP282" s="78"/>
      <c r="CQ282" s="78"/>
      <c r="CR282" s="78"/>
      <c r="CS282" s="78"/>
      <c r="CT282" s="78"/>
      <c r="CU282" s="78"/>
      <c r="CV282" s="78"/>
      <c r="CW282" s="78"/>
      <c r="CX282" s="78"/>
      <c r="CY282" s="78"/>
      <c r="CZ282" s="78"/>
      <c r="DA282" s="78"/>
      <c r="DB282" s="78"/>
      <c r="DC282" s="78"/>
      <c r="DD282" s="78"/>
      <c r="DE282" s="78"/>
      <c r="DF282" s="78"/>
      <c r="DG282" s="78"/>
      <c r="DH282" s="78"/>
      <c r="DI282" s="78"/>
      <c r="DJ282" s="78"/>
      <c r="DK282" s="78"/>
      <c r="DL282" s="78"/>
      <c r="DM282" s="78"/>
      <c r="DN282" s="78"/>
      <c r="DO282" s="78"/>
      <c r="DP282" s="78"/>
      <c r="DQ282" s="78"/>
      <c r="DR282" s="78"/>
      <c r="DS282" s="78"/>
      <c r="DT282" s="78"/>
      <c r="DU282" s="78"/>
      <c r="DV282" s="78"/>
      <c r="DW282" s="78"/>
      <c r="DX282" s="78"/>
      <c r="DY282" s="78"/>
      <c r="DZ282" s="78"/>
      <c r="EA282" s="78"/>
      <c r="EB282" s="78"/>
      <c r="EC282" s="78"/>
      <c r="ED282" s="78"/>
      <c r="EE282" s="78"/>
      <c r="EF282" s="78"/>
      <c r="EG282" s="78"/>
      <c r="EH282" s="78"/>
      <c r="EI282" s="78"/>
      <c r="EJ282" s="78"/>
      <c r="EK282" s="78"/>
      <c r="EL282" s="78"/>
      <c r="EM282" s="78"/>
      <c r="EN282" s="91"/>
      <c r="EO282" s="91"/>
      <c r="EP282" s="91"/>
      <c r="EQ282" s="91"/>
      <c r="ER282" s="91"/>
      <c r="ES282" s="91"/>
    </row>
    <row r="283" spans="1:149" outlineLevel="1">
      <c r="A283" s="29" t="str">
        <f t="shared" si="302"/>
        <v>modesg_param_sfics_taxon_europeianome_purpose_esg_alinh_tax</v>
      </c>
      <c r="B283" s="67" t="s">
        <v>26</v>
      </c>
      <c r="C283" s="68" t="s">
        <v>181</v>
      </c>
      <c r="D283" s="64" t="s">
        <v>40</v>
      </c>
      <c r="E283" s="66" t="s">
        <v>2096</v>
      </c>
      <c r="F283" s="64" t="s">
        <v>2058</v>
      </c>
      <c r="G283" s="64" t="str">
        <f>INDEX(Auxiliar!$B$16:$B$24,MATCH(Plano_V3!H283,Auxiliar!$C$16:$C$24,0),1)</f>
        <v>1. Concluído</v>
      </c>
      <c r="H283" s="64">
        <f>VLOOKUP(A283,'Aux - pivots1'!$A:$B,2,0)</f>
        <v>1</v>
      </c>
      <c r="I283" s="180">
        <f>SUMIFS(Table1[Estimação (horas)],Table1[Tabela],Plano_V3!E283,Table1[Campo],Plano_V3!F283)</f>
        <v>0.6</v>
      </c>
      <c r="J283" s="180">
        <f t="shared" si="303"/>
        <v>7.4999999999999997E-2</v>
      </c>
      <c r="K283" s="180">
        <f>SUMIFS(Table1[Horas efetivas],Table1[Tabela],Plano_V3!E283,Table1[Campo],Plano_V3!F283)</f>
        <v>0.6</v>
      </c>
      <c r="L283" s="180">
        <f t="shared" si="304"/>
        <v>7.4999999999999997E-2</v>
      </c>
      <c r="M283" s="174"/>
      <c r="N283" s="174">
        <f t="shared" si="305"/>
        <v>1</v>
      </c>
      <c r="O283" s="174">
        <f t="shared" si="306"/>
        <v>1</v>
      </c>
      <c r="P283" s="89" t="s">
        <v>39</v>
      </c>
      <c r="Q283" s="90"/>
      <c r="R283" s="78"/>
      <c r="S283" s="78"/>
      <c r="T283" s="78"/>
      <c r="U283" s="78"/>
      <c r="V283" s="78"/>
      <c r="W283" s="78"/>
      <c r="X283" s="78"/>
      <c r="Y283" s="78"/>
      <c r="Z283" s="78"/>
      <c r="AA283" s="78"/>
      <c r="AB283" s="78"/>
      <c r="AC283" s="78"/>
      <c r="AD283" s="78"/>
      <c r="AE283" s="78"/>
      <c r="AF283" s="78"/>
      <c r="AG283" s="78"/>
      <c r="AH283" s="78"/>
      <c r="AI283" s="78"/>
      <c r="AJ283" s="78"/>
      <c r="AK283" s="78"/>
      <c r="AL283" s="78"/>
      <c r="AM283" s="78"/>
      <c r="AN283" s="78"/>
      <c r="AO283" s="78"/>
      <c r="AP283" s="78"/>
      <c r="AQ283" s="78"/>
      <c r="AR283" s="78"/>
      <c r="AS283" s="78"/>
      <c r="AT283" s="78"/>
      <c r="AU283" s="78"/>
      <c r="AV283" s="78"/>
      <c r="AW283" s="78"/>
      <c r="AX283" s="78"/>
      <c r="AY283" s="91"/>
      <c r="AZ283" s="78"/>
      <c r="BA283" s="78"/>
      <c r="BB283" s="78"/>
      <c r="BC283" s="78"/>
      <c r="BD283" s="78"/>
      <c r="BE283" s="78"/>
      <c r="BF283" s="78"/>
      <c r="BG283" s="78"/>
      <c r="BH283" s="78"/>
      <c r="BI283" s="78"/>
      <c r="BJ283" s="78"/>
      <c r="BK283" s="78"/>
      <c r="BL283" s="78"/>
      <c r="BM283" s="78"/>
      <c r="BN283" s="78"/>
      <c r="BO283" s="78"/>
      <c r="BP283" s="78"/>
      <c r="BQ283" s="78"/>
      <c r="BR283" s="78"/>
      <c r="BS283" s="78"/>
      <c r="BT283" s="78"/>
      <c r="BU283" s="78"/>
      <c r="BV283" s="78"/>
      <c r="BW283" s="78"/>
      <c r="BX283" s="78"/>
      <c r="BY283" s="78"/>
      <c r="BZ283" s="78"/>
      <c r="CA283" s="78"/>
      <c r="CB283" s="78"/>
      <c r="CC283" s="78"/>
      <c r="CD283" s="78"/>
      <c r="CE283" s="78"/>
      <c r="CF283" s="78"/>
      <c r="CG283" s="78"/>
      <c r="CH283" s="78"/>
      <c r="CI283" s="78"/>
      <c r="CJ283" s="78"/>
      <c r="CK283" s="78"/>
      <c r="CL283" s="78"/>
      <c r="CM283" s="78"/>
      <c r="CN283" s="78"/>
      <c r="CO283" s="78"/>
      <c r="CP283" s="78"/>
      <c r="CQ283" s="78"/>
      <c r="CR283" s="78"/>
      <c r="CS283" s="78"/>
      <c r="CT283" s="78"/>
      <c r="CU283" s="78"/>
      <c r="CV283" s="78"/>
      <c r="CW283" s="78"/>
      <c r="CX283" s="78"/>
      <c r="CY283" s="78"/>
      <c r="CZ283" s="78"/>
      <c r="DA283" s="78"/>
      <c r="DB283" s="78"/>
      <c r="DC283" s="78"/>
      <c r="DD283" s="78"/>
      <c r="DE283" s="78"/>
      <c r="DF283" s="78"/>
      <c r="DG283" s="78"/>
      <c r="DH283" s="78"/>
      <c r="DI283" s="78"/>
      <c r="DJ283" s="78"/>
      <c r="DK283" s="78"/>
      <c r="DL283" s="78"/>
      <c r="DM283" s="78"/>
      <c r="DN283" s="78"/>
      <c r="DO283" s="78"/>
      <c r="DP283" s="78"/>
      <c r="DQ283" s="78"/>
      <c r="DR283" s="78"/>
      <c r="DS283" s="78"/>
      <c r="DT283" s="78"/>
      <c r="DU283" s="78"/>
      <c r="DV283" s="78"/>
      <c r="DW283" s="78"/>
      <c r="DX283" s="78"/>
      <c r="DY283" s="78"/>
      <c r="DZ283" s="78"/>
      <c r="EA283" s="78"/>
      <c r="EB283" s="78"/>
      <c r="EC283" s="78"/>
      <c r="ED283" s="78"/>
      <c r="EE283" s="78"/>
      <c r="EF283" s="78"/>
      <c r="EG283" s="78"/>
      <c r="EH283" s="78"/>
      <c r="EI283" s="78"/>
      <c r="EJ283" s="78"/>
      <c r="EK283" s="78"/>
      <c r="EL283" s="78"/>
      <c r="EM283" s="78"/>
      <c r="EN283" s="91"/>
      <c r="EO283" s="91"/>
      <c r="EP283" s="91"/>
      <c r="EQ283" s="91"/>
      <c r="ER283" s="91"/>
      <c r="ES283" s="91"/>
    </row>
    <row r="284" spans="1:149" outlineLevel="1">
      <c r="A284" s="29" t="str">
        <f t="shared" si="302"/>
        <v>modesg_param_sfics_taxon_europeianome_general_specific_purpose</v>
      </c>
      <c r="B284" s="67" t="s">
        <v>26</v>
      </c>
      <c r="C284" s="68" t="s">
        <v>181</v>
      </c>
      <c r="D284" s="64" t="s">
        <v>40</v>
      </c>
      <c r="E284" s="66" t="s">
        <v>2096</v>
      </c>
      <c r="F284" s="64" t="s">
        <v>204</v>
      </c>
      <c r="G284" s="64" t="str">
        <f>INDEX(Auxiliar!$B$16:$B$24,MATCH(Plano_V3!H284,Auxiliar!$C$16:$C$24,0),1)</f>
        <v>1. Concluído</v>
      </c>
      <c r="H284" s="64">
        <f>VLOOKUP(A284,'Aux - pivots1'!$A:$B,2,0)</f>
        <v>1</v>
      </c>
      <c r="I284" s="180">
        <f>SUMIFS(Table1[Estimação (horas)],Table1[Tabela],Plano_V3!E284,Table1[Campo],Plano_V3!F284)</f>
        <v>0.6</v>
      </c>
      <c r="J284" s="180">
        <f t="shared" si="303"/>
        <v>7.4999999999999997E-2</v>
      </c>
      <c r="K284" s="180">
        <f>SUMIFS(Table1[Horas efetivas],Table1[Tabela],Plano_V3!E284,Table1[Campo],Plano_V3!F284)</f>
        <v>0.6</v>
      </c>
      <c r="L284" s="180">
        <f t="shared" si="304"/>
        <v>7.4999999999999997E-2</v>
      </c>
      <c r="M284" s="174"/>
      <c r="N284" s="174">
        <f t="shared" si="305"/>
        <v>1</v>
      </c>
      <c r="O284" s="174">
        <f t="shared" si="306"/>
        <v>1</v>
      </c>
      <c r="P284" s="89" t="s">
        <v>39</v>
      </c>
      <c r="Q284" s="90"/>
      <c r="R284" s="78"/>
      <c r="S284" s="78"/>
      <c r="T284" s="78"/>
      <c r="U284" s="78"/>
      <c r="V284" s="78"/>
      <c r="W284" s="78"/>
      <c r="X284" s="78"/>
      <c r="Y284" s="78"/>
      <c r="Z284" s="78"/>
      <c r="AA284" s="78"/>
      <c r="AB284" s="78"/>
      <c r="AC284" s="78"/>
      <c r="AD284" s="78"/>
      <c r="AE284" s="78"/>
      <c r="AF284" s="78"/>
      <c r="AG284" s="78"/>
      <c r="AH284" s="78"/>
      <c r="AI284" s="78"/>
      <c r="AJ284" s="78"/>
      <c r="AK284" s="78"/>
      <c r="AL284" s="78"/>
      <c r="AM284" s="78"/>
      <c r="AN284" s="78"/>
      <c r="AO284" s="78"/>
      <c r="AP284" s="78"/>
      <c r="AQ284" s="78"/>
      <c r="AR284" s="78"/>
      <c r="AS284" s="78"/>
      <c r="AT284" s="78"/>
      <c r="AU284" s="78"/>
      <c r="AV284" s="78"/>
      <c r="AW284" s="78"/>
      <c r="AX284" s="78"/>
      <c r="AY284" s="91"/>
      <c r="AZ284" s="78"/>
      <c r="BA284" s="78"/>
      <c r="BB284" s="78"/>
      <c r="BC284" s="78"/>
      <c r="BD284" s="78"/>
      <c r="BE284" s="78"/>
      <c r="BF284" s="78"/>
      <c r="BG284" s="78"/>
      <c r="BH284" s="78"/>
      <c r="BI284" s="78"/>
      <c r="BJ284" s="78"/>
      <c r="BK284" s="78"/>
      <c r="BL284" s="78"/>
      <c r="BM284" s="78"/>
      <c r="BN284" s="78"/>
      <c r="BO284" s="78"/>
      <c r="BP284" s="78"/>
      <c r="BQ284" s="78"/>
      <c r="BR284" s="78"/>
      <c r="BS284" s="78"/>
      <c r="BT284" s="78"/>
      <c r="BU284" s="78"/>
      <c r="BV284" s="78"/>
      <c r="BW284" s="78"/>
      <c r="BX284" s="78"/>
      <c r="BY284" s="78"/>
      <c r="BZ284" s="78"/>
      <c r="CA284" s="78"/>
      <c r="CB284" s="78"/>
      <c r="CC284" s="78"/>
      <c r="CD284" s="78"/>
      <c r="CE284" s="78"/>
      <c r="CF284" s="78"/>
      <c r="CG284" s="78"/>
      <c r="CH284" s="78"/>
      <c r="CI284" s="78"/>
      <c r="CJ284" s="78"/>
      <c r="CK284" s="78"/>
      <c r="CL284" s="78"/>
      <c r="CM284" s="78"/>
      <c r="CN284" s="78"/>
      <c r="CO284" s="78"/>
      <c r="CP284" s="78"/>
      <c r="CQ284" s="78"/>
      <c r="CR284" s="78"/>
      <c r="CS284" s="78"/>
      <c r="CT284" s="78"/>
      <c r="CU284" s="78"/>
      <c r="CV284" s="78"/>
      <c r="CW284" s="78"/>
      <c r="CX284" s="78"/>
      <c r="CY284" s="78"/>
      <c r="CZ284" s="78"/>
      <c r="DA284" s="78"/>
      <c r="DB284" s="78"/>
      <c r="DC284" s="78"/>
      <c r="DD284" s="78"/>
      <c r="DE284" s="78"/>
      <c r="DF284" s="78"/>
      <c r="DG284" s="78"/>
      <c r="DH284" s="78"/>
      <c r="DI284" s="78"/>
      <c r="DJ284" s="78"/>
      <c r="DK284" s="78"/>
      <c r="DL284" s="78"/>
      <c r="DM284" s="78"/>
      <c r="DN284" s="78"/>
      <c r="DO284" s="78"/>
      <c r="DP284" s="78"/>
      <c r="DQ284" s="78"/>
      <c r="DR284" s="78"/>
      <c r="DS284" s="78"/>
      <c r="DT284" s="78"/>
      <c r="DU284" s="78"/>
      <c r="DV284" s="78"/>
      <c r="DW284" s="78"/>
      <c r="DX284" s="78"/>
      <c r="DY284" s="78"/>
      <c r="DZ284" s="78"/>
      <c r="EA284" s="78"/>
      <c r="EB284" s="78"/>
      <c r="EC284" s="78"/>
      <c r="ED284" s="78"/>
      <c r="EE284" s="78"/>
      <c r="EF284" s="78"/>
      <c r="EG284" s="78"/>
      <c r="EH284" s="78"/>
      <c r="EI284" s="78"/>
      <c r="EJ284" s="78"/>
      <c r="EK284" s="78"/>
      <c r="EL284" s="78"/>
      <c r="EM284" s="78"/>
      <c r="EN284" s="91"/>
      <c r="EO284" s="91"/>
      <c r="EP284" s="91"/>
      <c r="EQ284" s="91"/>
      <c r="ER284" s="91"/>
      <c r="ES284" s="91"/>
    </row>
    <row r="285" spans="1:149" outlineLevel="1">
      <c r="A285" s="29" t="str">
        <f t="shared" si="302"/>
        <v>modesg_param_sfics_taxon_europeianome_specific_eligible</v>
      </c>
      <c r="B285" s="67" t="s">
        <v>26</v>
      </c>
      <c r="C285" s="68" t="s">
        <v>181</v>
      </c>
      <c r="D285" s="64" t="s">
        <v>40</v>
      </c>
      <c r="E285" s="66" t="s">
        <v>2096</v>
      </c>
      <c r="F285" s="64" t="s">
        <v>206</v>
      </c>
      <c r="G285" s="64" t="str">
        <f>INDEX(Auxiliar!$B$16:$B$24,MATCH(Plano_V3!H285,Auxiliar!$C$16:$C$24,0),1)</f>
        <v>1. Concluído</v>
      </c>
      <c r="H285" s="64">
        <f>VLOOKUP(A285,'Aux - pivots1'!$A:$B,2,0)</f>
        <v>1</v>
      </c>
      <c r="I285" s="180" t="e">
        <f>SUMIFS(Table1[Estimação (horas)],Table1[Tabela],Plano_V3!E285,Table1[Campo],Plano_V3!F285)</f>
        <v>#N/A</v>
      </c>
      <c r="J285" s="180" t="e">
        <f t="shared" si="303"/>
        <v>#N/A</v>
      </c>
      <c r="K285" s="180" t="e">
        <f>SUMIFS(Table1[Horas efetivas],Table1[Tabela],Plano_V3!E285,Table1[Campo],Plano_V3!F285)</f>
        <v>#N/A</v>
      </c>
      <c r="L285" s="180" t="e">
        <f t="shared" si="304"/>
        <v>#N/A</v>
      </c>
      <c r="M285" s="174"/>
      <c r="N285" s="174" t="e">
        <f t="shared" si="305"/>
        <v>#N/A</v>
      </c>
      <c r="O285" s="174" t="e">
        <f t="shared" si="306"/>
        <v>#N/A</v>
      </c>
      <c r="P285" s="89" t="s">
        <v>39</v>
      </c>
      <c r="Q285" s="90"/>
      <c r="R285" s="78"/>
      <c r="S285" s="78"/>
      <c r="T285" s="78"/>
      <c r="U285" s="78"/>
      <c r="V285" s="78"/>
      <c r="W285" s="78"/>
      <c r="X285" s="78"/>
      <c r="Y285" s="78"/>
      <c r="Z285" s="78"/>
      <c r="AA285" s="78"/>
      <c r="AB285" s="78"/>
      <c r="AC285" s="78"/>
      <c r="AD285" s="78"/>
      <c r="AE285" s="78"/>
      <c r="AF285" s="78"/>
      <c r="AG285" s="78"/>
      <c r="AH285" s="78"/>
      <c r="AI285" s="78"/>
      <c r="AJ285" s="78"/>
      <c r="AK285" s="78"/>
      <c r="AL285" s="78"/>
      <c r="AM285" s="78"/>
      <c r="AN285" s="78"/>
      <c r="AO285" s="78"/>
      <c r="AP285" s="78"/>
      <c r="AQ285" s="78"/>
      <c r="AR285" s="78"/>
      <c r="AS285" s="78"/>
      <c r="AT285" s="78"/>
      <c r="AU285" s="78"/>
      <c r="AV285" s="78"/>
      <c r="AW285" s="78"/>
      <c r="AX285" s="78"/>
      <c r="AY285" s="91"/>
      <c r="AZ285" s="78"/>
      <c r="BA285" s="78"/>
      <c r="BB285" s="78"/>
      <c r="BC285" s="78"/>
      <c r="BD285" s="78"/>
      <c r="BE285" s="78"/>
      <c r="BF285" s="78"/>
      <c r="BG285" s="78"/>
      <c r="BH285" s="78"/>
      <c r="BI285" s="78"/>
      <c r="BJ285" s="78"/>
      <c r="BK285" s="78"/>
      <c r="BL285" s="78"/>
      <c r="BM285" s="78"/>
      <c r="BN285" s="78"/>
      <c r="BO285" s="78"/>
      <c r="BP285" s="78"/>
      <c r="BQ285" s="78"/>
      <c r="BR285" s="78"/>
      <c r="BS285" s="78"/>
      <c r="BT285" s="78"/>
      <c r="BU285" s="78"/>
      <c r="BV285" s="78"/>
      <c r="BW285" s="78"/>
      <c r="BX285" s="78"/>
      <c r="BY285" s="78"/>
      <c r="BZ285" s="78"/>
      <c r="CA285" s="78"/>
      <c r="CB285" s="78"/>
      <c r="CC285" s="78"/>
      <c r="CD285" s="78"/>
      <c r="CE285" s="78"/>
      <c r="CF285" s="78"/>
      <c r="CG285" s="78"/>
      <c r="CH285" s="78"/>
      <c r="CI285" s="78"/>
      <c r="CJ285" s="78"/>
      <c r="CK285" s="78"/>
      <c r="CL285" s="78"/>
      <c r="CM285" s="78"/>
      <c r="CN285" s="78"/>
      <c r="CO285" s="78"/>
      <c r="CP285" s="78"/>
      <c r="CQ285" s="78"/>
      <c r="CR285" s="78"/>
      <c r="CS285" s="78"/>
      <c r="CT285" s="78"/>
      <c r="CU285" s="78"/>
      <c r="CV285" s="78"/>
      <c r="CW285" s="78"/>
      <c r="CX285" s="78"/>
      <c r="CY285" s="78"/>
      <c r="CZ285" s="78"/>
      <c r="DA285" s="78"/>
      <c r="DB285" s="78"/>
      <c r="DC285" s="78"/>
      <c r="DD285" s="78"/>
      <c r="DE285" s="78"/>
      <c r="DF285" s="78"/>
      <c r="DG285" s="78"/>
      <c r="DH285" s="78"/>
      <c r="DI285" s="78"/>
      <c r="DJ285" s="78"/>
      <c r="DK285" s="78"/>
      <c r="DL285" s="78"/>
      <c r="DM285" s="78"/>
      <c r="DN285" s="78"/>
      <c r="DO285" s="78"/>
      <c r="DP285" s="78"/>
      <c r="DQ285" s="78"/>
      <c r="DR285" s="78"/>
      <c r="DS285" s="78"/>
      <c r="DT285" s="78"/>
      <c r="DU285" s="78"/>
      <c r="DV285" s="78"/>
      <c r="DW285" s="78"/>
      <c r="DX285" s="78"/>
      <c r="DY285" s="78"/>
      <c r="DZ285" s="78"/>
      <c r="EA285" s="78"/>
      <c r="EB285" s="78"/>
      <c r="EC285" s="78"/>
      <c r="ED285" s="78"/>
      <c r="EE285" s="78"/>
      <c r="EF285" s="78"/>
      <c r="EG285" s="78"/>
      <c r="EH285" s="78"/>
      <c r="EI285" s="78"/>
      <c r="EJ285" s="78"/>
      <c r="EK285" s="78"/>
      <c r="EL285" s="78"/>
      <c r="EM285" s="78"/>
      <c r="EN285" s="91"/>
      <c r="EO285" s="91"/>
      <c r="EP285" s="91"/>
      <c r="EQ285" s="91"/>
      <c r="ER285" s="91"/>
      <c r="ES285" s="91"/>
    </row>
    <row r="286" spans="1:149" outlineLevel="1">
      <c r="A286" s="29" t="str">
        <f t="shared" si="302"/>
        <v>modesg_param_sfics_taxon_europeiasst_indctr_aux</v>
      </c>
      <c r="B286" s="67" t="s">
        <v>26</v>
      </c>
      <c r="C286" s="68" t="s">
        <v>181</v>
      </c>
      <c r="D286" s="64" t="s">
        <v>40</v>
      </c>
      <c r="E286" s="66" t="s">
        <v>2096</v>
      </c>
      <c r="F286" s="64" t="s">
        <v>2416</v>
      </c>
      <c r="G286" s="64" t="str">
        <f>INDEX(Auxiliar!$B$16:$B$24,MATCH(Plano_V3!H286,Auxiliar!$C$16:$C$24,0),1)</f>
        <v>1. Concluído</v>
      </c>
      <c r="H286" s="64">
        <f>VLOOKUP(A286,'Aux - pivots1'!$A:$B,2,0)</f>
        <v>1</v>
      </c>
      <c r="I286" s="180">
        <f>SUMIFS(Table1[Estimação (horas)],Table1[Tabela],Plano_V3!E286,Table1[Campo],Plano_V3!F286)</f>
        <v>0.5</v>
      </c>
      <c r="J286" s="180">
        <f>I286/8</f>
        <v>6.25E-2</v>
      </c>
      <c r="K286" s="180">
        <f>SUMIFS(Table1[Horas efetivas],Table1[Tabela],Plano_V3!E286,Table1[Campo],Plano_V3!F286)</f>
        <v>0.5</v>
      </c>
      <c r="L286" s="180">
        <f>K286/8</f>
        <v>6.25E-2</v>
      </c>
      <c r="M286" s="174"/>
      <c r="N286" s="174">
        <f>L286/J286</f>
        <v>1</v>
      </c>
      <c r="O286" s="174">
        <f>N286-M286</f>
        <v>1</v>
      </c>
      <c r="P286" s="89" t="s">
        <v>39</v>
      </c>
      <c r="Q286" s="90"/>
      <c r="R286" s="78"/>
      <c r="S286" s="78"/>
      <c r="T286" s="78"/>
      <c r="U286" s="78"/>
      <c r="V286" s="78"/>
      <c r="W286" s="78"/>
      <c r="X286" s="78"/>
      <c r="Y286" s="78"/>
      <c r="Z286" s="78"/>
      <c r="AA286" s="78"/>
      <c r="AB286" s="78"/>
      <c r="AC286" s="78"/>
      <c r="AD286" s="78"/>
      <c r="AE286" s="78"/>
      <c r="AF286" s="78"/>
      <c r="AG286" s="78"/>
      <c r="AH286" s="78"/>
      <c r="AI286" s="78"/>
      <c r="AJ286" s="78"/>
      <c r="AK286" s="78"/>
      <c r="AL286" s="78"/>
      <c r="AM286" s="78"/>
      <c r="AN286" s="78"/>
      <c r="AO286" s="78"/>
      <c r="AP286" s="78"/>
      <c r="AQ286" s="78"/>
      <c r="AR286" s="78"/>
      <c r="AS286" s="78"/>
      <c r="AT286" s="78"/>
      <c r="AU286" s="78"/>
      <c r="AV286" s="78"/>
      <c r="AW286" s="78"/>
      <c r="AX286" s="78"/>
      <c r="AY286" s="91"/>
      <c r="AZ286" s="78"/>
      <c r="BA286" s="78"/>
      <c r="BB286" s="78"/>
      <c r="BC286" s="78"/>
      <c r="BD286" s="78"/>
      <c r="BE286" s="78"/>
      <c r="BF286" s="78"/>
      <c r="BG286" s="78"/>
      <c r="BH286" s="78"/>
      <c r="BI286" s="78"/>
      <c r="BJ286" s="78"/>
      <c r="BK286" s="78"/>
      <c r="BL286" s="78"/>
      <c r="BM286" s="78"/>
      <c r="BN286" s="78"/>
      <c r="BO286" s="78"/>
      <c r="BP286" s="78"/>
      <c r="BQ286" s="78"/>
      <c r="BR286" s="78"/>
      <c r="BS286" s="78"/>
      <c r="BT286" s="78"/>
      <c r="BU286" s="78"/>
      <c r="BV286" s="78"/>
      <c r="BW286" s="78"/>
      <c r="BX286" s="78"/>
      <c r="BY286" s="78"/>
      <c r="BZ286" s="78"/>
      <c r="CA286" s="78"/>
      <c r="CB286" s="78"/>
      <c r="CC286" s="78"/>
      <c r="CD286" s="78"/>
      <c r="CE286" s="78"/>
      <c r="CF286" s="78"/>
      <c r="CG286" s="78"/>
      <c r="CH286" s="78"/>
      <c r="CI286" s="78"/>
      <c r="CJ286" s="78"/>
      <c r="CK286" s="78"/>
      <c r="CL286" s="78"/>
      <c r="CM286" s="78"/>
      <c r="CN286" s="78"/>
      <c r="CO286" s="78"/>
      <c r="CP286" s="78"/>
      <c r="CQ286" s="78"/>
      <c r="CR286" s="78"/>
      <c r="CS286" s="78"/>
      <c r="CT286" s="78"/>
      <c r="CU286" s="78"/>
      <c r="CV286" s="78"/>
      <c r="CW286" s="78"/>
      <c r="CX286" s="78"/>
      <c r="CY286" s="78"/>
      <c r="CZ286" s="78"/>
      <c r="DA286" s="78"/>
      <c r="DB286" s="78"/>
      <c r="DC286" s="78"/>
      <c r="DD286" s="78"/>
      <c r="DE286" s="78"/>
      <c r="DF286" s="78"/>
      <c r="DG286" s="78"/>
      <c r="DH286" s="78"/>
      <c r="DI286" s="78"/>
      <c r="DJ286" s="78"/>
      <c r="DK286" s="78"/>
      <c r="DL286" s="78"/>
      <c r="DM286" s="78"/>
      <c r="DN286" s="78"/>
      <c r="DO286" s="78"/>
      <c r="DP286" s="78"/>
      <c r="DQ286" s="78"/>
      <c r="DR286" s="78"/>
      <c r="DS286" s="78"/>
      <c r="DT286" s="78"/>
      <c r="DU286" s="78"/>
      <c r="DV286" s="78"/>
      <c r="DW286" s="78"/>
      <c r="DX286" s="78"/>
      <c r="DY286" s="78"/>
      <c r="DZ286" s="78"/>
      <c r="EA286" s="78"/>
      <c r="EB286" s="78"/>
      <c r="EC286" s="78"/>
      <c r="ED286" s="78"/>
      <c r="EE286" s="78"/>
      <c r="EF286" s="78"/>
      <c r="EG286" s="78"/>
      <c r="EH286" s="78"/>
      <c r="EI286" s="78"/>
      <c r="EJ286" s="78"/>
      <c r="EK286" s="78"/>
      <c r="EL286" s="78"/>
      <c r="EM286" s="78"/>
      <c r="EN286" s="91"/>
      <c r="EO286" s="91"/>
      <c r="EP286" s="91"/>
      <c r="EQ286" s="91"/>
      <c r="ER286" s="91"/>
      <c r="ES286" s="91"/>
    </row>
    <row r="287" spans="1:149" outlineLevel="1">
      <c r="A287" s="29" t="str">
        <f t="shared" si="302"/>
        <v>modesg_param_sfics_taxon_europeianome_specific_sustainable</v>
      </c>
      <c r="B287" s="67" t="s">
        <v>26</v>
      </c>
      <c r="C287" s="68" t="s">
        <v>181</v>
      </c>
      <c r="D287" s="64" t="s">
        <v>40</v>
      </c>
      <c r="E287" s="66" t="s">
        <v>2096</v>
      </c>
      <c r="F287" s="64" t="s">
        <v>207</v>
      </c>
      <c r="G287" s="64" t="str">
        <f>INDEX(Auxiliar!$B$16:$B$24,MATCH(Plano_V3!H287,Auxiliar!$C$16:$C$24,0),1)</f>
        <v>1. Concluído</v>
      </c>
      <c r="H287" s="64">
        <f>VLOOKUP(A287,'Aux - pivots1'!$A:$B,2,0)</f>
        <v>1</v>
      </c>
      <c r="I287" s="180" t="e">
        <f>SUMIFS(Table1[Estimação (horas)],Table1[Tabela],Plano_V3!E287,Table1[Campo],Plano_V3!F287)</f>
        <v>#N/A</v>
      </c>
      <c r="J287" s="180" t="e">
        <f t="shared" si="303"/>
        <v>#N/A</v>
      </c>
      <c r="K287" s="180" t="e">
        <f>SUMIFS(Table1[Horas efetivas],Table1[Tabela],Plano_V3!E287,Table1[Campo],Plano_V3!F287)</f>
        <v>#N/A</v>
      </c>
      <c r="L287" s="180" t="e">
        <f t="shared" si="304"/>
        <v>#N/A</v>
      </c>
      <c r="M287" s="174"/>
      <c r="N287" s="174" t="e">
        <f t="shared" si="305"/>
        <v>#N/A</v>
      </c>
      <c r="O287" s="174" t="e">
        <f t="shared" si="306"/>
        <v>#N/A</v>
      </c>
      <c r="P287" s="89" t="s">
        <v>39</v>
      </c>
      <c r="Q287" s="90"/>
      <c r="R287" s="78"/>
      <c r="S287" s="78"/>
      <c r="T287" s="78"/>
      <c r="U287" s="78"/>
      <c r="V287" s="78"/>
      <c r="W287" s="78"/>
      <c r="X287" s="78"/>
      <c r="Y287" s="78"/>
      <c r="Z287" s="78"/>
      <c r="AA287" s="78"/>
      <c r="AB287" s="78"/>
      <c r="AC287" s="78"/>
      <c r="AD287" s="78"/>
      <c r="AE287" s="78"/>
      <c r="AF287" s="78"/>
      <c r="AG287" s="78"/>
      <c r="AH287" s="78"/>
      <c r="AI287" s="78"/>
      <c r="AJ287" s="78"/>
      <c r="AK287" s="78"/>
      <c r="AL287" s="78"/>
      <c r="AM287" s="78"/>
      <c r="AN287" s="78"/>
      <c r="AO287" s="78"/>
      <c r="AP287" s="78"/>
      <c r="AQ287" s="78"/>
      <c r="AR287" s="78"/>
      <c r="AS287" s="78"/>
      <c r="AT287" s="78"/>
      <c r="AU287" s="78"/>
      <c r="AV287" s="78"/>
      <c r="AW287" s="78"/>
      <c r="AX287" s="78"/>
      <c r="AY287" s="91"/>
      <c r="AZ287" s="78"/>
      <c r="BA287" s="78"/>
      <c r="BB287" s="78"/>
      <c r="BC287" s="78"/>
      <c r="BD287" s="78"/>
      <c r="BE287" s="78"/>
      <c r="BF287" s="78"/>
      <c r="BG287" s="78"/>
      <c r="BH287" s="78"/>
      <c r="BI287" s="78"/>
      <c r="BJ287" s="78"/>
      <c r="BK287" s="78"/>
      <c r="BL287" s="78"/>
      <c r="BM287" s="78"/>
      <c r="BN287" s="78"/>
      <c r="BO287" s="78"/>
      <c r="BP287" s="78"/>
      <c r="BQ287" s="78"/>
      <c r="BR287" s="78"/>
      <c r="BS287" s="78"/>
      <c r="BT287" s="78"/>
      <c r="BU287" s="78"/>
      <c r="BV287" s="78"/>
      <c r="BW287" s="78"/>
      <c r="BX287" s="78"/>
      <c r="BY287" s="78"/>
      <c r="BZ287" s="78"/>
      <c r="CA287" s="78"/>
      <c r="CB287" s="78"/>
      <c r="CC287" s="78"/>
      <c r="CD287" s="78"/>
      <c r="CE287" s="78"/>
      <c r="CF287" s="78"/>
      <c r="CG287" s="78"/>
      <c r="CH287" s="78"/>
      <c r="CI287" s="78"/>
      <c r="CJ287" s="78"/>
      <c r="CK287" s="78"/>
      <c r="CL287" s="78"/>
      <c r="CM287" s="78"/>
      <c r="CN287" s="78"/>
      <c r="CO287" s="78"/>
      <c r="CP287" s="78"/>
      <c r="CQ287" s="78"/>
      <c r="CR287" s="78"/>
      <c r="CS287" s="78"/>
      <c r="CT287" s="78"/>
      <c r="CU287" s="78"/>
      <c r="CV287" s="78"/>
      <c r="CW287" s="78"/>
      <c r="CX287" s="78"/>
      <c r="CY287" s="78"/>
      <c r="CZ287" s="78"/>
      <c r="DA287" s="78"/>
      <c r="DB287" s="78"/>
      <c r="DC287" s="78"/>
      <c r="DD287" s="78"/>
      <c r="DE287" s="78"/>
      <c r="DF287" s="78"/>
      <c r="DG287" s="78"/>
      <c r="DH287" s="78"/>
      <c r="DI287" s="78"/>
      <c r="DJ287" s="78"/>
      <c r="DK287" s="78"/>
      <c r="DL287" s="78"/>
      <c r="DM287" s="78"/>
      <c r="DN287" s="78"/>
      <c r="DO287" s="78"/>
      <c r="DP287" s="78"/>
      <c r="DQ287" s="78"/>
      <c r="DR287" s="78"/>
      <c r="DS287" s="78"/>
      <c r="DT287" s="78"/>
      <c r="DU287" s="78"/>
      <c r="DV287" s="78"/>
      <c r="DW287" s="78"/>
      <c r="DX287" s="78"/>
      <c r="DY287" s="78"/>
      <c r="DZ287" s="78"/>
      <c r="EA287" s="78"/>
      <c r="EB287" s="78"/>
      <c r="EC287" s="78"/>
      <c r="ED287" s="78"/>
      <c r="EE287" s="78"/>
      <c r="EF287" s="78"/>
      <c r="EG287" s="78"/>
      <c r="EH287" s="78"/>
      <c r="EI287" s="78"/>
      <c r="EJ287" s="78"/>
      <c r="EK287" s="78"/>
      <c r="EL287" s="78"/>
      <c r="EM287" s="78"/>
      <c r="EN287" s="91"/>
      <c r="EO287" s="91"/>
      <c r="EP287" s="91"/>
      <c r="EQ287" s="91"/>
      <c r="ER287" s="91"/>
      <c r="ES287" s="91"/>
    </row>
    <row r="288" spans="1:149" outlineLevel="1">
      <c r="A288" s="29" t="str">
        <f>E288&amp;F288</f>
        <v>modesg_param_sfics_taxon_europeiacgarante_bem</v>
      </c>
      <c r="B288" s="67" t="s">
        <v>26</v>
      </c>
      <c r="C288" s="68" t="s">
        <v>181</v>
      </c>
      <c r="D288" s="64" t="s">
        <v>40</v>
      </c>
      <c r="E288" s="66" t="s">
        <v>2096</v>
      </c>
      <c r="F288" s="64" t="s">
        <v>2409</v>
      </c>
      <c r="G288" s="64" t="str">
        <f>INDEX(Auxiliar!$B$16:$B$24,MATCH(Plano_V3!H288,Auxiliar!$C$16:$C$24,0),1)</f>
        <v>1. Concluído</v>
      </c>
      <c r="H288" s="64">
        <f>VLOOKUP(A288,'Aux - pivots1'!$A:$B,2,0)</f>
        <v>1</v>
      </c>
      <c r="I288" s="180" t="e">
        <f>SUMIFS(Table1[Estimação (horas)],Table1[Tabela],Plano_V3!E288,Table1[Campo],Plano_V3!F288)</f>
        <v>#N/A</v>
      </c>
      <c r="J288" s="180" t="e">
        <f>I288/8</f>
        <v>#N/A</v>
      </c>
      <c r="K288" s="180" t="e">
        <f>SUMIFS(Table1[Horas efetivas],Table1[Tabela],Plano_V3!E288,Table1[Campo],Plano_V3!F288)</f>
        <v>#N/A</v>
      </c>
      <c r="L288" s="180" t="e">
        <f>K288/8</f>
        <v>#N/A</v>
      </c>
      <c r="M288" s="174"/>
      <c r="N288" s="174" t="e">
        <f>L288/J288</f>
        <v>#N/A</v>
      </c>
      <c r="O288" s="174" t="e">
        <f>N288-M288</f>
        <v>#N/A</v>
      </c>
      <c r="P288" s="89" t="s">
        <v>39</v>
      </c>
      <c r="Q288" s="90"/>
      <c r="R288" s="78"/>
      <c r="S288" s="78"/>
      <c r="T288" s="78"/>
      <c r="U288" s="78"/>
      <c r="V288" s="78"/>
      <c r="W288" s="78"/>
      <c r="X288" s="78"/>
      <c r="Y288" s="78"/>
      <c r="Z288" s="78"/>
      <c r="AA288" s="78"/>
      <c r="AB288" s="78"/>
      <c r="AC288" s="78"/>
      <c r="AD288" s="78"/>
      <c r="AE288" s="78"/>
      <c r="AF288" s="78"/>
      <c r="AG288" s="78"/>
      <c r="AH288" s="78"/>
      <c r="AI288" s="78"/>
      <c r="AJ288" s="78"/>
      <c r="AK288" s="78"/>
      <c r="AL288" s="78"/>
      <c r="AM288" s="78"/>
      <c r="AN288" s="78"/>
      <c r="AO288" s="78"/>
      <c r="AP288" s="78"/>
      <c r="AQ288" s="78"/>
      <c r="AR288" s="78"/>
      <c r="AS288" s="78"/>
      <c r="AT288" s="78"/>
      <c r="AU288" s="78"/>
      <c r="AV288" s="78"/>
      <c r="AW288" s="78"/>
      <c r="AX288" s="78"/>
      <c r="AY288" s="91"/>
      <c r="AZ288" s="78"/>
      <c r="BA288" s="78"/>
      <c r="BB288" s="78"/>
      <c r="BC288" s="78"/>
      <c r="BD288" s="78"/>
      <c r="BE288" s="78"/>
      <c r="BF288" s="78"/>
      <c r="BG288" s="78"/>
      <c r="BH288" s="78"/>
      <c r="BI288" s="78"/>
      <c r="BJ288" s="78"/>
      <c r="BK288" s="78"/>
      <c r="BL288" s="78"/>
      <c r="BM288" s="78"/>
      <c r="BN288" s="78"/>
      <c r="BO288" s="78"/>
      <c r="BP288" s="78"/>
      <c r="BQ288" s="78"/>
      <c r="BR288" s="78"/>
      <c r="BS288" s="78"/>
      <c r="BT288" s="78"/>
      <c r="BU288" s="78"/>
      <c r="BV288" s="78"/>
      <c r="BW288" s="78"/>
      <c r="BX288" s="78"/>
      <c r="BY288" s="78"/>
      <c r="BZ288" s="78"/>
      <c r="CA288" s="78"/>
      <c r="CB288" s="78"/>
      <c r="CC288" s="78"/>
      <c r="CD288" s="78"/>
      <c r="CE288" s="78"/>
      <c r="CF288" s="78"/>
      <c r="CG288" s="78"/>
      <c r="CH288" s="78"/>
      <c r="CI288" s="78"/>
      <c r="CJ288" s="78"/>
      <c r="CK288" s="78"/>
      <c r="CL288" s="78"/>
      <c r="CM288" s="78"/>
      <c r="CN288" s="78"/>
      <c r="CO288" s="78"/>
      <c r="CP288" s="78"/>
      <c r="CQ288" s="78"/>
      <c r="CR288" s="78"/>
      <c r="CS288" s="78"/>
      <c r="CT288" s="78"/>
      <c r="CU288" s="78"/>
      <c r="CV288" s="78"/>
      <c r="CW288" s="78"/>
      <c r="CX288" s="78"/>
      <c r="CY288" s="78"/>
      <c r="CZ288" s="78"/>
      <c r="DA288" s="78"/>
      <c r="DB288" s="78"/>
      <c r="DC288" s="78"/>
      <c r="DD288" s="78"/>
      <c r="DE288" s="78"/>
      <c r="DF288" s="78"/>
      <c r="DG288" s="78"/>
      <c r="DH288" s="78"/>
      <c r="DI288" s="78"/>
      <c r="DJ288" s="78"/>
      <c r="DK288" s="78"/>
      <c r="DL288" s="78"/>
      <c r="DM288" s="78"/>
      <c r="DN288" s="78"/>
      <c r="DO288" s="78"/>
      <c r="DP288" s="78"/>
      <c r="DQ288" s="78"/>
      <c r="DR288" s="78"/>
      <c r="DS288" s="78"/>
      <c r="DT288" s="78"/>
      <c r="DU288" s="78"/>
      <c r="DV288" s="78"/>
      <c r="DW288" s="78"/>
      <c r="DX288" s="78"/>
      <c r="DY288" s="78"/>
      <c r="DZ288" s="78"/>
      <c r="EA288" s="78"/>
      <c r="EB288" s="78"/>
      <c r="EC288" s="78"/>
      <c r="ED288" s="78"/>
      <c r="EE288" s="78"/>
      <c r="EF288" s="78"/>
      <c r="EG288" s="78"/>
      <c r="EH288" s="78"/>
      <c r="EI288" s="78"/>
      <c r="EJ288" s="78"/>
      <c r="EK288" s="78"/>
      <c r="EL288" s="78"/>
      <c r="EM288" s="78"/>
      <c r="EN288" s="91"/>
      <c r="EO288" s="91"/>
      <c r="EP288" s="91"/>
      <c r="EQ288" s="91"/>
      <c r="ER288" s="91"/>
      <c r="ES288" s="91"/>
    </row>
    <row r="289" spans="1:149" outlineLevel="1">
      <c r="A289" s="29" t="str">
        <f>E289&amp;F289</f>
        <v>modesg_param_sfics_taxon_europeiaordem</v>
      </c>
      <c r="B289" s="67" t="s">
        <v>26</v>
      </c>
      <c r="C289" s="68" t="s">
        <v>181</v>
      </c>
      <c r="D289" s="64" t="s">
        <v>40</v>
      </c>
      <c r="E289" s="66" t="s">
        <v>2096</v>
      </c>
      <c r="F289" s="64" t="s">
        <v>211</v>
      </c>
      <c r="G289" s="64" t="str">
        <f>INDEX(Auxiliar!$B$16:$B$24,MATCH(Plano_V3!H289,Auxiliar!$C$16:$C$24,0),1)</f>
        <v>1. Concluído</v>
      </c>
      <c r="H289" s="64">
        <f>VLOOKUP(A289,'Aux - pivots1'!$A:$B,2,0)</f>
        <v>1</v>
      </c>
      <c r="I289" s="180" t="e">
        <f>SUMIFS(Table1[Estimação (horas)],Table1[Tabela],Plano_V3!E289,Table1[Campo],Plano_V3!F289)</f>
        <v>#N/A</v>
      </c>
      <c r="J289" s="180" t="e">
        <f>I289/8</f>
        <v>#N/A</v>
      </c>
      <c r="K289" s="180" t="e">
        <f>SUMIFS(Table1[Horas efetivas],Table1[Tabela],Plano_V3!E289,Table1[Campo],Plano_V3!F289)</f>
        <v>#N/A</v>
      </c>
      <c r="L289" s="180" t="e">
        <f>K289/8</f>
        <v>#N/A</v>
      </c>
      <c r="M289" s="174"/>
      <c r="N289" s="174" t="e">
        <f>L289/J289</f>
        <v>#N/A</v>
      </c>
      <c r="O289" s="174" t="e">
        <f>N289-M289</f>
        <v>#N/A</v>
      </c>
      <c r="P289" s="89" t="s">
        <v>39</v>
      </c>
      <c r="Q289" s="90"/>
      <c r="R289" s="78"/>
      <c r="S289" s="78"/>
      <c r="T289" s="78"/>
      <c r="U289" s="78"/>
      <c r="V289" s="78"/>
      <c r="W289" s="78"/>
      <c r="X289" s="78"/>
      <c r="Y289" s="78"/>
      <c r="Z289" s="78"/>
      <c r="AA289" s="78"/>
      <c r="AB289" s="78"/>
      <c r="AC289" s="78"/>
      <c r="AD289" s="78"/>
      <c r="AE289" s="78"/>
      <c r="AF289" s="78"/>
      <c r="AG289" s="78"/>
      <c r="AH289" s="78"/>
      <c r="AI289" s="78"/>
      <c r="AJ289" s="78"/>
      <c r="AK289" s="78"/>
      <c r="AL289" s="78"/>
      <c r="AM289" s="78"/>
      <c r="AN289" s="78"/>
      <c r="AO289" s="78"/>
      <c r="AP289" s="78"/>
      <c r="AQ289" s="78"/>
      <c r="AR289" s="78"/>
      <c r="AS289" s="78"/>
      <c r="AT289" s="78"/>
      <c r="AU289" s="78"/>
      <c r="AV289" s="78"/>
      <c r="AW289" s="78"/>
      <c r="AX289" s="78"/>
      <c r="AY289" s="91"/>
      <c r="AZ289" s="78"/>
      <c r="BA289" s="78"/>
      <c r="BB289" s="78"/>
      <c r="BC289" s="78"/>
      <c r="BD289" s="78"/>
      <c r="BE289" s="78"/>
      <c r="BF289" s="78"/>
      <c r="BG289" s="78"/>
      <c r="BH289" s="78"/>
      <c r="BI289" s="78"/>
      <c r="BJ289" s="78"/>
      <c r="BK289" s="78"/>
      <c r="BL289" s="78"/>
      <c r="BM289" s="78"/>
      <c r="BN289" s="78"/>
      <c r="BO289" s="78"/>
      <c r="BP289" s="78"/>
      <c r="BQ289" s="78"/>
      <c r="BR289" s="78"/>
      <c r="BS289" s="78"/>
      <c r="BT289" s="78"/>
      <c r="BU289" s="78"/>
      <c r="BV289" s="78"/>
      <c r="BW289" s="78"/>
      <c r="BX289" s="78"/>
      <c r="BY289" s="78"/>
      <c r="BZ289" s="78"/>
      <c r="CA289" s="78"/>
      <c r="CB289" s="78"/>
      <c r="CC289" s="78"/>
      <c r="CD289" s="78"/>
      <c r="CE289" s="78"/>
      <c r="CF289" s="78"/>
      <c r="CG289" s="78"/>
      <c r="CH289" s="78"/>
      <c r="CI289" s="78"/>
      <c r="CJ289" s="78"/>
      <c r="CK289" s="78"/>
      <c r="CL289" s="78"/>
      <c r="CM289" s="78"/>
      <c r="CN289" s="78"/>
      <c r="CO289" s="78"/>
      <c r="CP289" s="78"/>
      <c r="CQ289" s="78"/>
      <c r="CR289" s="78"/>
      <c r="CS289" s="78"/>
      <c r="CT289" s="78"/>
      <c r="CU289" s="78"/>
      <c r="CV289" s="78"/>
      <c r="CW289" s="78"/>
      <c r="CX289" s="78"/>
      <c r="CY289" s="78"/>
      <c r="CZ289" s="78"/>
      <c r="DA289" s="78"/>
      <c r="DB289" s="78"/>
      <c r="DC289" s="78"/>
      <c r="DD289" s="78"/>
      <c r="DE289" s="78"/>
      <c r="DF289" s="78"/>
      <c r="DG289" s="78"/>
      <c r="DH289" s="78"/>
      <c r="DI289" s="78"/>
      <c r="DJ289" s="78"/>
      <c r="DK289" s="78"/>
      <c r="DL289" s="78"/>
      <c r="DM289" s="78"/>
      <c r="DN289" s="78"/>
      <c r="DO289" s="78"/>
      <c r="DP289" s="78"/>
      <c r="DQ289" s="78"/>
      <c r="DR289" s="78"/>
      <c r="DS289" s="78"/>
      <c r="DT289" s="78"/>
      <c r="DU289" s="78"/>
      <c r="DV289" s="78"/>
      <c r="DW289" s="78"/>
      <c r="DX289" s="78"/>
      <c r="DY289" s="78"/>
      <c r="DZ289" s="78"/>
      <c r="EA289" s="78"/>
      <c r="EB289" s="78"/>
      <c r="EC289" s="78"/>
      <c r="ED289" s="78"/>
      <c r="EE289" s="78"/>
      <c r="EF289" s="78"/>
      <c r="EG289" s="78"/>
      <c r="EH289" s="78"/>
      <c r="EI289" s="78"/>
      <c r="EJ289" s="78"/>
      <c r="EK289" s="78"/>
      <c r="EL289" s="78"/>
      <c r="EM289" s="78"/>
      <c r="EN289" s="91"/>
      <c r="EO289" s="91"/>
      <c r="EP289" s="91"/>
      <c r="EQ289" s="91"/>
      <c r="ER289" s="91"/>
      <c r="ES289" s="91"/>
    </row>
    <row r="290" spans="1:149" outlineLevel="1">
      <c r="A290" s="29" t="str">
        <f>E290&amp;F290</f>
        <v>modesg_param_sfics_taxon_europeiacfinalidad</v>
      </c>
      <c r="B290" s="67" t="s">
        <v>26</v>
      </c>
      <c r="C290" s="68" t="s">
        <v>181</v>
      </c>
      <c r="D290" s="64" t="s">
        <v>40</v>
      </c>
      <c r="E290" s="66" t="s">
        <v>2096</v>
      </c>
      <c r="F290" s="64" t="s">
        <v>200</v>
      </c>
      <c r="G290" s="64" t="str">
        <f>INDEX(Auxiliar!$B$16:$B$24,MATCH(Plano_V3!H290,Auxiliar!$C$16:$C$24,0),1)</f>
        <v>1. Concluído</v>
      </c>
      <c r="H290" s="64">
        <f>VLOOKUP(A290,'Aux - pivots1'!$A:$B,2,0)</f>
        <v>1</v>
      </c>
      <c r="I290" s="180" t="e">
        <f>SUMIFS(Table1[Estimação (horas)],Table1[Tabela],Plano_V3!E290,Table1[Campo],Plano_V3!F290)</f>
        <v>#N/A</v>
      </c>
      <c r="J290" s="180" t="e">
        <f>I290/8</f>
        <v>#N/A</v>
      </c>
      <c r="K290" s="180" t="e">
        <f>SUMIFS(Table1[Horas efetivas],Table1[Tabela],Plano_V3!E290,Table1[Campo],Plano_V3!F290)</f>
        <v>#N/A</v>
      </c>
      <c r="L290" s="180" t="e">
        <f>K290/8</f>
        <v>#N/A</v>
      </c>
      <c r="M290" s="174"/>
      <c r="N290" s="174" t="e">
        <f>L290/J290</f>
        <v>#N/A</v>
      </c>
      <c r="O290" s="174" t="e">
        <f>N290-M290</f>
        <v>#N/A</v>
      </c>
      <c r="P290" s="89" t="s">
        <v>39</v>
      </c>
      <c r="Q290" s="90"/>
      <c r="R290" s="78"/>
      <c r="S290" s="78"/>
      <c r="T290" s="78"/>
      <c r="U290" s="78"/>
      <c r="V290" s="78"/>
      <c r="W290" s="78"/>
      <c r="X290" s="78"/>
      <c r="Y290" s="78"/>
      <c r="Z290" s="78"/>
      <c r="AA290" s="78"/>
      <c r="AB290" s="78"/>
      <c r="AC290" s="78"/>
      <c r="AD290" s="78"/>
      <c r="AE290" s="78"/>
      <c r="AF290" s="78"/>
      <c r="AG290" s="78"/>
      <c r="AH290" s="78"/>
      <c r="AI290" s="78"/>
      <c r="AJ290" s="78"/>
      <c r="AK290" s="78"/>
      <c r="AL290" s="78"/>
      <c r="AM290" s="78"/>
      <c r="AN290" s="78"/>
      <c r="AO290" s="78"/>
      <c r="AP290" s="78"/>
      <c r="AQ290" s="78"/>
      <c r="AR290" s="78"/>
      <c r="AS290" s="78"/>
      <c r="AT290" s="78"/>
      <c r="AU290" s="78"/>
      <c r="AV290" s="78"/>
      <c r="AW290" s="78"/>
      <c r="AX290" s="78"/>
      <c r="AY290" s="91"/>
      <c r="AZ290" s="78"/>
      <c r="BA290" s="78"/>
      <c r="BB290" s="78"/>
      <c r="BC290" s="78"/>
      <c r="BD290" s="78"/>
      <c r="BE290" s="78"/>
      <c r="BF290" s="78"/>
      <c r="BG290" s="78"/>
      <c r="BH290" s="78"/>
      <c r="BI290" s="78"/>
      <c r="BJ290" s="78"/>
      <c r="BK290" s="78"/>
      <c r="BL290" s="78"/>
      <c r="BM290" s="78"/>
      <c r="BN290" s="78"/>
      <c r="BO290" s="78"/>
      <c r="BP290" s="78"/>
      <c r="BQ290" s="78"/>
      <c r="BR290" s="78"/>
      <c r="BS290" s="78"/>
      <c r="BT290" s="78"/>
      <c r="BU290" s="78"/>
      <c r="BV290" s="78"/>
      <c r="BW290" s="78"/>
      <c r="BX290" s="78"/>
      <c r="BY290" s="78"/>
      <c r="BZ290" s="78"/>
      <c r="CA290" s="78"/>
      <c r="CB290" s="78"/>
      <c r="CC290" s="78"/>
      <c r="CD290" s="78"/>
      <c r="CE290" s="78"/>
      <c r="CF290" s="78"/>
      <c r="CG290" s="78"/>
      <c r="CH290" s="78"/>
      <c r="CI290" s="78"/>
      <c r="CJ290" s="78"/>
      <c r="CK290" s="78"/>
      <c r="CL290" s="78"/>
      <c r="CM290" s="78"/>
      <c r="CN290" s="78"/>
      <c r="CO290" s="78"/>
      <c r="CP290" s="78"/>
      <c r="CQ290" s="78"/>
      <c r="CR290" s="78"/>
      <c r="CS290" s="78"/>
      <c r="CT290" s="78"/>
      <c r="CU290" s="78"/>
      <c r="CV290" s="78"/>
      <c r="CW290" s="78"/>
      <c r="CX290" s="78"/>
      <c r="CY290" s="78"/>
      <c r="CZ290" s="78"/>
      <c r="DA290" s="78"/>
      <c r="DB290" s="78"/>
      <c r="DC290" s="78"/>
      <c r="DD290" s="78"/>
      <c r="DE290" s="78"/>
      <c r="DF290" s="78"/>
      <c r="DG290" s="78"/>
      <c r="DH290" s="78"/>
      <c r="DI290" s="78"/>
      <c r="DJ290" s="78"/>
      <c r="DK290" s="78"/>
      <c r="DL290" s="78"/>
      <c r="DM290" s="78"/>
      <c r="DN290" s="78"/>
      <c r="DO290" s="78"/>
      <c r="DP290" s="78"/>
      <c r="DQ290" s="78"/>
      <c r="DR290" s="78"/>
      <c r="DS290" s="78"/>
      <c r="DT290" s="78"/>
      <c r="DU290" s="78"/>
      <c r="DV290" s="78"/>
      <c r="DW290" s="78"/>
      <c r="DX290" s="78"/>
      <c r="DY290" s="78"/>
      <c r="DZ290" s="78"/>
      <c r="EA290" s="78"/>
      <c r="EB290" s="78"/>
      <c r="EC290" s="78"/>
      <c r="ED290" s="78"/>
      <c r="EE290" s="78"/>
      <c r="EF290" s="78"/>
      <c r="EG290" s="78"/>
      <c r="EH290" s="78"/>
      <c r="EI290" s="78"/>
      <c r="EJ290" s="78"/>
      <c r="EK290" s="78"/>
      <c r="EL290" s="78"/>
      <c r="EM290" s="78"/>
      <c r="EN290" s="91"/>
      <c r="EO290" s="91"/>
      <c r="EP290" s="91"/>
      <c r="EQ290" s="91"/>
      <c r="ER290" s="91"/>
      <c r="ES290" s="91"/>
    </row>
    <row r="291" spans="1:149" outlineLevel="1">
      <c r="A291" s="29" t="str">
        <f>E291&amp;F291</f>
        <v>modesg_param_sfics_taxon_europeianome_purpose_esg</v>
      </c>
      <c r="B291" s="67" t="s">
        <v>26</v>
      </c>
      <c r="C291" s="68" t="s">
        <v>181</v>
      </c>
      <c r="D291" s="64" t="s">
        <v>40</v>
      </c>
      <c r="E291" s="66" t="s">
        <v>2096</v>
      </c>
      <c r="F291" s="64" t="s">
        <v>205</v>
      </c>
      <c r="G291" s="64" t="str">
        <f>INDEX(Auxiliar!$B$16:$B$24,MATCH(Plano_V3!H291,Auxiliar!$C$16:$C$24,0),1)</f>
        <v>0. Cancelado</v>
      </c>
      <c r="H291" s="64">
        <f>VLOOKUP(A291,'Aux - pivots1'!$A:$B,2,0)</f>
        <v>0</v>
      </c>
      <c r="I291" s="180" t="e">
        <f>SUMIFS(Table1[Estimação (horas)],Table1[Tabela],Plano_V3!E291,Table1[Campo],Plano_V3!F291)</f>
        <v>#N/A</v>
      </c>
      <c r="J291" s="180" t="e">
        <f>I291/8</f>
        <v>#N/A</v>
      </c>
      <c r="K291" s="180" t="e">
        <f>SUMIFS(Table1[Horas efetivas],Table1[Tabela],Plano_V3!E291,Table1[Campo],Plano_V3!F291)</f>
        <v>#N/A</v>
      </c>
      <c r="L291" s="180" t="e">
        <f>K291/8</f>
        <v>#N/A</v>
      </c>
      <c r="M291" s="174"/>
      <c r="N291" s="174" t="e">
        <f>L291/J291</f>
        <v>#N/A</v>
      </c>
      <c r="O291" s="174" t="e">
        <f>N291-M291</f>
        <v>#N/A</v>
      </c>
      <c r="P291" s="89" t="s">
        <v>39</v>
      </c>
      <c r="Q291" s="90"/>
      <c r="R291" s="78"/>
      <c r="S291" s="78"/>
      <c r="T291" s="78"/>
      <c r="U291" s="78"/>
      <c r="V291" s="78"/>
      <c r="W291" s="78"/>
      <c r="X291" s="78"/>
      <c r="Y291" s="78"/>
      <c r="Z291" s="78"/>
      <c r="AA291" s="78"/>
      <c r="AB291" s="78"/>
      <c r="AC291" s="78"/>
      <c r="AD291" s="78"/>
      <c r="AE291" s="78"/>
      <c r="AF291" s="78"/>
      <c r="AG291" s="78"/>
      <c r="AH291" s="78"/>
      <c r="AI291" s="78"/>
      <c r="AJ291" s="78"/>
      <c r="AK291" s="78"/>
      <c r="AL291" s="78"/>
      <c r="AM291" s="78"/>
      <c r="AN291" s="78"/>
      <c r="AO291" s="78"/>
      <c r="AP291" s="78"/>
      <c r="AQ291" s="78"/>
      <c r="AR291" s="78"/>
      <c r="AS291" s="78"/>
      <c r="AT291" s="78"/>
      <c r="AU291" s="78"/>
      <c r="AV291" s="78"/>
      <c r="AW291" s="78"/>
      <c r="AX291" s="78"/>
      <c r="AY291" s="91"/>
      <c r="AZ291" s="78"/>
      <c r="BA291" s="78"/>
      <c r="BB291" s="78"/>
      <c r="BC291" s="78"/>
      <c r="BD291" s="78"/>
      <c r="BE291" s="78"/>
      <c r="BF291" s="78"/>
      <c r="BG291" s="78"/>
      <c r="BH291" s="78"/>
      <c r="BI291" s="78"/>
      <c r="BJ291" s="78"/>
      <c r="BK291" s="78"/>
      <c r="BL291" s="78"/>
      <c r="BM291" s="78"/>
      <c r="BN291" s="78"/>
      <c r="BO291" s="78"/>
      <c r="BP291" s="78"/>
      <c r="BQ291" s="78"/>
      <c r="BR291" s="78"/>
      <c r="BS291" s="78"/>
      <c r="BT291" s="78"/>
      <c r="BU291" s="78"/>
      <c r="BV291" s="78"/>
      <c r="BW291" s="78"/>
      <c r="BX291" s="78"/>
      <c r="BY291" s="78"/>
      <c r="BZ291" s="78"/>
      <c r="CA291" s="78"/>
      <c r="CB291" s="78"/>
      <c r="CC291" s="78"/>
      <c r="CD291" s="78"/>
      <c r="CE291" s="78"/>
      <c r="CF291" s="78"/>
      <c r="CG291" s="78"/>
      <c r="CH291" s="78"/>
      <c r="CI291" s="78"/>
      <c r="CJ291" s="78"/>
      <c r="CK291" s="78"/>
      <c r="CL291" s="78"/>
      <c r="CM291" s="78"/>
      <c r="CN291" s="78"/>
      <c r="CO291" s="78"/>
      <c r="CP291" s="78"/>
      <c r="CQ291" s="78"/>
      <c r="CR291" s="78"/>
      <c r="CS291" s="78"/>
      <c r="CT291" s="78"/>
      <c r="CU291" s="78"/>
      <c r="CV291" s="78"/>
      <c r="CW291" s="78"/>
      <c r="CX291" s="78"/>
      <c r="CY291" s="78"/>
      <c r="CZ291" s="78"/>
      <c r="DA291" s="78"/>
      <c r="DB291" s="78"/>
      <c r="DC291" s="78"/>
      <c r="DD291" s="78"/>
      <c r="DE291" s="78"/>
      <c r="DF291" s="78"/>
      <c r="DG291" s="78"/>
      <c r="DH291" s="78"/>
      <c r="DI291" s="78"/>
      <c r="DJ291" s="78"/>
      <c r="DK291" s="78"/>
      <c r="DL291" s="78"/>
      <c r="DM291" s="78"/>
      <c r="DN291" s="78"/>
      <c r="DO291" s="78"/>
      <c r="DP291" s="78"/>
      <c r="DQ291" s="78"/>
      <c r="DR291" s="78"/>
      <c r="DS291" s="78"/>
      <c r="DT291" s="78"/>
      <c r="DU291" s="78"/>
      <c r="DV291" s="78"/>
      <c r="DW291" s="78"/>
      <c r="DX291" s="78"/>
      <c r="DY291" s="78"/>
      <c r="DZ291" s="78"/>
      <c r="EA291" s="78"/>
      <c r="EB291" s="78"/>
      <c r="EC291" s="78"/>
      <c r="ED291" s="78"/>
      <c r="EE291" s="78"/>
      <c r="EF291" s="78"/>
      <c r="EG291" s="78"/>
      <c r="EH291" s="78"/>
      <c r="EI291" s="78"/>
      <c r="EJ291" s="78"/>
      <c r="EK291" s="78"/>
      <c r="EL291" s="78"/>
      <c r="EM291" s="78"/>
      <c r="EN291" s="91"/>
      <c r="EO291" s="91"/>
      <c r="EP291" s="91"/>
      <c r="EQ291" s="91"/>
      <c r="ER291" s="91"/>
      <c r="ES291" s="91"/>
    </row>
    <row r="292" spans="1:149" outlineLevel="1">
      <c r="A292" s="29" t="str">
        <f>E292&amp;F292</f>
        <v>modesg_param_sfics_taxon_europeiadominio</v>
      </c>
      <c r="B292" s="67" t="s">
        <v>26</v>
      </c>
      <c r="C292" s="68" t="s">
        <v>181</v>
      </c>
      <c r="D292" s="64" t="s">
        <v>40</v>
      </c>
      <c r="E292" s="66" t="s">
        <v>2096</v>
      </c>
      <c r="F292" s="64" t="s">
        <v>196</v>
      </c>
      <c r="G292" s="64" t="str">
        <f>INDEX(Auxiliar!$B$16:$B$24,MATCH(Plano_V3!H292,Auxiliar!$C$16:$C$24,0),1)</f>
        <v>0. Cancelado</v>
      </c>
      <c r="H292" s="64">
        <f>VLOOKUP(A292,'Aux - pivots1'!$A:$B,2,0)</f>
        <v>0</v>
      </c>
      <c r="I292" s="180" t="e">
        <f>SUMIFS(Table1[Estimação (horas)],Table1[Tabela],Plano_V3!E292,Table1[Campo],Plano_V3!F292)</f>
        <v>#N/A</v>
      </c>
      <c r="J292" s="180" t="e">
        <f>I292/8</f>
        <v>#N/A</v>
      </c>
      <c r="K292" s="180" t="e">
        <f>SUMIFS(Table1[Horas efetivas],Table1[Tabela],Plano_V3!E292,Table1[Campo],Plano_V3!F292)</f>
        <v>#N/A</v>
      </c>
      <c r="L292" s="180" t="e">
        <f>K292/8</f>
        <v>#N/A</v>
      </c>
      <c r="M292" s="174"/>
      <c r="N292" s="174" t="e">
        <f>L292/J292</f>
        <v>#N/A</v>
      </c>
      <c r="O292" s="174" t="e">
        <f>N292-M292</f>
        <v>#N/A</v>
      </c>
      <c r="P292" s="89" t="s">
        <v>39</v>
      </c>
      <c r="Q292" s="90"/>
      <c r="R292" s="78"/>
      <c r="S292" s="78"/>
      <c r="T292" s="78"/>
      <c r="U292" s="78"/>
      <c r="V292" s="78"/>
      <c r="W292" s="78"/>
      <c r="X292" s="78"/>
      <c r="Y292" s="78"/>
      <c r="Z292" s="78"/>
      <c r="AA292" s="78"/>
      <c r="AB292" s="78"/>
      <c r="AC292" s="78"/>
      <c r="AD292" s="78"/>
      <c r="AE292" s="78"/>
      <c r="AF292" s="78"/>
      <c r="AG292" s="78"/>
      <c r="AH292" s="78"/>
      <c r="AI292" s="78"/>
      <c r="AJ292" s="78"/>
      <c r="AK292" s="78"/>
      <c r="AL292" s="78"/>
      <c r="AM292" s="78"/>
      <c r="AN292" s="78"/>
      <c r="AO292" s="78"/>
      <c r="AP292" s="78"/>
      <c r="AQ292" s="78"/>
      <c r="AR292" s="78"/>
      <c r="AS292" s="78"/>
      <c r="AT292" s="78"/>
      <c r="AU292" s="78"/>
      <c r="AV292" s="78"/>
      <c r="AW292" s="78"/>
      <c r="AX292" s="78"/>
      <c r="AY292" s="91"/>
      <c r="AZ292" s="78"/>
      <c r="BA292" s="78"/>
      <c r="BB292" s="78"/>
      <c r="BC292" s="78"/>
      <c r="BD292" s="78"/>
      <c r="BE292" s="78"/>
      <c r="BF292" s="78"/>
      <c r="BG292" s="78"/>
      <c r="BH292" s="78"/>
      <c r="BI292" s="78"/>
      <c r="BJ292" s="78"/>
      <c r="BK292" s="78"/>
      <c r="BL292" s="78"/>
      <c r="BM292" s="78"/>
      <c r="BN292" s="78"/>
      <c r="BO292" s="78"/>
      <c r="BP292" s="78"/>
      <c r="BQ292" s="78"/>
      <c r="BR292" s="78"/>
      <c r="BS292" s="78"/>
      <c r="BT292" s="78"/>
      <c r="BU292" s="78"/>
      <c r="BV292" s="78"/>
      <c r="BW292" s="78"/>
      <c r="BX292" s="78"/>
      <c r="BY292" s="78"/>
      <c r="BZ292" s="78"/>
      <c r="CA292" s="78"/>
      <c r="CB292" s="78"/>
      <c r="CC292" s="78"/>
      <c r="CD292" s="78"/>
      <c r="CE292" s="78"/>
      <c r="CF292" s="78"/>
      <c r="CG292" s="78"/>
      <c r="CH292" s="78"/>
      <c r="CI292" s="78"/>
      <c r="CJ292" s="78"/>
      <c r="CK292" s="78"/>
      <c r="CL292" s="78"/>
      <c r="CM292" s="78"/>
      <c r="CN292" s="78"/>
      <c r="CO292" s="78"/>
      <c r="CP292" s="78"/>
      <c r="CQ292" s="78"/>
      <c r="CR292" s="78"/>
      <c r="CS292" s="78"/>
      <c r="CT292" s="78"/>
      <c r="CU292" s="78"/>
      <c r="CV292" s="78"/>
      <c r="CW292" s="78"/>
      <c r="CX292" s="78"/>
      <c r="CY292" s="78"/>
      <c r="CZ292" s="78"/>
      <c r="DA292" s="78"/>
      <c r="DB292" s="78"/>
      <c r="DC292" s="78"/>
      <c r="DD292" s="78"/>
      <c r="DE292" s="78"/>
      <c r="DF292" s="78"/>
      <c r="DG292" s="78"/>
      <c r="DH292" s="78"/>
      <c r="DI292" s="78"/>
      <c r="DJ292" s="78"/>
      <c r="DK292" s="78"/>
      <c r="DL292" s="78"/>
      <c r="DM292" s="78"/>
      <c r="DN292" s="78"/>
      <c r="DO292" s="78"/>
      <c r="DP292" s="78"/>
      <c r="DQ292" s="78"/>
      <c r="DR292" s="78"/>
      <c r="DS292" s="78"/>
      <c r="DT292" s="78"/>
      <c r="DU292" s="78"/>
      <c r="DV292" s="78"/>
      <c r="DW292" s="78"/>
      <c r="DX292" s="78"/>
      <c r="DY292" s="78"/>
      <c r="DZ292" s="78"/>
      <c r="EA292" s="78"/>
      <c r="EB292" s="78"/>
      <c r="EC292" s="78"/>
      <c r="ED292" s="78"/>
      <c r="EE292" s="78"/>
      <c r="EF292" s="78"/>
      <c r="EG292" s="78"/>
      <c r="EH292" s="78"/>
      <c r="EI292" s="78"/>
      <c r="EJ292" s="78"/>
      <c r="EK292" s="78"/>
      <c r="EL292" s="78"/>
      <c r="EM292" s="78"/>
      <c r="EN292" s="91"/>
      <c r="EO292" s="91"/>
      <c r="EP292" s="91"/>
      <c r="EQ292" s="91"/>
      <c r="ER292" s="91"/>
      <c r="ES292" s="91"/>
    </row>
    <row r="293" spans="1:149" outlineLevel="1">
      <c r="A293" s="29" t="str">
        <f t="shared" si="302"/>
        <v>modesg_inp_emss_vclsn.a.</v>
      </c>
      <c r="B293" s="67" t="s">
        <v>26</v>
      </c>
      <c r="C293" s="68" t="s">
        <v>181</v>
      </c>
      <c r="D293" s="64" t="s">
        <v>36</v>
      </c>
      <c r="E293" s="66" t="s">
        <v>212</v>
      </c>
      <c r="F293" s="64" t="s">
        <v>38</v>
      </c>
      <c r="G293" s="64" t="str">
        <f>INDEX(Auxiliar!$B$16:$B$24,MATCH(Plano_V3!H293,Auxiliar!$C$16:$C$24,0),1)</f>
        <v>1. Concluído</v>
      </c>
      <c r="H293" s="64">
        <f>VLOOKUP(A293,'Aux - pivots1'!$A:$B,2,0)</f>
        <v>1</v>
      </c>
      <c r="I293" s="180">
        <f>SUMIFS(Table1[Estimação (horas)],Table1[Tabela],Plano_V3!E293,Table1[Campo],Plano_V3!F293)</f>
        <v>8.5</v>
      </c>
      <c r="J293" s="180">
        <f t="shared" si="41"/>
        <v>1.0625</v>
      </c>
      <c r="K293" s="180">
        <f>SUMIFS(Table1[Horas efetivas],Table1[Tabela],Plano_V3!E293,Table1[Campo],Plano_V3!F293)</f>
        <v>8.5</v>
      </c>
      <c r="L293" s="180">
        <f t="shared" si="42"/>
        <v>1.0625</v>
      </c>
      <c r="M293" s="174"/>
      <c r="N293" s="174">
        <f t="shared" si="43"/>
        <v>1</v>
      </c>
      <c r="O293" s="174">
        <f t="shared" si="300"/>
        <v>1</v>
      </c>
      <c r="P293" s="89" t="s">
        <v>39</v>
      </c>
      <c r="Q293" s="90">
        <f t="shared" si="301"/>
        <v>1.0625</v>
      </c>
      <c r="R293" s="78"/>
      <c r="S293" s="78"/>
      <c r="T293" s="78"/>
      <c r="U293" s="78"/>
      <c r="V293" s="78"/>
      <c r="W293" s="78"/>
      <c r="X293" s="78"/>
      <c r="Y293" s="78"/>
      <c r="Z293" s="78"/>
      <c r="AA293" s="78"/>
      <c r="AB293" s="78"/>
      <c r="AC293" s="78"/>
      <c r="AD293" s="78"/>
      <c r="AE293" s="78"/>
      <c r="AF293" s="78"/>
      <c r="AG293" s="78"/>
      <c r="AH293" s="78"/>
      <c r="AI293" s="78"/>
      <c r="AJ293" s="78"/>
      <c r="AK293" s="78"/>
      <c r="AL293" s="78"/>
      <c r="AM293" s="78"/>
      <c r="AN293" s="78"/>
      <c r="AO293" s="78"/>
      <c r="AP293" s="78"/>
      <c r="AQ293" s="78"/>
      <c r="AR293" s="78"/>
      <c r="AS293" s="78"/>
      <c r="AT293" s="78"/>
      <c r="AU293" s="78"/>
      <c r="AV293" s="78"/>
      <c r="AW293" s="78"/>
      <c r="AX293" s="78"/>
      <c r="AY293" s="91"/>
      <c r="AZ293" s="78"/>
      <c r="BA293" s="78"/>
      <c r="BB293" s="78"/>
      <c r="BC293" s="78"/>
      <c r="BD293" s="78"/>
      <c r="BE293" s="78"/>
      <c r="BF293" s="78"/>
      <c r="BG293" s="78"/>
      <c r="BH293" s="78"/>
      <c r="BI293" s="78"/>
      <c r="BJ293" s="78"/>
      <c r="BK293" s="78"/>
      <c r="BL293" s="78"/>
      <c r="BM293" s="78"/>
      <c r="BN293" s="78"/>
      <c r="BO293" s="78"/>
      <c r="BP293" s="78"/>
      <c r="BQ293" s="78"/>
      <c r="BR293" s="78"/>
      <c r="BS293" s="78"/>
      <c r="BT293" s="78"/>
      <c r="BU293" s="78"/>
      <c r="BV293" s="78"/>
      <c r="BW293" s="78"/>
      <c r="BX293" s="78"/>
      <c r="BY293" s="78"/>
      <c r="BZ293" s="78"/>
      <c r="CA293" s="78"/>
      <c r="CB293" s="78"/>
      <c r="CC293" s="78"/>
      <c r="CD293" s="78"/>
      <c r="CE293" s="78"/>
      <c r="CF293" s="78"/>
      <c r="CG293" s="78"/>
      <c r="CH293" s="78"/>
      <c r="CI293" s="78"/>
      <c r="CJ293" s="78"/>
      <c r="CK293" s="78"/>
      <c r="CL293" s="78"/>
      <c r="CM293" s="78"/>
      <c r="CN293" s="78"/>
      <c r="CO293" s="78"/>
      <c r="CP293" s="78"/>
      <c r="CQ293" s="78"/>
      <c r="CR293" s="78"/>
      <c r="CS293" s="78"/>
      <c r="CT293" s="78"/>
      <c r="CU293" s="78"/>
      <c r="CV293" s="78"/>
      <c r="CW293" s="78"/>
      <c r="CX293" s="78"/>
      <c r="CY293" s="78"/>
      <c r="CZ293" s="78"/>
      <c r="DA293" s="78"/>
      <c r="DB293" s="78"/>
      <c r="DC293" s="78"/>
      <c r="DD293" s="78"/>
      <c r="DE293" s="78"/>
      <c r="DF293" s="78"/>
      <c r="DG293" s="78"/>
      <c r="DH293" s="78"/>
      <c r="DI293" s="78"/>
      <c r="DJ293" s="78"/>
      <c r="DK293" s="78"/>
      <c r="DL293" s="78"/>
      <c r="DM293" s="78"/>
      <c r="DN293" s="78"/>
      <c r="DO293" s="78"/>
      <c r="DP293" s="78"/>
      <c r="DQ293" s="78"/>
      <c r="DR293" s="78"/>
      <c r="DS293" s="78"/>
      <c r="DT293" s="78"/>
      <c r="DU293" s="78"/>
      <c r="DV293" s="78"/>
      <c r="DW293" s="78"/>
      <c r="DX293" s="78"/>
      <c r="DY293" s="78"/>
      <c r="DZ293" s="78"/>
      <c r="EA293" s="78"/>
      <c r="EB293" s="78"/>
      <c r="EC293" s="78"/>
      <c r="ED293" s="78"/>
      <c r="EE293" s="78"/>
      <c r="EF293" s="78"/>
      <c r="EG293" s="78"/>
      <c r="EH293" s="78"/>
      <c r="EI293" s="78"/>
      <c r="EJ293" s="78"/>
      <c r="EK293" s="78"/>
      <c r="EL293" s="78"/>
      <c r="EM293" s="78"/>
      <c r="EN293" s="91"/>
      <c r="EO293" s="91"/>
      <c r="EP293" s="91"/>
      <c r="EQ293" s="91"/>
      <c r="ER293" s="91"/>
      <c r="ES293" s="91"/>
    </row>
    <row r="294" spans="1:149" outlineLevel="1">
      <c r="A294" s="29" t="str">
        <f t="shared" si="302"/>
        <v>modesg_inp_km_medios_emss_vclsn.a.</v>
      </c>
      <c r="B294" s="67" t="s">
        <v>26</v>
      </c>
      <c r="C294" s="68" t="s">
        <v>181</v>
      </c>
      <c r="D294" s="64" t="s">
        <v>36</v>
      </c>
      <c r="E294" s="66" t="s">
        <v>213</v>
      </c>
      <c r="F294" s="64" t="s">
        <v>38</v>
      </c>
      <c r="G294" s="64" t="str">
        <f>INDEX(Auxiliar!$B$16:$B$24,MATCH(Plano_V3!H294,Auxiliar!$C$16:$C$24,0),1)</f>
        <v>1. Concluído</v>
      </c>
      <c r="H294" s="64">
        <f>VLOOKUP(A294,'Aux - pivots1'!$A:$B,2,0)</f>
        <v>1</v>
      </c>
      <c r="I294" s="180">
        <f>SUMIFS(Table1[Estimação (horas)],Table1[Tabela],Plano_V3!E294,Table1[Campo],Plano_V3!F294)</f>
        <v>8.5</v>
      </c>
      <c r="J294" s="180">
        <f t="shared" si="41"/>
        <v>1.0625</v>
      </c>
      <c r="K294" s="180">
        <f>SUMIFS(Table1[Horas efetivas],Table1[Tabela],Plano_V3!E294,Table1[Campo],Plano_V3!F294)</f>
        <v>8.5</v>
      </c>
      <c r="L294" s="180">
        <f t="shared" si="42"/>
        <v>1.0625</v>
      </c>
      <c r="M294" s="174"/>
      <c r="N294" s="174">
        <f t="shared" si="43"/>
        <v>1</v>
      </c>
      <c r="O294" s="174">
        <f t="shared" si="300"/>
        <v>1</v>
      </c>
      <c r="P294" s="89" t="s">
        <v>39</v>
      </c>
      <c r="Q294" s="90">
        <f t="shared" si="301"/>
        <v>1.0625</v>
      </c>
      <c r="R294" s="78"/>
      <c r="S294" s="78"/>
      <c r="T294" s="78"/>
      <c r="U294" s="78"/>
      <c r="V294" s="78"/>
      <c r="W294" s="78"/>
      <c r="X294" s="78"/>
      <c r="Y294" s="78"/>
      <c r="Z294" s="78"/>
      <c r="AA294" s="78"/>
      <c r="AB294" s="78"/>
      <c r="AC294" s="78"/>
      <c r="AD294" s="78"/>
      <c r="AE294" s="78"/>
      <c r="AF294" s="78"/>
      <c r="AG294" s="78"/>
      <c r="AH294" s="78"/>
      <c r="AI294" s="78"/>
      <c r="AJ294" s="78"/>
      <c r="AK294" s="78"/>
      <c r="AL294" s="78"/>
      <c r="AM294" s="78"/>
      <c r="AN294" s="78"/>
      <c r="AO294" s="78"/>
      <c r="AP294" s="78"/>
      <c r="AQ294" s="78"/>
      <c r="AR294" s="78"/>
      <c r="AS294" s="78"/>
      <c r="AT294" s="78"/>
      <c r="AU294" s="78"/>
      <c r="AV294" s="78"/>
      <c r="AW294" s="78"/>
      <c r="AX294" s="78"/>
      <c r="AY294" s="91"/>
      <c r="AZ294" s="78"/>
      <c r="BA294" s="78"/>
      <c r="BB294" s="78"/>
      <c r="BC294" s="78"/>
      <c r="BD294" s="78"/>
      <c r="BE294" s="78"/>
      <c r="BF294" s="78"/>
      <c r="BG294" s="78"/>
      <c r="BH294" s="78"/>
      <c r="BI294" s="78"/>
      <c r="BJ294" s="78"/>
      <c r="BK294" s="78"/>
      <c r="BL294" s="78"/>
      <c r="BM294" s="78"/>
      <c r="BN294" s="78"/>
      <c r="BO294" s="78"/>
      <c r="BP294" s="78"/>
      <c r="BQ294" s="78"/>
      <c r="BR294" s="78"/>
      <c r="BS294" s="78"/>
      <c r="BT294" s="78"/>
      <c r="BU294" s="78"/>
      <c r="BV294" s="78"/>
      <c r="BW294" s="78"/>
      <c r="BX294" s="78"/>
      <c r="BY294" s="78"/>
      <c r="BZ294" s="78"/>
      <c r="CA294" s="78"/>
      <c r="CB294" s="78"/>
      <c r="CC294" s="78"/>
      <c r="CD294" s="78"/>
      <c r="CE294" s="78"/>
      <c r="CF294" s="78"/>
      <c r="CG294" s="78"/>
      <c r="CH294" s="78"/>
      <c r="CI294" s="78"/>
      <c r="CJ294" s="78"/>
      <c r="CK294" s="78"/>
      <c r="CL294" s="78"/>
      <c r="CM294" s="78"/>
      <c r="CN294" s="78"/>
      <c r="CO294" s="78"/>
      <c r="CP294" s="78"/>
      <c r="CQ294" s="78"/>
      <c r="CR294" s="78"/>
      <c r="CS294" s="78"/>
      <c r="CT294" s="78"/>
      <c r="CU294" s="78"/>
      <c r="CV294" s="78"/>
      <c r="CW294" s="78"/>
      <c r="CX294" s="78"/>
      <c r="CY294" s="78"/>
      <c r="CZ294" s="78"/>
      <c r="DA294" s="78"/>
      <c r="DB294" s="78"/>
      <c r="DC294" s="78"/>
      <c r="DD294" s="78"/>
      <c r="DE294" s="78"/>
      <c r="DF294" s="78"/>
      <c r="DG294" s="78"/>
      <c r="DH294" s="78"/>
      <c r="DI294" s="78"/>
      <c r="DJ294" s="78"/>
      <c r="DK294" s="78"/>
      <c r="DL294" s="78"/>
      <c r="DM294" s="78"/>
      <c r="DN294" s="78"/>
      <c r="DO294" s="78"/>
      <c r="DP294" s="78"/>
      <c r="DQ294" s="78"/>
      <c r="DR294" s="78"/>
      <c r="DS294" s="78"/>
      <c r="DT294" s="78"/>
      <c r="DU294" s="78"/>
      <c r="DV294" s="78"/>
      <c r="DW294" s="78"/>
      <c r="DX294" s="78"/>
      <c r="DY294" s="78"/>
      <c r="DZ294" s="78"/>
      <c r="EA294" s="78"/>
      <c r="EB294" s="78"/>
      <c r="EC294" s="78"/>
      <c r="ED294" s="78"/>
      <c r="EE294" s="78"/>
      <c r="EF294" s="78"/>
      <c r="EG294" s="78"/>
      <c r="EH294" s="78"/>
      <c r="EI294" s="78"/>
      <c r="EJ294" s="78"/>
      <c r="EK294" s="78"/>
      <c r="EL294" s="78"/>
      <c r="EM294" s="78"/>
      <c r="EN294" s="91"/>
      <c r="EO294" s="91"/>
      <c r="EP294" s="91"/>
      <c r="EQ294" s="91"/>
      <c r="ER294" s="91"/>
      <c r="ES294" s="91"/>
    </row>
    <row r="295" spans="1:149" outlineLevel="1">
      <c r="A295" s="29" t="str">
        <f t="shared" si="302"/>
        <v>modesg_inp_empr_excl_parisn.a.</v>
      </c>
      <c r="B295" s="67" t="s">
        <v>26</v>
      </c>
      <c r="C295" s="68" t="s">
        <v>181</v>
      </c>
      <c r="D295" s="64" t="s">
        <v>36</v>
      </c>
      <c r="E295" s="66" t="s">
        <v>214</v>
      </c>
      <c r="F295" s="64" t="s">
        <v>38</v>
      </c>
      <c r="G295" s="64" t="str">
        <f>INDEX(Auxiliar!$B$16:$B$24,MATCH(Plano_V3!H295,Auxiliar!$C$16:$C$24,0),1)</f>
        <v>1. Concluído</v>
      </c>
      <c r="H295" s="64">
        <f>VLOOKUP(A295,'Aux - pivots1'!$A:$B,2,0)</f>
        <v>1</v>
      </c>
      <c r="I295" s="180">
        <f>SUMIFS(Table1[Estimação (horas)],Table1[Tabela],Plano_V3!E295,Table1[Campo],Plano_V3!F295)</f>
        <v>8.5</v>
      </c>
      <c r="J295" s="180">
        <f t="shared" si="41"/>
        <v>1.0625</v>
      </c>
      <c r="K295" s="180">
        <f>SUMIFS(Table1[Horas efetivas],Table1[Tabela],Plano_V3!E295,Table1[Campo],Plano_V3!F295)</f>
        <v>8.5</v>
      </c>
      <c r="L295" s="180">
        <f t="shared" si="42"/>
        <v>1.0625</v>
      </c>
      <c r="M295" s="174"/>
      <c r="N295" s="174">
        <f t="shared" si="43"/>
        <v>1</v>
      </c>
      <c r="O295" s="174">
        <f t="shared" si="300"/>
        <v>1</v>
      </c>
      <c r="P295" s="89" t="s">
        <v>39</v>
      </c>
      <c r="Q295" s="90">
        <f t="shared" si="301"/>
        <v>1.0625</v>
      </c>
      <c r="R295" s="78"/>
      <c r="S295" s="78"/>
      <c r="T295" s="78"/>
      <c r="U295" s="78"/>
      <c r="V295" s="78"/>
      <c r="W295" s="78"/>
      <c r="X295" s="78"/>
      <c r="Y295" s="78"/>
      <c r="Z295" s="78"/>
      <c r="AA295" s="78"/>
      <c r="AB295" s="78"/>
      <c r="AC295" s="78"/>
      <c r="AD295" s="78"/>
      <c r="AE295" s="78"/>
      <c r="AF295" s="78"/>
      <c r="AG295" s="78"/>
      <c r="AH295" s="78"/>
      <c r="AI295" s="78"/>
      <c r="AJ295" s="78"/>
      <c r="AK295" s="78"/>
      <c r="AL295" s="78"/>
      <c r="AM295" s="78"/>
      <c r="AN295" s="78"/>
      <c r="AO295" s="78"/>
      <c r="AP295" s="78"/>
      <c r="AQ295" s="78"/>
      <c r="AR295" s="78"/>
      <c r="AS295" s="78"/>
      <c r="AT295" s="78"/>
      <c r="AU295" s="78"/>
      <c r="AV295" s="78"/>
      <c r="AW295" s="78"/>
      <c r="AX295" s="78"/>
      <c r="AY295" s="91"/>
      <c r="AZ295" s="78"/>
      <c r="BA295" s="78"/>
      <c r="BB295" s="78"/>
      <c r="BC295" s="78"/>
      <c r="BD295" s="78"/>
      <c r="BE295" s="78"/>
      <c r="BF295" s="78"/>
      <c r="BG295" s="78"/>
      <c r="BH295" s="78"/>
      <c r="BI295" s="78"/>
      <c r="BJ295" s="78"/>
      <c r="BK295" s="78"/>
      <c r="BL295" s="78"/>
      <c r="BM295" s="78"/>
      <c r="BN295" s="78"/>
      <c r="BO295" s="78"/>
      <c r="BP295" s="78"/>
      <c r="BQ295" s="78"/>
      <c r="BR295" s="78"/>
      <c r="BS295" s="78"/>
      <c r="BT295" s="78"/>
      <c r="BU295" s="78"/>
      <c r="BV295" s="78"/>
      <c r="BW295" s="78"/>
      <c r="BX295" s="78"/>
      <c r="BY295" s="78"/>
      <c r="BZ295" s="78"/>
      <c r="CA295" s="78"/>
      <c r="CB295" s="78"/>
      <c r="CC295" s="78"/>
      <c r="CD295" s="78"/>
      <c r="CE295" s="78"/>
      <c r="CF295" s="78"/>
      <c r="CG295" s="78"/>
      <c r="CH295" s="78"/>
      <c r="CI295" s="78"/>
      <c r="CJ295" s="78"/>
      <c r="CK295" s="78"/>
      <c r="CL295" s="78"/>
      <c r="CM295" s="78"/>
      <c r="CN295" s="78"/>
      <c r="CO295" s="78"/>
      <c r="CP295" s="78"/>
      <c r="CQ295" s="78"/>
      <c r="CR295" s="78"/>
      <c r="CS295" s="78"/>
      <c r="CT295" s="78"/>
      <c r="CU295" s="78"/>
      <c r="CV295" s="78"/>
      <c r="CW295" s="78"/>
      <c r="CX295" s="78"/>
      <c r="CY295" s="78"/>
      <c r="CZ295" s="78"/>
      <c r="DA295" s="78"/>
      <c r="DB295" s="78"/>
      <c r="DC295" s="78"/>
      <c r="DD295" s="78"/>
      <c r="DE295" s="78"/>
      <c r="DF295" s="78"/>
      <c r="DG295" s="78"/>
      <c r="DH295" s="78"/>
      <c r="DI295" s="78"/>
      <c r="DJ295" s="78"/>
      <c r="DK295" s="78"/>
      <c r="DL295" s="78"/>
      <c r="DM295" s="78"/>
      <c r="DN295" s="78"/>
      <c r="DO295" s="78"/>
      <c r="DP295" s="78"/>
      <c r="DQ295" s="78"/>
      <c r="DR295" s="78"/>
      <c r="DS295" s="78"/>
      <c r="DT295" s="78"/>
      <c r="DU295" s="78"/>
      <c r="DV295" s="78"/>
      <c r="DW295" s="78"/>
      <c r="DX295" s="78"/>
      <c r="DY295" s="78"/>
      <c r="DZ295" s="78"/>
      <c r="EA295" s="78"/>
      <c r="EB295" s="78"/>
      <c r="EC295" s="78"/>
      <c r="ED295" s="78"/>
      <c r="EE295" s="78"/>
      <c r="EF295" s="78"/>
      <c r="EG295" s="78"/>
      <c r="EH295" s="78"/>
      <c r="EI295" s="78"/>
      <c r="EJ295" s="78"/>
      <c r="EK295" s="78"/>
      <c r="EL295" s="78"/>
      <c r="EM295" s="78"/>
      <c r="EN295" s="91"/>
      <c r="EO295" s="91"/>
      <c r="EP295" s="91"/>
      <c r="EQ295" s="91"/>
      <c r="ER295" s="91"/>
      <c r="ES295" s="91"/>
    </row>
    <row r="296" spans="1:149" outlineLevel="1">
      <c r="A296" s="29" t="str">
        <f t="shared" si="302"/>
        <v>modesg_inp_nfrd_alinhamento_taxn.a.</v>
      </c>
      <c r="B296" s="67" t="s">
        <v>26</v>
      </c>
      <c r="C296" s="68" t="s">
        <v>181</v>
      </c>
      <c r="D296" s="64" t="s">
        <v>36</v>
      </c>
      <c r="E296" s="66" t="s">
        <v>215</v>
      </c>
      <c r="F296" s="64" t="s">
        <v>38</v>
      </c>
      <c r="G296" s="64" t="str">
        <f>INDEX(Auxiliar!$B$16:$B$24,MATCH(Plano_V3!H296,Auxiliar!$C$16:$C$24,0),1)</f>
        <v>1. Concluído</v>
      </c>
      <c r="H296" s="64">
        <f>VLOOKUP(A296,'Aux - pivots1'!$A:$B,2,0)</f>
        <v>1</v>
      </c>
      <c r="I296" s="180">
        <f>SUMIFS(Table1[Estimação (horas)],Table1[Tabela],Plano_V3!E296,Table1[Campo],Plano_V3!F296)</f>
        <v>8.5</v>
      </c>
      <c r="J296" s="180">
        <f t="shared" si="41"/>
        <v>1.0625</v>
      </c>
      <c r="K296" s="180">
        <f>SUMIFS(Table1[Horas efetivas],Table1[Tabela],Plano_V3!E296,Table1[Campo],Plano_V3!F296)</f>
        <v>8.5</v>
      </c>
      <c r="L296" s="180">
        <f t="shared" si="42"/>
        <v>1.0625</v>
      </c>
      <c r="M296" s="174"/>
      <c r="N296" s="174">
        <f t="shared" si="43"/>
        <v>1</v>
      </c>
      <c r="O296" s="174">
        <f t="shared" si="300"/>
        <v>1</v>
      </c>
      <c r="P296" s="89" t="s">
        <v>39</v>
      </c>
      <c r="Q296" s="90">
        <f t="shared" si="301"/>
        <v>1.0625</v>
      </c>
      <c r="R296" s="78"/>
      <c r="S296" s="78"/>
      <c r="T296" s="78"/>
      <c r="U296" s="78"/>
      <c r="V296" s="78"/>
      <c r="W296" s="78"/>
      <c r="X296" s="78"/>
      <c r="Y296" s="78"/>
      <c r="Z296" s="78"/>
      <c r="AA296" s="78"/>
      <c r="AB296" s="78"/>
      <c r="AC296" s="78"/>
      <c r="AD296" s="78"/>
      <c r="AE296" s="78"/>
      <c r="AF296" s="78"/>
      <c r="AG296" s="78"/>
      <c r="AH296" s="78"/>
      <c r="AI296" s="78"/>
      <c r="AJ296" s="78"/>
      <c r="AK296" s="78"/>
      <c r="AL296" s="78"/>
      <c r="AM296" s="78"/>
      <c r="AN296" s="78"/>
      <c r="AO296" s="78"/>
      <c r="AP296" s="78"/>
      <c r="AQ296" s="78"/>
      <c r="AR296" s="78"/>
      <c r="AS296" s="78"/>
      <c r="AT296" s="78"/>
      <c r="AU296" s="78"/>
      <c r="AV296" s="78"/>
      <c r="AW296" s="78"/>
      <c r="AX296" s="78"/>
      <c r="AY296" s="91"/>
      <c r="AZ296" s="78"/>
      <c r="BA296" s="78"/>
      <c r="BB296" s="78"/>
      <c r="BC296" s="78"/>
      <c r="BD296" s="78"/>
      <c r="BE296" s="78"/>
      <c r="BF296" s="78"/>
      <c r="BG296" s="78"/>
      <c r="BH296" s="78"/>
      <c r="BI296" s="78"/>
      <c r="BJ296" s="78"/>
      <c r="BK296" s="78"/>
      <c r="BL296" s="78"/>
      <c r="BM296" s="78"/>
      <c r="BN296" s="78"/>
      <c r="BO296" s="78"/>
      <c r="BP296" s="78"/>
      <c r="BQ296" s="78"/>
      <c r="BR296" s="78"/>
      <c r="BS296" s="78"/>
      <c r="BT296" s="78"/>
      <c r="BU296" s="78"/>
      <c r="BV296" s="78"/>
      <c r="BW296" s="78"/>
      <c r="BX296" s="78"/>
      <c r="BY296" s="78"/>
      <c r="BZ296" s="78"/>
      <c r="CA296" s="78"/>
      <c r="CB296" s="78"/>
      <c r="CC296" s="78"/>
      <c r="CD296" s="78"/>
      <c r="CE296" s="78"/>
      <c r="CF296" s="78"/>
      <c r="CG296" s="78"/>
      <c r="CH296" s="78"/>
      <c r="CI296" s="78"/>
      <c r="CJ296" s="78"/>
      <c r="CK296" s="78"/>
      <c r="CL296" s="78"/>
      <c r="CM296" s="78"/>
      <c r="CN296" s="78"/>
      <c r="CO296" s="78"/>
      <c r="CP296" s="78"/>
      <c r="CQ296" s="78"/>
      <c r="CR296" s="78"/>
      <c r="CS296" s="78"/>
      <c r="CT296" s="78"/>
      <c r="CU296" s="78"/>
      <c r="CV296" s="78"/>
      <c r="CW296" s="78"/>
      <c r="CX296" s="78"/>
      <c r="CY296" s="78"/>
      <c r="CZ296" s="78"/>
      <c r="DA296" s="78"/>
      <c r="DB296" s="78"/>
      <c r="DC296" s="78"/>
      <c r="DD296" s="78"/>
      <c r="DE296" s="78"/>
      <c r="DF296" s="78"/>
      <c r="DG296" s="78"/>
      <c r="DH296" s="78"/>
      <c r="DI296" s="78"/>
      <c r="DJ296" s="78"/>
      <c r="DK296" s="78"/>
      <c r="DL296" s="78"/>
      <c r="DM296" s="78"/>
      <c r="DN296" s="78"/>
      <c r="DO296" s="78"/>
      <c r="DP296" s="78"/>
      <c r="DQ296" s="78"/>
      <c r="DR296" s="78"/>
      <c r="DS296" s="78"/>
      <c r="DT296" s="78"/>
      <c r="DU296" s="78"/>
      <c r="DV296" s="78"/>
      <c r="DW296" s="78"/>
      <c r="DX296" s="78"/>
      <c r="DY296" s="78"/>
      <c r="DZ296" s="78"/>
      <c r="EA296" s="78"/>
      <c r="EB296" s="78"/>
      <c r="EC296" s="78"/>
      <c r="ED296" s="78"/>
      <c r="EE296" s="78"/>
      <c r="EF296" s="78"/>
      <c r="EG296" s="78"/>
      <c r="EH296" s="78"/>
      <c r="EI296" s="78"/>
      <c r="EJ296" s="78"/>
      <c r="EK296" s="78"/>
      <c r="EL296" s="78"/>
      <c r="EM296" s="78"/>
      <c r="EN296" s="91"/>
      <c r="EO296" s="91"/>
      <c r="EP296" s="91"/>
      <c r="EQ296" s="91"/>
      <c r="ER296" s="91"/>
      <c r="ES296" s="91"/>
    </row>
    <row r="297" spans="1:149" outlineLevel="1">
      <c r="A297" s="29" t="str">
        <f t="shared" si="302"/>
        <v>modesg_inp_risco_fisicon.a.</v>
      </c>
      <c r="B297" s="67" t="s">
        <v>26</v>
      </c>
      <c r="C297" s="68" t="s">
        <v>181</v>
      </c>
      <c r="D297" s="64" t="s">
        <v>36</v>
      </c>
      <c r="E297" s="66" t="s">
        <v>216</v>
      </c>
      <c r="F297" s="64" t="s">
        <v>38</v>
      </c>
      <c r="G297" s="64" t="str">
        <f>INDEX(Auxiliar!$B$16:$B$24,MATCH(Plano_V3!H297,Auxiliar!$C$16:$C$24,0),1)</f>
        <v>1. Concluído</v>
      </c>
      <c r="H297" s="64">
        <f>VLOOKUP(A297,'Aux - pivots1'!$A:$B,2,0)</f>
        <v>1</v>
      </c>
      <c r="I297" s="180">
        <f>SUMIFS(Table1[Estimação (horas)],Table1[Tabela],Plano_V3!E297,Table1[Campo],Plano_V3!F297)</f>
        <v>8.5</v>
      </c>
      <c r="J297" s="180">
        <f t="shared" si="41"/>
        <v>1.0625</v>
      </c>
      <c r="K297" s="180">
        <f>SUMIFS(Table1[Horas efetivas],Table1[Tabela],Plano_V3!E297,Table1[Campo],Plano_V3!F297)</f>
        <v>8.5</v>
      </c>
      <c r="L297" s="180">
        <f t="shared" si="42"/>
        <v>1.0625</v>
      </c>
      <c r="M297" s="174"/>
      <c r="N297" s="174">
        <f t="shared" si="43"/>
        <v>1</v>
      </c>
      <c r="O297" s="174">
        <f t="shared" si="300"/>
        <v>1</v>
      </c>
      <c r="P297" s="89" t="s">
        <v>39</v>
      </c>
      <c r="Q297" s="90">
        <f t="shared" si="301"/>
        <v>1.0625</v>
      </c>
      <c r="R297" s="78"/>
      <c r="S297" s="78"/>
      <c r="T297" s="78"/>
      <c r="U297" s="78"/>
      <c r="V297" s="78"/>
      <c r="W297" s="78"/>
      <c r="X297" s="78"/>
      <c r="Y297" s="78"/>
      <c r="Z297" s="78"/>
      <c r="AA297" s="78"/>
      <c r="AB297" s="78"/>
      <c r="AC297" s="78"/>
      <c r="AD297" s="78"/>
      <c r="AE297" s="78"/>
      <c r="AF297" s="78"/>
      <c r="AG297" s="78"/>
      <c r="AH297" s="78"/>
      <c r="AI297" s="78"/>
      <c r="AJ297" s="78"/>
      <c r="AK297" s="78"/>
      <c r="AL297" s="78"/>
      <c r="AM297" s="78"/>
      <c r="AN297" s="78"/>
      <c r="AO297" s="78"/>
      <c r="AP297" s="78"/>
      <c r="AQ297" s="78"/>
      <c r="AR297" s="78"/>
      <c r="AS297" s="78"/>
      <c r="AT297" s="78"/>
      <c r="AU297" s="78"/>
      <c r="AV297" s="78"/>
      <c r="AW297" s="78"/>
      <c r="AX297" s="78"/>
      <c r="AY297" s="91"/>
      <c r="AZ297" s="78"/>
      <c r="BA297" s="78"/>
      <c r="BB297" s="78"/>
      <c r="BC297" s="78"/>
      <c r="BD297" s="78"/>
      <c r="BE297" s="78"/>
      <c r="BF297" s="78"/>
      <c r="BG297" s="78"/>
      <c r="BH297" s="78"/>
      <c r="BI297" s="78"/>
      <c r="BJ297" s="78"/>
      <c r="BK297" s="78"/>
      <c r="BL297" s="78"/>
      <c r="BM297" s="78"/>
      <c r="BN297" s="78"/>
      <c r="BO297" s="78"/>
      <c r="BP297" s="78"/>
      <c r="BQ297" s="78"/>
      <c r="BR297" s="78"/>
      <c r="BS297" s="78"/>
      <c r="BT297" s="78"/>
      <c r="BU297" s="78"/>
      <c r="BV297" s="78"/>
      <c r="BW297" s="78"/>
      <c r="BX297" s="78"/>
      <c r="BY297" s="78"/>
      <c r="BZ297" s="78"/>
      <c r="CA297" s="78"/>
      <c r="CB297" s="78"/>
      <c r="CC297" s="78"/>
      <c r="CD297" s="78"/>
      <c r="CE297" s="78"/>
      <c r="CF297" s="78"/>
      <c r="CG297" s="78"/>
      <c r="CH297" s="78"/>
      <c r="CI297" s="78"/>
      <c r="CJ297" s="78"/>
      <c r="CK297" s="78"/>
      <c r="CL297" s="78"/>
      <c r="CM297" s="78"/>
      <c r="CN297" s="78"/>
      <c r="CO297" s="78"/>
      <c r="CP297" s="78"/>
      <c r="CQ297" s="78"/>
      <c r="CR297" s="78"/>
      <c r="CS297" s="78"/>
      <c r="CT297" s="78"/>
      <c r="CU297" s="78"/>
      <c r="CV297" s="78"/>
      <c r="CW297" s="78"/>
      <c r="CX297" s="78"/>
      <c r="CY297" s="78"/>
      <c r="CZ297" s="78"/>
      <c r="DA297" s="78"/>
      <c r="DB297" s="78"/>
      <c r="DC297" s="78"/>
      <c r="DD297" s="78"/>
      <c r="DE297" s="78"/>
      <c r="DF297" s="78"/>
      <c r="DG297" s="78"/>
      <c r="DH297" s="78"/>
      <c r="DI297" s="78"/>
      <c r="DJ297" s="78"/>
      <c r="DK297" s="78"/>
      <c r="DL297" s="78"/>
      <c r="DM297" s="78"/>
      <c r="DN297" s="78"/>
      <c r="DO297" s="78"/>
      <c r="DP297" s="78"/>
      <c r="DQ297" s="78"/>
      <c r="DR297" s="78"/>
      <c r="DS297" s="78"/>
      <c r="DT297" s="78"/>
      <c r="DU297" s="78"/>
      <c r="DV297" s="78"/>
      <c r="DW297" s="78"/>
      <c r="DX297" s="78"/>
      <c r="DY297" s="78"/>
      <c r="DZ297" s="78"/>
      <c r="EA297" s="78"/>
      <c r="EB297" s="78"/>
      <c r="EC297" s="78"/>
      <c r="ED297" s="78"/>
      <c r="EE297" s="78"/>
      <c r="EF297" s="78"/>
      <c r="EG297" s="78"/>
      <c r="EH297" s="78"/>
      <c r="EI297" s="78"/>
      <c r="EJ297" s="78"/>
      <c r="EK297" s="78"/>
      <c r="EL297" s="78"/>
      <c r="EM297" s="78"/>
      <c r="EN297" s="91"/>
      <c r="EO297" s="91"/>
      <c r="EP297" s="91"/>
      <c r="EQ297" s="91"/>
      <c r="ER297" s="91"/>
      <c r="ES297" s="91"/>
    </row>
    <row r="298" spans="1:149" outlineLevel="1">
      <c r="A298" s="29" t="str">
        <f t="shared" si="302"/>
        <v>modesg_inp_emss_scibn.a.</v>
      </c>
      <c r="B298" s="67" t="s">
        <v>26</v>
      </c>
      <c r="C298" s="68" t="s">
        <v>181</v>
      </c>
      <c r="D298" s="64" t="s">
        <v>36</v>
      </c>
      <c r="E298" s="66" t="s">
        <v>217</v>
      </c>
      <c r="F298" s="64" t="s">
        <v>38</v>
      </c>
      <c r="G298" s="64" t="str">
        <f>INDEX(Auxiliar!$B$16:$B$24,MATCH(Plano_V3!H298,Auxiliar!$C$16:$C$24,0),1)</f>
        <v>1. Concluído</v>
      </c>
      <c r="H298" s="64">
        <f>VLOOKUP(A298,'Aux - pivots1'!$A:$B,2,0)</f>
        <v>1</v>
      </c>
      <c r="I298" s="180">
        <f>SUMIFS(Table1[Estimação (horas)],Table1[Tabela],Plano_V3!E298,Table1[Campo],Plano_V3!F298)</f>
        <v>8.5</v>
      </c>
      <c r="J298" s="180">
        <f t="shared" si="41"/>
        <v>1.0625</v>
      </c>
      <c r="K298" s="180">
        <f>SUMIFS(Table1[Horas efetivas],Table1[Tabela],Plano_V3!E298,Table1[Campo],Plano_V3!F298)</f>
        <v>8.5</v>
      </c>
      <c r="L298" s="180">
        <f t="shared" si="42"/>
        <v>1.0625</v>
      </c>
      <c r="M298" s="174"/>
      <c r="N298" s="174">
        <f t="shared" si="43"/>
        <v>1</v>
      </c>
      <c r="O298" s="174">
        <f t="shared" si="300"/>
        <v>1</v>
      </c>
      <c r="P298" s="89" t="s">
        <v>39</v>
      </c>
      <c r="Q298" s="90">
        <f t="shared" si="301"/>
        <v>1.0625</v>
      </c>
      <c r="R298" s="78"/>
      <c r="S298" s="78"/>
      <c r="T298" s="78"/>
      <c r="U298" s="78"/>
      <c r="V298" s="78"/>
      <c r="W298" s="78"/>
      <c r="X298" s="78"/>
      <c r="Y298" s="78"/>
      <c r="Z298" s="78"/>
      <c r="AA298" s="78"/>
      <c r="AB298" s="78"/>
      <c r="AC298" s="78"/>
      <c r="AD298" s="78"/>
      <c r="AE298" s="78"/>
      <c r="AF298" s="78"/>
      <c r="AG298" s="78"/>
      <c r="AH298" s="78"/>
      <c r="AI298" s="78"/>
      <c r="AJ298" s="78"/>
      <c r="AK298" s="78"/>
      <c r="AL298" s="78"/>
      <c r="AM298" s="78"/>
      <c r="AN298" s="78"/>
      <c r="AO298" s="78"/>
      <c r="AP298" s="78"/>
      <c r="AQ298" s="78"/>
      <c r="AR298" s="78"/>
      <c r="AS298" s="78"/>
      <c r="AT298" s="78"/>
      <c r="AU298" s="78"/>
      <c r="AV298" s="78"/>
      <c r="AW298" s="78"/>
      <c r="AX298" s="78"/>
      <c r="AY298" s="91"/>
      <c r="AZ298" s="78"/>
      <c r="BA298" s="78"/>
      <c r="BB298" s="78"/>
      <c r="BC298" s="78"/>
      <c r="BD298" s="78"/>
      <c r="BE298" s="78"/>
      <c r="BF298" s="78"/>
      <c r="BG298" s="78"/>
      <c r="BH298" s="78"/>
      <c r="BI298" s="78"/>
      <c r="BJ298" s="78"/>
      <c r="BK298" s="78"/>
      <c r="BL298" s="78"/>
      <c r="BM298" s="78"/>
      <c r="BN298" s="78"/>
      <c r="BO298" s="78"/>
      <c r="BP298" s="78"/>
      <c r="BQ298" s="78"/>
      <c r="BR298" s="78"/>
      <c r="BS298" s="78"/>
      <c r="BT298" s="78"/>
      <c r="BU298" s="78"/>
      <c r="BV298" s="78"/>
      <c r="BW298" s="78"/>
      <c r="BX298" s="78"/>
      <c r="BY298" s="78"/>
      <c r="BZ298" s="78"/>
      <c r="CA298" s="78"/>
      <c r="CB298" s="78"/>
      <c r="CC298" s="78"/>
      <c r="CD298" s="78"/>
      <c r="CE298" s="78"/>
      <c r="CF298" s="78"/>
      <c r="CG298" s="78"/>
      <c r="CH298" s="78"/>
      <c r="CI298" s="78"/>
      <c r="CJ298" s="78"/>
      <c r="CK298" s="78"/>
      <c r="CL298" s="78"/>
      <c r="CM298" s="78"/>
      <c r="CN298" s="78"/>
      <c r="CO298" s="78"/>
      <c r="CP298" s="78"/>
      <c r="CQ298" s="78"/>
      <c r="CR298" s="78"/>
      <c r="CS298" s="78"/>
      <c r="CT298" s="78"/>
      <c r="CU298" s="78"/>
      <c r="CV298" s="78"/>
      <c r="CW298" s="78"/>
      <c r="CX298" s="78"/>
      <c r="CY298" s="78"/>
      <c r="CZ298" s="78"/>
      <c r="DA298" s="78"/>
      <c r="DB298" s="78"/>
      <c r="DC298" s="78"/>
      <c r="DD298" s="78"/>
      <c r="DE298" s="78"/>
      <c r="DF298" s="78"/>
      <c r="DG298" s="78"/>
      <c r="DH298" s="78"/>
      <c r="DI298" s="78"/>
      <c r="DJ298" s="78"/>
      <c r="DK298" s="78"/>
      <c r="DL298" s="78"/>
      <c r="DM298" s="78"/>
      <c r="DN298" s="78"/>
      <c r="DO298" s="78"/>
      <c r="DP298" s="78"/>
      <c r="DQ298" s="78"/>
      <c r="DR298" s="78"/>
      <c r="DS298" s="78"/>
      <c r="DT298" s="78"/>
      <c r="DU298" s="78"/>
      <c r="DV298" s="78"/>
      <c r="DW298" s="78"/>
      <c r="DX298" s="78"/>
      <c r="DY298" s="78"/>
      <c r="DZ298" s="78"/>
      <c r="EA298" s="78"/>
      <c r="EB298" s="78"/>
      <c r="EC298" s="78"/>
      <c r="ED298" s="78"/>
      <c r="EE298" s="78"/>
      <c r="EF298" s="78"/>
      <c r="EG298" s="78"/>
      <c r="EH298" s="78"/>
      <c r="EI298" s="78"/>
      <c r="EJ298" s="78"/>
      <c r="EK298" s="78"/>
      <c r="EL298" s="78"/>
      <c r="EM298" s="78"/>
      <c r="EN298" s="91"/>
      <c r="EO298" s="91"/>
      <c r="EP298" s="91"/>
      <c r="EQ298" s="91"/>
      <c r="ER298" s="91"/>
      <c r="ES298" s="91"/>
    </row>
    <row r="299" spans="1:149" outlineLevel="1">
      <c r="A299" s="29" t="str">
        <f t="shared" si="302"/>
        <v>modesg_inp_emss_nacen.a.</v>
      </c>
      <c r="B299" s="67" t="s">
        <v>26</v>
      </c>
      <c r="C299" s="68" t="s">
        <v>181</v>
      </c>
      <c r="D299" s="64" t="s">
        <v>36</v>
      </c>
      <c r="E299" s="66" t="s">
        <v>218</v>
      </c>
      <c r="F299" s="64" t="s">
        <v>38</v>
      </c>
      <c r="G299" s="64" t="str">
        <f>INDEX(Auxiliar!$B$16:$B$24,MATCH(Plano_V3!H299,Auxiliar!$C$16:$C$24,0),1)</f>
        <v>1. Concluído</v>
      </c>
      <c r="H299" s="64">
        <f>VLOOKUP(A299,'Aux - pivots1'!$A:$B,2,0)</f>
        <v>1</v>
      </c>
      <c r="I299" s="180">
        <f>SUMIFS(Table1[Estimação (horas)],Table1[Tabela],Plano_V3!E299,Table1[Campo],Plano_V3!F299)</f>
        <v>8.5</v>
      </c>
      <c r="J299" s="180">
        <f t="shared" si="41"/>
        <v>1.0625</v>
      </c>
      <c r="K299" s="180">
        <f>SUMIFS(Table1[Horas efetivas],Table1[Tabela],Plano_V3!E299,Table1[Campo],Plano_V3!F299)</f>
        <v>8.5</v>
      </c>
      <c r="L299" s="180">
        <f t="shared" si="42"/>
        <v>1.0625</v>
      </c>
      <c r="M299" s="174"/>
      <c r="N299" s="174">
        <f t="shared" si="43"/>
        <v>1</v>
      </c>
      <c r="O299" s="174">
        <f t="shared" si="300"/>
        <v>1</v>
      </c>
      <c r="P299" s="89" t="s">
        <v>39</v>
      </c>
      <c r="Q299" s="90">
        <f t="shared" si="301"/>
        <v>1.0625</v>
      </c>
      <c r="R299" s="78"/>
      <c r="S299" s="78"/>
      <c r="T299" s="78"/>
      <c r="U299" s="78"/>
      <c r="V299" s="78"/>
      <c r="W299" s="78"/>
      <c r="X299" s="78"/>
      <c r="Y299" s="78"/>
      <c r="Z299" s="78"/>
      <c r="AA299" s="78"/>
      <c r="AB299" s="78"/>
      <c r="AC299" s="78"/>
      <c r="AD299" s="78"/>
      <c r="AE299" s="78"/>
      <c r="AF299" s="78"/>
      <c r="AG299" s="78"/>
      <c r="AH299" s="78"/>
      <c r="AI299" s="78"/>
      <c r="AJ299" s="78"/>
      <c r="AK299" s="78"/>
      <c r="AL299" s="78"/>
      <c r="AM299" s="78"/>
      <c r="AN299" s="78"/>
      <c r="AO299" s="78"/>
      <c r="AP299" s="78"/>
      <c r="AQ299" s="78"/>
      <c r="AR299" s="78"/>
      <c r="AS299" s="78"/>
      <c r="AT299" s="78"/>
      <c r="AU299" s="78"/>
      <c r="AV299" s="78"/>
      <c r="AW299" s="78"/>
      <c r="AX299" s="78"/>
      <c r="AY299" s="91"/>
      <c r="AZ299" s="78"/>
      <c r="BA299" s="78"/>
      <c r="BB299" s="78"/>
      <c r="BC299" s="78"/>
      <c r="BD299" s="78"/>
      <c r="BE299" s="78"/>
      <c r="BF299" s="78"/>
      <c r="BG299" s="78"/>
      <c r="BH299" s="78"/>
      <c r="BI299" s="78"/>
      <c r="BJ299" s="78"/>
      <c r="BK299" s="78"/>
      <c r="BL299" s="78"/>
      <c r="BM299" s="78"/>
      <c r="BN299" s="78"/>
      <c r="BO299" s="78"/>
      <c r="BP299" s="78"/>
      <c r="BQ299" s="78"/>
      <c r="BR299" s="78"/>
      <c r="BS299" s="78"/>
      <c r="BT299" s="78"/>
      <c r="BU299" s="78"/>
      <c r="BV299" s="78"/>
      <c r="BW299" s="78"/>
      <c r="BX299" s="78"/>
      <c r="BY299" s="78"/>
      <c r="BZ299" s="78"/>
      <c r="CA299" s="78"/>
      <c r="CB299" s="78"/>
      <c r="CC299" s="78"/>
      <c r="CD299" s="78"/>
      <c r="CE299" s="78"/>
      <c r="CF299" s="78"/>
      <c r="CG299" s="78"/>
      <c r="CH299" s="78"/>
      <c r="CI299" s="78"/>
      <c r="CJ299" s="78"/>
      <c r="CK299" s="78"/>
      <c r="CL299" s="78"/>
      <c r="CM299" s="78"/>
      <c r="CN299" s="78"/>
      <c r="CO299" s="78"/>
      <c r="CP299" s="78"/>
      <c r="CQ299" s="78"/>
      <c r="CR299" s="78"/>
      <c r="CS299" s="78"/>
      <c r="CT299" s="78"/>
      <c r="CU299" s="78"/>
      <c r="CV299" s="78"/>
      <c r="CW299" s="78"/>
      <c r="CX299" s="78"/>
      <c r="CY299" s="78"/>
      <c r="CZ299" s="78"/>
      <c r="DA299" s="78"/>
      <c r="DB299" s="78"/>
      <c r="DC299" s="78"/>
      <c r="DD299" s="78"/>
      <c r="DE299" s="78"/>
      <c r="DF299" s="78"/>
      <c r="DG299" s="78"/>
      <c r="DH299" s="78"/>
      <c r="DI299" s="78"/>
      <c r="DJ299" s="78"/>
      <c r="DK299" s="78"/>
      <c r="DL299" s="78"/>
      <c r="DM299" s="78"/>
      <c r="DN299" s="78"/>
      <c r="DO299" s="78"/>
      <c r="DP299" s="78"/>
      <c r="DQ299" s="78"/>
      <c r="DR299" s="78"/>
      <c r="DS299" s="78"/>
      <c r="DT299" s="78"/>
      <c r="DU299" s="78"/>
      <c r="DV299" s="78"/>
      <c r="DW299" s="78"/>
      <c r="DX299" s="78"/>
      <c r="DY299" s="78"/>
      <c r="DZ299" s="78"/>
      <c r="EA299" s="78"/>
      <c r="EB299" s="78"/>
      <c r="EC299" s="78"/>
      <c r="ED299" s="78"/>
      <c r="EE299" s="78"/>
      <c r="EF299" s="78"/>
      <c r="EG299" s="78"/>
      <c r="EH299" s="78"/>
      <c r="EI299" s="78"/>
      <c r="EJ299" s="78"/>
      <c r="EK299" s="78"/>
      <c r="EL299" s="78"/>
      <c r="EM299" s="78"/>
      <c r="EN299" s="91"/>
      <c r="EO299" s="91"/>
      <c r="EP299" s="91"/>
      <c r="EQ299" s="91"/>
      <c r="ER299" s="91"/>
      <c r="ES299" s="91"/>
    </row>
    <row r="300" spans="1:149" outlineLevel="1">
      <c r="A300" s="29" t="str">
        <f t="shared" si="302"/>
        <v>modesg_inp_emss_bens_imoveisn.a.</v>
      </c>
      <c r="B300" s="67" t="s">
        <v>26</v>
      </c>
      <c r="C300" s="68" t="s">
        <v>181</v>
      </c>
      <c r="D300" s="64" t="s">
        <v>36</v>
      </c>
      <c r="E300" s="66" t="s">
        <v>219</v>
      </c>
      <c r="F300" s="64" t="s">
        <v>38</v>
      </c>
      <c r="G300" s="64" t="str">
        <f>INDEX(Auxiliar!$B$16:$B$24,MATCH(Plano_V3!H300,Auxiliar!$C$16:$C$24,0),1)</f>
        <v>1. Concluído</v>
      </c>
      <c r="H300" s="64">
        <f>VLOOKUP(A300,'Aux - pivots1'!$A:$B,2,0)</f>
        <v>1</v>
      </c>
      <c r="I300" s="180">
        <f>SUMIFS(Table1[Estimação (horas)],Table1[Tabela],Plano_V3!E300,Table1[Campo],Plano_V3!F300)</f>
        <v>8.5</v>
      </c>
      <c r="J300" s="180">
        <f t="shared" si="41"/>
        <v>1.0625</v>
      </c>
      <c r="K300" s="180">
        <f>SUMIFS(Table1[Horas efetivas],Table1[Tabela],Plano_V3!E300,Table1[Campo],Plano_V3!F300)</f>
        <v>8.5</v>
      </c>
      <c r="L300" s="180">
        <f t="shared" si="42"/>
        <v>1.0625</v>
      </c>
      <c r="M300" s="174"/>
      <c r="N300" s="174">
        <f t="shared" si="43"/>
        <v>1</v>
      </c>
      <c r="O300" s="174">
        <f t="shared" si="300"/>
        <v>1</v>
      </c>
      <c r="P300" s="89" t="s">
        <v>39</v>
      </c>
      <c r="Q300" s="90">
        <f t="shared" si="301"/>
        <v>1.0625</v>
      </c>
      <c r="R300" s="78"/>
      <c r="S300" s="78"/>
      <c r="T300" s="78"/>
      <c r="U300" s="78"/>
      <c r="V300" s="78"/>
      <c r="W300" s="78"/>
      <c r="X300" s="78"/>
      <c r="Y300" s="78"/>
      <c r="Z300" s="78"/>
      <c r="AA300" s="78"/>
      <c r="AB300" s="78"/>
      <c r="AC300" s="78"/>
      <c r="AD300" s="78"/>
      <c r="AE300" s="78"/>
      <c r="AF300" s="78"/>
      <c r="AG300" s="78"/>
      <c r="AH300" s="78"/>
      <c r="AI300" s="78"/>
      <c r="AJ300" s="78"/>
      <c r="AK300" s="78"/>
      <c r="AL300" s="78"/>
      <c r="AM300" s="78"/>
      <c r="AN300" s="78"/>
      <c r="AO300" s="78"/>
      <c r="AP300" s="78"/>
      <c r="AQ300" s="78"/>
      <c r="AR300" s="78"/>
      <c r="AS300" s="78"/>
      <c r="AT300" s="78"/>
      <c r="AU300" s="78"/>
      <c r="AV300" s="78"/>
      <c r="AW300" s="78"/>
      <c r="AX300" s="78"/>
      <c r="AY300" s="91"/>
      <c r="AZ300" s="78"/>
      <c r="BA300" s="78"/>
      <c r="BB300" s="78"/>
      <c r="BC300" s="78"/>
      <c r="BD300" s="78"/>
      <c r="BE300" s="78"/>
      <c r="BF300" s="78"/>
      <c r="BG300" s="78"/>
      <c r="BH300" s="78"/>
      <c r="BI300" s="78"/>
      <c r="BJ300" s="78"/>
      <c r="BK300" s="78"/>
      <c r="BL300" s="78"/>
      <c r="BM300" s="78"/>
      <c r="BN300" s="78"/>
      <c r="BO300" s="78"/>
      <c r="BP300" s="78"/>
      <c r="BQ300" s="78"/>
      <c r="BR300" s="78"/>
      <c r="BS300" s="78"/>
      <c r="BT300" s="78"/>
      <c r="BU300" s="78"/>
      <c r="BV300" s="78"/>
      <c r="BW300" s="78"/>
      <c r="BX300" s="78"/>
      <c r="BY300" s="78"/>
      <c r="BZ300" s="78"/>
      <c r="CA300" s="78"/>
      <c r="CB300" s="78"/>
      <c r="CC300" s="78"/>
      <c r="CD300" s="78"/>
      <c r="CE300" s="78"/>
      <c r="CF300" s="78"/>
      <c r="CG300" s="78"/>
      <c r="CH300" s="78"/>
      <c r="CI300" s="78"/>
      <c r="CJ300" s="78"/>
      <c r="CK300" s="78"/>
      <c r="CL300" s="78"/>
      <c r="CM300" s="78"/>
      <c r="CN300" s="78"/>
      <c r="CO300" s="78"/>
      <c r="CP300" s="78"/>
      <c r="CQ300" s="78"/>
      <c r="CR300" s="78"/>
      <c r="CS300" s="78"/>
      <c r="CT300" s="78"/>
      <c r="CU300" s="78"/>
      <c r="CV300" s="78"/>
      <c r="CW300" s="78"/>
      <c r="CX300" s="78"/>
      <c r="CY300" s="78"/>
      <c r="CZ300" s="78"/>
      <c r="DA300" s="78"/>
      <c r="DB300" s="78"/>
      <c r="DC300" s="78"/>
      <c r="DD300" s="78"/>
      <c r="DE300" s="78"/>
      <c r="DF300" s="78"/>
      <c r="DG300" s="78"/>
      <c r="DH300" s="78"/>
      <c r="DI300" s="78"/>
      <c r="DJ300" s="78"/>
      <c r="DK300" s="78"/>
      <c r="DL300" s="78"/>
      <c r="DM300" s="78"/>
      <c r="DN300" s="78"/>
      <c r="DO300" s="78"/>
      <c r="DP300" s="78"/>
      <c r="DQ300" s="78"/>
      <c r="DR300" s="78"/>
      <c r="DS300" s="78"/>
      <c r="DT300" s="78"/>
      <c r="DU300" s="78"/>
      <c r="DV300" s="78"/>
      <c r="DW300" s="78"/>
      <c r="DX300" s="78"/>
      <c r="DY300" s="78"/>
      <c r="DZ300" s="78"/>
      <c r="EA300" s="78"/>
      <c r="EB300" s="78"/>
      <c r="EC300" s="78"/>
      <c r="ED300" s="78"/>
      <c r="EE300" s="78"/>
      <c r="EF300" s="78"/>
      <c r="EG300" s="78"/>
      <c r="EH300" s="78"/>
      <c r="EI300" s="78"/>
      <c r="EJ300" s="78"/>
      <c r="EK300" s="78"/>
      <c r="EL300" s="78"/>
      <c r="EM300" s="78"/>
      <c r="EN300" s="91"/>
      <c r="EO300" s="91"/>
      <c r="EP300" s="91"/>
      <c r="EQ300" s="91"/>
      <c r="ER300" s="91"/>
      <c r="ES300" s="91"/>
    </row>
    <row r="301" spans="1:149" outlineLevel="1">
      <c r="A301" s="29" t="str">
        <f t="shared" si="302"/>
        <v>modesg_inp_emss_vclsref_date</v>
      </c>
      <c r="B301" s="67" t="s">
        <v>26</v>
      </c>
      <c r="C301" s="68" t="s">
        <v>181</v>
      </c>
      <c r="D301" s="64" t="s">
        <v>40</v>
      </c>
      <c r="E301" s="66" t="s">
        <v>212</v>
      </c>
      <c r="F301" s="64" t="s">
        <v>208</v>
      </c>
      <c r="G301" s="64" t="str">
        <f>INDEX(Auxiliar!$B$16:$B$24,MATCH(Plano_V3!H301,Auxiliar!$C$16:$C$24,0),1)</f>
        <v>1. Concluído</v>
      </c>
      <c r="H301" s="64">
        <f>VLOOKUP(A301,'Aux - pivots1'!$A:$B,2,0)</f>
        <v>1</v>
      </c>
      <c r="I301" s="180">
        <f>SUMIFS(Table1[Estimação (horas)],Table1[Tabela],Plano_V3!E301,Table1[Campo],Plano_V3!F301)</f>
        <v>0.5</v>
      </c>
      <c r="J301" s="180">
        <f t="shared" si="41"/>
        <v>6.25E-2</v>
      </c>
      <c r="K301" s="180">
        <f>SUMIFS(Table1[Horas efetivas],Table1[Tabela],Plano_V3!E301,Table1[Campo],Plano_V3!F301)</f>
        <v>0.5</v>
      </c>
      <c r="L301" s="180">
        <f t="shared" si="42"/>
        <v>6.25E-2</v>
      </c>
      <c r="M301" s="174"/>
      <c r="N301" s="174">
        <f t="shared" si="43"/>
        <v>1</v>
      </c>
      <c r="O301" s="174">
        <f t="shared" si="300"/>
        <v>1</v>
      </c>
      <c r="P301" s="89" t="s">
        <v>39</v>
      </c>
      <c r="Q301" s="90">
        <f t="shared" si="301"/>
        <v>6.25E-2</v>
      </c>
      <c r="R301" s="78"/>
      <c r="S301" s="78"/>
      <c r="T301" s="78"/>
      <c r="U301" s="78"/>
      <c r="V301" s="78"/>
      <c r="W301" s="78"/>
      <c r="X301" s="78"/>
      <c r="Y301" s="78"/>
      <c r="Z301" s="78"/>
      <c r="AA301" s="78"/>
      <c r="AB301" s="78"/>
      <c r="AC301" s="78"/>
      <c r="AD301" s="78"/>
      <c r="AE301" s="78"/>
      <c r="AF301" s="78"/>
      <c r="AG301" s="78"/>
      <c r="AH301" s="78"/>
      <c r="AI301" s="78"/>
      <c r="AJ301" s="78"/>
      <c r="AK301" s="78"/>
      <c r="AL301" s="78"/>
      <c r="AM301" s="78"/>
      <c r="AN301" s="78"/>
      <c r="AO301" s="78"/>
      <c r="AP301" s="78"/>
      <c r="AQ301" s="78"/>
      <c r="AR301" s="78"/>
      <c r="AS301" s="78"/>
      <c r="AT301" s="78"/>
      <c r="AU301" s="78"/>
      <c r="AV301" s="78"/>
      <c r="AW301" s="78"/>
      <c r="AX301" s="78"/>
      <c r="AY301" s="91"/>
      <c r="AZ301" s="78"/>
      <c r="BA301" s="78"/>
      <c r="BB301" s="78"/>
      <c r="BC301" s="78"/>
      <c r="BD301" s="78"/>
      <c r="BE301" s="78"/>
      <c r="BF301" s="78"/>
      <c r="BG301" s="78"/>
      <c r="BH301" s="78"/>
      <c r="BI301" s="78"/>
      <c r="BJ301" s="78"/>
      <c r="BK301" s="78"/>
      <c r="BL301" s="78"/>
      <c r="BM301" s="78"/>
      <c r="BN301" s="78"/>
      <c r="BO301" s="78"/>
      <c r="BP301" s="78"/>
      <c r="BQ301" s="78"/>
      <c r="BR301" s="78"/>
      <c r="BS301" s="78"/>
      <c r="BT301" s="78"/>
      <c r="BU301" s="78"/>
      <c r="BV301" s="78"/>
      <c r="BW301" s="78"/>
      <c r="BX301" s="78"/>
      <c r="BY301" s="78"/>
      <c r="BZ301" s="78"/>
      <c r="CA301" s="78"/>
      <c r="CB301" s="78"/>
      <c r="CC301" s="78"/>
      <c r="CD301" s="78"/>
      <c r="CE301" s="78"/>
      <c r="CF301" s="78"/>
      <c r="CG301" s="78"/>
      <c r="CH301" s="78"/>
      <c r="CI301" s="78"/>
      <c r="CJ301" s="78"/>
      <c r="CK301" s="78"/>
      <c r="CL301" s="78"/>
      <c r="CM301" s="78"/>
      <c r="CN301" s="78"/>
      <c r="CO301" s="78"/>
      <c r="CP301" s="78"/>
      <c r="CQ301" s="78"/>
      <c r="CR301" s="78"/>
      <c r="CS301" s="78"/>
      <c r="CT301" s="78"/>
      <c r="CU301" s="78"/>
      <c r="CV301" s="78"/>
      <c r="CW301" s="78"/>
      <c r="CX301" s="78"/>
      <c r="CY301" s="78"/>
      <c r="CZ301" s="78"/>
      <c r="DA301" s="78"/>
      <c r="DB301" s="78"/>
      <c r="DC301" s="78"/>
      <c r="DD301" s="78"/>
      <c r="DE301" s="78"/>
      <c r="DF301" s="78"/>
      <c r="DG301" s="78"/>
      <c r="DH301" s="78"/>
      <c r="DI301" s="78"/>
      <c r="DJ301" s="78"/>
      <c r="DK301" s="78"/>
      <c r="DL301" s="78"/>
      <c r="DM301" s="78"/>
      <c r="DN301" s="78"/>
      <c r="DO301" s="78"/>
      <c r="DP301" s="78"/>
      <c r="DQ301" s="78"/>
      <c r="DR301" s="78"/>
      <c r="DS301" s="78"/>
      <c r="DT301" s="78"/>
      <c r="DU301" s="78"/>
      <c r="DV301" s="78"/>
      <c r="DW301" s="78"/>
      <c r="DX301" s="78"/>
      <c r="DY301" s="78"/>
      <c r="DZ301" s="78"/>
      <c r="EA301" s="78"/>
      <c r="EB301" s="78"/>
      <c r="EC301" s="78"/>
      <c r="ED301" s="78"/>
      <c r="EE301" s="78"/>
      <c r="EF301" s="78"/>
      <c r="EG301" s="78"/>
      <c r="EH301" s="78"/>
      <c r="EI301" s="78"/>
      <c r="EJ301" s="78"/>
      <c r="EK301" s="78"/>
      <c r="EL301" s="78"/>
      <c r="EM301" s="78"/>
      <c r="EN301" s="91"/>
      <c r="EO301" s="91"/>
      <c r="EP301" s="91"/>
      <c r="EQ301" s="91"/>
      <c r="ER301" s="91"/>
      <c r="ES301" s="91"/>
    </row>
    <row r="302" spans="1:149" outlineLevel="1">
      <c r="A302" s="29" t="str">
        <f t="shared" si="302"/>
        <v>modesg_inp_emss_vclsnome_regiao</v>
      </c>
      <c r="B302" s="67" t="s">
        <v>26</v>
      </c>
      <c r="C302" s="68" t="s">
        <v>181</v>
      </c>
      <c r="D302" s="64" t="s">
        <v>40</v>
      </c>
      <c r="E302" s="66" t="s">
        <v>212</v>
      </c>
      <c r="F302" s="64" t="s">
        <v>220</v>
      </c>
      <c r="G302" s="64" t="str">
        <f>INDEX(Auxiliar!$B$16:$B$24,MATCH(Plano_V3!H302,Auxiliar!$C$16:$C$24,0),1)</f>
        <v>1. Concluído</v>
      </c>
      <c r="H302" s="64">
        <f>VLOOKUP(A302,'Aux - pivots1'!$A:$B,2,0)</f>
        <v>1</v>
      </c>
      <c r="I302" s="180">
        <f>SUMIFS(Table1[Estimação (horas)],Table1[Tabela],Plano_V3!E302,Table1[Campo],Plano_V3!F302)</f>
        <v>0.6</v>
      </c>
      <c r="J302" s="180">
        <f t="shared" si="41"/>
        <v>7.4999999999999997E-2</v>
      </c>
      <c r="K302" s="180">
        <f>SUMIFS(Table1[Horas efetivas],Table1[Tabela],Plano_V3!E302,Table1[Campo],Plano_V3!F302)</f>
        <v>0.6</v>
      </c>
      <c r="L302" s="180">
        <f t="shared" si="42"/>
        <v>7.4999999999999997E-2</v>
      </c>
      <c r="M302" s="174"/>
      <c r="N302" s="174">
        <f t="shared" si="43"/>
        <v>1</v>
      </c>
      <c r="O302" s="174">
        <f t="shared" si="300"/>
        <v>1</v>
      </c>
      <c r="P302" s="89" t="s">
        <v>39</v>
      </c>
      <c r="Q302" s="90">
        <f t="shared" si="301"/>
        <v>7.4999999999999997E-2</v>
      </c>
      <c r="R302" s="78"/>
      <c r="S302" s="78"/>
      <c r="T302" s="78"/>
      <c r="U302" s="78"/>
      <c r="V302" s="78"/>
      <c r="W302" s="78"/>
      <c r="X302" s="78"/>
      <c r="Y302" s="78"/>
      <c r="Z302" s="78"/>
      <c r="AA302" s="78"/>
      <c r="AB302" s="78"/>
      <c r="AC302" s="78"/>
      <c r="AD302" s="78"/>
      <c r="AE302" s="78"/>
      <c r="AF302" s="78"/>
      <c r="AG302" s="78"/>
      <c r="AH302" s="78"/>
      <c r="AI302" s="78"/>
      <c r="AJ302" s="78"/>
      <c r="AK302" s="78"/>
      <c r="AL302" s="78"/>
      <c r="AM302" s="78"/>
      <c r="AN302" s="78"/>
      <c r="AO302" s="78"/>
      <c r="AP302" s="78"/>
      <c r="AQ302" s="78"/>
      <c r="AR302" s="78"/>
      <c r="AS302" s="78"/>
      <c r="AT302" s="78"/>
      <c r="AU302" s="78"/>
      <c r="AV302" s="78"/>
      <c r="AW302" s="78"/>
      <c r="AX302" s="78"/>
      <c r="AY302" s="91"/>
      <c r="AZ302" s="78"/>
      <c r="BA302" s="78"/>
      <c r="BB302" s="78"/>
      <c r="BC302" s="78"/>
      <c r="BD302" s="78"/>
      <c r="BE302" s="78"/>
      <c r="BF302" s="78"/>
      <c r="BG302" s="78"/>
      <c r="BH302" s="78"/>
      <c r="BI302" s="78"/>
      <c r="BJ302" s="78"/>
      <c r="BK302" s="78"/>
      <c r="BL302" s="78"/>
      <c r="BM302" s="78"/>
      <c r="BN302" s="78"/>
      <c r="BO302" s="78"/>
      <c r="BP302" s="78"/>
      <c r="BQ302" s="78"/>
      <c r="BR302" s="78"/>
      <c r="BS302" s="78"/>
      <c r="BT302" s="78"/>
      <c r="BU302" s="78"/>
      <c r="BV302" s="78"/>
      <c r="BW302" s="78"/>
      <c r="BX302" s="78"/>
      <c r="BY302" s="78"/>
      <c r="BZ302" s="78"/>
      <c r="CA302" s="78"/>
      <c r="CB302" s="78"/>
      <c r="CC302" s="78"/>
      <c r="CD302" s="78"/>
      <c r="CE302" s="78"/>
      <c r="CF302" s="78"/>
      <c r="CG302" s="78"/>
      <c r="CH302" s="78"/>
      <c r="CI302" s="78"/>
      <c r="CJ302" s="78"/>
      <c r="CK302" s="78"/>
      <c r="CL302" s="78"/>
      <c r="CM302" s="78"/>
      <c r="CN302" s="78"/>
      <c r="CO302" s="78"/>
      <c r="CP302" s="78"/>
      <c r="CQ302" s="78"/>
      <c r="CR302" s="78"/>
      <c r="CS302" s="78"/>
      <c r="CT302" s="78"/>
      <c r="CU302" s="78"/>
      <c r="CV302" s="78"/>
      <c r="CW302" s="78"/>
      <c r="CX302" s="78"/>
      <c r="CY302" s="78"/>
      <c r="CZ302" s="78"/>
      <c r="DA302" s="78"/>
      <c r="DB302" s="78"/>
      <c r="DC302" s="78"/>
      <c r="DD302" s="78"/>
      <c r="DE302" s="78"/>
      <c r="DF302" s="78"/>
      <c r="DG302" s="78"/>
      <c r="DH302" s="78"/>
      <c r="DI302" s="78"/>
      <c r="DJ302" s="78"/>
      <c r="DK302" s="78"/>
      <c r="DL302" s="78"/>
      <c r="DM302" s="78"/>
      <c r="DN302" s="78"/>
      <c r="DO302" s="78"/>
      <c r="DP302" s="78"/>
      <c r="DQ302" s="78"/>
      <c r="DR302" s="78"/>
      <c r="DS302" s="78"/>
      <c r="DT302" s="78"/>
      <c r="DU302" s="78"/>
      <c r="DV302" s="78"/>
      <c r="DW302" s="78"/>
      <c r="DX302" s="78"/>
      <c r="DY302" s="78"/>
      <c r="DZ302" s="78"/>
      <c r="EA302" s="78"/>
      <c r="EB302" s="78"/>
      <c r="EC302" s="78"/>
      <c r="ED302" s="78"/>
      <c r="EE302" s="78"/>
      <c r="EF302" s="78"/>
      <c r="EG302" s="78"/>
      <c r="EH302" s="78"/>
      <c r="EI302" s="78"/>
      <c r="EJ302" s="78"/>
      <c r="EK302" s="78"/>
      <c r="EL302" s="78"/>
      <c r="EM302" s="78"/>
      <c r="EN302" s="91"/>
      <c r="EO302" s="91"/>
      <c r="EP302" s="91"/>
      <c r="EQ302" s="91"/>
      <c r="ER302" s="91"/>
      <c r="ES302" s="91"/>
    </row>
    <row r="303" spans="1:149" outlineLevel="1">
      <c r="A303" s="29" t="str">
        <f t="shared" si="302"/>
        <v>modesg_inp_emss_vclsnome_pais</v>
      </c>
      <c r="B303" s="67" t="s">
        <v>26</v>
      </c>
      <c r="C303" s="68" t="s">
        <v>181</v>
      </c>
      <c r="D303" s="64" t="s">
        <v>40</v>
      </c>
      <c r="E303" s="66" t="s">
        <v>212</v>
      </c>
      <c r="F303" s="64" t="s">
        <v>221</v>
      </c>
      <c r="G303" s="64" t="str">
        <f>INDEX(Auxiliar!$B$16:$B$24,MATCH(Plano_V3!H303,Auxiliar!$C$16:$C$24,0),1)</f>
        <v>1. Concluído</v>
      </c>
      <c r="H303" s="64">
        <f>VLOOKUP(A303,'Aux - pivots1'!$A:$B,2,0)</f>
        <v>1</v>
      </c>
      <c r="I303" s="180">
        <f>SUMIFS(Table1[Estimação (horas)],Table1[Tabela],Plano_V3!E303,Table1[Campo],Plano_V3!F303)</f>
        <v>0.6</v>
      </c>
      <c r="J303" s="180">
        <f t="shared" si="41"/>
        <v>7.4999999999999997E-2</v>
      </c>
      <c r="K303" s="180">
        <f>SUMIFS(Table1[Horas efetivas],Table1[Tabela],Plano_V3!E303,Table1[Campo],Plano_V3!F303)</f>
        <v>0.6</v>
      </c>
      <c r="L303" s="180">
        <f t="shared" si="42"/>
        <v>7.4999999999999997E-2</v>
      </c>
      <c r="M303" s="174"/>
      <c r="N303" s="174">
        <f t="shared" si="43"/>
        <v>1</v>
      </c>
      <c r="O303" s="174">
        <f t="shared" si="300"/>
        <v>1</v>
      </c>
      <c r="P303" s="89" t="s">
        <v>39</v>
      </c>
      <c r="Q303" s="90">
        <f t="shared" si="301"/>
        <v>7.4999999999999997E-2</v>
      </c>
      <c r="R303" s="78"/>
      <c r="S303" s="78"/>
      <c r="T303" s="78"/>
      <c r="U303" s="78"/>
      <c r="V303" s="78"/>
      <c r="W303" s="78"/>
      <c r="X303" s="78"/>
      <c r="Y303" s="78"/>
      <c r="Z303" s="78"/>
      <c r="AA303" s="78"/>
      <c r="AB303" s="78"/>
      <c r="AC303" s="78"/>
      <c r="AD303" s="78"/>
      <c r="AE303" s="78"/>
      <c r="AF303" s="78"/>
      <c r="AG303" s="78"/>
      <c r="AH303" s="78"/>
      <c r="AI303" s="78"/>
      <c r="AJ303" s="78"/>
      <c r="AK303" s="78"/>
      <c r="AL303" s="78"/>
      <c r="AM303" s="78"/>
      <c r="AN303" s="78"/>
      <c r="AO303" s="78"/>
      <c r="AP303" s="78"/>
      <c r="AQ303" s="78"/>
      <c r="AR303" s="78"/>
      <c r="AS303" s="78"/>
      <c r="AT303" s="78"/>
      <c r="AU303" s="78"/>
      <c r="AV303" s="78"/>
      <c r="AW303" s="78"/>
      <c r="AX303" s="78"/>
      <c r="AY303" s="91"/>
      <c r="AZ303" s="78"/>
      <c r="BA303" s="78"/>
      <c r="BB303" s="78"/>
      <c r="BC303" s="78"/>
      <c r="BD303" s="78"/>
      <c r="BE303" s="78"/>
      <c r="BF303" s="78"/>
      <c r="BG303" s="78"/>
      <c r="BH303" s="78"/>
      <c r="BI303" s="78"/>
      <c r="BJ303" s="78"/>
      <c r="BK303" s="78"/>
      <c r="BL303" s="78"/>
      <c r="BM303" s="78"/>
      <c r="BN303" s="78"/>
      <c r="BO303" s="78"/>
      <c r="BP303" s="78"/>
      <c r="BQ303" s="78"/>
      <c r="BR303" s="78"/>
      <c r="BS303" s="78"/>
      <c r="BT303" s="78"/>
      <c r="BU303" s="78"/>
      <c r="BV303" s="78"/>
      <c r="BW303" s="78"/>
      <c r="BX303" s="78"/>
      <c r="BY303" s="78"/>
      <c r="BZ303" s="78"/>
      <c r="CA303" s="78"/>
      <c r="CB303" s="78"/>
      <c r="CC303" s="78"/>
      <c r="CD303" s="78"/>
      <c r="CE303" s="78"/>
      <c r="CF303" s="78"/>
      <c r="CG303" s="78"/>
      <c r="CH303" s="78"/>
      <c r="CI303" s="78"/>
      <c r="CJ303" s="78"/>
      <c r="CK303" s="78"/>
      <c r="CL303" s="78"/>
      <c r="CM303" s="78"/>
      <c r="CN303" s="78"/>
      <c r="CO303" s="78"/>
      <c r="CP303" s="78"/>
      <c r="CQ303" s="78"/>
      <c r="CR303" s="78"/>
      <c r="CS303" s="78"/>
      <c r="CT303" s="78"/>
      <c r="CU303" s="78"/>
      <c r="CV303" s="78"/>
      <c r="CW303" s="78"/>
      <c r="CX303" s="78"/>
      <c r="CY303" s="78"/>
      <c r="CZ303" s="78"/>
      <c r="DA303" s="78"/>
      <c r="DB303" s="78"/>
      <c r="DC303" s="78"/>
      <c r="DD303" s="78"/>
      <c r="DE303" s="78"/>
      <c r="DF303" s="78"/>
      <c r="DG303" s="78"/>
      <c r="DH303" s="78"/>
      <c r="DI303" s="78"/>
      <c r="DJ303" s="78"/>
      <c r="DK303" s="78"/>
      <c r="DL303" s="78"/>
      <c r="DM303" s="78"/>
      <c r="DN303" s="78"/>
      <c r="DO303" s="78"/>
      <c r="DP303" s="78"/>
      <c r="DQ303" s="78"/>
      <c r="DR303" s="78"/>
      <c r="DS303" s="78"/>
      <c r="DT303" s="78"/>
      <c r="DU303" s="78"/>
      <c r="DV303" s="78"/>
      <c r="DW303" s="78"/>
      <c r="DX303" s="78"/>
      <c r="DY303" s="78"/>
      <c r="DZ303" s="78"/>
      <c r="EA303" s="78"/>
      <c r="EB303" s="78"/>
      <c r="EC303" s="78"/>
      <c r="ED303" s="78"/>
      <c r="EE303" s="78"/>
      <c r="EF303" s="78"/>
      <c r="EG303" s="78"/>
      <c r="EH303" s="78"/>
      <c r="EI303" s="78"/>
      <c r="EJ303" s="78"/>
      <c r="EK303" s="78"/>
      <c r="EL303" s="78"/>
      <c r="EM303" s="78"/>
      <c r="EN303" s="91"/>
      <c r="EO303" s="91"/>
      <c r="EP303" s="91"/>
      <c r="EQ303" s="91"/>
      <c r="ER303" s="91"/>
      <c r="ES303" s="91"/>
    </row>
    <row r="304" spans="1:149" outlineLevel="1">
      <c r="A304" s="29" t="str">
        <f t="shared" si="302"/>
        <v>modesg_inp_emss_vclsnome_estado</v>
      </c>
      <c r="B304" s="67" t="s">
        <v>26</v>
      </c>
      <c r="C304" s="68" t="s">
        <v>181</v>
      </c>
      <c r="D304" s="64" t="s">
        <v>40</v>
      </c>
      <c r="E304" s="66" t="s">
        <v>212</v>
      </c>
      <c r="F304" s="64" t="s">
        <v>222</v>
      </c>
      <c r="G304" s="64" t="str">
        <f>INDEX(Auxiliar!$B$16:$B$24,MATCH(Plano_V3!H304,Auxiliar!$C$16:$C$24,0),1)</f>
        <v>1. Concluído</v>
      </c>
      <c r="H304" s="64">
        <f>VLOOKUP(A304,'Aux - pivots1'!$A:$B,2,0)</f>
        <v>1</v>
      </c>
      <c r="I304" s="180">
        <f>SUMIFS(Table1[Estimação (horas)],Table1[Tabela],Plano_V3!E304,Table1[Campo],Plano_V3!F304)</f>
        <v>0.5</v>
      </c>
      <c r="J304" s="180">
        <f t="shared" si="41"/>
        <v>6.25E-2</v>
      </c>
      <c r="K304" s="180">
        <f>SUMIFS(Table1[Horas efetivas],Table1[Tabela],Plano_V3!E304,Table1[Campo],Plano_V3!F304)</f>
        <v>0.5</v>
      </c>
      <c r="L304" s="180">
        <f t="shared" si="42"/>
        <v>6.25E-2</v>
      </c>
      <c r="M304" s="174"/>
      <c r="N304" s="174">
        <f t="shared" si="43"/>
        <v>1</v>
      </c>
      <c r="O304" s="174">
        <f t="shared" si="300"/>
        <v>1</v>
      </c>
      <c r="P304" s="89" t="s">
        <v>39</v>
      </c>
      <c r="Q304" s="90">
        <f t="shared" si="301"/>
        <v>6.25E-2</v>
      </c>
      <c r="R304" s="78"/>
      <c r="S304" s="78"/>
      <c r="T304" s="78"/>
      <c r="U304" s="78"/>
      <c r="V304" s="78"/>
      <c r="W304" s="78"/>
      <c r="X304" s="78"/>
      <c r="Y304" s="78"/>
      <c r="Z304" s="78"/>
      <c r="AA304" s="78"/>
      <c r="AB304" s="78"/>
      <c r="AC304" s="78"/>
      <c r="AD304" s="78"/>
      <c r="AE304" s="78"/>
      <c r="AF304" s="78"/>
      <c r="AG304" s="78"/>
      <c r="AH304" s="78"/>
      <c r="AI304" s="78"/>
      <c r="AJ304" s="78"/>
      <c r="AK304" s="78"/>
      <c r="AL304" s="78"/>
      <c r="AM304" s="78"/>
      <c r="AN304" s="78"/>
      <c r="AO304" s="78"/>
      <c r="AP304" s="78"/>
      <c r="AQ304" s="78"/>
      <c r="AR304" s="78"/>
      <c r="AS304" s="78"/>
      <c r="AT304" s="78"/>
      <c r="AU304" s="78"/>
      <c r="AV304" s="78"/>
      <c r="AW304" s="78"/>
      <c r="AX304" s="78"/>
      <c r="AY304" s="91"/>
      <c r="AZ304" s="78"/>
      <c r="BA304" s="78"/>
      <c r="BB304" s="78"/>
      <c r="BC304" s="78"/>
      <c r="BD304" s="78"/>
      <c r="BE304" s="78"/>
      <c r="BF304" s="78"/>
      <c r="BG304" s="78"/>
      <c r="BH304" s="78"/>
      <c r="BI304" s="78"/>
      <c r="BJ304" s="78"/>
      <c r="BK304" s="78"/>
      <c r="BL304" s="78"/>
      <c r="BM304" s="78"/>
      <c r="BN304" s="78"/>
      <c r="BO304" s="78"/>
      <c r="BP304" s="78"/>
      <c r="BQ304" s="78"/>
      <c r="BR304" s="78"/>
      <c r="BS304" s="78"/>
      <c r="BT304" s="78"/>
      <c r="BU304" s="78"/>
      <c r="BV304" s="78"/>
      <c r="BW304" s="78"/>
      <c r="BX304" s="78"/>
      <c r="BY304" s="78"/>
      <c r="BZ304" s="78"/>
      <c r="CA304" s="78"/>
      <c r="CB304" s="78"/>
      <c r="CC304" s="78"/>
      <c r="CD304" s="78"/>
      <c r="CE304" s="78"/>
      <c r="CF304" s="78"/>
      <c r="CG304" s="78"/>
      <c r="CH304" s="78"/>
      <c r="CI304" s="78"/>
      <c r="CJ304" s="78"/>
      <c r="CK304" s="78"/>
      <c r="CL304" s="78"/>
      <c r="CM304" s="78"/>
      <c r="CN304" s="78"/>
      <c r="CO304" s="78"/>
      <c r="CP304" s="78"/>
      <c r="CQ304" s="78"/>
      <c r="CR304" s="78"/>
      <c r="CS304" s="78"/>
      <c r="CT304" s="78"/>
      <c r="CU304" s="78"/>
      <c r="CV304" s="78"/>
      <c r="CW304" s="78"/>
      <c r="CX304" s="78"/>
      <c r="CY304" s="78"/>
      <c r="CZ304" s="78"/>
      <c r="DA304" s="78"/>
      <c r="DB304" s="78"/>
      <c r="DC304" s="78"/>
      <c r="DD304" s="78"/>
      <c r="DE304" s="78"/>
      <c r="DF304" s="78"/>
      <c r="DG304" s="78"/>
      <c r="DH304" s="78"/>
      <c r="DI304" s="78"/>
      <c r="DJ304" s="78"/>
      <c r="DK304" s="78"/>
      <c r="DL304" s="78"/>
      <c r="DM304" s="78"/>
      <c r="DN304" s="78"/>
      <c r="DO304" s="78"/>
      <c r="DP304" s="78"/>
      <c r="DQ304" s="78"/>
      <c r="DR304" s="78"/>
      <c r="DS304" s="78"/>
      <c r="DT304" s="78"/>
      <c r="DU304" s="78"/>
      <c r="DV304" s="78"/>
      <c r="DW304" s="78"/>
      <c r="DX304" s="78"/>
      <c r="DY304" s="78"/>
      <c r="DZ304" s="78"/>
      <c r="EA304" s="78"/>
      <c r="EB304" s="78"/>
      <c r="EC304" s="78"/>
      <c r="ED304" s="78"/>
      <c r="EE304" s="78"/>
      <c r="EF304" s="78"/>
      <c r="EG304" s="78"/>
      <c r="EH304" s="78"/>
      <c r="EI304" s="78"/>
      <c r="EJ304" s="78"/>
      <c r="EK304" s="78"/>
      <c r="EL304" s="78"/>
      <c r="EM304" s="78"/>
      <c r="EN304" s="91"/>
      <c r="EO304" s="91"/>
      <c r="EP304" s="91"/>
      <c r="EQ304" s="91"/>
      <c r="ER304" s="91"/>
      <c r="ES304" s="91"/>
    </row>
    <row r="305" spans="1:149" outlineLevel="1">
      <c r="A305" s="29" t="str">
        <f t="shared" si="302"/>
        <v>modesg_inp_emss_vclstipo_veiculo</v>
      </c>
      <c r="B305" s="67" t="s">
        <v>26</v>
      </c>
      <c r="C305" s="68" t="s">
        <v>181</v>
      </c>
      <c r="D305" s="64" t="s">
        <v>40</v>
      </c>
      <c r="E305" s="66" t="s">
        <v>212</v>
      </c>
      <c r="F305" s="64" t="s">
        <v>223</v>
      </c>
      <c r="G305" s="64" t="str">
        <f>INDEX(Auxiliar!$B$16:$B$24,MATCH(Plano_V3!H305,Auxiliar!$C$16:$C$24,0),1)</f>
        <v>1. Concluído</v>
      </c>
      <c r="H305" s="64">
        <f>VLOOKUP(A305,'Aux - pivots1'!$A:$B,2,0)</f>
        <v>1</v>
      </c>
      <c r="I305" s="180">
        <f>SUMIFS(Table1[Estimação (horas)],Table1[Tabela],Plano_V3!E305,Table1[Campo],Plano_V3!F305)</f>
        <v>0.6</v>
      </c>
      <c r="J305" s="180">
        <f t="shared" si="41"/>
        <v>7.4999999999999997E-2</v>
      </c>
      <c r="K305" s="180">
        <f>SUMIFS(Table1[Horas efetivas],Table1[Tabela],Plano_V3!E305,Table1[Campo],Plano_V3!F305)</f>
        <v>0.6</v>
      </c>
      <c r="L305" s="180">
        <f t="shared" si="42"/>
        <v>7.4999999999999997E-2</v>
      </c>
      <c r="M305" s="174"/>
      <c r="N305" s="174">
        <f t="shared" si="43"/>
        <v>1</v>
      </c>
      <c r="O305" s="174">
        <f t="shared" si="300"/>
        <v>1</v>
      </c>
      <c r="P305" s="89" t="s">
        <v>39</v>
      </c>
      <c r="Q305" s="90">
        <f t="shared" si="301"/>
        <v>7.4999999999999997E-2</v>
      </c>
      <c r="R305" s="78"/>
      <c r="S305" s="78"/>
      <c r="T305" s="78"/>
      <c r="U305" s="78"/>
      <c r="V305" s="78"/>
      <c r="W305" s="78"/>
      <c r="X305" s="78"/>
      <c r="Y305" s="78"/>
      <c r="Z305" s="78"/>
      <c r="AA305" s="78"/>
      <c r="AB305" s="78"/>
      <c r="AC305" s="78"/>
      <c r="AD305" s="78"/>
      <c r="AE305" s="78"/>
      <c r="AF305" s="78"/>
      <c r="AG305" s="78"/>
      <c r="AH305" s="78"/>
      <c r="AI305" s="78"/>
      <c r="AJ305" s="78"/>
      <c r="AK305" s="78"/>
      <c r="AL305" s="78"/>
      <c r="AM305" s="78"/>
      <c r="AN305" s="78"/>
      <c r="AO305" s="78"/>
      <c r="AP305" s="78"/>
      <c r="AQ305" s="78"/>
      <c r="AR305" s="78"/>
      <c r="AS305" s="78"/>
      <c r="AT305" s="78"/>
      <c r="AU305" s="78"/>
      <c r="AV305" s="78"/>
      <c r="AW305" s="78"/>
      <c r="AX305" s="78"/>
      <c r="AY305" s="91"/>
      <c r="AZ305" s="78"/>
      <c r="BA305" s="78"/>
      <c r="BB305" s="78"/>
      <c r="BC305" s="78"/>
      <c r="BD305" s="78"/>
      <c r="BE305" s="78"/>
      <c r="BF305" s="78"/>
      <c r="BG305" s="78"/>
      <c r="BH305" s="78"/>
      <c r="BI305" s="78"/>
      <c r="BJ305" s="78"/>
      <c r="BK305" s="78"/>
      <c r="BL305" s="78"/>
      <c r="BM305" s="78"/>
      <c r="BN305" s="78"/>
      <c r="BO305" s="78"/>
      <c r="BP305" s="78"/>
      <c r="BQ305" s="78"/>
      <c r="BR305" s="78"/>
      <c r="BS305" s="78"/>
      <c r="BT305" s="78"/>
      <c r="BU305" s="78"/>
      <c r="BV305" s="78"/>
      <c r="BW305" s="78"/>
      <c r="BX305" s="78"/>
      <c r="BY305" s="78"/>
      <c r="BZ305" s="78"/>
      <c r="CA305" s="78"/>
      <c r="CB305" s="78"/>
      <c r="CC305" s="78"/>
      <c r="CD305" s="78"/>
      <c r="CE305" s="78"/>
      <c r="CF305" s="78"/>
      <c r="CG305" s="78"/>
      <c r="CH305" s="78"/>
      <c r="CI305" s="78"/>
      <c r="CJ305" s="78"/>
      <c r="CK305" s="78"/>
      <c r="CL305" s="78"/>
      <c r="CM305" s="78"/>
      <c r="CN305" s="78"/>
      <c r="CO305" s="78"/>
      <c r="CP305" s="78"/>
      <c r="CQ305" s="78"/>
      <c r="CR305" s="78"/>
      <c r="CS305" s="78"/>
      <c r="CT305" s="78"/>
      <c r="CU305" s="78"/>
      <c r="CV305" s="78"/>
      <c r="CW305" s="78"/>
      <c r="CX305" s="78"/>
      <c r="CY305" s="78"/>
      <c r="CZ305" s="78"/>
      <c r="DA305" s="78"/>
      <c r="DB305" s="78"/>
      <c r="DC305" s="78"/>
      <c r="DD305" s="78"/>
      <c r="DE305" s="78"/>
      <c r="DF305" s="78"/>
      <c r="DG305" s="78"/>
      <c r="DH305" s="78"/>
      <c r="DI305" s="78"/>
      <c r="DJ305" s="78"/>
      <c r="DK305" s="78"/>
      <c r="DL305" s="78"/>
      <c r="DM305" s="78"/>
      <c r="DN305" s="78"/>
      <c r="DO305" s="78"/>
      <c r="DP305" s="78"/>
      <c r="DQ305" s="78"/>
      <c r="DR305" s="78"/>
      <c r="DS305" s="78"/>
      <c r="DT305" s="78"/>
      <c r="DU305" s="78"/>
      <c r="DV305" s="78"/>
      <c r="DW305" s="78"/>
      <c r="DX305" s="78"/>
      <c r="DY305" s="78"/>
      <c r="DZ305" s="78"/>
      <c r="EA305" s="78"/>
      <c r="EB305" s="78"/>
      <c r="EC305" s="78"/>
      <c r="ED305" s="78"/>
      <c r="EE305" s="78"/>
      <c r="EF305" s="78"/>
      <c r="EG305" s="78"/>
      <c r="EH305" s="78"/>
      <c r="EI305" s="78"/>
      <c r="EJ305" s="78"/>
      <c r="EK305" s="78"/>
      <c r="EL305" s="78"/>
      <c r="EM305" s="78"/>
      <c r="EN305" s="91"/>
      <c r="EO305" s="91"/>
      <c r="EP305" s="91"/>
      <c r="EQ305" s="91"/>
      <c r="ER305" s="91"/>
      <c r="ES305" s="91"/>
    </row>
    <row r="306" spans="1:149" outlineLevel="1">
      <c r="A306" s="29" t="str">
        <f t="shared" si="302"/>
        <v>modesg_inp_emss_vclstipo_motor</v>
      </c>
      <c r="B306" s="67" t="s">
        <v>26</v>
      </c>
      <c r="C306" s="68" t="s">
        <v>181</v>
      </c>
      <c r="D306" s="64" t="s">
        <v>40</v>
      </c>
      <c r="E306" s="66" t="s">
        <v>212</v>
      </c>
      <c r="F306" s="64" t="s">
        <v>224</v>
      </c>
      <c r="G306" s="64" t="str">
        <f>INDEX(Auxiliar!$B$16:$B$24,MATCH(Plano_V3!H306,Auxiliar!$C$16:$C$24,0),1)</f>
        <v>1. Concluído</v>
      </c>
      <c r="H306" s="64">
        <f>VLOOKUP(A306,'Aux - pivots1'!$A:$B,2,0)</f>
        <v>1</v>
      </c>
      <c r="I306" s="180">
        <f>SUMIFS(Table1[Estimação (horas)],Table1[Tabela],Plano_V3!E306,Table1[Campo],Plano_V3!F306)</f>
        <v>0.6</v>
      </c>
      <c r="J306" s="180">
        <f t="shared" si="41"/>
        <v>7.4999999999999997E-2</v>
      </c>
      <c r="K306" s="180">
        <f>SUMIFS(Table1[Horas efetivas],Table1[Tabela],Plano_V3!E306,Table1[Campo],Plano_V3!F306)</f>
        <v>0.6</v>
      </c>
      <c r="L306" s="180">
        <f t="shared" si="42"/>
        <v>7.4999999999999997E-2</v>
      </c>
      <c r="M306" s="174"/>
      <c r="N306" s="174">
        <f t="shared" si="43"/>
        <v>1</v>
      </c>
      <c r="O306" s="174">
        <f t="shared" si="300"/>
        <v>1</v>
      </c>
      <c r="P306" s="89" t="s">
        <v>39</v>
      </c>
      <c r="Q306" s="90">
        <f t="shared" si="301"/>
        <v>7.4999999999999997E-2</v>
      </c>
      <c r="R306" s="78"/>
      <c r="S306" s="78"/>
      <c r="T306" s="78"/>
      <c r="U306" s="78"/>
      <c r="V306" s="78"/>
      <c r="W306" s="78"/>
      <c r="X306" s="78"/>
      <c r="Y306" s="78"/>
      <c r="Z306" s="78"/>
      <c r="AA306" s="78"/>
      <c r="AB306" s="78"/>
      <c r="AC306" s="78"/>
      <c r="AD306" s="78"/>
      <c r="AE306" s="78"/>
      <c r="AF306" s="78"/>
      <c r="AG306" s="78"/>
      <c r="AH306" s="78"/>
      <c r="AI306" s="78"/>
      <c r="AJ306" s="78"/>
      <c r="AK306" s="78"/>
      <c r="AL306" s="78"/>
      <c r="AM306" s="78"/>
      <c r="AN306" s="78"/>
      <c r="AO306" s="78"/>
      <c r="AP306" s="78"/>
      <c r="AQ306" s="78"/>
      <c r="AR306" s="78"/>
      <c r="AS306" s="78"/>
      <c r="AT306" s="78"/>
      <c r="AU306" s="78"/>
      <c r="AV306" s="78"/>
      <c r="AW306" s="78"/>
      <c r="AX306" s="78"/>
      <c r="AY306" s="91"/>
      <c r="AZ306" s="78"/>
      <c r="BA306" s="78"/>
      <c r="BB306" s="78"/>
      <c r="BC306" s="78"/>
      <c r="BD306" s="78"/>
      <c r="BE306" s="78"/>
      <c r="BF306" s="78"/>
      <c r="BG306" s="78"/>
      <c r="BH306" s="78"/>
      <c r="BI306" s="78"/>
      <c r="BJ306" s="78"/>
      <c r="BK306" s="78"/>
      <c r="BL306" s="78"/>
      <c r="BM306" s="78"/>
      <c r="BN306" s="78"/>
      <c r="BO306" s="78"/>
      <c r="BP306" s="78"/>
      <c r="BQ306" s="78"/>
      <c r="BR306" s="78"/>
      <c r="BS306" s="78"/>
      <c r="BT306" s="78"/>
      <c r="BU306" s="78"/>
      <c r="BV306" s="78"/>
      <c r="BW306" s="78"/>
      <c r="BX306" s="78"/>
      <c r="BY306" s="78"/>
      <c r="BZ306" s="78"/>
      <c r="CA306" s="78"/>
      <c r="CB306" s="78"/>
      <c r="CC306" s="78"/>
      <c r="CD306" s="78"/>
      <c r="CE306" s="78"/>
      <c r="CF306" s="78"/>
      <c r="CG306" s="78"/>
      <c r="CH306" s="78"/>
      <c r="CI306" s="78"/>
      <c r="CJ306" s="78"/>
      <c r="CK306" s="78"/>
      <c r="CL306" s="78"/>
      <c r="CM306" s="78"/>
      <c r="CN306" s="78"/>
      <c r="CO306" s="78"/>
      <c r="CP306" s="78"/>
      <c r="CQ306" s="78"/>
      <c r="CR306" s="78"/>
      <c r="CS306" s="78"/>
      <c r="CT306" s="78"/>
      <c r="CU306" s="78"/>
      <c r="CV306" s="78"/>
      <c r="CW306" s="78"/>
      <c r="CX306" s="78"/>
      <c r="CY306" s="78"/>
      <c r="CZ306" s="78"/>
      <c r="DA306" s="78"/>
      <c r="DB306" s="78"/>
      <c r="DC306" s="78"/>
      <c r="DD306" s="78"/>
      <c r="DE306" s="78"/>
      <c r="DF306" s="78"/>
      <c r="DG306" s="78"/>
      <c r="DH306" s="78"/>
      <c r="DI306" s="78"/>
      <c r="DJ306" s="78"/>
      <c r="DK306" s="78"/>
      <c r="DL306" s="78"/>
      <c r="DM306" s="78"/>
      <c r="DN306" s="78"/>
      <c r="DO306" s="78"/>
      <c r="DP306" s="78"/>
      <c r="DQ306" s="78"/>
      <c r="DR306" s="78"/>
      <c r="DS306" s="78"/>
      <c r="DT306" s="78"/>
      <c r="DU306" s="78"/>
      <c r="DV306" s="78"/>
      <c r="DW306" s="78"/>
      <c r="DX306" s="78"/>
      <c r="DY306" s="78"/>
      <c r="DZ306" s="78"/>
      <c r="EA306" s="78"/>
      <c r="EB306" s="78"/>
      <c r="EC306" s="78"/>
      <c r="ED306" s="78"/>
      <c r="EE306" s="78"/>
      <c r="EF306" s="78"/>
      <c r="EG306" s="78"/>
      <c r="EH306" s="78"/>
      <c r="EI306" s="78"/>
      <c r="EJ306" s="78"/>
      <c r="EK306" s="78"/>
      <c r="EL306" s="78"/>
      <c r="EM306" s="78"/>
      <c r="EN306" s="91"/>
      <c r="EO306" s="91"/>
      <c r="EP306" s="91"/>
      <c r="EQ306" s="91"/>
      <c r="ER306" s="91"/>
      <c r="ES306" s="91"/>
    </row>
    <row r="307" spans="1:149" outlineLevel="1">
      <c r="A307" s="29" t="str">
        <f t="shared" si="302"/>
        <v>modesg_inp_emss_vclsmarca</v>
      </c>
      <c r="B307" s="67" t="s">
        <v>26</v>
      </c>
      <c r="C307" s="68" t="s">
        <v>181</v>
      </c>
      <c r="D307" s="64" t="s">
        <v>40</v>
      </c>
      <c r="E307" s="66" t="s">
        <v>212</v>
      </c>
      <c r="F307" s="64" t="s">
        <v>225</v>
      </c>
      <c r="G307" s="64" t="str">
        <f>INDEX(Auxiliar!$B$16:$B$24,MATCH(Plano_V3!H307,Auxiliar!$C$16:$C$24,0),1)</f>
        <v>1. Concluído</v>
      </c>
      <c r="H307" s="64">
        <f>VLOOKUP(A307,'Aux - pivots1'!$A:$B,2,0)</f>
        <v>1</v>
      </c>
      <c r="I307" s="180">
        <f>SUMIFS(Table1[Estimação (horas)],Table1[Tabela],Plano_V3!E307,Table1[Campo],Plano_V3!F307)</f>
        <v>0.6</v>
      </c>
      <c r="J307" s="180">
        <f t="shared" si="41"/>
        <v>7.4999999999999997E-2</v>
      </c>
      <c r="K307" s="180">
        <f>SUMIFS(Table1[Horas efetivas],Table1[Tabela],Plano_V3!E307,Table1[Campo],Plano_V3!F307)</f>
        <v>0.6</v>
      </c>
      <c r="L307" s="180">
        <f t="shared" si="42"/>
        <v>7.4999999999999997E-2</v>
      </c>
      <c r="M307" s="174"/>
      <c r="N307" s="174">
        <f t="shared" si="43"/>
        <v>1</v>
      </c>
      <c r="O307" s="174">
        <f t="shared" si="300"/>
        <v>1</v>
      </c>
      <c r="P307" s="89" t="s">
        <v>39</v>
      </c>
      <c r="Q307" s="90">
        <f t="shared" si="301"/>
        <v>7.4999999999999997E-2</v>
      </c>
      <c r="R307" s="78"/>
      <c r="S307" s="78"/>
      <c r="T307" s="78"/>
      <c r="U307" s="78"/>
      <c r="V307" s="78"/>
      <c r="W307" s="78"/>
      <c r="X307" s="78"/>
      <c r="Y307" s="78"/>
      <c r="Z307" s="78"/>
      <c r="AA307" s="78"/>
      <c r="AB307" s="78"/>
      <c r="AC307" s="78"/>
      <c r="AD307" s="78"/>
      <c r="AE307" s="78"/>
      <c r="AF307" s="78"/>
      <c r="AG307" s="78"/>
      <c r="AH307" s="78"/>
      <c r="AI307" s="78"/>
      <c r="AJ307" s="78"/>
      <c r="AK307" s="78"/>
      <c r="AL307" s="78"/>
      <c r="AM307" s="78"/>
      <c r="AN307" s="78"/>
      <c r="AO307" s="78"/>
      <c r="AP307" s="78"/>
      <c r="AQ307" s="78"/>
      <c r="AR307" s="78"/>
      <c r="AS307" s="78"/>
      <c r="AT307" s="78"/>
      <c r="AU307" s="78"/>
      <c r="AV307" s="78"/>
      <c r="AW307" s="78"/>
      <c r="AX307" s="78"/>
      <c r="AY307" s="91"/>
      <c r="AZ307" s="78"/>
      <c r="BA307" s="78"/>
      <c r="BB307" s="78"/>
      <c r="BC307" s="78"/>
      <c r="BD307" s="78"/>
      <c r="BE307" s="78"/>
      <c r="BF307" s="78"/>
      <c r="BG307" s="78"/>
      <c r="BH307" s="78"/>
      <c r="BI307" s="78"/>
      <c r="BJ307" s="78"/>
      <c r="BK307" s="78"/>
      <c r="BL307" s="78"/>
      <c r="BM307" s="78"/>
      <c r="BN307" s="78"/>
      <c r="BO307" s="78"/>
      <c r="BP307" s="78"/>
      <c r="BQ307" s="78"/>
      <c r="BR307" s="78"/>
      <c r="BS307" s="78"/>
      <c r="BT307" s="78"/>
      <c r="BU307" s="78"/>
      <c r="BV307" s="78"/>
      <c r="BW307" s="78"/>
      <c r="BX307" s="78"/>
      <c r="BY307" s="78"/>
      <c r="BZ307" s="78"/>
      <c r="CA307" s="78"/>
      <c r="CB307" s="78"/>
      <c r="CC307" s="78"/>
      <c r="CD307" s="78"/>
      <c r="CE307" s="78"/>
      <c r="CF307" s="78"/>
      <c r="CG307" s="78"/>
      <c r="CH307" s="78"/>
      <c r="CI307" s="78"/>
      <c r="CJ307" s="78"/>
      <c r="CK307" s="78"/>
      <c r="CL307" s="78"/>
      <c r="CM307" s="78"/>
      <c r="CN307" s="78"/>
      <c r="CO307" s="78"/>
      <c r="CP307" s="78"/>
      <c r="CQ307" s="78"/>
      <c r="CR307" s="78"/>
      <c r="CS307" s="78"/>
      <c r="CT307" s="78"/>
      <c r="CU307" s="78"/>
      <c r="CV307" s="78"/>
      <c r="CW307" s="78"/>
      <c r="CX307" s="78"/>
      <c r="CY307" s="78"/>
      <c r="CZ307" s="78"/>
      <c r="DA307" s="78"/>
      <c r="DB307" s="78"/>
      <c r="DC307" s="78"/>
      <c r="DD307" s="78"/>
      <c r="DE307" s="78"/>
      <c r="DF307" s="78"/>
      <c r="DG307" s="78"/>
      <c r="DH307" s="78"/>
      <c r="DI307" s="78"/>
      <c r="DJ307" s="78"/>
      <c r="DK307" s="78"/>
      <c r="DL307" s="78"/>
      <c r="DM307" s="78"/>
      <c r="DN307" s="78"/>
      <c r="DO307" s="78"/>
      <c r="DP307" s="78"/>
      <c r="DQ307" s="78"/>
      <c r="DR307" s="78"/>
      <c r="DS307" s="78"/>
      <c r="DT307" s="78"/>
      <c r="DU307" s="78"/>
      <c r="DV307" s="78"/>
      <c r="DW307" s="78"/>
      <c r="DX307" s="78"/>
      <c r="DY307" s="78"/>
      <c r="DZ307" s="78"/>
      <c r="EA307" s="78"/>
      <c r="EB307" s="78"/>
      <c r="EC307" s="78"/>
      <c r="ED307" s="78"/>
      <c r="EE307" s="78"/>
      <c r="EF307" s="78"/>
      <c r="EG307" s="78"/>
      <c r="EH307" s="78"/>
      <c r="EI307" s="78"/>
      <c r="EJ307" s="78"/>
      <c r="EK307" s="78"/>
      <c r="EL307" s="78"/>
      <c r="EM307" s="78"/>
      <c r="EN307" s="91"/>
      <c r="EO307" s="91"/>
      <c r="EP307" s="91"/>
      <c r="EQ307" s="91"/>
      <c r="ER307" s="91"/>
      <c r="ES307" s="91"/>
    </row>
    <row r="308" spans="1:149" outlineLevel="1">
      <c r="A308" s="29" t="str">
        <f t="shared" si="302"/>
        <v>modesg_inp_emss_vclsmodelo</v>
      </c>
      <c r="B308" s="67" t="s">
        <v>26</v>
      </c>
      <c r="C308" s="68" t="s">
        <v>181</v>
      </c>
      <c r="D308" s="64" t="s">
        <v>40</v>
      </c>
      <c r="E308" s="66" t="s">
        <v>212</v>
      </c>
      <c r="F308" s="64" t="s">
        <v>226</v>
      </c>
      <c r="G308" s="64" t="str">
        <f>INDEX(Auxiliar!$B$16:$B$24,MATCH(Plano_V3!H308,Auxiliar!$C$16:$C$24,0),1)</f>
        <v>1. Concluído</v>
      </c>
      <c r="H308" s="64">
        <f>VLOOKUP(A308,'Aux - pivots1'!$A:$B,2,0)</f>
        <v>1</v>
      </c>
      <c r="I308" s="180">
        <f>SUMIFS(Table1[Estimação (horas)],Table1[Tabela],Plano_V3!E308,Table1[Campo],Plano_V3!F308)</f>
        <v>0.6</v>
      </c>
      <c r="J308" s="180">
        <f t="shared" si="41"/>
        <v>7.4999999999999997E-2</v>
      </c>
      <c r="K308" s="180">
        <f>SUMIFS(Table1[Horas efetivas],Table1[Tabela],Plano_V3!E308,Table1[Campo],Plano_V3!F308)</f>
        <v>0.6</v>
      </c>
      <c r="L308" s="180">
        <f t="shared" si="42"/>
        <v>7.4999999999999997E-2</v>
      </c>
      <c r="M308" s="174"/>
      <c r="N308" s="174">
        <f t="shared" si="43"/>
        <v>1</v>
      </c>
      <c r="O308" s="174">
        <f t="shared" si="300"/>
        <v>1</v>
      </c>
      <c r="P308" s="89" t="s">
        <v>39</v>
      </c>
      <c r="Q308" s="90">
        <f t="shared" si="301"/>
        <v>7.4999999999999997E-2</v>
      </c>
      <c r="R308" s="78"/>
      <c r="S308" s="78"/>
      <c r="T308" s="78"/>
      <c r="U308" s="78"/>
      <c r="V308" s="78"/>
      <c r="W308" s="78"/>
      <c r="X308" s="78"/>
      <c r="Y308" s="78"/>
      <c r="Z308" s="78"/>
      <c r="AA308" s="78"/>
      <c r="AB308" s="78"/>
      <c r="AC308" s="78"/>
      <c r="AD308" s="78"/>
      <c r="AE308" s="78"/>
      <c r="AF308" s="78"/>
      <c r="AG308" s="78"/>
      <c r="AH308" s="78"/>
      <c r="AI308" s="78"/>
      <c r="AJ308" s="78"/>
      <c r="AK308" s="78"/>
      <c r="AL308" s="78"/>
      <c r="AM308" s="78"/>
      <c r="AN308" s="78"/>
      <c r="AO308" s="78"/>
      <c r="AP308" s="78"/>
      <c r="AQ308" s="78"/>
      <c r="AR308" s="78"/>
      <c r="AS308" s="78"/>
      <c r="AT308" s="78"/>
      <c r="AU308" s="78"/>
      <c r="AV308" s="78"/>
      <c r="AW308" s="78"/>
      <c r="AX308" s="78"/>
      <c r="AY308" s="91"/>
      <c r="AZ308" s="78"/>
      <c r="BA308" s="78"/>
      <c r="BB308" s="78"/>
      <c r="BC308" s="78"/>
      <c r="BD308" s="78"/>
      <c r="BE308" s="78"/>
      <c r="BF308" s="78"/>
      <c r="BG308" s="78"/>
      <c r="BH308" s="78"/>
      <c r="BI308" s="78"/>
      <c r="BJ308" s="78"/>
      <c r="BK308" s="78"/>
      <c r="BL308" s="78"/>
      <c r="BM308" s="78"/>
      <c r="BN308" s="78"/>
      <c r="BO308" s="78"/>
      <c r="BP308" s="78"/>
      <c r="BQ308" s="78"/>
      <c r="BR308" s="78"/>
      <c r="BS308" s="78"/>
      <c r="BT308" s="78"/>
      <c r="BU308" s="78"/>
      <c r="BV308" s="78"/>
      <c r="BW308" s="78"/>
      <c r="BX308" s="78"/>
      <c r="BY308" s="78"/>
      <c r="BZ308" s="78"/>
      <c r="CA308" s="78"/>
      <c r="CB308" s="78"/>
      <c r="CC308" s="78"/>
      <c r="CD308" s="78"/>
      <c r="CE308" s="78"/>
      <c r="CF308" s="78"/>
      <c r="CG308" s="78"/>
      <c r="CH308" s="78"/>
      <c r="CI308" s="78"/>
      <c r="CJ308" s="78"/>
      <c r="CK308" s="78"/>
      <c r="CL308" s="78"/>
      <c r="CM308" s="78"/>
      <c r="CN308" s="78"/>
      <c r="CO308" s="78"/>
      <c r="CP308" s="78"/>
      <c r="CQ308" s="78"/>
      <c r="CR308" s="78"/>
      <c r="CS308" s="78"/>
      <c r="CT308" s="78"/>
      <c r="CU308" s="78"/>
      <c r="CV308" s="78"/>
      <c r="CW308" s="78"/>
      <c r="CX308" s="78"/>
      <c r="CY308" s="78"/>
      <c r="CZ308" s="78"/>
      <c r="DA308" s="78"/>
      <c r="DB308" s="78"/>
      <c r="DC308" s="78"/>
      <c r="DD308" s="78"/>
      <c r="DE308" s="78"/>
      <c r="DF308" s="78"/>
      <c r="DG308" s="78"/>
      <c r="DH308" s="78"/>
      <c r="DI308" s="78"/>
      <c r="DJ308" s="78"/>
      <c r="DK308" s="78"/>
      <c r="DL308" s="78"/>
      <c r="DM308" s="78"/>
      <c r="DN308" s="78"/>
      <c r="DO308" s="78"/>
      <c r="DP308" s="78"/>
      <c r="DQ308" s="78"/>
      <c r="DR308" s="78"/>
      <c r="DS308" s="78"/>
      <c r="DT308" s="78"/>
      <c r="DU308" s="78"/>
      <c r="DV308" s="78"/>
      <c r="DW308" s="78"/>
      <c r="DX308" s="78"/>
      <c r="DY308" s="78"/>
      <c r="DZ308" s="78"/>
      <c r="EA308" s="78"/>
      <c r="EB308" s="78"/>
      <c r="EC308" s="78"/>
      <c r="ED308" s="78"/>
      <c r="EE308" s="78"/>
      <c r="EF308" s="78"/>
      <c r="EG308" s="78"/>
      <c r="EH308" s="78"/>
      <c r="EI308" s="78"/>
      <c r="EJ308" s="78"/>
      <c r="EK308" s="78"/>
      <c r="EL308" s="78"/>
      <c r="EM308" s="78"/>
      <c r="EN308" s="91"/>
      <c r="EO308" s="91"/>
      <c r="EP308" s="91"/>
      <c r="EQ308" s="91"/>
      <c r="ER308" s="91"/>
      <c r="ES308" s="91"/>
    </row>
    <row r="309" spans="1:149" outlineLevel="1">
      <c r="A309" s="29" t="str">
        <f t="shared" si="302"/>
        <v>modesg_inp_emss_vclssubgrupo</v>
      </c>
      <c r="B309" s="67" t="s">
        <v>26</v>
      </c>
      <c r="C309" s="68" t="s">
        <v>181</v>
      </c>
      <c r="D309" s="64" t="s">
        <v>40</v>
      </c>
      <c r="E309" s="66" t="s">
        <v>212</v>
      </c>
      <c r="F309" s="64" t="s">
        <v>227</v>
      </c>
      <c r="G309" s="64" t="str">
        <f>INDEX(Auxiliar!$B$16:$B$24,MATCH(Plano_V3!H309,Auxiliar!$C$16:$C$24,0),1)</f>
        <v>1. Concluído</v>
      </c>
      <c r="H309" s="64">
        <f>VLOOKUP(A309,'Aux - pivots1'!$A:$B,2,0)</f>
        <v>1</v>
      </c>
      <c r="I309" s="180">
        <f>SUMIFS(Table1[Estimação (horas)],Table1[Tabela],Plano_V3!E309,Table1[Campo],Plano_V3!F309)</f>
        <v>0.6</v>
      </c>
      <c r="J309" s="180">
        <f t="shared" si="41"/>
        <v>7.4999999999999997E-2</v>
      </c>
      <c r="K309" s="180">
        <f>SUMIFS(Table1[Horas efetivas],Table1[Tabela],Plano_V3!E309,Table1[Campo],Plano_V3!F309)</f>
        <v>0.6</v>
      </c>
      <c r="L309" s="180">
        <f t="shared" si="42"/>
        <v>7.4999999999999997E-2</v>
      </c>
      <c r="M309" s="174"/>
      <c r="N309" s="174">
        <f t="shared" si="43"/>
        <v>1</v>
      </c>
      <c r="O309" s="174">
        <f t="shared" si="300"/>
        <v>1</v>
      </c>
      <c r="P309" s="89" t="s">
        <v>39</v>
      </c>
      <c r="Q309" s="90">
        <f t="shared" si="301"/>
        <v>7.4999999999999997E-2</v>
      </c>
      <c r="R309" s="78"/>
      <c r="S309" s="78"/>
      <c r="T309" s="78"/>
      <c r="U309" s="78"/>
      <c r="V309" s="78"/>
      <c r="W309" s="78"/>
      <c r="X309" s="78"/>
      <c r="Y309" s="78"/>
      <c r="Z309" s="78"/>
      <c r="AA309" s="78"/>
      <c r="AB309" s="78"/>
      <c r="AC309" s="78"/>
      <c r="AD309" s="78"/>
      <c r="AE309" s="78"/>
      <c r="AF309" s="78"/>
      <c r="AG309" s="78"/>
      <c r="AH309" s="78"/>
      <c r="AI309" s="78"/>
      <c r="AJ309" s="78"/>
      <c r="AK309" s="78"/>
      <c r="AL309" s="78"/>
      <c r="AM309" s="78"/>
      <c r="AN309" s="78"/>
      <c r="AO309" s="78"/>
      <c r="AP309" s="78"/>
      <c r="AQ309" s="78"/>
      <c r="AR309" s="78"/>
      <c r="AS309" s="78"/>
      <c r="AT309" s="78"/>
      <c r="AU309" s="78"/>
      <c r="AV309" s="78"/>
      <c r="AW309" s="78"/>
      <c r="AX309" s="78"/>
      <c r="AY309" s="91"/>
      <c r="AZ309" s="78"/>
      <c r="BA309" s="78"/>
      <c r="BB309" s="78"/>
      <c r="BC309" s="78"/>
      <c r="BD309" s="78"/>
      <c r="BE309" s="78"/>
      <c r="BF309" s="78"/>
      <c r="BG309" s="78"/>
      <c r="BH309" s="78"/>
      <c r="BI309" s="78"/>
      <c r="BJ309" s="78"/>
      <c r="BK309" s="78"/>
      <c r="BL309" s="78"/>
      <c r="BM309" s="78"/>
      <c r="BN309" s="78"/>
      <c r="BO309" s="78"/>
      <c r="BP309" s="78"/>
      <c r="BQ309" s="78"/>
      <c r="BR309" s="78"/>
      <c r="BS309" s="78"/>
      <c r="BT309" s="78"/>
      <c r="BU309" s="78"/>
      <c r="BV309" s="78"/>
      <c r="BW309" s="78"/>
      <c r="BX309" s="78"/>
      <c r="BY309" s="78"/>
      <c r="BZ309" s="78"/>
      <c r="CA309" s="78"/>
      <c r="CB309" s="78"/>
      <c r="CC309" s="78"/>
      <c r="CD309" s="78"/>
      <c r="CE309" s="78"/>
      <c r="CF309" s="78"/>
      <c r="CG309" s="78"/>
      <c r="CH309" s="78"/>
      <c r="CI309" s="78"/>
      <c r="CJ309" s="78"/>
      <c r="CK309" s="78"/>
      <c r="CL309" s="78"/>
      <c r="CM309" s="78"/>
      <c r="CN309" s="78"/>
      <c r="CO309" s="78"/>
      <c r="CP309" s="78"/>
      <c r="CQ309" s="78"/>
      <c r="CR309" s="78"/>
      <c r="CS309" s="78"/>
      <c r="CT309" s="78"/>
      <c r="CU309" s="78"/>
      <c r="CV309" s="78"/>
      <c r="CW309" s="78"/>
      <c r="CX309" s="78"/>
      <c r="CY309" s="78"/>
      <c r="CZ309" s="78"/>
      <c r="DA309" s="78"/>
      <c r="DB309" s="78"/>
      <c r="DC309" s="78"/>
      <c r="DD309" s="78"/>
      <c r="DE309" s="78"/>
      <c r="DF309" s="78"/>
      <c r="DG309" s="78"/>
      <c r="DH309" s="78"/>
      <c r="DI309" s="78"/>
      <c r="DJ309" s="78"/>
      <c r="DK309" s="78"/>
      <c r="DL309" s="78"/>
      <c r="DM309" s="78"/>
      <c r="DN309" s="78"/>
      <c r="DO309" s="78"/>
      <c r="DP309" s="78"/>
      <c r="DQ309" s="78"/>
      <c r="DR309" s="78"/>
      <c r="DS309" s="78"/>
      <c r="DT309" s="78"/>
      <c r="DU309" s="78"/>
      <c r="DV309" s="78"/>
      <c r="DW309" s="78"/>
      <c r="DX309" s="78"/>
      <c r="DY309" s="78"/>
      <c r="DZ309" s="78"/>
      <c r="EA309" s="78"/>
      <c r="EB309" s="78"/>
      <c r="EC309" s="78"/>
      <c r="ED309" s="78"/>
      <c r="EE309" s="78"/>
      <c r="EF309" s="78"/>
      <c r="EG309" s="78"/>
      <c r="EH309" s="78"/>
      <c r="EI309" s="78"/>
      <c r="EJ309" s="78"/>
      <c r="EK309" s="78"/>
      <c r="EL309" s="78"/>
      <c r="EM309" s="78"/>
      <c r="EN309" s="91"/>
      <c r="EO309" s="91"/>
      <c r="EP309" s="91"/>
      <c r="EQ309" s="91"/>
      <c r="ER309" s="91"/>
      <c r="ES309" s="91"/>
    </row>
    <row r="310" spans="1:149" outlineLevel="1">
      <c r="A310" s="29" t="str">
        <f t="shared" si="302"/>
        <v>modesg_inp_emss_vclsnome_unidade_funcional</v>
      </c>
      <c r="B310" s="67" t="s">
        <v>26</v>
      </c>
      <c r="C310" s="68" t="s">
        <v>181</v>
      </c>
      <c r="D310" s="64" t="s">
        <v>40</v>
      </c>
      <c r="E310" s="66" t="s">
        <v>212</v>
      </c>
      <c r="F310" s="64" t="s">
        <v>228</v>
      </c>
      <c r="G310" s="64" t="str">
        <f>INDEX(Auxiliar!$B$16:$B$24,MATCH(Plano_V3!H310,Auxiliar!$C$16:$C$24,0),1)</f>
        <v>1. Concluído</v>
      </c>
      <c r="H310" s="64">
        <f>VLOOKUP(A310,'Aux - pivots1'!$A:$B,2,0)</f>
        <v>1</v>
      </c>
      <c r="I310" s="180">
        <f>SUMIFS(Table1[Estimação (horas)],Table1[Tabela],Plano_V3!E310,Table1[Campo],Plano_V3!F310)</f>
        <v>0.6</v>
      </c>
      <c r="J310" s="180">
        <f t="shared" si="41"/>
        <v>7.4999999999999997E-2</v>
      </c>
      <c r="K310" s="180">
        <f>SUMIFS(Table1[Horas efetivas],Table1[Tabela],Plano_V3!E310,Table1[Campo],Plano_V3!F310)</f>
        <v>0.6</v>
      </c>
      <c r="L310" s="180">
        <f t="shared" si="42"/>
        <v>7.4999999999999997E-2</v>
      </c>
      <c r="M310" s="174"/>
      <c r="N310" s="174">
        <f t="shared" si="43"/>
        <v>1</v>
      </c>
      <c r="O310" s="174">
        <f t="shared" si="300"/>
        <v>1</v>
      </c>
      <c r="P310" s="89" t="s">
        <v>39</v>
      </c>
      <c r="Q310" s="90">
        <f t="shared" si="301"/>
        <v>7.4999999999999997E-2</v>
      </c>
      <c r="R310" s="78"/>
      <c r="S310" s="78"/>
      <c r="T310" s="78"/>
      <c r="U310" s="78"/>
      <c r="V310" s="78"/>
      <c r="W310" s="78"/>
      <c r="X310" s="78"/>
      <c r="Y310" s="78"/>
      <c r="Z310" s="78"/>
      <c r="AA310" s="78"/>
      <c r="AB310" s="78"/>
      <c r="AC310" s="78"/>
      <c r="AD310" s="78"/>
      <c r="AE310" s="78"/>
      <c r="AF310" s="78"/>
      <c r="AG310" s="78"/>
      <c r="AH310" s="78"/>
      <c r="AI310" s="78"/>
      <c r="AJ310" s="78"/>
      <c r="AK310" s="78"/>
      <c r="AL310" s="78"/>
      <c r="AM310" s="78"/>
      <c r="AN310" s="78"/>
      <c r="AO310" s="78"/>
      <c r="AP310" s="78"/>
      <c r="AQ310" s="78"/>
      <c r="AR310" s="78"/>
      <c r="AS310" s="78"/>
      <c r="AT310" s="78"/>
      <c r="AU310" s="78"/>
      <c r="AV310" s="78"/>
      <c r="AW310" s="78"/>
      <c r="AX310" s="78"/>
      <c r="AY310" s="91"/>
      <c r="AZ310" s="78"/>
      <c r="BA310" s="78"/>
      <c r="BB310" s="78"/>
      <c r="BC310" s="78"/>
      <c r="BD310" s="78"/>
      <c r="BE310" s="78"/>
      <c r="BF310" s="78"/>
      <c r="BG310" s="78"/>
      <c r="BH310" s="78"/>
      <c r="BI310" s="78"/>
      <c r="BJ310" s="78"/>
      <c r="BK310" s="78"/>
      <c r="BL310" s="78"/>
      <c r="BM310" s="78"/>
      <c r="BN310" s="78"/>
      <c r="BO310" s="78"/>
      <c r="BP310" s="78"/>
      <c r="BQ310" s="78"/>
      <c r="BR310" s="78"/>
      <c r="BS310" s="78"/>
      <c r="BT310" s="78"/>
      <c r="BU310" s="78"/>
      <c r="BV310" s="78"/>
      <c r="BW310" s="78"/>
      <c r="BX310" s="78"/>
      <c r="BY310" s="78"/>
      <c r="BZ310" s="78"/>
      <c r="CA310" s="78"/>
      <c r="CB310" s="78"/>
      <c r="CC310" s="78"/>
      <c r="CD310" s="78"/>
      <c r="CE310" s="78"/>
      <c r="CF310" s="78"/>
      <c r="CG310" s="78"/>
      <c r="CH310" s="78"/>
      <c r="CI310" s="78"/>
      <c r="CJ310" s="78"/>
      <c r="CK310" s="78"/>
      <c r="CL310" s="78"/>
      <c r="CM310" s="78"/>
      <c r="CN310" s="78"/>
      <c r="CO310" s="78"/>
      <c r="CP310" s="78"/>
      <c r="CQ310" s="78"/>
      <c r="CR310" s="78"/>
      <c r="CS310" s="78"/>
      <c r="CT310" s="78"/>
      <c r="CU310" s="78"/>
      <c r="CV310" s="78"/>
      <c r="CW310" s="78"/>
      <c r="CX310" s="78"/>
      <c r="CY310" s="78"/>
      <c r="CZ310" s="78"/>
      <c r="DA310" s="78"/>
      <c r="DB310" s="78"/>
      <c r="DC310" s="78"/>
      <c r="DD310" s="78"/>
      <c r="DE310" s="78"/>
      <c r="DF310" s="78"/>
      <c r="DG310" s="78"/>
      <c r="DH310" s="78"/>
      <c r="DI310" s="78"/>
      <c r="DJ310" s="78"/>
      <c r="DK310" s="78"/>
      <c r="DL310" s="78"/>
      <c r="DM310" s="78"/>
      <c r="DN310" s="78"/>
      <c r="DO310" s="78"/>
      <c r="DP310" s="78"/>
      <c r="DQ310" s="78"/>
      <c r="DR310" s="78"/>
      <c r="DS310" s="78"/>
      <c r="DT310" s="78"/>
      <c r="DU310" s="78"/>
      <c r="DV310" s="78"/>
      <c r="DW310" s="78"/>
      <c r="DX310" s="78"/>
      <c r="DY310" s="78"/>
      <c r="DZ310" s="78"/>
      <c r="EA310" s="78"/>
      <c r="EB310" s="78"/>
      <c r="EC310" s="78"/>
      <c r="ED310" s="78"/>
      <c r="EE310" s="78"/>
      <c r="EF310" s="78"/>
      <c r="EG310" s="78"/>
      <c r="EH310" s="78"/>
      <c r="EI310" s="78"/>
      <c r="EJ310" s="78"/>
      <c r="EK310" s="78"/>
      <c r="EL310" s="78"/>
      <c r="EM310" s="78"/>
      <c r="EN310" s="91"/>
      <c r="EO310" s="91"/>
      <c r="EP310" s="91"/>
      <c r="EQ310" s="91"/>
      <c r="ER310" s="91"/>
      <c r="ES310" s="91"/>
    </row>
    <row r="311" spans="1:149" outlineLevel="1">
      <c r="A311" s="29" t="str">
        <f t="shared" si="302"/>
        <v>modesg_inp_emss_vclsunidade_funcional</v>
      </c>
      <c r="B311" s="67" t="s">
        <v>26</v>
      </c>
      <c r="C311" s="68" t="s">
        <v>181</v>
      </c>
      <c r="D311" s="64" t="s">
        <v>40</v>
      </c>
      <c r="E311" s="66" t="s">
        <v>212</v>
      </c>
      <c r="F311" s="64" t="s">
        <v>229</v>
      </c>
      <c r="G311" s="64" t="str">
        <f>INDEX(Auxiliar!$B$16:$B$24,MATCH(Plano_V3!H311,Auxiliar!$C$16:$C$24,0),1)</f>
        <v>1. Concluído</v>
      </c>
      <c r="H311" s="64">
        <f>VLOOKUP(A311,'Aux - pivots1'!$A:$B,2,0)</f>
        <v>1</v>
      </c>
      <c r="I311" s="180">
        <f>SUMIFS(Table1[Estimação (horas)],Table1[Tabela],Plano_V3!E311,Table1[Campo],Plano_V3!F311)</f>
        <v>0.6</v>
      </c>
      <c r="J311" s="180">
        <f t="shared" si="41"/>
        <v>7.4999999999999997E-2</v>
      </c>
      <c r="K311" s="180">
        <f>SUMIFS(Table1[Horas efetivas],Table1[Tabela],Plano_V3!E311,Table1[Campo],Plano_V3!F311)</f>
        <v>0.6</v>
      </c>
      <c r="L311" s="180">
        <f t="shared" si="42"/>
        <v>7.4999999999999997E-2</v>
      </c>
      <c r="M311" s="174"/>
      <c r="N311" s="174">
        <f t="shared" si="43"/>
        <v>1</v>
      </c>
      <c r="O311" s="174">
        <f t="shared" si="300"/>
        <v>1</v>
      </c>
      <c r="P311" s="89" t="s">
        <v>39</v>
      </c>
      <c r="Q311" s="90">
        <f t="shared" si="301"/>
        <v>7.4999999999999997E-2</v>
      </c>
      <c r="R311" s="78"/>
      <c r="S311" s="78"/>
      <c r="T311" s="78"/>
      <c r="U311" s="78"/>
      <c r="V311" s="78"/>
      <c r="W311" s="78"/>
      <c r="X311" s="78"/>
      <c r="Y311" s="78"/>
      <c r="Z311" s="78"/>
      <c r="AA311" s="78"/>
      <c r="AB311" s="78"/>
      <c r="AC311" s="78"/>
      <c r="AD311" s="78"/>
      <c r="AE311" s="78"/>
      <c r="AF311" s="78"/>
      <c r="AG311" s="78"/>
      <c r="AH311" s="78"/>
      <c r="AI311" s="78"/>
      <c r="AJ311" s="78"/>
      <c r="AK311" s="78"/>
      <c r="AL311" s="78"/>
      <c r="AM311" s="78"/>
      <c r="AN311" s="78"/>
      <c r="AO311" s="78"/>
      <c r="AP311" s="78"/>
      <c r="AQ311" s="78"/>
      <c r="AR311" s="78"/>
      <c r="AS311" s="78"/>
      <c r="AT311" s="78"/>
      <c r="AU311" s="78"/>
      <c r="AV311" s="78"/>
      <c r="AW311" s="78"/>
      <c r="AX311" s="78"/>
      <c r="AY311" s="91"/>
      <c r="AZ311" s="78"/>
      <c r="BA311" s="78"/>
      <c r="BB311" s="78"/>
      <c r="BC311" s="78"/>
      <c r="BD311" s="78"/>
      <c r="BE311" s="78"/>
      <c r="BF311" s="78"/>
      <c r="BG311" s="78"/>
      <c r="BH311" s="78"/>
      <c r="BI311" s="78"/>
      <c r="BJ311" s="78"/>
      <c r="BK311" s="78"/>
      <c r="BL311" s="78"/>
      <c r="BM311" s="78"/>
      <c r="BN311" s="78"/>
      <c r="BO311" s="78"/>
      <c r="BP311" s="78"/>
      <c r="BQ311" s="78"/>
      <c r="BR311" s="78"/>
      <c r="BS311" s="78"/>
      <c r="BT311" s="78"/>
      <c r="BU311" s="78"/>
      <c r="BV311" s="78"/>
      <c r="BW311" s="78"/>
      <c r="BX311" s="78"/>
      <c r="BY311" s="78"/>
      <c r="BZ311" s="78"/>
      <c r="CA311" s="78"/>
      <c r="CB311" s="78"/>
      <c r="CC311" s="78"/>
      <c r="CD311" s="78"/>
      <c r="CE311" s="78"/>
      <c r="CF311" s="78"/>
      <c r="CG311" s="78"/>
      <c r="CH311" s="78"/>
      <c r="CI311" s="78"/>
      <c r="CJ311" s="78"/>
      <c r="CK311" s="78"/>
      <c r="CL311" s="78"/>
      <c r="CM311" s="78"/>
      <c r="CN311" s="78"/>
      <c r="CO311" s="78"/>
      <c r="CP311" s="78"/>
      <c r="CQ311" s="78"/>
      <c r="CR311" s="78"/>
      <c r="CS311" s="78"/>
      <c r="CT311" s="78"/>
      <c r="CU311" s="78"/>
      <c r="CV311" s="78"/>
      <c r="CW311" s="78"/>
      <c r="CX311" s="78"/>
      <c r="CY311" s="78"/>
      <c r="CZ311" s="78"/>
      <c r="DA311" s="78"/>
      <c r="DB311" s="78"/>
      <c r="DC311" s="78"/>
      <c r="DD311" s="78"/>
      <c r="DE311" s="78"/>
      <c r="DF311" s="78"/>
      <c r="DG311" s="78"/>
      <c r="DH311" s="78"/>
      <c r="DI311" s="78"/>
      <c r="DJ311" s="78"/>
      <c r="DK311" s="78"/>
      <c r="DL311" s="78"/>
      <c r="DM311" s="78"/>
      <c r="DN311" s="78"/>
      <c r="DO311" s="78"/>
      <c r="DP311" s="78"/>
      <c r="DQ311" s="78"/>
      <c r="DR311" s="78"/>
      <c r="DS311" s="78"/>
      <c r="DT311" s="78"/>
      <c r="DU311" s="78"/>
      <c r="DV311" s="78"/>
      <c r="DW311" s="78"/>
      <c r="DX311" s="78"/>
      <c r="DY311" s="78"/>
      <c r="DZ311" s="78"/>
      <c r="EA311" s="78"/>
      <c r="EB311" s="78"/>
      <c r="EC311" s="78"/>
      <c r="ED311" s="78"/>
      <c r="EE311" s="78"/>
      <c r="EF311" s="78"/>
      <c r="EG311" s="78"/>
      <c r="EH311" s="78"/>
      <c r="EI311" s="78"/>
      <c r="EJ311" s="78"/>
      <c r="EK311" s="78"/>
      <c r="EL311" s="78"/>
      <c r="EM311" s="78"/>
      <c r="EN311" s="91"/>
      <c r="EO311" s="91"/>
      <c r="EP311" s="91"/>
      <c r="EQ311" s="91"/>
      <c r="ER311" s="91"/>
      <c r="ES311" s="91"/>
    </row>
    <row r="312" spans="1:149" outlineLevel="1">
      <c r="A312" s="29" t="str">
        <f t="shared" si="302"/>
        <v>modesg_inp_emss_vclsnome_fator_emissao</v>
      </c>
      <c r="B312" s="67" t="s">
        <v>26</v>
      </c>
      <c r="C312" s="68" t="s">
        <v>181</v>
      </c>
      <c r="D312" s="64" t="s">
        <v>40</v>
      </c>
      <c r="E312" s="66" t="s">
        <v>212</v>
      </c>
      <c r="F312" s="64" t="s">
        <v>230</v>
      </c>
      <c r="G312" s="64" t="str">
        <f>INDEX(Auxiliar!$B$16:$B$24,MATCH(Plano_V3!H312,Auxiliar!$C$16:$C$24,0),1)</f>
        <v>1. Concluído</v>
      </c>
      <c r="H312" s="64">
        <f>VLOOKUP(A312,'Aux - pivots1'!$A:$B,2,0)</f>
        <v>1</v>
      </c>
      <c r="I312" s="180">
        <f>SUMIFS(Table1[Estimação (horas)],Table1[Tabela],Plano_V3!E312,Table1[Campo],Plano_V3!F312)</f>
        <v>0.6</v>
      </c>
      <c r="J312" s="180">
        <f t="shared" si="41"/>
        <v>7.4999999999999997E-2</v>
      </c>
      <c r="K312" s="180">
        <f>SUMIFS(Table1[Horas efetivas],Table1[Tabela],Plano_V3!E312,Table1[Campo],Plano_V3!F312)</f>
        <v>0.6</v>
      </c>
      <c r="L312" s="180">
        <f t="shared" si="42"/>
        <v>7.4999999999999997E-2</v>
      </c>
      <c r="M312" s="174"/>
      <c r="N312" s="174">
        <f t="shared" si="43"/>
        <v>1</v>
      </c>
      <c r="O312" s="174">
        <f t="shared" si="300"/>
        <v>1</v>
      </c>
      <c r="P312" s="89" t="s">
        <v>39</v>
      </c>
      <c r="Q312" s="90">
        <f t="shared" si="301"/>
        <v>7.4999999999999997E-2</v>
      </c>
      <c r="R312" s="78"/>
      <c r="S312" s="78"/>
      <c r="T312" s="78"/>
      <c r="U312" s="78"/>
      <c r="V312" s="78"/>
      <c r="W312" s="78"/>
      <c r="X312" s="78"/>
      <c r="Y312" s="78"/>
      <c r="Z312" s="78"/>
      <c r="AA312" s="78"/>
      <c r="AB312" s="78"/>
      <c r="AC312" s="78"/>
      <c r="AD312" s="78"/>
      <c r="AE312" s="78"/>
      <c r="AF312" s="78"/>
      <c r="AG312" s="78"/>
      <c r="AH312" s="78"/>
      <c r="AI312" s="78"/>
      <c r="AJ312" s="78"/>
      <c r="AK312" s="78"/>
      <c r="AL312" s="78"/>
      <c r="AM312" s="78"/>
      <c r="AN312" s="78"/>
      <c r="AO312" s="78"/>
      <c r="AP312" s="78"/>
      <c r="AQ312" s="78"/>
      <c r="AR312" s="78"/>
      <c r="AS312" s="78"/>
      <c r="AT312" s="78"/>
      <c r="AU312" s="78"/>
      <c r="AV312" s="78"/>
      <c r="AW312" s="78"/>
      <c r="AX312" s="78"/>
      <c r="AY312" s="91"/>
      <c r="AZ312" s="78"/>
      <c r="BA312" s="78"/>
      <c r="BB312" s="78"/>
      <c r="BC312" s="78"/>
      <c r="BD312" s="78"/>
      <c r="BE312" s="78"/>
      <c r="BF312" s="78"/>
      <c r="BG312" s="78"/>
      <c r="BH312" s="78"/>
      <c r="BI312" s="78"/>
      <c r="BJ312" s="78"/>
      <c r="BK312" s="78"/>
      <c r="BL312" s="78"/>
      <c r="BM312" s="78"/>
      <c r="BN312" s="78"/>
      <c r="BO312" s="78"/>
      <c r="BP312" s="78"/>
      <c r="BQ312" s="78"/>
      <c r="BR312" s="78"/>
      <c r="BS312" s="78"/>
      <c r="BT312" s="78"/>
      <c r="BU312" s="78"/>
      <c r="BV312" s="78"/>
      <c r="BW312" s="78"/>
      <c r="BX312" s="78"/>
      <c r="BY312" s="78"/>
      <c r="BZ312" s="78"/>
      <c r="CA312" s="78"/>
      <c r="CB312" s="78"/>
      <c r="CC312" s="78"/>
      <c r="CD312" s="78"/>
      <c r="CE312" s="78"/>
      <c r="CF312" s="78"/>
      <c r="CG312" s="78"/>
      <c r="CH312" s="78"/>
      <c r="CI312" s="78"/>
      <c r="CJ312" s="78"/>
      <c r="CK312" s="78"/>
      <c r="CL312" s="78"/>
      <c r="CM312" s="78"/>
      <c r="CN312" s="78"/>
      <c r="CO312" s="78"/>
      <c r="CP312" s="78"/>
      <c r="CQ312" s="78"/>
      <c r="CR312" s="78"/>
      <c r="CS312" s="78"/>
      <c r="CT312" s="78"/>
      <c r="CU312" s="78"/>
      <c r="CV312" s="78"/>
      <c r="CW312" s="78"/>
      <c r="CX312" s="78"/>
      <c r="CY312" s="78"/>
      <c r="CZ312" s="78"/>
      <c r="DA312" s="78"/>
      <c r="DB312" s="78"/>
      <c r="DC312" s="78"/>
      <c r="DD312" s="78"/>
      <c r="DE312" s="78"/>
      <c r="DF312" s="78"/>
      <c r="DG312" s="78"/>
      <c r="DH312" s="78"/>
      <c r="DI312" s="78"/>
      <c r="DJ312" s="78"/>
      <c r="DK312" s="78"/>
      <c r="DL312" s="78"/>
      <c r="DM312" s="78"/>
      <c r="DN312" s="78"/>
      <c r="DO312" s="78"/>
      <c r="DP312" s="78"/>
      <c r="DQ312" s="78"/>
      <c r="DR312" s="78"/>
      <c r="DS312" s="78"/>
      <c r="DT312" s="78"/>
      <c r="DU312" s="78"/>
      <c r="DV312" s="78"/>
      <c r="DW312" s="78"/>
      <c r="DX312" s="78"/>
      <c r="DY312" s="78"/>
      <c r="DZ312" s="78"/>
      <c r="EA312" s="78"/>
      <c r="EB312" s="78"/>
      <c r="EC312" s="78"/>
      <c r="ED312" s="78"/>
      <c r="EE312" s="78"/>
      <c r="EF312" s="78"/>
      <c r="EG312" s="78"/>
      <c r="EH312" s="78"/>
      <c r="EI312" s="78"/>
      <c r="EJ312" s="78"/>
      <c r="EK312" s="78"/>
      <c r="EL312" s="78"/>
      <c r="EM312" s="78"/>
      <c r="EN312" s="91"/>
      <c r="EO312" s="91"/>
      <c r="EP312" s="91"/>
      <c r="EQ312" s="91"/>
      <c r="ER312" s="91"/>
      <c r="ES312" s="91"/>
    </row>
    <row r="313" spans="1:149" outlineLevel="1">
      <c r="A313" s="29" t="str">
        <f t="shared" si="302"/>
        <v>modesg_inp_emss_vclsunidade_fator_de_emissao</v>
      </c>
      <c r="B313" s="67" t="s">
        <v>26</v>
      </c>
      <c r="C313" s="68" t="s">
        <v>181</v>
      </c>
      <c r="D313" s="64" t="s">
        <v>40</v>
      </c>
      <c r="E313" s="66" t="s">
        <v>212</v>
      </c>
      <c r="F313" s="64" t="s">
        <v>231</v>
      </c>
      <c r="G313" s="64" t="str">
        <f>INDEX(Auxiliar!$B$16:$B$24,MATCH(Plano_V3!H313,Auxiliar!$C$16:$C$24,0),1)</f>
        <v>1. Concluído</v>
      </c>
      <c r="H313" s="64">
        <f>VLOOKUP(A313,'Aux - pivots1'!$A:$B,2,0)</f>
        <v>1</v>
      </c>
      <c r="I313" s="180">
        <f>SUMIFS(Table1[Estimação (horas)],Table1[Tabela],Plano_V3!E313,Table1[Campo],Plano_V3!F313)</f>
        <v>0.6</v>
      </c>
      <c r="J313" s="180">
        <f t="shared" si="41"/>
        <v>7.4999999999999997E-2</v>
      </c>
      <c r="K313" s="180">
        <f>SUMIFS(Table1[Horas efetivas],Table1[Tabela],Plano_V3!E313,Table1[Campo],Plano_V3!F313)</f>
        <v>0.6</v>
      </c>
      <c r="L313" s="180">
        <f t="shared" si="42"/>
        <v>7.4999999999999997E-2</v>
      </c>
      <c r="M313" s="174"/>
      <c r="N313" s="174">
        <f t="shared" si="43"/>
        <v>1</v>
      </c>
      <c r="O313" s="174">
        <f t="shared" si="300"/>
        <v>1</v>
      </c>
      <c r="P313" s="89" t="s">
        <v>39</v>
      </c>
      <c r="Q313" s="90">
        <f t="shared" si="301"/>
        <v>7.4999999999999997E-2</v>
      </c>
      <c r="R313" s="78"/>
      <c r="S313" s="78"/>
      <c r="T313" s="78"/>
      <c r="U313" s="78"/>
      <c r="V313" s="78"/>
      <c r="W313" s="78"/>
      <c r="X313" s="78"/>
      <c r="Y313" s="78"/>
      <c r="Z313" s="78"/>
      <c r="AA313" s="78"/>
      <c r="AB313" s="78"/>
      <c r="AC313" s="78"/>
      <c r="AD313" s="78"/>
      <c r="AE313" s="78"/>
      <c r="AF313" s="78"/>
      <c r="AG313" s="78"/>
      <c r="AH313" s="78"/>
      <c r="AI313" s="78"/>
      <c r="AJ313" s="78"/>
      <c r="AK313" s="78"/>
      <c r="AL313" s="78"/>
      <c r="AM313" s="78"/>
      <c r="AN313" s="78"/>
      <c r="AO313" s="78"/>
      <c r="AP313" s="78"/>
      <c r="AQ313" s="78"/>
      <c r="AR313" s="78"/>
      <c r="AS313" s="78"/>
      <c r="AT313" s="78"/>
      <c r="AU313" s="78"/>
      <c r="AV313" s="78"/>
      <c r="AW313" s="78"/>
      <c r="AX313" s="78"/>
      <c r="AY313" s="91"/>
      <c r="AZ313" s="78"/>
      <c r="BA313" s="78"/>
      <c r="BB313" s="78"/>
      <c r="BC313" s="78"/>
      <c r="BD313" s="78"/>
      <c r="BE313" s="78"/>
      <c r="BF313" s="78"/>
      <c r="BG313" s="78"/>
      <c r="BH313" s="78"/>
      <c r="BI313" s="78"/>
      <c r="BJ313" s="78"/>
      <c r="BK313" s="78"/>
      <c r="BL313" s="78"/>
      <c r="BM313" s="78"/>
      <c r="BN313" s="78"/>
      <c r="BO313" s="78"/>
      <c r="BP313" s="78"/>
      <c r="BQ313" s="78"/>
      <c r="BR313" s="78"/>
      <c r="BS313" s="78"/>
      <c r="BT313" s="78"/>
      <c r="BU313" s="78"/>
      <c r="BV313" s="78"/>
      <c r="BW313" s="78"/>
      <c r="BX313" s="78"/>
      <c r="BY313" s="78"/>
      <c r="BZ313" s="78"/>
      <c r="CA313" s="78"/>
      <c r="CB313" s="78"/>
      <c r="CC313" s="78"/>
      <c r="CD313" s="78"/>
      <c r="CE313" s="78"/>
      <c r="CF313" s="78"/>
      <c r="CG313" s="78"/>
      <c r="CH313" s="78"/>
      <c r="CI313" s="78"/>
      <c r="CJ313" s="78"/>
      <c r="CK313" s="78"/>
      <c r="CL313" s="78"/>
      <c r="CM313" s="78"/>
      <c r="CN313" s="78"/>
      <c r="CO313" s="78"/>
      <c r="CP313" s="78"/>
      <c r="CQ313" s="78"/>
      <c r="CR313" s="78"/>
      <c r="CS313" s="78"/>
      <c r="CT313" s="78"/>
      <c r="CU313" s="78"/>
      <c r="CV313" s="78"/>
      <c r="CW313" s="78"/>
      <c r="CX313" s="78"/>
      <c r="CY313" s="78"/>
      <c r="CZ313" s="78"/>
      <c r="DA313" s="78"/>
      <c r="DB313" s="78"/>
      <c r="DC313" s="78"/>
      <c r="DD313" s="78"/>
      <c r="DE313" s="78"/>
      <c r="DF313" s="78"/>
      <c r="DG313" s="78"/>
      <c r="DH313" s="78"/>
      <c r="DI313" s="78"/>
      <c r="DJ313" s="78"/>
      <c r="DK313" s="78"/>
      <c r="DL313" s="78"/>
      <c r="DM313" s="78"/>
      <c r="DN313" s="78"/>
      <c r="DO313" s="78"/>
      <c r="DP313" s="78"/>
      <c r="DQ313" s="78"/>
      <c r="DR313" s="78"/>
      <c r="DS313" s="78"/>
      <c r="DT313" s="78"/>
      <c r="DU313" s="78"/>
      <c r="DV313" s="78"/>
      <c r="DW313" s="78"/>
      <c r="DX313" s="78"/>
      <c r="DY313" s="78"/>
      <c r="DZ313" s="78"/>
      <c r="EA313" s="78"/>
      <c r="EB313" s="78"/>
      <c r="EC313" s="78"/>
      <c r="ED313" s="78"/>
      <c r="EE313" s="78"/>
      <c r="EF313" s="78"/>
      <c r="EG313" s="78"/>
      <c r="EH313" s="78"/>
      <c r="EI313" s="78"/>
      <c r="EJ313" s="78"/>
      <c r="EK313" s="78"/>
      <c r="EL313" s="78"/>
      <c r="EM313" s="78"/>
      <c r="EN313" s="91"/>
      <c r="EO313" s="91"/>
      <c r="EP313" s="91"/>
      <c r="EQ313" s="91"/>
      <c r="ER313" s="91"/>
      <c r="ES313" s="91"/>
    </row>
    <row r="314" spans="1:149" outlineLevel="1">
      <c r="A314" s="29" t="str">
        <f t="shared" si="302"/>
        <v>modesg_inp_emss_vclsscore_qualidade</v>
      </c>
      <c r="B314" s="67" t="s">
        <v>26</v>
      </c>
      <c r="C314" s="68" t="s">
        <v>181</v>
      </c>
      <c r="D314" s="64" t="s">
        <v>40</v>
      </c>
      <c r="E314" s="66" t="s">
        <v>212</v>
      </c>
      <c r="F314" s="64" t="s">
        <v>232</v>
      </c>
      <c r="G314" s="64" t="str">
        <f>INDEX(Auxiliar!$B$16:$B$24,MATCH(Plano_V3!H314,Auxiliar!$C$16:$C$24,0),1)</f>
        <v>1. Concluído</v>
      </c>
      <c r="H314" s="64">
        <f>VLOOKUP(A314,'Aux - pivots1'!$A:$B,2,0)</f>
        <v>1</v>
      </c>
      <c r="I314" s="180">
        <f>SUMIFS(Table1[Estimação (horas)],Table1[Tabela],Plano_V3!E314,Table1[Campo],Plano_V3!F314)</f>
        <v>0.6</v>
      </c>
      <c r="J314" s="180">
        <f t="shared" si="41"/>
        <v>7.4999999999999997E-2</v>
      </c>
      <c r="K314" s="180">
        <f>SUMIFS(Table1[Horas efetivas],Table1[Tabela],Plano_V3!E314,Table1[Campo],Plano_V3!F314)</f>
        <v>0.6</v>
      </c>
      <c r="L314" s="180">
        <f t="shared" si="42"/>
        <v>7.4999999999999997E-2</v>
      </c>
      <c r="M314" s="174"/>
      <c r="N314" s="174">
        <f t="shared" si="43"/>
        <v>1</v>
      </c>
      <c r="O314" s="174">
        <f t="shared" si="300"/>
        <v>1</v>
      </c>
      <c r="P314" s="89" t="s">
        <v>39</v>
      </c>
      <c r="Q314" s="90">
        <f t="shared" si="301"/>
        <v>7.4999999999999997E-2</v>
      </c>
      <c r="R314" s="78"/>
      <c r="S314" s="78"/>
      <c r="T314" s="78"/>
      <c r="U314" s="78"/>
      <c r="V314" s="78"/>
      <c r="W314" s="78"/>
      <c r="X314" s="78"/>
      <c r="Y314" s="78"/>
      <c r="Z314" s="78"/>
      <c r="AA314" s="78"/>
      <c r="AB314" s="78"/>
      <c r="AC314" s="78"/>
      <c r="AD314" s="78"/>
      <c r="AE314" s="78"/>
      <c r="AF314" s="78"/>
      <c r="AG314" s="78"/>
      <c r="AH314" s="78"/>
      <c r="AI314" s="78"/>
      <c r="AJ314" s="78"/>
      <c r="AK314" s="78"/>
      <c r="AL314" s="78"/>
      <c r="AM314" s="78"/>
      <c r="AN314" s="78"/>
      <c r="AO314" s="78"/>
      <c r="AP314" s="78"/>
      <c r="AQ314" s="78"/>
      <c r="AR314" s="78"/>
      <c r="AS314" s="78"/>
      <c r="AT314" s="78"/>
      <c r="AU314" s="78"/>
      <c r="AV314" s="78"/>
      <c r="AW314" s="78"/>
      <c r="AX314" s="78"/>
      <c r="AY314" s="91"/>
      <c r="AZ314" s="78"/>
      <c r="BA314" s="78"/>
      <c r="BB314" s="78"/>
      <c r="BC314" s="78"/>
      <c r="BD314" s="78"/>
      <c r="BE314" s="78"/>
      <c r="BF314" s="78"/>
      <c r="BG314" s="78"/>
      <c r="BH314" s="78"/>
      <c r="BI314" s="78"/>
      <c r="BJ314" s="78"/>
      <c r="BK314" s="78"/>
      <c r="BL314" s="78"/>
      <c r="BM314" s="78"/>
      <c r="BN314" s="78"/>
      <c r="BO314" s="78"/>
      <c r="BP314" s="78"/>
      <c r="BQ314" s="78"/>
      <c r="BR314" s="78"/>
      <c r="BS314" s="78"/>
      <c r="BT314" s="78"/>
      <c r="BU314" s="78"/>
      <c r="BV314" s="78"/>
      <c r="BW314" s="78"/>
      <c r="BX314" s="78"/>
      <c r="BY314" s="78"/>
      <c r="BZ314" s="78"/>
      <c r="CA314" s="78"/>
      <c r="CB314" s="78"/>
      <c r="CC314" s="78"/>
      <c r="CD314" s="78"/>
      <c r="CE314" s="78"/>
      <c r="CF314" s="78"/>
      <c r="CG314" s="78"/>
      <c r="CH314" s="78"/>
      <c r="CI314" s="78"/>
      <c r="CJ314" s="78"/>
      <c r="CK314" s="78"/>
      <c r="CL314" s="78"/>
      <c r="CM314" s="78"/>
      <c r="CN314" s="78"/>
      <c r="CO314" s="78"/>
      <c r="CP314" s="78"/>
      <c r="CQ314" s="78"/>
      <c r="CR314" s="78"/>
      <c r="CS314" s="78"/>
      <c r="CT314" s="78"/>
      <c r="CU314" s="78"/>
      <c r="CV314" s="78"/>
      <c r="CW314" s="78"/>
      <c r="CX314" s="78"/>
      <c r="CY314" s="78"/>
      <c r="CZ314" s="78"/>
      <c r="DA314" s="78"/>
      <c r="DB314" s="78"/>
      <c r="DC314" s="78"/>
      <c r="DD314" s="78"/>
      <c r="DE314" s="78"/>
      <c r="DF314" s="78"/>
      <c r="DG314" s="78"/>
      <c r="DH314" s="78"/>
      <c r="DI314" s="78"/>
      <c r="DJ314" s="78"/>
      <c r="DK314" s="78"/>
      <c r="DL314" s="78"/>
      <c r="DM314" s="78"/>
      <c r="DN314" s="78"/>
      <c r="DO314" s="78"/>
      <c r="DP314" s="78"/>
      <c r="DQ314" s="78"/>
      <c r="DR314" s="78"/>
      <c r="DS314" s="78"/>
      <c r="DT314" s="78"/>
      <c r="DU314" s="78"/>
      <c r="DV314" s="78"/>
      <c r="DW314" s="78"/>
      <c r="DX314" s="78"/>
      <c r="DY314" s="78"/>
      <c r="DZ314" s="78"/>
      <c r="EA314" s="78"/>
      <c r="EB314" s="78"/>
      <c r="EC314" s="78"/>
      <c r="ED314" s="78"/>
      <c r="EE314" s="78"/>
      <c r="EF314" s="78"/>
      <c r="EG314" s="78"/>
      <c r="EH314" s="78"/>
      <c r="EI314" s="78"/>
      <c r="EJ314" s="78"/>
      <c r="EK314" s="78"/>
      <c r="EL314" s="78"/>
      <c r="EM314" s="78"/>
      <c r="EN314" s="91"/>
      <c r="EO314" s="91"/>
      <c r="EP314" s="91"/>
      <c r="EQ314" s="91"/>
      <c r="ER314" s="91"/>
      <c r="ES314" s="91"/>
    </row>
    <row r="315" spans="1:149" outlineLevel="1">
      <c r="A315" s="29" t="str">
        <f t="shared" si="302"/>
        <v>modesg_inp_emss_vclsscp1_ftr_emss</v>
      </c>
      <c r="B315" s="67" t="s">
        <v>26</v>
      </c>
      <c r="C315" s="68" t="s">
        <v>181</v>
      </c>
      <c r="D315" s="64" t="s">
        <v>40</v>
      </c>
      <c r="E315" s="66" t="s">
        <v>212</v>
      </c>
      <c r="F315" s="64" t="s">
        <v>233</v>
      </c>
      <c r="G315" s="64" t="str">
        <f>INDEX(Auxiliar!$B$16:$B$24,MATCH(Plano_V3!H315,Auxiliar!$C$16:$C$24,0),1)</f>
        <v>1. Concluído</v>
      </c>
      <c r="H315" s="64">
        <f>VLOOKUP(A315,'Aux - pivots1'!$A:$B,2,0)</f>
        <v>1</v>
      </c>
      <c r="I315" s="180">
        <f>SUMIFS(Table1[Estimação (horas)],Table1[Tabela],Plano_V3!E315,Table1[Campo],Plano_V3!F315)</f>
        <v>0.6</v>
      </c>
      <c r="J315" s="180">
        <f t="shared" si="41"/>
        <v>7.4999999999999997E-2</v>
      </c>
      <c r="K315" s="180">
        <f>SUMIFS(Table1[Horas efetivas],Table1[Tabela],Plano_V3!E315,Table1[Campo],Plano_V3!F315)</f>
        <v>0.6</v>
      </c>
      <c r="L315" s="180">
        <f t="shared" si="42"/>
        <v>7.4999999999999997E-2</v>
      </c>
      <c r="M315" s="174"/>
      <c r="N315" s="174">
        <f t="shared" si="43"/>
        <v>1</v>
      </c>
      <c r="O315" s="174">
        <f t="shared" si="300"/>
        <v>1</v>
      </c>
      <c r="P315" s="89" t="s">
        <v>39</v>
      </c>
      <c r="Q315" s="90">
        <f t="shared" si="301"/>
        <v>7.4999999999999997E-2</v>
      </c>
      <c r="R315" s="78"/>
      <c r="S315" s="78"/>
      <c r="T315" s="78"/>
      <c r="U315" s="78"/>
      <c r="V315" s="78"/>
      <c r="W315" s="78"/>
      <c r="X315" s="78"/>
      <c r="Y315" s="78"/>
      <c r="Z315" s="78"/>
      <c r="AA315" s="78"/>
      <c r="AB315" s="78"/>
      <c r="AC315" s="78"/>
      <c r="AD315" s="78"/>
      <c r="AE315" s="78"/>
      <c r="AF315" s="78"/>
      <c r="AG315" s="78"/>
      <c r="AH315" s="78"/>
      <c r="AI315" s="78"/>
      <c r="AJ315" s="78"/>
      <c r="AK315" s="78"/>
      <c r="AL315" s="78"/>
      <c r="AM315" s="78"/>
      <c r="AN315" s="78"/>
      <c r="AO315" s="78"/>
      <c r="AP315" s="78"/>
      <c r="AQ315" s="78"/>
      <c r="AR315" s="78"/>
      <c r="AS315" s="78"/>
      <c r="AT315" s="78"/>
      <c r="AU315" s="78"/>
      <c r="AV315" s="78"/>
      <c r="AW315" s="78"/>
      <c r="AX315" s="78"/>
      <c r="AY315" s="91"/>
      <c r="AZ315" s="78"/>
      <c r="BA315" s="78"/>
      <c r="BB315" s="78"/>
      <c r="BC315" s="78"/>
      <c r="BD315" s="78"/>
      <c r="BE315" s="78"/>
      <c r="BF315" s="78"/>
      <c r="BG315" s="78"/>
      <c r="BH315" s="78"/>
      <c r="BI315" s="78"/>
      <c r="BJ315" s="78"/>
      <c r="BK315" s="78"/>
      <c r="BL315" s="78"/>
      <c r="BM315" s="78"/>
      <c r="BN315" s="78"/>
      <c r="BO315" s="78"/>
      <c r="BP315" s="78"/>
      <c r="BQ315" s="78"/>
      <c r="BR315" s="78"/>
      <c r="BS315" s="78"/>
      <c r="BT315" s="78"/>
      <c r="BU315" s="78"/>
      <c r="BV315" s="78"/>
      <c r="BW315" s="78"/>
      <c r="BX315" s="78"/>
      <c r="BY315" s="78"/>
      <c r="BZ315" s="78"/>
      <c r="CA315" s="78"/>
      <c r="CB315" s="78"/>
      <c r="CC315" s="78"/>
      <c r="CD315" s="78"/>
      <c r="CE315" s="78"/>
      <c r="CF315" s="78"/>
      <c r="CG315" s="78"/>
      <c r="CH315" s="78"/>
      <c r="CI315" s="78"/>
      <c r="CJ315" s="78"/>
      <c r="CK315" s="78"/>
      <c r="CL315" s="78"/>
      <c r="CM315" s="78"/>
      <c r="CN315" s="78"/>
      <c r="CO315" s="78"/>
      <c r="CP315" s="78"/>
      <c r="CQ315" s="78"/>
      <c r="CR315" s="78"/>
      <c r="CS315" s="78"/>
      <c r="CT315" s="78"/>
      <c r="CU315" s="78"/>
      <c r="CV315" s="78"/>
      <c r="CW315" s="78"/>
      <c r="CX315" s="78"/>
      <c r="CY315" s="78"/>
      <c r="CZ315" s="78"/>
      <c r="DA315" s="78"/>
      <c r="DB315" s="78"/>
      <c r="DC315" s="78"/>
      <c r="DD315" s="78"/>
      <c r="DE315" s="78"/>
      <c r="DF315" s="78"/>
      <c r="DG315" s="78"/>
      <c r="DH315" s="78"/>
      <c r="DI315" s="78"/>
      <c r="DJ315" s="78"/>
      <c r="DK315" s="78"/>
      <c r="DL315" s="78"/>
      <c r="DM315" s="78"/>
      <c r="DN315" s="78"/>
      <c r="DO315" s="78"/>
      <c r="DP315" s="78"/>
      <c r="DQ315" s="78"/>
      <c r="DR315" s="78"/>
      <c r="DS315" s="78"/>
      <c r="DT315" s="78"/>
      <c r="DU315" s="78"/>
      <c r="DV315" s="78"/>
      <c r="DW315" s="78"/>
      <c r="DX315" s="78"/>
      <c r="DY315" s="78"/>
      <c r="DZ315" s="78"/>
      <c r="EA315" s="78"/>
      <c r="EB315" s="78"/>
      <c r="EC315" s="78"/>
      <c r="ED315" s="78"/>
      <c r="EE315" s="78"/>
      <c r="EF315" s="78"/>
      <c r="EG315" s="78"/>
      <c r="EH315" s="78"/>
      <c r="EI315" s="78"/>
      <c r="EJ315" s="78"/>
      <c r="EK315" s="78"/>
      <c r="EL315" s="78"/>
      <c r="EM315" s="78"/>
      <c r="EN315" s="91"/>
      <c r="EO315" s="91"/>
      <c r="EP315" s="91"/>
      <c r="EQ315" s="91"/>
      <c r="ER315" s="91"/>
      <c r="ES315" s="91"/>
    </row>
    <row r="316" spans="1:149" outlineLevel="1">
      <c r="A316" s="29" t="str">
        <f t="shared" si="302"/>
        <v>modesg_inp_emss_vclsscp2_ftr_emss</v>
      </c>
      <c r="B316" s="67" t="s">
        <v>26</v>
      </c>
      <c r="C316" s="68" t="s">
        <v>181</v>
      </c>
      <c r="D316" s="64" t="s">
        <v>40</v>
      </c>
      <c r="E316" s="66" t="s">
        <v>212</v>
      </c>
      <c r="F316" s="64" t="s">
        <v>234</v>
      </c>
      <c r="G316" s="64" t="str">
        <f>INDEX(Auxiliar!$B$16:$B$24,MATCH(Plano_V3!H316,Auxiliar!$C$16:$C$24,0),1)</f>
        <v>1. Concluído</v>
      </c>
      <c r="H316" s="64">
        <f>VLOOKUP(A316,'Aux - pivots1'!$A:$B,2,0)</f>
        <v>1</v>
      </c>
      <c r="I316" s="180">
        <f>SUMIFS(Table1[Estimação (horas)],Table1[Tabela],Plano_V3!E316,Table1[Campo],Plano_V3!F316)</f>
        <v>0.6</v>
      </c>
      <c r="J316" s="180">
        <f t="shared" si="41"/>
        <v>7.4999999999999997E-2</v>
      </c>
      <c r="K316" s="180">
        <f>SUMIFS(Table1[Horas efetivas],Table1[Tabela],Plano_V3!E316,Table1[Campo],Plano_V3!F316)</f>
        <v>0.6</v>
      </c>
      <c r="L316" s="180">
        <f t="shared" si="42"/>
        <v>7.4999999999999997E-2</v>
      </c>
      <c r="M316" s="174"/>
      <c r="N316" s="174">
        <f t="shared" si="43"/>
        <v>1</v>
      </c>
      <c r="O316" s="174">
        <f t="shared" si="300"/>
        <v>1</v>
      </c>
      <c r="P316" s="89" t="s">
        <v>39</v>
      </c>
      <c r="Q316" s="90">
        <f t="shared" si="301"/>
        <v>7.4999999999999997E-2</v>
      </c>
      <c r="R316" s="78"/>
      <c r="S316" s="78"/>
      <c r="T316" s="78"/>
      <c r="U316" s="78"/>
      <c r="V316" s="78"/>
      <c r="W316" s="78"/>
      <c r="X316" s="78"/>
      <c r="Y316" s="78"/>
      <c r="Z316" s="78"/>
      <c r="AA316" s="78"/>
      <c r="AB316" s="78"/>
      <c r="AC316" s="78"/>
      <c r="AD316" s="78"/>
      <c r="AE316" s="78"/>
      <c r="AF316" s="78"/>
      <c r="AG316" s="78"/>
      <c r="AH316" s="78"/>
      <c r="AI316" s="78"/>
      <c r="AJ316" s="78"/>
      <c r="AK316" s="78"/>
      <c r="AL316" s="78"/>
      <c r="AM316" s="78"/>
      <c r="AN316" s="78"/>
      <c r="AO316" s="78"/>
      <c r="AP316" s="78"/>
      <c r="AQ316" s="78"/>
      <c r="AR316" s="78"/>
      <c r="AS316" s="78"/>
      <c r="AT316" s="78"/>
      <c r="AU316" s="78"/>
      <c r="AV316" s="78"/>
      <c r="AW316" s="78"/>
      <c r="AX316" s="78"/>
      <c r="AY316" s="91"/>
      <c r="AZ316" s="78"/>
      <c r="BA316" s="78"/>
      <c r="BB316" s="78"/>
      <c r="BC316" s="78"/>
      <c r="BD316" s="78"/>
      <c r="BE316" s="78"/>
      <c r="BF316" s="78"/>
      <c r="BG316" s="78"/>
      <c r="BH316" s="78"/>
      <c r="BI316" s="78"/>
      <c r="BJ316" s="78"/>
      <c r="BK316" s="78"/>
      <c r="BL316" s="78"/>
      <c r="BM316" s="78"/>
      <c r="BN316" s="78"/>
      <c r="BO316" s="78"/>
      <c r="BP316" s="78"/>
      <c r="BQ316" s="78"/>
      <c r="BR316" s="78"/>
      <c r="BS316" s="78"/>
      <c r="BT316" s="78"/>
      <c r="BU316" s="78"/>
      <c r="BV316" s="78"/>
      <c r="BW316" s="78"/>
      <c r="BX316" s="78"/>
      <c r="BY316" s="78"/>
      <c r="BZ316" s="78"/>
      <c r="CA316" s="78"/>
      <c r="CB316" s="78"/>
      <c r="CC316" s="78"/>
      <c r="CD316" s="78"/>
      <c r="CE316" s="78"/>
      <c r="CF316" s="78"/>
      <c r="CG316" s="78"/>
      <c r="CH316" s="78"/>
      <c r="CI316" s="78"/>
      <c r="CJ316" s="78"/>
      <c r="CK316" s="78"/>
      <c r="CL316" s="78"/>
      <c r="CM316" s="78"/>
      <c r="CN316" s="78"/>
      <c r="CO316" s="78"/>
      <c r="CP316" s="78"/>
      <c r="CQ316" s="78"/>
      <c r="CR316" s="78"/>
      <c r="CS316" s="78"/>
      <c r="CT316" s="78"/>
      <c r="CU316" s="78"/>
      <c r="CV316" s="78"/>
      <c r="CW316" s="78"/>
      <c r="CX316" s="78"/>
      <c r="CY316" s="78"/>
      <c r="CZ316" s="78"/>
      <c r="DA316" s="78"/>
      <c r="DB316" s="78"/>
      <c r="DC316" s="78"/>
      <c r="DD316" s="78"/>
      <c r="DE316" s="78"/>
      <c r="DF316" s="78"/>
      <c r="DG316" s="78"/>
      <c r="DH316" s="78"/>
      <c r="DI316" s="78"/>
      <c r="DJ316" s="78"/>
      <c r="DK316" s="78"/>
      <c r="DL316" s="78"/>
      <c r="DM316" s="78"/>
      <c r="DN316" s="78"/>
      <c r="DO316" s="78"/>
      <c r="DP316" s="78"/>
      <c r="DQ316" s="78"/>
      <c r="DR316" s="78"/>
      <c r="DS316" s="78"/>
      <c r="DT316" s="78"/>
      <c r="DU316" s="78"/>
      <c r="DV316" s="78"/>
      <c r="DW316" s="78"/>
      <c r="DX316" s="78"/>
      <c r="DY316" s="78"/>
      <c r="DZ316" s="78"/>
      <c r="EA316" s="78"/>
      <c r="EB316" s="78"/>
      <c r="EC316" s="78"/>
      <c r="ED316" s="78"/>
      <c r="EE316" s="78"/>
      <c r="EF316" s="78"/>
      <c r="EG316" s="78"/>
      <c r="EH316" s="78"/>
      <c r="EI316" s="78"/>
      <c r="EJ316" s="78"/>
      <c r="EK316" s="78"/>
      <c r="EL316" s="78"/>
      <c r="EM316" s="78"/>
      <c r="EN316" s="91"/>
      <c r="EO316" s="91"/>
      <c r="EP316" s="91"/>
      <c r="EQ316" s="91"/>
      <c r="ER316" s="91"/>
      <c r="ES316" s="91"/>
    </row>
    <row r="317" spans="1:149" outlineLevel="1">
      <c r="A317" s="29" t="str">
        <f t="shared" si="302"/>
        <v>modesg_inp_emss_vclsscp3_ftr_emss</v>
      </c>
      <c r="B317" s="67" t="s">
        <v>26</v>
      </c>
      <c r="C317" s="68" t="s">
        <v>181</v>
      </c>
      <c r="D317" s="64" t="s">
        <v>40</v>
      </c>
      <c r="E317" s="66" t="s">
        <v>212</v>
      </c>
      <c r="F317" s="64" t="s">
        <v>235</v>
      </c>
      <c r="G317" s="64" t="str">
        <f>INDEX(Auxiliar!$B$16:$B$24,MATCH(Plano_V3!H317,Auxiliar!$C$16:$C$24,0),1)</f>
        <v>1. Concluído</v>
      </c>
      <c r="H317" s="64">
        <f>VLOOKUP(A317,'Aux - pivots1'!$A:$B,2,0)</f>
        <v>1</v>
      </c>
      <c r="I317" s="180">
        <f>SUMIFS(Table1[Estimação (horas)],Table1[Tabela],Plano_V3!E317,Table1[Campo],Plano_V3!F317)</f>
        <v>0.6</v>
      </c>
      <c r="J317" s="180">
        <f t="shared" si="41"/>
        <v>7.4999999999999997E-2</v>
      </c>
      <c r="K317" s="180">
        <f>SUMIFS(Table1[Horas efetivas],Table1[Tabela],Plano_V3!E317,Table1[Campo],Plano_V3!F317)</f>
        <v>0.6</v>
      </c>
      <c r="L317" s="180">
        <f t="shared" si="42"/>
        <v>7.4999999999999997E-2</v>
      </c>
      <c r="M317" s="174"/>
      <c r="N317" s="174">
        <f t="shared" si="43"/>
        <v>1</v>
      </c>
      <c r="O317" s="174">
        <f t="shared" si="300"/>
        <v>1</v>
      </c>
      <c r="P317" s="89" t="s">
        <v>39</v>
      </c>
      <c r="Q317" s="90">
        <f t="shared" si="301"/>
        <v>7.4999999999999997E-2</v>
      </c>
      <c r="R317" s="78"/>
      <c r="S317" s="78"/>
      <c r="T317" s="78"/>
      <c r="U317" s="78"/>
      <c r="V317" s="78"/>
      <c r="W317" s="78"/>
      <c r="X317" s="78"/>
      <c r="Y317" s="78"/>
      <c r="Z317" s="78"/>
      <c r="AA317" s="78"/>
      <c r="AB317" s="78"/>
      <c r="AC317" s="78"/>
      <c r="AD317" s="78"/>
      <c r="AE317" s="78"/>
      <c r="AF317" s="78"/>
      <c r="AG317" s="78"/>
      <c r="AH317" s="78"/>
      <c r="AI317" s="78"/>
      <c r="AJ317" s="78"/>
      <c r="AK317" s="78"/>
      <c r="AL317" s="78"/>
      <c r="AM317" s="78"/>
      <c r="AN317" s="78"/>
      <c r="AO317" s="78"/>
      <c r="AP317" s="78"/>
      <c r="AQ317" s="78"/>
      <c r="AR317" s="78"/>
      <c r="AS317" s="78"/>
      <c r="AT317" s="78"/>
      <c r="AU317" s="78"/>
      <c r="AV317" s="78"/>
      <c r="AW317" s="78"/>
      <c r="AX317" s="78"/>
      <c r="AY317" s="91"/>
      <c r="AZ317" s="78"/>
      <c r="BA317" s="78"/>
      <c r="BB317" s="78"/>
      <c r="BC317" s="78"/>
      <c r="BD317" s="78"/>
      <c r="BE317" s="78"/>
      <c r="BF317" s="78"/>
      <c r="BG317" s="78"/>
      <c r="BH317" s="78"/>
      <c r="BI317" s="78"/>
      <c r="BJ317" s="78"/>
      <c r="BK317" s="78"/>
      <c r="BL317" s="78"/>
      <c r="BM317" s="78"/>
      <c r="BN317" s="78"/>
      <c r="BO317" s="78"/>
      <c r="BP317" s="78"/>
      <c r="BQ317" s="78"/>
      <c r="BR317" s="78"/>
      <c r="BS317" s="78"/>
      <c r="BT317" s="78"/>
      <c r="BU317" s="78"/>
      <c r="BV317" s="78"/>
      <c r="BW317" s="78"/>
      <c r="BX317" s="78"/>
      <c r="BY317" s="78"/>
      <c r="BZ317" s="78"/>
      <c r="CA317" s="78"/>
      <c r="CB317" s="78"/>
      <c r="CC317" s="78"/>
      <c r="CD317" s="78"/>
      <c r="CE317" s="78"/>
      <c r="CF317" s="78"/>
      <c r="CG317" s="78"/>
      <c r="CH317" s="78"/>
      <c r="CI317" s="78"/>
      <c r="CJ317" s="78"/>
      <c r="CK317" s="78"/>
      <c r="CL317" s="78"/>
      <c r="CM317" s="78"/>
      <c r="CN317" s="78"/>
      <c r="CO317" s="78"/>
      <c r="CP317" s="78"/>
      <c r="CQ317" s="78"/>
      <c r="CR317" s="78"/>
      <c r="CS317" s="78"/>
      <c r="CT317" s="78"/>
      <c r="CU317" s="78"/>
      <c r="CV317" s="78"/>
      <c r="CW317" s="78"/>
      <c r="CX317" s="78"/>
      <c r="CY317" s="78"/>
      <c r="CZ317" s="78"/>
      <c r="DA317" s="78"/>
      <c r="DB317" s="78"/>
      <c r="DC317" s="78"/>
      <c r="DD317" s="78"/>
      <c r="DE317" s="78"/>
      <c r="DF317" s="78"/>
      <c r="DG317" s="78"/>
      <c r="DH317" s="78"/>
      <c r="DI317" s="78"/>
      <c r="DJ317" s="78"/>
      <c r="DK317" s="78"/>
      <c r="DL317" s="78"/>
      <c r="DM317" s="78"/>
      <c r="DN317" s="78"/>
      <c r="DO317" s="78"/>
      <c r="DP317" s="78"/>
      <c r="DQ317" s="78"/>
      <c r="DR317" s="78"/>
      <c r="DS317" s="78"/>
      <c r="DT317" s="78"/>
      <c r="DU317" s="78"/>
      <c r="DV317" s="78"/>
      <c r="DW317" s="78"/>
      <c r="DX317" s="78"/>
      <c r="DY317" s="78"/>
      <c r="DZ317" s="78"/>
      <c r="EA317" s="78"/>
      <c r="EB317" s="78"/>
      <c r="EC317" s="78"/>
      <c r="ED317" s="78"/>
      <c r="EE317" s="78"/>
      <c r="EF317" s="78"/>
      <c r="EG317" s="78"/>
      <c r="EH317" s="78"/>
      <c r="EI317" s="78"/>
      <c r="EJ317" s="78"/>
      <c r="EK317" s="78"/>
      <c r="EL317" s="78"/>
      <c r="EM317" s="78"/>
      <c r="EN317" s="91"/>
      <c r="EO317" s="91"/>
      <c r="EP317" s="91"/>
      <c r="EQ317" s="91"/>
      <c r="ER317" s="91"/>
      <c r="ES317" s="91"/>
    </row>
    <row r="318" spans="1:149" outlineLevel="1">
      <c r="A318" s="29" t="str">
        <f t="shared" si="302"/>
        <v>modesg_inp_km_medios_emss_vclsref_date</v>
      </c>
      <c r="B318" s="67" t="s">
        <v>26</v>
      </c>
      <c r="C318" s="68" t="s">
        <v>181</v>
      </c>
      <c r="D318" s="64" t="s">
        <v>40</v>
      </c>
      <c r="E318" s="66" t="s">
        <v>213</v>
      </c>
      <c r="F318" s="64" t="s">
        <v>208</v>
      </c>
      <c r="G318" s="64" t="str">
        <f>INDEX(Auxiliar!$B$16:$B$24,MATCH(Plano_V3!H318,Auxiliar!$C$16:$C$24,0),1)</f>
        <v>1. Concluído</v>
      </c>
      <c r="H318" s="64">
        <f>VLOOKUP(A318,'Aux - pivots1'!$A:$B,2,0)</f>
        <v>1</v>
      </c>
      <c r="I318" s="180">
        <f>SUMIFS(Table1[Estimação (horas)],Table1[Tabela],Plano_V3!E318,Table1[Campo],Plano_V3!F318)</f>
        <v>0.5</v>
      </c>
      <c r="J318" s="180">
        <f t="shared" si="41"/>
        <v>6.25E-2</v>
      </c>
      <c r="K318" s="180">
        <f>SUMIFS(Table1[Horas efetivas],Table1[Tabela],Plano_V3!E318,Table1[Campo],Plano_V3!F318)</f>
        <v>0.5</v>
      </c>
      <c r="L318" s="180">
        <f t="shared" si="42"/>
        <v>6.25E-2</v>
      </c>
      <c r="M318" s="174"/>
      <c r="N318" s="174">
        <f t="shared" si="43"/>
        <v>1</v>
      </c>
      <c r="O318" s="174">
        <f t="shared" si="300"/>
        <v>1</v>
      </c>
      <c r="P318" s="89" t="s">
        <v>39</v>
      </c>
      <c r="Q318" s="90">
        <f t="shared" si="301"/>
        <v>6.25E-2</v>
      </c>
      <c r="R318" s="78"/>
      <c r="S318" s="78"/>
      <c r="T318" s="78"/>
      <c r="U318" s="78"/>
      <c r="V318" s="78"/>
      <c r="W318" s="78"/>
      <c r="X318" s="78"/>
      <c r="Y318" s="78"/>
      <c r="Z318" s="78"/>
      <c r="AA318" s="78"/>
      <c r="AB318" s="78"/>
      <c r="AC318" s="78"/>
      <c r="AD318" s="78"/>
      <c r="AE318" s="78"/>
      <c r="AF318" s="78"/>
      <c r="AG318" s="78"/>
      <c r="AH318" s="78"/>
      <c r="AI318" s="78"/>
      <c r="AJ318" s="78"/>
      <c r="AK318" s="78"/>
      <c r="AL318" s="78"/>
      <c r="AM318" s="78"/>
      <c r="AN318" s="78"/>
      <c r="AO318" s="78"/>
      <c r="AP318" s="78"/>
      <c r="AQ318" s="78"/>
      <c r="AR318" s="78"/>
      <c r="AS318" s="78"/>
      <c r="AT318" s="78"/>
      <c r="AU318" s="78"/>
      <c r="AV318" s="78"/>
      <c r="AW318" s="78"/>
      <c r="AX318" s="78"/>
      <c r="AY318" s="91"/>
      <c r="AZ318" s="78"/>
      <c r="BA318" s="78"/>
      <c r="BB318" s="78"/>
      <c r="BC318" s="78"/>
      <c r="BD318" s="78"/>
      <c r="BE318" s="78"/>
      <c r="BF318" s="78"/>
      <c r="BG318" s="78"/>
      <c r="BH318" s="78"/>
      <c r="BI318" s="78"/>
      <c r="BJ318" s="78"/>
      <c r="BK318" s="78"/>
      <c r="BL318" s="78"/>
      <c r="BM318" s="78"/>
      <c r="BN318" s="78"/>
      <c r="BO318" s="78"/>
      <c r="BP318" s="78"/>
      <c r="BQ318" s="78"/>
      <c r="BR318" s="78"/>
      <c r="BS318" s="78"/>
      <c r="BT318" s="78"/>
      <c r="BU318" s="78"/>
      <c r="BV318" s="78"/>
      <c r="BW318" s="78"/>
      <c r="BX318" s="78"/>
      <c r="BY318" s="78"/>
      <c r="BZ318" s="78"/>
      <c r="CA318" s="78"/>
      <c r="CB318" s="78"/>
      <c r="CC318" s="78"/>
      <c r="CD318" s="78"/>
      <c r="CE318" s="78"/>
      <c r="CF318" s="78"/>
      <c r="CG318" s="78"/>
      <c r="CH318" s="78"/>
      <c r="CI318" s="78"/>
      <c r="CJ318" s="78"/>
      <c r="CK318" s="78"/>
      <c r="CL318" s="78"/>
      <c r="CM318" s="78"/>
      <c r="CN318" s="78"/>
      <c r="CO318" s="78"/>
      <c r="CP318" s="78"/>
      <c r="CQ318" s="78"/>
      <c r="CR318" s="78"/>
      <c r="CS318" s="78"/>
      <c r="CT318" s="78"/>
      <c r="CU318" s="78"/>
      <c r="CV318" s="78"/>
      <c r="CW318" s="78"/>
      <c r="CX318" s="78"/>
      <c r="CY318" s="78"/>
      <c r="CZ318" s="78"/>
      <c r="DA318" s="78"/>
      <c r="DB318" s="78"/>
      <c r="DC318" s="78"/>
      <c r="DD318" s="78"/>
      <c r="DE318" s="78"/>
      <c r="DF318" s="78"/>
      <c r="DG318" s="78"/>
      <c r="DH318" s="78"/>
      <c r="DI318" s="78"/>
      <c r="DJ318" s="78"/>
      <c r="DK318" s="78"/>
      <c r="DL318" s="78"/>
      <c r="DM318" s="78"/>
      <c r="DN318" s="78"/>
      <c r="DO318" s="78"/>
      <c r="DP318" s="78"/>
      <c r="DQ318" s="78"/>
      <c r="DR318" s="78"/>
      <c r="DS318" s="78"/>
      <c r="DT318" s="78"/>
      <c r="DU318" s="78"/>
      <c r="DV318" s="78"/>
      <c r="DW318" s="78"/>
      <c r="DX318" s="78"/>
      <c r="DY318" s="78"/>
      <c r="DZ318" s="78"/>
      <c r="EA318" s="78"/>
      <c r="EB318" s="78"/>
      <c r="EC318" s="78"/>
      <c r="ED318" s="78"/>
      <c r="EE318" s="78"/>
      <c r="EF318" s="78"/>
      <c r="EG318" s="78"/>
      <c r="EH318" s="78"/>
      <c r="EI318" s="78"/>
      <c r="EJ318" s="78"/>
      <c r="EK318" s="78"/>
      <c r="EL318" s="78"/>
      <c r="EM318" s="78"/>
      <c r="EN318" s="91"/>
      <c r="EO318" s="91"/>
      <c r="EP318" s="91"/>
      <c r="EQ318" s="91"/>
      <c r="ER318" s="91"/>
      <c r="ES318" s="91"/>
    </row>
    <row r="319" spans="1:149" outlineLevel="1">
      <c r="A319" s="29" t="str">
        <f t="shared" si="302"/>
        <v>modesg_inp_km_medios_emss_vclsnome_pais</v>
      </c>
      <c r="B319" s="67" t="s">
        <v>26</v>
      </c>
      <c r="C319" s="68" t="s">
        <v>181</v>
      </c>
      <c r="D319" s="64" t="s">
        <v>40</v>
      </c>
      <c r="E319" s="66" t="s">
        <v>213</v>
      </c>
      <c r="F319" s="64" t="s">
        <v>221</v>
      </c>
      <c r="G319" s="64" t="str">
        <f>INDEX(Auxiliar!$B$16:$B$24,MATCH(Plano_V3!H319,Auxiliar!$C$16:$C$24,0),1)</f>
        <v>1. Concluído</v>
      </c>
      <c r="H319" s="64">
        <f>VLOOKUP(A319,'Aux - pivots1'!$A:$B,2,0)</f>
        <v>1</v>
      </c>
      <c r="I319" s="180">
        <f>SUMIFS(Table1[Estimação (horas)],Table1[Tabela],Plano_V3!E319,Table1[Campo],Plano_V3!F319)</f>
        <v>0.6</v>
      </c>
      <c r="J319" s="180">
        <f t="shared" si="41"/>
        <v>7.4999999999999997E-2</v>
      </c>
      <c r="K319" s="180">
        <f>SUMIFS(Table1[Horas efetivas],Table1[Tabela],Plano_V3!E319,Table1[Campo],Plano_V3!F319)</f>
        <v>0.6</v>
      </c>
      <c r="L319" s="180">
        <f t="shared" si="42"/>
        <v>7.4999999999999997E-2</v>
      </c>
      <c r="M319" s="174"/>
      <c r="N319" s="174">
        <f t="shared" si="43"/>
        <v>1</v>
      </c>
      <c r="O319" s="174">
        <f t="shared" si="300"/>
        <v>1</v>
      </c>
      <c r="P319" s="89" t="s">
        <v>39</v>
      </c>
      <c r="Q319" s="90">
        <f t="shared" si="301"/>
        <v>7.4999999999999997E-2</v>
      </c>
      <c r="R319" s="78"/>
      <c r="S319" s="78"/>
      <c r="T319" s="78"/>
      <c r="U319" s="78"/>
      <c r="V319" s="78"/>
      <c r="W319" s="78"/>
      <c r="X319" s="78"/>
      <c r="Y319" s="78"/>
      <c r="Z319" s="78"/>
      <c r="AA319" s="78"/>
      <c r="AB319" s="78"/>
      <c r="AC319" s="78"/>
      <c r="AD319" s="78"/>
      <c r="AE319" s="78"/>
      <c r="AF319" s="78"/>
      <c r="AG319" s="78"/>
      <c r="AH319" s="78"/>
      <c r="AI319" s="78"/>
      <c r="AJ319" s="78"/>
      <c r="AK319" s="78"/>
      <c r="AL319" s="78"/>
      <c r="AM319" s="78"/>
      <c r="AN319" s="78"/>
      <c r="AO319" s="78"/>
      <c r="AP319" s="78"/>
      <c r="AQ319" s="78"/>
      <c r="AR319" s="78"/>
      <c r="AS319" s="78"/>
      <c r="AT319" s="78"/>
      <c r="AU319" s="78"/>
      <c r="AV319" s="78"/>
      <c r="AW319" s="78"/>
      <c r="AX319" s="78"/>
      <c r="AY319" s="91"/>
      <c r="AZ319" s="78"/>
      <c r="BA319" s="78"/>
      <c r="BB319" s="78"/>
      <c r="BC319" s="78"/>
      <c r="BD319" s="78"/>
      <c r="BE319" s="78"/>
      <c r="BF319" s="78"/>
      <c r="BG319" s="78"/>
      <c r="BH319" s="78"/>
      <c r="BI319" s="78"/>
      <c r="BJ319" s="78"/>
      <c r="BK319" s="78"/>
      <c r="BL319" s="78"/>
      <c r="BM319" s="78"/>
      <c r="BN319" s="78"/>
      <c r="BO319" s="78"/>
      <c r="BP319" s="78"/>
      <c r="BQ319" s="78"/>
      <c r="BR319" s="78"/>
      <c r="BS319" s="78"/>
      <c r="BT319" s="78"/>
      <c r="BU319" s="78"/>
      <c r="BV319" s="78"/>
      <c r="BW319" s="78"/>
      <c r="BX319" s="78"/>
      <c r="BY319" s="78"/>
      <c r="BZ319" s="78"/>
      <c r="CA319" s="78"/>
      <c r="CB319" s="78"/>
      <c r="CC319" s="78"/>
      <c r="CD319" s="78"/>
      <c r="CE319" s="78"/>
      <c r="CF319" s="78"/>
      <c r="CG319" s="78"/>
      <c r="CH319" s="78"/>
      <c r="CI319" s="78"/>
      <c r="CJ319" s="78"/>
      <c r="CK319" s="78"/>
      <c r="CL319" s="78"/>
      <c r="CM319" s="78"/>
      <c r="CN319" s="78"/>
      <c r="CO319" s="78"/>
      <c r="CP319" s="78"/>
      <c r="CQ319" s="78"/>
      <c r="CR319" s="78"/>
      <c r="CS319" s="78"/>
      <c r="CT319" s="78"/>
      <c r="CU319" s="78"/>
      <c r="CV319" s="78"/>
      <c r="CW319" s="78"/>
      <c r="CX319" s="78"/>
      <c r="CY319" s="78"/>
      <c r="CZ319" s="78"/>
      <c r="DA319" s="78"/>
      <c r="DB319" s="78"/>
      <c r="DC319" s="78"/>
      <c r="DD319" s="78"/>
      <c r="DE319" s="78"/>
      <c r="DF319" s="78"/>
      <c r="DG319" s="78"/>
      <c r="DH319" s="78"/>
      <c r="DI319" s="78"/>
      <c r="DJ319" s="78"/>
      <c r="DK319" s="78"/>
      <c r="DL319" s="78"/>
      <c r="DM319" s="78"/>
      <c r="DN319" s="78"/>
      <c r="DO319" s="78"/>
      <c r="DP319" s="78"/>
      <c r="DQ319" s="78"/>
      <c r="DR319" s="78"/>
      <c r="DS319" s="78"/>
      <c r="DT319" s="78"/>
      <c r="DU319" s="78"/>
      <c r="DV319" s="78"/>
      <c r="DW319" s="78"/>
      <c r="DX319" s="78"/>
      <c r="DY319" s="78"/>
      <c r="DZ319" s="78"/>
      <c r="EA319" s="78"/>
      <c r="EB319" s="78"/>
      <c r="EC319" s="78"/>
      <c r="ED319" s="78"/>
      <c r="EE319" s="78"/>
      <c r="EF319" s="78"/>
      <c r="EG319" s="78"/>
      <c r="EH319" s="78"/>
      <c r="EI319" s="78"/>
      <c r="EJ319" s="78"/>
      <c r="EK319" s="78"/>
      <c r="EL319" s="78"/>
      <c r="EM319" s="78"/>
      <c r="EN319" s="91"/>
      <c r="EO319" s="91"/>
      <c r="EP319" s="91"/>
      <c r="EQ319" s="91"/>
      <c r="ER319" s="91"/>
      <c r="ES319" s="91"/>
    </row>
    <row r="320" spans="1:149" outlineLevel="1">
      <c r="A320" s="29" t="str">
        <f t="shared" si="302"/>
        <v>modesg_inp_km_medios_emss_vclstipo_vcl</v>
      </c>
      <c r="B320" s="67" t="s">
        <v>26</v>
      </c>
      <c r="C320" s="68" t="s">
        <v>181</v>
      </c>
      <c r="D320" s="64" t="s">
        <v>40</v>
      </c>
      <c r="E320" s="66" t="s">
        <v>213</v>
      </c>
      <c r="F320" s="64" t="s">
        <v>236</v>
      </c>
      <c r="G320" s="64" t="str">
        <f>INDEX(Auxiliar!$B$16:$B$24,MATCH(Plano_V3!H320,Auxiliar!$C$16:$C$24,0),1)</f>
        <v>1. Concluído</v>
      </c>
      <c r="H320" s="64">
        <f>VLOOKUP(A320,'Aux - pivots1'!$A:$B,2,0)</f>
        <v>1</v>
      </c>
      <c r="I320" s="180">
        <f>SUMIFS(Table1[Estimação (horas)],Table1[Tabela],Plano_V3!E320,Table1[Campo],Plano_V3!F320)</f>
        <v>0.6</v>
      </c>
      <c r="J320" s="180">
        <f t="shared" si="41"/>
        <v>7.4999999999999997E-2</v>
      </c>
      <c r="K320" s="180">
        <f>SUMIFS(Table1[Horas efetivas],Table1[Tabela],Plano_V3!E320,Table1[Campo],Plano_V3!F320)</f>
        <v>0.6</v>
      </c>
      <c r="L320" s="180">
        <f t="shared" si="42"/>
        <v>7.4999999999999997E-2</v>
      </c>
      <c r="M320" s="174"/>
      <c r="N320" s="174">
        <f t="shared" si="43"/>
        <v>1</v>
      </c>
      <c r="O320" s="174">
        <f t="shared" si="300"/>
        <v>1</v>
      </c>
      <c r="P320" s="89" t="s">
        <v>39</v>
      </c>
      <c r="Q320" s="90">
        <f t="shared" si="301"/>
        <v>7.4999999999999997E-2</v>
      </c>
      <c r="R320" s="78"/>
      <c r="S320" s="78"/>
      <c r="T320" s="78"/>
      <c r="U320" s="78"/>
      <c r="V320" s="78"/>
      <c r="W320" s="78"/>
      <c r="X320" s="78"/>
      <c r="Y320" s="78"/>
      <c r="Z320" s="78"/>
      <c r="AA320" s="78"/>
      <c r="AB320" s="78"/>
      <c r="AC320" s="78"/>
      <c r="AD320" s="78"/>
      <c r="AE320" s="78"/>
      <c r="AF320" s="78"/>
      <c r="AG320" s="78"/>
      <c r="AH320" s="78"/>
      <c r="AI320" s="78"/>
      <c r="AJ320" s="78"/>
      <c r="AK320" s="78"/>
      <c r="AL320" s="78"/>
      <c r="AM320" s="78"/>
      <c r="AN320" s="78"/>
      <c r="AO320" s="78"/>
      <c r="AP320" s="78"/>
      <c r="AQ320" s="78"/>
      <c r="AR320" s="78"/>
      <c r="AS320" s="78"/>
      <c r="AT320" s="78"/>
      <c r="AU320" s="78"/>
      <c r="AV320" s="78"/>
      <c r="AW320" s="78"/>
      <c r="AX320" s="78"/>
      <c r="AY320" s="91"/>
      <c r="AZ320" s="78"/>
      <c r="BA320" s="78"/>
      <c r="BB320" s="78"/>
      <c r="BC320" s="78"/>
      <c r="BD320" s="78"/>
      <c r="BE320" s="78"/>
      <c r="BF320" s="78"/>
      <c r="BG320" s="78"/>
      <c r="BH320" s="78"/>
      <c r="BI320" s="78"/>
      <c r="BJ320" s="78"/>
      <c r="BK320" s="78"/>
      <c r="BL320" s="78"/>
      <c r="BM320" s="78"/>
      <c r="BN320" s="78"/>
      <c r="BO320" s="78"/>
      <c r="BP320" s="78"/>
      <c r="BQ320" s="78"/>
      <c r="BR320" s="78"/>
      <c r="BS320" s="78"/>
      <c r="BT320" s="78"/>
      <c r="BU320" s="78"/>
      <c r="BV320" s="78"/>
      <c r="BW320" s="78"/>
      <c r="BX320" s="78"/>
      <c r="BY320" s="78"/>
      <c r="BZ320" s="78"/>
      <c r="CA320" s="78"/>
      <c r="CB320" s="78"/>
      <c r="CC320" s="78"/>
      <c r="CD320" s="78"/>
      <c r="CE320" s="78"/>
      <c r="CF320" s="78"/>
      <c r="CG320" s="78"/>
      <c r="CH320" s="78"/>
      <c r="CI320" s="78"/>
      <c r="CJ320" s="78"/>
      <c r="CK320" s="78"/>
      <c r="CL320" s="78"/>
      <c r="CM320" s="78"/>
      <c r="CN320" s="78"/>
      <c r="CO320" s="78"/>
      <c r="CP320" s="78"/>
      <c r="CQ320" s="78"/>
      <c r="CR320" s="78"/>
      <c r="CS320" s="78"/>
      <c r="CT320" s="78"/>
      <c r="CU320" s="78"/>
      <c r="CV320" s="78"/>
      <c r="CW320" s="78"/>
      <c r="CX320" s="78"/>
      <c r="CY320" s="78"/>
      <c r="CZ320" s="78"/>
      <c r="DA320" s="78"/>
      <c r="DB320" s="78"/>
      <c r="DC320" s="78"/>
      <c r="DD320" s="78"/>
      <c r="DE320" s="78"/>
      <c r="DF320" s="78"/>
      <c r="DG320" s="78"/>
      <c r="DH320" s="78"/>
      <c r="DI320" s="78"/>
      <c r="DJ320" s="78"/>
      <c r="DK320" s="78"/>
      <c r="DL320" s="78"/>
      <c r="DM320" s="78"/>
      <c r="DN320" s="78"/>
      <c r="DO320" s="78"/>
      <c r="DP320" s="78"/>
      <c r="DQ320" s="78"/>
      <c r="DR320" s="78"/>
      <c r="DS320" s="78"/>
      <c r="DT320" s="78"/>
      <c r="DU320" s="78"/>
      <c r="DV320" s="78"/>
      <c r="DW320" s="78"/>
      <c r="DX320" s="78"/>
      <c r="DY320" s="78"/>
      <c r="DZ320" s="78"/>
      <c r="EA320" s="78"/>
      <c r="EB320" s="78"/>
      <c r="EC320" s="78"/>
      <c r="ED320" s="78"/>
      <c r="EE320" s="78"/>
      <c r="EF320" s="78"/>
      <c r="EG320" s="78"/>
      <c r="EH320" s="78"/>
      <c r="EI320" s="78"/>
      <c r="EJ320" s="78"/>
      <c r="EK320" s="78"/>
      <c r="EL320" s="78"/>
      <c r="EM320" s="78"/>
      <c r="EN320" s="91"/>
      <c r="EO320" s="91"/>
      <c r="EP320" s="91"/>
      <c r="EQ320" s="91"/>
      <c r="ER320" s="91"/>
      <c r="ES320" s="91"/>
    </row>
    <row r="321" spans="1:149" outlineLevel="1">
      <c r="A321" s="29" t="str">
        <f t="shared" si="302"/>
        <v>modesg_inp_km_medios_emss_vclstipo_motor</v>
      </c>
      <c r="B321" s="67" t="s">
        <v>26</v>
      </c>
      <c r="C321" s="68" t="s">
        <v>181</v>
      </c>
      <c r="D321" s="64" t="s">
        <v>40</v>
      </c>
      <c r="E321" s="66" t="s">
        <v>213</v>
      </c>
      <c r="F321" s="64" t="s">
        <v>224</v>
      </c>
      <c r="G321" s="64" t="str">
        <f>INDEX(Auxiliar!$B$16:$B$24,MATCH(Plano_V3!H321,Auxiliar!$C$16:$C$24,0),1)</f>
        <v>1. Concluído</v>
      </c>
      <c r="H321" s="64">
        <f>VLOOKUP(A321,'Aux - pivots1'!$A:$B,2,0)</f>
        <v>1</v>
      </c>
      <c r="I321" s="180">
        <f>SUMIFS(Table1[Estimação (horas)],Table1[Tabela],Plano_V3!E321,Table1[Campo],Plano_V3!F321)</f>
        <v>0.6</v>
      </c>
      <c r="J321" s="180">
        <f t="shared" si="41"/>
        <v>7.4999999999999997E-2</v>
      </c>
      <c r="K321" s="180">
        <f>SUMIFS(Table1[Horas efetivas],Table1[Tabela],Plano_V3!E321,Table1[Campo],Plano_V3!F321)</f>
        <v>0.6</v>
      </c>
      <c r="L321" s="180">
        <f t="shared" si="42"/>
        <v>7.4999999999999997E-2</v>
      </c>
      <c r="M321" s="174"/>
      <c r="N321" s="174">
        <f t="shared" si="43"/>
        <v>1</v>
      </c>
      <c r="O321" s="174">
        <f t="shared" si="300"/>
        <v>1</v>
      </c>
      <c r="P321" s="89" t="s">
        <v>39</v>
      </c>
      <c r="Q321" s="90">
        <f t="shared" si="301"/>
        <v>7.4999999999999997E-2</v>
      </c>
      <c r="R321" s="78"/>
      <c r="S321" s="78"/>
      <c r="T321" s="78"/>
      <c r="U321" s="78"/>
      <c r="V321" s="78"/>
      <c r="W321" s="78"/>
      <c r="X321" s="78"/>
      <c r="Y321" s="78"/>
      <c r="Z321" s="78"/>
      <c r="AA321" s="78"/>
      <c r="AB321" s="78"/>
      <c r="AC321" s="78"/>
      <c r="AD321" s="78"/>
      <c r="AE321" s="78"/>
      <c r="AF321" s="78"/>
      <c r="AG321" s="78"/>
      <c r="AH321" s="78"/>
      <c r="AI321" s="78"/>
      <c r="AJ321" s="78"/>
      <c r="AK321" s="78"/>
      <c r="AL321" s="78"/>
      <c r="AM321" s="78"/>
      <c r="AN321" s="78"/>
      <c r="AO321" s="78"/>
      <c r="AP321" s="78"/>
      <c r="AQ321" s="78"/>
      <c r="AR321" s="78"/>
      <c r="AS321" s="78"/>
      <c r="AT321" s="78"/>
      <c r="AU321" s="78"/>
      <c r="AV321" s="78"/>
      <c r="AW321" s="78"/>
      <c r="AX321" s="78"/>
      <c r="AY321" s="91"/>
      <c r="AZ321" s="78"/>
      <c r="BA321" s="78"/>
      <c r="BB321" s="78"/>
      <c r="BC321" s="78"/>
      <c r="BD321" s="78"/>
      <c r="BE321" s="78"/>
      <c r="BF321" s="78"/>
      <c r="BG321" s="78"/>
      <c r="BH321" s="78"/>
      <c r="BI321" s="78"/>
      <c r="BJ321" s="78"/>
      <c r="BK321" s="78"/>
      <c r="BL321" s="78"/>
      <c r="BM321" s="78"/>
      <c r="BN321" s="78"/>
      <c r="BO321" s="78"/>
      <c r="BP321" s="78"/>
      <c r="BQ321" s="78"/>
      <c r="BR321" s="78"/>
      <c r="BS321" s="78"/>
      <c r="BT321" s="78"/>
      <c r="BU321" s="78"/>
      <c r="BV321" s="78"/>
      <c r="BW321" s="78"/>
      <c r="BX321" s="78"/>
      <c r="BY321" s="78"/>
      <c r="BZ321" s="78"/>
      <c r="CA321" s="78"/>
      <c r="CB321" s="78"/>
      <c r="CC321" s="78"/>
      <c r="CD321" s="78"/>
      <c r="CE321" s="78"/>
      <c r="CF321" s="78"/>
      <c r="CG321" s="78"/>
      <c r="CH321" s="78"/>
      <c r="CI321" s="78"/>
      <c r="CJ321" s="78"/>
      <c r="CK321" s="78"/>
      <c r="CL321" s="78"/>
      <c r="CM321" s="78"/>
      <c r="CN321" s="78"/>
      <c r="CO321" s="78"/>
      <c r="CP321" s="78"/>
      <c r="CQ321" s="78"/>
      <c r="CR321" s="78"/>
      <c r="CS321" s="78"/>
      <c r="CT321" s="78"/>
      <c r="CU321" s="78"/>
      <c r="CV321" s="78"/>
      <c r="CW321" s="78"/>
      <c r="CX321" s="78"/>
      <c r="CY321" s="78"/>
      <c r="CZ321" s="78"/>
      <c r="DA321" s="78"/>
      <c r="DB321" s="78"/>
      <c r="DC321" s="78"/>
      <c r="DD321" s="78"/>
      <c r="DE321" s="78"/>
      <c r="DF321" s="78"/>
      <c r="DG321" s="78"/>
      <c r="DH321" s="78"/>
      <c r="DI321" s="78"/>
      <c r="DJ321" s="78"/>
      <c r="DK321" s="78"/>
      <c r="DL321" s="78"/>
      <c r="DM321" s="78"/>
      <c r="DN321" s="78"/>
      <c r="DO321" s="78"/>
      <c r="DP321" s="78"/>
      <c r="DQ321" s="78"/>
      <c r="DR321" s="78"/>
      <c r="DS321" s="78"/>
      <c r="DT321" s="78"/>
      <c r="DU321" s="78"/>
      <c r="DV321" s="78"/>
      <c r="DW321" s="78"/>
      <c r="DX321" s="78"/>
      <c r="DY321" s="78"/>
      <c r="DZ321" s="78"/>
      <c r="EA321" s="78"/>
      <c r="EB321" s="78"/>
      <c r="EC321" s="78"/>
      <c r="ED321" s="78"/>
      <c r="EE321" s="78"/>
      <c r="EF321" s="78"/>
      <c r="EG321" s="78"/>
      <c r="EH321" s="78"/>
      <c r="EI321" s="78"/>
      <c r="EJ321" s="78"/>
      <c r="EK321" s="78"/>
      <c r="EL321" s="78"/>
      <c r="EM321" s="78"/>
      <c r="EN321" s="91"/>
      <c r="EO321" s="91"/>
      <c r="EP321" s="91"/>
      <c r="EQ321" s="91"/>
      <c r="ER321" s="91"/>
      <c r="ES321" s="91"/>
    </row>
    <row r="322" spans="1:149" outlineLevel="1">
      <c r="A322" s="29" t="str">
        <f t="shared" si="302"/>
        <v>modesg_inp_km_medios_emss_vclssubgrupo</v>
      </c>
      <c r="B322" s="67" t="s">
        <v>26</v>
      </c>
      <c r="C322" s="68" t="s">
        <v>181</v>
      </c>
      <c r="D322" s="64" t="s">
        <v>40</v>
      </c>
      <c r="E322" s="66" t="s">
        <v>213</v>
      </c>
      <c r="F322" s="64" t="s">
        <v>227</v>
      </c>
      <c r="G322" s="64" t="str">
        <f>INDEX(Auxiliar!$B$16:$B$24,MATCH(Plano_V3!H322,Auxiliar!$C$16:$C$24,0),1)</f>
        <v>1. Concluído</v>
      </c>
      <c r="H322" s="64">
        <f>VLOOKUP(A322,'Aux - pivots1'!$A:$B,2,0)</f>
        <v>1</v>
      </c>
      <c r="I322" s="180">
        <f>SUMIFS(Table1[Estimação (horas)],Table1[Tabela],Plano_V3!E322,Table1[Campo],Plano_V3!F322)</f>
        <v>0.6</v>
      </c>
      <c r="J322" s="180">
        <f t="shared" si="41"/>
        <v>7.4999999999999997E-2</v>
      </c>
      <c r="K322" s="180">
        <f>SUMIFS(Table1[Horas efetivas],Table1[Tabela],Plano_V3!E322,Table1[Campo],Plano_V3!F322)</f>
        <v>0.6</v>
      </c>
      <c r="L322" s="180">
        <f t="shared" si="42"/>
        <v>7.4999999999999997E-2</v>
      </c>
      <c r="M322" s="174"/>
      <c r="N322" s="174">
        <f t="shared" si="43"/>
        <v>1</v>
      </c>
      <c r="O322" s="174">
        <f t="shared" si="300"/>
        <v>1</v>
      </c>
      <c r="P322" s="89" t="s">
        <v>39</v>
      </c>
      <c r="Q322" s="90">
        <f t="shared" si="301"/>
        <v>7.4999999999999997E-2</v>
      </c>
      <c r="R322" s="78"/>
      <c r="S322" s="78"/>
      <c r="T322" s="78"/>
      <c r="U322" s="78"/>
      <c r="V322" s="78"/>
      <c r="W322" s="78"/>
      <c r="X322" s="78"/>
      <c r="Y322" s="78"/>
      <c r="Z322" s="78"/>
      <c r="AA322" s="78"/>
      <c r="AB322" s="78"/>
      <c r="AC322" s="78"/>
      <c r="AD322" s="78"/>
      <c r="AE322" s="78"/>
      <c r="AF322" s="78"/>
      <c r="AG322" s="78"/>
      <c r="AH322" s="78"/>
      <c r="AI322" s="78"/>
      <c r="AJ322" s="78"/>
      <c r="AK322" s="78"/>
      <c r="AL322" s="78"/>
      <c r="AM322" s="78"/>
      <c r="AN322" s="78"/>
      <c r="AO322" s="78"/>
      <c r="AP322" s="78"/>
      <c r="AQ322" s="78"/>
      <c r="AR322" s="78"/>
      <c r="AS322" s="78"/>
      <c r="AT322" s="78"/>
      <c r="AU322" s="78"/>
      <c r="AV322" s="78"/>
      <c r="AW322" s="78"/>
      <c r="AX322" s="78"/>
      <c r="AY322" s="91"/>
      <c r="AZ322" s="78"/>
      <c r="BA322" s="78"/>
      <c r="BB322" s="78"/>
      <c r="BC322" s="78"/>
      <c r="BD322" s="78"/>
      <c r="BE322" s="78"/>
      <c r="BF322" s="78"/>
      <c r="BG322" s="78"/>
      <c r="BH322" s="78"/>
      <c r="BI322" s="78"/>
      <c r="BJ322" s="78"/>
      <c r="BK322" s="78"/>
      <c r="BL322" s="78"/>
      <c r="BM322" s="78"/>
      <c r="BN322" s="78"/>
      <c r="BO322" s="78"/>
      <c r="BP322" s="78"/>
      <c r="BQ322" s="78"/>
      <c r="BR322" s="78"/>
      <c r="BS322" s="78"/>
      <c r="BT322" s="78"/>
      <c r="BU322" s="78"/>
      <c r="BV322" s="78"/>
      <c r="BW322" s="78"/>
      <c r="BX322" s="78"/>
      <c r="BY322" s="78"/>
      <c r="BZ322" s="78"/>
      <c r="CA322" s="78"/>
      <c r="CB322" s="78"/>
      <c r="CC322" s="78"/>
      <c r="CD322" s="78"/>
      <c r="CE322" s="78"/>
      <c r="CF322" s="78"/>
      <c r="CG322" s="78"/>
      <c r="CH322" s="78"/>
      <c r="CI322" s="78"/>
      <c r="CJ322" s="78"/>
      <c r="CK322" s="78"/>
      <c r="CL322" s="78"/>
      <c r="CM322" s="78"/>
      <c r="CN322" s="78"/>
      <c r="CO322" s="78"/>
      <c r="CP322" s="78"/>
      <c r="CQ322" s="78"/>
      <c r="CR322" s="78"/>
      <c r="CS322" s="78"/>
      <c r="CT322" s="78"/>
      <c r="CU322" s="78"/>
      <c r="CV322" s="78"/>
      <c r="CW322" s="78"/>
      <c r="CX322" s="78"/>
      <c r="CY322" s="78"/>
      <c r="CZ322" s="78"/>
      <c r="DA322" s="78"/>
      <c r="DB322" s="78"/>
      <c r="DC322" s="78"/>
      <c r="DD322" s="78"/>
      <c r="DE322" s="78"/>
      <c r="DF322" s="78"/>
      <c r="DG322" s="78"/>
      <c r="DH322" s="78"/>
      <c r="DI322" s="78"/>
      <c r="DJ322" s="78"/>
      <c r="DK322" s="78"/>
      <c r="DL322" s="78"/>
      <c r="DM322" s="78"/>
      <c r="DN322" s="78"/>
      <c r="DO322" s="78"/>
      <c r="DP322" s="78"/>
      <c r="DQ322" s="78"/>
      <c r="DR322" s="78"/>
      <c r="DS322" s="78"/>
      <c r="DT322" s="78"/>
      <c r="DU322" s="78"/>
      <c r="DV322" s="78"/>
      <c r="DW322" s="78"/>
      <c r="DX322" s="78"/>
      <c r="DY322" s="78"/>
      <c r="DZ322" s="78"/>
      <c r="EA322" s="78"/>
      <c r="EB322" s="78"/>
      <c r="EC322" s="78"/>
      <c r="ED322" s="78"/>
      <c r="EE322" s="78"/>
      <c r="EF322" s="78"/>
      <c r="EG322" s="78"/>
      <c r="EH322" s="78"/>
      <c r="EI322" s="78"/>
      <c r="EJ322" s="78"/>
      <c r="EK322" s="78"/>
      <c r="EL322" s="78"/>
      <c r="EM322" s="78"/>
      <c r="EN322" s="91"/>
      <c r="EO322" s="91"/>
      <c r="EP322" s="91"/>
      <c r="EQ322" s="91"/>
      <c r="ER322" s="91"/>
      <c r="ES322" s="91"/>
    </row>
    <row r="323" spans="1:149" outlineLevel="1">
      <c r="A323" s="29" t="str">
        <f t="shared" si="302"/>
        <v>modesg_inp_km_medios_emss_vclsmedia_km</v>
      </c>
      <c r="B323" s="67" t="s">
        <v>26</v>
      </c>
      <c r="C323" s="68" t="s">
        <v>181</v>
      </c>
      <c r="D323" s="64" t="s">
        <v>40</v>
      </c>
      <c r="E323" s="66" t="s">
        <v>213</v>
      </c>
      <c r="F323" s="64" t="s">
        <v>237</v>
      </c>
      <c r="G323" s="64" t="str">
        <f>INDEX(Auxiliar!$B$16:$B$24,MATCH(Plano_V3!H323,Auxiliar!$C$16:$C$24,0),1)</f>
        <v>1. Concluído</v>
      </c>
      <c r="H323" s="64">
        <f>VLOOKUP(A323,'Aux - pivots1'!$A:$B,2,0)</f>
        <v>1</v>
      </c>
      <c r="I323" s="180">
        <f>SUMIFS(Table1[Estimação (horas)],Table1[Tabela],Plano_V3!E323,Table1[Campo],Plano_V3!F323)</f>
        <v>0.6</v>
      </c>
      <c r="J323" s="180">
        <f t="shared" si="41"/>
        <v>7.4999999999999997E-2</v>
      </c>
      <c r="K323" s="180">
        <f>SUMIFS(Table1[Horas efetivas],Table1[Tabela],Plano_V3!E323,Table1[Campo],Plano_V3!F323)</f>
        <v>0.6</v>
      </c>
      <c r="L323" s="180">
        <f t="shared" si="42"/>
        <v>7.4999999999999997E-2</v>
      </c>
      <c r="M323" s="174"/>
      <c r="N323" s="174">
        <f t="shared" si="43"/>
        <v>1</v>
      </c>
      <c r="O323" s="174">
        <f t="shared" si="300"/>
        <v>1</v>
      </c>
      <c r="P323" s="89" t="s">
        <v>39</v>
      </c>
      <c r="Q323" s="90">
        <f t="shared" si="301"/>
        <v>7.4999999999999997E-2</v>
      </c>
      <c r="R323" s="78"/>
      <c r="S323" s="78"/>
      <c r="T323" s="78"/>
      <c r="U323" s="78"/>
      <c r="V323" s="78"/>
      <c r="W323" s="78"/>
      <c r="X323" s="78"/>
      <c r="Y323" s="78"/>
      <c r="Z323" s="78"/>
      <c r="AA323" s="78"/>
      <c r="AB323" s="78"/>
      <c r="AC323" s="78"/>
      <c r="AD323" s="78"/>
      <c r="AE323" s="78"/>
      <c r="AF323" s="78"/>
      <c r="AG323" s="78"/>
      <c r="AH323" s="78"/>
      <c r="AI323" s="78"/>
      <c r="AJ323" s="78"/>
      <c r="AK323" s="78"/>
      <c r="AL323" s="78"/>
      <c r="AM323" s="78"/>
      <c r="AN323" s="78"/>
      <c r="AO323" s="78"/>
      <c r="AP323" s="78"/>
      <c r="AQ323" s="78"/>
      <c r="AR323" s="78"/>
      <c r="AS323" s="78"/>
      <c r="AT323" s="78"/>
      <c r="AU323" s="78"/>
      <c r="AV323" s="78"/>
      <c r="AW323" s="78"/>
      <c r="AX323" s="78"/>
      <c r="AY323" s="91"/>
      <c r="AZ323" s="78"/>
      <c r="BA323" s="78"/>
      <c r="BB323" s="78"/>
      <c r="BC323" s="78"/>
      <c r="BD323" s="78"/>
      <c r="BE323" s="78"/>
      <c r="BF323" s="78"/>
      <c r="BG323" s="78"/>
      <c r="BH323" s="78"/>
      <c r="BI323" s="78"/>
      <c r="BJ323" s="78"/>
      <c r="BK323" s="78"/>
      <c r="BL323" s="78"/>
      <c r="BM323" s="78"/>
      <c r="BN323" s="78"/>
      <c r="BO323" s="78"/>
      <c r="BP323" s="78"/>
      <c r="BQ323" s="78"/>
      <c r="BR323" s="78"/>
      <c r="BS323" s="78"/>
      <c r="BT323" s="78"/>
      <c r="BU323" s="78"/>
      <c r="BV323" s="78"/>
      <c r="BW323" s="78"/>
      <c r="BX323" s="78"/>
      <c r="BY323" s="78"/>
      <c r="BZ323" s="78"/>
      <c r="CA323" s="78"/>
      <c r="CB323" s="78"/>
      <c r="CC323" s="78"/>
      <c r="CD323" s="78"/>
      <c r="CE323" s="78"/>
      <c r="CF323" s="78"/>
      <c r="CG323" s="78"/>
      <c r="CH323" s="78"/>
      <c r="CI323" s="78"/>
      <c r="CJ323" s="78"/>
      <c r="CK323" s="78"/>
      <c r="CL323" s="78"/>
      <c r="CM323" s="78"/>
      <c r="CN323" s="78"/>
      <c r="CO323" s="78"/>
      <c r="CP323" s="78"/>
      <c r="CQ323" s="78"/>
      <c r="CR323" s="78"/>
      <c r="CS323" s="78"/>
      <c r="CT323" s="78"/>
      <c r="CU323" s="78"/>
      <c r="CV323" s="78"/>
      <c r="CW323" s="78"/>
      <c r="CX323" s="78"/>
      <c r="CY323" s="78"/>
      <c r="CZ323" s="78"/>
      <c r="DA323" s="78"/>
      <c r="DB323" s="78"/>
      <c r="DC323" s="78"/>
      <c r="DD323" s="78"/>
      <c r="DE323" s="78"/>
      <c r="DF323" s="78"/>
      <c r="DG323" s="78"/>
      <c r="DH323" s="78"/>
      <c r="DI323" s="78"/>
      <c r="DJ323" s="78"/>
      <c r="DK323" s="78"/>
      <c r="DL323" s="78"/>
      <c r="DM323" s="78"/>
      <c r="DN323" s="78"/>
      <c r="DO323" s="78"/>
      <c r="DP323" s="78"/>
      <c r="DQ323" s="78"/>
      <c r="DR323" s="78"/>
      <c r="DS323" s="78"/>
      <c r="DT323" s="78"/>
      <c r="DU323" s="78"/>
      <c r="DV323" s="78"/>
      <c r="DW323" s="78"/>
      <c r="DX323" s="78"/>
      <c r="DY323" s="78"/>
      <c r="DZ323" s="78"/>
      <c r="EA323" s="78"/>
      <c r="EB323" s="78"/>
      <c r="EC323" s="78"/>
      <c r="ED323" s="78"/>
      <c r="EE323" s="78"/>
      <c r="EF323" s="78"/>
      <c r="EG323" s="78"/>
      <c r="EH323" s="78"/>
      <c r="EI323" s="78"/>
      <c r="EJ323" s="78"/>
      <c r="EK323" s="78"/>
      <c r="EL323" s="78"/>
      <c r="EM323" s="78"/>
      <c r="EN323" s="91"/>
      <c r="EO323" s="91"/>
      <c r="EP323" s="91"/>
      <c r="EQ323" s="91"/>
      <c r="ER323" s="91"/>
      <c r="ES323" s="91"/>
    </row>
    <row r="324" spans="1:149" outlineLevel="1">
      <c r="A324" s="29" t="str">
        <f t="shared" si="302"/>
        <v>modesg_inp_km_medios_emss_vclsmedia_scp1_emss</v>
      </c>
      <c r="B324" s="67" t="s">
        <v>26</v>
      </c>
      <c r="C324" s="68" t="s">
        <v>181</v>
      </c>
      <c r="D324" s="64" t="s">
        <v>40</v>
      </c>
      <c r="E324" s="66" t="s">
        <v>213</v>
      </c>
      <c r="F324" s="64" t="s">
        <v>649</v>
      </c>
      <c r="G324" s="64" t="str">
        <f>INDEX(Auxiliar!$B$16:$B$24,MATCH(Plano_V3!H324,Auxiliar!$C$16:$C$24,0),1)</f>
        <v>0. Cancelado</v>
      </c>
      <c r="H324" s="64">
        <f>VLOOKUP(A324,'Aux - pivots1'!$A:$B,2,0)</f>
        <v>0</v>
      </c>
      <c r="I324" s="180">
        <f>SUMIFS(Table1[Estimação (horas)],Table1[Tabela],Plano_V3!E324,Table1[Campo],Plano_V3!F324)</f>
        <v>0.5</v>
      </c>
      <c r="J324" s="180">
        <f>I324/8</f>
        <v>6.25E-2</v>
      </c>
      <c r="K324" s="180">
        <f>SUMIFS(Table1[Horas efetivas],Table1[Tabela],Plano_V3!E324,Table1[Campo],Plano_V3!F324)</f>
        <v>0</v>
      </c>
      <c r="L324" s="180">
        <f>K324/8</f>
        <v>0</v>
      </c>
      <c r="M324" s="174"/>
      <c r="N324" s="174">
        <f>L324/J324</f>
        <v>0</v>
      </c>
      <c r="O324" s="174">
        <f>N324-M324</f>
        <v>0</v>
      </c>
      <c r="P324" s="89" t="s">
        <v>39</v>
      </c>
      <c r="Q324" s="90"/>
      <c r="R324" s="78"/>
      <c r="S324" s="78"/>
      <c r="T324" s="78"/>
      <c r="U324" s="78"/>
      <c r="V324" s="78"/>
      <c r="W324" s="78"/>
      <c r="X324" s="78"/>
      <c r="Y324" s="78"/>
      <c r="Z324" s="78"/>
      <c r="AA324" s="78"/>
      <c r="AB324" s="78"/>
      <c r="AC324" s="78"/>
      <c r="AD324" s="78"/>
      <c r="AE324" s="78"/>
      <c r="AF324" s="78"/>
      <c r="AG324" s="78"/>
      <c r="AH324" s="78"/>
      <c r="AI324" s="78"/>
      <c r="AJ324" s="78"/>
      <c r="AK324" s="78"/>
      <c r="AL324" s="78"/>
      <c r="AM324" s="78"/>
      <c r="AN324" s="78"/>
      <c r="AO324" s="78"/>
      <c r="AP324" s="78"/>
      <c r="AQ324" s="78"/>
      <c r="AR324" s="78"/>
      <c r="AS324" s="78"/>
      <c r="AT324" s="78"/>
      <c r="AU324" s="78"/>
      <c r="AV324" s="78"/>
      <c r="AW324" s="78"/>
      <c r="AX324" s="78"/>
      <c r="AY324" s="91"/>
      <c r="AZ324" s="78"/>
      <c r="BA324" s="78"/>
      <c r="BB324" s="78"/>
      <c r="BC324" s="78"/>
      <c r="BD324" s="78"/>
      <c r="BE324" s="78"/>
      <c r="BF324" s="78"/>
      <c r="BG324" s="78"/>
      <c r="BH324" s="78"/>
      <c r="BI324" s="78"/>
      <c r="BJ324" s="78"/>
      <c r="BK324" s="78"/>
      <c r="BL324" s="78"/>
      <c r="BM324" s="78"/>
      <c r="BN324" s="78"/>
      <c r="BO324" s="78"/>
      <c r="BP324" s="78"/>
      <c r="BQ324" s="78"/>
      <c r="BR324" s="78"/>
      <c r="BS324" s="78"/>
      <c r="BT324" s="78"/>
      <c r="BU324" s="78"/>
      <c r="BV324" s="78"/>
      <c r="BW324" s="78"/>
      <c r="BX324" s="78"/>
      <c r="BY324" s="78"/>
      <c r="BZ324" s="78"/>
      <c r="CA324" s="78"/>
      <c r="CB324" s="78"/>
      <c r="CC324" s="78"/>
      <c r="CD324" s="78"/>
      <c r="CE324" s="78"/>
      <c r="CF324" s="78"/>
      <c r="CG324" s="78"/>
      <c r="CH324" s="78"/>
      <c r="CI324" s="78"/>
      <c r="CJ324" s="78"/>
      <c r="CK324" s="78"/>
      <c r="CL324" s="78"/>
      <c r="CM324" s="78"/>
      <c r="CN324" s="78"/>
      <c r="CO324" s="78"/>
      <c r="CP324" s="78"/>
      <c r="CQ324" s="78"/>
      <c r="CR324" s="78"/>
      <c r="CS324" s="78"/>
      <c r="CT324" s="78"/>
      <c r="CU324" s="78"/>
      <c r="CV324" s="78"/>
      <c r="CW324" s="78"/>
      <c r="CX324" s="78"/>
      <c r="CY324" s="78"/>
      <c r="CZ324" s="78"/>
      <c r="DA324" s="78"/>
      <c r="DB324" s="78"/>
      <c r="DC324" s="78"/>
      <c r="DD324" s="78"/>
      <c r="DE324" s="78"/>
      <c r="DF324" s="78"/>
      <c r="DG324" s="78"/>
      <c r="DH324" s="78"/>
      <c r="DI324" s="78"/>
      <c r="DJ324" s="78"/>
      <c r="DK324" s="78"/>
      <c r="DL324" s="78"/>
      <c r="DM324" s="78"/>
      <c r="DN324" s="78"/>
      <c r="DO324" s="78"/>
      <c r="DP324" s="78"/>
      <c r="DQ324" s="78"/>
      <c r="DR324" s="78"/>
      <c r="DS324" s="78"/>
      <c r="DT324" s="78"/>
      <c r="DU324" s="78"/>
      <c r="DV324" s="78"/>
      <c r="DW324" s="78"/>
      <c r="DX324" s="78"/>
      <c r="DY324" s="78"/>
      <c r="DZ324" s="78"/>
      <c r="EA324" s="78"/>
      <c r="EB324" s="78"/>
      <c r="EC324" s="78"/>
      <c r="ED324" s="78"/>
      <c r="EE324" s="78"/>
      <c r="EF324" s="78"/>
      <c r="EG324" s="78"/>
      <c r="EH324" s="78"/>
      <c r="EI324" s="78"/>
      <c r="EJ324" s="78"/>
      <c r="EK324" s="78"/>
      <c r="EL324" s="78"/>
      <c r="EM324" s="78"/>
      <c r="EN324" s="91"/>
      <c r="EO324" s="91"/>
      <c r="EP324" s="91"/>
      <c r="EQ324" s="91"/>
      <c r="ER324" s="91"/>
      <c r="ES324" s="91"/>
    </row>
    <row r="325" spans="1:149" outlineLevel="1">
      <c r="A325" s="29" t="str">
        <f t="shared" si="302"/>
        <v>modesg_inp_km_medios_emss_vclsmedia_scp2_emss</v>
      </c>
      <c r="B325" s="67" t="s">
        <v>26</v>
      </c>
      <c r="C325" s="68" t="s">
        <v>181</v>
      </c>
      <c r="D325" s="64" t="s">
        <v>40</v>
      </c>
      <c r="E325" s="66" t="s">
        <v>213</v>
      </c>
      <c r="F325" s="64" t="s">
        <v>650</v>
      </c>
      <c r="G325" s="64" t="str">
        <f>INDEX(Auxiliar!$B$16:$B$24,MATCH(Plano_V3!H325,Auxiliar!$C$16:$C$24,0),1)</f>
        <v>0. Cancelado</v>
      </c>
      <c r="H325" s="64">
        <f>VLOOKUP(A325,'Aux - pivots1'!$A:$B,2,0)</f>
        <v>0</v>
      </c>
      <c r="I325" s="180">
        <f>SUMIFS(Table1[Estimação (horas)],Table1[Tabela],Plano_V3!E325,Table1[Campo],Plano_V3!F325)</f>
        <v>0.5</v>
      </c>
      <c r="J325" s="180">
        <f>I325/8</f>
        <v>6.25E-2</v>
      </c>
      <c r="K325" s="180">
        <f>SUMIFS(Table1[Horas efetivas],Table1[Tabela],Plano_V3!E325,Table1[Campo],Plano_V3!F325)</f>
        <v>0</v>
      </c>
      <c r="L325" s="180">
        <f>K325/8</f>
        <v>0</v>
      </c>
      <c r="M325" s="174"/>
      <c r="N325" s="174">
        <f>L325/J325</f>
        <v>0</v>
      </c>
      <c r="O325" s="174">
        <f>N325-M325</f>
        <v>0</v>
      </c>
      <c r="P325" s="89" t="s">
        <v>39</v>
      </c>
      <c r="Q325" s="90"/>
      <c r="R325" s="78"/>
      <c r="S325" s="78"/>
      <c r="T325" s="78"/>
      <c r="U325" s="78"/>
      <c r="V325" s="78"/>
      <c r="W325" s="78"/>
      <c r="X325" s="78"/>
      <c r="Y325" s="78"/>
      <c r="Z325" s="78"/>
      <c r="AA325" s="78"/>
      <c r="AB325" s="78"/>
      <c r="AC325" s="78"/>
      <c r="AD325" s="78"/>
      <c r="AE325" s="78"/>
      <c r="AF325" s="78"/>
      <c r="AG325" s="78"/>
      <c r="AH325" s="78"/>
      <c r="AI325" s="78"/>
      <c r="AJ325" s="78"/>
      <c r="AK325" s="78"/>
      <c r="AL325" s="78"/>
      <c r="AM325" s="78"/>
      <c r="AN325" s="78"/>
      <c r="AO325" s="78"/>
      <c r="AP325" s="78"/>
      <c r="AQ325" s="78"/>
      <c r="AR325" s="78"/>
      <c r="AS325" s="78"/>
      <c r="AT325" s="78"/>
      <c r="AU325" s="78"/>
      <c r="AV325" s="78"/>
      <c r="AW325" s="78"/>
      <c r="AX325" s="78"/>
      <c r="AY325" s="91"/>
      <c r="AZ325" s="78"/>
      <c r="BA325" s="78"/>
      <c r="BB325" s="78"/>
      <c r="BC325" s="78"/>
      <c r="BD325" s="78"/>
      <c r="BE325" s="78"/>
      <c r="BF325" s="78"/>
      <c r="BG325" s="78"/>
      <c r="BH325" s="78"/>
      <c r="BI325" s="78"/>
      <c r="BJ325" s="78"/>
      <c r="BK325" s="78"/>
      <c r="BL325" s="78"/>
      <c r="BM325" s="78"/>
      <c r="BN325" s="78"/>
      <c r="BO325" s="78"/>
      <c r="BP325" s="78"/>
      <c r="BQ325" s="78"/>
      <c r="BR325" s="78"/>
      <c r="BS325" s="78"/>
      <c r="BT325" s="78"/>
      <c r="BU325" s="78"/>
      <c r="BV325" s="78"/>
      <c r="BW325" s="78"/>
      <c r="BX325" s="78"/>
      <c r="BY325" s="78"/>
      <c r="BZ325" s="78"/>
      <c r="CA325" s="78"/>
      <c r="CB325" s="78"/>
      <c r="CC325" s="78"/>
      <c r="CD325" s="78"/>
      <c r="CE325" s="78"/>
      <c r="CF325" s="78"/>
      <c r="CG325" s="78"/>
      <c r="CH325" s="78"/>
      <c r="CI325" s="78"/>
      <c r="CJ325" s="78"/>
      <c r="CK325" s="78"/>
      <c r="CL325" s="78"/>
      <c r="CM325" s="78"/>
      <c r="CN325" s="78"/>
      <c r="CO325" s="78"/>
      <c r="CP325" s="78"/>
      <c r="CQ325" s="78"/>
      <c r="CR325" s="78"/>
      <c r="CS325" s="78"/>
      <c r="CT325" s="78"/>
      <c r="CU325" s="78"/>
      <c r="CV325" s="78"/>
      <c r="CW325" s="78"/>
      <c r="CX325" s="78"/>
      <c r="CY325" s="78"/>
      <c r="CZ325" s="78"/>
      <c r="DA325" s="78"/>
      <c r="DB325" s="78"/>
      <c r="DC325" s="78"/>
      <c r="DD325" s="78"/>
      <c r="DE325" s="78"/>
      <c r="DF325" s="78"/>
      <c r="DG325" s="78"/>
      <c r="DH325" s="78"/>
      <c r="DI325" s="78"/>
      <c r="DJ325" s="78"/>
      <c r="DK325" s="78"/>
      <c r="DL325" s="78"/>
      <c r="DM325" s="78"/>
      <c r="DN325" s="78"/>
      <c r="DO325" s="78"/>
      <c r="DP325" s="78"/>
      <c r="DQ325" s="78"/>
      <c r="DR325" s="78"/>
      <c r="DS325" s="78"/>
      <c r="DT325" s="78"/>
      <c r="DU325" s="78"/>
      <c r="DV325" s="78"/>
      <c r="DW325" s="78"/>
      <c r="DX325" s="78"/>
      <c r="DY325" s="78"/>
      <c r="DZ325" s="78"/>
      <c r="EA325" s="78"/>
      <c r="EB325" s="78"/>
      <c r="EC325" s="78"/>
      <c r="ED325" s="78"/>
      <c r="EE325" s="78"/>
      <c r="EF325" s="78"/>
      <c r="EG325" s="78"/>
      <c r="EH325" s="78"/>
      <c r="EI325" s="78"/>
      <c r="EJ325" s="78"/>
      <c r="EK325" s="78"/>
      <c r="EL325" s="78"/>
      <c r="EM325" s="78"/>
      <c r="EN325" s="91"/>
      <c r="EO325" s="91"/>
      <c r="EP325" s="91"/>
      <c r="EQ325" s="91"/>
      <c r="ER325" s="91"/>
      <c r="ES325" s="91"/>
    </row>
    <row r="326" spans="1:149" outlineLevel="1">
      <c r="A326" s="29" t="str">
        <f t="shared" si="302"/>
        <v>modesg_inp_km_medios_emss_vclsmedia_scp3_emss</v>
      </c>
      <c r="B326" s="67" t="s">
        <v>26</v>
      </c>
      <c r="C326" s="68" t="s">
        <v>181</v>
      </c>
      <c r="D326" s="64" t="s">
        <v>40</v>
      </c>
      <c r="E326" s="66" t="s">
        <v>213</v>
      </c>
      <c r="F326" s="64" t="s">
        <v>651</v>
      </c>
      <c r="G326" s="64" t="str">
        <f>INDEX(Auxiliar!$B$16:$B$24,MATCH(Plano_V3!H326,Auxiliar!$C$16:$C$24,0),1)</f>
        <v>0. Cancelado</v>
      </c>
      <c r="H326" s="64">
        <f>VLOOKUP(A326,'Aux - pivots1'!$A:$B,2,0)</f>
        <v>0</v>
      </c>
      <c r="I326" s="180">
        <f>SUMIFS(Table1[Estimação (horas)],Table1[Tabela],Plano_V3!E326,Table1[Campo],Plano_V3!F326)</f>
        <v>0.5</v>
      </c>
      <c r="J326" s="180">
        <f>I326/8</f>
        <v>6.25E-2</v>
      </c>
      <c r="K326" s="180">
        <f>SUMIFS(Table1[Horas efetivas],Table1[Tabela],Plano_V3!E326,Table1[Campo],Plano_V3!F326)</f>
        <v>0</v>
      </c>
      <c r="L326" s="180">
        <f>K326/8</f>
        <v>0</v>
      </c>
      <c r="M326" s="174"/>
      <c r="N326" s="174">
        <f>L326/J326</f>
        <v>0</v>
      </c>
      <c r="O326" s="174">
        <f>N326-M326</f>
        <v>0</v>
      </c>
      <c r="P326" s="89" t="s">
        <v>39</v>
      </c>
      <c r="Q326" s="90"/>
      <c r="R326" s="78"/>
      <c r="S326" s="78"/>
      <c r="T326" s="78"/>
      <c r="U326" s="78"/>
      <c r="V326" s="78"/>
      <c r="W326" s="78"/>
      <c r="X326" s="78"/>
      <c r="Y326" s="78"/>
      <c r="Z326" s="78"/>
      <c r="AA326" s="78"/>
      <c r="AB326" s="78"/>
      <c r="AC326" s="78"/>
      <c r="AD326" s="78"/>
      <c r="AE326" s="78"/>
      <c r="AF326" s="78"/>
      <c r="AG326" s="78"/>
      <c r="AH326" s="78"/>
      <c r="AI326" s="78"/>
      <c r="AJ326" s="78"/>
      <c r="AK326" s="78"/>
      <c r="AL326" s="78"/>
      <c r="AM326" s="78"/>
      <c r="AN326" s="78"/>
      <c r="AO326" s="78"/>
      <c r="AP326" s="78"/>
      <c r="AQ326" s="78"/>
      <c r="AR326" s="78"/>
      <c r="AS326" s="78"/>
      <c r="AT326" s="78"/>
      <c r="AU326" s="78"/>
      <c r="AV326" s="78"/>
      <c r="AW326" s="78"/>
      <c r="AX326" s="78"/>
      <c r="AY326" s="91"/>
      <c r="AZ326" s="78"/>
      <c r="BA326" s="78"/>
      <c r="BB326" s="78"/>
      <c r="BC326" s="78"/>
      <c r="BD326" s="78"/>
      <c r="BE326" s="78"/>
      <c r="BF326" s="78"/>
      <c r="BG326" s="78"/>
      <c r="BH326" s="78"/>
      <c r="BI326" s="78"/>
      <c r="BJ326" s="78"/>
      <c r="BK326" s="78"/>
      <c r="BL326" s="78"/>
      <c r="BM326" s="78"/>
      <c r="BN326" s="78"/>
      <c r="BO326" s="78"/>
      <c r="BP326" s="78"/>
      <c r="BQ326" s="78"/>
      <c r="BR326" s="78"/>
      <c r="BS326" s="78"/>
      <c r="BT326" s="78"/>
      <c r="BU326" s="78"/>
      <c r="BV326" s="78"/>
      <c r="BW326" s="78"/>
      <c r="BX326" s="78"/>
      <c r="BY326" s="78"/>
      <c r="BZ326" s="78"/>
      <c r="CA326" s="78"/>
      <c r="CB326" s="78"/>
      <c r="CC326" s="78"/>
      <c r="CD326" s="78"/>
      <c r="CE326" s="78"/>
      <c r="CF326" s="78"/>
      <c r="CG326" s="78"/>
      <c r="CH326" s="78"/>
      <c r="CI326" s="78"/>
      <c r="CJ326" s="78"/>
      <c r="CK326" s="78"/>
      <c r="CL326" s="78"/>
      <c r="CM326" s="78"/>
      <c r="CN326" s="78"/>
      <c r="CO326" s="78"/>
      <c r="CP326" s="78"/>
      <c r="CQ326" s="78"/>
      <c r="CR326" s="78"/>
      <c r="CS326" s="78"/>
      <c r="CT326" s="78"/>
      <c r="CU326" s="78"/>
      <c r="CV326" s="78"/>
      <c r="CW326" s="78"/>
      <c r="CX326" s="78"/>
      <c r="CY326" s="78"/>
      <c r="CZ326" s="78"/>
      <c r="DA326" s="78"/>
      <c r="DB326" s="78"/>
      <c r="DC326" s="78"/>
      <c r="DD326" s="78"/>
      <c r="DE326" s="78"/>
      <c r="DF326" s="78"/>
      <c r="DG326" s="78"/>
      <c r="DH326" s="78"/>
      <c r="DI326" s="78"/>
      <c r="DJ326" s="78"/>
      <c r="DK326" s="78"/>
      <c r="DL326" s="78"/>
      <c r="DM326" s="78"/>
      <c r="DN326" s="78"/>
      <c r="DO326" s="78"/>
      <c r="DP326" s="78"/>
      <c r="DQ326" s="78"/>
      <c r="DR326" s="78"/>
      <c r="DS326" s="78"/>
      <c r="DT326" s="78"/>
      <c r="DU326" s="78"/>
      <c r="DV326" s="78"/>
      <c r="DW326" s="78"/>
      <c r="DX326" s="78"/>
      <c r="DY326" s="78"/>
      <c r="DZ326" s="78"/>
      <c r="EA326" s="78"/>
      <c r="EB326" s="78"/>
      <c r="EC326" s="78"/>
      <c r="ED326" s="78"/>
      <c r="EE326" s="78"/>
      <c r="EF326" s="78"/>
      <c r="EG326" s="78"/>
      <c r="EH326" s="78"/>
      <c r="EI326" s="78"/>
      <c r="EJ326" s="78"/>
      <c r="EK326" s="78"/>
      <c r="EL326" s="78"/>
      <c r="EM326" s="78"/>
      <c r="EN326" s="91"/>
      <c r="EO326" s="91"/>
      <c r="EP326" s="91"/>
      <c r="EQ326" s="91"/>
      <c r="ER326" s="91"/>
      <c r="ES326" s="91"/>
    </row>
    <row r="327" spans="1:149" outlineLevel="1">
      <c r="A327" s="29" t="str">
        <f t="shared" si="302"/>
        <v>modesg_inp_empr_excl_parisref_date</v>
      </c>
      <c r="B327" s="67" t="s">
        <v>26</v>
      </c>
      <c r="C327" s="68" t="s">
        <v>181</v>
      </c>
      <c r="D327" s="64" t="s">
        <v>40</v>
      </c>
      <c r="E327" s="66" t="s">
        <v>214</v>
      </c>
      <c r="F327" s="64" t="s">
        <v>208</v>
      </c>
      <c r="G327" s="64" t="str">
        <f>INDEX(Auxiliar!$B$16:$B$24,MATCH(Plano_V3!H327,Auxiliar!$C$16:$C$24,0),1)</f>
        <v>1. Concluído</v>
      </c>
      <c r="H327" s="64">
        <f>VLOOKUP(A327,'Aux - pivots1'!$A:$B,2,0)</f>
        <v>1</v>
      </c>
      <c r="I327" s="180">
        <f>SUMIFS(Table1[Estimação (horas)],Table1[Tabela],Plano_V3!E327,Table1[Campo],Plano_V3!F327)</f>
        <v>0.5</v>
      </c>
      <c r="J327" s="180">
        <f t="shared" si="41"/>
        <v>6.25E-2</v>
      </c>
      <c r="K327" s="180">
        <f>SUMIFS(Table1[Horas efetivas],Table1[Tabela],Plano_V3!E327,Table1[Campo],Plano_V3!F327)</f>
        <v>0.5</v>
      </c>
      <c r="L327" s="180">
        <f t="shared" si="42"/>
        <v>6.25E-2</v>
      </c>
      <c r="M327" s="174"/>
      <c r="N327" s="174">
        <f t="shared" si="43"/>
        <v>1</v>
      </c>
      <c r="O327" s="174">
        <f t="shared" si="300"/>
        <v>1</v>
      </c>
      <c r="P327" s="89" t="s">
        <v>39</v>
      </c>
      <c r="Q327" s="90">
        <f t="shared" si="301"/>
        <v>6.25E-2</v>
      </c>
      <c r="R327" s="78"/>
      <c r="S327" s="78"/>
      <c r="T327" s="78"/>
      <c r="U327" s="78"/>
      <c r="V327" s="78"/>
      <c r="W327" s="78"/>
      <c r="X327" s="78"/>
      <c r="Y327" s="78"/>
      <c r="Z327" s="78"/>
      <c r="AA327" s="78"/>
      <c r="AB327" s="78"/>
      <c r="AC327" s="78"/>
      <c r="AD327" s="78"/>
      <c r="AE327" s="78"/>
      <c r="AF327" s="78"/>
      <c r="AG327" s="78"/>
      <c r="AH327" s="78"/>
      <c r="AI327" s="78"/>
      <c r="AJ327" s="78"/>
      <c r="AK327" s="78"/>
      <c r="AL327" s="78"/>
      <c r="AM327" s="78"/>
      <c r="AN327" s="78"/>
      <c r="AO327" s="78"/>
      <c r="AP327" s="78"/>
      <c r="AQ327" s="78"/>
      <c r="AR327" s="78"/>
      <c r="AS327" s="78"/>
      <c r="AT327" s="78"/>
      <c r="AU327" s="78"/>
      <c r="AV327" s="78"/>
      <c r="AW327" s="78"/>
      <c r="AX327" s="78"/>
      <c r="AY327" s="91"/>
      <c r="AZ327" s="78"/>
      <c r="BA327" s="78"/>
      <c r="BB327" s="78"/>
      <c r="BC327" s="78"/>
      <c r="BD327" s="78"/>
      <c r="BE327" s="78"/>
      <c r="BF327" s="78"/>
      <c r="BG327" s="78"/>
      <c r="BH327" s="78"/>
      <c r="BI327" s="78"/>
      <c r="BJ327" s="78"/>
      <c r="BK327" s="78"/>
      <c r="BL327" s="78"/>
      <c r="BM327" s="78"/>
      <c r="BN327" s="78"/>
      <c r="BO327" s="78"/>
      <c r="BP327" s="78"/>
      <c r="BQ327" s="78"/>
      <c r="BR327" s="78"/>
      <c r="BS327" s="78"/>
      <c r="BT327" s="78"/>
      <c r="BU327" s="78"/>
      <c r="BV327" s="78"/>
      <c r="BW327" s="78"/>
      <c r="BX327" s="78"/>
      <c r="BY327" s="78"/>
      <c r="BZ327" s="78"/>
      <c r="CA327" s="78"/>
      <c r="CB327" s="78"/>
      <c r="CC327" s="78"/>
      <c r="CD327" s="78"/>
      <c r="CE327" s="78"/>
      <c r="CF327" s="78"/>
      <c r="CG327" s="78"/>
      <c r="CH327" s="78"/>
      <c r="CI327" s="78"/>
      <c r="CJ327" s="78"/>
      <c r="CK327" s="78"/>
      <c r="CL327" s="78"/>
      <c r="CM327" s="78"/>
      <c r="CN327" s="78"/>
      <c r="CO327" s="78"/>
      <c r="CP327" s="78"/>
      <c r="CQ327" s="78"/>
      <c r="CR327" s="78"/>
      <c r="CS327" s="78"/>
      <c r="CT327" s="78"/>
      <c r="CU327" s="78"/>
      <c r="CV327" s="78"/>
      <c r="CW327" s="78"/>
      <c r="CX327" s="78"/>
      <c r="CY327" s="78"/>
      <c r="CZ327" s="78"/>
      <c r="DA327" s="78"/>
      <c r="DB327" s="78"/>
      <c r="DC327" s="78"/>
      <c r="DD327" s="78"/>
      <c r="DE327" s="78"/>
      <c r="DF327" s="78"/>
      <c r="DG327" s="78"/>
      <c r="DH327" s="78"/>
      <c r="DI327" s="78"/>
      <c r="DJ327" s="78"/>
      <c r="DK327" s="78"/>
      <c r="DL327" s="78"/>
      <c r="DM327" s="78"/>
      <c r="DN327" s="78"/>
      <c r="DO327" s="78"/>
      <c r="DP327" s="78"/>
      <c r="DQ327" s="78"/>
      <c r="DR327" s="78"/>
      <c r="DS327" s="78"/>
      <c r="DT327" s="78"/>
      <c r="DU327" s="78"/>
      <c r="DV327" s="78"/>
      <c r="DW327" s="78"/>
      <c r="DX327" s="78"/>
      <c r="DY327" s="78"/>
      <c r="DZ327" s="78"/>
      <c r="EA327" s="78"/>
      <c r="EB327" s="78"/>
      <c r="EC327" s="78"/>
      <c r="ED327" s="78"/>
      <c r="EE327" s="78"/>
      <c r="EF327" s="78"/>
      <c r="EG327" s="78"/>
      <c r="EH327" s="78"/>
      <c r="EI327" s="78"/>
      <c r="EJ327" s="78"/>
      <c r="EK327" s="78"/>
      <c r="EL327" s="78"/>
      <c r="EM327" s="78"/>
      <c r="EN327" s="91"/>
      <c r="EO327" s="91"/>
      <c r="EP327" s="91"/>
      <c r="EQ327" s="91"/>
      <c r="ER327" s="91"/>
      <c r="ES327" s="91"/>
    </row>
    <row r="328" spans="1:149" outlineLevel="1">
      <c r="A328" s="29" t="str">
        <f t="shared" si="302"/>
        <v>modesg_inp_empr_excl_parisisin</v>
      </c>
      <c r="B328" s="67" t="s">
        <v>26</v>
      </c>
      <c r="C328" s="68" t="s">
        <v>181</v>
      </c>
      <c r="D328" s="64" t="s">
        <v>40</v>
      </c>
      <c r="E328" s="66" t="s">
        <v>214</v>
      </c>
      <c r="F328" s="64" t="s">
        <v>238</v>
      </c>
      <c r="G328" s="64" t="str">
        <f>INDEX(Auxiliar!$B$16:$B$24,MATCH(Plano_V3!H328,Auxiliar!$C$16:$C$24,0),1)</f>
        <v>1. Concluído</v>
      </c>
      <c r="H328" s="64">
        <f>VLOOKUP(A328,'Aux - pivots1'!$A:$B,2,0)</f>
        <v>1</v>
      </c>
      <c r="I328" s="180">
        <f>SUMIFS(Table1[Estimação (horas)],Table1[Tabela],Plano_V3!E328,Table1[Campo],Plano_V3!F328)</f>
        <v>0.6</v>
      </c>
      <c r="J328" s="180">
        <f t="shared" si="41"/>
        <v>7.4999999999999997E-2</v>
      </c>
      <c r="K328" s="180">
        <f>SUMIFS(Table1[Horas efetivas],Table1[Tabela],Plano_V3!E328,Table1[Campo],Plano_V3!F328)</f>
        <v>0.6</v>
      </c>
      <c r="L328" s="180">
        <f t="shared" si="42"/>
        <v>7.4999999999999997E-2</v>
      </c>
      <c r="M328" s="174"/>
      <c r="N328" s="174">
        <f t="shared" si="43"/>
        <v>1</v>
      </c>
      <c r="O328" s="174">
        <f t="shared" si="300"/>
        <v>1</v>
      </c>
      <c r="P328" s="89" t="s">
        <v>39</v>
      </c>
      <c r="Q328" s="90">
        <f t="shared" si="301"/>
        <v>7.4999999999999997E-2</v>
      </c>
      <c r="R328" s="78"/>
      <c r="S328" s="78"/>
      <c r="T328" s="78"/>
      <c r="U328" s="78"/>
      <c r="V328" s="78"/>
      <c r="W328" s="78"/>
      <c r="X328" s="78"/>
      <c r="Y328" s="78"/>
      <c r="Z328" s="78"/>
      <c r="AA328" s="78"/>
      <c r="AB328" s="78"/>
      <c r="AC328" s="78"/>
      <c r="AD328" s="78"/>
      <c r="AE328" s="78"/>
      <c r="AF328" s="78"/>
      <c r="AG328" s="78"/>
      <c r="AH328" s="78"/>
      <c r="AI328" s="78"/>
      <c r="AJ328" s="78"/>
      <c r="AK328" s="78"/>
      <c r="AL328" s="78"/>
      <c r="AM328" s="78"/>
      <c r="AN328" s="78"/>
      <c r="AO328" s="78"/>
      <c r="AP328" s="78"/>
      <c r="AQ328" s="78"/>
      <c r="AR328" s="78"/>
      <c r="AS328" s="78"/>
      <c r="AT328" s="78"/>
      <c r="AU328" s="78"/>
      <c r="AV328" s="78"/>
      <c r="AW328" s="78"/>
      <c r="AX328" s="78"/>
      <c r="AY328" s="91"/>
      <c r="AZ328" s="78"/>
      <c r="BA328" s="78"/>
      <c r="BB328" s="78"/>
      <c r="BC328" s="78"/>
      <c r="BD328" s="78"/>
      <c r="BE328" s="78"/>
      <c r="BF328" s="78"/>
      <c r="BG328" s="78"/>
      <c r="BH328" s="78"/>
      <c r="BI328" s="78"/>
      <c r="BJ328" s="78"/>
      <c r="BK328" s="78"/>
      <c r="BL328" s="78"/>
      <c r="BM328" s="78"/>
      <c r="BN328" s="78"/>
      <c r="BO328" s="78"/>
      <c r="BP328" s="78"/>
      <c r="BQ328" s="78"/>
      <c r="BR328" s="78"/>
      <c r="BS328" s="78"/>
      <c r="BT328" s="78"/>
      <c r="BU328" s="78"/>
      <c r="BV328" s="78"/>
      <c r="BW328" s="78"/>
      <c r="BX328" s="78"/>
      <c r="BY328" s="78"/>
      <c r="BZ328" s="78"/>
      <c r="CA328" s="78"/>
      <c r="CB328" s="78"/>
      <c r="CC328" s="78"/>
      <c r="CD328" s="78"/>
      <c r="CE328" s="78"/>
      <c r="CF328" s="78"/>
      <c r="CG328" s="78"/>
      <c r="CH328" s="78"/>
      <c r="CI328" s="78"/>
      <c r="CJ328" s="78"/>
      <c r="CK328" s="78"/>
      <c r="CL328" s="78"/>
      <c r="CM328" s="78"/>
      <c r="CN328" s="78"/>
      <c r="CO328" s="78"/>
      <c r="CP328" s="78"/>
      <c r="CQ328" s="78"/>
      <c r="CR328" s="78"/>
      <c r="CS328" s="78"/>
      <c r="CT328" s="78"/>
      <c r="CU328" s="78"/>
      <c r="CV328" s="78"/>
      <c r="CW328" s="78"/>
      <c r="CX328" s="78"/>
      <c r="CY328" s="78"/>
      <c r="CZ328" s="78"/>
      <c r="DA328" s="78"/>
      <c r="DB328" s="78"/>
      <c r="DC328" s="78"/>
      <c r="DD328" s="78"/>
      <c r="DE328" s="78"/>
      <c r="DF328" s="78"/>
      <c r="DG328" s="78"/>
      <c r="DH328" s="78"/>
      <c r="DI328" s="78"/>
      <c r="DJ328" s="78"/>
      <c r="DK328" s="78"/>
      <c r="DL328" s="78"/>
      <c r="DM328" s="78"/>
      <c r="DN328" s="78"/>
      <c r="DO328" s="78"/>
      <c r="DP328" s="78"/>
      <c r="DQ328" s="78"/>
      <c r="DR328" s="78"/>
      <c r="DS328" s="78"/>
      <c r="DT328" s="78"/>
      <c r="DU328" s="78"/>
      <c r="DV328" s="78"/>
      <c r="DW328" s="78"/>
      <c r="DX328" s="78"/>
      <c r="DY328" s="78"/>
      <c r="DZ328" s="78"/>
      <c r="EA328" s="78"/>
      <c r="EB328" s="78"/>
      <c r="EC328" s="78"/>
      <c r="ED328" s="78"/>
      <c r="EE328" s="78"/>
      <c r="EF328" s="78"/>
      <c r="EG328" s="78"/>
      <c r="EH328" s="78"/>
      <c r="EI328" s="78"/>
      <c r="EJ328" s="78"/>
      <c r="EK328" s="78"/>
      <c r="EL328" s="78"/>
      <c r="EM328" s="78"/>
      <c r="EN328" s="91"/>
      <c r="EO328" s="91"/>
      <c r="EP328" s="91"/>
      <c r="EQ328" s="91"/>
      <c r="ER328" s="91"/>
      <c r="ES328" s="91"/>
    </row>
    <row r="329" spans="1:149" outlineLevel="1">
      <c r="A329" s="29" t="str">
        <f t="shared" si="302"/>
        <v>modesg_inp_empr_excl_parisclei</v>
      </c>
      <c r="B329" s="67" t="s">
        <v>26</v>
      </c>
      <c r="C329" s="68" t="s">
        <v>181</v>
      </c>
      <c r="D329" s="64" t="s">
        <v>40</v>
      </c>
      <c r="E329" s="66" t="s">
        <v>214</v>
      </c>
      <c r="F329" s="64" t="s">
        <v>239</v>
      </c>
      <c r="G329" s="64" t="str">
        <f>INDEX(Auxiliar!$B$16:$B$24,MATCH(Plano_V3!H329,Auxiliar!$C$16:$C$24,0),1)</f>
        <v>1. Concluído</v>
      </c>
      <c r="H329" s="64">
        <f>VLOOKUP(A329,'Aux - pivots1'!$A:$B,2,0)</f>
        <v>1</v>
      </c>
      <c r="I329" s="180">
        <f>SUMIFS(Table1[Estimação (horas)],Table1[Tabela],Plano_V3!E329,Table1[Campo],Plano_V3!F329)</f>
        <v>0.6</v>
      </c>
      <c r="J329" s="180">
        <f t="shared" si="41"/>
        <v>7.4999999999999997E-2</v>
      </c>
      <c r="K329" s="180">
        <f>SUMIFS(Table1[Horas efetivas],Table1[Tabela],Plano_V3!E329,Table1[Campo],Plano_V3!F329)</f>
        <v>0.6</v>
      </c>
      <c r="L329" s="180">
        <f t="shared" si="42"/>
        <v>7.4999999999999997E-2</v>
      </c>
      <c r="M329" s="174"/>
      <c r="N329" s="174">
        <f t="shared" si="43"/>
        <v>1</v>
      </c>
      <c r="O329" s="174">
        <f t="shared" si="300"/>
        <v>1</v>
      </c>
      <c r="P329" s="89" t="s">
        <v>39</v>
      </c>
      <c r="Q329" s="90">
        <f t="shared" si="301"/>
        <v>7.4999999999999997E-2</v>
      </c>
      <c r="R329" s="78"/>
      <c r="S329" s="78"/>
      <c r="T329" s="78"/>
      <c r="U329" s="78"/>
      <c r="V329" s="78"/>
      <c r="W329" s="78"/>
      <c r="X329" s="78"/>
      <c r="Y329" s="78"/>
      <c r="Z329" s="78"/>
      <c r="AA329" s="78"/>
      <c r="AB329" s="78"/>
      <c r="AC329" s="78"/>
      <c r="AD329" s="78"/>
      <c r="AE329" s="78"/>
      <c r="AF329" s="78"/>
      <c r="AG329" s="78"/>
      <c r="AH329" s="78"/>
      <c r="AI329" s="78"/>
      <c r="AJ329" s="78"/>
      <c r="AK329" s="78"/>
      <c r="AL329" s="78"/>
      <c r="AM329" s="78"/>
      <c r="AN329" s="78"/>
      <c r="AO329" s="78"/>
      <c r="AP329" s="78"/>
      <c r="AQ329" s="78"/>
      <c r="AR329" s="78"/>
      <c r="AS329" s="78"/>
      <c r="AT329" s="78"/>
      <c r="AU329" s="78"/>
      <c r="AV329" s="78"/>
      <c r="AW329" s="78"/>
      <c r="AX329" s="78"/>
      <c r="AY329" s="91"/>
      <c r="AZ329" s="78"/>
      <c r="BA329" s="78"/>
      <c r="BB329" s="78"/>
      <c r="BC329" s="78"/>
      <c r="BD329" s="78"/>
      <c r="BE329" s="78"/>
      <c r="BF329" s="78"/>
      <c r="BG329" s="78"/>
      <c r="BH329" s="78"/>
      <c r="BI329" s="78"/>
      <c r="BJ329" s="78"/>
      <c r="BK329" s="78"/>
      <c r="BL329" s="78"/>
      <c r="BM329" s="78"/>
      <c r="BN329" s="78"/>
      <c r="BO329" s="78"/>
      <c r="BP329" s="78"/>
      <c r="BQ329" s="78"/>
      <c r="BR329" s="78"/>
      <c r="BS329" s="78"/>
      <c r="BT329" s="78"/>
      <c r="BU329" s="78"/>
      <c r="BV329" s="78"/>
      <c r="BW329" s="78"/>
      <c r="BX329" s="78"/>
      <c r="BY329" s="78"/>
      <c r="BZ329" s="78"/>
      <c r="CA329" s="78"/>
      <c r="CB329" s="78"/>
      <c r="CC329" s="78"/>
      <c r="CD329" s="78"/>
      <c r="CE329" s="78"/>
      <c r="CF329" s="78"/>
      <c r="CG329" s="78"/>
      <c r="CH329" s="78"/>
      <c r="CI329" s="78"/>
      <c r="CJ329" s="78"/>
      <c r="CK329" s="78"/>
      <c r="CL329" s="78"/>
      <c r="CM329" s="78"/>
      <c r="CN329" s="78"/>
      <c r="CO329" s="78"/>
      <c r="CP329" s="78"/>
      <c r="CQ329" s="78"/>
      <c r="CR329" s="78"/>
      <c r="CS329" s="78"/>
      <c r="CT329" s="78"/>
      <c r="CU329" s="78"/>
      <c r="CV329" s="78"/>
      <c r="CW329" s="78"/>
      <c r="CX329" s="78"/>
      <c r="CY329" s="78"/>
      <c r="CZ329" s="78"/>
      <c r="DA329" s="78"/>
      <c r="DB329" s="78"/>
      <c r="DC329" s="78"/>
      <c r="DD329" s="78"/>
      <c r="DE329" s="78"/>
      <c r="DF329" s="78"/>
      <c r="DG329" s="78"/>
      <c r="DH329" s="78"/>
      <c r="DI329" s="78"/>
      <c r="DJ329" s="78"/>
      <c r="DK329" s="78"/>
      <c r="DL329" s="78"/>
      <c r="DM329" s="78"/>
      <c r="DN329" s="78"/>
      <c r="DO329" s="78"/>
      <c r="DP329" s="78"/>
      <c r="DQ329" s="78"/>
      <c r="DR329" s="78"/>
      <c r="DS329" s="78"/>
      <c r="DT329" s="78"/>
      <c r="DU329" s="78"/>
      <c r="DV329" s="78"/>
      <c r="DW329" s="78"/>
      <c r="DX329" s="78"/>
      <c r="DY329" s="78"/>
      <c r="DZ329" s="78"/>
      <c r="EA329" s="78"/>
      <c r="EB329" s="78"/>
      <c r="EC329" s="78"/>
      <c r="ED329" s="78"/>
      <c r="EE329" s="78"/>
      <c r="EF329" s="78"/>
      <c r="EG329" s="78"/>
      <c r="EH329" s="78"/>
      <c r="EI329" s="78"/>
      <c r="EJ329" s="78"/>
      <c r="EK329" s="78"/>
      <c r="EL329" s="78"/>
      <c r="EM329" s="78"/>
      <c r="EN329" s="91"/>
      <c r="EO329" s="91"/>
      <c r="EP329" s="91"/>
      <c r="EQ329" s="91"/>
      <c r="ER329" s="91"/>
      <c r="ES329" s="91"/>
    </row>
    <row r="330" spans="1:149" outlineLevel="1">
      <c r="A330" s="29" t="str">
        <f t="shared" si="302"/>
        <v>modesg_inp_empr_excl_parisccli_kgl</v>
      </c>
      <c r="B330" s="67" t="s">
        <v>26</v>
      </c>
      <c r="C330" s="68" t="s">
        <v>181</v>
      </c>
      <c r="D330" s="64" t="s">
        <v>40</v>
      </c>
      <c r="E330" s="66" t="s">
        <v>214</v>
      </c>
      <c r="F330" s="64" t="s">
        <v>240</v>
      </c>
      <c r="G330" s="64" t="str">
        <f>INDEX(Auxiliar!$B$16:$B$24,MATCH(Plano_V3!H330,Auxiliar!$C$16:$C$24,0),1)</f>
        <v>1. Concluído</v>
      </c>
      <c r="H330" s="64">
        <f>VLOOKUP(A330,'Aux - pivots1'!$A:$B,2,0)</f>
        <v>1</v>
      </c>
      <c r="I330" s="180">
        <f>SUMIFS(Table1[Estimação (horas)],Table1[Tabela],Plano_V3!E330,Table1[Campo],Plano_V3!F330)</f>
        <v>0.6</v>
      </c>
      <c r="J330" s="180">
        <f t="shared" si="41"/>
        <v>7.4999999999999997E-2</v>
      </c>
      <c r="K330" s="180">
        <f>SUMIFS(Table1[Horas efetivas],Table1[Tabela],Plano_V3!E330,Table1[Campo],Plano_V3!F330)</f>
        <v>0.6</v>
      </c>
      <c r="L330" s="180">
        <f t="shared" si="42"/>
        <v>7.4999999999999997E-2</v>
      </c>
      <c r="M330" s="174"/>
      <c r="N330" s="174">
        <f t="shared" si="43"/>
        <v>1</v>
      </c>
      <c r="O330" s="174">
        <f t="shared" si="300"/>
        <v>1</v>
      </c>
      <c r="P330" s="89" t="s">
        <v>39</v>
      </c>
      <c r="Q330" s="90">
        <f t="shared" si="301"/>
        <v>7.4999999999999997E-2</v>
      </c>
      <c r="R330" s="78"/>
      <c r="S330" s="78"/>
      <c r="T330" s="78"/>
      <c r="U330" s="78"/>
      <c r="V330" s="78"/>
      <c r="W330" s="78"/>
      <c r="X330" s="78"/>
      <c r="Y330" s="78"/>
      <c r="Z330" s="78"/>
      <c r="AA330" s="78"/>
      <c r="AB330" s="78"/>
      <c r="AC330" s="78"/>
      <c r="AD330" s="78"/>
      <c r="AE330" s="78"/>
      <c r="AF330" s="78"/>
      <c r="AG330" s="78"/>
      <c r="AH330" s="78"/>
      <c r="AI330" s="78"/>
      <c r="AJ330" s="78"/>
      <c r="AK330" s="78"/>
      <c r="AL330" s="78"/>
      <c r="AM330" s="78"/>
      <c r="AN330" s="78"/>
      <c r="AO330" s="78"/>
      <c r="AP330" s="78"/>
      <c r="AQ330" s="78"/>
      <c r="AR330" s="78"/>
      <c r="AS330" s="78"/>
      <c r="AT330" s="78"/>
      <c r="AU330" s="78"/>
      <c r="AV330" s="78"/>
      <c r="AW330" s="78"/>
      <c r="AX330" s="78"/>
      <c r="AY330" s="91"/>
      <c r="AZ330" s="78"/>
      <c r="BA330" s="78"/>
      <c r="BB330" s="78"/>
      <c r="BC330" s="78"/>
      <c r="BD330" s="78"/>
      <c r="BE330" s="78"/>
      <c r="BF330" s="78"/>
      <c r="BG330" s="78"/>
      <c r="BH330" s="78"/>
      <c r="BI330" s="78"/>
      <c r="BJ330" s="78"/>
      <c r="BK330" s="78"/>
      <c r="BL330" s="78"/>
      <c r="BM330" s="78"/>
      <c r="BN330" s="78"/>
      <c r="BO330" s="78"/>
      <c r="BP330" s="78"/>
      <c r="BQ330" s="78"/>
      <c r="BR330" s="78"/>
      <c r="BS330" s="78"/>
      <c r="BT330" s="78"/>
      <c r="BU330" s="78"/>
      <c r="BV330" s="78"/>
      <c r="BW330" s="78"/>
      <c r="BX330" s="78"/>
      <c r="BY330" s="78"/>
      <c r="BZ330" s="78"/>
      <c r="CA330" s="78"/>
      <c r="CB330" s="78"/>
      <c r="CC330" s="78"/>
      <c r="CD330" s="78"/>
      <c r="CE330" s="78"/>
      <c r="CF330" s="78"/>
      <c r="CG330" s="78"/>
      <c r="CH330" s="78"/>
      <c r="CI330" s="78"/>
      <c r="CJ330" s="78"/>
      <c r="CK330" s="78"/>
      <c r="CL330" s="78"/>
      <c r="CM330" s="78"/>
      <c r="CN330" s="78"/>
      <c r="CO330" s="78"/>
      <c r="CP330" s="78"/>
      <c r="CQ330" s="78"/>
      <c r="CR330" s="78"/>
      <c r="CS330" s="78"/>
      <c r="CT330" s="78"/>
      <c r="CU330" s="78"/>
      <c r="CV330" s="78"/>
      <c r="CW330" s="78"/>
      <c r="CX330" s="78"/>
      <c r="CY330" s="78"/>
      <c r="CZ330" s="78"/>
      <c r="DA330" s="78"/>
      <c r="DB330" s="78"/>
      <c r="DC330" s="78"/>
      <c r="DD330" s="78"/>
      <c r="DE330" s="78"/>
      <c r="DF330" s="78"/>
      <c r="DG330" s="78"/>
      <c r="DH330" s="78"/>
      <c r="DI330" s="78"/>
      <c r="DJ330" s="78"/>
      <c r="DK330" s="78"/>
      <c r="DL330" s="78"/>
      <c r="DM330" s="78"/>
      <c r="DN330" s="78"/>
      <c r="DO330" s="78"/>
      <c r="DP330" s="78"/>
      <c r="DQ330" s="78"/>
      <c r="DR330" s="78"/>
      <c r="DS330" s="78"/>
      <c r="DT330" s="78"/>
      <c r="DU330" s="78"/>
      <c r="DV330" s="78"/>
      <c r="DW330" s="78"/>
      <c r="DX330" s="78"/>
      <c r="DY330" s="78"/>
      <c r="DZ330" s="78"/>
      <c r="EA330" s="78"/>
      <c r="EB330" s="78"/>
      <c r="EC330" s="78"/>
      <c r="ED330" s="78"/>
      <c r="EE330" s="78"/>
      <c r="EF330" s="78"/>
      <c r="EG330" s="78"/>
      <c r="EH330" s="78"/>
      <c r="EI330" s="78"/>
      <c r="EJ330" s="78"/>
      <c r="EK330" s="78"/>
      <c r="EL330" s="78"/>
      <c r="EM330" s="78"/>
      <c r="EN330" s="91"/>
      <c r="EO330" s="91"/>
      <c r="EP330" s="91"/>
      <c r="EQ330" s="91"/>
      <c r="ER330" s="91"/>
      <c r="ES330" s="91"/>
    </row>
    <row r="331" spans="1:149" outlineLevel="1">
      <c r="A331" s="29" t="str">
        <f t="shared" si="302"/>
        <v>modesg_inp_empr_excl_parisnome_entidade</v>
      </c>
      <c r="B331" s="67" t="s">
        <v>26</v>
      </c>
      <c r="C331" s="68" t="s">
        <v>181</v>
      </c>
      <c r="D331" s="64" t="s">
        <v>40</v>
      </c>
      <c r="E331" s="66" t="s">
        <v>214</v>
      </c>
      <c r="F331" s="64" t="s">
        <v>241</v>
      </c>
      <c r="G331" s="64" t="str">
        <f>INDEX(Auxiliar!$B$16:$B$24,MATCH(Plano_V3!H331,Auxiliar!$C$16:$C$24,0),1)</f>
        <v>1. Concluído</v>
      </c>
      <c r="H331" s="64">
        <f>VLOOKUP(A331,'Aux - pivots1'!$A:$B,2,0)</f>
        <v>1</v>
      </c>
      <c r="I331" s="180">
        <f>SUMIFS(Table1[Estimação (horas)],Table1[Tabela],Plano_V3!E331,Table1[Campo],Plano_V3!F331)</f>
        <v>0.5</v>
      </c>
      <c r="J331" s="180">
        <f t="shared" ref="J331:J400" si="307">I331/8</f>
        <v>6.25E-2</v>
      </c>
      <c r="K331" s="180">
        <f>SUMIFS(Table1[Horas efetivas],Table1[Tabela],Plano_V3!E331,Table1[Campo],Plano_V3!F331)</f>
        <v>0.5</v>
      </c>
      <c r="L331" s="180">
        <f t="shared" si="42"/>
        <v>6.25E-2</v>
      </c>
      <c r="M331" s="174"/>
      <c r="N331" s="174">
        <f t="shared" si="43"/>
        <v>1</v>
      </c>
      <c r="O331" s="174">
        <f t="shared" si="300"/>
        <v>1</v>
      </c>
      <c r="P331" s="89" t="s">
        <v>39</v>
      </c>
      <c r="Q331" s="90">
        <f t="shared" si="301"/>
        <v>6.25E-2</v>
      </c>
      <c r="R331" s="78"/>
      <c r="S331" s="78"/>
      <c r="T331" s="78"/>
      <c r="U331" s="78"/>
      <c r="V331" s="78"/>
      <c r="W331" s="78"/>
      <c r="X331" s="78"/>
      <c r="Y331" s="78"/>
      <c r="Z331" s="78"/>
      <c r="AA331" s="78"/>
      <c r="AB331" s="78"/>
      <c r="AC331" s="78"/>
      <c r="AD331" s="78"/>
      <c r="AE331" s="78"/>
      <c r="AF331" s="78"/>
      <c r="AG331" s="78"/>
      <c r="AH331" s="78"/>
      <c r="AI331" s="78"/>
      <c r="AJ331" s="78"/>
      <c r="AK331" s="78"/>
      <c r="AL331" s="78"/>
      <c r="AM331" s="78"/>
      <c r="AN331" s="78"/>
      <c r="AO331" s="78"/>
      <c r="AP331" s="78"/>
      <c r="AQ331" s="78"/>
      <c r="AR331" s="78"/>
      <c r="AS331" s="78"/>
      <c r="AT331" s="78"/>
      <c r="AU331" s="78"/>
      <c r="AV331" s="78"/>
      <c r="AW331" s="78"/>
      <c r="AX331" s="78"/>
      <c r="AY331" s="91"/>
      <c r="AZ331" s="78"/>
      <c r="BA331" s="78"/>
      <c r="BB331" s="78"/>
      <c r="BC331" s="78"/>
      <c r="BD331" s="78"/>
      <c r="BE331" s="78"/>
      <c r="BF331" s="78"/>
      <c r="BG331" s="78"/>
      <c r="BH331" s="78"/>
      <c r="BI331" s="78"/>
      <c r="BJ331" s="78"/>
      <c r="BK331" s="78"/>
      <c r="BL331" s="78"/>
      <c r="BM331" s="78"/>
      <c r="BN331" s="78"/>
      <c r="BO331" s="78"/>
      <c r="BP331" s="78"/>
      <c r="BQ331" s="78"/>
      <c r="BR331" s="78"/>
      <c r="BS331" s="78"/>
      <c r="BT331" s="78"/>
      <c r="BU331" s="78"/>
      <c r="BV331" s="78"/>
      <c r="BW331" s="78"/>
      <c r="BX331" s="78"/>
      <c r="BY331" s="78"/>
      <c r="BZ331" s="78"/>
      <c r="CA331" s="78"/>
      <c r="CB331" s="78"/>
      <c r="CC331" s="78"/>
      <c r="CD331" s="78"/>
      <c r="CE331" s="78"/>
      <c r="CF331" s="78"/>
      <c r="CG331" s="78"/>
      <c r="CH331" s="78"/>
      <c r="CI331" s="78"/>
      <c r="CJ331" s="78"/>
      <c r="CK331" s="78"/>
      <c r="CL331" s="78"/>
      <c r="CM331" s="78"/>
      <c r="CN331" s="78"/>
      <c r="CO331" s="78"/>
      <c r="CP331" s="78"/>
      <c r="CQ331" s="78"/>
      <c r="CR331" s="78"/>
      <c r="CS331" s="78"/>
      <c r="CT331" s="78"/>
      <c r="CU331" s="78"/>
      <c r="CV331" s="78"/>
      <c r="CW331" s="78"/>
      <c r="CX331" s="78"/>
      <c r="CY331" s="78"/>
      <c r="CZ331" s="78"/>
      <c r="DA331" s="78"/>
      <c r="DB331" s="78"/>
      <c r="DC331" s="78"/>
      <c r="DD331" s="78"/>
      <c r="DE331" s="78"/>
      <c r="DF331" s="78"/>
      <c r="DG331" s="78"/>
      <c r="DH331" s="78"/>
      <c r="DI331" s="78"/>
      <c r="DJ331" s="78"/>
      <c r="DK331" s="78"/>
      <c r="DL331" s="78"/>
      <c r="DM331" s="78"/>
      <c r="DN331" s="78"/>
      <c r="DO331" s="78"/>
      <c r="DP331" s="78"/>
      <c r="DQ331" s="78"/>
      <c r="DR331" s="78"/>
      <c r="DS331" s="78"/>
      <c r="DT331" s="78"/>
      <c r="DU331" s="78"/>
      <c r="DV331" s="78"/>
      <c r="DW331" s="78"/>
      <c r="DX331" s="78"/>
      <c r="DY331" s="78"/>
      <c r="DZ331" s="78"/>
      <c r="EA331" s="78"/>
      <c r="EB331" s="78"/>
      <c r="EC331" s="78"/>
      <c r="ED331" s="78"/>
      <c r="EE331" s="78"/>
      <c r="EF331" s="78"/>
      <c r="EG331" s="78"/>
      <c r="EH331" s="78"/>
      <c r="EI331" s="78"/>
      <c r="EJ331" s="78"/>
      <c r="EK331" s="78"/>
      <c r="EL331" s="78"/>
      <c r="EM331" s="78"/>
      <c r="EN331" s="91"/>
      <c r="EO331" s="91"/>
      <c r="EP331" s="91"/>
      <c r="EQ331" s="91"/>
      <c r="ER331" s="91"/>
      <c r="ES331" s="91"/>
    </row>
    <row r="332" spans="1:149" outlineLevel="1">
      <c r="A332" s="29" t="str">
        <f t="shared" si="302"/>
        <v>modesg_inp_empr_excl_parisflg_scib</v>
      </c>
      <c r="B332" s="67" t="s">
        <v>26</v>
      </c>
      <c r="C332" s="68" t="s">
        <v>181</v>
      </c>
      <c r="D332" s="64" t="s">
        <v>40</v>
      </c>
      <c r="E332" s="66" t="s">
        <v>214</v>
      </c>
      <c r="F332" s="64" t="s">
        <v>242</v>
      </c>
      <c r="G332" s="64" t="str">
        <f>INDEX(Auxiliar!$B$16:$B$24,MATCH(Plano_V3!H332,Auxiliar!$C$16:$C$24,0),1)</f>
        <v>1. Concluído</v>
      </c>
      <c r="H332" s="64">
        <f>VLOOKUP(A332,'Aux - pivots1'!$A:$B,2,0)</f>
        <v>1</v>
      </c>
      <c r="I332" s="180">
        <f>SUMIFS(Table1[Estimação (horas)],Table1[Tabela],Plano_V3!E332,Table1[Campo],Plano_V3!F332)</f>
        <v>0.5</v>
      </c>
      <c r="J332" s="180">
        <f t="shared" si="307"/>
        <v>6.25E-2</v>
      </c>
      <c r="K332" s="180">
        <f>SUMIFS(Table1[Horas efetivas],Table1[Tabela],Plano_V3!E332,Table1[Campo],Plano_V3!F332)</f>
        <v>0.5</v>
      </c>
      <c r="L332" s="180">
        <f t="shared" ref="L332:L401" si="308">K332/8</f>
        <v>6.25E-2</v>
      </c>
      <c r="M332" s="174"/>
      <c r="N332" s="174">
        <f t="shared" ref="N332:N401" si="309">L332/J332</f>
        <v>1</v>
      </c>
      <c r="O332" s="174">
        <f t="shared" si="300"/>
        <v>1</v>
      </c>
      <c r="P332" s="89" t="s">
        <v>39</v>
      </c>
      <c r="Q332" s="90">
        <f t="shared" si="301"/>
        <v>6.25E-2</v>
      </c>
      <c r="R332" s="78"/>
      <c r="S332" s="78"/>
      <c r="T332" s="78"/>
      <c r="U332" s="78"/>
      <c r="V332" s="78"/>
      <c r="W332" s="78"/>
      <c r="X332" s="78"/>
      <c r="Y332" s="78"/>
      <c r="Z332" s="78"/>
      <c r="AA332" s="78"/>
      <c r="AB332" s="78"/>
      <c r="AC332" s="78"/>
      <c r="AD332" s="78"/>
      <c r="AE332" s="78"/>
      <c r="AF332" s="78"/>
      <c r="AG332" s="78"/>
      <c r="AH332" s="78"/>
      <c r="AI332" s="78"/>
      <c r="AJ332" s="78"/>
      <c r="AK332" s="78"/>
      <c r="AL332" s="78"/>
      <c r="AM332" s="78"/>
      <c r="AN332" s="78"/>
      <c r="AO332" s="78"/>
      <c r="AP332" s="78"/>
      <c r="AQ332" s="78"/>
      <c r="AR332" s="78"/>
      <c r="AS332" s="78"/>
      <c r="AT332" s="78"/>
      <c r="AU332" s="78"/>
      <c r="AV332" s="78"/>
      <c r="AW332" s="78"/>
      <c r="AX332" s="78"/>
      <c r="AY332" s="91"/>
      <c r="AZ332" s="78"/>
      <c r="BA332" s="78"/>
      <c r="BB332" s="78"/>
      <c r="BC332" s="78"/>
      <c r="BD332" s="78"/>
      <c r="BE332" s="78"/>
      <c r="BF332" s="78"/>
      <c r="BG332" s="78"/>
      <c r="BH332" s="78"/>
      <c r="BI332" s="78"/>
      <c r="BJ332" s="78"/>
      <c r="BK332" s="78"/>
      <c r="BL332" s="78"/>
      <c r="BM332" s="78"/>
      <c r="BN332" s="78"/>
      <c r="BO332" s="78"/>
      <c r="BP332" s="78"/>
      <c r="BQ332" s="78"/>
      <c r="BR332" s="78"/>
      <c r="BS332" s="78"/>
      <c r="BT332" s="78"/>
      <c r="BU332" s="78"/>
      <c r="BV332" s="78"/>
      <c r="BW332" s="78"/>
      <c r="BX332" s="78"/>
      <c r="BY332" s="78"/>
      <c r="BZ332" s="78"/>
      <c r="CA332" s="78"/>
      <c r="CB332" s="78"/>
      <c r="CC332" s="78"/>
      <c r="CD332" s="78"/>
      <c r="CE332" s="78"/>
      <c r="CF332" s="78"/>
      <c r="CG332" s="78"/>
      <c r="CH332" s="78"/>
      <c r="CI332" s="78"/>
      <c r="CJ332" s="78"/>
      <c r="CK332" s="78"/>
      <c r="CL332" s="78"/>
      <c r="CM332" s="78"/>
      <c r="CN332" s="78"/>
      <c r="CO332" s="78"/>
      <c r="CP332" s="78"/>
      <c r="CQ332" s="78"/>
      <c r="CR332" s="78"/>
      <c r="CS332" s="78"/>
      <c r="CT332" s="78"/>
      <c r="CU332" s="78"/>
      <c r="CV332" s="78"/>
      <c r="CW332" s="78"/>
      <c r="CX332" s="78"/>
      <c r="CY332" s="78"/>
      <c r="CZ332" s="78"/>
      <c r="DA332" s="78"/>
      <c r="DB332" s="78"/>
      <c r="DC332" s="78"/>
      <c r="DD332" s="78"/>
      <c r="DE332" s="78"/>
      <c r="DF332" s="78"/>
      <c r="DG332" s="78"/>
      <c r="DH332" s="78"/>
      <c r="DI332" s="78"/>
      <c r="DJ332" s="78"/>
      <c r="DK332" s="78"/>
      <c r="DL332" s="78"/>
      <c r="DM332" s="78"/>
      <c r="DN332" s="78"/>
      <c r="DO332" s="78"/>
      <c r="DP332" s="78"/>
      <c r="DQ332" s="78"/>
      <c r="DR332" s="78"/>
      <c r="DS332" s="78"/>
      <c r="DT332" s="78"/>
      <c r="DU332" s="78"/>
      <c r="DV332" s="78"/>
      <c r="DW332" s="78"/>
      <c r="DX332" s="78"/>
      <c r="DY332" s="78"/>
      <c r="DZ332" s="78"/>
      <c r="EA332" s="78"/>
      <c r="EB332" s="78"/>
      <c r="EC332" s="78"/>
      <c r="ED332" s="78"/>
      <c r="EE332" s="78"/>
      <c r="EF332" s="78"/>
      <c r="EG332" s="78"/>
      <c r="EH332" s="78"/>
      <c r="EI332" s="78"/>
      <c r="EJ332" s="78"/>
      <c r="EK332" s="78"/>
      <c r="EL332" s="78"/>
      <c r="EM332" s="78"/>
      <c r="EN332" s="91"/>
      <c r="EO332" s="91"/>
      <c r="EP332" s="91"/>
      <c r="EQ332" s="91"/>
      <c r="ER332" s="91"/>
      <c r="ES332" s="91"/>
    </row>
    <row r="333" spans="1:149" outlineLevel="1">
      <c r="A333" s="29" t="str">
        <f t="shared" si="302"/>
        <v>modesg_inp_empr_excl_parisnome_pais</v>
      </c>
      <c r="B333" s="67" t="s">
        <v>26</v>
      </c>
      <c r="C333" s="68" t="s">
        <v>181</v>
      </c>
      <c r="D333" s="64" t="s">
        <v>40</v>
      </c>
      <c r="E333" s="66" t="s">
        <v>214</v>
      </c>
      <c r="F333" s="64" t="s">
        <v>221</v>
      </c>
      <c r="G333" s="64" t="str">
        <f>INDEX(Auxiliar!$B$16:$B$24,MATCH(Plano_V3!H333,Auxiliar!$C$16:$C$24,0),1)</f>
        <v>1. Concluído</v>
      </c>
      <c r="H333" s="64">
        <f>VLOOKUP(A333,'Aux - pivots1'!$A:$B,2,0)</f>
        <v>1</v>
      </c>
      <c r="I333" s="180">
        <f>SUMIFS(Table1[Estimação (horas)],Table1[Tabela],Plano_V3!E333,Table1[Campo],Plano_V3!F333)</f>
        <v>0.5</v>
      </c>
      <c r="J333" s="180">
        <f t="shared" si="307"/>
        <v>6.25E-2</v>
      </c>
      <c r="K333" s="180">
        <f>SUMIFS(Table1[Horas efetivas],Table1[Tabela],Plano_V3!E333,Table1[Campo],Plano_V3!F333)</f>
        <v>0.5</v>
      </c>
      <c r="L333" s="180">
        <f t="shared" si="308"/>
        <v>6.25E-2</v>
      </c>
      <c r="M333" s="174"/>
      <c r="N333" s="174">
        <f t="shared" si="309"/>
        <v>1</v>
      </c>
      <c r="O333" s="174">
        <f t="shared" si="300"/>
        <v>1</v>
      </c>
      <c r="P333" s="89" t="s">
        <v>39</v>
      </c>
      <c r="Q333" s="90">
        <f t="shared" si="301"/>
        <v>6.25E-2</v>
      </c>
      <c r="R333" s="78"/>
      <c r="S333" s="78"/>
      <c r="T333" s="78"/>
      <c r="U333" s="78"/>
      <c r="V333" s="78"/>
      <c r="W333" s="78"/>
      <c r="X333" s="78"/>
      <c r="Y333" s="78"/>
      <c r="Z333" s="78"/>
      <c r="AA333" s="78"/>
      <c r="AB333" s="78"/>
      <c r="AC333" s="78"/>
      <c r="AD333" s="78"/>
      <c r="AE333" s="78"/>
      <c r="AF333" s="78"/>
      <c r="AG333" s="78"/>
      <c r="AH333" s="78"/>
      <c r="AI333" s="78"/>
      <c r="AJ333" s="78"/>
      <c r="AK333" s="78"/>
      <c r="AL333" s="78"/>
      <c r="AM333" s="78"/>
      <c r="AN333" s="78"/>
      <c r="AO333" s="78"/>
      <c r="AP333" s="78"/>
      <c r="AQ333" s="78"/>
      <c r="AR333" s="78"/>
      <c r="AS333" s="78"/>
      <c r="AT333" s="78"/>
      <c r="AU333" s="78"/>
      <c r="AV333" s="78"/>
      <c r="AW333" s="78"/>
      <c r="AX333" s="78"/>
      <c r="AY333" s="91"/>
      <c r="AZ333" s="78"/>
      <c r="BA333" s="78"/>
      <c r="BB333" s="78"/>
      <c r="BC333" s="78"/>
      <c r="BD333" s="78"/>
      <c r="BE333" s="78"/>
      <c r="BF333" s="78"/>
      <c r="BG333" s="78"/>
      <c r="BH333" s="78"/>
      <c r="BI333" s="78"/>
      <c r="BJ333" s="78"/>
      <c r="BK333" s="78"/>
      <c r="BL333" s="78"/>
      <c r="BM333" s="78"/>
      <c r="BN333" s="78"/>
      <c r="BO333" s="78"/>
      <c r="BP333" s="78"/>
      <c r="BQ333" s="78"/>
      <c r="BR333" s="78"/>
      <c r="BS333" s="78"/>
      <c r="BT333" s="78"/>
      <c r="BU333" s="78"/>
      <c r="BV333" s="78"/>
      <c r="BW333" s="78"/>
      <c r="BX333" s="78"/>
      <c r="BY333" s="78"/>
      <c r="BZ333" s="78"/>
      <c r="CA333" s="78"/>
      <c r="CB333" s="78"/>
      <c r="CC333" s="78"/>
      <c r="CD333" s="78"/>
      <c r="CE333" s="78"/>
      <c r="CF333" s="78"/>
      <c r="CG333" s="78"/>
      <c r="CH333" s="78"/>
      <c r="CI333" s="78"/>
      <c r="CJ333" s="78"/>
      <c r="CK333" s="78"/>
      <c r="CL333" s="78"/>
      <c r="CM333" s="78"/>
      <c r="CN333" s="78"/>
      <c r="CO333" s="78"/>
      <c r="CP333" s="78"/>
      <c r="CQ333" s="78"/>
      <c r="CR333" s="78"/>
      <c r="CS333" s="78"/>
      <c r="CT333" s="78"/>
      <c r="CU333" s="78"/>
      <c r="CV333" s="78"/>
      <c r="CW333" s="78"/>
      <c r="CX333" s="78"/>
      <c r="CY333" s="78"/>
      <c r="CZ333" s="78"/>
      <c r="DA333" s="78"/>
      <c r="DB333" s="78"/>
      <c r="DC333" s="78"/>
      <c r="DD333" s="78"/>
      <c r="DE333" s="78"/>
      <c r="DF333" s="78"/>
      <c r="DG333" s="78"/>
      <c r="DH333" s="78"/>
      <c r="DI333" s="78"/>
      <c r="DJ333" s="78"/>
      <c r="DK333" s="78"/>
      <c r="DL333" s="78"/>
      <c r="DM333" s="78"/>
      <c r="DN333" s="78"/>
      <c r="DO333" s="78"/>
      <c r="DP333" s="78"/>
      <c r="DQ333" s="78"/>
      <c r="DR333" s="78"/>
      <c r="DS333" s="78"/>
      <c r="DT333" s="78"/>
      <c r="DU333" s="78"/>
      <c r="DV333" s="78"/>
      <c r="DW333" s="78"/>
      <c r="DX333" s="78"/>
      <c r="DY333" s="78"/>
      <c r="DZ333" s="78"/>
      <c r="EA333" s="78"/>
      <c r="EB333" s="78"/>
      <c r="EC333" s="78"/>
      <c r="ED333" s="78"/>
      <c r="EE333" s="78"/>
      <c r="EF333" s="78"/>
      <c r="EG333" s="78"/>
      <c r="EH333" s="78"/>
      <c r="EI333" s="78"/>
      <c r="EJ333" s="78"/>
      <c r="EK333" s="78"/>
      <c r="EL333" s="78"/>
      <c r="EM333" s="78"/>
      <c r="EN333" s="91"/>
      <c r="EO333" s="91"/>
      <c r="EP333" s="91"/>
      <c r="EQ333" s="91"/>
      <c r="ER333" s="91"/>
      <c r="ES333" s="91"/>
    </row>
    <row r="334" spans="1:149" outlineLevel="1">
      <c r="A334" s="29" t="str">
        <f t="shared" si="302"/>
        <v>modesg_inp_nfrd_alinhamento_taxref_date</v>
      </c>
      <c r="B334" s="67" t="s">
        <v>26</v>
      </c>
      <c r="C334" s="68" t="s">
        <v>181</v>
      </c>
      <c r="D334" s="64" t="s">
        <v>40</v>
      </c>
      <c r="E334" s="66" t="s">
        <v>215</v>
      </c>
      <c r="F334" s="64" t="s">
        <v>208</v>
      </c>
      <c r="G334" s="64" t="str">
        <f>INDEX(Auxiliar!$B$16:$B$24,MATCH(Plano_V3!H334,Auxiliar!$C$16:$C$24,0),1)</f>
        <v>1. Concluído</v>
      </c>
      <c r="H334" s="64">
        <f>VLOOKUP(A334,'Aux - pivots1'!$A:$B,2,0)</f>
        <v>1</v>
      </c>
      <c r="I334" s="180">
        <f>SUMIFS(Table1[Estimação (horas)],Table1[Tabela],Plano_V3!E334,Table1[Campo],Plano_V3!F334)</f>
        <v>0.5</v>
      </c>
      <c r="J334" s="180">
        <f t="shared" si="307"/>
        <v>6.25E-2</v>
      </c>
      <c r="K334" s="180">
        <f>SUMIFS(Table1[Horas efetivas],Table1[Tabela],Plano_V3!E334,Table1[Campo],Plano_V3!F334)</f>
        <v>0.5</v>
      </c>
      <c r="L334" s="180">
        <f t="shared" si="308"/>
        <v>6.25E-2</v>
      </c>
      <c r="M334" s="174"/>
      <c r="N334" s="174">
        <f t="shared" si="309"/>
        <v>1</v>
      </c>
      <c r="O334" s="174">
        <f t="shared" si="300"/>
        <v>1</v>
      </c>
      <c r="P334" s="89" t="s">
        <v>39</v>
      </c>
      <c r="Q334" s="90">
        <f t="shared" si="301"/>
        <v>6.25E-2</v>
      </c>
      <c r="R334" s="78"/>
      <c r="S334" s="78"/>
      <c r="T334" s="78"/>
      <c r="U334" s="78"/>
      <c r="V334" s="78"/>
      <c r="W334" s="78"/>
      <c r="X334" s="78"/>
      <c r="Y334" s="78"/>
      <c r="Z334" s="78"/>
      <c r="AA334" s="78"/>
      <c r="AB334" s="78"/>
      <c r="AC334" s="78"/>
      <c r="AD334" s="78"/>
      <c r="AE334" s="78"/>
      <c r="AF334" s="78"/>
      <c r="AG334" s="78"/>
      <c r="AH334" s="78"/>
      <c r="AI334" s="78"/>
      <c r="AJ334" s="78"/>
      <c r="AK334" s="78"/>
      <c r="AL334" s="78"/>
      <c r="AM334" s="78"/>
      <c r="AN334" s="78"/>
      <c r="AO334" s="78"/>
      <c r="AP334" s="78"/>
      <c r="AQ334" s="78"/>
      <c r="AR334" s="78"/>
      <c r="AS334" s="78"/>
      <c r="AT334" s="78"/>
      <c r="AU334" s="78"/>
      <c r="AV334" s="78"/>
      <c r="AW334" s="78"/>
      <c r="AX334" s="78"/>
      <c r="AY334" s="91"/>
      <c r="AZ334" s="78"/>
      <c r="BA334" s="78"/>
      <c r="BB334" s="78"/>
      <c r="BC334" s="78"/>
      <c r="BD334" s="78"/>
      <c r="BE334" s="78"/>
      <c r="BF334" s="78"/>
      <c r="BG334" s="78"/>
      <c r="BH334" s="78"/>
      <c r="BI334" s="78"/>
      <c r="BJ334" s="78"/>
      <c r="BK334" s="78"/>
      <c r="BL334" s="78"/>
      <c r="BM334" s="78"/>
      <c r="BN334" s="78"/>
      <c r="BO334" s="78"/>
      <c r="BP334" s="78"/>
      <c r="BQ334" s="78"/>
      <c r="BR334" s="78"/>
      <c r="BS334" s="78"/>
      <c r="BT334" s="78"/>
      <c r="BU334" s="78"/>
      <c r="BV334" s="78"/>
      <c r="BW334" s="78"/>
      <c r="BX334" s="78"/>
      <c r="BY334" s="78"/>
      <c r="BZ334" s="78"/>
      <c r="CA334" s="78"/>
      <c r="CB334" s="78"/>
      <c r="CC334" s="78"/>
      <c r="CD334" s="78"/>
      <c r="CE334" s="78"/>
      <c r="CF334" s="78"/>
      <c r="CG334" s="78"/>
      <c r="CH334" s="78"/>
      <c r="CI334" s="78"/>
      <c r="CJ334" s="78"/>
      <c r="CK334" s="78"/>
      <c r="CL334" s="78"/>
      <c r="CM334" s="78"/>
      <c r="CN334" s="78"/>
      <c r="CO334" s="78"/>
      <c r="CP334" s="78"/>
      <c r="CQ334" s="78"/>
      <c r="CR334" s="78"/>
      <c r="CS334" s="78"/>
      <c r="CT334" s="78"/>
      <c r="CU334" s="78"/>
      <c r="CV334" s="78"/>
      <c r="CW334" s="78"/>
      <c r="CX334" s="78"/>
      <c r="CY334" s="78"/>
      <c r="CZ334" s="78"/>
      <c r="DA334" s="78"/>
      <c r="DB334" s="78"/>
      <c r="DC334" s="78"/>
      <c r="DD334" s="78"/>
      <c r="DE334" s="78"/>
      <c r="DF334" s="78"/>
      <c r="DG334" s="78"/>
      <c r="DH334" s="78"/>
      <c r="DI334" s="78"/>
      <c r="DJ334" s="78"/>
      <c r="DK334" s="78"/>
      <c r="DL334" s="78"/>
      <c r="DM334" s="78"/>
      <c r="DN334" s="78"/>
      <c r="DO334" s="78"/>
      <c r="DP334" s="78"/>
      <c r="DQ334" s="78"/>
      <c r="DR334" s="78"/>
      <c r="DS334" s="78"/>
      <c r="DT334" s="78"/>
      <c r="DU334" s="78"/>
      <c r="DV334" s="78"/>
      <c r="DW334" s="78"/>
      <c r="DX334" s="78"/>
      <c r="DY334" s="78"/>
      <c r="DZ334" s="78"/>
      <c r="EA334" s="78"/>
      <c r="EB334" s="78"/>
      <c r="EC334" s="78"/>
      <c r="ED334" s="78"/>
      <c r="EE334" s="78"/>
      <c r="EF334" s="78"/>
      <c r="EG334" s="78"/>
      <c r="EH334" s="78"/>
      <c r="EI334" s="78"/>
      <c r="EJ334" s="78"/>
      <c r="EK334" s="78"/>
      <c r="EL334" s="78"/>
      <c r="EM334" s="78"/>
      <c r="EN334" s="91"/>
      <c r="EO334" s="91"/>
      <c r="EP334" s="91"/>
      <c r="EQ334" s="91"/>
      <c r="ER334" s="91"/>
      <c r="ES334" s="91"/>
    </row>
    <row r="335" spans="1:149" outlineLevel="1">
      <c r="A335" s="29" t="str">
        <f t="shared" si="302"/>
        <v>modesg_inp_nfrd_alinhamento_taxccli_kgl</v>
      </c>
      <c r="B335" s="67" t="s">
        <v>26</v>
      </c>
      <c r="C335" s="68" t="s">
        <v>181</v>
      </c>
      <c r="D335" s="64" t="s">
        <v>40</v>
      </c>
      <c r="E335" s="66" t="s">
        <v>215</v>
      </c>
      <c r="F335" s="64" t="s">
        <v>240</v>
      </c>
      <c r="G335" s="64" t="str">
        <f>INDEX(Auxiliar!$B$16:$B$24,MATCH(Plano_V3!H335,Auxiliar!$C$16:$C$24,0),1)</f>
        <v>1. Concluído</v>
      </c>
      <c r="H335" s="64">
        <f>VLOOKUP(A335,'Aux - pivots1'!$A:$B,2,0)</f>
        <v>1</v>
      </c>
      <c r="I335" s="180">
        <f>SUMIFS(Table1[Estimação (horas)],Table1[Tabela],Plano_V3!E335,Table1[Campo],Plano_V3!F335)</f>
        <v>0.6</v>
      </c>
      <c r="J335" s="180">
        <f t="shared" si="307"/>
        <v>7.4999999999999997E-2</v>
      </c>
      <c r="K335" s="180">
        <f>SUMIFS(Table1[Horas efetivas],Table1[Tabela],Plano_V3!E335,Table1[Campo],Plano_V3!F335)</f>
        <v>0.6</v>
      </c>
      <c r="L335" s="180">
        <f t="shared" si="308"/>
        <v>7.4999999999999997E-2</v>
      </c>
      <c r="M335" s="174"/>
      <c r="N335" s="174">
        <f t="shared" si="309"/>
        <v>1</v>
      </c>
      <c r="O335" s="174">
        <f t="shared" si="300"/>
        <v>1</v>
      </c>
      <c r="P335" s="89" t="s">
        <v>39</v>
      </c>
      <c r="Q335" s="90">
        <f t="shared" si="301"/>
        <v>7.4999999999999997E-2</v>
      </c>
      <c r="R335" s="78"/>
      <c r="S335" s="78"/>
      <c r="T335" s="78"/>
      <c r="U335" s="78"/>
      <c r="V335" s="78"/>
      <c r="W335" s="78"/>
      <c r="X335" s="78"/>
      <c r="Y335" s="78"/>
      <c r="Z335" s="78"/>
      <c r="AA335" s="78"/>
      <c r="AB335" s="78"/>
      <c r="AC335" s="78"/>
      <c r="AD335" s="78"/>
      <c r="AE335" s="78"/>
      <c r="AF335" s="78"/>
      <c r="AG335" s="78"/>
      <c r="AH335" s="78"/>
      <c r="AI335" s="78"/>
      <c r="AJ335" s="78"/>
      <c r="AK335" s="78"/>
      <c r="AL335" s="78"/>
      <c r="AM335" s="78"/>
      <c r="AN335" s="78"/>
      <c r="AO335" s="78"/>
      <c r="AP335" s="78"/>
      <c r="AQ335" s="78"/>
      <c r="AR335" s="78"/>
      <c r="AS335" s="78"/>
      <c r="AT335" s="78"/>
      <c r="AU335" s="78"/>
      <c r="AV335" s="78"/>
      <c r="AW335" s="78"/>
      <c r="AX335" s="78"/>
      <c r="AY335" s="91"/>
      <c r="AZ335" s="78"/>
      <c r="BA335" s="78"/>
      <c r="BB335" s="78"/>
      <c r="BC335" s="78"/>
      <c r="BD335" s="78"/>
      <c r="BE335" s="78"/>
      <c r="BF335" s="78"/>
      <c r="BG335" s="78"/>
      <c r="BH335" s="78"/>
      <c r="BI335" s="78"/>
      <c r="BJ335" s="78"/>
      <c r="BK335" s="78"/>
      <c r="BL335" s="78"/>
      <c r="BM335" s="78"/>
      <c r="BN335" s="78"/>
      <c r="BO335" s="78"/>
      <c r="BP335" s="78"/>
      <c r="BQ335" s="78"/>
      <c r="BR335" s="78"/>
      <c r="BS335" s="78"/>
      <c r="BT335" s="78"/>
      <c r="BU335" s="78"/>
      <c r="BV335" s="78"/>
      <c r="BW335" s="78"/>
      <c r="BX335" s="78"/>
      <c r="BY335" s="78"/>
      <c r="BZ335" s="78"/>
      <c r="CA335" s="78"/>
      <c r="CB335" s="78"/>
      <c r="CC335" s="78"/>
      <c r="CD335" s="78"/>
      <c r="CE335" s="78"/>
      <c r="CF335" s="78"/>
      <c r="CG335" s="78"/>
      <c r="CH335" s="78"/>
      <c r="CI335" s="78"/>
      <c r="CJ335" s="78"/>
      <c r="CK335" s="78"/>
      <c r="CL335" s="78"/>
      <c r="CM335" s="78"/>
      <c r="CN335" s="78"/>
      <c r="CO335" s="78"/>
      <c r="CP335" s="78"/>
      <c r="CQ335" s="78"/>
      <c r="CR335" s="78"/>
      <c r="CS335" s="78"/>
      <c r="CT335" s="78"/>
      <c r="CU335" s="78"/>
      <c r="CV335" s="78"/>
      <c r="CW335" s="78"/>
      <c r="CX335" s="78"/>
      <c r="CY335" s="78"/>
      <c r="CZ335" s="78"/>
      <c r="DA335" s="78"/>
      <c r="DB335" s="78"/>
      <c r="DC335" s="78"/>
      <c r="DD335" s="78"/>
      <c r="DE335" s="78"/>
      <c r="DF335" s="78"/>
      <c r="DG335" s="78"/>
      <c r="DH335" s="78"/>
      <c r="DI335" s="78"/>
      <c r="DJ335" s="78"/>
      <c r="DK335" s="78"/>
      <c r="DL335" s="78"/>
      <c r="DM335" s="78"/>
      <c r="DN335" s="78"/>
      <c r="DO335" s="78"/>
      <c r="DP335" s="78"/>
      <c r="DQ335" s="78"/>
      <c r="DR335" s="78"/>
      <c r="DS335" s="78"/>
      <c r="DT335" s="78"/>
      <c r="DU335" s="78"/>
      <c r="DV335" s="78"/>
      <c r="DW335" s="78"/>
      <c r="DX335" s="78"/>
      <c r="DY335" s="78"/>
      <c r="DZ335" s="78"/>
      <c r="EA335" s="78"/>
      <c r="EB335" s="78"/>
      <c r="EC335" s="78"/>
      <c r="ED335" s="78"/>
      <c r="EE335" s="78"/>
      <c r="EF335" s="78"/>
      <c r="EG335" s="78"/>
      <c r="EH335" s="78"/>
      <c r="EI335" s="78"/>
      <c r="EJ335" s="78"/>
      <c r="EK335" s="78"/>
      <c r="EL335" s="78"/>
      <c r="EM335" s="78"/>
      <c r="EN335" s="91"/>
      <c r="EO335" s="91"/>
      <c r="EP335" s="91"/>
      <c r="EQ335" s="91"/>
      <c r="ER335" s="91"/>
      <c r="ES335" s="91"/>
    </row>
    <row r="336" spans="1:149" outlineLevel="1">
      <c r="A336" s="29" t="str">
        <f t="shared" si="302"/>
        <v>modesg_inp_nfrd_alinhamento_taxclei</v>
      </c>
      <c r="B336" s="67" t="s">
        <v>26</v>
      </c>
      <c r="C336" s="68" t="s">
        <v>181</v>
      </c>
      <c r="D336" s="64" t="s">
        <v>40</v>
      </c>
      <c r="E336" s="66" t="s">
        <v>215</v>
      </c>
      <c r="F336" s="64" t="s">
        <v>239</v>
      </c>
      <c r="G336" s="64" t="str">
        <f>INDEX(Auxiliar!$B$16:$B$24,MATCH(Plano_V3!H336,Auxiliar!$C$16:$C$24,0),1)</f>
        <v>1. Concluído</v>
      </c>
      <c r="H336" s="64">
        <f>VLOOKUP(A336,'Aux - pivots1'!$A:$B,2,0)</f>
        <v>1</v>
      </c>
      <c r="I336" s="180">
        <f>SUMIFS(Table1[Estimação (horas)],Table1[Tabela],Plano_V3!E336,Table1[Campo],Plano_V3!F336)</f>
        <v>0.6</v>
      </c>
      <c r="J336" s="180">
        <f t="shared" si="307"/>
        <v>7.4999999999999997E-2</v>
      </c>
      <c r="K336" s="180">
        <f>SUMIFS(Table1[Horas efetivas],Table1[Tabela],Plano_V3!E336,Table1[Campo],Plano_V3!F336)</f>
        <v>0.6</v>
      </c>
      <c r="L336" s="180">
        <f t="shared" si="308"/>
        <v>7.4999999999999997E-2</v>
      </c>
      <c r="M336" s="174"/>
      <c r="N336" s="174">
        <f t="shared" si="309"/>
        <v>1</v>
      </c>
      <c r="O336" s="174">
        <f t="shared" si="300"/>
        <v>1</v>
      </c>
      <c r="P336" s="89" t="s">
        <v>39</v>
      </c>
      <c r="Q336" s="90">
        <f t="shared" si="301"/>
        <v>7.4999999999999997E-2</v>
      </c>
      <c r="R336" s="78"/>
      <c r="S336" s="78"/>
      <c r="T336" s="78"/>
      <c r="U336" s="78"/>
      <c r="V336" s="78"/>
      <c r="W336" s="78"/>
      <c r="X336" s="78"/>
      <c r="Y336" s="78"/>
      <c r="Z336" s="78"/>
      <c r="AA336" s="78"/>
      <c r="AB336" s="78"/>
      <c r="AC336" s="78"/>
      <c r="AD336" s="78"/>
      <c r="AE336" s="78"/>
      <c r="AF336" s="78"/>
      <c r="AG336" s="78"/>
      <c r="AH336" s="78"/>
      <c r="AI336" s="78"/>
      <c r="AJ336" s="78"/>
      <c r="AK336" s="78"/>
      <c r="AL336" s="78"/>
      <c r="AM336" s="78"/>
      <c r="AN336" s="78"/>
      <c r="AO336" s="78"/>
      <c r="AP336" s="78"/>
      <c r="AQ336" s="78"/>
      <c r="AR336" s="78"/>
      <c r="AS336" s="78"/>
      <c r="AT336" s="78"/>
      <c r="AU336" s="78"/>
      <c r="AV336" s="78"/>
      <c r="AW336" s="78"/>
      <c r="AX336" s="78"/>
      <c r="AY336" s="91"/>
      <c r="AZ336" s="78"/>
      <c r="BA336" s="78"/>
      <c r="BB336" s="78"/>
      <c r="BC336" s="78"/>
      <c r="BD336" s="78"/>
      <c r="BE336" s="78"/>
      <c r="BF336" s="78"/>
      <c r="BG336" s="78"/>
      <c r="BH336" s="78"/>
      <c r="BI336" s="78"/>
      <c r="BJ336" s="78"/>
      <c r="BK336" s="78"/>
      <c r="BL336" s="78"/>
      <c r="BM336" s="78"/>
      <c r="BN336" s="78"/>
      <c r="BO336" s="78"/>
      <c r="BP336" s="78"/>
      <c r="BQ336" s="78"/>
      <c r="BR336" s="78"/>
      <c r="BS336" s="78"/>
      <c r="BT336" s="78"/>
      <c r="BU336" s="78"/>
      <c r="BV336" s="78"/>
      <c r="BW336" s="78"/>
      <c r="BX336" s="78"/>
      <c r="BY336" s="78"/>
      <c r="BZ336" s="78"/>
      <c r="CA336" s="78"/>
      <c r="CB336" s="78"/>
      <c r="CC336" s="78"/>
      <c r="CD336" s="78"/>
      <c r="CE336" s="78"/>
      <c r="CF336" s="78"/>
      <c r="CG336" s="78"/>
      <c r="CH336" s="78"/>
      <c r="CI336" s="78"/>
      <c r="CJ336" s="78"/>
      <c r="CK336" s="78"/>
      <c r="CL336" s="78"/>
      <c r="CM336" s="78"/>
      <c r="CN336" s="78"/>
      <c r="CO336" s="78"/>
      <c r="CP336" s="78"/>
      <c r="CQ336" s="78"/>
      <c r="CR336" s="78"/>
      <c r="CS336" s="78"/>
      <c r="CT336" s="78"/>
      <c r="CU336" s="78"/>
      <c r="CV336" s="78"/>
      <c r="CW336" s="78"/>
      <c r="CX336" s="78"/>
      <c r="CY336" s="78"/>
      <c r="CZ336" s="78"/>
      <c r="DA336" s="78"/>
      <c r="DB336" s="78"/>
      <c r="DC336" s="78"/>
      <c r="DD336" s="78"/>
      <c r="DE336" s="78"/>
      <c r="DF336" s="78"/>
      <c r="DG336" s="78"/>
      <c r="DH336" s="78"/>
      <c r="DI336" s="78"/>
      <c r="DJ336" s="78"/>
      <c r="DK336" s="78"/>
      <c r="DL336" s="78"/>
      <c r="DM336" s="78"/>
      <c r="DN336" s="78"/>
      <c r="DO336" s="78"/>
      <c r="DP336" s="78"/>
      <c r="DQ336" s="78"/>
      <c r="DR336" s="78"/>
      <c r="DS336" s="78"/>
      <c r="DT336" s="78"/>
      <c r="DU336" s="78"/>
      <c r="DV336" s="78"/>
      <c r="DW336" s="78"/>
      <c r="DX336" s="78"/>
      <c r="DY336" s="78"/>
      <c r="DZ336" s="78"/>
      <c r="EA336" s="78"/>
      <c r="EB336" s="78"/>
      <c r="EC336" s="78"/>
      <c r="ED336" s="78"/>
      <c r="EE336" s="78"/>
      <c r="EF336" s="78"/>
      <c r="EG336" s="78"/>
      <c r="EH336" s="78"/>
      <c r="EI336" s="78"/>
      <c r="EJ336" s="78"/>
      <c r="EK336" s="78"/>
      <c r="EL336" s="78"/>
      <c r="EM336" s="78"/>
      <c r="EN336" s="91"/>
      <c r="EO336" s="91"/>
      <c r="EP336" s="91"/>
      <c r="EQ336" s="91"/>
      <c r="ER336" s="91"/>
      <c r="ES336" s="91"/>
    </row>
    <row r="337" spans="1:149" outlineLevel="1">
      <c r="A337" s="29" t="str">
        <f t="shared" si="302"/>
        <v>modesg_inp_nfrd_alinhamento_taxperm_id</v>
      </c>
      <c r="B337" s="67" t="s">
        <v>26</v>
      </c>
      <c r="C337" s="68" t="s">
        <v>181</v>
      </c>
      <c r="D337" s="64" t="s">
        <v>40</v>
      </c>
      <c r="E337" s="66" t="s">
        <v>215</v>
      </c>
      <c r="F337" s="64" t="s">
        <v>243</v>
      </c>
      <c r="G337" s="64" t="str">
        <f>INDEX(Auxiliar!$B$16:$B$24,MATCH(Plano_V3!H337,Auxiliar!$C$16:$C$24,0),1)</f>
        <v>1. Concluído</v>
      </c>
      <c r="H337" s="64">
        <f>VLOOKUP(A337,'Aux - pivots1'!$A:$B,2,0)</f>
        <v>1</v>
      </c>
      <c r="I337" s="180">
        <f>SUMIFS(Table1[Estimação (horas)],Table1[Tabela],Plano_V3!E337,Table1[Campo],Plano_V3!F337)</f>
        <v>0.5</v>
      </c>
      <c r="J337" s="180">
        <f t="shared" si="307"/>
        <v>6.25E-2</v>
      </c>
      <c r="K337" s="180">
        <f>SUMIFS(Table1[Horas efetivas],Table1[Tabela],Plano_V3!E337,Table1[Campo],Plano_V3!F337)</f>
        <v>0.5</v>
      </c>
      <c r="L337" s="180">
        <f t="shared" si="308"/>
        <v>6.25E-2</v>
      </c>
      <c r="M337" s="174"/>
      <c r="N337" s="174">
        <f t="shared" si="309"/>
        <v>1</v>
      </c>
      <c r="O337" s="174">
        <f t="shared" si="300"/>
        <v>1</v>
      </c>
      <c r="P337" s="89" t="s">
        <v>39</v>
      </c>
      <c r="Q337" s="90">
        <f t="shared" si="301"/>
        <v>6.25E-2</v>
      </c>
      <c r="R337" s="78"/>
      <c r="S337" s="78"/>
      <c r="T337" s="78"/>
      <c r="U337" s="78"/>
      <c r="V337" s="78"/>
      <c r="W337" s="78"/>
      <c r="X337" s="78"/>
      <c r="Y337" s="78"/>
      <c r="Z337" s="78"/>
      <c r="AA337" s="78"/>
      <c r="AB337" s="78"/>
      <c r="AC337" s="78"/>
      <c r="AD337" s="78"/>
      <c r="AE337" s="78"/>
      <c r="AF337" s="78"/>
      <c r="AG337" s="78"/>
      <c r="AH337" s="78"/>
      <c r="AI337" s="78"/>
      <c r="AJ337" s="78"/>
      <c r="AK337" s="78"/>
      <c r="AL337" s="78"/>
      <c r="AM337" s="78"/>
      <c r="AN337" s="78"/>
      <c r="AO337" s="78"/>
      <c r="AP337" s="78"/>
      <c r="AQ337" s="78"/>
      <c r="AR337" s="78"/>
      <c r="AS337" s="78"/>
      <c r="AT337" s="78"/>
      <c r="AU337" s="78"/>
      <c r="AV337" s="78"/>
      <c r="AW337" s="78"/>
      <c r="AX337" s="78"/>
      <c r="AY337" s="91"/>
      <c r="AZ337" s="78"/>
      <c r="BA337" s="78"/>
      <c r="BB337" s="78"/>
      <c r="BC337" s="78"/>
      <c r="BD337" s="78"/>
      <c r="BE337" s="78"/>
      <c r="BF337" s="78"/>
      <c r="BG337" s="78"/>
      <c r="BH337" s="78"/>
      <c r="BI337" s="78"/>
      <c r="BJ337" s="78"/>
      <c r="BK337" s="78"/>
      <c r="BL337" s="78"/>
      <c r="BM337" s="78"/>
      <c r="BN337" s="78"/>
      <c r="BO337" s="78"/>
      <c r="BP337" s="78"/>
      <c r="BQ337" s="78"/>
      <c r="BR337" s="78"/>
      <c r="BS337" s="78"/>
      <c r="BT337" s="78"/>
      <c r="BU337" s="78"/>
      <c r="BV337" s="78"/>
      <c r="BW337" s="78"/>
      <c r="BX337" s="78"/>
      <c r="BY337" s="78"/>
      <c r="BZ337" s="78"/>
      <c r="CA337" s="78"/>
      <c r="CB337" s="78"/>
      <c r="CC337" s="78"/>
      <c r="CD337" s="78"/>
      <c r="CE337" s="78"/>
      <c r="CF337" s="78"/>
      <c r="CG337" s="78"/>
      <c r="CH337" s="78"/>
      <c r="CI337" s="78"/>
      <c r="CJ337" s="78"/>
      <c r="CK337" s="78"/>
      <c r="CL337" s="78"/>
      <c r="CM337" s="78"/>
      <c r="CN337" s="78"/>
      <c r="CO337" s="78"/>
      <c r="CP337" s="78"/>
      <c r="CQ337" s="78"/>
      <c r="CR337" s="78"/>
      <c r="CS337" s="78"/>
      <c r="CT337" s="78"/>
      <c r="CU337" s="78"/>
      <c r="CV337" s="78"/>
      <c r="CW337" s="78"/>
      <c r="CX337" s="78"/>
      <c r="CY337" s="78"/>
      <c r="CZ337" s="78"/>
      <c r="DA337" s="78"/>
      <c r="DB337" s="78"/>
      <c r="DC337" s="78"/>
      <c r="DD337" s="78"/>
      <c r="DE337" s="78"/>
      <c r="DF337" s="78"/>
      <c r="DG337" s="78"/>
      <c r="DH337" s="78"/>
      <c r="DI337" s="78"/>
      <c r="DJ337" s="78"/>
      <c r="DK337" s="78"/>
      <c r="DL337" s="78"/>
      <c r="DM337" s="78"/>
      <c r="DN337" s="78"/>
      <c r="DO337" s="78"/>
      <c r="DP337" s="78"/>
      <c r="DQ337" s="78"/>
      <c r="DR337" s="78"/>
      <c r="DS337" s="78"/>
      <c r="DT337" s="78"/>
      <c r="DU337" s="78"/>
      <c r="DV337" s="78"/>
      <c r="DW337" s="78"/>
      <c r="DX337" s="78"/>
      <c r="DY337" s="78"/>
      <c r="DZ337" s="78"/>
      <c r="EA337" s="78"/>
      <c r="EB337" s="78"/>
      <c r="EC337" s="78"/>
      <c r="ED337" s="78"/>
      <c r="EE337" s="78"/>
      <c r="EF337" s="78"/>
      <c r="EG337" s="78"/>
      <c r="EH337" s="78"/>
      <c r="EI337" s="78"/>
      <c r="EJ337" s="78"/>
      <c r="EK337" s="78"/>
      <c r="EL337" s="78"/>
      <c r="EM337" s="78"/>
      <c r="EN337" s="91"/>
      <c r="EO337" s="91"/>
      <c r="EP337" s="91"/>
      <c r="EQ337" s="91"/>
      <c r="ER337" s="91"/>
      <c r="ES337" s="91"/>
    </row>
    <row r="338" spans="1:149" outlineLevel="1">
      <c r="A338" s="29" t="str">
        <f t="shared" si="302"/>
        <v>modesg_inp_nfrd_alinhamento_taxnome_entidade</v>
      </c>
      <c r="B338" s="67" t="s">
        <v>26</v>
      </c>
      <c r="C338" s="68" t="s">
        <v>181</v>
      </c>
      <c r="D338" s="64" t="s">
        <v>40</v>
      </c>
      <c r="E338" s="66" t="s">
        <v>215</v>
      </c>
      <c r="F338" s="64" t="s">
        <v>241</v>
      </c>
      <c r="G338" s="64" t="str">
        <f>INDEX(Auxiliar!$B$16:$B$24,MATCH(Plano_V3!H338,Auxiliar!$C$16:$C$24,0),1)</f>
        <v>1. Concluído</v>
      </c>
      <c r="H338" s="64">
        <f>VLOOKUP(A338,'Aux - pivots1'!$A:$B,2,0)</f>
        <v>1</v>
      </c>
      <c r="I338" s="180">
        <f>SUMIFS(Table1[Estimação (horas)],Table1[Tabela],Plano_V3!E338,Table1[Campo],Plano_V3!F338)</f>
        <v>0.5</v>
      </c>
      <c r="J338" s="180">
        <f t="shared" si="307"/>
        <v>6.25E-2</v>
      </c>
      <c r="K338" s="180">
        <f>SUMIFS(Table1[Horas efetivas],Table1[Tabela],Plano_V3!E338,Table1[Campo],Plano_V3!F338)</f>
        <v>0.5</v>
      </c>
      <c r="L338" s="180">
        <f t="shared" si="308"/>
        <v>6.25E-2</v>
      </c>
      <c r="M338" s="174"/>
      <c r="N338" s="174">
        <f t="shared" si="309"/>
        <v>1</v>
      </c>
      <c r="O338" s="174">
        <f t="shared" si="300"/>
        <v>1</v>
      </c>
      <c r="P338" s="89" t="s">
        <v>39</v>
      </c>
      <c r="Q338" s="90">
        <f t="shared" si="301"/>
        <v>6.25E-2</v>
      </c>
      <c r="R338" s="78"/>
      <c r="S338" s="78"/>
      <c r="T338" s="78"/>
      <c r="U338" s="78"/>
      <c r="V338" s="78"/>
      <c r="W338" s="78"/>
      <c r="X338" s="78"/>
      <c r="Y338" s="78"/>
      <c r="Z338" s="78"/>
      <c r="AA338" s="78"/>
      <c r="AB338" s="78"/>
      <c r="AC338" s="78"/>
      <c r="AD338" s="78"/>
      <c r="AE338" s="78"/>
      <c r="AF338" s="78"/>
      <c r="AG338" s="78"/>
      <c r="AH338" s="78"/>
      <c r="AI338" s="78"/>
      <c r="AJ338" s="78"/>
      <c r="AK338" s="78"/>
      <c r="AL338" s="78"/>
      <c r="AM338" s="78"/>
      <c r="AN338" s="78"/>
      <c r="AO338" s="78"/>
      <c r="AP338" s="78"/>
      <c r="AQ338" s="78"/>
      <c r="AR338" s="78"/>
      <c r="AS338" s="78"/>
      <c r="AT338" s="78"/>
      <c r="AU338" s="78"/>
      <c r="AV338" s="78"/>
      <c r="AW338" s="78"/>
      <c r="AX338" s="78"/>
      <c r="AY338" s="91"/>
      <c r="AZ338" s="78"/>
      <c r="BA338" s="78"/>
      <c r="BB338" s="78"/>
      <c r="BC338" s="78"/>
      <c r="BD338" s="78"/>
      <c r="BE338" s="78"/>
      <c r="BF338" s="78"/>
      <c r="BG338" s="78"/>
      <c r="BH338" s="78"/>
      <c r="BI338" s="78"/>
      <c r="BJ338" s="78"/>
      <c r="BK338" s="78"/>
      <c r="BL338" s="78"/>
      <c r="BM338" s="78"/>
      <c r="BN338" s="78"/>
      <c r="BO338" s="78"/>
      <c r="BP338" s="78"/>
      <c r="BQ338" s="78"/>
      <c r="BR338" s="78"/>
      <c r="BS338" s="78"/>
      <c r="BT338" s="78"/>
      <c r="BU338" s="78"/>
      <c r="BV338" s="78"/>
      <c r="BW338" s="78"/>
      <c r="BX338" s="78"/>
      <c r="BY338" s="78"/>
      <c r="BZ338" s="78"/>
      <c r="CA338" s="78"/>
      <c r="CB338" s="78"/>
      <c r="CC338" s="78"/>
      <c r="CD338" s="78"/>
      <c r="CE338" s="78"/>
      <c r="CF338" s="78"/>
      <c r="CG338" s="78"/>
      <c r="CH338" s="78"/>
      <c r="CI338" s="78"/>
      <c r="CJ338" s="78"/>
      <c r="CK338" s="78"/>
      <c r="CL338" s="78"/>
      <c r="CM338" s="78"/>
      <c r="CN338" s="78"/>
      <c r="CO338" s="78"/>
      <c r="CP338" s="78"/>
      <c r="CQ338" s="78"/>
      <c r="CR338" s="78"/>
      <c r="CS338" s="78"/>
      <c r="CT338" s="78"/>
      <c r="CU338" s="78"/>
      <c r="CV338" s="78"/>
      <c r="CW338" s="78"/>
      <c r="CX338" s="78"/>
      <c r="CY338" s="78"/>
      <c r="CZ338" s="78"/>
      <c r="DA338" s="78"/>
      <c r="DB338" s="78"/>
      <c r="DC338" s="78"/>
      <c r="DD338" s="78"/>
      <c r="DE338" s="78"/>
      <c r="DF338" s="78"/>
      <c r="DG338" s="78"/>
      <c r="DH338" s="78"/>
      <c r="DI338" s="78"/>
      <c r="DJ338" s="78"/>
      <c r="DK338" s="78"/>
      <c r="DL338" s="78"/>
      <c r="DM338" s="78"/>
      <c r="DN338" s="78"/>
      <c r="DO338" s="78"/>
      <c r="DP338" s="78"/>
      <c r="DQ338" s="78"/>
      <c r="DR338" s="78"/>
      <c r="DS338" s="78"/>
      <c r="DT338" s="78"/>
      <c r="DU338" s="78"/>
      <c r="DV338" s="78"/>
      <c r="DW338" s="78"/>
      <c r="DX338" s="78"/>
      <c r="DY338" s="78"/>
      <c r="DZ338" s="78"/>
      <c r="EA338" s="78"/>
      <c r="EB338" s="78"/>
      <c r="EC338" s="78"/>
      <c r="ED338" s="78"/>
      <c r="EE338" s="78"/>
      <c r="EF338" s="78"/>
      <c r="EG338" s="78"/>
      <c r="EH338" s="78"/>
      <c r="EI338" s="78"/>
      <c r="EJ338" s="78"/>
      <c r="EK338" s="78"/>
      <c r="EL338" s="78"/>
      <c r="EM338" s="78"/>
      <c r="EN338" s="91"/>
      <c r="EO338" s="91"/>
      <c r="EP338" s="91"/>
      <c r="EQ338" s="91"/>
      <c r="ER338" s="91"/>
      <c r="ES338" s="91"/>
    </row>
    <row r="339" spans="1:149" outlineLevel="1">
      <c r="A339" s="29" t="str">
        <f t="shared" si="302"/>
        <v>modesg_inp_nfrd_alinhamento_taxnome_pais</v>
      </c>
      <c r="B339" s="67" t="s">
        <v>26</v>
      </c>
      <c r="C339" s="68" t="s">
        <v>181</v>
      </c>
      <c r="D339" s="64" t="s">
        <v>40</v>
      </c>
      <c r="E339" s="66" t="s">
        <v>215</v>
      </c>
      <c r="F339" s="64" t="s">
        <v>221</v>
      </c>
      <c r="G339" s="64" t="str">
        <f>INDEX(Auxiliar!$B$16:$B$24,MATCH(Plano_V3!H339,Auxiliar!$C$16:$C$24,0),1)</f>
        <v>1. Concluído</v>
      </c>
      <c r="H339" s="64">
        <f>VLOOKUP(A339,'Aux - pivots1'!$A:$B,2,0)</f>
        <v>1</v>
      </c>
      <c r="I339" s="180"/>
      <c r="J339" s="180"/>
      <c r="K339" s="180"/>
      <c r="L339" s="180"/>
      <c r="M339" s="174"/>
      <c r="N339" s="174"/>
      <c r="O339" s="174">
        <f t="shared" si="300"/>
        <v>0</v>
      </c>
      <c r="P339" s="89" t="s">
        <v>39</v>
      </c>
      <c r="Q339" s="90"/>
      <c r="R339" s="78"/>
      <c r="S339" s="78"/>
      <c r="T339" s="78"/>
      <c r="U339" s="78"/>
      <c r="V339" s="78"/>
      <c r="W339" s="78"/>
      <c r="X339" s="78"/>
      <c r="Y339" s="78"/>
      <c r="Z339" s="78"/>
      <c r="AA339" s="78"/>
      <c r="AB339" s="78"/>
      <c r="AC339" s="78"/>
      <c r="AD339" s="78"/>
      <c r="AE339" s="78"/>
      <c r="AF339" s="78"/>
      <c r="AG339" s="78"/>
      <c r="AH339" s="78"/>
      <c r="AI339" s="78"/>
      <c r="AJ339" s="78"/>
      <c r="AK339" s="78"/>
      <c r="AL339" s="78"/>
      <c r="AM339" s="78"/>
      <c r="AN339" s="78"/>
      <c r="AO339" s="78"/>
      <c r="AP339" s="78"/>
      <c r="AQ339" s="78"/>
      <c r="AR339" s="78"/>
      <c r="AS339" s="78"/>
      <c r="AT339" s="78"/>
      <c r="AU339" s="78"/>
      <c r="AV339" s="78"/>
      <c r="AW339" s="78"/>
      <c r="AX339" s="78"/>
      <c r="AY339" s="91"/>
      <c r="AZ339" s="78"/>
      <c r="BA339" s="78"/>
      <c r="BB339" s="78"/>
      <c r="BC339" s="78"/>
      <c r="BD339" s="78"/>
      <c r="BE339" s="78"/>
      <c r="BF339" s="78"/>
      <c r="BG339" s="78"/>
      <c r="BH339" s="78"/>
      <c r="BI339" s="78"/>
      <c r="BJ339" s="78"/>
      <c r="BK339" s="78"/>
      <c r="BL339" s="78"/>
      <c r="BM339" s="78"/>
      <c r="BN339" s="78"/>
      <c r="BO339" s="78"/>
      <c r="BP339" s="78"/>
      <c r="BQ339" s="78"/>
      <c r="BR339" s="78"/>
      <c r="BS339" s="78"/>
      <c r="BT339" s="78"/>
      <c r="BU339" s="78"/>
      <c r="BV339" s="78"/>
      <c r="BW339" s="78"/>
      <c r="BX339" s="78"/>
      <c r="BY339" s="78"/>
      <c r="BZ339" s="78"/>
      <c r="CA339" s="78"/>
      <c r="CB339" s="78"/>
      <c r="CC339" s="78"/>
      <c r="CD339" s="78"/>
      <c r="CE339" s="78"/>
      <c r="CF339" s="78"/>
      <c r="CG339" s="78"/>
      <c r="CH339" s="78"/>
      <c r="CI339" s="78"/>
      <c r="CJ339" s="78"/>
      <c r="CK339" s="78"/>
      <c r="CL339" s="78"/>
      <c r="CM339" s="78"/>
      <c r="CN339" s="78"/>
      <c r="CO339" s="78"/>
      <c r="CP339" s="78"/>
      <c r="CQ339" s="78"/>
      <c r="CR339" s="78"/>
      <c r="CS339" s="78"/>
      <c r="CT339" s="78"/>
      <c r="CU339" s="78"/>
      <c r="CV339" s="78"/>
      <c r="CW339" s="78"/>
      <c r="CX339" s="78"/>
      <c r="CY339" s="78"/>
      <c r="CZ339" s="78"/>
      <c r="DA339" s="78"/>
      <c r="DB339" s="78"/>
      <c r="DC339" s="78"/>
      <c r="DD339" s="78"/>
      <c r="DE339" s="78"/>
      <c r="DF339" s="78"/>
      <c r="DG339" s="78"/>
      <c r="DH339" s="78"/>
      <c r="DI339" s="78"/>
      <c r="DJ339" s="78"/>
      <c r="DK339" s="78"/>
      <c r="DL339" s="78"/>
      <c r="DM339" s="78"/>
      <c r="DN339" s="78"/>
      <c r="DO339" s="78"/>
      <c r="DP339" s="78"/>
      <c r="DQ339" s="78"/>
      <c r="DR339" s="78"/>
      <c r="DS339" s="78"/>
      <c r="DT339" s="78"/>
      <c r="DU339" s="78"/>
      <c r="DV339" s="78"/>
      <c r="DW339" s="78"/>
      <c r="DX339" s="78"/>
      <c r="DY339" s="78"/>
      <c r="DZ339" s="78"/>
      <c r="EA339" s="78"/>
      <c r="EB339" s="78"/>
      <c r="EC339" s="78"/>
      <c r="ED339" s="78"/>
      <c r="EE339" s="78"/>
      <c r="EF339" s="78"/>
      <c r="EG339" s="78"/>
      <c r="EH339" s="78"/>
      <c r="EI339" s="78"/>
      <c r="EJ339" s="78"/>
      <c r="EK339" s="78"/>
      <c r="EL339" s="78"/>
      <c r="EM339" s="78"/>
      <c r="EN339" s="91"/>
      <c r="EO339" s="91"/>
      <c r="EP339" s="91"/>
      <c r="EQ339" s="91"/>
      <c r="ER339" s="91"/>
      <c r="ES339" s="91"/>
    </row>
    <row r="340" spans="1:149" outlineLevel="1">
      <c r="A340" s="29" t="str">
        <f t="shared" si="302"/>
        <v>modesg_inp_nfrd_alinhamento_taxflg_nfrd</v>
      </c>
      <c r="B340" s="67" t="s">
        <v>26</v>
      </c>
      <c r="C340" s="68" t="s">
        <v>181</v>
      </c>
      <c r="D340" s="64" t="s">
        <v>40</v>
      </c>
      <c r="E340" s="66" t="s">
        <v>215</v>
      </c>
      <c r="F340" s="64" t="s">
        <v>244</v>
      </c>
      <c r="G340" s="64" t="str">
        <f>INDEX(Auxiliar!$B$16:$B$24,MATCH(Plano_V3!H340,Auxiliar!$C$16:$C$24,0),1)</f>
        <v>1. Concluído</v>
      </c>
      <c r="H340" s="64">
        <f>VLOOKUP(A340,'Aux - pivots1'!$A:$B,2,0)</f>
        <v>1</v>
      </c>
      <c r="I340" s="180">
        <f>SUMIFS(Table1[Estimação (horas)],Table1[Tabela],Plano_V3!E340,Table1[Campo],Plano_V3!F340)</f>
        <v>0.5</v>
      </c>
      <c r="J340" s="180">
        <f t="shared" si="307"/>
        <v>6.25E-2</v>
      </c>
      <c r="K340" s="180">
        <f>SUMIFS(Table1[Horas efetivas],Table1[Tabela],Plano_V3!E340,Table1[Campo],Plano_V3!F340)</f>
        <v>0.5</v>
      </c>
      <c r="L340" s="180">
        <f t="shared" si="308"/>
        <v>6.25E-2</v>
      </c>
      <c r="M340" s="174"/>
      <c r="N340" s="174">
        <f t="shared" si="309"/>
        <v>1</v>
      </c>
      <c r="O340" s="174">
        <f t="shared" si="300"/>
        <v>1</v>
      </c>
      <c r="P340" s="89" t="s">
        <v>39</v>
      </c>
      <c r="Q340" s="90">
        <f t="shared" si="301"/>
        <v>6.25E-2</v>
      </c>
      <c r="R340" s="78"/>
      <c r="S340" s="78"/>
      <c r="T340" s="78"/>
      <c r="U340" s="78"/>
      <c r="V340" s="78"/>
      <c r="W340" s="78"/>
      <c r="X340" s="78"/>
      <c r="Y340" s="78"/>
      <c r="Z340" s="78"/>
      <c r="AA340" s="78"/>
      <c r="AB340" s="78"/>
      <c r="AC340" s="78"/>
      <c r="AD340" s="78"/>
      <c r="AE340" s="78"/>
      <c r="AF340" s="78"/>
      <c r="AG340" s="78"/>
      <c r="AH340" s="78"/>
      <c r="AI340" s="78"/>
      <c r="AJ340" s="78"/>
      <c r="AK340" s="78"/>
      <c r="AL340" s="78"/>
      <c r="AM340" s="78"/>
      <c r="AN340" s="78"/>
      <c r="AO340" s="78"/>
      <c r="AP340" s="78"/>
      <c r="AQ340" s="78"/>
      <c r="AR340" s="78"/>
      <c r="AS340" s="78"/>
      <c r="AT340" s="78"/>
      <c r="AU340" s="78"/>
      <c r="AV340" s="78"/>
      <c r="AW340" s="78"/>
      <c r="AX340" s="78"/>
      <c r="AY340" s="91"/>
      <c r="AZ340" s="78"/>
      <c r="BA340" s="78"/>
      <c r="BB340" s="78"/>
      <c r="BC340" s="78"/>
      <c r="BD340" s="78"/>
      <c r="BE340" s="78"/>
      <c r="BF340" s="78"/>
      <c r="BG340" s="78"/>
      <c r="BH340" s="78"/>
      <c r="BI340" s="78"/>
      <c r="BJ340" s="78"/>
      <c r="BK340" s="78"/>
      <c r="BL340" s="78"/>
      <c r="BM340" s="78"/>
      <c r="BN340" s="78"/>
      <c r="BO340" s="78"/>
      <c r="BP340" s="78"/>
      <c r="BQ340" s="78"/>
      <c r="BR340" s="78"/>
      <c r="BS340" s="78"/>
      <c r="BT340" s="78"/>
      <c r="BU340" s="78"/>
      <c r="BV340" s="78"/>
      <c r="BW340" s="78"/>
      <c r="BX340" s="78"/>
      <c r="BY340" s="78"/>
      <c r="BZ340" s="78"/>
      <c r="CA340" s="78"/>
      <c r="CB340" s="78"/>
      <c r="CC340" s="78"/>
      <c r="CD340" s="78"/>
      <c r="CE340" s="78"/>
      <c r="CF340" s="78"/>
      <c r="CG340" s="78"/>
      <c r="CH340" s="78"/>
      <c r="CI340" s="78"/>
      <c r="CJ340" s="78"/>
      <c r="CK340" s="78"/>
      <c r="CL340" s="78"/>
      <c r="CM340" s="78"/>
      <c r="CN340" s="78"/>
      <c r="CO340" s="78"/>
      <c r="CP340" s="78"/>
      <c r="CQ340" s="78"/>
      <c r="CR340" s="78"/>
      <c r="CS340" s="78"/>
      <c r="CT340" s="78"/>
      <c r="CU340" s="78"/>
      <c r="CV340" s="78"/>
      <c r="CW340" s="78"/>
      <c r="CX340" s="78"/>
      <c r="CY340" s="78"/>
      <c r="CZ340" s="78"/>
      <c r="DA340" s="78"/>
      <c r="DB340" s="78"/>
      <c r="DC340" s="78"/>
      <c r="DD340" s="78"/>
      <c r="DE340" s="78"/>
      <c r="DF340" s="78"/>
      <c r="DG340" s="78"/>
      <c r="DH340" s="78"/>
      <c r="DI340" s="78"/>
      <c r="DJ340" s="78"/>
      <c r="DK340" s="78"/>
      <c r="DL340" s="78"/>
      <c r="DM340" s="78"/>
      <c r="DN340" s="78"/>
      <c r="DO340" s="78"/>
      <c r="DP340" s="78"/>
      <c r="DQ340" s="78"/>
      <c r="DR340" s="78"/>
      <c r="DS340" s="78"/>
      <c r="DT340" s="78"/>
      <c r="DU340" s="78"/>
      <c r="DV340" s="78"/>
      <c r="DW340" s="78"/>
      <c r="DX340" s="78"/>
      <c r="DY340" s="78"/>
      <c r="DZ340" s="78"/>
      <c r="EA340" s="78"/>
      <c r="EB340" s="78"/>
      <c r="EC340" s="78"/>
      <c r="ED340" s="78"/>
      <c r="EE340" s="78"/>
      <c r="EF340" s="78"/>
      <c r="EG340" s="78"/>
      <c r="EH340" s="78"/>
      <c r="EI340" s="78"/>
      <c r="EJ340" s="78"/>
      <c r="EK340" s="78"/>
      <c r="EL340" s="78"/>
      <c r="EM340" s="78"/>
      <c r="EN340" s="91"/>
      <c r="EO340" s="91"/>
      <c r="EP340" s="91"/>
      <c r="EQ340" s="91"/>
      <c r="ER340" s="91"/>
      <c r="ES340" s="91"/>
    </row>
    <row r="341" spans="1:149" outlineLevel="1">
      <c r="A341" s="29" t="str">
        <f t="shared" si="302"/>
        <v>modesg_inp_nfrd_alinhamento_taxcca_trnvr_ttl_elgbl</v>
      </c>
      <c r="B341" s="67" t="s">
        <v>26</v>
      </c>
      <c r="C341" s="68" t="s">
        <v>181</v>
      </c>
      <c r="D341" s="64" t="s">
        <v>40</v>
      </c>
      <c r="E341" s="66" t="s">
        <v>215</v>
      </c>
      <c r="F341" s="64" t="s">
        <v>245</v>
      </c>
      <c r="G341" s="64" t="str">
        <f>INDEX(Auxiliar!$B$16:$B$24,MATCH(Plano_V3!H341,Auxiliar!$C$16:$C$24,0),1)</f>
        <v>1. Concluído</v>
      </c>
      <c r="H341" s="64">
        <f>VLOOKUP(A341,'Aux - pivots1'!$A:$B,2,0)</f>
        <v>1</v>
      </c>
      <c r="I341" s="180">
        <f>SUMIFS(Table1[Estimação (horas)],Table1[Tabela],Plano_V3!E341,Table1[Campo],Plano_V3!F341)</f>
        <v>0.6</v>
      </c>
      <c r="J341" s="180">
        <f t="shared" si="307"/>
        <v>7.4999999999999997E-2</v>
      </c>
      <c r="K341" s="180">
        <f>SUMIFS(Table1[Horas efetivas],Table1[Tabela],Plano_V3!E341,Table1[Campo],Plano_V3!F341)</f>
        <v>0.6</v>
      </c>
      <c r="L341" s="180">
        <f t="shared" si="308"/>
        <v>7.4999999999999997E-2</v>
      </c>
      <c r="M341" s="174"/>
      <c r="N341" s="174">
        <f t="shared" si="309"/>
        <v>1</v>
      </c>
      <c r="O341" s="174">
        <f t="shared" ref="O341:O409" si="310">N341-M341</f>
        <v>1</v>
      </c>
      <c r="P341" s="89" t="s">
        <v>39</v>
      </c>
      <c r="Q341" s="90">
        <f t="shared" si="301"/>
        <v>7.4999999999999997E-2</v>
      </c>
      <c r="R341" s="78"/>
      <c r="S341" s="78"/>
      <c r="T341" s="78"/>
      <c r="U341" s="78"/>
      <c r="V341" s="78"/>
      <c r="W341" s="78"/>
      <c r="X341" s="78"/>
      <c r="Y341" s="78"/>
      <c r="Z341" s="78"/>
      <c r="AA341" s="78"/>
      <c r="AB341" s="78"/>
      <c r="AC341" s="78"/>
      <c r="AD341" s="78"/>
      <c r="AE341" s="78"/>
      <c r="AF341" s="78"/>
      <c r="AG341" s="78"/>
      <c r="AH341" s="78"/>
      <c r="AI341" s="78"/>
      <c r="AJ341" s="78"/>
      <c r="AK341" s="78"/>
      <c r="AL341" s="78"/>
      <c r="AM341" s="78"/>
      <c r="AN341" s="78"/>
      <c r="AO341" s="78"/>
      <c r="AP341" s="78"/>
      <c r="AQ341" s="78"/>
      <c r="AR341" s="78"/>
      <c r="AS341" s="78"/>
      <c r="AT341" s="78"/>
      <c r="AU341" s="78"/>
      <c r="AV341" s="78"/>
      <c r="AW341" s="78"/>
      <c r="AX341" s="78"/>
      <c r="AY341" s="91"/>
      <c r="AZ341" s="78"/>
      <c r="BA341" s="78"/>
      <c r="BB341" s="78"/>
      <c r="BC341" s="78"/>
      <c r="BD341" s="78"/>
      <c r="BE341" s="78"/>
      <c r="BF341" s="78"/>
      <c r="BG341" s="78"/>
      <c r="BH341" s="78"/>
      <c r="BI341" s="78"/>
      <c r="BJ341" s="78"/>
      <c r="BK341" s="78"/>
      <c r="BL341" s="78"/>
      <c r="BM341" s="78"/>
      <c r="BN341" s="78"/>
      <c r="BO341" s="78"/>
      <c r="BP341" s="78"/>
      <c r="BQ341" s="78"/>
      <c r="BR341" s="78"/>
      <c r="BS341" s="78"/>
      <c r="BT341" s="78"/>
      <c r="BU341" s="78"/>
      <c r="BV341" s="78"/>
      <c r="BW341" s="78"/>
      <c r="BX341" s="78"/>
      <c r="BY341" s="78"/>
      <c r="BZ341" s="78"/>
      <c r="CA341" s="78"/>
      <c r="CB341" s="78"/>
      <c r="CC341" s="78"/>
      <c r="CD341" s="78"/>
      <c r="CE341" s="78"/>
      <c r="CF341" s="78"/>
      <c r="CG341" s="78"/>
      <c r="CH341" s="78"/>
      <c r="CI341" s="78"/>
      <c r="CJ341" s="78"/>
      <c r="CK341" s="78"/>
      <c r="CL341" s="78"/>
      <c r="CM341" s="78"/>
      <c r="CN341" s="78"/>
      <c r="CO341" s="78"/>
      <c r="CP341" s="78"/>
      <c r="CQ341" s="78"/>
      <c r="CR341" s="78"/>
      <c r="CS341" s="78"/>
      <c r="CT341" s="78"/>
      <c r="CU341" s="78"/>
      <c r="CV341" s="78"/>
      <c r="CW341" s="78"/>
      <c r="CX341" s="78"/>
      <c r="CY341" s="78"/>
      <c r="CZ341" s="78"/>
      <c r="DA341" s="78"/>
      <c r="DB341" s="78"/>
      <c r="DC341" s="78"/>
      <c r="DD341" s="78"/>
      <c r="DE341" s="78"/>
      <c r="DF341" s="78"/>
      <c r="DG341" s="78"/>
      <c r="DH341" s="78"/>
      <c r="DI341" s="78"/>
      <c r="DJ341" s="78"/>
      <c r="DK341" s="78"/>
      <c r="DL341" s="78"/>
      <c r="DM341" s="78"/>
      <c r="DN341" s="78"/>
      <c r="DO341" s="78"/>
      <c r="DP341" s="78"/>
      <c r="DQ341" s="78"/>
      <c r="DR341" s="78"/>
      <c r="DS341" s="78"/>
      <c r="DT341" s="78"/>
      <c r="DU341" s="78"/>
      <c r="DV341" s="78"/>
      <c r="DW341" s="78"/>
      <c r="DX341" s="78"/>
      <c r="DY341" s="78"/>
      <c r="DZ341" s="78"/>
      <c r="EA341" s="78"/>
      <c r="EB341" s="78"/>
      <c r="EC341" s="78"/>
      <c r="ED341" s="78"/>
      <c r="EE341" s="78"/>
      <c r="EF341" s="78"/>
      <c r="EG341" s="78"/>
      <c r="EH341" s="78"/>
      <c r="EI341" s="78"/>
      <c r="EJ341" s="78"/>
      <c r="EK341" s="78"/>
      <c r="EL341" s="78"/>
      <c r="EM341" s="78"/>
      <c r="EN341" s="91"/>
      <c r="EO341" s="91"/>
      <c r="EP341" s="91"/>
      <c r="EQ341" s="91"/>
      <c r="ER341" s="91"/>
      <c r="ES341" s="91"/>
    </row>
    <row r="342" spans="1:149" outlineLevel="1">
      <c r="A342" s="29" t="str">
        <f t="shared" si="302"/>
        <v>modesg_inp_nfrd_alinhamento_taxcca_trnvr_enblng_alignd</v>
      </c>
      <c r="B342" s="67" t="s">
        <v>26</v>
      </c>
      <c r="C342" s="68" t="s">
        <v>181</v>
      </c>
      <c r="D342" s="64" t="s">
        <v>40</v>
      </c>
      <c r="E342" s="66" t="s">
        <v>215</v>
      </c>
      <c r="F342" s="64" t="s">
        <v>246</v>
      </c>
      <c r="G342" s="64" t="str">
        <f>INDEX(Auxiliar!$B$16:$B$24,MATCH(Plano_V3!H342,Auxiliar!$C$16:$C$24,0),1)</f>
        <v>1. Concluído</v>
      </c>
      <c r="H342" s="64">
        <f>VLOOKUP(A342,'Aux - pivots1'!$A:$B,2,0)</f>
        <v>1</v>
      </c>
      <c r="I342" s="180">
        <f>SUMIFS(Table1[Estimação (horas)],Table1[Tabela],Plano_V3!E342,Table1[Campo],Plano_V3!F342)</f>
        <v>0.6</v>
      </c>
      <c r="J342" s="180">
        <f t="shared" si="307"/>
        <v>7.4999999999999997E-2</v>
      </c>
      <c r="K342" s="180">
        <f>SUMIFS(Table1[Horas efetivas],Table1[Tabela],Plano_V3!E342,Table1[Campo],Plano_V3!F342)</f>
        <v>0.6</v>
      </c>
      <c r="L342" s="180">
        <f t="shared" si="308"/>
        <v>7.4999999999999997E-2</v>
      </c>
      <c r="M342" s="174"/>
      <c r="N342" s="174">
        <f t="shared" si="309"/>
        <v>1</v>
      </c>
      <c r="O342" s="174">
        <f t="shared" si="310"/>
        <v>1</v>
      </c>
      <c r="P342" s="89" t="s">
        <v>39</v>
      </c>
      <c r="Q342" s="90">
        <f t="shared" si="301"/>
        <v>7.4999999999999997E-2</v>
      </c>
      <c r="R342" s="78"/>
      <c r="S342" s="78"/>
      <c r="T342" s="78"/>
      <c r="U342" s="78"/>
      <c r="V342" s="78"/>
      <c r="W342" s="78"/>
      <c r="X342" s="78"/>
      <c r="Y342" s="78"/>
      <c r="Z342" s="78"/>
      <c r="AA342" s="78"/>
      <c r="AB342" s="78"/>
      <c r="AC342" s="78"/>
      <c r="AD342" s="78"/>
      <c r="AE342" s="78"/>
      <c r="AF342" s="78"/>
      <c r="AG342" s="78"/>
      <c r="AH342" s="78"/>
      <c r="AI342" s="78"/>
      <c r="AJ342" s="78"/>
      <c r="AK342" s="78"/>
      <c r="AL342" s="78"/>
      <c r="AM342" s="78"/>
      <c r="AN342" s="78"/>
      <c r="AO342" s="78"/>
      <c r="AP342" s="78"/>
      <c r="AQ342" s="78"/>
      <c r="AR342" s="78"/>
      <c r="AS342" s="78"/>
      <c r="AT342" s="78"/>
      <c r="AU342" s="78"/>
      <c r="AV342" s="78"/>
      <c r="AW342" s="78"/>
      <c r="AX342" s="78"/>
      <c r="AY342" s="91"/>
      <c r="AZ342" s="78"/>
      <c r="BA342" s="78"/>
      <c r="BB342" s="78"/>
      <c r="BC342" s="78"/>
      <c r="BD342" s="78"/>
      <c r="BE342" s="78"/>
      <c r="BF342" s="78"/>
      <c r="BG342" s="78"/>
      <c r="BH342" s="78"/>
      <c r="BI342" s="78"/>
      <c r="BJ342" s="78"/>
      <c r="BK342" s="78"/>
      <c r="BL342" s="78"/>
      <c r="BM342" s="78"/>
      <c r="BN342" s="78"/>
      <c r="BO342" s="78"/>
      <c r="BP342" s="78"/>
      <c r="BQ342" s="78"/>
      <c r="BR342" s="78"/>
      <c r="BS342" s="78"/>
      <c r="BT342" s="78"/>
      <c r="BU342" s="78"/>
      <c r="BV342" s="78"/>
      <c r="BW342" s="78"/>
      <c r="BX342" s="78"/>
      <c r="BY342" s="78"/>
      <c r="BZ342" s="78"/>
      <c r="CA342" s="78"/>
      <c r="CB342" s="78"/>
      <c r="CC342" s="78"/>
      <c r="CD342" s="78"/>
      <c r="CE342" s="78"/>
      <c r="CF342" s="78"/>
      <c r="CG342" s="78"/>
      <c r="CH342" s="78"/>
      <c r="CI342" s="78"/>
      <c r="CJ342" s="78"/>
      <c r="CK342" s="78"/>
      <c r="CL342" s="78"/>
      <c r="CM342" s="78"/>
      <c r="CN342" s="78"/>
      <c r="CO342" s="78"/>
      <c r="CP342" s="78"/>
      <c r="CQ342" s="78"/>
      <c r="CR342" s="78"/>
      <c r="CS342" s="78"/>
      <c r="CT342" s="78"/>
      <c r="CU342" s="78"/>
      <c r="CV342" s="78"/>
      <c r="CW342" s="78"/>
      <c r="CX342" s="78"/>
      <c r="CY342" s="78"/>
      <c r="CZ342" s="78"/>
      <c r="DA342" s="78"/>
      <c r="DB342" s="78"/>
      <c r="DC342" s="78"/>
      <c r="DD342" s="78"/>
      <c r="DE342" s="78"/>
      <c r="DF342" s="78"/>
      <c r="DG342" s="78"/>
      <c r="DH342" s="78"/>
      <c r="DI342" s="78"/>
      <c r="DJ342" s="78"/>
      <c r="DK342" s="78"/>
      <c r="DL342" s="78"/>
      <c r="DM342" s="78"/>
      <c r="DN342" s="78"/>
      <c r="DO342" s="78"/>
      <c r="DP342" s="78"/>
      <c r="DQ342" s="78"/>
      <c r="DR342" s="78"/>
      <c r="DS342" s="78"/>
      <c r="DT342" s="78"/>
      <c r="DU342" s="78"/>
      <c r="DV342" s="78"/>
      <c r="DW342" s="78"/>
      <c r="DX342" s="78"/>
      <c r="DY342" s="78"/>
      <c r="DZ342" s="78"/>
      <c r="EA342" s="78"/>
      <c r="EB342" s="78"/>
      <c r="EC342" s="78"/>
      <c r="ED342" s="78"/>
      <c r="EE342" s="78"/>
      <c r="EF342" s="78"/>
      <c r="EG342" s="78"/>
      <c r="EH342" s="78"/>
      <c r="EI342" s="78"/>
      <c r="EJ342" s="78"/>
      <c r="EK342" s="78"/>
      <c r="EL342" s="78"/>
      <c r="EM342" s="78"/>
      <c r="EN342" s="91"/>
      <c r="EO342" s="91"/>
      <c r="EP342" s="91"/>
      <c r="EQ342" s="91"/>
      <c r="ER342" s="91"/>
      <c r="ES342" s="91"/>
    </row>
    <row r="343" spans="1:149" outlineLevel="1">
      <c r="A343" s="29" t="str">
        <f t="shared" ref="A343:A411" si="311">E343&amp;F343</f>
        <v>modesg_inp_nfrd_alinhamento_taxcca_turnover_own_prfrmnce_algnd</v>
      </c>
      <c r="B343" s="67" t="s">
        <v>26</v>
      </c>
      <c r="C343" s="68" t="s">
        <v>181</v>
      </c>
      <c r="D343" s="64" t="s">
        <v>40</v>
      </c>
      <c r="E343" s="66" t="s">
        <v>215</v>
      </c>
      <c r="F343" s="64" t="s">
        <v>247</v>
      </c>
      <c r="G343" s="64" t="str">
        <f>INDEX(Auxiliar!$B$16:$B$24,MATCH(Plano_V3!H343,Auxiliar!$C$16:$C$24,0),1)</f>
        <v>1. Concluído</v>
      </c>
      <c r="H343" s="64">
        <f>VLOOKUP(A343,'Aux - pivots1'!$A:$B,2,0)</f>
        <v>1</v>
      </c>
      <c r="I343" s="180">
        <f>SUMIFS(Table1[Estimação (horas)],Table1[Tabela],Plano_V3!E343,Table1[Campo],Plano_V3!F343)</f>
        <v>0.6</v>
      </c>
      <c r="J343" s="180">
        <f t="shared" si="307"/>
        <v>7.4999999999999997E-2</v>
      </c>
      <c r="K343" s="180">
        <f>SUMIFS(Table1[Horas efetivas],Table1[Tabela],Plano_V3!E343,Table1[Campo],Plano_V3!F343)</f>
        <v>0.6</v>
      </c>
      <c r="L343" s="180">
        <f t="shared" si="308"/>
        <v>7.4999999999999997E-2</v>
      </c>
      <c r="M343" s="174"/>
      <c r="N343" s="174">
        <f t="shared" si="309"/>
        <v>1</v>
      </c>
      <c r="O343" s="174">
        <f t="shared" si="310"/>
        <v>1</v>
      </c>
      <c r="P343" s="89" t="s">
        <v>39</v>
      </c>
      <c r="Q343" s="90">
        <f t="shared" si="301"/>
        <v>7.4999999999999997E-2</v>
      </c>
      <c r="R343" s="78"/>
      <c r="S343" s="78"/>
      <c r="T343" s="78"/>
      <c r="U343" s="78"/>
      <c r="V343" s="78"/>
      <c r="W343" s="78"/>
      <c r="X343" s="78"/>
      <c r="Y343" s="78"/>
      <c r="Z343" s="78"/>
      <c r="AA343" s="78"/>
      <c r="AB343" s="78"/>
      <c r="AC343" s="78"/>
      <c r="AD343" s="78"/>
      <c r="AE343" s="78"/>
      <c r="AF343" s="78"/>
      <c r="AG343" s="78"/>
      <c r="AH343" s="78"/>
      <c r="AI343" s="78"/>
      <c r="AJ343" s="78"/>
      <c r="AK343" s="78"/>
      <c r="AL343" s="78"/>
      <c r="AM343" s="78"/>
      <c r="AN343" s="78"/>
      <c r="AO343" s="78"/>
      <c r="AP343" s="78"/>
      <c r="AQ343" s="78"/>
      <c r="AR343" s="78"/>
      <c r="AS343" s="78"/>
      <c r="AT343" s="78"/>
      <c r="AU343" s="78"/>
      <c r="AV343" s="78"/>
      <c r="AW343" s="78"/>
      <c r="AX343" s="78"/>
      <c r="AY343" s="91"/>
      <c r="AZ343" s="78"/>
      <c r="BA343" s="78"/>
      <c r="BB343" s="78"/>
      <c r="BC343" s="78"/>
      <c r="BD343" s="78"/>
      <c r="BE343" s="78"/>
      <c r="BF343" s="78"/>
      <c r="BG343" s="78"/>
      <c r="BH343" s="78"/>
      <c r="BI343" s="78"/>
      <c r="BJ343" s="78"/>
      <c r="BK343" s="78"/>
      <c r="BL343" s="78"/>
      <c r="BM343" s="78"/>
      <c r="BN343" s="78"/>
      <c r="BO343" s="78"/>
      <c r="BP343" s="78"/>
      <c r="BQ343" s="78"/>
      <c r="BR343" s="78"/>
      <c r="BS343" s="78"/>
      <c r="BT343" s="78"/>
      <c r="BU343" s="78"/>
      <c r="BV343" s="78"/>
      <c r="BW343" s="78"/>
      <c r="BX343" s="78"/>
      <c r="BY343" s="78"/>
      <c r="BZ343" s="78"/>
      <c r="CA343" s="78"/>
      <c r="CB343" s="78"/>
      <c r="CC343" s="78"/>
      <c r="CD343" s="78"/>
      <c r="CE343" s="78"/>
      <c r="CF343" s="78"/>
      <c r="CG343" s="78"/>
      <c r="CH343" s="78"/>
      <c r="CI343" s="78"/>
      <c r="CJ343" s="78"/>
      <c r="CK343" s="78"/>
      <c r="CL343" s="78"/>
      <c r="CM343" s="78"/>
      <c r="CN343" s="78"/>
      <c r="CO343" s="78"/>
      <c r="CP343" s="78"/>
      <c r="CQ343" s="78"/>
      <c r="CR343" s="78"/>
      <c r="CS343" s="78"/>
      <c r="CT343" s="78"/>
      <c r="CU343" s="78"/>
      <c r="CV343" s="78"/>
      <c r="CW343" s="78"/>
      <c r="CX343" s="78"/>
      <c r="CY343" s="78"/>
      <c r="CZ343" s="78"/>
      <c r="DA343" s="78"/>
      <c r="DB343" s="78"/>
      <c r="DC343" s="78"/>
      <c r="DD343" s="78"/>
      <c r="DE343" s="78"/>
      <c r="DF343" s="78"/>
      <c r="DG343" s="78"/>
      <c r="DH343" s="78"/>
      <c r="DI343" s="78"/>
      <c r="DJ343" s="78"/>
      <c r="DK343" s="78"/>
      <c r="DL343" s="78"/>
      <c r="DM343" s="78"/>
      <c r="DN343" s="78"/>
      <c r="DO343" s="78"/>
      <c r="DP343" s="78"/>
      <c r="DQ343" s="78"/>
      <c r="DR343" s="78"/>
      <c r="DS343" s="78"/>
      <c r="DT343" s="78"/>
      <c r="DU343" s="78"/>
      <c r="DV343" s="78"/>
      <c r="DW343" s="78"/>
      <c r="DX343" s="78"/>
      <c r="DY343" s="78"/>
      <c r="DZ343" s="78"/>
      <c r="EA343" s="78"/>
      <c r="EB343" s="78"/>
      <c r="EC343" s="78"/>
      <c r="ED343" s="78"/>
      <c r="EE343" s="78"/>
      <c r="EF343" s="78"/>
      <c r="EG343" s="78"/>
      <c r="EH343" s="78"/>
      <c r="EI343" s="78"/>
      <c r="EJ343" s="78"/>
      <c r="EK343" s="78"/>
      <c r="EL343" s="78"/>
      <c r="EM343" s="78"/>
      <c r="EN343" s="91"/>
      <c r="EO343" s="91"/>
      <c r="EP343" s="91"/>
      <c r="EQ343" s="91"/>
      <c r="ER343" s="91"/>
      <c r="ES343" s="91"/>
    </row>
    <row r="344" spans="1:149" outlineLevel="1">
      <c r="A344" s="29" t="str">
        <f t="shared" si="311"/>
        <v>modesg_inp_nfrd_alinhamento_taxcca_capex_ttl_elgbl</v>
      </c>
      <c r="B344" s="67" t="s">
        <v>26</v>
      </c>
      <c r="C344" s="68" t="s">
        <v>181</v>
      </c>
      <c r="D344" s="64" t="s">
        <v>40</v>
      </c>
      <c r="E344" s="66" t="s">
        <v>215</v>
      </c>
      <c r="F344" s="64" t="s">
        <v>248</v>
      </c>
      <c r="G344" s="64" t="str">
        <f>INDEX(Auxiliar!$B$16:$B$24,MATCH(Plano_V3!H344,Auxiliar!$C$16:$C$24,0),1)</f>
        <v>1. Concluído</v>
      </c>
      <c r="H344" s="64">
        <f>VLOOKUP(A344,'Aux - pivots1'!$A:$B,2,0)</f>
        <v>1</v>
      </c>
      <c r="I344" s="180">
        <f>SUMIFS(Table1[Estimação (horas)],Table1[Tabela],Plano_V3!E344,Table1[Campo],Plano_V3!F344)</f>
        <v>0.6</v>
      </c>
      <c r="J344" s="180">
        <f t="shared" si="307"/>
        <v>7.4999999999999997E-2</v>
      </c>
      <c r="K344" s="180">
        <f>SUMIFS(Table1[Horas efetivas],Table1[Tabela],Plano_V3!E344,Table1[Campo],Plano_V3!F344)</f>
        <v>0.6</v>
      </c>
      <c r="L344" s="180">
        <f t="shared" si="308"/>
        <v>7.4999999999999997E-2</v>
      </c>
      <c r="M344" s="174"/>
      <c r="N344" s="174">
        <f t="shared" si="309"/>
        <v>1</v>
      </c>
      <c r="O344" s="174">
        <f t="shared" si="310"/>
        <v>1</v>
      </c>
      <c r="P344" s="89" t="s">
        <v>39</v>
      </c>
      <c r="Q344" s="90">
        <f t="shared" si="301"/>
        <v>7.4999999999999997E-2</v>
      </c>
      <c r="R344" s="78"/>
      <c r="S344" s="78"/>
      <c r="T344" s="78"/>
      <c r="U344" s="78"/>
      <c r="V344" s="78"/>
      <c r="W344" s="78"/>
      <c r="X344" s="78"/>
      <c r="Y344" s="78"/>
      <c r="Z344" s="78"/>
      <c r="AA344" s="78"/>
      <c r="AB344" s="78"/>
      <c r="AC344" s="78"/>
      <c r="AD344" s="78"/>
      <c r="AE344" s="78"/>
      <c r="AF344" s="78"/>
      <c r="AG344" s="78"/>
      <c r="AH344" s="78"/>
      <c r="AI344" s="78"/>
      <c r="AJ344" s="78"/>
      <c r="AK344" s="78"/>
      <c r="AL344" s="78"/>
      <c r="AM344" s="78"/>
      <c r="AN344" s="78"/>
      <c r="AO344" s="78"/>
      <c r="AP344" s="78"/>
      <c r="AQ344" s="78"/>
      <c r="AR344" s="78"/>
      <c r="AS344" s="78"/>
      <c r="AT344" s="78"/>
      <c r="AU344" s="78"/>
      <c r="AV344" s="78"/>
      <c r="AW344" s="78"/>
      <c r="AX344" s="78"/>
      <c r="AY344" s="91"/>
      <c r="AZ344" s="78"/>
      <c r="BA344" s="78"/>
      <c r="BB344" s="78"/>
      <c r="BC344" s="78"/>
      <c r="BD344" s="78"/>
      <c r="BE344" s="78"/>
      <c r="BF344" s="78"/>
      <c r="BG344" s="78"/>
      <c r="BH344" s="78"/>
      <c r="BI344" s="78"/>
      <c r="BJ344" s="78"/>
      <c r="BK344" s="78"/>
      <c r="BL344" s="78"/>
      <c r="BM344" s="78"/>
      <c r="BN344" s="78"/>
      <c r="BO344" s="78"/>
      <c r="BP344" s="78"/>
      <c r="BQ344" s="78"/>
      <c r="BR344" s="78"/>
      <c r="BS344" s="78"/>
      <c r="BT344" s="78"/>
      <c r="BU344" s="78"/>
      <c r="BV344" s="78"/>
      <c r="BW344" s="78"/>
      <c r="BX344" s="78"/>
      <c r="BY344" s="78"/>
      <c r="BZ344" s="78"/>
      <c r="CA344" s="78"/>
      <c r="CB344" s="78"/>
      <c r="CC344" s="78"/>
      <c r="CD344" s="78"/>
      <c r="CE344" s="78"/>
      <c r="CF344" s="78"/>
      <c r="CG344" s="78"/>
      <c r="CH344" s="78"/>
      <c r="CI344" s="78"/>
      <c r="CJ344" s="78"/>
      <c r="CK344" s="78"/>
      <c r="CL344" s="78"/>
      <c r="CM344" s="78"/>
      <c r="CN344" s="78"/>
      <c r="CO344" s="78"/>
      <c r="CP344" s="78"/>
      <c r="CQ344" s="78"/>
      <c r="CR344" s="78"/>
      <c r="CS344" s="78"/>
      <c r="CT344" s="78"/>
      <c r="CU344" s="78"/>
      <c r="CV344" s="78"/>
      <c r="CW344" s="78"/>
      <c r="CX344" s="78"/>
      <c r="CY344" s="78"/>
      <c r="CZ344" s="78"/>
      <c r="DA344" s="78"/>
      <c r="DB344" s="78"/>
      <c r="DC344" s="78"/>
      <c r="DD344" s="78"/>
      <c r="DE344" s="78"/>
      <c r="DF344" s="78"/>
      <c r="DG344" s="78"/>
      <c r="DH344" s="78"/>
      <c r="DI344" s="78"/>
      <c r="DJ344" s="78"/>
      <c r="DK344" s="78"/>
      <c r="DL344" s="78"/>
      <c r="DM344" s="78"/>
      <c r="DN344" s="78"/>
      <c r="DO344" s="78"/>
      <c r="DP344" s="78"/>
      <c r="DQ344" s="78"/>
      <c r="DR344" s="78"/>
      <c r="DS344" s="78"/>
      <c r="DT344" s="78"/>
      <c r="DU344" s="78"/>
      <c r="DV344" s="78"/>
      <c r="DW344" s="78"/>
      <c r="DX344" s="78"/>
      <c r="DY344" s="78"/>
      <c r="DZ344" s="78"/>
      <c r="EA344" s="78"/>
      <c r="EB344" s="78"/>
      <c r="EC344" s="78"/>
      <c r="ED344" s="78"/>
      <c r="EE344" s="78"/>
      <c r="EF344" s="78"/>
      <c r="EG344" s="78"/>
      <c r="EH344" s="78"/>
      <c r="EI344" s="78"/>
      <c r="EJ344" s="78"/>
      <c r="EK344" s="78"/>
      <c r="EL344" s="78"/>
      <c r="EM344" s="78"/>
      <c r="EN344" s="91"/>
      <c r="EO344" s="91"/>
      <c r="EP344" s="91"/>
      <c r="EQ344" s="91"/>
      <c r="ER344" s="91"/>
      <c r="ES344" s="91"/>
    </row>
    <row r="345" spans="1:149" outlineLevel="1">
      <c r="A345" s="29" t="str">
        <f t="shared" si="311"/>
        <v>modesg_inp_nfrd_alinhamento_taxcca_capex_enblng_algnd</v>
      </c>
      <c r="B345" s="67" t="s">
        <v>26</v>
      </c>
      <c r="C345" s="68" t="s">
        <v>181</v>
      </c>
      <c r="D345" s="64" t="s">
        <v>40</v>
      </c>
      <c r="E345" s="66" t="s">
        <v>215</v>
      </c>
      <c r="F345" s="64" t="s">
        <v>249</v>
      </c>
      <c r="G345" s="64" t="str">
        <f>INDEX(Auxiliar!$B$16:$B$24,MATCH(Plano_V3!H345,Auxiliar!$C$16:$C$24,0),1)</f>
        <v>1. Concluído</v>
      </c>
      <c r="H345" s="64">
        <f>VLOOKUP(A345,'Aux - pivots1'!$A:$B,2,0)</f>
        <v>1</v>
      </c>
      <c r="I345" s="180">
        <f>SUMIFS(Table1[Estimação (horas)],Table1[Tabela],Plano_V3!E345,Table1[Campo],Plano_V3!F345)</f>
        <v>0.6</v>
      </c>
      <c r="J345" s="180">
        <f t="shared" si="307"/>
        <v>7.4999999999999997E-2</v>
      </c>
      <c r="K345" s="180">
        <f>SUMIFS(Table1[Horas efetivas],Table1[Tabela],Plano_V3!E345,Table1[Campo],Plano_V3!F345)</f>
        <v>0.6</v>
      </c>
      <c r="L345" s="180">
        <f t="shared" si="308"/>
        <v>7.4999999999999997E-2</v>
      </c>
      <c r="M345" s="174"/>
      <c r="N345" s="174">
        <f t="shared" si="309"/>
        <v>1</v>
      </c>
      <c r="O345" s="174">
        <f t="shared" si="310"/>
        <v>1</v>
      </c>
      <c r="P345" s="89" t="s">
        <v>39</v>
      </c>
      <c r="Q345" s="90">
        <f t="shared" si="301"/>
        <v>7.4999999999999997E-2</v>
      </c>
      <c r="R345" s="78"/>
      <c r="S345" s="78"/>
      <c r="T345" s="78"/>
      <c r="U345" s="78"/>
      <c r="V345" s="78"/>
      <c r="W345" s="78"/>
      <c r="X345" s="78"/>
      <c r="Y345" s="78"/>
      <c r="Z345" s="78"/>
      <c r="AA345" s="78"/>
      <c r="AB345" s="78"/>
      <c r="AC345" s="78"/>
      <c r="AD345" s="78"/>
      <c r="AE345" s="78"/>
      <c r="AF345" s="78"/>
      <c r="AG345" s="78"/>
      <c r="AH345" s="78"/>
      <c r="AI345" s="78"/>
      <c r="AJ345" s="78"/>
      <c r="AK345" s="78"/>
      <c r="AL345" s="78"/>
      <c r="AM345" s="78"/>
      <c r="AN345" s="78"/>
      <c r="AO345" s="78"/>
      <c r="AP345" s="78"/>
      <c r="AQ345" s="78"/>
      <c r="AR345" s="78"/>
      <c r="AS345" s="78"/>
      <c r="AT345" s="78"/>
      <c r="AU345" s="78"/>
      <c r="AV345" s="78"/>
      <c r="AW345" s="78"/>
      <c r="AX345" s="78"/>
      <c r="AY345" s="91"/>
      <c r="AZ345" s="78"/>
      <c r="BA345" s="78"/>
      <c r="BB345" s="78"/>
      <c r="BC345" s="78"/>
      <c r="BD345" s="78"/>
      <c r="BE345" s="78"/>
      <c r="BF345" s="78"/>
      <c r="BG345" s="78"/>
      <c r="BH345" s="78"/>
      <c r="BI345" s="78"/>
      <c r="BJ345" s="78"/>
      <c r="BK345" s="78"/>
      <c r="BL345" s="78"/>
      <c r="BM345" s="78"/>
      <c r="BN345" s="78"/>
      <c r="BO345" s="78"/>
      <c r="BP345" s="78"/>
      <c r="BQ345" s="78"/>
      <c r="BR345" s="78"/>
      <c r="BS345" s="78"/>
      <c r="BT345" s="78"/>
      <c r="BU345" s="78"/>
      <c r="BV345" s="78"/>
      <c r="BW345" s="78"/>
      <c r="BX345" s="78"/>
      <c r="BY345" s="78"/>
      <c r="BZ345" s="78"/>
      <c r="CA345" s="78"/>
      <c r="CB345" s="78"/>
      <c r="CC345" s="78"/>
      <c r="CD345" s="78"/>
      <c r="CE345" s="78"/>
      <c r="CF345" s="78"/>
      <c r="CG345" s="78"/>
      <c r="CH345" s="78"/>
      <c r="CI345" s="78"/>
      <c r="CJ345" s="78"/>
      <c r="CK345" s="78"/>
      <c r="CL345" s="78"/>
      <c r="CM345" s="78"/>
      <c r="CN345" s="78"/>
      <c r="CO345" s="78"/>
      <c r="CP345" s="78"/>
      <c r="CQ345" s="78"/>
      <c r="CR345" s="78"/>
      <c r="CS345" s="78"/>
      <c r="CT345" s="78"/>
      <c r="CU345" s="78"/>
      <c r="CV345" s="78"/>
      <c r="CW345" s="78"/>
      <c r="CX345" s="78"/>
      <c r="CY345" s="78"/>
      <c r="CZ345" s="78"/>
      <c r="DA345" s="78"/>
      <c r="DB345" s="78"/>
      <c r="DC345" s="78"/>
      <c r="DD345" s="78"/>
      <c r="DE345" s="78"/>
      <c r="DF345" s="78"/>
      <c r="DG345" s="78"/>
      <c r="DH345" s="78"/>
      <c r="DI345" s="78"/>
      <c r="DJ345" s="78"/>
      <c r="DK345" s="78"/>
      <c r="DL345" s="78"/>
      <c r="DM345" s="78"/>
      <c r="DN345" s="78"/>
      <c r="DO345" s="78"/>
      <c r="DP345" s="78"/>
      <c r="DQ345" s="78"/>
      <c r="DR345" s="78"/>
      <c r="DS345" s="78"/>
      <c r="DT345" s="78"/>
      <c r="DU345" s="78"/>
      <c r="DV345" s="78"/>
      <c r="DW345" s="78"/>
      <c r="DX345" s="78"/>
      <c r="DY345" s="78"/>
      <c r="DZ345" s="78"/>
      <c r="EA345" s="78"/>
      <c r="EB345" s="78"/>
      <c r="EC345" s="78"/>
      <c r="ED345" s="78"/>
      <c r="EE345" s="78"/>
      <c r="EF345" s="78"/>
      <c r="EG345" s="78"/>
      <c r="EH345" s="78"/>
      <c r="EI345" s="78"/>
      <c r="EJ345" s="78"/>
      <c r="EK345" s="78"/>
      <c r="EL345" s="78"/>
      <c r="EM345" s="78"/>
      <c r="EN345" s="91"/>
      <c r="EO345" s="91"/>
      <c r="EP345" s="91"/>
      <c r="EQ345" s="91"/>
      <c r="ER345" s="91"/>
      <c r="ES345" s="91"/>
    </row>
    <row r="346" spans="1:149" outlineLevel="1">
      <c r="A346" s="29" t="str">
        <f t="shared" si="311"/>
        <v>modesg_inp_nfrd_alinhamento_taxcca_capex_own_prfrmnce_algnd</v>
      </c>
      <c r="B346" s="67" t="s">
        <v>26</v>
      </c>
      <c r="C346" s="68" t="s">
        <v>181</v>
      </c>
      <c r="D346" s="64" t="s">
        <v>40</v>
      </c>
      <c r="E346" s="66" t="s">
        <v>215</v>
      </c>
      <c r="F346" s="64" t="s">
        <v>250</v>
      </c>
      <c r="G346" s="64" t="str">
        <f>INDEX(Auxiliar!$B$16:$B$24,MATCH(Plano_V3!H346,Auxiliar!$C$16:$C$24,0),1)</f>
        <v>1. Concluído</v>
      </c>
      <c r="H346" s="64">
        <f>VLOOKUP(A346,'Aux - pivots1'!$A:$B,2,0)</f>
        <v>1</v>
      </c>
      <c r="I346" s="180">
        <f>SUMIFS(Table1[Estimação (horas)],Table1[Tabela],Plano_V3!E346,Table1[Campo],Plano_V3!F346)</f>
        <v>0.6</v>
      </c>
      <c r="J346" s="180">
        <f t="shared" si="307"/>
        <v>7.4999999999999997E-2</v>
      </c>
      <c r="K346" s="180">
        <f>SUMIFS(Table1[Horas efetivas],Table1[Tabela],Plano_V3!E346,Table1[Campo],Plano_V3!F346)</f>
        <v>0.6</v>
      </c>
      <c r="L346" s="180">
        <f t="shared" si="308"/>
        <v>7.4999999999999997E-2</v>
      </c>
      <c r="M346" s="174"/>
      <c r="N346" s="174">
        <f t="shared" si="309"/>
        <v>1</v>
      </c>
      <c r="O346" s="174">
        <f t="shared" si="310"/>
        <v>1</v>
      </c>
      <c r="P346" s="89" t="s">
        <v>39</v>
      </c>
      <c r="Q346" s="90">
        <f t="shared" si="301"/>
        <v>7.4999999999999997E-2</v>
      </c>
      <c r="R346" s="78"/>
      <c r="S346" s="78"/>
      <c r="T346" s="78"/>
      <c r="U346" s="78"/>
      <c r="V346" s="78"/>
      <c r="W346" s="78"/>
      <c r="X346" s="78"/>
      <c r="Y346" s="78"/>
      <c r="Z346" s="78"/>
      <c r="AA346" s="78"/>
      <c r="AB346" s="78"/>
      <c r="AC346" s="78"/>
      <c r="AD346" s="78"/>
      <c r="AE346" s="78"/>
      <c r="AF346" s="78"/>
      <c r="AG346" s="78"/>
      <c r="AH346" s="78"/>
      <c r="AI346" s="78"/>
      <c r="AJ346" s="78"/>
      <c r="AK346" s="78"/>
      <c r="AL346" s="78"/>
      <c r="AM346" s="78"/>
      <c r="AN346" s="78"/>
      <c r="AO346" s="78"/>
      <c r="AP346" s="78"/>
      <c r="AQ346" s="78"/>
      <c r="AR346" s="78"/>
      <c r="AS346" s="78"/>
      <c r="AT346" s="78"/>
      <c r="AU346" s="78"/>
      <c r="AV346" s="78"/>
      <c r="AW346" s="78"/>
      <c r="AX346" s="78"/>
      <c r="AY346" s="91"/>
      <c r="AZ346" s="78"/>
      <c r="BA346" s="78"/>
      <c r="BB346" s="78"/>
      <c r="BC346" s="78"/>
      <c r="BD346" s="78"/>
      <c r="BE346" s="78"/>
      <c r="BF346" s="78"/>
      <c r="BG346" s="78"/>
      <c r="BH346" s="78"/>
      <c r="BI346" s="78"/>
      <c r="BJ346" s="78"/>
      <c r="BK346" s="78"/>
      <c r="BL346" s="78"/>
      <c r="BM346" s="78"/>
      <c r="BN346" s="78"/>
      <c r="BO346" s="78"/>
      <c r="BP346" s="78"/>
      <c r="BQ346" s="78"/>
      <c r="BR346" s="78"/>
      <c r="BS346" s="78"/>
      <c r="BT346" s="78"/>
      <c r="BU346" s="78"/>
      <c r="BV346" s="78"/>
      <c r="BW346" s="78"/>
      <c r="BX346" s="78"/>
      <c r="BY346" s="78"/>
      <c r="BZ346" s="78"/>
      <c r="CA346" s="78"/>
      <c r="CB346" s="78"/>
      <c r="CC346" s="78"/>
      <c r="CD346" s="78"/>
      <c r="CE346" s="78"/>
      <c r="CF346" s="78"/>
      <c r="CG346" s="78"/>
      <c r="CH346" s="78"/>
      <c r="CI346" s="78"/>
      <c r="CJ346" s="78"/>
      <c r="CK346" s="78"/>
      <c r="CL346" s="78"/>
      <c r="CM346" s="78"/>
      <c r="CN346" s="78"/>
      <c r="CO346" s="78"/>
      <c r="CP346" s="78"/>
      <c r="CQ346" s="78"/>
      <c r="CR346" s="78"/>
      <c r="CS346" s="78"/>
      <c r="CT346" s="78"/>
      <c r="CU346" s="78"/>
      <c r="CV346" s="78"/>
      <c r="CW346" s="78"/>
      <c r="CX346" s="78"/>
      <c r="CY346" s="78"/>
      <c r="CZ346" s="78"/>
      <c r="DA346" s="78"/>
      <c r="DB346" s="78"/>
      <c r="DC346" s="78"/>
      <c r="DD346" s="78"/>
      <c r="DE346" s="78"/>
      <c r="DF346" s="78"/>
      <c r="DG346" s="78"/>
      <c r="DH346" s="78"/>
      <c r="DI346" s="78"/>
      <c r="DJ346" s="78"/>
      <c r="DK346" s="78"/>
      <c r="DL346" s="78"/>
      <c r="DM346" s="78"/>
      <c r="DN346" s="78"/>
      <c r="DO346" s="78"/>
      <c r="DP346" s="78"/>
      <c r="DQ346" s="78"/>
      <c r="DR346" s="78"/>
      <c r="DS346" s="78"/>
      <c r="DT346" s="78"/>
      <c r="DU346" s="78"/>
      <c r="DV346" s="78"/>
      <c r="DW346" s="78"/>
      <c r="DX346" s="78"/>
      <c r="DY346" s="78"/>
      <c r="DZ346" s="78"/>
      <c r="EA346" s="78"/>
      <c r="EB346" s="78"/>
      <c r="EC346" s="78"/>
      <c r="ED346" s="78"/>
      <c r="EE346" s="78"/>
      <c r="EF346" s="78"/>
      <c r="EG346" s="78"/>
      <c r="EH346" s="78"/>
      <c r="EI346" s="78"/>
      <c r="EJ346" s="78"/>
      <c r="EK346" s="78"/>
      <c r="EL346" s="78"/>
      <c r="EM346" s="78"/>
      <c r="EN346" s="91"/>
      <c r="EO346" s="91"/>
      <c r="EP346" s="91"/>
      <c r="EQ346" s="91"/>
      <c r="ER346" s="91"/>
      <c r="ES346" s="91"/>
    </row>
    <row r="347" spans="1:149" outlineLevel="1">
      <c r="A347" s="29" t="str">
        <f t="shared" si="311"/>
        <v>modesg_inp_nfrd_alinhamento_taxccm_trnvr_ttl_elgbl</v>
      </c>
      <c r="B347" s="67" t="s">
        <v>26</v>
      </c>
      <c r="C347" s="68" t="s">
        <v>181</v>
      </c>
      <c r="D347" s="64" t="s">
        <v>40</v>
      </c>
      <c r="E347" s="66" t="s">
        <v>215</v>
      </c>
      <c r="F347" s="64" t="s">
        <v>251</v>
      </c>
      <c r="G347" s="64" t="str">
        <f>INDEX(Auxiliar!$B$16:$B$24,MATCH(Plano_V3!H347,Auxiliar!$C$16:$C$24,0),1)</f>
        <v>1. Concluído</v>
      </c>
      <c r="H347" s="64">
        <f>VLOOKUP(A347,'Aux - pivots1'!$A:$B,2,0)</f>
        <v>1</v>
      </c>
      <c r="I347" s="180">
        <f>SUMIFS(Table1[Estimação (horas)],Table1[Tabela],Plano_V3!E347,Table1[Campo],Plano_V3!F347)</f>
        <v>0.6</v>
      </c>
      <c r="J347" s="180">
        <f t="shared" si="307"/>
        <v>7.4999999999999997E-2</v>
      </c>
      <c r="K347" s="180">
        <f>SUMIFS(Table1[Horas efetivas],Table1[Tabela],Plano_V3!E347,Table1[Campo],Plano_V3!F347)</f>
        <v>0.6</v>
      </c>
      <c r="L347" s="180">
        <f t="shared" si="308"/>
        <v>7.4999999999999997E-2</v>
      </c>
      <c r="M347" s="174"/>
      <c r="N347" s="174">
        <f t="shared" si="309"/>
        <v>1</v>
      </c>
      <c r="O347" s="174">
        <f t="shared" si="310"/>
        <v>1</v>
      </c>
      <c r="P347" s="89" t="s">
        <v>39</v>
      </c>
      <c r="Q347" s="90">
        <f t="shared" si="301"/>
        <v>7.4999999999999997E-2</v>
      </c>
      <c r="R347" s="78"/>
      <c r="S347" s="78"/>
      <c r="T347" s="78"/>
      <c r="U347" s="78"/>
      <c r="V347" s="78"/>
      <c r="W347" s="78"/>
      <c r="X347" s="78"/>
      <c r="Y347" s="78"/>
      <c r="Z347" s="78"/>
      <c r="AA347" s="78"/>
      <c r="AB347" s="78"/>
      <c r="AC347" s="78"/>
      <c r="AD347" s="78"/>
      <c r="AE347" s="78"/>
      <c r="AF347" s="78"/>
      <c r="AG347" s="78"/>
      <c r="AH347" s="78"/>
      <c r="AI347" s="78"/>
      <c r="AJ347" s="78"/>
      <c r="AK347" s="78"/>
      <c r="AL347" s="78"/>
      <c r="AM347" s="78"/>
      <c r="AN347" s="78"/>
      <c r="AO347" s="78"/>
      <c r="AP347" s="78"/>
      <c r="AQ347" s="78"/>
      <c r="AR347" s="78"/>
      <c r="AS347" s="78"/>
      <c r="AT347" s="78"/>
      <c r="AU347" s="78"/>
      <c r="AV347" s="78"/>
      <c r="AW347" s="78"/>
      <c r="AX347" s="78"/>
      <c r="AY347" s="91"/>
      <c r="AZ347" s="78"/>
      <c r="BA347" s="78"/>
      <c r="BB347" s="78"/>
      <c r="BC347" s="78"/>
      <c r="BD347" s="78"/>
      <c r="BE347" s="78"/>
      <c r="BF347" s="78"/>
      <c r="BG347" s="78"/>
      <c r="BH347" s="78"/>
      <c r="BI347" s="78"/>
      <c r="BJ347" s="78"/>
      <c r="BK347" s="78"/>
      <c r="BL347" s="78"/>
      <c r="BM347" s="78"/>
      <c r="BN347" s="78"/>
      <c r="BO347" s="78"/>
      <c r="BP347" s="78"/>
      <c r="BQ347" s="78"/>
      <c r="BR347" s="78"/>
      <c r="BS347" s="78"/>
      <c r="BT347" s="78"/>
      <c r="BU347" s="78"/>
      <c r="BV347" s="78"/>
      <c r="BW347" s="78"/>
      <c r="BX347" s="78"/>
      <c r="BY347" s="78"/>
      <c r="BZ347" s="78"/>
      <c r="CA347" s="78"/>
      <c r="CB347" s="78"/>
      <c r="CC347" s="78"/>
      <c r="CD347" s="78"/>
      <c r="CE347" s="78"/>
      <c r="CF347" s="78"/>
      <c r="CG347" s="78"/>
      <c r="CH347" s="78"/>
      <c r="CI347" s="78"/>
      <c r="CJ347" s="78"/>
      <c r="CK347" s="78"/>
      <c r="CL347" s="78"/>
      <c r="CM347" s="78"/>
      <c r="CN347" s="78"/>
      <c r="CO347" s="78"/>
      <c r="CP347" s="78"/>
      <c r="CQ347" s="78"/>
      <c r="CR347" s="78"/>
      <c r="CS347" s="78"/>
      <c r="CT347" s="78"/>
      <c r="CU347" s="78"/>
      <c r="CV347" s="78"/>
      <c r="CW347" s="78"/>
      <c r="CX347" s="78"/>
      <c r="CY347" s="78"/>
      <c r="CZ347" s="78"/>
      <c r="DA347" s="78"/>
      <c r="DB347" s="78"/>
      <c r="DC347" s="78"/>
      <c r="DD347" s="78"/>
      <c r="DE347" s="78"/>
      <c r="DF347" s="78"/>
      <c r="DG347" s="78"/>
      <c r="DH347" s="78"/>
      <c r="DI347" s="78"/>
      <c r="DJ347" s="78"/>
      <c r="DK347" s="78"/>
      <c r="DL347" s="78"/>
      <c r="DM347" s="78"/>
      <c r="DN347" s="78"/>
      <c r="DO347" s="78"/>
      <c r="DP347" s="78"/>
      <c r="DQ347" s="78"/>
      <c r="DR347" s="78"/>
      <c r="DS347" s="78"/>
      <c r="DT347" s="78"/>
      <c r="DU347" s="78"/>
      <c r="DV347" s="78"/>
      <c r="DW347" s="78"/>
      <c r="DX347" s="78"/>
      <c r="DY347" s="78"/>
      <c r="DZ347" s="78"/>
      <c r="EA347" s="78"/>
      <c r="EB347" s="78"/>
      <c r="EC347" s="78"/>
      <c r="ED347" s="78"/>
      <c r="EE347" s="78"/>
      <c r="EF347" s="78"/>
      <c r="EG347" s="78"/>
      <c r="EH347" s="78"/>
      <c r="EI347" s="78"/>
      <c r="EJ347" s="78"/>
      <c r="EK347" s="78"/>
      <c r="EL347" s="78"/>
      <c r="EM347" s="78"/>
      <c r="EN347" s="91"/>
      <c r="EO347" s="91"/>
      <c r="EP347" s="91"/>
      <c r="EQ347" s="91"/>
      <c r="ER347" s="91"/>
      <c r="ES347" s="91"/>
    </row>
    <row r="348" spans="1:149" outlineLevel="1">
      <c r="A348" s="29" t="str">
        <f t="shared" si="311"/>
        <v>modesg_inp_nfrd_alinhamento_taxccm_trnvr_enblng_algnd</v>
      </c>
      <c r="B348" s="67" t="s">
        <v>26</v>
      </c>
      <c r="C348" s="68" t="s">
        <v>181</v>
      </c>
      <c r="D348" s="64" t="s">
        <v>40</v>
      </c>
      <c r="E348" s="66" t="s">
        <v>215</v>
      </c>
      <c r="F348" s="64" t="s">
        <v>252</v>
      </c>
      <c r="G348" s="64" t="str">
        <f>INDEX(Auxiliar!$B$16:$B$24,MATCH(Plano_V3!H348,Auxiliar!$C$16:$C$24,0),1)</f>
        <v>1. Concluído</v>
      </c>
      <c r="H348" s="64">
        <f>VLOOKUP(A348,'Aux - pivots1'!$A:$B,2,0)</f>
        <v>1</v>
      </c>
      <c r="I348" s="180">
        <f>SUMIFS(Table1[Estimação (horas)],Table1[Tabela],Plano_V3!E348,Table1[Campo],Plano_V3!F348)</f>
        <v>0.6</v>
      </c>
      <c r="J348" s="180">
        <f t="shared" si="307"/>
        <v>7.4999999999999997E-2</v>
      </c>
      <c r="K348" s="180">
        <f>SUMIFS(Table1[Horas efetivas],Table1[Tabela],Plano_V3!E348,Table1[Campo],Plano_V3!F348)</f>
        <v>0.6</v>
      </c>
      <c r="L348" s="180">
        <f t="shared" si="308"/>
        <v>7.4999999999999997E-2</v>
      </c>
      <c r="M348" s="174"/>
      <c r="N348" s="174">
        <f t="shared" si="309"/>
        <v>1</v>
      </c>
      <c r="O348" s="174">
        <f t="shared" si="310"/>
        <v>1</v>
      </c>
      <c r="P348" s="89" t="s">
        <v>39</v>
      </c>
      <c r="Q348" s="90">
        <f t="shared" si="301"/>
        <v>7.4999999999999997E-2</v>
      </c>
      <c r="R348" s="78"/>
      <c r="S348" s="78"/>
      <c r="T348" s="78"/>
      <c r="U348" s="78"/>
      <c r="V348" s="78"/>
      <c r="W348" s="78"/>
      <c r="X348" s="78"/>
      <c r="Y348" s="78"/>
      <c r="Z348" s="78"/>
      <c r="AA348" s="78"/>
      <c r="AB348" s="78"/>
      <c r="AC348" s="78"/>
      <c r="AD348" s="78"/>
      <c r="AE348" s="78"/>
      <c r="AF348" s="78"/>
      <c r="AG348" s="78"/>
      <c r="AH348" s="78"/>
      <c r="AI348" s="78"/>
      <c r="AJ348" s="78"/>
      <c r="AK348" s="78"/>
      <c r="AL348" s="78"/>
      <c r="AM348" s="78"/>
      <c r="AN348" s="78"/>
      <c r="AO348" s="78"/>
      <c r="AP348" s="78"/>
      <c r="AQ348" s="78"/>
      <c r="AR348" s="78"/>
      <c r="AS348" s="78"/>
      <c r="AT348" s="78"/>
      <c r="AU348" s="78"/>
      <c r="AV348" s="78"/>
      <c r="AW348" s="78"/>
      <c r="AX348" s="78"/>
      <c r="AY348" s="91"/>
      <c r="AZ348" s="78"/>
      <c r="BA348" s="78"/>
      <c r="BB348" s="78"/>
      <c r="BC348" s="78"/>
      <c r="BD348" s="78"/>
      <c r="BE348" s="78"/>
      <c r="BF348" s="78"/>
      <c r="BG348" s="78"/>
      <c r="BH348" s="78"/>
      <c r="BI348" s="78"/>
      <c r="BJ348" s="78"/>
      <c r="BK348" s="78"/>
      <c r="BL348" s="78"/>
      <c r="BM348" s="78"/>
      <c r="BN348" s="78"/>
      <c r="BO348" s="78"/>
      <c r="BP348" s="78"/>
      <c r="BQ348" s="78"/>
      <c r="BR348" s="78"/>
      <c r="BS348" s="78"/>
      <c r="BT348" s="78"/>
      <c r="BU348" s="78"/>
      <c r="BV348" s="78"/>
      <c r="BW348" s="78"/>
      <c r="BX348" s="78"/>
      <c r="BY348" s="78"/>
      <c r="BZ348" s="78"/>
      <c r="CA348" s="78"/>
      <c r="CB348" s="78"/>
      <c r="CC348" s="78"/>
      <c r="CD348" s="78"/>
      <c r="CE348" s="78"/>
      <c r="CF348" s="78"/>
      <c r="CG348" s="78"/>
      <c r="CH348" s="78"/>
      <c r="CI348" s="78"/>
      <c r="CJ348" s="78"/>
      <c r="CK348" s="78"/>
      <c r="CL348" s="78"/>
      <c r="CM348" s="78"/>
      <c r="CN348" s="78"/>
      <c r="CO348" s="78"/>
      <c r="CP348" s="78"/>
      <c r="CQ348" s="78"/>
      <c r="CR348" s="78"/>
      <c r="CS348" s="78"/>
      <c r="CT348" s="78"/>
      <c r="CU348" s="78"/>
      <c r="CV348" s="78"/>
      <c r="CW348" s="78"/>
      <c r="CX348" s="78"/>
      <c r="CY348" s="78"/>
      <c r="CZ348" s="78"/>
      <c r="DA348" s="78"/>
      <c r="DB348" s="78"/>
      <c r="DC348" s="78"/>
      <c r="DD348" s="78"/>
      <c r="DE348" s="78"/>
      <c r="DF348" s="78"/>
      <c r="DG348" s="78"/>
      <c r="DH348" s="78"/>
      <c r="DI348" s="78"/>
      <c r="DJ348" s="78"/>
      <c r="DK348" s="78"/>
      <c r="DL348" s="78"/>
      <c r="DM348" s="78"/>
      <c r="DN348" s="78"/>
      <c r="DO348" s="78"/>
      <c r="DP348" s="78"/>
      <c r="DQ348" s="78"/>
      <c r="DR348" s="78"/>
      <c r="DS348" s="78"/>
      <c r="DT348" s="78"/>
      <c r="DU348" s="78"/>
      <c r="DV348" s="78"/>
      <c r="DW348" s="78"/>
      <c r="DX348" s="78"/>
      <c r="DY348" s="78"/>
      <c r="DZ348" s="78"/>
      <c r="EA348" s="78"/>
      <c r="EB348" s="78"/>
      <c r="EC348" s="78"/>
      <c r="ED348" s="78"/>
      <c r="EE348" s="78"/>
      <c r="EF348" s="78"/>
      <c r="EG348" s="78"/>
      <c r="EH348" s="78"/>
      <c r="EI348" s="78"/>
      <c r="EJ348" s="78"/>
      <c r="EK348" s="78"/>
      <c r="EL348" s="78"/>
      <c r="EM348" s="78"/>
      <c r="EN348" s="91"/>
      <c r="EO348" s="91"/>
      <c r="EP348" s="91"/>
      <c r="EQ348" s="91"/>
      <c r="ER348" s="91"/>
      <c r="ES348" s="91"/>
    </row>
    <row r="349" spans="1:149" outlineLevel="1">
      <c r="A349" s="29" t="str">
        <f t="shared" si="311"/>
        <v>modesg_inp_nfrd_alinhamento_taxccm_trnvr_trnstn_alignd</v>
      </c>
      <c r="B349" s="67" t="s">
        <v>26</v>
      </c>
      <c r="C349" s="68" t="s">
        <v>181</v>
      </c>
      <c r="D349" s="64" t="s">
        <v>40</v>
      </c>
      <c r="E349" s="66" t="s">
        <v>215</v>
      </c>
      <c r="F349" s="64" t="s">
        <v>253</v>
      </c>
      <c r="G349" s="64" t="str">
        <f>INDEX(Auxiliar!$B$16:$B$24,MATCH(Plano_V3!H349,Auxiliar!$C$16:$C$24,0),1)</f>
        <v>1. Concluído</v>
      </c>
      <c r="H349" s="64">
        <f>VLOOKUP(A349,'Aux - pivots1'!$A:$B,2,0)</f>
        <v>1</v>
      </c>
      <c r="I349" s="180">
        <f>SUMIFS(Table1[Estimação (horas)],Table1[Tabela],Plano_V3!E349,Table1[Campo],Plano_V3!F349)</f>
        <v>0.6</v>
      </c>
      <c r="J349" s="180">
        <f t="shared" si="307"/>
        <v>7.4999999999999997E-2</v>
      </c>
      <c r="K349" s="180">
        <f>SUMIFS(Table1[Horas efetivas],Table1[Tabela],Plano_V3!E349,Table1[Campo],Plano_V3!F349)</f>
        <v>0.6</v>
      </c>
      <c r="L349" s="180">
        <f t="shared" si="308"/>
        <v>7.4999999999999997E-2</v>
      </c>
      <c r="M349" s="174"/>
      <c r="N349" s="174">
        <f t="shared" si="309"/>
        <v>1</v>
      </c>
      <c r="O349" s="174">
        <f t="shared" si="310"/>
        <v>1</v>
      </c>
      <c r="P349" s="89" t="s">
        <v>39</v>
      </c>
      <c r="Q349" s="90">
        <f t="shared" si="301"/>
        <v>7.4999999999999997E-2</v>
      </c>
      <c r="R349" s="78"/>
      <c r="S349" s="78"/>
      <c r="T349" s="78"/>
      <c r="U349" s="78"/>
      <c r="V349" s="78"/>
      <c r="W349" s="78"/>
      <c r="X349" s="78"/>
      <c r="Y349" s="78"/>
      <c r="Z349" s="78"/>
      <c r="AA349" s="78"/>
      <c r="AB349" s="78"/>
      <c r="AC349" s="78"/>
      <c r="AD349" s="78"/>
      <c r="AE349" s="78"/>
      <c r="AF349" s="78"/>
      <c r="AG349" s="78"/>
      <c r="AH349" s="78"/>
      <c r="AI349" s="78"/>
      <c r="AJ349" s="78"/>
      <c r="AK349" s="78"/>
      <c r="AL349" s="78"/>
      <c r="AM349" s="78"/>
      <c r="AN349" s="78"/>
      <c r="AO349" s="78"/>
      <c r="AP349" s="78"/>
      <c r="AQ349" s="78"/>
      <c r="AR349" s="78"/>
      <c r="AS349" s="78"/>
      <c r="AT349" s="78"/>
      <c r="AU349" s="78"/>
      <c r="AV349" s="78"/>
      <c r="AW349" s="78"/>
      <c r="AX349" s="78"/>
      <c r="AY349" s="91"/>
      <c r="AZ349" s="78"/>
      <c r="BA349" s="78"/>
      <c r="BB349" s="78"/>
      <c r="BC349" s="78"/>
      <c r="BD349" s="78"/>
      <c r="BE349" s="78"/>
      <c r="BF349" s="78"/>
      <c r="BG349" s="78"/>
      <c r="BH349" s="78"/>
      <c r="BI349" s="78"/>
      <c r="BJ349" s="78"/>
      <c r="BK349" s="78"/>
      <c r="BL349" s="78"/>
      <c r="BM349" s="78"/>
      <c r="BN349" s="78"/>
      <c r="BO349" s="78"/>
      <c r="BP349" s="78"/>
      <c r="BQ349" s="78"/>
      <c r="BR349" s="78"/>
      <c r="BS349" s="78"/>
      <c r="BT349" s="78"/>
      <c r="BU349" s="78"/>
      <c r="BV349" s="78"/>
      <c r="BW349" s="78"/>
      <c r="BX349" s="78"/>
      <c r="BY349" s="78"/>
      <c r="BZ349" s="78"/>
      <c r="CA349" s="78"/>
      <c r="CB349" s="78"/>
      <c r="CC349" s="78"/>
      <c r="CD349" s="78"/>
      <c r="CE349" s="78"/>
      <c r="CF349" s="78"/>
      <c r="CG349" s="78"/>
      <c r="CH349" s="78"/>
      <c r="CI349" s="78"/>
      <c r="CJ349" s="78"/>
      <c r="CK349" s="78"/>
      <c r="CL349" s="78"/>
      <c r="CM349" s="78"/>
      <c r="CN349" s="78"/>
      <c r="CO349" s="78"/>
      <c r="CP349" s="78"/>
      <c r="CQ349" s="78"/>
      <c r="CR349" s="78"/>
      <c r="CS349" s="78"/>
      <c r="CT349" s="78"/>
      <c r="CU349" s="78"/>
      <c r="CV349" s="78"/>
      <c r="CW349" s="78"/>
      <c r="CX349" s="78"/>
      <c r="CY349" s="78"/>
      <c r="CZ349" s="78"/>
      <c r="DA349" s="78"/>
      <c r="DB349" s="78"/>
      <c r="DC349" s="78"/>
      <c r="DD349" s="78"/>
      <c r="DE349" s="78"/>
      <c r="DF349" s="78"/>
      <c r="DG349" s="78"/>
      <c r="DH349" s="78"/>
      <c r="DI349" s="78"/>
      <c r="DJ349" s="78"/>
      <c r="DK349" s="78"/>
      <c r="DL349" s="78"/>
      <c r="DM349" s="78"/>
      <c r="DN349" s="78"/>
      <c r="DO349" s="78"/>
      <c r="DP349" s="78"/>
      <c r="DQ349" s="78"/>
      <c r="DR349" s="78"/>
      <c r="DS349" s="78"/>
      <c r="DT349" s="78"/>
      <c r="DU349" s="78"/>
      <c r="DV349" s="78"/>
      <c r="DW349" s="78"/>
      <c r="DX349" s="78"/>
      <c r="DY349" s="78"/>
      <c r="DZ349" s="78"/>
      <c r="EA349" s="78"/>
      <c r="EB349" s="78"/>
      <c r="EC349" s="78"/>
      <c r="ED349" s="78"/>
      <c r="EE349" s="78"/>
      <c r="EF349" s="78"/>
      <c r="EG349" s="78"/>
      <c r="EH349" s="78"/>
      <c r="EI349" s="78"/>
      <c r="EJ349" s="78"/>
      <c r="EK349" s="78"/>
      <c r="EL349" s="78"/>
      <c r="EM349" s="78"/>
      <c r="EN349" s="91"/>
      <c r="EO349" s="91"/>
      <c r="EP349" s="91"/>
      <c r="EQ349" s="91"/>
      <c r="ER349" s="91"/>
      <c r="ES349" s="91"/>
    </row>
    <row r="350" spans="1:149" outlineLevel="1">
      <c r="A350" s="29" t="str">
        <f t="shared" si="311"/>
        <v>modesg_inp_nfrd_alinhamento_taxccm_trnvr_own_prfrmnce_algnd</v>
      </c>
      <c r="B350" s="67" t="s">
        <v>26</v>
      </c>
      <c r="C350" s="68" t="s">
        <v>181</v>
      </c>
      <c r="D350" s="64" t="s">
        <v>40</v>
      </c>
      <c r="E350" s="66" t="s">
        <v>215</v>
      </c>
      <c r="F350" s="64" t="s">
        <v>254</v>
      </c>
      <c r="G350" s="64" t="str">
        <f>INDEX(Auxiliar!$B$16:$B$24,MATCH(Plano_V3!H350,Auxiliar!$C$16:$C$24,0),1)</f>
        <v>1. Concluído</v>
      </c>
      <c r="H350" s="64">
        <f>VLOOKUP(A350,'Aux - pivots1'!$A:$B,2,0)</f>
        <v>1</v>
      </c>
      <c r="I350" s="180">
        <f>SUMIFS(Table1[Estimação (horas)],Table1[Tabela],Plano_V3!E350,Table1[Campo],Plano_V3!F350)</f>
        <v>0.6</v>
      </c>
      <c r="J350" s="180">
        <f t="shared" si="307"/>
        <v>7.4999999999999997E-2</v>
      </c>
      <c r="K350" s="180">
        <f>SUMIFS(Table1[Horas efetivas],Table1[Tabela],Plano_V3!E350,Table1[Campo],Plano_V3!F350)</f>
        <v>0.6</v>
      </c>
      <c r="L350" s="180">
        <f t="shared" si="308"/>
        <v>7.4999999999999997E-2</v>
      </c>
      <c r="M350" s="174"/>
      <c r="N350" s="174">
        <f t="shared" si="309"/>
        <v>1</v>
      </c>
      <c r="O350" s="174">
        <f t="shared" si="310"/>
        <v>1</v>
      </c>
      <c r="P350" s="89" t="s">
        <v>39</v>
      </c>
      <c r="Q350" s="90">
        <f t="shared" si="301"/>
        <v>7.4999999999999997E-2</v>
      </c>
      <c r="R350" s="78"/>
      <c r="S350" s="78"/>
      <c r="T350" s="78"/>
      <c r="U350" s="78"/>
      <c r="V350" s="78"/>
      <c r="W350" s="78"/>
      <c r="X350" s="78"/>
      <c r="Y350" s="78"/>
      <c r="Z350" s="78"/>
      <c r="AA350" s="78"/>
      <c r="AB350" s="78"/>
      <c r="AC350" s="78"/>
      <c r="AD350" s="78"/>
      <c r="AE350" s="78"/>
      <c r="AF350" s="78"/>
      <c r="AG350" s="78"/>
      <c r="AH350" s="78"/>
      <c r="AI350" s="78"/>
      <c r="AJ350" s="78"/>
      <c r="AK350" s="78"/>
      <c r="AL350" s="78"/>
      <c r="AM350" s="78"/>
      <c r="AN350" s="78"/>
      <c r="AO350" s="78"/>
      <c r="AP350" s="78"/>
      <c r="AQ350" s="78"/>
      <c r="AR350" s="78"/>
      <c r="AS350" s="78"/>
      <c r="AT350" s="78"/>
      <c r="AU350" s="78"/>
      <c r="AV350" s="78"/>
      <c r="AW350" s="78"/>
      <c r="AX350" s="78"/>
      <c r="AY350" s="91"/>
      <c r="AZ350" s="78"/>
      <c r="BA350" s="78"/>
      <c r="BB350" s="78"/>
      <c r="BC350" s="78"/>
      <c r="BD350" s="78"/>
      <c r="BE350" s="78"/>
      <c r="BF350" s="78"/>
      <c r="BG350" s="78"/>
      <c r="BH350" s="78"/>
      <c r="BI350" s="78"/>
      <c r="BJ350" s="78"/>
      <c r="BK350" s="78"/>
      <c r="BL350" s="78"/>
      <c r="BM350" s="78"/>
      <c r="BN350" s="78"/>
      <c r="BO350" s="78"/>
      <c r="BP350" s="78"/>
      <c r="BQ350" s="78"/>
      <c r="BR350" s="78"/>
      <c r="BS350" s="78"/>
      <c r="BT350" s="78"/>
      <c r="BU350" s="78"/>
      <c r="BV350" s="78"/>
      <c r="BW350" s="78"/>
      <c r="BX350" s="78"/>
      <c r="BY350" s="78"/>
      <c r="BZ350" s="78"/>
      <c r="CA350" s="78"/>
      <c r="CB350" s="78"/>
      <c r="CC350" s="78"/>
      <c r="CD350" s="78"/>
      <c r="CE350" s="78"/>
      <c r="CF350" s="78"/>
      <c r="CG350" s="78"/>
      <c r="CH350" s="78"/>
      <c r="CI350" s="78"/>
      <c r="CJ350" s="78"/>
      <c r="CK350" s="78"/>
      <c r="CL350" s="78"/>
      <c r="CM350" s="78"/>
      <c r="CN350" s="78"/>
      <c r="CO350" s="78"/>
      <c r="CP350" s="78"/>
      <c r="CQ350" s="78"/>
      <c r="CR350" s="78"/>
      <c r="CS350" s="78"/>
      <c r="CT350" s="78"/>
      <c r="CU350" s="78"/>
      <c r="CV350" s="78"/>
      <c r="CW350" s="78"/>
      <c r="CX350" s="78"/>
      <c r="CY350" s="78"/>
      <c r="CZ350" s="78"/>
      <c r="DA350" s="78"/>
      <c r="DB350" s="78"/>
      <c r="DC350" s="78"/>
      <c r="DD350" s="78"/>
      <c r="DE350" s="78"/>
      <c r="DF350" s="78"/>
      <c r="DG350" s="78"/>
      <c r="DH350" s="78"/>
      <c r="DI350" s="78"/>
      <c r="DJ350" s="78"/>
      <c r="DK350" s="78"/>
      <c r="DL350" s="78"/>
      <c r="DM350" s="78"/>
      <c r="DN350" s="78"/>
      <c r="DO350" s="78"/>
      <c r="DP350" s="78"/>
      <c r="DQ350" s="78"/>
      <c r="DR350" s="78"/>
      <c r="DS350" s="78"/>
      <c r="DT350" s="78"/>
      <c r="DU350" s="78"/>
      <c r="DV350" s="78"/>
      <c r="DW350" s="78"/>
      <c r="DX350" s="78"/>
      <c r="DY350" s="78"/>
      <c r="DZ350" s="78"/>
      <c r="EA350" s="78"/>
      <c r="EB350" s="78"/>
      <c r="EC350" s="78"/>
      <c r="ED350" s="78"/>
      <c r="EE350" s="78"/>
      <c r="EF350" s="78"/>
      <c r="EG350" s="78"/>
      <c r="EH350" s="78"/>
      <c r="EI350" s="78"/>
      <c r="EJ350" s="78"/>
      <c r="EK350" s="78"/>
      <c r="EL350" s="78"/>
      <c r="EM350" s="78"/>
      <c r="EN350" s="91"/>
      <c r="EO350" s="91"/>
      <c r="EP350" s="91"/>
      <c r="EQ350" s="91"/>
      <c r="ER350" s="91"/>
      <c r="ES350" s="91"/>
    </row>
    <row r="351" spans="1:149" outlineLevel="1">
      <c r="A351" s="29" t="str">
        <f t="shared" si="311"/>
        <v>modesg_inp_nfrd_alinhamento_taxccm_capex_ttl_elgbl</v>
      </c>
      <c r="B351" s="67" t="s">
        <v>26</v>
      </c>
      <c r="C351" s="68" t="s">
        <v>181</v>
      </c>
      <c r="D351" s="64" t="s">
        <v>40</v>
      </c>
      <c r="E351" s="66" t="s">
        <v>215</v>
      </c>
      <c r="F351" s="64" t="s">
        <v>255</v>
      </c>
      <c r="G351" s="64" t="str">
        <f>INDEX(Auxiliar!$B$16:$B$24,MATCH(Plano_V3!H351,Auxiliar!$C$16:$C$24,0),1)</f>
        <v>1. Concluído</v>
      </c>
      <c r="H351" s="64">
        <f>VLOOKUP(A351,'Aux - pivots1'!$A:$B,2,0)</f>
        <v>1</v>
      </c>
      <c r="I351" s="180">
        <f>SUMIFS(Table1[Estimação (horas)],Table1[Tabela],Plano_V3!E351,Table1[Campo],Plano_V3!F351)</f>
        <v>0.6</v>
      </c>
      <c r="J351" s="180">
        <f t="shared" si="307"/>
        <v>7.4999999999999997E-2</v>
      </c>
      <c r="K351" s="180">
        <f>SUMIFS(Table1[Horas efetivas],Table1[Tabela],Plano_V3!E351,Table1[Campo],Plano_V3!F351)</f>
        <v>0.6</v>
      </c>
      <c r="L351" s="180">
        <f t="shared" si="308"/>
        <v>7.4999999999999997E-2</v>
      </c>
      <c r="M351" s="174"/>
      <c r="N351" s="174">
        <f t="shared" si="309"/>
        <v>1</v>
      </c>
      <c r="O351" s="174">
        <f t="shared" si="310"/>
        <v>1</v>
      </c>
      <c r="P351" s="89" t="s">
        <v>39</v>
      </c>
      <c r="Q351" s="90">
        <f t="shared" si="301"/>
        <v>7.4999999999999997E-2</v>
      </c>
      <c r="R351" s="78"/>
      <c r="S351" s="78"/>
      <c r="T351" s="78"/>
      <c r="U351" s="78"/>
      <c r="V351" s="78"/>
      <c r="W351" s="78"/>
      <c r="X351" s="78"/>
      <c r="Y351" s="78"/>
      <c r="Z351" s="78"/>
      <c r="AA351" s="78"/>
      <c r="AB351" s="78"/>
      <c r="AC351" s="78"/>
      <c r="AD351" s="78"/>
      <c r="AE351" s="78"/>
      <c r="AF351" s="78"/>
      <c r="AG351" s="78"/>
      <c r="AH351" s="78"/>
      <c r="AI351" s="78"/>
      <c r="AJ351" s="78"/>
      <c r="AK351" s="78"/>
      <c r="AL351" s="78"/>
      <c r="AM351" s="78"/>
      <c r="AN351" s="78"/>
      <c r="AO351" s="78"/>
      <c r="AP351" s="78"/>
      <c r="AQ351" s="78"/>
      <c r="AR351" s="78"/>
      <c r="AS351" s="78"/>
      <c r="AT351" s="78"/>
      <c r="AU351" s="78"/>
      <c r="AV351" s="78"/>
      <c r="AW351" s="78"/>
      <c r="AX351" s="78"/>
      <c r="AY351" s="91"/>
      <c r="AZ351" s="78"/>
      <c r="BA351" s="78"/>
      <c r="BB351" s="78"/>
      <c r="BC351" s="78"/>
      <c r="BD351" s="78"/>
      <c r="BE351" s="78"/>
      <c r="BF351" s="78"/>
      <c r="BG351" s="78"/>
      <c r="BH351" s="78"/>
      <c r="BI351" s="78"/>
      <c r="BJ351" s="78"/>
      <c r="BK351" s="78"/>
      <c r="BL351" s="78"/>
      <c r="BM351" s="78"/>
      <c r="BN351" s="78"/>
      <c r="BO351" s="78"/>
      <c r="BP351" s="78"/>
      <c r="BQ351" s="78"/>
      <c r="BR351" s="78"/>
      <c r="BS351" s="78"/>
      <c r="BT351" s="78"/>
      <c r="BU351" s="78"/>
      <c r="BV351" s="78"/>
      <c r="BW351" s="78"/>
      <c r="BX351" s="78"/>
      <c r="BY351" s="78"/>
      <c r="BZ351" s="78"/>
      <c r="CA351" s="78"/>
      <c r="CB351" s="78"/>
      <c r="CC351" s="78"/>
      <c r="CD351" s="78"/>
      <c r="CE351" s="78"/>
      <c r="CF351" s="78"/>
      <c r="CG351" s="78"/>
      <c r="CH351" s="78"/>
      <c r="CI351" s="78"/>
      <c r="CJ351" s="78"/>
      <c r="CK351" s="78"/>
      <c r="CL351" s="78"/>
      <c r="CM351" s="78"/>
      <c r="CN351" s="78"/>
      <c r="CO351" s="78"/>
      <c r="CP351" s="78"/>
      <c r="CQ351" s="78"/>
      <c r="CR351" s="78"/>
      <c r="CS351" s="78"/>
      <c r="CT351" s="78"/>
      <c r="CU351" s="78"/>
      <c r="CV351" s="78"/>
      <c r="CW351" s="78"/>
      <c r="CX351" s="78"/>
      <c r="CY351" s="78"/>
      <c r="CZ351" s="78"/>
      <c r="DA351" s="78"/>
      <c r="DB351" s="78"/>
      <c r="DC351" s="78"/>
      <c r="DD351" s="78"/>
      <c r="DE351" s="78"/>
      <c r="DF351" s="78"/>
      <c r="DG351" s="78"/>
      <c r="DH351" s="78"/>
      <c r="DI351" s="78"/>
      <c r="DJ351" s="78"/>
      <c r="DK351" s="78"/>
      <c r="DL351" s="78"/>
      <c r="DM351" s="78"/>
      <c r="DN351" s="78"/>
      <c r="DO351" s="78"/>
      <c r="DP351" s="78"/>
      <c r="DQ351" s="78"/>
      <c r="DR351" s="78"/>
      <c r="DS351" s="78"/>
      <c r="DT351" s="78"/>
      <c r="DU351" s="78"/>
      <c r="DV351" s="78"/>
      <c r="DW351" s="78"/>
      <c r="DX351" s="78"/>
      <c r="DY351" s="78"/>
      <c r="DZ351" s="78"/>
      <c r="EA351" s="78"/>
      <c r="EB351" s="78"/>
      <c r="EC351" s="78"/>
      <c r="ED351" s="78"/>
      <c r="EE351" s="78"/>
      <c r="EF351" s="78"/>
      <c r="EG351" s="78"/>
      <c r="EH351" s="78"/>
      <c r="EI351" s="78"/>
      <c r="EJ351" s="78"/>
      <c r="EK351" s="78"/>
      <c r="EL351" s="78"/>
      <c r="EM351" s="78"/>
      <c r="EN351" s="91"/>
      <c r="EO351" s="91"/>
      <c r="EP351" s="91"/>
      <c r="EQ351" s="91"/>
      <c r="ER351" s="91"/>
      <c r="ES351" s="91"/>
    </row>
    <row r="352" spans="1:149" outlineLevel="1">
      <c r="A352" s="29" t="str">
        <f t="shared" si="311"/>
        <v>modesg_inp_nfrd_alinhamento_taxccm_capex_enblng_algnd</v>
      </c>
      <c r="B352" s="67" t="s">
        <v>26</v>
      </c>
      <c r="C352" s="68" t="s">
        <v>181</v>
      </c>
      <c r="D352" s="64" t="s">
        <v>40</v>
      </c>
      <c r="E352" s="66" t="s">
        <v>215</v>
      </c>
      <c r="F352" s="64" t="s">
        <v>256</v>
      </c>
      <c r="G352" s="64" t="str">
        <f>INDEX(Auxiliar!$B$16:$B$24,MATCH(Plano_V3!H352,Auxiliar!$C$16:$C$24,0),1)</f>
        <v>1. Concluído</v>
      </c>
      <c r="H352" s="64">
        <f>VLOOKUP(A352,'Aux - pivots1'!$A:$B,2,0)</f>
        <v>1</v>
      </c>
      <c r="I352" s="180">
        <f>SUMIFS(Table1[Estimação (horas)],Table1[Tabela],Plano_V3!E352,Table1[Campo],Plano_V3!F352)</f>
        <v>0.6</v>
      </c>
      <c r="J352" s="180">
        <f t="shared" si="307"/>
        <v>7.4999999999999997E-2</v>
      </c>
      <c r="K352" s="180">
        <f>SUMIFS(Table1[Horas efetivas],Table1[Tabela],Plano_V3!E352,Table1[Campo],Plano_V3!F352)</f>
        <v>0.6</v>
      </c>
      <c r="L352" s="180">
        <f t="shared" si="308"/>
        <v>7.4999999999999997E-2</v>
      </c>
      <c r="M352" s="174"/>
      <c r="N352" s="174">
        <f t="shared" si="309"/>
        <v>1</v>
      </c>
      <c r="O352" s="174">
        <f t="shared" si="310"/>
        <v>1</v>
      </c>
      <c r="P352" s="89" t="s">
        <v>39</v>
      </c>
      <c r="Q352" s="90">
        <f t="shared" ref="Q352:Q427" si="312">J352-SUM(R352:ES352)</f>
        <v>7.4999999999999997E-2</v>
      </c>
      <c r="R352" s="78"/>
      <c r="S352" s="78"/>
      <c r="T352" s="78"/>
      <c r="U352" s="78"/>
      <c r="V352" s="78"/>
      <c r="W352" s="78"/>
      <c r="X352" s="78"/>
      <c r="Y352" s="78"/>
      <c r="Z352" s="78"/>
      <c r="AA352" s="78"/>
      <c r="AB352" s="78"/>
      <c r="AC352" s="78"/>
      <c r="AD352" s="78"/>
      <c r="AE352" s="78"/>
      <c r="AF352" s="78"/>
      <c r="AG352" s="78"/>
      <c r="AH352" s="78"/>
      <c r="AI352" s="78"/>
      <c r="AJ352" s="78"/>
      <c r="AK352" s="78"/>
      <c r="AL352" s="78"/>
      <c r="AM352" s="78"/>
      <c r="AN352" s="78"/>
      <c r="AO352" s="78"/>
      <c r="AP352" s="78"/>
      <c r="AQ352" s="78"/>
      <c r="AR352" s="78"/>
      <c r="AS352" s="78"/>
      <c r="AT352" s="78"/>
      <c r="AU352" s="78"/>
      <c r="AV352" s="78"/>
      <c r="AW352" s="78"/>
      <c r="AX352" s="78"/>
      <c r="AY352" s="91"/>
      <c r="AZ352" s="78"/>
      <c r="BA352" s="78"/>
      <c r="BB352" s="78"/>
      <c r="BC352" s="78"/>
      <c r="BD352" s="78"/>
      <c r="BE352" s="78"/>
      <c r="BF352" s="78"/>
      <c r="BG352" s="78"/>
      <c r="BH352" s="78"/>
      <c r="BI352" s="78"/>
      <c r="BJ352" s="78"/>
      <c r="BK352" s="78"/>
      <c r="BL352" s="78"/>
      <c r="BM352" s="78"/>
      <c r="BN352" s="78"/>
      <c r="BO352" s="78"/>
      <c r="BP352" s="78"/>
      <c r="BQ352" s="78"/>
      <c r="BR352" s="78"/>
      <c r="BS352" s="78"/>
      <c r="BT352" s="78"/>
      <c r="BU352" s="78"/>
      <c r="BV352" s="78"/>
      <c r="BW352" s="78"/>
      <c r="BX352" s="78"/>
      <c r="BY352" s="78"/>
      <c r="BZ352" s="78"/>
      <c r="CA352" s="78"/>
      <c r="CB352" s="78"/>
      <c r="CC352" s="78"/>
      <c r="CD352" s="78"/>
      <c r="CE352" s="78"/>
      <c r="CF352" s="78"/>
      <c r="CG352" s="78"/>
      <c r="CH352" s="78"/>
      <c r="CI352" s="78"/>
      <c r="CJ352" s="78"/>
      <c r="CK352" s="78"/>
      <c r="CL352" s="78"/>
      <c r="CM352" s="78"/>
      <c r="CN352" s="78"/>
      <c r="CO352" s="78"/>
      <c r="CP352" s="78"/>
      <c r="CQ352" s="78"/>
      <c r="CR352" s="78"/>
      <c r="CS352" s="78"/>
      <c r="CT352" s="78"/>
      <c r="CU352" s="78"/>
      <c r="CV352" s="78"/>
      <c r="CW352" s="78"/>
      <c r="CX352" s="78"/>
      <c r="CY352" s="78"/>
      <c r="CZ352" s="78"/>
      <c r="DA352" s="78"/>
      <c r="DB352" s="78"/>
      <c r="DC352" s="78"/>
      <c r="DD352" s="78"/>
      <c r="DE352" s="78"/>
      <c r="DF352" s="78"/>
      <c r="DG352" s="78"/>
      <c r="DH352" s="78"/>
      <c r="DI352" s="78"/>
      <c r="DJ352" s="78"/>
      <c r="DK352" s="78"/>
      <c r="DL352" s="78"/>
      <c r="DM352" s="78"/>
      <c r="DN352" s="78"/>
      <c r="DO352" s="78"/>
      <c r="DP352" s="78"/>
      <c r="DQ352" s="78"/>
      <c r="DR352" s="78"/>
      <c r="DS352" s="78"/>
      <c r="DT352" s="78"/>
      <c r="DU352" s="78"/>
      <c r="DV352" s="78"/>
      <c r="DW352" s="78"/>
      <c r="DX352" s="78"/>
      <c r="DY352" s="78"/>
      <c r="DZ352" s="78"/>
      <c r="EA352" s="78"/>
      <c r="EB352" s="78"/>
      <c r="EC352" s="78"/>
      <c r="ED352" s="78"/>
      <c r="EE352" s="78"/>
      <c r="EF352" s="78"/>
      <c r="EG352" s="78"/>
      <c r="EH352" s="78"/>
      <c r="EI352" s="78"/>
      <c r="EJ352" s="78"/>
      <c r="EK352" s="78"/>
      <c r="EL352" s="78"/>
      <c r="EM352" s="78"/>
      <c r="EN352" s="91"/>
      <c r="EO352" s="91"/>
      <c r="EP352" s="91"/>
      <c r="EQ352" s="91"/>
      <c r="ER352" s="91"/>
      <c r="ES352" s="91"/>
    </row>
    <row r="353" spans="1:149" outlineLevel="1">
      <c r="A353" s="29" t="str">
        <f t="shared" si="311"/>
        <v>modesg_inp_nfrd_alinhamento_taxccm_capex_trnstn_algnd</v>
      </c>
      <c r="B353" s="67" t="s">
        <v>26</v>
      </c>
      <c r="C353" s="68" t="s">
        <v>181</v>
      </c>
      <c r="D353" s="64" t="s">
        <v>40</v>
      </c>
      <c r="E353" s="66" t="s">
        <v>215</v>
      </c>
      <c r="F353" s="64" t="s">
        <v>257</v>
      </c>
      <c r="G353" s="64" t="str">
        <f>INDEX(Auxiliar!$B$16:$B$24,MATCH(Plano_V3!H353,Auxiliar!$C$16:$C$24,0),1)</f>
        <v>1. Concluído</v>
      </c>
      <c r="H353" s="64">
        <f>VLOOKUP(A353,'Aux - pivots1'!$A:$B,2,0)</f>
        <v>1</v>
      </c>
      <c r="I353" s="180">
        <f>SUMIFS(Table1[Estimação (horas)],Table1[Tabela],Plano_V3!E353,Table1[Campo],Plano_V3!F353)</f>
        <v>0.6</v>
      </c>
      <c r="J353" s="180">
        <f t="shared" si="307"/>
        <v>7.4999999999999997E-2</v>
      </c>
      <c r="K353" s="180">
        <f>SUMIFS(Table1[Horas efetivas],Table1[Tabela],Plano_V3!E353,Table1[Campo],Plano_V3!F353)</f>
        <v>0.6</v>
      </c>
      <c r="L353" s="180">
        <f t="shared" si="308"/>
        <v>7.4999999999999997E-2</v>
      </c>
      <c r="M353" s="174"/>
      <c r="N353" s="174">
        <f t="shared" si="309"/>
        <v>1</v>
      </c>
      <c r="O353" s="174">
        <f t="shared" si="310"/>
        <v>1</v>
      </c>
      <c r="P353" s="89" t="s">
        <v>39</v>
      </c>
      <c r="Q353" s="90">
        <f t="shared" si="312"/>
        <v>7.4999999999999997E-2</v>
      </c>
      <c r="R353" s="78"/>
      <c r="S353" s="78"/>
      <c r="T353" s="78"/>
      <c r="U353" s="78"/>
      <c r="V353" s="78"/>
      <c r="W353" s="78"/>
      <c r="X353" s="78"/>
      <c r="Y353" s="78"/>
      <c r="Z353" s="78"/>
      <c r="AA353" s="78"/>
      <c r="AB353" s="78"/>
      <c r="AC353" s="78"/>
      <c r="AD353" s="78"/>
      <c r="AE353" s="78"/>
      <c r="AF353" s="78"/>
      <c r="AG353" s="78"/>
      <c r="AH353" s="78"/>
      <c r="AI353" s="78"/>
      <c r="AJ353" s="78"/>
      <c r="AK353" s="78"/>
      <c r="AL353" s="78"/>
      <c r="AM353" s="78"/>
      <c r="AN353" s="78"/>
      <c r="AO353" s="78"/>
      <c r="AP353" s="78"/>
      <c r="AQ353" s="78"/>
      <c r="AR353" s="78"/>
      <c r="AS353" s="78"/>
      <c r="AT353" s="78"/>
      <c r="AU353" s="78"/>
      <c r="AV353" s="78"/>
      <c r="AW353" s="78"/>
      <c r="AX353" s="78"/>
      <c r="AY353" s="91"/>
      <c r="AZ353" s="78"/>
      <c r="BA353" s="78"/>
      <c r="BB353" s="78"/>
      <c r="BC353" s="78"/>
      <c r="BD353" s="78"/>
      <c r="BE353" s="78"/>
      <c r="BF353" s="78"/>
      <c r="BG353" s="78"/>
      <c r="BH353" s="78"/>
      <c r="BI353" s="78"/>
      <c r="BJ353" s="78"/>
      <c r="BK353" s="78"/>
      <c r="BL353" s="78"/>
      <c r="BM353" s="78"/>
      <c r="BN353" s="78"/>
      <c r="BO353" s="78"/>
      <c r="BP353" s="78"/>
      <c r="BQ353" s="78"/>
      <c r="BR353" s="78"/>
      <c r="BS353" s="78"/>
      <c r="BT353" s="78"/>
      <c r="BU353" s="78"/>
      <c r="BV353" s="78"/>
      <c r="BW353" s="78"/>
      <c r="BX353" s="78"/>
      <c r="BY353" s="78"/>
      <c r="BZ353" s="78"/>
      <c r="CA353" s="78"/>
      <c r="CB353" s="78"/>
      <c r="CC353" s="78"/>
      <c r="CD353" s="78"/>
      <c r="CE353" s="78"/>
      <c r="CF353" s="78"/>
      <c r="CG353" s="78"/>
      <c r="CH353" s="78"/>
      <c r="CI353" s="78"/>
      <c r="CJ353" s="78"/>
      <c r="CK353" s="78"/>
      <c r="CL353" s="78"/>
      <c r="CM353" s="78"/>
      <c r="CN353" s="78"/>
      <c r="CO353" s="78"/>
      <c r="CP353" s="78"/>
      <c r="CQ353" s="78"/>
      <c r="CR353" s="78"/>
      <c r="CS353" s="78"/>
      <c r="CT353" s="78"/>
      <c r="CU353" s="78"/>
      <c r="CV353" s="78"/>
      <c r="CW353" s="78"/>
      <c r="CX353" s="78"/>
      <c r="CY353" s="78"/>
      <c r="CZ353" s="78"/>
      <c r="DA353" s="78"/>
      <c r="DB353" s="78"/>
      <c r="DC353" s="78"/>
      <c r="DD353" s="78"/>
      <c r="DE353" s="78"/>
      <c r="DF353" s="78"/>
      <c r="DG353" s="78"/>
      <c r="DH353" s="78"/>
      <c r="DI353" s="78"/>
      <c r="DJ353" s="78"/>
      <c r="DK353" s="78"/>
      <c r="DL353" s="78"/>
      <c r="DM353" s="78"/>
      <c r="DN353" s="78"/>
      <c r="DO353" s="78"/>
      <c r="DP353" s="78"/>
      <c r="DQ353" s="78"/>
      <c r="DR353" s="78"/>
      <c r="DS353" s="78"/>
      <c r="DT353" s="78"/>
      <c r="DU353" s="78"/>
      <c r="DV353" s="78"/>
      <c r="DW353" s="78"/>
      <c r="DX353" s="78"/>
      <c r="DY353" s="78"/>
      <c r="DZ353" s="78"/>
      <c r="EA353" s="78"/>
      <c r="EB353" s="78"/>
      <c r="EC353" s="78"/>
      <c r="ED353" s="78"/>
      <c r="EE353" s="78"/>
      <c r="EF353" s="78"/>
      <c r="EG353" s="78"/>
      <c r="EH353" s="78"/>
      <c r="EI353" s="78"/>
      <c r="EJ353" s="78"/>
      <c r="EK353" s="78"/>
      <c r="EL353" s="78"/>
      <c r="EM353" s="78"/>
      <c r="EN353" s="91"/>
      <c r="EO353" s="91"/>
      <c r="EP353" s="91"/>
      <c r="EQ353" s="91"/>
      <c r="ER353" s="91"/>
      <c r="ES353" s="91"/>
    </row>
    <row r="354" spans="1:149" outlineLevel="1">
      <c r="A354" s="29" t="str">
        <f t="shared" si="311"/>
        <v>modesg_inp_nfrd_alinhamento_taxccm_capex_own_prfrmnce_algnd</v>
      </c>
      <c r="B354" s="67" t="s">
        <v>26</v>
      </c>
      <c r="C354" s="68" t="s">
        <v>181</v>
      </c>
      <c r="D354" s="64" t="s">
        <v>40</v>
      </c>
      <c r="E354" s="66" t="s">
        <v>215</v>
      </c>
      <c r="F354" s="64" t="s">
        <v>258</v>
      </c>
      <c r="G354" s="64" t="str">
        <f>INDEX(Auxiliar!$B$16:$B$24,MATCH(Plano_V3!H354,Auxiliar!$C$16:$C$24,0),1)</f>
        <v>1. Concluído</v>
      </c>
      <c r="H354" s="64">
        <f>VLOOKUP(A354,'Aux - pivots1'!$A:$B,2,0)</f>
        <v>1</v>
      </c>
      <c r="I354" s="180">
        <f>SUMIFS(Table1[Estimação (horas)],Table1[Tabela],Plano_V3!E354,Table1[Campo],Plano_V3!F354)</f>
        <v>0.6</v>
      </c>
      <c r="J354" s="180">
        <f t="shared" si="307"/>
        <v>7.4999999999999997E-2</v>
      </c>
      <c r="K354" s="180">
        <f>SUMIFS(Table1[Horas efetivas],Table1[Tabela],Plano_V3!E354,Table1[Campo],Plano_V3!F354)</f>
        <v>0.6</v>
      </c>
      <c r="L354" s="180">
        <f t="shared" si="308"/>
        <v>7.4999999999999997E-2</v>
      </c>
      <c r="M354" s="174"/>
      <c r="N354" s="174">
        <f t="shared" si="309"/>
        <v>1</v>
      </c>
      <c r="O354" s="174">
        <f t="shared" si="310"/>
        <v>1</v>
      </c>
      <c r="P354" s="89" t="s">
        <v>39</v>
      </c>
      <c r="Q354" s="90">
        <f t="shared" si="312"/>
        <v>7.4999999999999997E-2</v>
      </c>
      <c r="R354" s="78"/>
      <c r="S354" s="78"/>
      <c r="T354" s="78"/>
      <c r="U354" s="78"/>
      <c r="V354" s="78"/>
      <c r="W354" s="78"/>
      <c r="X354" s="78"/>
      <c r="Y354" s="78"/>
      <c r="Z354" s="78"/>
      <c r="AA354" s="78"/>
      <c r="AB354" s="78"/>
      <c r="AC354" s="78"/>
      <c r="AD354" s="78"/>
      <c r="AE354" s="78"/>
      <c r="AF354" s="78"/>
      <c r="AG354" s="78"/>
      <c r="AH354" s="78"/>
      <c r="AI354" s="78"/>
      <c r="AJ354" s="78"/>
      <c r="AK354" s="78"/>
      <c r="AL354" s="78"/>
      <c r="AM354" s="78"/>
      <c r="AN354" s="78"/>
      <c r="AO354" s="78"/>
      <c r="AP354" s="78"/>
      <c r="AQ354" s="78"/>
      <c r="AR354" s="78"/>
      <c r="AS354" s="78"/>
      <c r="AT354" s="78"/>
      <c r="AU354" s="78"/>
      <c r="AV354" s="78"/>
      <c r="AW354" s="78"/>
      <c r="AX354" s="78"/>
      <c r="AY354" s="91"/>
      <c r="AZ354" s="78"/>
      <c r="BA354" s="78"/>
      <c r="BB354" s="78"/>
      <c r="BC354" s="78"/>
      <c r="BD354" s="78"/>
      <c r="BE354" s="78"/>
      <c r="BF354" s="78"/>
      <c r="BG354" s="78"/>
      <c r="BH354" s="78"/>
      <c r="BI354" s="78"/>
      <c r="BJ354" s="78"/>
      <c r="BK354" s="78"/>
      <c r="BL354" s="78"/>
      <c r="BM354" s="78"/>
      <c r="BN354" s="78"/>
      <c r="BO354" s="78"/>
      <c r="BP354" s="78"/>
      <c r="BQ354" s="78"/>
      <c r="BR354" s="78"/>
      <c r="BS354" s="78"/>
      <c r="BT354" s="78"/>
      <c r="BU354" s="78"/>
      <c r="BV354" s="78"/>
      <c r="BW354" s="78"/>
      <c r="BX354" s="78"/>
      <c r="BY354" s="78"/>
      <c r="BZ354" s="78"/>
      <c r="CA354" s="78"/>
      <c r="CB354" s="78"/>
      <c r="CC354" s="78"/>
      <c r="CD354" s="78"/>
      <c r="CE354" s="78"/>
      <c r="CF354" s="78"/>
      <c r="CG354" s="78"/>
      <c r="CH354" s="78"/>
      <c r="CI354" s="78"/>
      <c r="CJ354" s="78"/>
      <c r="CK354" s="78"/>
      <c r="CL354" s="78"/>
      <c r="CM354" s="78"/>
      <c r="CN354" s="78"/>
      <c r="CO354" s="78"/>
      <c r="CP354" s="78"/>
      <c r="CQ354" s="78"/>
      <c r="CR354" s="78"/>
      <c r="CS354" s="78"/>
      <c r="CT354" s="78"/>
      <c r="CU354" s="78"/>
      <c r="CV354" s="78"/>
      <c r="CW354" s="78"/>
      <c r="CX354" s="78"/>
      <c r="CY354" s="78"/>
      <c r="CZ354" s="78"/>
      <c r="DA354" s="78"/>
      <c r="DB354" s="78"/>
      <c r="DC354" s="78"/>
      <c r="DD354" s="78"/>
      <c r="DE354" s="78"/>
      <c r="DF354" s="78"/>
      <c r="DG354" s="78"/>
      <c r="DH354" s="78"/>
      <c r="DI354" s="78"/>
      <c r="DJ354" s="78"/>
      <c r="DK354" s="78"/>
      <c r="DL354" s="78"/>
      <c r="DM354" s="78"/>
      <c r="DN354" s="78"/>
      <c r="DO354" s="78"/>
      <c r="DP354" s="78"/>
      <c r="DQ354" s="78"/>
      <c r="DR354" s="78"/>
      <c r="DS354" s="78"/>
      <c r="DT354" s="78"/>
      <c r="DU354" s="78"/>
      <c r="DV354" s="78"/>
      <c r="DW354" s="78"/>
      <c r="DX354" s="78"/>
      <c r="DY354" s="78"/>
      <c r="DZ354" s="78"/>
      <c r="EA354" s="78"/>
      <c r="EB354" s="78"/>
      <c r="EC354" s="78"/>
      <c r="ED354" s="78"/>
      <c r="EE354" s="78"/>
      <c r="EF354" s="78"/>
      <c r="EG354" s="78"/>
      <c r="EH354" s="78"/>
      <c r="EI354" s="78"/>
      <c r="EJ354" s="78"/>
      <c r="EK354" s="78"/>
      <c r="EL354" s="78"/>
      <c r="EM354" s="78"/>
      <c r="EN354" s="91"/>
      <c r="EO354" s="91"/>
      <c r="EP354" s="91"/>
      <c r="EQ354" s="91"/>
      <c r="ER354" s="91"/>
      <c r="ES354" s="91"/>
    </row>
    <row r="355" spans="1:149" outlineLevel="1">
      <c r="A355" s="29" t="str">
        <f t="shared" si="311"/>
        <v>modesg_inp_nfrd_alinhamento_taxppc_trnvr_ttl_elgbl</v>
      </c>
      <c r="B355" s="67" t="s">
        <v>26</v>
      </c>
      <c r="C355" s="68" t="s">
        <v>181</v>
      </c>
      <c r="D355" s="64" t="s">
        <v>40</v>
      </c>
      <c r="E355" s="66" t="s">
        <v>215</v>
      </c>
      <c r="F355" s="64" t="s">
        <v>259</v>
      </c>
      <c r="G355" s="64" t="str">
        <f>INDEX(Auxiliar!$B$16:$B$24,MATCH(Plano_V3!H355,Auxiliar!$C$16:$C$24,0),1)</f>
        <v>1. Concluído</v>
      </c>
      <c r="H355" s="64">
        <f>VLOOKUP(A355,'Aux - pivots1'!$A:$B,2,0)</f>
        <v>1</v>
      </c>
      <c r="I355" s="180">
        <f>SUMIFS(Table1[Estimação (horas)],Table1[Tabela],Plano_V3!E355,Table1[Campo],Plano_V3!F355)</f>
        <v>0.6</v>
      </c>
      <c r="J355" s="180">
        <f t="shared" si="307"/>
        <v>7.4999999999999997E-2</v>
      </c>
      <c r="K355" s="180">
        <f>SUMIFS(Table1[Horas efetivas],Table1[Tabela],Plano_V3!E355,Table1[Campo],Plano_V3!F355)</f>
        <v>0.6</v>
      </c>
      <c r="L355" s="180">
        <f t="shared" si="308"/>
        <v>7.4999999999999997E-2</v>
      </c>
      <c r="M355" s="174"/>
      <c r="N355" s="174">
        <f t="shared" si="309"/>
        <v>1</v>
      </c>
      <c r="O355" s="174">
        <f t="shared" si="310"/>
        <v>1</v>
      </c>
      <c r="P355" s="89" t="s">
        <v>39</v>
      </c>
      <c r="Q355" s="90">
        <f t="shared" si="312"/>
        <v>7.4999999999999997E-2</v>
      </c>
      <c r="R355" s="78"/>
      <c r="S355" s="78"/>
      <c r="T355" s="78"/>
      <c r="U355" s="78"/>
      <c r="V355" s="78"/>
      <c r="W355" s="78"/>
      <c r="X355" s="78"/>
      <c r="Y355" s="78"/>
      <c r="Z355" s="78"/>
      <c r="AA355" s="78"/>
      <c r="AB355" s="78"/>
      <c r="AC355" s="78"/>
      <c r="AD355" s="78"/>
      <c r="AE355" s="78"/>
      <c r="AF355" s="78"/>
      <c r="AG355" s="78"/>
      <c r="AH355" s="78"/>
      <c r="AI355" s="78"/>
      <c r="AJ355" s="78"/>
      <c r="AK355" s="78"/>
      <c r="AL355" s="78"/>
      <c r="AM355" s="78"/>
      <c r="AN355" s="78"/>
      <c r="AO355" s="78"/>
      <c r="AP355" s="78"/>
      <c r="AQ355" s="78"/>
      <c r="AR355" s="78"/>
      <c r="AS355" s="78"/>
      <c r="AT355" s="78"/>
      <c r="AU355" s="78"/>
      <c r="AV355" s="78"/>
      <c r="AW355" s="78"/>
      <c r="AX355" s="78"/>
      <c r="AY355" s="91"/>
      <c r="AZ355" s="78"/>
      <c r="BA355" s="78"/>
      <c r="BB355" s="78"/>
      <c r="BC355" s="78"/>
      <c r="BD355" s="78"/>
      <c r="BE355" s="78"/>
      <c r="BF355" s="78"/>
      <c r="BG355" s="78"/>
      <c r="BH355" s="78"/>
      <c r="BI355" s="78"/>
      <c r="BJ355" s="78"/>
      <c r="BK355" s="78"/>
      <c r="BL355" s="78"/>
      <c r="BM355" s="78"/>
      <c r="BN355" s="78"/>
      <c r="BO355" s="78"/>
      <c r="BP355" s="78"/>
      <c r="BQ355" s="78"/>
      <c r="BR355" s="78"/>
      <c r="BS355" s="78"/>
      <c r="BT355" s="78"/>
      <c r="BU355" s="78"/>
      <c r="BV355" s="78"/>
      <c r="BW355" s="78"/>
      <c r="BX355" s="78"/>
      <c r="BY355" s="78"/>
      <c r="BZ355" s="78"/>
      <c r="CA355" s="78"/>
      <c r="CB355" s="78"/>
      <c r="CC355" s="78"/>
      <c r="CD355" s="78"/>
      <c r="CE355" s="78"/>
      <c r="CF355" s="78"/>
      <c r="CG355" s="78"/>
      <c r="CH355" s="78"/>
      <c r="CI355" s="78"/>
      <c r="CJ355" s="78"/>
      <c r="CK355" s="78"/>
      <c r="CL355" s="78"/>
      <c r="CM355" s="78"/>
      <c r="CN355" s="78"/>
      <c r="CO355" s="78"/>
      <c r="CP355" s="78"/>
      <c r="CQ355" s="78"/>
      <c r="CR355" s="78"/>
      <c r="CS355" s="78"/>
      <c r="CT355" s="78"/>
      <c r="CU355" s="78"/>
      <c r="CV355" s="78"/>
      <c r="CW355" s="78"/>
      <c r="CX355" s="78"/>
      <c r="CY355" s="78"/>
      <c r="CZ355" s="78"/>
      <c r="DA355" s="78"/>
      <c r="DB355" s="78"/>
      <c r="DC355" s="78"/>
      <c r="DD355" s="78"/>
      <c r="DE355" s="78"/>
      <c r="DF355" s="78"/>
      <c r="DG355" s="78"/>
      <c r="DH355" s="78"/>
      <c r="DI355" s="78"/>
      <c r="DJ355" s="78"/>
      <c r="DK355" s="78"/>
      <c r="DL355" s="78"/>
      <c r="DM355" s="78"/>
      <c r="DN355" s="78"/>
      <c r="DO355" s="78"/>
      <c r="DP355" s="78"/>
      <c r="DQ355" s="78"/>
      <c r="DR355" s="78"/>
      <c r="DS355" s="78"/>
      <c r="DT355" s="78"/>
      <c r="DU355" s="78"/>
      <c r="DV355" s="78"/>
      <c r="DW355" s="78"/>
      <c r="DX355" s="78"/>
      <c r="DY355" s="78"/>
      <c r="DZ355" s="78"/>
      <c r="EA355" s="78"/>
      <c r="EB355" s="78"/>
      <c r="EC355" s="78"/>
      <c r="ED355" s="78"/>
      <c r="EE355" s="78"/>
      <c r="EF355" s="78"/>
      <c r="EG355" s="78"/>
      <c r="EH355" s="78"/>
      <c r="EI355" s="78"/>
      <c r="EJ355" s="78"/>
      <c r="EK355" s="78"/>
      <c r="EL355" s="78"/>
      <c r="EM355" s="78"/>
      <c r="EN355" s="91"/>
      <c r="EO355" s="91"/>
      <c r="EP355" s="91"/>
      <c r="EQ355" s="91"/>
      <c r="ER355" s="91"/>
      <c r="ES355" s="91"/>
    </row>
    <row r="356" spans="1:149" outlineLevel="1">
      <c r="A356" s="29" t="str">
        <f t="shared" si="311"/>
        <v>modesg_inp_nfrd_alinhamento_taxppc_turnover_own_prfrmnce_algnd</v>
      </c>
      <c r="B356" s="67" t="s">
        <v>26</v>
      </c>
      <c r="C356" s="68" t="s">
        <v>181</v>
      </c>
      <c r="D356" s="64" t="s">
        <v>40</v>
      </c>
      <c r="E356" s="66" t="s">
        <v>215</v>
      </c>
      <c r="F356" s="64" t="s">
        <v>260</v>
      </c>
      <c r="G356" s="64" t="str">
        <f>INDEX(Auxiliar!$B$16:$B$24,MATCH(Plano_V3!H356,Auxiliar!$C$16:$C$24,0),1)</f>
        <v>1. Concluído</v>
      </c>
      <c r="H356" s="64">
        <f>VLOOKUP(A356,'Aux - pivots1'!$A:$B,2,0)</f>
        <v>1</v>
      </c>
      <c r="I356" s="180">
        <f>SUMIFS(Table1[Estimação (horas)],Table1[Tabela],Plano_V3!E356,Table1[Campo],Plano_V3!F356)</f>
        <v>0.6</v>
      </c>
      <c r="J356" s="180">
        <f t="shared" si="307"/>
        <v>7.4999999999999997E-2</v>
      </c>
      <c r="K356" s="180">
        <f>SUMIFS(Table1[Horas efetivas],Table1[Tabela],Plano_V3!E356,Table1[Campo],Plano_V3!F356)</f>
        <v>0.6</v>
      </c>
      <c r="L356" s="180">
        <f t="shared" si="308"/>
        <v>7.4999999999999997E-2</v>
      </c>
      <c r="M356" s="174"/>
      <c r="N356" s="174">
        <f t="shared" si="309"/>
        <v>1</v>
      </c>
      <c r="O356" s="174">
        <f t="shared" si="310"/>
        <v>1</v>
      </c>
      <c r="P356" s="89" t="s">
        <v>39</v>
      </c>
      <c r="Q356" s="90">
        <f t="shared" si="312"/>
        <v>7.4999999999999997E-2</v>
      </c>
      <c r="R356" s="78"/>
      <c r="S356" s="78"/>
      <c r="T356" s="78"/>
      <c r="U356" s="78"/>
      <c r="V356" s="78"/>
      <c r="W356" s="78"/>
      <c r="X356" s="78"/>
      <c r="Y356" s="78"/>
      <c r="Z356" s="78"/>
      <c r="AA356" s="78"/>
      <c r="AB356" s="78"/>
      <c r="AC356" s="78"/>
      <c r="AD356" s="78"/>
      <c r="AE356" s="78"/>
      <c r="AF356" s="78"/>
      <c r="AG356" s="78"/>
      <c r="AH356" s="78"/>
      <c r="AI356" s="78"/>
      <c r="AJ356" s="78"/>
      <c r="AK356" s="78"/>
      <c r="AL356" s="78"/>
      <c r="AM356" s="78"/>
      <c r="AN356" s="78"/>
      <c r="AO356" s="78"/>
      <c r="AP356" s="78"/>
      <c r="AQ356" s="78"/>
      <c r="AR356" s="78"/>
      <c r="AS356" s="78"/>
      <c r="AT356" s="78"/>
      <c r="AU356" s="78"/>
      <c r="AV356" s="78"/>
      <c r="AW356" s="78"/>
      <c r="AX356" s="78"/>
      <c r="AY356" s="91"/>
      <c r="AZ356" s="78"/>
      <c r="BA356" s="78"/>
      <c r="BB356" s="78"/>
      <c r="BC356" s="78"/>
      <c r="BD356" s="78"/>
      <c r="BE356" s="78"/>
      <c r="BF356" s="78"/>
      <c r="BG356" s="78"/>
      <c r="BH356" s="78"/>
      <c r="BI356" s="78"/>
      <c r="BJ356" s="78"/>
      <c r="BK356" s="78"/>
      <c r="BL356" s="78"/>
      <c r="BM356" s="78"/>
      <c r="BN356" s="78"/>
      <c r="BO356" s="78"/>
      <c r="BP356" s="78"/>
      <c r="BQ356" s="78"/>
      <c r="BR356" s="78"/>
      <c r="BS356" s="78"/>
      <c r="BT356" s="78"/>
      <c r="BU356" s="78"/>
      <c r="BV356" s="78"/>
      <c r="BW356" s="78"/>
      <c r="BX356" s="78"/>
      <c r="BY356" s="78"/>
      <c r="BZ356" s="78"/>
      <c r="CA356" s="78"/>
      <c r="CB356" s="78"/>
      <c r="CC356" s="78"/>
      <c r="CD356" s="78"/>
      <c r="CE356" s="78"/>
      <c r="CF356" s="78"/>
      <c r="CG356" s="78"/>
      <c r="CH356" s="78"/>
      <c r="CI356" s="78"/>
      <c r="CJ356" s="78"/>
      <c r="CK356" s="78"/>
      <c r="CL356" s="78"/>
      <c r="CM356" s="78"/>
      <c r="CN356" s="78"/>
      <c r="CO356" s="78"/>
      <c r="CP356" s="78"/>
      <c r="CQ356" s="78"/>
      <c r="CR356" s="78"/>
      <c r="CS356" s="78"/>
      <c r="CT356" s="78"/>
      <c r="CU356" s="78"/>
      <c r="CV356" s="78"/>
      <c r="CW356" s="78"/>
      <c r="CX356" s="78"/>
      <c r="CY356" s="78"/>
      <c r="CZ356" s="78"/>
      <c r="DA356" s="78"/>
      <c r="DB356" s="78"/>
      <c r="DC356" s="78"/>
      <c r="DD356" s="78"/>
      <c r="DE356" s="78"/>
      <c r="DF356" s="78"/>
      <c r="DG356" s="78"/>
      <c r="DH356" s="78"/>
      <c r="DI356" s="78"/>
      <c r="DJ356" s="78"/>
      <c r="DK356" s="78"/>
      <c r="DL356" s="78"/>
      <c r="DM356" s="78"/>
      <c r="DN356" s="78"/>
      <c r="DO356" s="78"/>
      <c r="DP356" s="78"/>
      <c r="DQ356" s="78"/>
      <c r="DR356" s="78"/>
      <c r="DS356" s="78"/>
      <c r="DT356" s="78"/>
      <c r="DU356" s="78"/>
      <c r="DV356" s="78"/>
      <c r="DW356" s="78"/>
      <c r="DX356" s="78"/>
      <c r="DY356" s="78"/>
      <c r="DZ356" s="78"/>
      <c r="EA356" s="78"/>
      <c r="EB356" s="78"/>
      <c r="EC356" s="78"/>
      <c r="ED356" s="78"/>
      <c r="EE356" s="78"/>
      <c r="EF356" s="78"/>
      <c r="EG356" s="78"/>
      <c r="EH356" s="78"/>
      <c r="EI356" s="78"/>
      <c r="EJ356" s="78"/>
      <c r="EK356" s="78"/>
      <c r="EL356" s="78"/>
      <c r="EM356" s="78"/>
      <c r="EN356" s="91"/>
      <c r="EO356" s="91"/>
      <c r="EP356" s="91"/>
      <c r="EQ356" s="91"/>
      <c r="ER356" s="91"/>
      <c r="ES356" s="91"/>
    </row>
    <row r="357" spans="1:149" outlineLevel="1">
      <c r="A357" s="29" t="str">
        <f t="shared" si="311"/>
        <v>modesg_inp_nfrd_alinhamento_taxppc_capex_ttl_elgbl</v>
      </c>
      <c r="B357" s="67" t="s">
        <v>26</v>
      </c>
      <c r="C357" s="68" t="s">
        <v>181</v>
      </c>
      <c r="D357" s="64" t="s">
        <v>40</v>
      </c>
      <c r="E357" s="66" t="s">
        <v>215</v>
      </c>
      <c r="F357" s="64" t="s">
        <v>261</v>
      </c>
      <c r="G357" s="64" t="str">
        <f>INDEX(Auxiliar!$B$16:$B$24,MATCH(Plano_V3!H357,Auxiliar!$C$16:$C$24,0),1)</f>
        <v>1. Concluído</v>
      </c>
      <c r="H357" s="64">
        <f>VLOOKUP(A357,'Aux - pivots1'!$A:$B,2,0)</f>
        <v>1</v>
      </c>
      <c r="I357" s="180">
        <f>SUMIFS(Table1[Estimação (horas)],Table1[Tabela],Plano_V3!E357,Table1[Campo],Plano_V3!F357)</f>
        <v>0.6</v>
      </c>
      <c r="J357" s="180">
        <f t="shared" si="307"/>
        <v>7.4999999999999997E-2</v>
      </c>
      <c r="K357" s="180">
        <f>SUMIFS(Table1[Horas efetivas],Table1[Tabela],Plano_V3!E357,Table1[Campo],Plano_V3!F357)</f>
        <v>0.6</v>
      </c>
      <c r="L357" s="180">
        <f t="shared" si="308"/>
        <v>7.4999999999999997E-2</v>
      </c>
      <c r="M357" s="174"/>
      <c r="N357" s="174">
        <f t="shared" si="309"/>
        <v>1</v>
      </c>
      <c r="O357" s="174">
        <f t="shared" si="310"/>
        <v>1</v>
      </c>
      <c r="P357" s="89" t="s">
        <v>39</v>
      </c>
      <c r="Q357" s="90">
        <f t="shared" si="312"/>
        <v>7.4999999999999997E-2</v>
      </c>
      <c r="R357" s="78"/>
      <c r="S357" s="78"/>
      <c r="T357" s="78"/>
      <c r="U357" s="78"/>
      <c r="V357" s="78"/>
      <c r="W357" s="78"/>
      <c r="X357" s="78"/>
      <c r="Y357" s="78"/>
      <c r="Z357" s="78"/>
      <c r="AA357" s="78"/>
      <c r="AB357" s="78"/>
      <c r="AC357" s="78"/>
      <c r="AD357" s="78"/>
      <c r="AE357" s="78"/>
      <c r="AF357" s="78"/>
      <c r="AG357" s="78"/>
      <c r="AH357" s="78"/>
      <c r="AI357" s="78"/>
      <c r="AJ357" s="78"/>
      <c r="AK357" s="78"/>
      <c r="AL357" s="78"/>
      <c r="AM357" s="78"/>
      <c r="AN357" s="78"/>
      <c r="AO357" s="78"/>
      <c r="AP357" s="78"/>
      <c r="AQ357" s="78"/>
      <c r="AR357" s="78"/>
      <c r="AS357" s="78"/>
      <c r="AT357" s="78"/>
      <c r="AU357" s="78"/>
      <c r="AV357" s="78"/>
      <c r="AW357" s="78"/>
      <c r="AX357" s="78"/>
      <c r="AY357" s="91"/>
      <c r="AZ357" s="78"/>
      <c r="BA357" s="78"/>
      <c r="BB357" s="78"/>
      <c r="BC357" s="78"/>
      <c r="BD357" s="78"/>
      <c r="BE357" s="78"/>
      <c r="BF357" s="78"/>
      <c r="BG357" s="78"/>
      <c r="BH357" s="78"/>
      <c r="BI357" s="78"/>
      <c r="BJ357" s="78"/>
      <c r="BK357" s="78"/>
      <c r="BL357" s="78"/>
      <c r="BM357" s="78"/>
      <c r="BN357" s="78"/>
      <c r="BO357" s="78"/>
      <c r="BP357" s="78"/>
      <c r="BQ357" s="78"/>
      <c r="BR357" s="78"/>
      <c r="BS357" s="78"/>
      <c r="BT357" s="78"/>
      <c r="BU357" s="78"/>
      <c r="BV357" s="78"/>
      <c r="BW357" s="78"/>
      <c r="BX357" s="78"/>
      <c r="BY357" s="78"/>
      <c r="BZ357" s="78"/>
      <c r="CA357" s="78"/>
      <c r="CB357" s="78"/>
      <c r="CC357" s="78"/>
      <c r="CD357" s="78"/>
      <c r="CE357" s="78"/>
      <c r="CF357" s="78"/>
      <c r="CG357" s="78"/>
      <c r="CH357" s="78"/>
      <c r="CI357" s="78"/>
      <c r="CJ357" s="78"/>
      <c r="CK357" s="78"/>
      <c r="CL357" s="78"/>
      <c r="CM357" s="78"/>
      <c r="CN357" s="78"/>
      <c r="CO357" s="78"/>
      <c r="CP357" s="78"/>
      <c r="CQ357" s="78"/>
      <c r="CR357" s="78"/>
      <c r="CS357" s="78"/>
      <c r="CT357" s="78"/>
      <c r="CU357" s="78"/>
      <c r="CV357" s="78"/>
      <c r="CW357" s="78"/>
      <c r="CX357" s="78"/>
      <c r="CY357" s="78"/>
      <c r="CZ357" s="78"/>
      <c r="DA357" s="78"/>
      <c r="DB357" s="78"/>
      <c r="DC357" s="78"/>
      <c r="DD357" s="78"/>
      <c r="DE357" s="78"/>
      <c r="DF357" s="78"/>
      <c r="DG357" s="78"/>
      <c r="DH357" s="78"/>
      <c r="DI357" s="78"/>
      <c r="DJ357" s="78"/>
      <c r="DK357" s="78"/>
      <c r="DL357" s="78"/>
      <c r="DM357" s="78"/>
      <c r="DN357" s="78"/>
      <c r="DO357" s="78"/>
      <c r="DP357" s="78"/>
      <c r="DQ357" s="78"/>
      <c r="DR357" s="78"/>
      <c r="DS357" s="78"/>
      <c r="DT357" s="78"/>
      <c r="DU357" s="78"/>
      <c r="DV357" s="78"/>
      <c r="DW357" s="78"/>
      <c r="DX357" s="78"/>
      <c r="DY357" s="78"/>
      <c r="DZ357" s="78"/>
      <c r="EA357" s="78"/>
      <c r="EB357" s="78"/>
      <c r="EC357" s="78"/>
      <c r="ED357" s="78"/>
      <c r="EE357" s="78"/>
      <c r="EF357" s="78"/>
      <c r="EG357" s="78"/>
      <c r="EH357" s="78"/>
      <c r="EI357" s="78"/>
      <c r="EJ357" s="78"/>
      <c r="EK357" s="78"/>
      <c r="EL357" s="78"/>
      <c r="EM357" s="78"/>
      <c r="EN357" s="91"/>
      <c r="EO357" s="91"/>
      <c r="EP357" s="91"/>
      <c r="EQ357" s="91"/>
      <c r="ER357" s="91"/>
      <c r="ES357" s="91"/>
    </row>
    <row r="358" spans="1:149" outlineLevel="1">
      <c r="A358" s="29" t="str">
        <f t="shared" si="311"/>
        <v>modesg_inp_nfrd_alinhamento_taxppc_capex_own_prfrmnce_algnd</v>
      </c>
      <c r="B358" s="67" t="s">
        <v>26</v>
      </c>
      <c r="C358" s="68" t="s">
        <v>181</v>
      </c>
      <c r="D358" s="64" t="s">
        <v>40</v>
      </c>
      <c r="E358" s="66" t="s">
        <v>215</v>
      </c>
      <c r="F358" s="64" t="s">
        <v>262</v>
      </c>
      <c r="G358" s="64" t="str">
        <f>INDEX(Auxiliar!$B$16:$B$24,MATCH(Plano_V3!H358,Auxiliar!$C$16:$C$24,0),1)</f>
        <v>1. Concluído</v>
      </c>
      <c r="H358" s="64">
        <f>VLOOKUP(A358,'Aux - pivots1'!$A:$B,2,0)</f>
        <v>1</v>
      </c>
      <c r="I358" s="180">
        <f>SUMIFS(Table1[Estimação (horas)],Table1[Tabela],Plano_V3!E358,Table1[Campo],Plano_V3!F358)</f>
        <v>0.6</v>
      </c>
      <c r="J358" s="180">
        <f t="shared" si="307"/>
        <v>7.4999999999999997E-2</v>
      </c>
      <c r="K358" s="180">
        <f>SUMIFS(Table1[Horas efetivas],Table1[Tabela],Plano_V3!E358,Table1[Campo],Plano_V3!F358)</f>
        <v>0.6</v>
      </c>
      <c r="L358" s="180">
        <f t="shared" si="308"/>
        <v>7.4999999999999997E-2</v>
      </c>
      <c r="M358" s="174"/>
      <c r="N358" s="174">
        <f t="shared" si="309"/>
        <v>1</v>
      </c>
      <c r="O358" s="174">
        <f t="shared" si="310"/>
        <v>1</v>
      </c>
      <c r="P358" s="89" t="s">
        <v>39</v>
      </c>
      <c r="Q358" s="90">
        <f t="shared" si="312"/>
        <v>7.4999999999999997E-2</v>
      </c>
      <c r="R358" s="78"/>
      <c r="S358" s="78"/>
      <c r="T358" s="78"/>
      <c r="U358" s="78"/>
      <c r="V358" s="78"/>
      <c r="W358" s="78"/>
      <c r="X358" s="78"/>
      <c r="Y358" s="78"/>
      <c r="Z358" s="78"/>
      <c r="AA358" s="78"/>
      <c r="AB358" s="78"/>
      <c r="AC358" s="78"/>
      <c r="AD358" s="78"/>
      <c r="AE358" s="78"/>
      <c r="AF358" s="78"/>
      <c r="AG358" s="78"/>
      <c r="AH358" s="78"/>
      <c r="AI358" s="78"/>
      <c r="AJ358" s="78"/>
      <c r="AK358" s="78"/>
      <c r="AL358" s="78"/>
      <c r="AM358" s="78"/>
      <c r="AN358" s="78"/>
      <c r="AO358" s="78"/>
      <c r="AP358" s="78"/>
      <c r="AQ358" s="78"/>
      <c r="AR358" s="78"/>
      <c r="AS358" s="78"/>
      <c r="AT358" s="78"/>
      <c r="AU358" s="78"/>
      <c r="AV358" s="78"/>
      <c r="AW358" s="78"/>
      <c r="AX358" s="78"/>
      <c r="AY358" s="91"/>
      <c r="AZ358" s="78"/>
      <c r="BA358" s="78"/>
      <c r="BB358" s="78"/>
      <c r="BC358" s="78"/>
      <c r="BD358" s="78"/>
      <c r="BE358" s="78"/>
      <c r="BF358" s="78"/>
      <c r="BG358" s="78"/>
      <c r="BH358" s="78"/>
      <c r="BI358" s="78"/>
      <c r="BJ358" s="78"/>
      <c r="BK358" s="78"/>
      <c r="BL358" s="78"/>
      <c r="BM358" s="78"/>
      <c r="BN358" s="78"/>
      <c r="BO358" s="78"/>
      <c r="BP358" s="78"/>
      <c r="BQ358" s="78"/>
      <c r="BR358" s="78"/>
      <c r="BS358" s="78"/>
      <c r="BT358" s="78"/>
      <c r="BU358" s="78"/>
      <c r="BV358" s="78"/>
      <c r="BW358" s="78"/>
      <c r="BX358" s="78"/>
      <c r="BY358" s="78"/>
      <c r="BZ358" s="78"/>
      <c r="CA358" s="78"/>
      <c r="CB358" s="78"/>
      <c r="CC358" s="78"/>
      <c r="CD358" s="78"/>
      <c r="CE358" s="78"/>
      <c r="CF358" s="78"/>
      <c r="CG358" s="78"/>
      <c r="CH358" s="78"/>
      <c r="CI358" s="78"/>
      <c r="CJ358" s="78"/>
      <c r="CK358" s="78"/>
      <c r="CL358" s="78"/>
      <c r="CM358" s="78"/>
      <c r="CN358" s="78"/>
      <c r="CO358" s="78"/>
      <c r="CP358" s="78"/>
      <c r="CQ358" s="78"/>
      <c r="CR358" s="78"/>
      <c r="CS358" s="78"/>
      <c r="CT358" s="78"/>
      <c r="CU358" s="78"/>
      <c r="CV358" s="78"/>
      <c r="CW358" s="78"/>
      <c r="CX358" s="78"/>
      <c r="CY358" s="78"/>
      <c r="CZ358" s="78"/>
      <c r="DA358" s="78"/>
      <c r="DB358" s="78"/>
      <c r="DC358" s="78"/>
      <c r="DD358" s="78"/>
      <c r="DE358" s="78"/>
      <c r="DF358" s="78"/>
      <c r="DG358" s="78"/>
      <c r="DH358" s="78"/>
      <c r="DI358" s="78"/>
      <c r="DJ358" s="78"/>
      <c r="DK358" s="78"/>
      <c r="DL358" s="78"/>
      <c r="DM358" s="78"/>
      <c r="DN358" s="78"/>
      <c r="DO358" s="78"/>
      <c r="DP358" s="78"/>
      <c r="DQ358" s="78"/>
      <c r="DR358" s="78"/>
      <c r="DS358" s="78"/>
      <c r="DT358" s="78"/>
      <c r="DU358" s="78"/>
      <c r="DV358" s="78"/>
      <c r="DW358" s="78"/>
      <c r="DX358" s="78"/>
      <c r="DY358" s="78"/>
      <c r="DZ358" s="78"/>
      <c r="EA358" s="78"/>
      <c r="EB358" s="78"/>
      <c r="EC358" s="78"/>
      <c r="ED358" s="78"/>
      <c r="EE358" s="78"/>
      <c r="EF358" s="78"/>
      <c r="EG358" s="78"/>
      <c r="EH358" s="78"/>
      <c r="EI358" s="78"/>
      <c r="EJ358" s="78"/>
      <c r="EK358" s="78"/>
      <c r="EL358" s="78"/>
      <c r="EM358" s="78"/>
      <c r="EN358" s="91"/>
      <c r="EO358" s="91"/>
      <c r="EP358" s="91"/>
      <c r="EQ358" s="91"/>
      <c r="ER358" s="91"/>
      <c r="ES358" s="91"/>
    </row>
    <row r="359" spans="1:149" outlineLevel="1">
      <c r="A359" s="29" t="str">
        <f t="shared" si="311"/>
        <v>modesg_inp_nfrd_alinhamento_taxbio_trnvr_ttl_elgbl</v>
      </c>
      <c r="B359" s="67" t="s">
        <v>26</v>
      </c>
      <c r="C359" s="68" t="s">
        <v>181</v>
      </c>
      <c r="D359" s="64" t="s">
        <v>40</v>
      </c>
      <c r="E359" s="66" t="s">
        <v>215</v>
      </c>
      <c r="F359" s="64" t="s">
        <v>263</v>
      </c>
      <c r="G359" s="64" t="str">
        <f>INDEX(Auxiliar!$B$16:$B$24,MATCH(Plano_V3!H359,Auxiliar!$C$16:$C$24,0),1)</f>
        <v>1. Concluído</v>
      </c>
      <c r="H359" s="64">
        <f>VLOOKUP(A359,'Aux - pivots1'!$A:$B,2,0)</f>
        <v>1</v>
      </c>
      <c r="I359" s="180">
        <f>SUMIFS(Table1[Estimação (horas)],Table1[Tabela],Plano_V3!E359,Table1[Campo],Plano_V3!F359)</f>
        <v>0.6</v>
      </c>
      <c r="J359" s="180">
        <f t="shared" si="307"/>
        <v>7.4999999999999997E-2</v>
      </c>
      <c r="K359" s="180">
        <f>SUMIFS(Table1[Horas efetivas],Table1[Tabela],Plano_V3!E359,Table1[Campo],Plano_V3!F359)</f>
        <v>0.6</v>
      </c>
      <c r="L359" s="180">
        <f t="shared" si="308"/>
        <v>7.4999999999999997E-2</v>
      </c>
      <c r="M359" s="174"/>
      <c r="N359" s="174">
        <f t="shared" si="309"/>
        <v>1</v>
      </c>
      <c r="O359" s="174">
        <f t="shared" si="310"/>
        <v>1</v>
      </c>
      <c r="P359" s="89" t="s">
        <v>39</v>
      </c>
      <c r="Q359" s="90">
        <f t="shared" si="312"/>
        <v>7.4999999999999997E-2</v>
      </c>
      <c r="R359" s="78"/>
      <c r="S359" s="78"/>
      <c r="T359" s="78"/>
      <c r="U359" s="78"/>
      <c r="V359" s="78"/>
      <c r="W359" s="78"/>
      <c r="X359" s="78"/>
      <c r="Y359" s="78"/>
      <c r="Z359" s="78"/>
      <c r="AA359" s="78"/>
      <c r="AB359" s="78"/>
      <c r="AC359" s="78"/>
      <c r="AD359" s="78"/>
      <c r="AE359" s="78"/>
      <c r="AF359" s="78"/>
      <c r="AG359" s="78"/>
      <c r="AH359" s="78"/>
      <c r="AI359" s="78"/>
      <c r="AJ359" s="78"/>
      <c r="AK359" s="78"/>
      <c r="AL359" s="78"/>
      <c r="AM359" s="78"/>
      <c r="AN359" s="78"/>
      <c r="AO359" s="78"/>
      <c r="AP359" s="78"/>
      <c r="AQ359" s="78"/>
      <c r="AR359" s="78"/>
      <c r="AS359" s="78"/>
      <c r="AT359" s="78"/>
      <c r="AU359" s="78"/>
      <c r="AV359" s="78"/>
      <c r="AW359" s="78"/>
      <c r="AX359" s="78"/>
      <c r="AY359" s="91"/>
      <c r="AZ359" s="78"/>
      <c r="BA359" s="78"/>
      <c r="BB359" s="78"/>
      <c r="BC359" s="78"/>
      <c r="BD359" s="78"/>
      <c r="BE359" s="78"/>
      <c r="BF359" s="78"/>
      <c r="BG359" s="78"/>
      <c r="BH359" s="78"/>
      <c r="BI359" s="78"/>
      <c r="BJ359" s="78"/>
      <c r="BK359" s="78"/>
      <c r="BL359" s="78"/>
      <c r="BM359" s="78"/>
      <c r="BN359" s="78"/>
      <c r="BO359" s="78"/>
      <c r="BP359" s="78"/>
      <c r="BQ359" s="78"/>
      <c r="BR359" s="78"/>
      <c r="BS359" s="78"/>
      <c r="BT359" s="78"/>
      <c r="BU359" s="78"/>
      <c r="BV359" s="78"/>
      <c r="BW359" s="78"/>
      <c r="BX359" s="78"/>
      <c r="BY359" s="78"/>
      <c r="BZ359" s="78"/>
      <c r="CA359" s="78"/>
      <c r="CB359" s="78"/>
      <c r="CC359" s="78"/>
      <c r="CD359" s="78"/>
      <c r="CE359" s="78"/>
      <c r="CF359" s="78"/>
      <c r="CG359" s="78"/>
      <c r="CH359" s="78"/>
      <c r="CI359" s="78"/>
      <c r="CJ359" s="78"/>
      <c r="CK359" s="78"/>
      <c r="CL359" s="78"/>
      <c r="CM359" s="78"/>
      <c r="CN359" s="78"/>
      <c r="CO359" s="78"/>
      <c r="CP359" s="78"/>
      <c r="CQ359" s="78"/>
      <c r="CR359" s="78"/>
      <c r="CS359" s="78"/>
      <c r="CT359" s="78"/>
      <c r="CU359" s="78"/>
      <c r="CV359" s="78"/>
      <c r="CW359" s="78"/>
      <c r="CX359" s="78"/>
      <c r="CY359" s="78"/>
      <c r="CZ359" s="78"/>
      <c r="DA359" s="78"/>
      <c r="DB359" s="78"/>
      <c r="DC359" s="78"/>
      <c r="DD359" s="78"/>
      <c r="DE359" s="78"/>
      <c r="DF359" s="78"/>
      <c r="DG359" s="78"/>
      <c r="DH359" s="78"/>
      <c r="DI359" s="78"/>
      <c r="DJ359" s="78"/>
      <c r="DK359" s="78"/>
      <c r="DL359" s="78"/>
      <c r="DM359" s="78"/>
      <c r="DN359" s="78"/>
      <c r="DO359" s="78"/>
      <c r="DP359" s="78"/>
      <c r="DQ359" s="78"/>
      <c r="DR359" s="78"/>
      <c r="DS359" s="78"/>
      <c r="DT359" s="78"/>
      <c r="DU359" s="78"/>
      <c r="DV359" s="78"/>
      <c r="DW359" s="78"/>
      <c r="DX359" s="78"/>
      <c r="DY359" s="78"/>
      <c r="DZ359" s="78"/>
      <c r="EA359" s="78"/>
      <c r="EB359" s="78"/>
      <c r="EC359" s="78"/>
      <c r="ED359" s="78"/>
      <c r="EE359" s="78"/>
      <c r="EF359" s="78"/>
      <c r="EG359" s="78"/>
      <c r="EH359" s="78"/>
      <c r="EI359" s="78"/>
      <c r="EJ359" s="78"/>
      <c r="EK359" s="78"/>
      <c r="EL359" s="78"/>
      <c r="EM359" s="78"/>
      <c r="EN359" s="91"/>
      <c r="EO359" s="91"/>
      <c r="EP359" s="91"/>
      <c r="EQ359" s="91"/>
      <c r="ER359" s="91"/>
      <c r="ES359" s="91"/>
    </row>
    <row r="360" spans="1:149" outlineLevel="1">
      <c r="A360" s="29" t="str">
        <f t="shared" si="311"/>
        <v>modesg_inp_nfrd_alinhamento_taxbio_turnover_own_prfrmnce_algnd</v>
      </c>
      <c r="B360" s="67" t="s">
        <v>26</v>
      </c>
      <c r="C360" s="68" t="s">
        <v>181</v>
      </c>
      <c r="D360" s="64" t="s">
        <v>40</v>
      </c>
      <c r="E360" s="66" t="s">
        <v>215</v>
      </c>
      <c r="F360" s="64" t="s">
        <v>264</v>
      </c>
      <c r="G360" s="64" t="str">
        <f>INDEX(Auxiliar!$B$16:$B$24,MATCH(Plano_V3!H360,Auxiliar!$C$16:$C$24,0),1)</f>
        <v>1. Concluído</v>
      </c>
      <c r="H360" s="64">
        <f>VLOOKUP(A360,'Aux - pivots1'!$A:$B,2,0)</f>
        <v>1</v>
      </c>
      <c r="I360" s="180">
        <f>SUMIFS(Table1[Estimação (horas)],Table1[Tabela],Plano_V3!E360,Table1[Campo],Plano_V3!F360)</f>
        <v>0.6</v>
      </c>
      <c r="J360" s="180">
        <f t="shared" si="307"/>
        <v>7.4999999999999997E-2</v>
      </c>
      <c r="K360" s="180">
        <f>SUMIFS(Table1[Horas efetivas],Table1[Tabela],Plano_V3!E360,Table1[Campo],Plano_V3!F360)</f>
        <v>0.6</v>
      </c>
      <c r="L360" s="180">
        <f t="shared" si="308"/>
        <v>7.4999999999999997E-2</v>
      </c>
      <c r="M360" s="174"/>
      <c r="N360" s="174">
        <f t="shared" si="309"/>
        <v>1</v>
      </c>
      <c r="O360" s="174">
        <f t="shared" si="310"/>
        <v>1</v>
      </c>
      <c r="P360" s="89" t="s">
        <v>39</v>
      </c>
      <c r="Q360" s="90">
        <f t="shared" si="312"/>
        <v>7.4999999999999997E-2</v>
      </c>
      <c r="R360" s="78"/>
      <c r="S360" s="78"/>
      <c r="T360" s="78"/>
      <c r="U360" s="78"/>
      <c r="V360" s="78"/>
      <c r="W360" s="78"/>
      <c r="X360" s="78"/>
      <c r="Y360" s="78"/>
      <c r="Z360" s="78"/>
      <c r="AA360" s="78"/>
      <c r="AB360" s="78"/>
      <c r="AC360" s="78"/>
      <c r="AD360" s="78"/>
      <c r="AE360" s="78"/>
      <c r="AF360" s="78"/>
      <c r="AG360" s="78"/>
      <c r="AH360" s="78"/>
      <c r="AI360" s="78"/>
      <c r="AJ360" s="78"/>
      <c r="AK360" s="78"/>
      <c r="AL360" s="78"/>
      <c r="AM360" s="78"/>
      <c r="AN360" s="78"/>
      <c r="AO360" s="78"/>
      <c r="AP360" s="78"/>
      <c r="AQ360" s="78"/>
      <c r="AR360" s="78"/>
      <c r="AS360" s="78"/>
      <c r="AT360" s="78"/>
      <c r="AU360" s="78"/>
      <c r="AV360" s="78"/>
      <c r="AW360" s="78"/>
      <c r="AX360" s="78"/>
      <c r="AY360" s="91"/>
      <c r="AZ360" s="78"/>
      <c r="BA360" s="78"/>
      <c r="BB360" s="78"/>
      <c r="BC360" s="78"/>
      <c r="BD360" s="78"/>
      <c r="BE360" s="78"/>
      <c r="BF360" s="78"/>
      <c r="BG360" s="78"/>
      <c r="BH360" s="78"/>
      <c r="BI360" s="78"/>
      <c r="BJ360" s="78"/>
      <c r="BK360" s="78"/>
      <c r="BL360" s="78"/>
      <c r="BM360" s="78"/>
      <c r="BN360" s="78"/>
      <c r="BO360" s="78"/>
      <c r="BP360" s="78"/>
      <c r="BQ360" s="78"/>
      <c r="BR360" s="78"/>
      <c r="BS360" s="78"/>
      <c r="BT360" s="78"/>
      <c r="BU360" s="78"/>
      <c r="BV360" s="78"/>
      <c r="BW360" s="78"/>
      <c r="BX360" s="78"/>
      <c r="BY360" s="78"/>
      <c r="BZ360" s="78"/>
      <c r="CA360" s="78"/>
      <c r="CB360" s="78"/>
      <c r="CC360" s="78"/>
      <c r="CD360" s="78"/>
      <c r="CE360" s="78"/>
      <c r="CF360" s="78"/>
      <c r="CG360" s="78"/>
      <c r="CH360" s="78"/>
      <c r="CI360" s="78"/>
      <c r="CJ360" s="78"/>
      <c r="CK360" s="78"/>
      <c r="CL360" s="78"/>
      <c r="CM360" s="78"/>
      <c r="CN360" s="78"/>
      <c r="CO360" s="78"/>
      <c r="CP360" s="78"/>
      <c r="CQ360" s="78"/>
      <c r="CR360" s="78"/>
      <c r="CS360" s="78"/>
      <c r="CT360" s="78"/>
      <c r="CU360" s="78"/>
      <c r="CV360" s="78"/>
      <c r="CW360" s="78"/>
      <c r="CX360" s="78"/>
      <c r="CY360" s="78"/>
      <c r="CZ360" s="78"/>
      <c r="DA360" s="78"/>
      <c r="DB360" s="78"/>
      <c r="DC360" s="78"/>
      <c r="DD360" s="78"/>
      <c r="DE360" s="78"/>
      <c r="DF360" s="78"/>
      <c r="DG360" s="78"/>
      <c r="DH360" s="78"/>
      <c r="DI360" s="78"/>
      <c r="DJ360" s="78"/>
      <c r="DK360" s="78"/>
      <c r="DL360" s="78"/>
      <c r="DM360" s="78"/>
      <c r="DN360" s="78"/>
      <c r="DO360" s="78"/>
      <c r="DP360" s="78"/>
      <c r="DQ360" s="78"/>
      <c r="DR360" s="78"/>
      <c r="DS360" s="78"/>
      <c r="DT360" s="78"/>
      <c r="DU360" s="78"/>
      <c r="DV360" s="78"/>
      <c r="DW360" s="78"/>
      <c r="DX360" s="78"/>
      <c r="DY360" s="78"/>
      <c r="DZ360" s="78"/>
      <c r="EA360" s="78"/>
      <c r="EB360" s="78"/>
      <c r="EC360" s="78"/>
      <c r="ED360" s="78"/>
      <c r="EE360" s="78"/>
      <c r="EF360" s="78"/>
      <c r="EG360" s="78"/>
      <c r="EH360" s="78"/>
      <c r="EI360" s="78"/>
      <c r="EJ360" s="78"/>
      <c r="EK360" s="78"/>
      <c r="EL360" s="78"/>
      <c r="EM360" s="78"/>
      <c r="EN360" s="91"/>
      <c r="EO360" s="91"/>
      <c r="EP360" s="91"/>
      <c r="EQ360" s="91"/>
      <c r="ER360" s="91"/>
      <c r="ES360" s="91"/>
    </row>
    <row r="361" spans="1:149" outlineLevel="1">
      <c r="A361" s="29" t="str">
        <f t="shared" si="311"/>
        <v>modesg_inp_nfrd_alinhamento_taxbio_capex_ttl_elgbl</v>
      </c>
      <c r="B361" s="67" t="s">
        <v>26</v>
      </c>
      <c r="C361" s="68" t="s">
        <v>181</v>
      </c>
      <c r="D361" s="64" t="s">
        <v>40</v>
      </c>
      <c r="E361" s="66" t="s">
        <v>215</v>
      </c>
      <c r="F361" s="64" t="s">
        <v>265</v>
      </c>
      <c r="G361" s="64" t="str">
        <f>INDEX(Auxiliar!$B$16:$B$24,MATCH(Plano_V3!H361,Auxiliar!$C$16:$C$24,0),1)</f>
        <v>1. Concluído</v>
      </c>
      <c r="H361" s="64">
        <f>VLOOKUP(A361,'Aux - pivots1'!$A:$B,2,0)</f>
        <v>1</v>
      </c>
      <c r="I361" s="180">
        <f>SUMIFS(Table1[Estimação (horas)],Table1[Tabela],Plano_V3!E361,Table1[Campo],Plano_V3!F361)</f>
        <v>0.6</v>
      </c>
      <c r="J361" s="180">
        <f t="shared" si="307"/>
        <v>7.4999999999999997E-2</v>
      </c>
      <c r="K361" s="180">
        <f>SUMIFS(Table1[Horas efetivas],Table1[Tabela],Plano_V3!E361,Table1[Campo],Plano_V3!F361)</f>
        <v>0.6</v>
      </c>
      <c r="L361" s="180">
        <f t="shared" si="308"/>
        <v>7.4999999999999997E-2</v>
      </c>
      <c r="M361" s="174"/>
      <c r="N361" s="174">
        <f t="shared" si="309"/>
        <v>1</v>
      </c>
      <c r="O361" s="174">
        <f t="shared" si="310"/>
        <v>1</v>
      </c>
      <c r="P361" s="89" t="s">
        <v>39</v>
      </c>
      <c r="Q361" s="90">
        <f t="shared" si="312"/>
        <v>7.4999999999999997E-2</v>
      </c>
      <c r="R361" s="78"/>
      <c r="S361" s="78"/>
      <c r="T361" s="78"/>
      <c r="U361" s="78"/>
      <c r="V361" s="78"/>
      <c r="W361" s="78"/>
      <c r="X361" s="78"/>
      <c r="Y361" s="78"/>
      <c r="Z361" s="78"/>
      <c r="AA361" s="78"/>
      <c r="AB361" s="78"/>
      <c r="AC361" s="78"/>
      <c r="AD361" s="78"/>
      <c r="AE361" s="78"/>
      <c r="AF361" s="78"/>
      <c r="AG361" s="78"/>
      <c r="AH361" s="78"/>
      <c r="AI361" s="78"/>
      <c r="AJ361" s="78"/>
      <c r="AK361" s="78"/>
      <c r="AL361" s="78"/>
      <c r="AM361" s="78"/>
      <c r="AN361" s="78"/>
      <c r="AO361" s="78"/>
      <c r="AP361" s="78"/>
      <c r="AQ361" s="78"/>
      <c r="AR361" s="78"/>
      <c r="AS361" s="78"/>
      <c r="AT361" s="78"/>
      <c r="AU361" s="78"/>
      <c r="AV361" s="78"/>
      <c r="AW361" s="78"/>
      <c r="AX361" s="78"/>
      <c r="AY361" s="91"/>
      <c r="AZ361" s="78"/>
      <c r="BA361" s="78"/>
      <c r="BB361" s="78"/>
      <c r="BC361" s="78"/>
      <c r="BD361" s="78"/>
      <c r="BE361" s="78"/>
      <c r="BF361" s="78"/>
      <c r="BG361" s="78"/>
      <c r="BH361" s="78"/>
      <c r="BI361" s="78"/>
      <c r="BJ361" s="78"/>
      <c r="BK361" s="78"/>
      <c r="BL361" s="78"/>
      <c r="BM361" s="78"/>
      <c r="BN361" s="78"/>
      <c r="BO361" s="78"/>
      <c r="BP361" s="78"/>
      <c r="BQ361" s="78"/>
      <c r="BR361" s="78"/>
      <c r="BS361" s="78"/>
      <c r="BT361" s="78"/>
      <c r="BU361" s="78"/>
      <c r="BV361" s="78"/>
      <c r="BW361" s="78"/>
      <c r="BX361" s="78"/>
      <c r="BY361" s="78"/>
      <c r="BZ361" s="78"/>
      <c r="CA361" s="78"/>
      <c r="CB361" s="78"/>
      <c r="CC361" s="78"/>
      <c r="CD361" s="78"/>
      <c r="CE361" s="78"/>
      <c r="CF361" s="78"/>
      <c r="CG361" s="78"/>
      <c r="CH361" s="78"/>
      <c r="CI361" s="78"/>
      <c r="CJ361" s="78"/>
      <c r="CK361" s="78"/>
      <c r="CL361" s="78"/>
      <c r="CM361" s="78"/>
      <c r="CN361" s="78"/>
      <c r="CO361" s="78"/>
      <c r="CP361" s="78"/>
      <c r="CQ361" s="78"/>
      <c r="CR361" s="78"/>
      <c r="CS361" s="78"/>
      <c r="CT361" s="78"/>
      <c r="CU361" s="78"/>
      <c r="CV361" s="78"/>
      <c r="CW361" s="78"/>
      <c r="CX361" s="78"/>
      <c r="CY361" s="78"/>
      <c r="CZ361" s="78"/>
      <c r="DA361" s="78"/>
      <c r="DB361" s="78"/>
      <c r="DC361" s="78"/>
      <c r="DD361" s="78"/>
      <c r="DE361" s="78"/>
      <c r="DF361" s="78"/>
      <c r="DG361" s="78"/>
      <c r="DH361" s="78"/>
      <c r="DI361" s="78"/>
      <c r="DJ361" s="78"/>
      <c r="DK361" s="78"/>
      <c r="DL361" s="78"/>
      <c r="DM361" s="78"/>
      <c r="DN361" s="78"/>
      <c r="DO361" s="78"/>
      <c r="DP361" s="78"/>
      <c r="DQ361" s="78"/>
      <c r="DR361" s="78"/>
      <c r="DS361" s="78"/>
      <c r="DT361" s="78"/>
      <c r="DU361" s="78"/>
      <c r="DV361" s="78"/>
      <c r="DW361" s="78"/>
      <c r="DX361" s="78"/>
      <c r="DY361" s="78"/>
      <c r="DZ361" s="78"/>
      <c r="EA361" s="78"/>
      <c r="EB361" s="78"/>
      <c r="EC361" s="78"/>
      <c r="ED361" s="78"/>
      <c r="EE361" s="78"/>
      <c r="EF361" s="78"/>
      <c r="EG361" s="78"/>
      <c r="EH361" s="78"/>
      <c r="EI361" s="78"/>
      <c r="EJ361" s="78"/>
      <c r="EK361" s="78"/>
      <c r="EL361" s="78"/>
      <c r="EM361" s="78"/>
      <c r="EN361" s="91"/>
      <c r="EO361" s="91"/>
      <c r="EP361" s="91"/>
      <c r="EQ361" s="91"/>
      <c r="ER361" s="91"/>
      <c r="ES361" s="91"/>
    </row>
    <row r="362" spans="1:149" outlineLevel="1">
      <c r="A362" s="29" t="str">
        <f t="shared" si="311"/>
        <v>modesg_inp_nfrd_alinhamento_taxbio_capex_own_prfrmnce_algnd</v>
      </c>
      <c r="B362" s="67" t="s">
        <v>26</v>
      </c>
      <c r="C362" s="68" t="s">
        <v>181</v>
      </c>
      <c r="D362" s="64" t="s">
        <v>40</v>
      </c>
      <c r="E362" s="66" t="s">
        <v>215</v>
      </c>
      <c r="F362" s="64" t="s">
        <v>266</v>
      </c>
      <c r="G362" s="64" t="str">
        <f>INDEX(Auxiliar!$B$16:$B$24,MATCH(Plano_V3!H362,Auxiliar!$C$16:$C$24,0),1)</f>
        <v>1. Concluído</v>
      </c>
      <c r="H362" s="64">
        <f>VLOOKUP(A362,'Aux - pivots1'!$A:$B,2,0)</f>
        <v>1</v>
      </c>
      <c r="I362" s="180">
        <f>SUMIFS(Table1[Estimação (horas)],Table1[Tabela],Plano_V3!E362,Table1[Campo],Plano_V3!F362)</f>
        <v>0.6</v>
      </c>
      <c r="J362" s="180">
        <f t="shared" si="307"/>
        <v>7.4999999999999997E-2</v>
      </c>
      <c r="K362" s="180">
        <f>SUMIFS(Table1[Horas efetivas],Table1[Tabela],Plano_V3!E362,Table1[Campo],Plano_V3!F362)</f>
        <v>0.6</v>
      </c>
      <c r="L362" s="180">
        <f t="shared" si="308"/>
        <v>7.4999999999999997E-2</v>
      </c>
      <c r="M362" s="174"/>
      <c r="N362" s="174">
        <f t="shared" si="309"/>
        <v>1</v>
      </c>
      <c r="O362" s="174">
        <f t="shared" si="310"/>
        <v>1</v>
      </c>
      <c r="P362" s="89" t="s">
        <v>39</v>
      </c>
      <c r="Q362" s="90">
        <f t="shared" si="312"/>
        <v>7.4999999999999997E-2</v>
      </c>
      <c r="R362" s="78"/>
      <c r="S362" s="78"/>
      <c r="T362" s="78"/>
      <c r="U362" s="78"/>
      <c r="V362" s="78"/>
      <c r="W362" s="78"/>
      <c r="X362" s="78"/>
      <c r="Y362" s="78"/>
      <c r="Z362" s="78"/>
      <c r="AA362" s="78"/>
      <c r="AB362" s="78"/>
      <c r="AC362" s="78"/>
      <c r="AD362" s="78"/>
      <c r="AE362" s="78"/>
      <c r="AF362" s="78"/>
      <c r="AG362" s="78"/>
      <c r="AH362" s="78"/>
      <c r="AI362" s="78"/>
      <c r="AJ362" s="78"/>
      <c r="AK362" s="78"/>
      <c r="AL362" s="78"/>
      <c r="AM362" s="78"/>
      <c r="AN362" s="78"/>
      <c r="AO362" s="78"/>
      <c r="AP362" s="78"/>
      <c r="AQ362" s="78"/>
      <c r="AR362" s="78"/>
      <c r="AS362" s="78"/>
      <c r="AT362" s="78"/>
      <c r="AU362" s="78"/>
      <c r="AV362" s="78"/>
      <c r="AW362" s="78"/>
      <c r="AX362" s="78"/>
      <c r="AY362" s="91"/>
      <c r="AZ362" s="78"/>
      <c r="BA362" s="78"/>
      <c r="BB362" s="78"/>
      <c r="BC362" s="78"/>
      <c r="BD362" s="78"/>
      <c r="BE362" s="78"/>
      <c r="BF362" s="78"/>
      <c r="BG362" s="78"/>
      <c r="BH362" s="78"/>
      <c r="BI362" s="78"/>
      <c r="BJ362" s="78"/>
      <c r="BK362" s="78"/>
      <c r="BL362" s="78"/>
      <c r="BM362" s="78"/>
      <c r="BN362" s="78"/>
      <c r="BO362" s="78"/>
      <c r="BP362" s="78"/>
      <c r="BQ362" s="78"/>
      <c r="BR362" s="78"/>
      <c r="BS362" s="78"/>
      <c r="BT362" s="78"/>
      <c r="BU362" s="78"/>
      <c r="BV362" s="78"/>
      <c r="BW362" s="78"/>
      <c r="BX362" s="78"/>
      <c r="BY362" s="78"/>
      <c r="BZ362" s="78"/>
      <c r="CA362" s="78"/>
      <c r="CB362" s="78"/>
      <c r="CC362" s="78"/>
      <c r="CD362" s="78"/>
      <c r="CE362" s="78"/>
      <c r="CF362" s="78"/>
      <c r="CG362" s="78"/>
      <c r="CH362" s="78"/>
      <c r="CI362" s="78"/>
      <c r="CJ362" s="78"/>
      <c r="CK362" s="78"/>
      <c r="CL362" s="78"/>
      <c r="CM362" s="78"/>
      <c r="CN362" s="78"/>
      <c r="CO362" s="78"/>
      <c r="CP362" s="78"/>
      <c r="CQ362" s="78"/>
      <c r="CR362" s="78"/>
      <c r="CS362" s="78"/>
      <c r="CT362" s="78"/>
      <c r="CU362" s="78"/>
      <c r="CV362" s="78"/>
      <c r="CW362" s="78"/>
      <c r="CX362" s="78"/>
      <c r="CY362" s="78"/>
      <c r="CZ362" s="78"/>
      <c r="DA362" s="78"/>
      <c r="DB362" s="78"/>
      <c r="DC362" s="78"/>
      <c r="DD362" s="78"/>
      <c r="DE362" s="78"/>
      <c r="DF362" s="78"/>
      <c r="DG362" s="78"/>
      <c r="DH362" s="78"/>
      <c r="DI362" s="78"/>
      <c r="DJ362" s="78"/>
      <c r="DK362" s="78"/>
      <c r="DL362" s="78"/>
      <c r="DM362" s="78"/>
      <c r="DN362" s="78"/>
      <c r="DO362" s="78"/>
      <c r="DP362" s="78"/>
      <c r="DQ362" s="78"/>
      <c r="DR362" s="78"/>
      <c r="DS362" s="78"/>
      <c r="DT362" s="78"/>
      <c r="DU362" s="78"/>
      <c r="DV362" s="78"/>
      <c r="DW362" s="78"/>
      <c r="DX362" s="78"/>
      <c r="DY362" s="78"/>
      <c r="DZ362" s="78"/>
      <c r="EA362" s="78"/>
      <c r="EB362" s="78"/>
      <c r="EC362" s="78"/>
      <c r="ED362" s="78"/>
      <c r="EE362" s="78"/>
      <c r="EF362" s="78"/>
      <c r="EG362" s="78"/>
      <c r="EH362" s="78"/>
      <c r="EI362" s="78"/>
      <c r="EJ362" s="78"/>
      <c r="EK362" s="78"/>
      <c r="EL362" s="78"/>
      <c r="EM362" s="78"/>
      <c r="EN362" s="91"/>
      <c r="EO362" s="91"/>
      <c r="EP362" s="91"/>
      <c r="EQ362" s="91"/>
      <c r="ER362" s="91"/>
      <c r="ES362" s="91"/>
    </row>
    <row r="363" spans="1:149" outlineLevel="1">
      <c r="A363" s="29" t="str">
        <f t="shared" si="311"/>
        <v>modesg_inp_nfrd_alinhamento_taxwtr_trnvr_ttl_elgbl</v>
      </c>
      <c r="B363" s="67" t="s">
        <v>26</v>
      </c>
      <c r="C363" s="68" t="s">
        <v>181</v>
      </c>
      <c r="D363" s="64" t="s">
        <v>40</v>
      </c>
      <c r="E363" s="66" t="s">
        <v>215</v>
      </c>
      <c r="F363" s="64" t="s">
        <v>267</v>
      </c>
      <c r="G363" s="64" t="str">
        <f>INDEX(Auxiliar!$B$16:$B$24,MATCH(Plano_V3!H363,Auxiliar!$C$16:$C$24,0),1)</f>
        <v>1. Concluído</v>
      </c>
      <c r="H363" s="64">
        <f>VLOOKUP(A363,'Aux - pivots1'!$A:$B,2,0)</f>
        <v>1</v>
      </c>
      <c r="I363" s="180">
        <f>SUMIFS(Table1[Estimação (horas)],Table1[Tabela],Plano_V3!E363,Table1[Campo],Plano_V3!F363)</f>
        <v>0.6</v>
      </c>
      <c r="J363" s="180">
        <f t="shared" si="307"/>
        <v>7.4999999999999997E-2</v>
      </c>
      <c r="K363" s="180">
        <f>SUMIFS(Table1[Horas efetivas],Table1[Tabela],Plano_V3!E363,Table1[Campo],Plano_V3!F363)</f>
        <v>0.6</v>
      </c>
      <c r="L363" s="180">
        <f t="shared" si="308"/>
        <v>7.4999999999999997E-2</v>
      </c>
      <c r="M363" s="174"/>
      <c r="N363" s="174">
        <f t="shared" si="309"/>
        <v>1</v>
      </c>
      <c r="O363" s="174">
        <f t="shared" si="310"/>
        <v>1</v>
      </c>
      <c r="P363" s="89" t="s">
        <v>39</v>
      </c>
      <c r="Q363" s="90">
        <f t="shared" si="312"/>
        <v>7.4999999999999997E-2</v>
      </c>
      <c r="R363" s="78"/>
      <c r="S363" s="78"/>
      <c r="T363" s="78"/>
      <c r="U363" s="78"/>
      <c r="V363" s="78"/>
      <c r="W363" s="78"/>
      <c r="X363" s="78"/>
      <c r="Y363" s="78"/>
      <c r="Z363" s="78"/>
      <c r="AA363" s="78"/>
      <c r="AB363" s="78"/>
      <c r="AC363" s="78"/>
      <c r="AD363" s="78"/>
      <c r="AE363" s="78"/>
      <c r="AF363" s="78"/>
      <c r="AG363" s="78"/>
      <c r="AH363" s="78"/>
      <c r="AI363" s="78"/>
      <c r="AJ363" s="78"/>
      <c r="AK363" s="78"/>
      <c r="AL363" s="78"/>
      <c r="AM363" s="78"/>
      <c r="AN363" s="78"/>
      <c r="AO363" s="78"/>
      <c r="AP363" s="78"/>
      <c r="AQ363" s="78"/>
      <c r="AR363" s="78"/>
      <c r="AS363" s="78"/>
      <c r="AT363" s="78"/>
      <c r="AU363" s="78"/>
      <c r="AV363" s="78"/>
      <c r="AW363" s="78"/>
      <c r="AX363" s="78"/>
      <c r="AY363" s="91"/>
      <c r="AZ363" s="78"/>
      <c r="BA363" s="78"/>
      <c r="BB363" s="78"/>
      <c r="BC363" s="78"/>
      <c r="BD363" s="78"/>
      <c r="BE363" s="78"/>
      <c r="BF363" s="78"/>
      <c r="BG363" s="78"/>
      <c r="BH363" s="78"/>
      <c r="BI363" s="78"/>
      <c r="BJ363" s="78"/>
      <c r="BK363" s="78"/>
      <c r="BL363" s="78"/>
      <c r="BM363" s="78"/>
      <c r="BN363" s="78"/>
      <c r="BO363" s="78"/>
      <c r="BP363" s="78"/>
      <c r="BQ363" s="78"/>
      <c r="BR363" s="78"/>
      <c r="BS363" s="78"/>
      <c r="BT363" s="78"/>
      <c r="BU363" s="78"/>
      <c r="BV363" s="78"/>
      <c r="BW363" s="78"/>
      <c r="BX363" s="78"/>
      <c r="BY363" s="78"/>
      <c r="BZ363" s="78"/>
      <c r="CA363" s="78"/>
      <c r="CB363" s="78"/>
      <c r="CC363" s="78"/>
      <c r="CD363" s="78"/>
      <c r="CE363" s="78"/>
      <c r="CF363" s="78"/>
      <c r="CG363" s="78"/>
      <c r="CH363" s="78"/>
      <c r="CI363" s="78"/>
      <c r="CJ363" s="78"/>
      <c r="CK363" s="78"/>
      <c r="CL363" s="78"/>
      <c r="CM363" s="78"/>
      <c r="CN363" s="78"/>
      <c r="CO363" s="78"/>
      <c r="CP363" s="78"/>
      <c r="CQ363" s="78"/>
      <c r="CR363" s="78"/>
      <c r="CS363" s="78"/>
      <c r="CT363" s="78"/>
      <c r="CU363" s="78"/>
      <c r="CV363" s="78"/>
      <c r="CW363" s="78"/>
      <c r="CX363" s="78"/>
      <c r="CY363" s="78"/>
      <c r="CZ363" s="78"/>
      <c r="DA363" s="78"/>
      <c r="DB363" s="78"/>
      <c r="DC363" s="78"/>
      <c r="DD363" s="78"/>
      <c r="DE363" s="78"/>
      <c r="DF363" s="78"/>
      <c r="DG363" s="78"/>
      <c r="DH363" s="78"/>
      <c r="DI363" s="78"/>
      <c r="DJ363" s="78"/>
      <c r="DK363" s="78"/>
      <c r="DL363" s="78"/>
      <c r="DM363" s="78"/>
      <c r="DN363" s="78"/>
      <c r="DO363" s="78"/>
      <c r="DP363" s="78"/>
      <c r="DQ363" s="78"/>
      <c r="DR363" s="78"/>
      <c r="DS363" s="78"/>
      <c r="DT363" s="78"/>
      <c r="DU363" s="78"/>
      <c r="DV363" s="78"/>
      <c r="DW363" s="78"/>
      <c r="DX363" s="78"/>
      <c r="DY363" s="78"/>
      <c r="DZ363" s="78"/>
      <c r="EA363" s="78"/>
      <c r="EB363" s="78"/>
      <c r="EC363" s="78"/>
      <c r="ED363" s="78"/>
      <c r="EE363" s="78"/>
      <c r="EF363" s="78"/>
      <c r="EG363" s="78"/>
      <c r="EH363" s="78"/>
      <c r="EI363" s="78"/>
      <c r="EJ363" s="78"/>
      <c r="EK363" s="78"/>
      <c r="EL363" s="78"/>
      <c r="EM363" s="78"/>
      <c r="EN363" s="91"/>
      <c r="EO363" s="91"/>
      <c r="EP363" s="91"/>
      <c r="EQ363" s="91"/>
      <c r="ER363" s="91"/>
      <c r="ES363" s="91"/>
    </row>
    <row r="364" spans="1:149" outlineLevel="1">
      <c r="A364" s="29" t="str">
        <f t="shared" si="311"/>
        <v>modesg_inp_nfrd_alinhamento_taxwtr_trnvr_enblng_alignd</v>
      </c>
      <c r="B364" s="67" t="s">
        <v>26</v>
      </c>
      <c r="C364" s="68" t="s">
        <v>181</v>
      </c>
      <c r="D364" s="64" t="s">
        <v>40</v>
      </c>
      <c r="E364" s="66" t="s">
        <v>215</v>
      </c>
      <c r="F364" s="64" t="s">
        <v>268</v>
      </c>
      <c r="G364" s="64" t="str">
        <f>INDEX(Auxiliar!$B$16:$B$24,MATCH(Plano_V3!H364,Auxiliar!$C$16:$C$24,0),1)</f>
        <v>1. Concluído</v>
      </c>
      <c r="H364" s="64">
        <f>VLOOKUP(A364,'Aux - pivots1'!$A:$B,2,0)</f>
        <v>1</v>
      </c>
      <c r="I364" s="180">
        <f>SUMIFS(Table1[Estimação (horas)],Table1[Tabela],Plano_V3!E364,Table1[Campo],Plano_V3!F364)</f>
        <v>0.6</v>
      </c>
      <c r="J364" s="180">
        <f t="shared" si="307"/>
        <v>7.4999999999999997E-2</v>
      </c>
      <c r="K364" s="180">
        <f>SUMIFS(Table1[Horas efetivas],Table1[Tabela],Plano_V3!E364,Table1[Campo],Plano_V3!F364)</f>
        <v>0.6</v>
      </c>
      <c r="L364" s="180">
        <f t="shared" si="308"/>
        <v>7.4999999999999997E-2</v>
      </c>
      <c r="M364" s="174"/>
      <c r="N364" s="174">
        <f t="shared" si="309"/>
        <v>1</v>
      </c>
      <c r="O364" s="174">
        <f t="shared" si="310"/>
        <v>1</v>
      </c>
      <c r="P364" s="89" t="s">
        <v>39</v>
      </c>
      <c r="Q364" s="90">
        <f t="shared" si="312"/>
        <v>7.4999999999999997E-2</v>
      </c>
      <c r="R364" s="78"/>
      <c r="S364" s="78"/>
      <c r="T364" s="78"/>
      <c r="U364" s="78"/>
      <c r="V364" s="78"/>
      <c r="W364" s="78"/>
      <c r="X364" s="78"/>
      <c r="Y364" s="78"/>
      <c r="Z364" s="78"/>
      <c r="AA364" s="78"/>
      <c r="AB364" s="78"/>
      <c r="AC364" s="78"/>
      <c r="AD364" s="78"/>
      <c r="AE364" s="78"/>
      <c r="AF364" s="78"/>
      <c r="AG364" s="78"/>
      <c r="AH364" s="78"/>
      <c r="AI364" s="78"/>
      <c r="AJ364" s="78"/>
      <c r="AK364" s="78"/>
      <c r="AL364" s="78"/>
      <c r="AM364" s="78"/>
      <c r="AN364" s="78"/>
      <c r="AO364" s="78"/>
      <c r="AP364" s="78"/>
      <c r="AQ364" s="78"/>
      <c r="AR364" s="78"/>
      <c r="AS364" s="78"/>
      <c r="AT364" s="78"/>
      <c r="AU364" s="78"/>
      <c r="AV364" s="78"/>
      <c r="AW364" s="78"/>
      <c r="AX364" s="78"/>
      <c r="AY364" s="91"/>
      <c r="AZ364" s="78"/>
      <c r="BA364" s="78"/>
      <c r="BB364" s="78"/>
      <c r="BC364" s="78"/>
      <c r="BD364" s="78"/>
      <c r="BE364" s="78"/>
      <c r="BF364" s="78"/>
      <c r="BG364" s="78"/>
      <c r="BH364" s="78"/>
      <c r="BI364" s="78"/>
      <c r="BJ364" s="78"/>
      <c r="BK364" s="78"/>
      <c r="BL364" s="78"/>
      <c r="BM364" s="78"/>
      <c r="BN364" s="78"/>
      <c r="BO364" s="78"/>
      <c r="BP364" s="78"/>
      <c r="BQ364" s="78"/>
      <c r="BR364" s="78"/>
      <c r="BS364" s="78"/>
      <c r="BT364" s="78"/>
      <c r="BU364" s="78"/>
      <c r="BV364" s="78"/>
      <c r="BW364" s="78"/>
      <c r="BX364" s="78"/>
      <c r="BY364" s="78"/>
      <c r="BZ364" s="78"/>
      <c r="CA364" s="78"/>
      <c r="CB364" s="78"/>
      <c r="CC364" s="78"/>
      <c r="CD364" s="78"/>
      <c r="CE364" s="78"/>
      <c r="CF364" s="78"/>
      <c r="CG364" s="78"/>
      <c r="CH364" s="78"/>
      <c r="CI364" s="78"/>
      <c r="CJ364" s="78"/>
      <c r="CK364" s="78"/>
      <c r="CL364" s="78"/>
      <c r="CM364" s="78"/>
      <c r="CN364" s="78"/>
      <c r="CO364" s="78"/>
      <c r="CP364" s="78"/>
      <c r="CQ364" s="78"/>
      <c r="CR364" s="78"/>
      <c r="CS364" s="78"/>
      <c r="CT364" s="78"/>
      <c r="CU364" s="78"/>
      <c r="CV364" s="78"/>
      <c r="CW364" s="78"/>
      <c r="CX364" s="78"/>
      <c r="CY364" s="78"/>
      <c r="CZ364" s="78"/>
      <c r="DA364" s="78"/>
      <c r="DB364" s="78"/>
      <c r="DC364" s="78"/>
      <c r="DD364" s="78"/>
      <c r="DE364" s="78"/>
      <c r="DF364" s="78"/>
      <c r="DG364" s="78"/>
      <c r="DH364" s="78"/>
      <c r="DI364" s="78"/>
      <c r="DJ364" s="78"/>
      <c r="DK364" s="78"/>
      <c r="DL364" s="78"/>
      <c r="DM364" s="78"/>
      <c r="DN364" s="78"/>
      <c r="DO364" s="78"/>
      <c r="DP364" s="78"/>
      <c r="DQ364" s="78"/>
      <c r="DR364" s="78"/>
      <c r="DS364" s="78"/>
      <c r="DT364" s="78"/>
      <c r="DU364" s="78"/>
      <c r="DV364" s="78"/>
      <c r="DW364" s="78"/>
      <c r="DX364" s="78"/>
      <c r="DY364" s="78"/>
      <c r="DZ364" s="78"/>
      <c r="EA364" s="78"/>
      <c r="EB364" s="78"/>
      <c r="EC364" s="78"/>
      <c r="ED364" s="78"/>
      <c r="EE364" s="78"/>
      <c r="EF364" s="78"/>
      <c r="EG364" s="78"/>
      <c r="EH364" s="78"/>
      <c r="EI364" s="78"/>
      <c r="EJ364" s="78"/>
      <c r="EK364" s="78"/>
      <c r="EL364" s="78"/>
      <c r="EM364" s="78"/>
      <c r="EN364" s="91"/>
      <c r="EO364" s="91"/>
      <c r="EP364" s="91"/>
      <c r="EQ364" s="91"/>
      <c r="ER364" s="91"/>
      <c r="ES364" s="91"/>
    </row>
    <row r="365" spans="1:149" outlineLevel="1">
      <c r="A365" s="29" t="str">
        <f t="shared" si="311"/>
        <v>modesg_inp_nfrd_alinhamento_taxwtr_turnover_own_prfrmnce_algnd</v>
      </c>
      <c r="B365" s="67" t="s">
        <v>26</v>
      </c>
      <c r="C365" s="68" t="s">
        <v>181</v>
      </c>
      <c r="D365" s="64" t="s">
        <v>40</v>
      </c>
      <c r="E365" s="66" t="s">
        <v>215</v>
      </c>
      <c r="F365" s="64" t="s">
        <v>269</v>
      </c>
      <c r="G365" s="64" t="str">
        <f>INDEX(Auxiliar!$B$16:$B$24,MATCH(Plano_V3!H365,Auxiliar!$C$16:$C$24,0),1)</f>
        <v>1. Concluído</v>
      </c>
      <c r="H365" s="64">
        <f>VLOOKUP(A365,'Aux - pivots1'!$A:$B,2,0)</f>
        <v>1</v>
      </c>
      <c r="I365" s="180">
        <f>SUMIFS(Table1[Estimação (horas)],Table1[Tabela],Plano_V3!E365,Table1[Campo],Plano_V3!F365)</f>
        <v>0.6</v>
      </c>
      <c r="J365" s="180">
        <f t="shared" si="307"/>
        <v>7.4999999999999997E-2</v>
      </c>
      <c r="K365" s="180">
        <f>SUMIFS(Table1[Horas efetivas],Table1[Tabela],Plano_V3!E365,Table1[Campo],Plano_V3!F365)</f>
        <v>0.6</v>
      </c>
      <c r="L365" s="180">
        <f t="shared" si="308"/>
        <v>7.4999999999999997E-2</v>
      </c>
      <c r="M365" s="174"/>
      <c r="N365" s="174">
        <f t="shared" si="309"/>
        <v>1</v>
      </c>
      <c r="O365" s="174">
        <f t="shared" si="310"/>
        <v>1</v>
      </c>
      <c r="P365" s="89" t="s">
        <v>39</v>
      </c>
      <c r="Q365" s="90">
        <f t="shared" si="312"/>
        <v>7.4999999999999997E-2</v>
      </c>
      <c r="R365" s="78"/>
      <c r="S365" s="78"/>
      <c r="T365" s="78"/>
      <c r="U365" s="78"/>
      <c r="V365" s="78"/>
      <c r="W365" s="78"/>
      <c r="X365" s="78"/>
      <c r="Y365" s="78"/>
      <c r="Z365" s="78"/>
      <c r="AA365" s="78"/>
      <c r="AB365" s="78"/>
      <c r="AC365" s="78"/>
      <c r="AD365" s="78"/>
      <c r="AE365" s="78"/>
      <c r="AF365" s="78"/>
      <c r="AG365" s="78"/>
      <c r="AH365" s="78"/>
      <c r="AI365" s="78"/>
      <c r="AJ365" s="78"/>
      <c r="AK365" s="78"/>
      <c r="AL365" s="78"/>
      <c r="AM365" s="78"/>
      <c r="AN365" s="78"/>
      <c r="AO365" s="78"/>
      <c r="AP365" s="78"/>
      <c r="AQ365" s="78"/>
      <c r="AR365" s="78"/>
      <c r="AS365" s="78"/>
      <c r="AT365" s="78"/>
      <c r="AU365" s="78"/>
      <c r="AV365" s="78"/>
      <c r="AW365" s="78"/>
      <c r="AX365" s="78"/>
      <c r="AY365" s="91"/>
      <c r="AZ365" s="78"/>
      <c r="BA365" s="78"/>
      <c r="BB365" s="78"/>
      <c r="BC365" s="78"/>
      <c r="BD365" s="78"/>
      <c r="BE365" s="78"/>
      <c r="BF365" s="78"/>
      <c r="BG365" s="78"/>
      <c r="BH365" s="78"/>
      <c r="BI365" s="78"/>
      <c r="BJ365" s="78"/>
      <c r="BK365" s="78"/>
      <c r="BL365" s="78"/>
      <c r="BM365" s="78"/>
      <c r="BN365" s="78"/>
      <c r="BO365" s="78"/>
      <c r="BP365" s="78"/>
      <c r="BQ365" s="78"/>
      <c r="BR365" s="78"/>
      <c r="BS365" s="78"/>
      <c r="BT365" s="78"/>
      <c r="BU365" s="78"/>
      <c r="BV365" s="78"/>
      <c r="BW365" s="78"/>
      <c r="BX365" s="78"/>
      <c r="BY365" s="78"/>
      <c r="BZ365" s="78"/>
      <c r="CA365" s="78"/>
      <c r="CB365" s="78"/>
      <c r="CC365" s="78"/>
      <c r="CD365" s="78"/>
      <c r="CE365" s="78"/>
      <c r="CF365" s="78"/>
      <c r="CG365" s="78"/>
      <c r="CH365" s="78"/>
      <c r="CI365" s="78"/>
      <c r="CJ365" s="78"/>
      <c r="CK365" s="78"/>
      <c r="CL365" s="78"/>
      <c r="CM365" s="78"/>
      <c r="CN365" s="78"/>
      <c r="CO365" s="78"/>
      <c r="CP365" s="78"/>
      <c r="CQ365" s="78"/>
      <c r="CR365" s="78"/>
      <c r="CS365" s="78"/>
      <c r="CT365" s="78"/>
      <c r="CU365" s="78"/>
      <c r="CV365" s="78"/>
      <c r="CW365" s="78"/>
      <c r="CX365" s="78"/>
      <c r="CY365" s="78"/>
      <c r="CZ365" s="78"/>
      <c r="DA365" s="78"/>
      <c r="DB365" s="78"/>
      <c r="DC365" s="78"/>
      <c r="DD365" s="78"/>
      <c r="DE365" s="78"/>
      <c r="DF365" s="78"/>
      <c r="DG365" s="78"/>
      <c r="DH365" s="78"/>
      <c r="DI365" s="78"/>
      <c r="DJ365" s="78"/>
      <c r="DK365" s="78"/>
      <c r="DL365" s="78"/>
      <c r="DM365" s="78"/>
      <c r="DN365" s="78"/>
      <c r="DO365" s="78"/>
      <c r="DP365" s="78"/>
      <c r="DQ365" s="78"/>
      <c r="DR365" s="78"/>
      <c r="DS365" s="78"/>
      <c r="DT365" s="78"/>
      <c r="DU365" s="78"/>
      <c r="DV365" s="78"/>
      <c r="DW365" s="78"/>
      <c r="DX365" s="78"/>
      <c r="DY365" s="78"/>
      <c r="DZ365" s="78"/>
      <c r="EA365" s="78"/>
      <c r="EB365" s="78"/>
      <c r="EC365" s="78"/>
      <c r="ED365" s="78"/>
      <c r="EE365" s="78"/>
      <c r="EF365" s="78"/>
      <c r="EG365" s="78"/>
      <c r="EH365" s="78"/>
      <c r="EI365" s="78"/>
      <c r="EJ365" s="78"/>
      <c r="EK365" s="78"/>
      <c r="EL365" s="78"/>
      <c r="EM365" s="78"/>
      <c r="EN365" s="91"/>
      <c r="EO365" s="91"/>
      <c r="EP365" s="91"/>
      <c r="EQ365" s="91"/>
      <c r="ER365" s="91"/>
      <c r="ES365" s="91"/>
    </row>
    <row r="366" spans="1:149" outlineLevel="1">
      <c r="A366" s="29" t="str">
        <f t="shared" si="311"/>
        <v>modesg_inp_nfrd_alinhamento_taxwtr_capex_ttl_elgbl</v>
      </c>
      <c r="B366" s="67" t="s">
        <v>26</v>
      </c>
      <c r="C366" s="68" t="s">
        <v>181</v>
      </c>
      <c r="D366" s="64" t="s">
        <v>40</v>
      </c>
      <c r="E366" s="66" t="s">
        <v>215</v>
      </c>
      <c r="F366" s="64" t="s">
        <v>270</v>
      </c>
      <c r="G366" s="64" t="str">
        <f>INDEX(Auxiliar!$B$16:$B$24,MATCH(Plano_V3!H366,Auxiliar!$C$16:$C$24,0),1)</f>
        <v>1. Concluído</v>
      </c>
      <c r="H366" s="64">
        <f>VLOOKUP(A366,'Aux - pivots1'!$A:$B,2,0)</f>
        <v>1</v>
      </c>
      <c r="I366" s="180">
        <f>SUMIFS(Table1[Estimação (horas)],Table1[Tabela],Plano_V3!E366,Table1[Campo],Plano_V3!F366)</f>
        <v>0.6</v>
      </c>
      <c r="J366" s="180">
        <f t="shared" si="307"/>
        <v>7.4999999999999997E-2</v>
      </c>
      <c r="K366" s="180">
        <f>SUMIFS(Table1[Horas efetivas],Table1[Tabela],Plano_V3!E366,Table1[Campo],Plano_V3!F366)</f>
        <v>0.6</v>
      </c>
      <c r="L366" s="180">
        <f t="shared" si="308"/>
        <v>7.4999999999999997E-2</v>
      </c>
      <c r="M366" s="174"/>
      <c r="N366" s="174">
        <f t="shared" si="309"/>
        <v>1</v>
      </c>
      <c r="O366" s="174">
        <f t="shared" si="310"/>
        <v>1</v>
      </c>
      <c r="P366" s="89" t="s">
        <v>39</v>
      </c>
      <c r="Q366" s="90">
        <f t="shared" si="312"/>
        <v>7.4999999999999997E-2</v>
      </c>
      <c r="R366" s="78"/>
      <c r="S366" s="78"/>
      <c r="T366" s="78"/>
      <c r="U366" s="78"/>
      <c r="V366" s="78"/>
      <c r="W366" s="78"/>
      <c r="X366" s="78"/>
      <c r="Y366" s="78"/>
      <c r="Z366" s="78"/>
      <c r="AA366" s="78"/>
      <c r="AB366" s="78"/>
      <c r="AC366" s="78"/>
      <c r="AD366" s="78"/>
      <c r="AE366" s="78"/>
      <c r="AF366" s="78"/>
      <c r="AG366" s="78"/>
      <c r="AH366" s="78"/>
      <c r="AI366" s="78"/>
      <c r="AJ366" s="78"/>
      <c r="AK366" s="78"/>
      <c r="AL366" s="78"/>
      <c r="AM366" s="78"/>
      <c r="AN366" s="78"/>
      <c r="AO366" s="78"/>
      <c r="AP366" s="78"/>
      <c r="AQ366" s="78"/>
      <c r="AR366" s="78"/>
      <c r="AS366" s="78"/>
      <c r="AT366" s="78"/>
      <c r="AU366" s="78"/>
      <c r="AV366" s="78"/>
      <c r="AW366" s="78"/>
      <c r="AX366" s="78"/>
      <c r="AY366" s="91"/>
      <c r="AZ366" s="78"/>
      <c r="BA366" s="78"/>
      <c r="BB366" s="78"/>
      <c r="BC366" s="78"/>
      <c r="BD366" s="78"/>
      <c r="BE366" s="78"/>
      <c r="BF366" s="78"/>
      <c r="BG366" s="78"/>
      <c r="BH366" s="78"/>
      <c r="BI366" s="78"/>
      <c r="BJ366" s="78"/>
      <c r="BK366" s="78"/>
      <c r="BL366" s="78"/>
      <c r="BM366" s="78"/>
      <c r="BN366" s="78"/>
      <c r="BO366" s="78"/>
      <c r="BP366" s="78"/>
      <c r="BQ366" s="78"/>
      <c r="BR366" s="78"/>
      <c r="BS366" s="78"/>
      <c r="BT366" s="78"/>
      <c r="BU366" s="78"/>
      <c r="BV366" s="78"/>
      <c r="BW366" s="78"/>
      <c r="BX366" s="78"/>
      <c r="BY366" s="78"/>
      <c r="BZ366" s="78"/>
      <c r="CA366" s="78"/>
      <c r="CB366" s="78"/>
      <c r="CC366" s="78"/>
      <c r="CD366" s="78"/>
      <c r="CE366" s="78"/>
      <c r="CF366" s="78"/>
      <c r="CG366" s="78"/>
      <c r="CH366" s="78"/>
      <c r="CI366" s="78"/>
      <c r="CJ366" s="78"/>
      <c r="CK366" s="78"/>
      <c r="CL366" s="78"/>
      <c r="CM366" s="78"/>
      <c r="CN366" s="78"/>
      <c r="CO366" s="78"/>
      <c r="CP366" s="78"/>
      <c r="CQ366" s="78"/>
      <c r="CR366" s="78"/>
      <c r="CS366" s="78"/>
      <c r="CT366" s="78"/>
      <c r="CU366" s="78"/>
      <c r="CV366" s="78"/>
      <c r="CW366" s="78"/>
      <c r="CX366" s="78"/>
      <c r="CY366" s="78"/>
      <c r="CZ366" s="78"/>
      <c r="DA366" s="78"/>
      <c r="DB366" s="78"/>
      <c r="DC366" s="78"/>
      <c r="DD366" s="78"/>
      <c r="DE366" s="78"/>
      <c r="DF366" s="78"/>
      <c r="DG366" s="78"/>
      <c r="DH366" s="78"/>
      <c r="DI366" s="78"/>
      <c r="DJ366" s="78"/>
      <c r="DK366" s="78"/>
      <c r="DL366" s="78"/>
      <c r="DM366" s="78"/>
      <c r="DN366" s="78"/>
      <c r="DO366" s="78"/>
      <c r="DP366" s="78"/>
      <c r="DQ366" s="78"/>
      <c r="DR366" s="78"/>
      <c r="DS366" s="78"/>
      <c r="DT366" s="78"/>
      <c r="DU366" s="78"/>
      <c r="DV366" s="78"/>
      <c r="DW366" s="78"/>
      <c r="DX366" s="78"/>
      <c r="DY366" s="78"/>
      <c r="DZ366" s="78"/>
      <c r="EA366" s="78"/>
      <c r="EB366" s="78"/>
      <c r="EC366" s="78"/>
      <c r="ED366" s="78"/>
      <c r="EE366" s="78"/>
      <c r="EF366" s="78"/>
      <c r="EG366" s="78"/>
      <c r="EH366" s="78"/>
      <c r="EI366" s="78"/>
      <c r="EJ366" s="78"/>
      <c r="EK366" s="78"/>
      <c r="EL366" s="78"/>
      <c r="EM366" s="78"/>
      <c r="EN366" s="91"/>
      <c r="EO366" s="91"/>
      <c r="EP366" s="91"/>
      <c r="EQ366" s="91"/>
      <c r="ER366" s="91"/>
      <c r="ES366" s="91"/>
    </row>
    <row r="367" spans="1:149" outlineLevel="1">
      <c r="A367" s="29" t="str">
        <f t="shared" si="311"/>
        <v>modesg_inp_nfrd_alinhamento_taxwtr_capex_enblng_algnd</v>
      </c>
      <c r="B367" s="67" t="s">
        <v>26</v>
      </c>
      <c r="C367" s="68" t="s">
        <v>181</v>
      </c>
      <c r="D367" s="64" t="s">
        <v>40</v>
      </c>
      <c r="E367" s="66" t="s">
        <v>215</v>
      </c>
      <c r="F367" s="64" t="s">
        <v>271</v>
      </c>
      <c r="G367" s="64" t="str">
        <f>INDEX(Auxiliar!$B$16:$B$24,MATCH(Plano_V3!H367,Auxiliar!$C$16:$C$24,0),1)</f>
        <v>1. Concluído</v>
      </c>
      <c r="H367" s="64">
        <f>VLOOKUP(A367,'Aux - pivots1'!$A:$B,2,0)</f>
        <v>1</v>
      </c>
      <c r="I367" s="180">
        <f>SUMIFS(Table1[Estimação (horas)],Table1[Tabela],Plano_V3!E367,Table1[Campo],Plano_V3!F367)</f>
        <v>0.6</v>
      </c>
      <c r="J367" s="180">
        <f t="shared" si="307"/>
        <v>7.4999999999999997E-2</v>
      </c>
      <c r="K367" s="180">
        <f>SUMIFS(Table1[Horas efetivas],Table1[Tabela],Plano_V3!E367,Table1[Campo],Plano_V3!F367)</f>
        <v>0.6</v>
      </c>
      <c r="L367" s="180">
        <f t="shared" si="308"/>
        <v>7.4999999999999997E-2</v>
      </c>
      <c r="M367" s="174"/>
      <c r="N367" s="174">
        <f t="shared" si="309"/>
        <v>1</v>
      </c>
      <c r="O367" s="174">
        <f t="shared" si="310"/>
        <v>1</v>
      </c>
      <c r="P367" s="89" t="s">
        <v>39</v>
      </c>
      <c r="Q367" s="90">
        <f t="shared" si="312"/>
        <v>7.4999999999999997E-2</v>
      </c>
      <c r="R367" s="78"/>
      <c r="S367" s="78"/>
      <c r="T367" s="78"/>
      <c r="U367" s="78"/>
      <c r="V367" s="78"/>
      <c r="W367" s="78"/>
      <c r="X367" s="78"/>
      <c r="Y367" s="78"/>
      <c r="Z367" s="78"/>
      <c r="AA367" s="78"/>
      <c r="AB367" s="78"/>
      <c r="AC367" s="78"/>
      <c r="AD367" s="78"/>
      <c r="AE367" s="78"/>
      <c r="AF367" s="78"/>
      <c r="AG367" s="78"/>
      <c r="AH367" s="78"/>
      <c r="AI367" s="78"/>
      <c r="AJ367" s="78"/>
      <c r="AK367" s="78"/>
      <c r="AL367" s="78"/>
      <c r="AM367" s="78"/>
      <c r="AN367" s="78"/>
      <c r="AO367" s="78"/>
      <c r="AP367" s="78"/>
      <c r="AQ367" s="78"/>
      <c r="AR367" s="78"/>
      <c r="AS367" s="78"/>
      <c r="AT367" s="78"/>
      <c r="AU367" s="78"/>
      <c r="AV367" s="78"/>
      <c r="AW367" s="78"/>
      <c r="AX367" s="78"/>
      <c r="AY367" s="91"/>
      <c r="AZ367" s="78"/>
      <c r="BA367" s="78"/>
      <c r="BB367" s="78"/>
      <c r="BC367" s="78"/>
      <c r="BD367" s="78"/>
      <c r="BE367" s="78"/>
      <c r="BF367" s="78"/>
      <c r="BG367" s="78"/>
      <c r="BH367" s="78"/>
      <c r="BI367" s="78"/>
      <c r="BJ367" s="78"/>
      <c r="BK367" s="78"/>
      <c r="BL367" s="78"/>
      <c r="BM367" s="78"/>
      <c r="BN367" s="78"/>
      <c r="BO367" s="78"/>
      <c r="BP367" s="78"/>
      <c r="BQ367" s="78"/>
      <c r="BR367" s="78"/>
      <c r="BS367" s="78"/>
      <c r="BT367" s="78"/>
      <c r="BU367" s="78"/>
      <c r="BV367" s="78"/>
      <c r="BW367" s="78"/>
      <c r="BX367" s="78"/>
      <c r="BY367" s="78"/>
      <c r="BZ367" s="78"/>
      <c r="CA367" s="78"/>
      <c r="CB367" s="78"/>
      <c r="CC367" s="78"/>
      <c r="CD367" s="78"/>
      <c r="CE367" s="78"/>
      <c r="CF367" s="78"/>
      <c r="CG367" s="78"/>
      <c r="CH367" s="78"/>
      <c r="CI367" s="78"/>
      <c r="CJ367" s="78"/>
      <c r="CK367" s="78"/>
      <c r="CL367" s="78"/>
      <c r="CM367" s="78"/>
      <c r="CN367" s="78"/>
      <c r="CO367" s="78"/>
      <c r="CP367" s="78"/>
      <c r="CQ367" s="78"/>
      <c r="CR367" s="78"/>
      <c r="CS367" s="78"/>
      <c r="CT367" s="78"/>
      <c r="CU367" s="78"/>
      <c r="CV367" s="78"/>
      <c r="CW367" s="78"/>
      <c r="CX367" s="78"/>
      <c r="CY367" s="78"/>
      <c r="CZ367" s="78"/>
      <c r="DA367" s="78"/>
      <c r="DB367" s="78"/>
      <c r="DC367" s="78"/>
      <c r="DD367" s="78"/>
      <c r="DE367" s="78"/>
      <c r="DF367" s="78"/>
      <c r="DG367" s="78"/>
      <c r="DH367" s="78"/>
      <c r="DI367" s="78"/>
      <c r="DJ367" s="78"/>
      <c r="DK367" s="78"/>
      <c r="DL367" s="78"/>
      <c r="DM367" s="78"/>
      <c r="DN367" s="78"/>
      <c r="DO367" s="78"/>
      <c r="DP367" s="78"/>
      <c r="DQ367" s="78"/>
      <c r="DR367" s="78"/>
      <c r="DS367" s="78"/>
      <c r="DT367" s="78"/>
      <c r="DU367" s="78"/>
      <c r="DV367" s="78"/>
      <c r="DW367" s="78"/>
      <c r="DX367" s="78"/>
      <c r="DY367" s="78"/>
      <c r="DZ367" s="78"/>
      <c r="EA367" s="78"/>
      <c r="EB367" s="78"/>
      <c r="EC367" s="78"/>
      <c r="ED367" s="78"/>
      <c r="EE367" s="78"/>
      <c r="EF367" s="78"/>
      <c r="EG367" s="78"/>
      <c r="EH367" s="78"/>
      <c r="EI367" s="78"/>
      <c r="EJ367" s="78"/>
      <c r="EK367" s="78"/>
      <c r="EL367" s="78"/>
      <c r="EM367" s="78"/>
      <c r="EN367" s="91"/>
      <c r="EO367" s="91"/>
      <c r="EP367" s="91"/>
      <c r="EQ367" s="91"/>
      <c r="ER367" s="91"/>
      <c r="ES367" s="91"/>
    </row>
    <row r="368" spans="1:149" outlineLevel="1">
      <c r="A368" s="29" t="str">
        <f t="shared" si="311"/>
        <v>modesg_inp_nfrd_alinhamento_taxwtr_capex_own_prfrmnce_algnd</v>
      </c>
      <c r="B368" s="67" t="s">
        <v>26</v>
      </c>
      <c r="C368" s="68" t="s">
        <v>181</v>
      </c>
      <c r="D368" s="64" t="s">
        <v>40</v>
      </c>
      <c r="E368" s="66" t="s">
        <v>215</v>
      </c>
      <c r="F368" s="64" t="s">
        <v>272</v>
      </c>
      <c r="G368" s="64" t="str">
        <f>INDEX(Auxiliar!$B$16:$B$24,MATCH(Plano_V3!H368,Auxiliar!$C$16:$C$24,0),1)</f>
        <v>1. Concluído</v>
      </c>
      <c r="H368" s="64">
        <f>VLOOKUP(A368,'Aux - pivots1'!$A:$B,2,0)</f>
        <v>1</v>
      </c>
      <c r="I368" s="180">
        <f>SUMIFS(Table1[Estimação (horas)],Table1[Tabela],Plano_V3!E368,Table1[Campo],Plano_V3!F368)</f>
        <v>0.6</v>
      </c>
      <c r="J368" s="180">
        <f t="shared" si="307"/>
        <v>7.4999999999999997E-2</v>
      </c>
      <c r="K368" s="180">
        <f>SUMIFS(Table1[Horas efetivas],Table1[Tabela],Plano_V3!E368,Table1[Campo],Plano_V3!F368)</f>
        <v>0.6</v>
      </c>
      <c r="L368" s="180">
        <f t="shared" si="308"/>
        <v>7.4999999999999997E-2</v>
      </c>
      <c r="M368" s="174"/>
      <c r="N368" s="174">
        <f t="shared" si="309"/>
        <v>1</v>
      </c>
      <c r="O368" s="174">
        <f t="shared" si="310"/>
        <v>1</v>
      </c>
      <c r="P368" s="89" t="s">
        <v>39</v>
      </c>
      <c r="Q368" s="90">
        <f t="shared" si="312"/>
        <v>7.4999999999999997E-2</v>
      </c>
      <c r="R368" s="78"/>
      <c r="S368" s="78"/>
      <c r="T368" s="78"/>
      <c r="U368" s="78"/>
      <c r="V368" s="78"/>
      <c r="W368" s="78"/>
      <c r="X368" s="78"/>
      <c r="Y368" s="78"/>
      <c r="Z368" s="78"/>
      <c r="AA368" s="78"/>
      <c r="AB368" s="78"/>
      <c r="AC368" s="78"/>
      <c r="AD368" s="78"/>
      <c r="AE368" s="78"/>
      <c r="AF368" s="78"/>
      <c r="AG368" s="78"/>
      <c r="AH368" s="78"/>
      <c r="AI368" s="78"/>
      <c r="AJ368" s="78"/>
      <c r="AK368" s="78"/>
      <c r="AL368" s="78"/>
      <c r="AM368" s="78"/>
      <c r="AN368" s="78"/>
      <c r="AO368" s="78"/>
      <c r="AP368" s="78"/>
      <c r="AQ368" s="78"/>
      <c r="AR368" s="78"/>
      <c r="AS368" s="78"/>
      <c r="AT368" s="78"/>
      <c r="AU368" s="78"/>
      <c r="AV368" s="78"/>
      <c r="AW368" s="78"/>
      <c r="AX368" s="78"/>
      <c r="AY368" s="91"/>
      <c r="AZ368" s="78"/>
      <c r="BA368" s="78"/>
      <c r="BB368" s="78"/>
      <c r="BC368" s="78"/>
      <c r="BD368" s="78"/>
      <c r="BE368" s="78"/>
      <c r="BF368" s="78"/>
      <c r="BG368" s="78"/>
      <c r="BH368" s="78"/>
      <c r="BI368" s="78"/>
      <c r="BJ368" s="78"/>
      <c r="BK368" s="78"/>
      <c r="BL368" s="78"/>
      <c r="BM368" s="78"/>
      <c r="BN368" s="78"/>
      <c r="BO368" s="78"/>
      <c r="BP368" s="78"/>
      <c r="BQ368" s="78"/>
      <c r="BR368" s="78"/>
      <c r="BS368" s="78"/>
      <c r="BT368" s="78"/>
      <c r="BU368" s="78"/>
      <c r="BV368" s="78"/>
      <c r="BW368" s="78"/>
      <c r="BX368" s="78"/>
      <c r="BY368" s="78"/>
      <c r="BZ368" s="78"/>
      <c r="CA368" s="78"/>
      <c r="CB368" s="78"/>
      <c r="CC368" s="78"/>
      <c r="CD368" s="78"/>
      <c r="CE368" s="78"/>
      <c r="CF368" s="78"/>
      <c r="CG368" s="78"/>
      <c r="CH368" s="78"/>
      <c r="CI368" s="78"/>
      <c r="CJ368" s="78"/>
      <c r="CK368" s="78"/>
      <c r="CL368" s="78"/>
      <c r="CM368" s="78"/>
      <c r="CN368" s="78"/>
      <c r="CO368" s="78"/>
      <c r="CP368" s="78"/>
      <c r="CQ368" s="78"/>
      <c r="CR368" s="78"/>
      <c r="CS368" s="78"/>
      <c r="CT368" s="78"/>
      <c r="CU368" s="78"/>
      <c r="CV368" s="78"/>
      <c r="CW368" s="78"/>
      <c r="CX368" s="78"/>
      <c r="CY368" s="78"/>
      <c r="CZ368" s="78"/>
      <c r="DA368" s="78"/>
      <c r="DB368" s="78"/>
      <c r="DC368" s="78"/>
      <c r="DD368" s="78"/>
      <c r="DE368" s="78"/>
      <c r="DF368" s="78"/>
      <c r="DG368" s="78"/>
      <c r="DH368" s="78"/>
      <c r="DI368" s="78"/>
      <c r="DJ368" s="78"/>
      <c r="DK368" s="78"/>
      <c r="DL368" s="78"/>
      <c r="DM368" s="78"/>
      <c r="DN368" s="78"/>
      <c r="DO368" s="78"/>
      <c r="DP368" s="78"/>
      <c r="DQ368" s="78"/>
      <c r="DR368" s="78"/>
      <c r="DS368" s="78"/>
      <c r="DT368" s="78"/>
      <c r="DU368" s="78"/>
      <c r="DV368" s="78"/>
      <c r="DW368" s="78"/>
      <c r="DX368" s="78"/>
      <c r="DY368" s="78"/>
      <c r="DZ368" s="78"/>
      <c r="EA368" s="78"/>
      <c r="EB368" s="78"/>
      <c r="EC368" s="78"/>
      <c r="ED368" s="78"/>
      <c r="EE368" s="78"/>
      <c r="EF368" s="78"/>
      <c r="EG368" s="78"/>
      <c r="EH368" s="78"/>
      <c r="EI368" s="78"/>
      <c r="EJ368" s="78"/>
      <c r="EK368" s="78"/>
      <c r="EL368" s="78"/>
      <c r="EM368" s="78"/>
      <c r="EN368" s="91"/>
      <c r="EO368" s="91"/>
      <c r="EP368" s="91"/>
      <c r="EQ368" s="91"/>
      <c r="ER368" s="91"/>
      <c r="ES368" s="91"/>
    </row>
    <row r="369" spans="1:149" outlineLevel="1">
      <c r="A369" s="29" t="str">
        <f t="shared" si="311"/>
        <v>modesg_inp_nfrd_alinhamento_taxce_trnvr_ttl_elgbl</v>
      </c>
      <c r="B369" s="67" t="s">
        <v>26</v>
      </c>
      <c r="C369" s="68" t="s">
        <v>181</v>
      </c>
      <c r="D369" s="64" t="s">
        <v>40</v>
      </c>
      <c r="E369" s="66" t="s">
        <v>215</v>
      </c>
      <c r="F369" s="64" t="s">
        <v>273</v>
      </c>
      <c r="G369" s="64" t="str">
        <f>INDEX(Auxiliar!$B$16:$B$24,MATCH(Plano_V3!H369,Auxiliar!$C$16:$C$24,0),1)</f>
        <v>1. Concluído</v>
      </c>
      <c r="H369" s="64">
        <f>VLOOKUP(A369,'Aux - pivots1'!$A:$B,2,0)</f>
        <v>1</v>
      </c>
      <c r="I369" s="180">
        <f>SUMIFS(Table1[Estimação (horas)],Table1[Tabela],Plano_V3!E369,Table1[Campo],Plano_V3!F369)</f>
        <v>0.6</v>
      </c>
      <c r="J369" s="180">
        <f t="shared" si="307"/>
        <v>7.4999999999999997E-2</v>
      </c>
      <c r="K369" s="180">
        <f>SUMIFS(Table1[Horas efetivas],Table1[Tabela],Plano_V3!E369,Table1[Campo],Plano_V3!F369)</f>
        <v>0.6</v>
      </c>
      <c r="L369" s="180">
        <f t="shared" si="308"/>
        <v>7.4999999999999997E-2</v>
      </c>
      <c r="M369" s="174"/>
      <c r="N369" s="174">
        <f t="shared" si="309"/>
        <v>1</v>
      </c>
      <c r="O369" s="174">
        <f t="shared" si="310"/>
        <v>1</v>
      </c>
      <c r="P369" s="89" t="s">
        <v>39</v>
      </c>
      <c r="Q369" s="90">
        <f t="shared" si="312"/>
        <v>7.4999999999999997E-2</v>
      </c>
      <c r="R369" s="78"/>
      <c r="S369" s="78"/>
      <c r="T369" s="78"/>
      <c r="U369" s="78"/>
      <c r="V369" s="78"/>
      <c r="W369" s="78"/>
      <c r="X369" s="78"/>
      <c r="Y369" s="78"/>
      <c r="Z369" s="78"/>
      <c r="AA369" s="78"/>
      <c r="AB369" s="78"/>
      <c r="AC369" s="78"/>
      <c r="AD369" s="78"/>
      <c r="AE369" s="78"/>
      <c r="AF369" s="78"/>
      <c r="AG369" s="78"/>
      <c r="AH369" s="78"/>
      <c r="AI369" s="78"/>
      <c r="AJ369" s="78"/>
      <c r="AK369" s="78"/>
      <c r="AL369" s="78"/>
      <c r="AM369" s="78"/>
      <c r="AN369" s="78"/>
      <c r="AO369" s="78"/>
      <c r="AP369" s="78"/>
      <c r="AQ369" s="78"/>
      <c r="AR369" s="78"/>
      <c r="AS369" s="78"/>
      <c r="AT369" s="78"/>
      <c r="AU369" s="78"/>
      <c r="AV369" s="78"/>
      <c r="AW369" s="78"/>
      <c r="AX369" s="78"/>
      <c r="AY369" s="91"/>
      <c r="AZ369" s="78"/>
      <c r="BA369" s="78"/>
      <c r="BB369" s="78"/>
      <c r="BC369" s="78"/>
      <c r="BD369" s="78"/>
      <c r="BE369" s="78"/>
      <c r="BF369" s="78"/>
      <c r="BG369" s="78"/>
      <c r="BH369" s="78"/>
      <c r="BI369" s="78"/>
      <c r="BJ369" s="78"/>
      <c r="BK369" s="78"/>
      <c r="BL369" s="78"/>
      <c r="BM369" s="78"/>
      <c r="BN369" s="78"/>
      <c r="BO369" s="78"/>
      <c r="BP369" s="78"/>
      <c r="BQ369" s="78"/>
      <c r="BR369" s="78"/>
      <c r="BS369" s="78"/>
      <c r="BT369" s="78"/>
      <c r="BU369" s="78"/>
      <c r="BV369" s="78"/>
      <c r="BW369" s="78"/>
      <c r="BX369" s="78"/>
      <c r="BY369" s="78"/>
      <c r="BZ369" s="78"/>
      <c r="CA369" s="78"/>
      <c r="CB369" s="78"/>
      <c r="CC369" s="78"/>
      <c r="CD369" s="78"/>
      <c r="CE369" s="78"/>
      <c r="CF369" s="78"/>
      <c r="CG369" s="78"/>
      <c r="CH369" s="78"/>
      <c r="CI369" s="78"/>
      <c r="CJ369" s="78"/>
      <c r="CK369" s="78"/>
      <c r="CL369" s="78"/>
      <c r="CM369" s="78"/>
      <c r="CN369" s="78"/>
      <c r="CO369" s="78"/>
      <c r="CP369" s="78"/>
      <c r="CQ369" s="78"/>
      <c r="CR369" s="78"/>
      <c r="CS369" s="78"/>
      <c r="CT369" s="78"/>
      <c r="CU369" s="78"/>
      <c r="CV369" s="78"/>
      <c r="CW369" s="78"/>
      <c r="CX369" s="78"/>
      <c r="CY369" s="78"/>
      <c r="CZ369" s="78"/>
      <c r="DA369" s="78"/>
      <c r="DB369" s="78"/>
      <c r="DC369" s="78"/>
      <c r="DD369" s="78"/>
      <c r="DE369" s="78"/>
      <c r="DF369" s="78"/>
      <c r="DG369" s="78"/>
      <c r="DH369" s="78"/>
      <c r="DI369" s="78"/>
      <c r="DJ369" s="78"/>
      <c r="DK369" s="78"/>
      <c r="DL369" s="78"/>
      <c r="DM369" s="78"/>
      <c r="DN369" s="78"/>
      <c r="DO369" s="78"/>
      <c r="DP369" s="78"/>
      <c r="DQ369" s="78"/>
      <c r="DR369" s="78"/>
      <c r="DS369" s="78"/>
      <c r="DT369" s="78"/>
      <c r="DU369" s="78"/>
      <c r="DV369" s="78"/>
      <c r="DW369" s="78"/>
      <c r="DX369" s="78"/>
      <c r="DY369" s="78"/>
      <c r="DZ369" s="78"/>
      <c r="EA369" s="78"/>
      <c r="EB369" s="78"/>
      <c r="EC369" s="78"/>
      <c r="ED369" s="78"/>
      <c r="EE369" s="78"/>
      <c r="EF369" s="78"/>
      <c r="EG369" s="78"/>
      <c r="EH369" s="78"/>
      <c r="EI369" s="78"/>
      <c r="EJ369" s="78"/>
      <c r="EK369" s="78"/>
      <c r="EL369" s="78"/>
      <c r="EM369" s="78"/>
      <c r="EN369" s="91"/>
      <c r="EO369" s="91"/>
      <c r="EP369" s="91"/>
      <c r="EQ369" s="91"/>
      <c r="ER369" s="91"/>
      <c r="ES369" s="91"/>
    </row>
    <row r="370" spans="1:149" outlineLevel="1">
      <c r="A370" s="29" t="str">
        <f t="shared" si="311"/>
        <v>modesg_inp_nfrd_alinhamento_taxce_trnvr_enblng_alignd</v>
      </c>
      <c r="B370" s="67" t="s">
        <v>26</v>
      </c>
      <c r="C370" s="68" t="s">
        <v>181</v>
      </c>
      <c r="D370" s="64" t="s">
        <v>40</v>
      </c>
      <c r="E370" s="66" t="s">
        <v>215</v>
      </c>
      <c r="F370" s="64" t="s">
        <v>274</v>
      </c>
      <c r="G370" s="64" t="str">
        <f>INDEX(Auxiliar!$B$16:$B$24,MATCH(Plano_V3!H370,Auxiliar!$C$16:$C$24,0),1)</f>
        <v>1. Concluído</v>
      </c>
      <c r="H370" s="64">
        <f>VLOOKUP(A370,'Aux - pivots1'!$A:$B,2,0)</f>
        <v>1</v>
      </c>
      <c r="I370" s="180">
        <f>SUMIFS(Table1[Estimação (horas)],Table1[Tabela],Plano_V3!E370,Table1[Campo],Plano_V3!F370)</f>
        <v>0.6</v>
      </c>
      <c r="J370" s="180">
        <f t="shared" si="307"/>
        <v>7.4999999999999997E-2</v>
      </c>
      <c r="K370" s="180">
        <f>SUMIFS(Table1[Horas efetivas],Table1[Tabela],Plano_V3!E370,Table1[Campo],Plano_V3!F370)</f>
        <v>0.6</v>
      </c>
      <c r="L370" s="180">
        <f t="shared" si="308"/>
        <v>7.4999999999999997E-2</v>
      </c>
      <c r="M370" s="174"/>
      <c r="N370" s="174">
        <f t="shared" si="309"/>
        <v>1</v>
      </c>
      <c r="O370" s="174">
        <f t="shared" si="310"/>
        <v>1</v>
      </c>
      <c r="P370" s="89" t="s">
        <v>39</v>
      </c>
      <c r="Q370" s="90">
        <f t="shared" si="312"/>
        <v>7.4999999999999997E-2</v>
      </c>
      <c r="R370" s="78"/>
      <c r="S370" s="78"/>
      <c r="T370" s="78"/>
      <c r="U370" s="78"/>
      <c r="V370" s="78"/>
      <c r="W370" s="78"/>
      <c r="X370" s="78"/>
      <c r="Y370" s="78"/>
      <c r="Z370" s="78"/>
      <c r="AA370" s="78"/>
      <c r="AB370" s="78"/>
      <c r="AC370" s="78"/>
      <c r="AD370" s="78"/>
      <c r="AE370" s="78"/>
      <c r="AF370" s="78"/>
      <c r="AG370" s="78"/>
      <c r="AH370" s="78"/>
      <c r="AI370" s="78"/>
      <c r="AJ370" s="78"/>
      <c r="AK370" s="78"/>
      <c r="AL370" s="78"/>
      <c r="AM370" s="78"/>
      <c r="AN370" s="78"/>
      <c r="AO370" s="78"/>
      <c r="AP370" s="78"/>
      <c r="AQ370" s="78"/>
      <c r="AR370" s="78"/>
      <c r="AS370" s="78"/>
      <c r="AT370" s="78"/>
      <c r="AU370" s="78"/>
      <c r="AV370" s="78"/>
      <c r="AW370" s="78"/>
      <c r="AX370" s="78"/>
      <c r="AY370" s="91"/>
      <c r="AZ370" s="78"/>
      <c r="BA370" s="78"/>
      <c r="BB370" s="78"/>
      <c r="BC370" s="78"/>
      <c r="BD370" s="78"/>
      <c r="BE370" s="78"/>
      <c r="BF370" s="78"/>
      <c r="BG370" s="78"/>
      <c r="BH370" s="78"/>
      <c r="BI370" s="78"/>
      <c r="BJ370" s="78"/>
      <c r="BK370" s="78"/>
      <c r="BL370" s="78"/>
      <c r="BM370" s="78"/>
      <c r="BN370" s="78"/>
      <c r="BO370" s="78"/>
      <c r="BP370" s="78"/>
      <c r="BQ370" s="78"/>
      <c r="BR370" s="78"/>
      <c r="BS370" s="78"/>
      <c r="BT370" s="78"/>
      <c r="BU370" s="78"/>
      <c r="BV370" s="78"/>
      <c r="BW370" s="78"/>
      <c r="BX370" s="78"/>
      <c r="BY370" s="78"/>
      <c r="BZ370" s="78"/>
      <c r="CA370" s="78"/>
      <c r="CB370" s="78"/>
      <c r="CC370" s="78"/>
      <c r="CD370" s="78"/>
      <c r="CE370" s="78"/>
      <c r="CF370" s="78"/>
      <c r="CG370" s="78"/>
      <c r="CH370" s="78"/>
      <c r="CI370" s="78"/>
      <c r="CJ370" s="78"/>
      <c r="CK370" s="78"/>
      <c r="CL370" s="78"/>
      <c r="CM370" s="78"/>
      <c r="CN370" s="78"/>
      <c r="CO370" s="78"/>
      <c r="CP370" s="78"/>
      <c r="CQ370" s="78"/>
      <c r="CR370" s="78"/>
      <c r="CS370" s="78"/>
      <c r="CT370" s="78"/>
      <c r="CU370" s="78"/>
      <c r="CV370" s="78"/>
      <c r="CW370" s="78"/>
      <c r="CX370" s="78"/>
      <c r="CY370" s="78"/>
      <c r="CZ370" s="78"/>
      <c r="DA370" s="78"/>
      <c r="DB370" s="78"/>
      <c r="DC370" s="78"/>
      <c r="DD370" s="78"/>
      <c r="DE370" s="78"/>
      <c r="DF370" s="78"/>
      <c r="DG370" s="78"/>
      <c r="DH370" s="78"/>
      <c r="DI370" s="78"/>
      <c r="DJ370" s="78"/>
      <c r="DK370" s="78"/>
      <c r="DL370" s="78"/>
      <c r="DM370" s="78"/>
      <c r="DN370" s="78"/>
      <c r="DO370" s="78"/>
      <c r="DP370" s="78"/>
      <c r="DQ370" s="78"/>
      <c r="DR370" s="78"/>
      <c r="DS370" s="78"/>
      <c r="DT370" s="78"/>
      <c r="DU370" s="78"/>
      <c r="DV370" s="78"/>
      <c r="DW370" s="78"/>
      <c r="DX370" s="78"/>
      <c r="DY370" s="78"/>
      <c r="DZ370" s="78"/>
      <c r="EA370" s="78"/>
      <c r="EB370" s="78"/>
      <c r="EC370" s="78"/>
      <c r="ED370" s="78"/>
      <c r="EE370" s="78"/>
      <c r="EF370" s="78"/>
      <c r="EG370" s="78"/>
      <c r="EH370" s="78"/>
      <c r="EI370" s="78"/>
      <c r="EJ370" s="78"/>
      <c r="EK370" s="78"/>
      <c r="EL370" s="78"/>
      <c r="EM370" s="78"/>
      <c r="EN370" s="91"/>
      <c r="EO370" s="91"/>
      <c r="EP370" s="91"/>
      <c r="EQ370" s="91"/>
      <c r="ER370" s="91"/>
      <c r="ES370" s="91"/>
    </row>
    <row r="371" spans="1:149" outlineLevel="1">
      <c r="A371" s="29" t="str">
        <f t="shared" si="311"/>
        <v>modesg_inp_nfrd_alinhamento_taxce_turnover_own_prfrmnce_algnd</v>
      </c>
      <c r="B371" s="67" t="s">
        <v>26</v>
      </c>
      <c r="C371" s="68" t="s">
        <v>181</v>
      </c>
      <c r="D371" s="64" t="s">
        <v>40</v>
      </c>
      <c r="E371" s="66" t="s">
        <v>215</v>
      </c>
      <c r="F371" s="64" t="s">
        <v>275</v>
      </c>
      <c r="G371" s="64" t="str">
        <f>INDEX(Auxiliar!$B$16:$B$24,MATCH(Plano_V3!H371,Auxiliar!$C$16:$C$24,0),1)</f>
        <v>1. Concluído</v>
      </c>
      <c r="H371" s="64">
        <f>VLOOKUP(A371,'Aux - pivots1'!$A:$B,2,0)</f>
        <v>1</v>
      </c>
      <c r="I371" s="180">
        <f>SUMIFS(Table1[Estimação (horas)],Table1[Tabela],Plano_V3!E371,Table1[Campo],Plano_V3!F371)</f>
        <v>0.6</v>
      </c>
      <c r="J371" s="180">
        <f t="shared" si="307"/>
        <v>7.4999999999999997E-2</v>
      </c>
      <c r="K371" s="180">
        <f>SUMIFS(Table1[Horas efetivas],Table1[Tabela],Plano_V3!E371,Table1[Campo],Plano_V3!F371)</f>
        <v>0.6</v>
      </c>
      <c r="L371" s="180">
        <f t="shared" si="308"/>
        <v>7.4999999999999997E-2</v>
      </c>
      <c r="M371" s="174"/>
      <c r="N371" s="174">
        <f t="shared" si="309"/>
        <v>1</v>
      </c>
      <c r="O371" s="174">
        <f t="shared" si="310"/>
        <v>1</v>
      </c>
      <c r="P371" s="89" t="s">
        <v>39</v>
      </c>
      <c r="Q371" s="90">
        <f t="shared" si="312"/>
        <v>7.4999999999999997E-2</v>
      </c>
      <c r="R371" s="78"/>
      <c r="S371" s="78"/>
      <c r="T371" s="78"/>
      <c r="U371" s="78"/>
      <c r="V371" s="78"/>
      <c r="W371" s="78"/>
      <c r="X371" s="78"/>
      <c r="Y371" s="78"/>
      <c r="Z371" s="78"/>
      <c r="AA371" s="78"/>
      <c r="AB371" s="78"/>
      <c r="AC371" s="78"/>
      <c r="AD371" s="78"/>
      <c r="AE371" s="78"/>
      <c r="AF371" s="78"/>
      <c r="AG371" s="78"/>
      <c r="AH371" s="78"/>
      <c r="AI371" s="78"/>
      <c r="AJ371" s="78"/>
      <c r="AK371" s="78"/>
      <c r="AL371" s="78"/>
      <c r="AM371" s="78"/>
      <c r="AN371" s="78"/>
      <c r="AO371" s="78"/>
      <c r="AP371" s="78"/>
      <c r="AQ371" s="78"/>
      <c r="AR371" s="78"/>
      <c r="AS371" s="78"/>
      <c r="AT371" s="78"/>
      <c r="AU371" s="78"/>
      <c r="AV371" s="78"/>
      <c r="AW371" s="78"/>
      <c r="AX371" s="78"/>
      <c r="AY371" s="91"/>
      <c r="AZ371" s="78"/>
      <c r="BA371" s="78"/>
      <c r="BB371" s="78"/>
      <c r="BC371" s="78"/>
      <c r="BD371" s="78"/>
      <c r="BE371" s="78"/>
      <c r="BF371" s="78"/>
      <c r="BG371" s="78"/>
      <c r="BH371" s="78"/>
      <c r="BI371" s="78"/>
      <c r="BJ371" s="78"/>
      <c r="BK371" s="78"/>
      <c r="BL371" s="78"/>
      <c r="BM371" s="78"/>
      <c r="BN371" s="78"/>
      <c r="BO371" s="78"/>
      <c r="BP371" s="78"/>
      <c r="BQ371" s="78"/>
      <c r="BR371" s="78"/>
      <c r="BS371" s="78"/>
      <c r="BT371" s="78"/>
      <c r="BU371" s="78"/>
      <c r="BV371" s="78"/>
      <c r="BW371" s="78"/>
      <c r="BX371" s="78"/>
      <c r="BY371" s="78"/>
      <c r="BZ371" s="78"/>
      <c r="CA371" s="78"/>
      <c r="CB371" s="78"/>
      <c r="CC371" s="78"/>
      <c r="CD371" s="78"/>
      <c r="CE371" s="78"/>
      <c r="CF371" s="78"/>
      <c r="CG371" s="78"/>
      <c r="CH371" s="78"/>
      <c r="CI371" s="78"/>
      <c r="CJ371" s="78"/>
      <c r="CK371" s="78"/>
      <c r="CL371" s="78"/>
      <c r="CM371" s="78"/>
      <c r="CN371" s="78"/>
      <c r="CO371" s="78"/>
      <c r="CP371" s="78"/>
      <c r="CQ371" s="78"/>
      <c r="CR371" s="78"/>
      <c r="CS371" s="78"/>
      <c r="CT371" s="78"/>
      <c r="CU371" s="78"/>
      <c r="CV371" s="78"/>
      <c r="CW371" s="78"/>
      <c r="CX371" s="78"/>
      <c r="CY371" s="78"/>
      <c r="CZ371" s="78"/>
      <c r="DA371" s="78"/>
      <c r="DB371" s="78"/>
      <c r="DC371" s="78"/>
      <c r="DD371" s="78"/>
      <c r="DE371" s="78"/>
      <c r="DF371" s="78"/>
      <c r="DG371" s="78"/>
      <c r="DH371" s="78"/>
      <c r="DI371" s="78"/>
      <c r="DJ371" s="78"/>
      <c r="DK371" s="78"/>
      <c r="DL371" s="78"/>
      <c r="DM371" s="78"/>
      <c r="DN371" s="78"/>
      <c r="DO371" s="78"/>
      <c r="DP371" s="78"/>
      <c r="DQ371" s="78"/>
      <c r="DR371" s="78"/>
      <c r="DS371" s="78"/>
      <c r="DT371" s="78"/>
      <c r="DU371" s="78"/>
      <c r="DV371" s="78"/>
      <c r="DW371" s="78"/>
      <c r="DX371" s="78"/>
      <c r="DY371" s="78"/>
      <c r="DZ371" s="78"/>
      <c r="EA371" s="78"/>
      <c r="EB371" s="78"/>
      <c r="EC371" s="78"/>
      <c r="ED371" s="78"/>
      <c r="EE371" s="78"/>
      <c r="EF371" s="78"/>
      <c r="EG371" s="78"/>
      <c r="EH371" s="78"/>
      <c r="EI371" s="78"/>
      <c r="EJ371" s="78"/>
      <c r="EK371" s="78"/>
      <c r="EL371" s="78"/>
      <c r="EM371" s="78"/>
      <c r="EN371" s="91"/>
      <c r="EO371" s="91"/>
      <c r="EP371" s="91"/>
      <c r="EQ371" s="91"/>
      <c r="ER371" s="91"/>
      <c r="ES371" s="91"/>
    </row>
    <row r="372" spans="1:149" outlineLevel="1">
      <c r="A372" s="29" t="str">
        <f t="shared" si="311"/>
        <v>modesg_inp_nfrd_alinhamento_taxce_capex_ttl_elgbl</v>
      </c>
      <c r="B372" s="67" t="s">
        <v>26</v>
      </c>
      <c r="C372" s="68" t="s">
        <v>181</v>
      </c>
      <c r="D372" s="64" t="s">
        <v>40</v>
      </c>
      <c r="E372" s="66" t="s">
        <v>215</v>
      </c>
      <c r="F372" s="64" t="s">
        <v>276</v>
      </c>
      <c r="G372" s="64" t="str">
        <f>INDEX(Auxiliar!$B$16:$B$24,MATCH(Plano_V3!H372,Auxiliar!$C$16:$C$24,0),1)</f>
        <v>1. Concluído</v>
      </c>
      <c r="H372" s="64">
        <f>VLOOKUP(A372,'Aux - pivots1'!$A:$B,2,0)</f>
        <v>1</v>
      </c>
      <c r="I372" s="180">
        <f>SUMIFS(Table1[Estimação (horas)],Table1[Tabela],Plano_V3!E372,Table1[Campo],Plano_V3!F372)</f>
        <v>0.6</v>
      </c>
      <c r="J372" s="180">
        <f t="shared" si="307"/>
        <v>7.4999999999999997E-2</v>
      </c>
      <c r="K372" s="180">
        <f>SUMIFS(Table1[Horas efetivas],Table1[Tabela],Plano_V3!E372,Table1[Campo],Plano_V3!F372)</f>
        <v>0.6</v>
      </c>
      <c r="L372" s="180">
        <f t="shared" si="308"/>
        <v>7.4999999999999997E-2</v>
      </c>
      <c r="M372" s="174"/>
      <c r="N372" s="174">
        <f t="shared" si="309"/>
        <v>1</v>
      </c>
      <c r="O372" s="174">
        <f t="shared" si="310"/>
        <v>1</v>
      </c>
      <c r="P372" s="89" t="s">
        <v>39</v>
      </c>
      <c r="Q372" s="90">
        <f t="shared" si="312"/>
        <v>7.4999999999999997E-2</v>
      </c>
      <c r="R372" s="78"/>
      <c r="S372" s="78"/>
      <c r="T372" s="78"/>
      <c r="U372" s="78"/>
      <c r="V372" s="78"/>
      <c r="W372" s="78"/>
      <c r="X372" s="78"/>
      <c r="Y372" s="78"/>
      <c r="Z372" s="78"/>
      <c r="AA372" s="78"/>
      <c r="AB372" s="78"/>
      <c r="AC372" s="78"/>
      <c r="AD372" s="78"/>
      <c r="AE372" s="78"/>
      <c r="AF372" s="78"/>
      <c r="AG372" s="78"/>
      <c r="AH372" s="78"/>
      <c r="AI372" s="78"/>
      <c r="AJ372" s="78"/>
      <c r="AK372" s="78"/>
      <c r="AL372" s="78"/>
      <c r="AM372" s="78"/>
      <c r="AN372" s="78"/>
      <c r="AO372" s="78"/>
      <c r="AP372" s="78"/>
      <c r="AQ372" s="78"/>
      <c r="AR372" s="78"/>
      <c r="AS372" s="78"/>
      <c r="AT372" s="78"/>
      <c r="AU372" s="78"/>
      <c r="AV372" s="78"/>
      <c r="AW372" s="78"/>
      <c r="AX372" s="78"/>
      <c r="AY372" s="91"/>
      <c r="AZ372" s="78"/>
      <c r="BA372" s="78"/>
      <c r="BB372" s="78"/>
      <c r="BC372" s="78"/>
      <c r="BD372" s="78"/>
      <c r="BE372" s="78"/>
      <c r="BF372" s="78"/>
      <c r="BG372" s="78"/>
      <c r="BH372" s="78"/>
      <c r="BI372" s="78"/>
      <c r="BJ372" s="78"/>
      <c r="BK372" s="78"/>
      <c r="BL372" s="78"/>
      <c r="BM372" s="78"/>
      <c r="BN372" s="78"/>
      <c r="BO372" s="78"/>
      <c r="BP372" s="78"/>
      <c r="BQ372" s="78"/>
      <c r="BR372" s="78"/>
      <c r="BS372" s="78"/>
      <c r="BT372" s="78"/>
      <c r="BU372" s="78"/>
      <c r="BV372" s="78"/>
      <c r="BW372" s="78"/>
      <c r="BX372" s="78"/>
      <c r="BY372" s="78"/>
      <c r="BZ372" s="78"/>
      <c r="CA372" s="78"/>
      <c r="CB372" s="78"/>
      <c r="CC372" s="78"/>
      <c r="CD372" s="78"/>
      <c r="CE372" s="78"/>
      <c r="CF372" s="78"/>
      <c r="CG372" s="78"/>
      <c r="CH372" s="78"/>
      <c r="CI372" s="78"/>
      <c r="CJ372" s="78"/>
      <c r="CK372" s="78"/>
      <c r="CL372" s="78"/>
      <c r="CM372" s="78"/>
      <c r="CN372" s="78"/>
      <c r="CO372" s="78"/>
      <c r="CP372" s="78"/>
      <c r="CQ372" s="78"/>
      <c r="CR372" s="78"/>
      <c r="CS372" s="78"/>
      <c r="CT372" s="78"/>
      <c r="CU372" s="78"/>
      <c r="CV372" s="78"/>
      <c r="CW372" s="78"/>
      <c r="CX372" s="78"/>
      <c r="CY372" s="78"/>
      <c r="CZ372" s="78"/>
      <c r="DA372" s="78"/>
      <c r="DB372" s="78"/>
      <c r="DC372" s="78"/>
      <c r="DD372" s="78"/>
      <c r="DE372" s="78"/>
      <c r="DF372" s="78"/>
      <c r="DG372" s="78"/>
      <c r="DH372" s="78"/>
      <c r="DI372" s="78"/>
      <c r="DJ372" s="78"/>
      <c r="DK372" s="78"/>
      <c r="DL372" s="78"/>
      <c r="DM372" s="78"/>
      <c r="DN372" s="78"/>
      <c r="DO372" s="78"/>
      <c r="DP372" s="78"/>
      <c r="DQ372" s="78"/>
      <c r="DR372" s="78"/>
      <c r="DS372" s="78"/>
      <c r="DT372" s="78"/>
      <c r="DU372" s="78"/>
      <c r="DV372" s="78"/>
      <c r="DW372" s="78"/>
      <c r="DX372" s="78"/>
      <c r="DY372" s="78"/>
      <c r="DZ372" s="78"/>
      <c r="EA372" s="78"/>
      <c r="EB372" s="78"/>
      <c r="EC372" s="78"/>
      <c r="ED372" s="78"/>
      <c r="EE372" s="78"/>
      <c r="EF372" s="78"/>
      <c r="EG372" s="78"/>
      <c r="EH372" s="78"/>
      <c r="EI372" s="78"/>
      <c r="EJ372" s="78"/>
      <c r="EK372" s="78"/>
      <c r="EL372" s="78"/>
      <c r="EM372" s="78"/>
      <c r="EN372" s="91"/>
      <c r="EO372" s="91"/>
      <c r="EP372" s="91"/>
      <c r="EQ372" s="91"/>
      <c r="ER372" s="91"/>
      <c r="ES372" s="91"/>
    </row>
    <row r="373" spans="1:149" outlineLevel="1">
      <c r="A373" s="29" t="str">
        <f t="shared" si="311"/>
        <v>modesg_inp_nfrd_alinhamento_taxce_capex_enblng_algnd</v>
      </c>
      <c r="B373" s="67" t="s">
        <v>26</v>
      </c>
      <c r="C373" s="68" t="s">
        <v>181</v>
      </c>
      <c r="D373" s="64" t="s">
        <v>40</v>
      </c>
      <c r="E373" s="66" t="s">
        <v>215</v>
      </c>
      <c r="F373" s="64" t="s">
        <v>277</v>
      </c>
      <c r="G373" s="64" t="str">
        <f>INDEX(Auxiliar!$B$16:$B$24,MATCH(Plano_V3!H373,Auxiliar!$C$16:$C$24,0),1)</f>
        <v>1. Concluído</v>
      </c>
      <c r="H373" s="64">
        <f>VLOOKUP(A373,'Aux - pivots1'!$A:$B,2,0)</f>
        <v>1</v>
      </c>
      <c r="I373" s="180">
        <f>SUMIFS(Table1[Estimação (horas)],Table1[Tabela],Plano_V3!E373,Table1[Campo],Plano_V3!F373)</f>
        <v>0.6</v>
      </c>
      <c r="J373" s="180">
        <f t="shared" si="307"/>
        <v>7.4999999999999997E-2</v>
      </c>
      <c r="K373" s="180">
        <f>SUMIFS(Table1[Horas efetivas],Table1[Tabela],Plano_V3!E373,Table1[Campo],Plano_V3!F373)</f>
        <v>0.6</v>
      </c>
      <c r="L373" s="180">
        <f t="shared" si="308"/>
        <v>7.4999999999999997E-2</v>
      </c>
      <c r="M373" s="174"/>
      <c r="N373" s="174">
        <f t="shared" si="309"/>
        <v>1</v>
      </c>
      <c r="O373" s="174">
        <f t="shared" si="310"/>
        <v>1</v>
      </c>
      <c r="P373" s="89" t="s">
        <v>39</v>
      </c>
      <c r="Q373" s="90">
        <f t="shared" si="312"/>
        <v>7.4999999999999997E-2</v>
      </c>
      <c r="R373" s="78"/>
      <c r="S373" s="78"/>
      <c r="T373" s="78"/>
      <c r="U373" s="78"/>
      <c r="V373" s="78"/>
      <c r="W373" s="78"/>
      <c r="X373" s="78"/>
      <c r="Y373" s="78"/>
      <c r="Z373" s="78"/>
      <c r="AA373" s="78"/>
      <c r="AB373" s="78"/>
      <c r="AC373" s="78"/>
      <c r="AD373" s="78"/>
      <c r="AE373" s="78"/>
      <c r="AF373" s="78"/>
      <c r="AG373" s="78"/>
      <c r="AH373" s="78"/>
      <c r="AI373" s="78"/>
      <c r="AJ373" s="78"/>
      <c r="AK373" s="78"/>
      <c r="AL373" s="78"/>
      <c r="AM373" s="78"/>
      <c r="AN373" s="78"/>
      <c r="AO373" s="78"/>
      <c r="AP373" s="78"/>
      <c r="AQ373" s="78"/>
      <c r="AR373" s="78"/>
      <c r="AS373" s="78"/>
      <c r="AT373" s="78"/>
      <c r="AU373" s="78"/>
      <c r="AV373" s="78"/>
      <c r="AW373" s="78"/>
      <c r="AX373" s="78"/>
      <c r="AY373" s="91"/>
      <c r="AZ373" s="78"/>
      <c r="BA373" s="78"/>
      <c r="BB373" s="78"/>
      <c r="BC373" s="78"/>
      <c r="BD373" s="78"/>
      <c r="BE373" s="78"/>
      <c r="BF373" s="78"/>
      <c r="BG373" s="78"/>
      <c r="BH373" s="78"/>
      <c r="BI373" s="78"/>
      <c r="BJ373" s="78"/>
      <c r="BK373" s="78"/>
      <c r="BL373" s="78"/>
      <c r="BM373" s="78"/>
      <c r="BN373" s="78"/>
      <c r="BO373" s="78"/>
      <c r="BP373" s="78"/>
      <c r="BQ373" s="78"/>
      <c r="BR373" s="78"/>
      <c r="BS373" s="78"/>
      <c r="BT373" s="78"/>
      <c r="BU373" s="78"/>
      <c r="BV373" s="78"/>
      <c r="BW373" s="78"/>
      <c r="BX373" s="78"/>
      <c r="BY373" s="78"/>
      <c r="BZ373" s="78"/>
      <c r="CA373" s="78"/>
      <c r="CB373" s="78"/>
      <c r="CC373" s="78"/>
      <c r="CD373" s="78"/>
      <c r="CE373" s="78"/>
      <c r="CF373" s="78"/>
      <c r="CG373" s="78"/>
      <c r="CH373" s="78"/>
      <c r="CI373" s="78"/>
      <c r="CJ373" s="78"/>
      <c r="CK373" s="78"/>
      <c r="CL373" s="78"/>
      <c r="CM373" s="78"/>
      <c r="CN373" s="78"/>
      <c r="CO373" s="78"/>
      <c r="CP373" s="78"/>
      <c r="CQ373" s="78"/>
      <c r="CR373" s="78"/>
      <c r="CS373" s="78"/>
      <c r="CT373" s="78"/>
      <c r="CU373" s="78"/>
      <c r="CV373" s="78"/>
      <c r="CW373" s="78"/>
      <c r="CX373" s="78"/>
      <c r="CY373" s="78"/>
      <c r="CZ373" s="78"/>
      <c r="DA373" s="78"/>
      <c r="DB373" s="78"/>
      <c r="DC373" s="78"/>
      <c r="DD373" s="78"/>
      <c r="DE373" s="78"/>
      <c r="DF373" s="78"/>
      <c r="DG373" s="78"/>
      <c r="DH373" s="78"/>
      <c r="DI373" s="78"/>
      <c r="DJ373" s="78"/>
      <c r="DK373" s="78"/>
      <c r="DL373" s="78"/>
      <c r="DM373" s="78"/>
      <c r="DN373" s="78"/>
      <c r="DO373" s="78"/>
      <c r="DP373" s="78"/>
      <c r="DQ373" s="78"/>
      <c r="DR373" s="78"/>
      <c r="DS373" s="78"/>
      <c r="DT373" s="78"/>
      <c r="DU373" s="78"/>
      <c r="DV373" s="78"/>
      <c r="DW373" s="78"/>
      <c r="DX373" s="78"/>
      <c r="DY373" s="78"/>
      <c r="DZ373" s="78"/>
      <c r="EA373" s="78"/>
      <c r="EB373" s="78"/>
      <c r="EC373" s="78"/>
      <c r="ED373" s="78"/>
      <c r="EE373" s="78"/>
      <c r="EF373" s="78"/>
      <c r="EG373" s="78"/>
      <c r="EH373" s="78"/>
      <c r="EI373" s="78"/>
      <c r="EJ373" s="78"/>
      <c r="EK373" s="78"/>
      <c r="EL373" s="78"/>
      <c r="EM373" s="78"/>
      <c r="EN373" s="91"/>
      <c r="EO373" s="91"/>
      <c r="EP373" s="91"/>
      <c r="EQ373" s="91"/>
      <c r="ER373" s="91"/>
      <c r="ES373" s="91"/>
    </row>
    <row r="374" spans="1:149" outlineLevel="1">
      <c r="A374" s="29" t="str">
        <f t="shared" si="311"/>
        <v>modesg_inp_nfrd_alinhamento_taxce_capex_own_prfrmnce_algnd</v>
      </c>
      <c r="B374" s="67" t="s">
        <v>26</v>
      </c>
      <c r="C374" s="68" t="s">
        <v>181</v>
      </c>
      <c r="D374" s="64" t="s">
        <v>40</v>
      </c>
      <c r="E374" s="66" t="s">
        <v>215</v>
      </c>
      <c r="F374" s="64" t="s">
        <v>278</v>
      </c>
      <c r="G374" s="64" t="str">
        <f>INDEX(Auxiliar!$B$16:$B$24,MATCH(Plano_V3!H374,Auxiliar!$C$16:$C$24,0),1)</f>
        <v>1. Concluído</v>
      </c>
      <c r="H374" s="64">
        <f>VLOOKUP(A374,'Aux - pivots1'!$A:$B,2,0)</f>
        <v>1</v>
      </c>
      <c r="I374" s="180">
        <f>SUMIFS(Table1[Estimação (horas)],Table1[Tabela],Plano_V3!E374,Table1[Campo],Plano_V3!F374)</f>
        <v>0.6</v>
      </c>
      <c r="J374" s="180">
        <f t="shared" si="307"/>
        <v>7.4999999999999997E-2</v>
      </c>
      <c r="K374" s="180">
        <f>SUMIFS(Table1[Horas efetivas],Table1[Tabela],Plano_V3!E374,Table1[Campo],Plano_V3!F374)</f>
        <v>0.6</v>
      </c>
      <c r="L374" s="180">
        <f t="shared" si="308"/>
        <v>7.4999999999999997E-2</v>
      </c>
      <c r="M374" s="174"/>
      <c r="N374" s="174">
        <f t="shared" si="309"/>
        <v>1</v>
      </c>
      <c r="O374" s="174">
        <f t="shared" si="310"/>
        <v>1</v>
      </c>
      <c r="P374" s="89" t="s">
        <v>39</v>
      </c>
      <c r="Q374" s="90">
        <f t="shared" si="312"/>
        <v>7.4999999999999997E-2</v>
      </c>
      <c r="R374" s="78"/>
      <c r="S374" s="78"/>
      <c r="T374" s="78"/>
      <c r="U374" s="78"/>
      <c r="V374" s="78"/>
      <c r="W374" s="78"/>
      <c r="X374" s="78"/>
      <c r="Y374" s="78"/>
      <c r="Z374" s="78"/>
      <c r="AA374" s="78"/>
      <c r="AB374" s="78"/>
      <c r="AC374" s="78"/>
      <c r="AD374" s="78"/>
      <c r="AE374" s="78"/>
      <c r="AF374" s="78"/>
      <c r="AG374" s="78"/>
      <c r="AH374" s="78"/>
      <c r="AI374" s="78"/>
      <c r="AJ374" s="78"/>
      <c r="AK374" s="78"/>
      <c r="AL374" s="78"/>
      <c r="AM374" s="78"/>
      <c r="AN374" s="78"/>
      <c r="AO374" s="78"/>
      <c r="AP374" s="78"/>
      <c r="AQ374" s="78"/>
      <c r="AR374" s="78"/>
      <c r="AS374" s="78"/>
      <c r="AT374" s="78"/>
      <c r="AU374" s="78"/>
      <c r="AV374" s="78"/>
      <c r="AW374" s="78"/>
      <c r="AX374" s="78"/>
      <c r="AY374" s="91"/>
      <c r="AZ374" s="78"/>
      <c r="BA374" s="78"/>
      <c r="BB374" s="78"/>
      <c r="BC374" s="78"/>
      <c r="BD374" s="78"/>
      <c r="BE374" s="78"/>
      <c r="BF374" s="78"/>
      <c r="BG374" s="78"/>
      <c r="BH374" s="78"/>
      <c r="BI374" s="78"/>
      <c r="BJ374" s="78"/>
      <c r="BK374" s="78"/>
      <c r="BL374" s="78"/>
      <c r="BM374" s="78"/>
      <c r="BN374" s="78"/>
      <c r="BO374" s="78"/>
      <c r="BP374" s="78"/>
      <c r="BQ374" s="78"/>
      <c r="BR374" s="78"/>
      <c r="BS374" s="78"/>
      <c r="BT374" s="78"/>
      <c r="BU374" s="78"/>
      <c r="BV374" s="78"/>
      <c r="BW374" s="78"/>
      <c r="BX374" s="78"/>
      <c r="BY374" s="78"/>
      <c r="BZ374" s="78"/>
      <c r="CA374" s="78"/>
      <c r="CB374" s="78"/>
      <c r="CC374" s="78"/>
      <c r="CD374" s="78"/>
      <c r="CE374" s="78"/>
      <c r="CF374" s="78"/>
      <c r="CG374" s="78"/>
      <c r="CH374" s="78"/>
      <c r="CI374" s="78"/>
      <c r="CJ374" s="78"/>
      <c r="CK374" s="78"/>
      <c r="CL374" s="78"/>
      <c r="CM374" s="78"/>
      <c r="CN374" s="78"/>
      <c r="CO374" s="78"/>
      <c r="CP374" s="78"/>
      <c r="CQ374" s="78"/>
      <c r="CR374" s="78"/>
      <c r="CS374" s="78"/>
      <c r="CT374" s="78"/>
      <c r="CU374" s="78"/>
      <c r="CV374" s="78"/>
      <c r="CW374" s="78"/>
      <c r="CX374" s="78"/>
      <c r="CY374" s="78"/>
      <c r="CZ374" s="78"/>
      <c r="DA374" s="78"/>
      <c r="DB374" s="78"/>
      <c r="DC374" s="78"/>
      <c r="DD374" s="78"/>
      <c r="DE374" s="78"/>
      <c r="DF374" s="78"/>
      <c r="DG374" s="78"/>
      <c r="DH374" s="78"/>
      <c r="DI374" s="78"/>
      <c r="DJ374" s="78"/>
      <c r="DK374" s="78"/>
      <c r="DL374" s="78"/>
      <c r="DM374" s="78"/>
      <c r="DN374" s="78"/>
      <c r="DO374" s="78"/>
      <c r="DP374" s="78"/>
      <c r="DQ374" s="78"/>
      <c r="DR374" s="78"/>
      <c r="DS374" s="78"/>
      <c r="DT374" s="78"/>
      <c r="DU374" s="78"/>
      <c r="DV374" s="78"/>
      <c r="DW374" s="78"/>
      <c r="DX374" s="78"/>
      <c r="DY374" s="78"/>
      <c r="DZ374" s="78"/>
      <c r="EA374" s="78"/>
      <c r="EB374" s="78"/>
      <c r="EC374" s="78"/>
      <c r="ED374" s="78"/>
      <c r="EE374" s="78"/>
      <c r="EF374" s="78"/>
      <c r="EG374" s="78"/>
      <c r="EH374" s="78"/>
      <c r="EI374" s="78"/>
      <c r="EJ374" s="78"/>
      <c r="EK374" s="78"/>
      <c r="EL374" s="78"/>
      <c r="EM374" s="78"/>
      <c r="EN374" s="91"/>
      <c r="EO374" s="91"/>
      <c r="EP374" s="91"/>
      <c r="EQ374" s="91"/>
      <c r="ER374" s="91"/>
      <c r="ES374" s="91"/>
    </row>
    <row r="375" spans="1:149" outlineLevel="1">
      <c r="A375" s="29" t="str">
        <f t="shared" si="311"/>
        <v>modesg_inp_risco_fisicoref_date</v>
      </c>
      <c r="B375" s="67" t="s">
        <v>26</v>
      </c>
      <c r="C375" s="68" t="s">
        <v>181</v>
      </c>
      <c r="D375" s="64" t="s">
        <v>40</v>
      </c>
      <c r="E375" s="66" t="s">
        <v>216</v>
      </c>
      <c r="F375" s="64" t="s">
        <v>208</v>
      </c>
      <c r="G375" s="64" t="str">
        <f>INDEX(Auxiliar!$B$16:$B$24,MATCH(Plano_V3!H375,Auxiliar!$C$16:$C$24,0),1)</f>
        <v>1. Concluído</v>
      </c>
      <c r="H375" s="64">
        <f>VLOOKUP(A375,'Aux - pivots1'!$A:$B,2,0)</f>
        <v>1</v>
      </c>
      <c r="I375" s="180">
        <f>SUMIFS(Table1[Estimação (horas)],Table1[Tabela],Plano_V3!E375,Table1[Campo],Plano_V3!F375)</f>
        <v>0.5</v>
      </c>
      <c r="J375" s="180">
        <f t="shared" si="307"/>
        <v>6.25E-2</v>
      </c>
      <c r="K375" s="180">
        <f>SUMIFS(Table1[Horas efetivas],Table1[Tabela],Plano_V3!E375,Table1[Campo],Plano_V3!F375)</f>
        <v>0.5</v>
      </c>
      <c r="L375" s="180">
        <f t="shared" si="308"/>
        <v>6.25E-2</v>
      </c>
      <c r="M375" s="174"/>
      <c r="N375" s="174">
        <f t="shared" si="309"/>
        <v>1</v>
      </c>
      <c r="O375" s="174">
        <f t="shared" si="310"/>
        <v>1</v>
      </c>
      <c r="P375" s="89" t="s">
        <v>39</v>
      </c>
      <c r="Q375" s="90">
        <f t="shared" si="312"/>
        <v>6.25E-2</v>
      </c>
      <c r="R375" s="78"/>
      <c r="S375" s="78"/>
      <c r="T375" s="78"/>
      <c r="U375" s="78"/>
      <c r="V375" s="78"/>
      <c r="W375" s="78"/>
      <c r="X375" s="78"/>
      <c r="Y375" s="78"/>
      <c r="Z375" s="78"/>
      <c r="AA375" s="78"/>
      <c r="AB375" s="78"/>
      <c r="AC375" s="78"/>
      <c r="AD375" s="78"/>
      <c r="AE375" s="78"/>
      <c r="AF375" s="78"/>
      <c r="AG375" s="78"/>
      <c r="AH375" s="78"/>
      <c r="AI375" s="78"/>
      <c r="AJ375" s="78"/>
      <c r="AK375" s="78"/>
      <c r="AL375" s="78"/>
      <c r="AM375" s="78"/>
      <c r="AN375" s="78"/>
      <c r="AO375" s="78"/>
      <c r="AP375" s="78"/>
      <c r="AQ375" s="78"/>
      <c r="AR375" s="78"/>
      <c r="AS375" s="78"/>
      <c r="AT375" s="78"/>
      <c r="AU375" s="78"/>
      <c r="AV375" s="78"/>
      <c r="AW375" s="78"/>
      <c r="AX375" s="78"/>
      <c r="AY375" s="91"/>
      <c r="AZ375" s="78"/>
      <c r="BA375" s="78"/>
      <c r="BB375" s="78"/>
      <c r="BC375" s="78"/>
      <c r="BD375" s="78"/>
      <c r="BE375" s="78"/>
      <c r="BF375" s="78"/>
      <c r="BG375" s="78"/>
      <c r="BH375" s="78"/>
      <c r="BI375" s="78"/>
      <c r="BJ375" s="78"/>
      <c r="BK375" s="78"/>
      <c r="BL375" s="78"/>
      <c r="BM375" s="78"/>
      <c r="BN375" s="78"/>
      <c r="BO375" s="78"/>
      <c r="BP375" s="78"/>
      <c r="BQ375" s="78"/>
      <c r="BR375" s="78"/>
      <c r="BS375" s="78"/>
      <c r="BT375" s="78"/>
      <c r="BU375" s="78"/>
      <c r="BV375" s="78"/>
      <c r="BW375" s="78"/>
      <c r="BX375" s="78"/>
      <c r="BY375" s="78"/>
      <c r="BZ375" s="78"/>
      <c r="CA375" s="78"/>
      <c r="CB375" s="78"/>
      <c r="CC375" s="78"/>
      <c r="CD375" s="78"/>
      <c r="CE375" s="78"/>
      <c r="CF375" s="78"/>
      <c r="CG375" s="78"/>
      <c r="CH375" s="78"/>
      <c r="CI375" s="78"/>
      <c r="CJ375" s="78"/>
      <c r="CK375" s="78"/>
      <c r="CL375" s="78"/>
      <c r="CM375" s="78"/>
      <c r="CN375" s="78"/>
      <c r="CO375" s="78"/>
      <c r="CP375" s="78"/>
      <c r="CQ375" s="78"/>
      <c r="CR375" s="78"/>
      <c r="CS375" s="78"/>
      <c r="CT375" s="78"/>
      <c r="CU375" s="78"/>
      <c r="CV375" s="78"/>
      <c r="CW375" s="78"/>
      <c r="CX375" s="78"/>
      <c r="CY375" s="78"/>
      <c r="CZ375" s="78"/>
      <c r="DA375" s="78"/>
      <c r="DB375" s="78"/>
      <c r="DC375" s="78"/>
      <c r="DD375" s="78"/>
      <c r="DE375" s="78"/>
      <c r="DF375" s="78"/>
      <c r="DG375" s="78"/>
      <c r="DH375" s="78"/>
      <c r="DI375" s="78"/>
      <c r="DJ375" s="78"/>
      <c r="DK375" s="78"/>
      <c r="DL375" s="78"/>
      <c r="DM375" s="78"/>
      <c r="DN375" s="78"/>
      <c r="DO375" s="78"/>
      <c r="DP375" s="78"/>
      <c r="DQ375" s="78"/>
      <c r="DR375" s="78"/>
      <c r="DS375" s="78"/>
      <c r="DT375" s="78"/>
      <c r="DU375" s="78"/>
      <c r="DV375" s="78"/>
      <c r="DW375" s="78"/>
      <c r="DX375" s="78"/>
      <c r="DY375" s="78"/>
      <c r="DZ375" s="78"/>
      <c r="EA375" s="78"/>
      <c r="EB375" s="78"/>
      <c r="EC375" s="78"/>
      <c r="ED375" s="78"/>
      <c r="EE375" s="78"/>
      <c r="EF375" s="78"/>
      <c r="EG375" s="78"/>
      <c r="EH375" s="78"/>
      <c r="EI375" s="78"/>
      <c r="EJ375" s="78"/>
      <c r="EK375" s="78"/>
      <c r="EL375" s="78"/>
      <c r="EM375" s="78"/>
      <c r="EN375" s="91"/>
      <c r="EO375" s="91"/>
      <c r="EP375" s="91"/>
      <c r="EQ375" s="91"/>
      <c r="ER375" s="91"/>
      <c r="ES375" s="91"/>
    </row>
    <row r="376" spans="1:149" outlineLevel="1">
      <c r="A376" s="29" t="str">
        <f t="shared" si="311"/>
        <v>modesg_inp_risco_fisicocod_pais</v>
      </c>
      <c r="B376" s="67" t="s">
        <v>26</v>
      </c>
      <c r="C376" s="68" t="s">
        <v>181</v>
      </c>
      <c r="D376" s="64" t="s">
        <v>40</v>
      </c>
      <c r="E376" s="66" t="s">
        <v>216</v>
      </c>
      <c r="F376" s="64" t="s">
        <v>279</v>
      </c>
      <c r="G376" s="64" t="str">
        <f>INDEX(Auxiliar!$B$16:$B$24,MATCH(Plano_V3!H376,Auxiliar!$C$16:$C$24,0),1)</f>
        <v>1. Concluído</v>
      </c>
      <c r="H376" s="64">
        <f>VLOOKUP(A376,'Aux - pivots1'!$A:$B,2,0)</f>
        <v>1</v>
      </c>
      <c r="I376" s="180">
        <f>SUMIFS(Table1[Estimação (horas)],Table1[Tabela],Plano_V3!E376,Table1[Campo],Plano_V3!F376)</f>
        <v>0.6</v>
      </c>
      <c r="J376" s="180">
        <f t="shared" si="307"/>
        <v>7.4999999999999997E-2</v>
      </c>
      <c r="K376" s="180">
        <f>SUMIFS(Table1[Horas efetivas],Table1[Tabela],Plano_V3!E376,Table1[Campo],Plano_V3!F376)</f>
        <v>0.6</v>
      </c>
      <c r="L376" s="180">
        <f t="shared" si="308"/>
        <v>7.4999999999999997E-2</v>
      </c>
      <c r="M376" s="174"/>
      <c r="N376" s="174">
        <f t="shared" si="309"/>
        <v>1</v>
      </c>
      <c r="O376" s="174">
        <f t="shared" si="310"/>
        <v>1</v>
      </c>
      <c r="P376" s="89" t="s">
        <v>39</v>
      </c>
      <c r="Q376" s="90">
        <f t="shared" si="312"/>
        <v>7.4999999999999997E-2</v>
      </c>
      <c r="R376" s="78"/>
      <c r="S376" s="78"/>
      <c r="T376" s="78"/>
      <c r="U376" s="78"/>
      <c r="V376" s="78"/>
      <c r="W376" s="78"/>
      <c r="X376" s="78"/>
      <c r="Y376" s="78"/>
      <c r="Z376" s="78"/>
      <c r="AA376" s="78"/>
      <c r="AB376" s="78"/>
      <c r="AC376" s="78"/>
      <c r="AD376" s="78"/>
      <c r="AE376" s="78"/>
      <c r="AF376" s="78"/>
      <c r="AG376" s="78"/>
      <c r="AH376" s="78"/>
      <c r="AI376" s="78"/>
      <c r="AJ376" s="78"/>
      <c r="AK376" s="78"/>
      <c r="AL376" s="78"/>
      <c r="AM376" s="78"/>
      <c r="AN376" s="78"/>
      <c r="AO376" s="78"/>
      <c r="AP376" s="78"/>
      <c r="AQ376" s="78"/>
      <c r="AR376" s="78"/>
      <c r="AS376" s="78"/>
      <c r="AT376" s="78"/>
      <c r="AU376" s="78"/>
      <c r="AV376" s="78"/>
      <c r="AW376" s="78"/>
      <c r="AX376" s="78"/>
      <c r="AY376" s="91"/>
      <c r="AZ376" s="78"/>
      <c r="BA376" s="78"/>
      <c r="BB376" s="78"/>
      <c r="BC376" s="78"/>
      <c r="BD376" s="78"/>
      <c r="BE376" s="78"/>
      <c r="BF376" s="78"/>
      <c r="BG376" s="78"/>
      <c r="BH376" s="78"/>
      <c r="BI376" s="78"/>
      <c r="BJ376" s="78"/>
      <c r="BK376" s="78"/>
      <c r="BL376" s="78"/>
      <c r="BM376" s="78"/>
      <c r="BN376" s="78"/>
      <c r="BO376" s="78"/>
      <c r="BP376" s="78"/>
      <c r="BQ376" s="78"/>
      <c r="BR376" s="78"/>
      <c r="BS376" s="78"/>
      <c r="BT376" s="78"/>
      <c r="BU376" s="78"/>
      <c r="BV376" s="78"/>
      <c r="BW376" s="78"/>
      <c r="BX376" s="78"/>
      <c r="BY376" s="78"/>
      <c r="BZ376" s="78"/>
      <c r="CA376" s="78"/>
      <c r="CB376" s="78"/>
      <c r="CC376" s="78"/>
      <c r="CD376" s="78"/>
      <c r="CE376" s="78"/>
      <c r="CF376" s="78"/>
      <c r="CG376" s="78"/>
      <c r="CH376" s="78"/>
      <c r="CI376" s="78"/>
      <c r="CJ376" s="78"/>
      <c r="CK376" s="78"/>
      <c r="CL376" s="78"/>
      <c r="CM376" s="78"/>
      <c r="CN376" s="78"/>
      <c r="CO376" s="78"/>
      <c r="CP376" s="78"/>
      <c r="CQ376" s="78"/>
      <c r="CR376" s="78"/>
      <c r="CS376" s="78"/>
      <c r="CT376" s="78"/>
      <c r="CU376" s="78"/>
      <c r="CV376" s="78"/>
      <c r="CW376" s="78"/>
      <c r="CX376" s="78"/>
      <c r="CY376" s="78"/>
      <c r="CZ376" s="78"/>
      <c r="DA376" s="78"/>
      <c r="DB376" s="78"/>
      <c r="DC376" s="78"/>
      <c r="DD376" s="78"/>
      <c r="DE376" s="78"/>
      <c r="DF376" s="78"/>
      <c r="DG376" s="78"/>
      <c r="DH376" s="78"/>
      <c r="DI376" s="78"/>
      <c r="DJ376" s="78"/>
      <c r="DK376" s="78"/>
      <c r="DL376" s="78"/>
      <c r="DM376" s="78"/>
      <c r="DN376" s="78"/>
      <c r="DO376" s="78"/>
      <c r="DP376" s="78"/>
      <c r="DQ376" s="78"/>
      <c r="DR376" s="78"/>
      <c r="DS376" s="78"/>
      <c r="DT376" s="78"/>
      <c r="DU376" s="78"/>
      <c r="DV376" s="78"/>
      <c r="DW376" s="78"/>
      <c r="DX376" s="78"/>
      <c r="DY376" s="78"/>
      <c r="DZ376" s="78"/>
      <c r="EA376" s="78"/>
      <c r="EB376" s="78"/>
      <c r="EC376" s="78"/>
      <c r="ED376" s="78"/>
      <c r="EE376" s="78"/>
      <c r="EF376" s="78"/>
      <c r="EG376" s="78"/>
      <c r="EH376" s="78"/>
      <c r="EI376" s="78"/>
      <c r="EJ376" s="78"/>
      <c r="EK376" s="78"/>
      <c r="EL376" s="78"/>
      <c r="EM376" s="78"/>
      <c r="EN376" s="91"/>
      <c r="EO376" s="91"/>
      <c r="EP376" s="91"/>
      <c r="EQ376" s="91"/>
      <c r="ER376" s="91"/>
      <c r="ES376" s="91"/>
    </row>
    <row r="377" spans="1:149" outlineLevel="1">
      <c r="A377" s="29" t="str">
        <f t="shared" si="311"/>
        <v>modesg_inp_risco_fisicocod_nutiii</v>
      </c>
      <c r="B377" s="67" t="s">
        <v>26</v>
      </c>
      <c r="C377" s="68" t="s">
        <v>181</v>
      </c>
      <c r="D377" s="64" t="s">
        <v>40</v>
      </c>
      <c r="E377" s="66" t="s">
        <v>216</v>
      </c>
      <c r="F377" s="64" t="s">
        <v>280</v>
      </c>
      <c r="G377" s="64" t="str">
        <f>INDEX(Auxiliar!$B$16:$B$24,MATCH(Plano_V3!H377,Auxiliar!$C$16:$C$24,0),1)</f>
        <v>1. Concluído</v>
      </c>
      <c r="H377" s="64">
        <f>VLOOKUP(A377,'Aux - pivots1'!$A:$B,2,0)</f>
        <v>1</v>
      </c>
      <c r="I377" s="180">
        <f>SUMIFS(Table1[Estimação (horas)],Table1[Tabela],Plano_V3!E377,Table1[Campo],Plano_V3!F377)</f>
        <v>0.5</v>
      </c>
      <c r="J377" s="180">
        <f t="shared" si="307"/>
        <v>6.25E-2</v>
      </c>
      <c r="K377" s="180">
        <f>SUMIFS(Table1[Horas efetivas],Table1[Tabela],Plano_V3!E377,Table1[Campo],Plano_V3!F377)</f>
        <v>0.5</v>
      </c>
      <c r="L377" s="180">
        <f t="shared" si="308"/>
        <v>6.25E-2</v>
      </c>
      <c r="M377" s="174"/>
      <c r="N377" s="174">
        <f t="shared" si="309"/>
        <v>1</v>
      </c>
      <c r="O377" s="174">
        <f t="shared" si="310"/>
        <v>1</v>
      </c>
      <c r="P377" s="89" t="s">
        <v>39</v>
      </c>
      <c r="Q377" s="90">
        <f t="shared" si="312"/>
        <v>6.25E-2</v>
      </c>
      <c r="R377" s="78"/>
      <c r="S377" s="78"/>
      <c r="T377" s="78"/>
      <c r="U377" s="78"/>
      <c r="V377" s="78"/>
      <c r="W377" s="78"/>
      <c r="X377" s="78"/>
      <c r="Y377" s="78"/>
      <c r="Z377" s="78"/>
      <c r="AA377" s="78"/>
      <c r="AB377" s="78"/>
      <c r="AC377" s="78"/>
      <c r="AD377" s="78"/>
      <c r="AE377" s="78"/>
      <c r="AF377" s="78"/>
      <c r="AG377" s="78"/>
      <c r="AH377" s="78"/>
      <c r="AI377" s="78"/>
      <c r="AJ377" s="78"/>
      <c r="AK377" s="78"/>
      <c r="AL377" s="78"/>
      <c r="AM377" s="78"/>
      <c r="AN377" s="78"/>
      <c r="AO377" s="78"/>
      <c r="AP377" s="78"/>
      <c r="AQ377" s="78"/>
      <c r="AR377" s="78"/>
      <c r="AS377" s="78"/>
      <c r="AT377" s="78"/>
      <c r="AU377" s="78"/>
      <c r="AV377" s="78"/>
      <c r="AW377" s="78"/>
      <c r="AX377" s="78"/>
      <c r="AY377" s="91"/>
      <c r="AZ377" s="78"/>
      <c r="BA377" s="78"/>
      <c r="BB377" s="78"/>
      <c r="BC377" s="78"/>
      <c r="BD377" s="78"/>
      <c r="BE377" s="78"/>
      <c r="BF377" s="78"/>
      <c r="BG377" s="78"/>
      <c r="BH377" s="78"/>
      <c r="BI377" s="78"/>
      <c r="BJ377" s="78"/>
      <c r="BK377" s="78"/>
      <c r="BL377" s="78"/>
      <c r="BM377" s="78"/>
      <c r="BN377" s="78"/>
      <c r="BO377" s="78"/>
      <c r="BP377" s="78"/>
      <c r="BQ377" s="78"/>
      <c r="BR377" s="78"/>
      <c r="BS377" s="78"/>
      <c r="BT377" s="78"/>
      <c r="BU377" s="78"/>
      <c r="BV377" s="78"/>
      <c r="BW377" s="78"/>
      <c r="BX377" s="78"/>
      <c r="BY377" s="78"/>
      <c r="BZ377" s="78"/>
      <c r="CA377" s="78"/>
      <c r="CB377" s="78"/>
      <c r="CC377" s="78"/>
      <c r="CD377" s="78"/>
      <c r="CE377" s="78"/>
      <c r="CF377" s="78"/>
      <c r="CG377" s="78"/>
      <c r="CH377" s="78"/>
      <c r="CI377" s="78"/>
      <c r="CJ377" s="78"/>
      <c r="CK377" s="78"/>
      <c r="CL377" s="78"/>
      <c r="CM377" s="78"/>
      <c r="CN377" s="78"/>
      <c r="CO377" s="78"/>
      <c r="CP377" s="78"/>
      <c r="CQ377" s="78"/>
      <c r="CR377" s="78"/>
      <c r="CS377" s="78"/>
      <c r="CT377" s="78"/>
      <c r="CU377" s="78"/>
      <c r="CV377" s="78"/>
      <c r="CW377" s="78"/>
      <c r="CX377" s="78"/>
      <c r="CY377" s="78"/>
      <c r="CZ377" s="78"/>
      <c r="DA377" s="78"/>
      <c r="DB377" s="78"/>
      <c r="DC377" s="78"/>
      <c r="DD377" s="78"/>
      <c r="DE377" s="78"/>
      <c r="DF377" s="78"/>
      <c r="DG377" s="78"/>
      <c r="DH377" s="78"/>
      <c r="DI377" s="78"/>
      <c r="DJ377" s="78"/>
      <c r="DK377" s="78"/>
      <c r="DL377" s="78"/>
      <c r="DM377" s="78"/>
      <c r="DN377" s="78"/>
      <c r="DO377" s="78"/>
      <c r="DP377" s="78"/>
      <c r="DQ377" s="78"/>
      <c r="DR377" s="78"/>
      <c r="DS377" s="78"/>
      <c r="DT377" s="78"/>
      <c r="DU377" s="78"/>
      <c r="DV377" s="78"/>
      <c r="DW377" s="78"/>
      <c r="DX377" s="78"/>
      <c r="DY377" s="78"/>
      <c r="DZ377" s="78"/>
      <c r="EA377" s="78"/>
      <c r="EB377" s="78"/>
      <c r="EC377" s="78"/>
      <c r="ED377" s="78"/>
      <c r="EE377" s="78"/>
      <c r="EF377" s="78"/>
      <c r="EG377" s="78"/>
      <c r="EH377" s="78"/>
      <c r="EI377" s="78"/>
      <c r="EJ377" s="78"/>
      <c r="EK377" s="78"/>
      <c r="EL377" s="78"/>
      <c r="EM377" s="78"/>
      <c r="EN377" s="91"/>
      <c r="EO377" s="91"/>
      <c r="EP377" s="91"/>
      <c r="EQ377" s="91"/>
      <c r="ER377" s="91"/>
      <c r="ES377" s="91"/>
    </row>
    <row r="378" spans="1:149" outlineLevel="1">
      <c r="A378" s="29" t="str">
        <f t="shared" si="311"/>
        <v>modesg_inp_risco_fisicocod_nace_esg</v>
      </c>
      <c r="B378" s="67" t="s">
        <v>26</v>
      </c>
      <c r="C378" s="68" t="s">
        <v>181</v>
      </c>
      <c r="D378" s="64" t="s">
        <v>40</v>
      </c>
      <c r="E378" s="66" t="s">
        <v>216</v>
      </c>
      <c r="F378" s="64" t="s">
        <v>281</v>
      </c>
      <c r="G378" s="64" t="str">
        <f>INDEX(Auxiliar!$B$16:$B$24,MATCH(Plano_V3!H378,Auxiliar!$C$16:$C$24,0),1)</f>
        <v>1. Concluído</v>
      </c>
      <c r="H378" s="64">
        <f>VLOOKUP(A378,'Aux - pivots1'!$A:$B,2,0)</f>
        <v>1</v>
      </c>
      <c r="I378" s="180">
        <f>SUMIFS(Table1[Estimação (horas)],Table1[Tabela],Plano_V3!E378,Table1[Campo],Plano_V3!F378)</f>
        <v>0.6</v>
      </c>
      <c r="J378" s="180">
        <f t="shared" si="307"/>
        <v>7.4999999999999997E-2</v>
      </c>
      <c r="K378" s="180">
        <f>SUMIFS(Table1[Horas efetivas],Table1[Tabela],Plano_V3!E378,Table1[Campo],Plano_V3!F378)</f>
        <v>0.6</v>
      </c>
      <c r="L378" s="180">
        <f t="shared" si="308"/>
        <v>7.4999999999999997E-2</v>
      </c>
      <c r="M378" s="174"/>
      <c r="N378" s="174">
        <f t="shared" si="309"/>
        <v>1</v>
      </c>
      <c r="O378" s="174">
        <f t="shared" si="310"/>
        <v>1</v>
      </c>
      <c r="P378" s="89" t="s">
        <v>39</v>
      </c>
      <c r="Q378" s="90">
        <f t="shared" si="312"/>
        <v>7.4999999999999997E-2</v>
      </c>
      <c r="R378" s="78"/>
      <c r="S378" s="78"/>
      <c r="T378" s="78"/>
      <c r="U378" s="78"/>
      <c r="V378" s="78"/>
      <c r="W378" s="78"/>
      <c r="X378" s="78"/>
      <c r="Y378" s="78"/>
      <c r="Z378" s="78"/>
      <c r="AA378" s="78"/>
      <c r="AB378" s="78"/>
      <c r="AC378" s="78"/>
      <c r="AD378" s="78"/>
      <c r="AE378" s="78"/>
      <c r="AF378" s="78"/>
      <c r="AG378" s="78"/>
      <c r="AH378" s="78"/>
      <c r="AI378" s="78"/>
      <c r="AJ378" s="78"/>
      <c r="AK378" s="78"/>
      <c r="AL378" s="78"/>
      <c r="AM378" s="78"/>
      <c r="AN378" s="78"/>
      <c r="AO378" s="78"/>
      <c r="AP378" s="78"/>
      <c r="AQ378" s="78"/>
      <c r="AR378" s="78"/>
      <c r="AS378" s="78"/>
      <c r="AT378" s="78"/>
      <c r="AU378" s="78"/>
      <c r="AV378" s="78"/>
      <c r="AW378" s="78"/>
      <c r="AX378" s="78"/>
      <c r="AY378" s="91"/>
      <c r="AZ378" s="78"/>
      <c r="BA378" s="78"/>
      <c r="BB378" s="78"/>
      <c r="BC378" s="78"/>
      <c r="BD378" s="78"/>
      <c r="BE378" s="78"/>
      <c r="BF378" s="78"/>
      <c r="BG378" s="78"/>
      <c r="BH378" s="78"/>
      <c r="BI378" s="78"/>
      <c r="BJ378" s="78"/>
      <c r="BK378" s="78"/>
      <c r="BL378" s="78"/>
      <c r="BM378" s="78"/>
      <c r="BN378" s="78"/>
      <c r="BO378" s="78"/>
      <c r="BP378" s="78"/>
      <c r="BQ378" s="78"/>
      <c r="BR378" s="78"/>
      <c r="BS378" s="78"/>
      <c r="BT378" s="78"/>
      <c r="BU378" s="78"/>
      <c r="BV378" s="78"/>
      <c r="BW378" s="78"/>
      <c r="BX378" s="78"/>
      <c r="BY378" s="78"/>
      <c r="BZ378" s="78"/>
      <c r="CA378" s="78"/>
      <c r="CB378" s="78"/>
      <c r="CC378" s="78"/>
      <c r="CD378" s="78"/>
      <c r="CE378" s="78"/>
      <c r="CF378" s="78"/>
      <c r="CG378" s="78"/>
      <c r="CH378" s="78"/>
      <c r="CI378" s="78"/>
      <c r="CJ378" s="78"/>
      <c r="CK378" s="78"/>
      <c r="CL378" s="78"/>
      <c r="CM378" s="78"/>
      <c r="CN378" s="78"/>
      <c r="CO378" s="78"/>
      <c r="CP378" s="78"/>
      <c r="CQ378" s="78"/>
      <c r="CR378" s="78"/>
      <c r="CS378" s="78"/>
      <c r="CT378" s="78"/>
      <c r="CU378" s="78"/>
      <c r="CV378" s="78"/>
      <c r="CW378" s="78"/>
      <c r="CX378" s="78"/>
      <c r="CY378" s="78"/>
      <c r="CZ378" s="78"/>
      <c r="DA378" s="78"/>
      <c r="DB378" s="78"/>
      <c r="DC378" s="78"/>
      <c r="DD378" s="78"/>
      <c r="DE378" s="78"/>
      <c r="DF378" s="78"/>
      <c r="DG378" s="78"/>
      <c r="DH378" s="78"/>
      <c r="DI378" s="78"/>
      <c r="DJ378" s="78"/>
      <c r="DK378" s="78"/>
      <c r="DL378" s="78"/>
      <c r="DM378" s="78"/>
      <c r="DN378" s="78"/>
      <c r="DO378" s="78"/>
      <c r="DP378" s="78"/>
      <c r="DQ378" s="78"/>
      <c r="DR378" s="78"/>
      <c r="DS378" s="78"/>
      <c r="DT378" s="78"/>
      <c r="DU378" s="78"/>
      <c r="DV378" s="78"/>
      <c r="DW378" s="78"/>
      <c r="DX378" s="78"/>
      <c r="DY378" s="78"/>
      <c r="DZ378" s="78"/>
      <c r="EA378" s="78"/>
      <c r="EB378" s="78"/>
      <c r="EC378" s="78"/>
      <c r="ED378" s="78"/>
      <c r="EE378" s="78"/>
      <c r="EF378" s="78"/>
      <c r="EG378" s="78"/>
      <c r="EH378" s="78"/>
      <c r="EI378" s="78"/>
      <c r="EJ378" s="78"/>
      <c r="EK378" s="78"/>
      <c r="EL378" s="78"/>
      <c r="EM378" s="78"/>
      <c r="EN378" s="91"/>
      <c r="EO378" s="91"/>
      <c r="EP378" s="91"/>
      <c r="EQ378" s="91"/>
      <c r="ER378" s="91"/>
      <c r="ES378" s="91"/>
    </row>
    <row r="379" spans="1:149" outlineLevel="1">
      <c r="A379" s="29" t="str">
        <f t="shared" si="311"/>
        <v>modesg_inp_risco_fisicoflg_rsc_fsc_agd</v>
      </c>
      <c r="B379" s="67" t="s">
        <v>26</v>
      </c>
      <c r="C379" s="68" t="s">
        <v>181</v>
      </c>
      <c r="D379" s="64" t="s">
        <v>40</v>
      </c>
      <c r="E379" s="66" t="s">
        <v>216</v>
      </c>
      <c r="F379" s="64" t="s">
        <v>282</v>
      </c>
      <c r="G379" s="64" t="str">
        <f>INDEX(Auxiliar!$B$16:$B$24,MATCH(Plano_V3!H379,Auxiliar!$C$16:$C$24,0),1)</f>
        <v>1. Concluído</v>
      </c>
      <c r="H379" s="64">
        <f>VLOOKUP(A379,'Aux - pivots1'!$A:$B,2,0)</f>
        <v>1</v>
      </c>
      <c r="I379" s="180">
        <f>SUMIFS(Table1[Estimação (horas)],Table1[Tabela],Plano_V3!E379,Table1[Campo],Plano_V3!F379)</f>
        <v>0.6</v>
      </c>
      <c r="J379" s="180">
        <f t="shared" si="307"/>
        <v>7.4999999999999997E-2</v>
      </c>
      <c r="K379" s="180">
        <f>SUMIFS(Table1[Horas efetivas],Table1[Tabela],Plano_V3!E379,Table1[Campo],Plano_V3!F379)</f>
        <v>0.6</v>
      </c>
      <c r="L379" s="180">
        <f t="shared" si="308"/>
        <v>7.4999999999999997E-2</v>
      </c>
      <c r="M379" s="174"/>
      <c r="N379" s="174">
        <f t="shared" si="309"/>
        <v>1</v>
      </c>
      <c r="O379" s="174">
        <f t="shared" si="310"/>
        <v>1</v>
      </c>
      <c r="P379" s="89" t="s">
        <v>39</v>
      </c>
      <c r="Q379" s="90">
        <f t="shared" si="312"/>
        <v>7.4999999999999997E-2</v>
      </c>
      <c r="R379" s="78"/>
      <c r="S379" s="78"/>
      <c r="T379" s="78"/>
      <c r="U379" s="78"/>
      <c r="V379" s="78"/>
      <c r="W379" s="78"/>
      <c r="X379" s="78"/>
      <c r="Y379" s="78"/>
      <c r="Z379" s="78"/>
      <c r="AA379" s="78"/>
      <c r="AB379" s="78"/>
      <c r="AC379" s="78"/>
      <c r="AD379" s="78"/>
      <c r="AE379" s="78"/>
      <c r="AF379" s="78"/>
      <c r="AG379" s="78"/>
      <c r="AH379" s="78"/>
      <c r="AI379" s="78"/>
      <c r="AJ379" s="78"/>
      <c r="AK379" s="78"/>
      <c r="AL379" s="78"/>
      <c r="AM379" s="78"/>
      <c r="AN379" s="78"/>
      <c r="AO379" s="78"/>
      <c r="AP379" s="78"/>
      <c r="AQ379" s="78"/>
      <c r="AR379" s="78"/>
      <c r="AS379" s="78"/>
      <c r="AT379" s="78"/>
      <c r="AU379" s="78"/>
      <c r="AV379" s="78"/>
      <c r="AW379" s="78"/>
      <c r="AX379" s="78"/>
      <c r="AY379" s="91"/>
      <c r="AZ379" s="78"/>
      <c r="BA379" s="78"/>
      <c r="BB379" s="78"/>
      <c r="BC379" s="78"/>
      <c r="BD379" s="78"/>
      <c r="BE379" s="78"/>
      <c r="BF379" s="78"/>
      <c r="BG379" s="78"/>
      <c r="BH379" s="78"/>
      <c r="BI379" s="78"/>
      <c r="BJ379" s="78"/>
      <c r="BK379" s="78"/>
      <c r="BL379" s="78"/>
      <c r="BM379" s="78"/>
      <c r="BN379" s="78"/>
      <c r="BO379" s="78"/>
      <c r="BP379" s="78"/>
      <c r="BQ379" s="78"/>
      <c r="BR379" s="78"/>
      <c r="BS379" s="78"/>
      <c r="BT379" s="78"/>
      <c r="BU379" s="78"/>
      <c r="BV379" s="78"/>
      <c r="BW379" s="78"/>
      <c r="BX379" s="78"/>
      <c r="BY379" s="78"/>
      <c r="BZ379" s="78"/>
      <c r="CA379" s="78"/>
      <c r="CB379" s="78"/>
      <c r="CC379" s="78"/>
      <c r="CD379" s="78"/>
      <c r="CE379" s="78"/>
      <c r="CF379" s="78"/>
      <c r="CG379" s="78"/>
      <c r="CH379" s="78"/>
      <c r="CI379" s="78"/>
      <c r="CJ379" s="78"/>
      <c r="CK379" s="78"/>
      <c r="CL379" s="78"/>
      <c r="CM379" s="78"/>
      <c r="CN379" s="78"/>
      <c r="CO379" s="78"/>
      <c r="CP379" s="78"/>
      <c r="CQ379" s="78"/>
      <c r="CR379" s="78"/>
      <c r="CS379" s="78"/>
      <c r="CT379" s="78"/>
      <c r="CU379" s="78"/>
      <c r="CV379" s="78"/>
      <c r="CW379" s="78"/>
      <c r="CX379" s="78"/>
      <c r="CY379" s="78"/>
      <c r="CZ379" s="78"/>
      <c r="DA379" s="78"/>
      <c r="DB379" s="78"/>
      <c r="DC379" s="78"/>
      <c r="DD379" s="78"/>
      <c r="DE379" s="78"/>
      <c r="DF379" s="78"/>
      <c r="DG379" s="78"/>
      <c r="DH379" s="78"/>
      <c r="DI379" s="78"/>
      <c r="DJ379" s="78"/>
      <c r="DK379" s="78"/>
      <c r="DL379" s="78"/>
      <c r="DM379" s="78"/>
      <c r="DN379" s="78"/>
      <c r="DO379" s="78"/>
      <c r="DP379" s="78"/>
      <c r="DQ379" s="78"/>
      <c r="DR379" s="78"/>
      <c r="DS379" s="78"/>
      <c r="DT379" s="78"/>
      <c r="DU379" s="78"/>
      <c r="DV379" s="78"/>
      <c r="DW379" s="78"/>
      <c r="DX379" s="78"/>
      <c r="DY379" s="78"/>
      <c r="DZ379" s="78"/>
      <c r="EA379" s="78"/>
      <c r="EB379" s="78"/>
      <c r="EC379" s="78"/>
      <c r="ED379" s="78"/>
      <c r="EE379" s="78"/>
      <c r="EF379" s="78"/>
      <c r="EG379" s="78"/>
      <c r="EH379" s="78"/>
      <c r="EI379" s="78"/>
      <c r="EJ379" s="78"/>
      <c r="EK379" s="78"/>
      <c r="EL379" s="78"/>
      <c r="EM379" s="78"/>
      <c r="EN379" s="91"/>
      <c r="EO379" s="91"/>
      <c r="EP379" s="91"/>
      <c r="EQ379" s="91"/>
      <c r="ER379" s="91"/>
      <c r="ES379" s="91"/>
    </row>
    <row r="380" spans="1:149" outlineLevel="1">
      <c r="A380" s="29" t="str">
        <f t="shared" si="311"/>
        <v>modesg_inp_risco_fisicoflg_rsc_fsc_crnc</v>
      </c>
      <c r="B380" s="67" t="s">
        <v>26</v>
      </c>
      <c r="C380" s="68" t="s">
        <v>181</v>
      </c>
      <c r="D380" s="64" t="s">
        <v>40</v>
      </c>
      <c r="E380" s="66" t="s">
        <v>216</v>
      </c>
      <c r="F380" s="64" t="s">
        <v>283</v>
      </c>
      <c r="G380" s="64" t="str">
        <f>INDEX(Auxiliar!$B$16:$B$24,MATCH(Plano_V3!H380,Auxiliar!$C$16:$C$24,0),1)</f>
        <v>1. Concluído</v>
      </c>
      <c r="H380" s="64">
        <f>VLOOKUP(A380,'Aux - pivots1'!$A:$B,2,0)</f>
        <v>1</v>
      </c>
      <c r="I380" s="180">
        <f>SUMIFS(Table1[Estimação (horas)],Table1[Tabela],Plano_V3!E380,Table1[Campo],Plano_V3!F380)</f>
        <v>0.6</v>
      </c>
      <c r="J380" s="180">
        <f t="shared" si="307"/>
        <v>7.4999999999999997E-2</v>
      </c>
      <c r="K380" s="180">
        <f>SUMIFS(Table1[Horas efetivas],Table1[Tabela],Plano_V3!E380,Table1[Campo],Plano_V3!F380)</f>
        <v>0.6</v>
      </c>
      <c r="L380" s="180">
        <f t="shared" si="308"/>
        <v>7.4999999999999997E-2</v>
      </c>
      <c r="M380" s="174"/>
      <c r="N380" s="174">
        <f t="shared" si="309"/>
        <v>1</v>
      </c>
      <c r="O380" s="174">
        <f t="shared" si="310"/>
        <v>1</v>
      </c>
      <c r="P380" s="89" t="s">
        <v>39</v>
      </c>
      <c r="Q380" s="90">
        <f t="shared" si="312"/>
        <v>7.4999999999999997E-2</v>
      </c>
      <c r="R380" s="78"/>
      <c r="S380" s="78"/>
      <c r="T380" s="78"/>
      <c r="U380" s="78"/>
      <c r="V380" s="78"/>
      <c r="W380" s="78"/>
      <c r="X380" s="78"/>
      <c r="Y380" s="78"/>
      <c r="Z380" s="78"/>
      <c r="AA380" s="78"/>
      <c r="AB380" s="78"/>
      <c r="AC380" s="78"/>
      <c r="AD380" s="78"/>
      <c r="AE380" s="78"/>
      <c r="AF380" s="78"/>
      <c r="AG380" s="78"/>
      <c r="AH380" s="78"/>
      <c r="AI380" s="78"/>
      <c r="AJ380" s="78"/>
      <c r="AK380" s="78"/>
      <c r="AL380" s="78"/>
      <c r="AM380" s="78"/>
      <c r="AN380" s="78"/>
      <c r="AO380" s="78"/>
      <c r="AP380" s="78"/>
      <c r="AQ380" s="78"/>
      <c r="AR380" s="78"/>
      <c r="AS380" s="78"/>
      <c r="AT380" s="78"/>
      <c r="AU380" s="78"/>
      <c r="AV380" s="78"/>
      <c r="AW380" s="78"/>
      <c r="AX380" s="78"/>
      <c r="AY380" s="91"/>
      <c r="AZ380" s="78"/>
      <c r="BA380" s="78"/>
      <c r="BB380" s="78"/>
      <c r="BC380" s="78"/>
      <c r="BD380" s="78"/>
      <c r="BE380" s="78"/>
      <c r="BF380" s="78"/>
      <c r="BG380" s="78"/>
      <c r="BH380" s="78"/>
      <c r="BI380" s="78"/>
      <c r="BJ380" s="78"/>
      <c r="BK380" s="78"/>
      <c r="BL380" s="78"/>
      <c r="BM380" s="78"/>
      <c r="BN380" s="78"/>
      <c r="BO380" s="78"/>
      <c r="BP380" s="78"/>
      <c r="BQ380" s="78"/>
      <c r="BR380" s="78"/>
      <c r="BS380" s="78"/>
      <c r="BT380" s="78"/>
      <c r="BU380" s="78"/>
      <c r="BV380" s="78"/>
      <c r="BW380" s="78"/>
      <c r="BX380" s="78"/>
      <c r="BY380" s="78"/>
      <c r="BZ380" s="78"/>
      <c r="CA380" s="78"/>
      <c r="CB380" s="78"/>
      <c r="CC380" s="78"/>
      <c r="CD380" s="78"/>
      <c r="CE380" s="78"/>
      <c r="CF380" s="78"/>
      <c r="CG380" s="78"/>
      <c r="CH380" s="78"/>
      <c r="CI380" s="78"/>
      <c r="CJ380" s="78"/>
      <c r="CK380" s="78"/>
      <c r="CL380" s="78"/>
      <c r="CM380" s="78"/>
      <c r="CN380" s="78"/>
      <c r="CO380" s="78"/>
      <c r="CP380" s="78"/>
      <c r="CQ380" s="78"/>
      <c r="CR380" s="78"/>
      <c r="CS380" s="78"/>
      <c r="CT380" s="78"/>
      <c r="CU380" s="78"/>
      <c r="CV380" s="78"/>
      <c r="CW380" s="78"/>
      <c r="CX380" s="78"/>
      <c r="CY380" s="78"/>
      <c r="CZ380" s="78"/>
      <c r="DA380" s="78"/>
      <c r="DB380" s="78"/>
      <c r="DC380" s="78"/>
      <c r="DD380" s="78"/>
      <c r="DE380" s="78"/>
      <c r="DF380" s="78"/>
      <c r="DG380" s="78"/>
      <c r="DH380" s="78"/>
      <c r="DI380" s="78"/>
      <c r="DJ380" s="78"/>
      <c r="DK380" s="78"/>
      <c r="DL380" s="78"/>
      <c r="DM380" s="78"/>
      <c r="DN380" s="78"/>
      <c r="DO380" s="78"/>
      <c r="DP380" s="78"/>
      <c r="DQ380" s="78"/>
      <c r="DR380" s="78"/>
      <c r="DS380" s="78"/>
      <c r="DT380" s="78"/>
      <c r="DU380" s="78"/>
      <c r="DV380" s="78"/>
      <c r="DW380" s="78"/>
      <c r="DX380" s="78"/>
      <c r="DY380" s="78"/>
      <c r="DZ380" s="78"/>
      <c r="EA380" s="78"/>
      <c r="EB380" s="78"/>
      <c r="EC380" s="78"/>
      <c r="ED380" s="78"/>
      <c r="EE380" s="78"/>
      <c r="EF380" s="78"/>
      <c r="EG380" s="78"/>
      <c r="EH380" s="78"/>
      <c r="EI380" s="78"/>
      <c r="EJ380" s="78"/>
      <c r="EK380" s="78"/>
      <c r="EL380" s="78"/>
      <c r="EM380" s="78"/>
      <c r="EN380" s="91"/>
      <c r="EO380" s="91"/>
      <c r="EP380" s="91"/>
      <c r="EQ380" s="91"/>
      <c r="ER380" s="91"/>
      <c r="ES380" s="91"/>
    </row>
    <row r="381" spans="1:149" outlineLevel="1">
      <c r="A381" s="29" t="str">
        <f>E381&amp;F381</f>
        <v>modesg_inp_risco_fisico_zipcodecod_pais</v>
      </c>
      <c r="B381" s="67" t="s">
        <v>26</v>
      </c>
      <c r="C381" s="68" t="s">
        <v>181</v>
      </c>
      <c r="D381" s="64" t="s">
        <v>40</v>
      </c>
      <c r="E381" s="66" t="s">
        <v>2154</v>
      </c>
      <c r="F381" s="64" t="s">
        <v>279</v>
      </c>
      <c r="G381" s="64" t="str">
        <f>INDEX(Auxiliar!$B$16:$B$24,MATCH(Plano_V3!H381,Auxiliar!$C$16:$C$24,0),1)</f>
        <v>1. Concluído</v>
      </c>
      <c r="H381" s="64">
        <f>VLOOKUP(A381,'Aux - pivots1'!$A:$B,2,0)</f>
        <v>1</v>
      </c>
      <c r="I381" s="180" t="e">
        <f>SUMIFS(Table1[Estimação (horas)],Table1[Tabela],Plano_V3!E381,Table1[Campo],Plano_V3!F381)</f>
        <v>#N/A</v>
      </c>
      <c r="J381" s="180" t="e">
        <f>I381/8</f>
        <v>#N/A</v>
      </c>
      <c r="K381" s="180" t="e">
        <f>SUMIFS(Table1[Horas efetivas],Table1[Tabela],Plano_V3!E381,Table1[Campo],Plano_V3!F381)</f>
        <v>#N/A</v>
      </c>
      <c r="L381" s="180" t="e">
        <f>K381/8</f>
        <v>#N/A</v>
      </c>
      <c r="M381" s="174"/>
      <c r="N381" s="174" t="e">
        <f>L381/J381</f>
        <v>#N/A</v>
      </c>
      <c r="O381" s="174" t="e">
        <f>N381-M381</f>
        <v>#N/A</v>
      </c>
      <c r="P381" s="89" t="s">
        <v>39</v>
      </c>
      <c r="Q381" s="90"/>
      <c r="R381" s="78"/>
      <c r="S381" s="78"/>
      <c r="T381" s="78"/>
      <c r="U381" s="78"/>
      <c r="V381" s="78"/>
      <c r="W381" s="78"/>
      <c r="X381" s="78"/>
      <c r="Y381" s="78"/>
      <c r="Z381" s="78"/>
      <c r="AA381" s="78"/>
      <c r="AB381" s="78"/>
      <c r="AC381" s="78"/>
      <c r="AD381" s="78"/>
      <c r="AE381" s="78"/>
      <c r="AF381" s="78"/>
      <c r="AG381" s="78"/>
      <c r="AH381" s="78"/>
      <c r="AI381" s="78"/>
      <c r="AJ381" s="78"/>
      <c r="AK381" s="78"/>
      <c r="AL381" s="78"/>
      <c r="AM381" s="78"/>
      <c r="AN381" s="78"/>
      <c r="AO381" s="78"/>
      <c r="AP381" s="78"/>
      <c r="AQ381" s="78"/>
      <c r="AR381" s="78"/>
      <c r="AS381" s="78"/>
      <c r="AT381" s="78"/>
      <c r="AU381" s="78"/>
      <c r="AV381" s="78"/>
      <c r="AW381" s="78"/>
      <c r="AX381" s="78"/>
      <c r="AY381" s="91"/>
      <c r="AZ381" s="78"/>
      <c r="BA381" s="78"/>
      <c r="BB381" s="78"/>
      <c r="BC381" s="78"/>
      <c r="BD381" s="78"/>
      <c r="BE381" s="78"/>
      <c r="BF381" s="78"/>
      <c r="BG381" s="78"/>
      <c r="BH381" s="78"/>
      <c r="BI381" s="78"/>
      <c r="BJ381" s="78"/>
      <c r="BK381" s="78"/>
      <c r="BL381" s="78"/>
      <c r="BM381" s="78"/>
      <c r="BN381" s="78"/>
      <c r="BO381" s="78"/>
      <c r="BP381" s="78"/>
      <c r="BQ381" s="78"/>
      <c r="BR381" s="78"/>
      <c r="BS381" s="78"/>
      <c r="BT381" s="78"/>
      <c r="BU381" s="78"/>
      <c r="BV381" s="78"/>
      <c r="BW381" s="78"/>
      <c r="BX381" s="78"/>
      <c r="BY381" s="78"/>
      <c r="BZ381" s="78"/>
      <c r="CA381" s="78"/>
      <c r="CB381" s="78"/>
      <c r="CC381" s="78"/>
      <c r="CD381" s="78"/>
      <c r="CE381" s="78"/>
      <c r="CF381" s="78"/>
      <c r="CG381" s="78"/>
      <c r="CH381" s="78"/>
      <c r="CI381" s="78"/>
      <c r="CJ381" s="78"/>
      <c r="CK381" s="78"/>
      <c r="CL381" s="78"/>
      <c r="CM381" s="78"/>
      <c r="CN381" s="78"/>
      <c r="CO381" s="78"/>
      <c r="CP381" s="78"/>
      <c r="CQ381" s="78"/>
      <c r="CR381" s="78"/>
      <c r="CS381" s="78"/>
      <c r="CT381" s="78"/>
      <c r="CU381" s="78"/>
      <c r="CV381" s="78"/>
      <c r="CW381" s="78"/>
      <c r="CX381" s="78"/>
      <c r="CY381" s="78"/>
      <c r="CZ381" s="78"/>
      <c r="DA381" s="78"/>
      <c r="DB381" s="78"/>
      <c r="DC381" s="78"/>
      <c r="DD381" s="78"/>
      <c r="DE381" s="78"/>
      <c r="DF381" s="78"/>
      <c r="DG381" s="78"/>
      <c r="DH381" s="78"/>
      <c r="DI381" s="78"/>
      <c r="DJ381" s="78"/>
      <c r="DK381" s="78"/>
      <c r="DL381" s="78"/>
      <c r="DM381" s="78"/>
      <c r="DN381" s="78"/>
      <c r="DO381" s="78"/>
      <c r="DP381" s="78"/>
      <c r="DQ381" s="78"/>
      <c r="DR381" s="78"/>
      <c r="DS381" s="78"/>
      <c r="DT381" s="78"/>
      <c r="DU381" s="78"/>
      <c r="DV381" s="78"/>
      <c r="DW381" s="78"/>
      <c r="DX381" s="78"/>
      <c r="DY381" s="78"/>
      <c r="DZ381" s="78"/>
      <c r="EA381" s="78"/>
      <c r="EB381" s="78"/>
      <c r="EC381" s="78"/>
      <c r="ED381" s="78"/>
      <c r="EE381" s="78"/>
      <c r="EF381" s="78"/>
      <c r="EG381" s="78"/>
      <c r="EH381" s="78"/>
      <c r="EI381" s="78"/>
      <c r="EJ381" s="78"/>
      <c r="EK381" s="78"/>
      <c r="EL381" s="78"/>
      <c r="EM381" s="78"/>
      <c r="EN381" s="91"/>
      <c r="EO381" s="91"/>
      <c r="EP381" s="91"/>
      <c r="EQ381" s="91"/>
      <c r="ER381" s="91"/>
      <c r="ES381" s="91"/>
    </row>
    <row r="382" spans="1:149" outlineLevel="1">
      <c r="A382" s="29" t="str">
        <f>E382&amp;F382</f>
        <v>modesg_inp_risco_fisico_zipcodelocalizacao</v>
      </c>
      <c r="B382" s="67" t="s">
        <v>26</v>
      </c>
      <c r="C382" s="68" t="s">
        <v>181</v>
      </c>
      <c r="D382" s="64" t="s">
        <v>40</v>
      </c>
      <c r="E382" s="66" t="s">
        <v>2154</v>
      </c>
      <c r="F382" s="64" t="s">
        <v>2155</v>
      </c>
      <c r="G382" s="64" t="str">
        <f>INDEX(Auxiliar!$B$16:$B$24,MATCH(Plano_V3!H382,Auxiliar!$C$16:$C$24,0),1)</f>
        <v>1. Concluído</v>
      </c>
      <c r="H382" s="64">
        <f>VLOOKUP(A382,'Aux - pivots1'!$A:$B,2,0)</f>
        <v>1</v>
      </c>
      <c r="I382" s="180" t="e">
        <f>SUMIFS(Table1[Estimação (horas)],Table1[Tabela],Plano_V3!E382,Table1[Campo],Plano_V3!F382)</f>
        <v>#N/A</v>
      </c>
      <c r="J382" s="180" t="e">
        <f>I382/8</f>
        <v>#N/A</v>
      </c>
      <c r="K382" s="180" t="e">
        <f>SUMIFS(Table1[Horas efetivas],Table1[Tabela],Plano_V3!E382,Table1[Campo],Plano_V3!F382)</f>
        <v>#N/A</v>
      </c>
      <c r="L382" s="180" t="e">
        <f>K382/8</f>
        <v>#N/A</v>
      </c>
      <c r="M382" s="174"/>
      <c r="N382" s="174" t="e">
        <f>L382/J382</f>
        <v>#N/A</v>
      </c>
      <c r="O382" s="174" t="e">
        <f>N382-M382</f>
        <v>#N/A</v>
      </c>
      <c r="P382" s="89" t="s">
        <v>39</v>
      </c>
      <c r="Q382" s="90"/>
      <c r="R382" s="78"/>
      <c r="S382" s="78"/>
      <c r="T382" s="78"/>
      <c r="U382" s="78"/>
      <c r="V382" s="78"/>
      <c r="W382" s="78"/>
      <c r="X382" s="78"/>
      <c r="Y382" s="78"/>
      <c r="Z382" s="78"/>
      <c r="AA382" s="78"/>
      <c r="AB382" s="78"/>
      <c r="AC382" s="78"/>
      <c r="AD382" s="78"/>
      <c r="AE382" s="78"/>
      <c r="AF382" s="78"/>
      <c r="AG382" s="78"/>
      <c r="AH382" s="78"/>
      <c r="AI382" s="78"/>
      <c r="AJ382" s="78"/>
      <c r="AK382" s="78"/>
      <c r="AL382" s="78"/>
      <c r="AM382" s="78"/>
      <c r="AN382" s="78"/>
      <c r="AO382" s="78"/>
      <c r="AP382" s="78"/>
      <c r="AQ382" s="78"/>
      <c r="AR382" s="78"/>
      <c r="AS382" s="78"/>
      <c r="AT382" s="78"/>
      <c r="AU382" s="78"/>
      <c r="AV382" s="78"/>
      <c r="AW382" s="78"/>
      <c r="AX382" s="78"/>
      <c r="AY382" s="91"/>
      <c r="AZ382" s="78"/>
      <c r="BA382" s="78"/>
      <c r="BB382" s="78"/>
      <c r="BC382" s="78"/>
      <c r="BD382" s="78"/>
      <c r="BE382" s="78"/>
      <c r="BF382" s="78"/>
      <c r="BG382" s="78"/>
      <c r="BH382" s="78"/>
      <c r="BI382" s="78"/>
      <c r="BJ382" s="78"/>
      <c r="BK382" s="78"/>
      <c r="BL382" s="78"/>
      <c r="BM382" s="78"/>
      <c r="BN382" s="78"/>
      <c r="BO382" s="78"/>
      <c r="BP382" s="78"/>
      <c r="BQ382" s="78"/>
      <c r="BR382" s="78"/>
      <c r="BS382" s="78"/>
      <c r="BT382" s="78"/>
      <c r="BU382" s="78"/>
      <c r="BV382" s="78"/>
      <c r="BW382" s="78"/>
      <c r="BX382" s="78"/>
      <c r="BY382" s="78"/>
      <c r="BZ382" s="78"/>
      <c r="CA382" s="78"/>
      <c r="CB382" s="78"/>
      <c r="CC382" s="78"/>
      <c r="CD382" s="78"/>
      <c r="CE382" s="78"/>
      <c r="CF382" s="78"/>
      <c r="CG382" s="78"/>
      <c r="CH382" s="78"/>
      <c r="CI382" s="78"/>
      <c r="CJ382" s="78"/>
      <c r="CK382" s="78"/>
      <c r="CL382" s="78"/>
      <c r="CM382" s="78"/>
      <c r="CN382" s="78"/>
      <c r="CO382" s="78"/>
      <c r="CP382" s="78"/>
      <c r="CQ382" s="78"/>
      <c r="CR382" s="78"/>
      <c r="CS382" s="78"/>
      <c r="CT382" s="78"/>
      <c r="CU382" s="78"/>
      <c r="CV382" s="78"/>
      <c r="CW382" s="78"/>
      <c r="CX382" s="78"/>
      <c r="CY382" s="78"/>
      <c r="CZ382" s="78"/>
      <c r="DA382" s="78"/>
      <c r="DB382" s="78"/>
      <c r="DC382" s="78"/>
      <c r="DD382" s="78"/>
      <c r="DE382" s="78"/>
      <c r="DF382" s="78"/>
      <c r="DG382" s="78"/>
      <c r="DH382" s="78"/>
      <c r="DI382" s="78"/>
      <c r="DJ382" s="78"/>
      <c r="DK382" s="78"/>
      <c r="DL382" s="78"/>
      <c r="DM382" s="78"/>
      <c r="DN382" s="78"/>
      <c r="DO382" s="78"/>
      <c r="DP382" s="78"/>
      <c r="DQ382" s="78"/>
      <c r="DR382" s="78"/>
      <c r="DS382" s="78"/>
      <c r="DT382" s="78"/>
      <c r="DU382" s="78"/>
      <c r="DV382" s="78"/>
      <c r="DW382" s="78"/>
      <c r="DX382" s="78"/>
      <c r="DY382" s="78"/>
      <c r="DZ382" s="78"/>
      <c r="EA382" s="78"/>
      <c r="EB382" s="78"/>
      <c r="EC382" s="78"/>
      <c r="ED382" s="78"/>
      <c r="EE382" s="78"/>
      <c r="EF382" s="78"/>
      <c r="EG382" s="78"/>
      <c r="EH382" s="78"/>
      <c r="EI382" s="78"/>
      <c r="EJ382" s="78"/>
      <c r="EK382" s="78"/>
      <c r="EL382" s="78"/>
      <c r="EM382" s="78"/>
      <c r="EN382" s="91"/>
      <c r="EO382" s="91"/>
      <c r="EP382" s="91"/>
      <c r="EQ382" s="91"/>
      <c r="ER382" s="91"/>
      <c r="ES382" s="91"/>
    </row>
    <row r="383" spans="1:149" outlineLevel="1">
      <c r="A383" s="29" t="str">
        <f>E383&amp;F383</f>
        <v>modesg_inp_risco_fisico_zipcodecod_nace_esg</v>
      </c>
      <c r="B383" s="67" t="s">
        <v>26</v>
      </c>
      <c r="C383" s="68" t="s">
        <v>181</v>
      </c>
      <c r="D383" s="64" t="s">
        <v>40</v>
      </c>
      <c r="E383" s="66" t="s">
        <v>2154</v>
      </c>
      <c r="F383" s="64" t="s">
        <v>281</v>
      </c>
      <c r="G383" s="64" t="str">
        <f>INDEX(Auxiliar!$B$16:$B$24,MATCH(Plano_V3!H383,Auxiliar!$C$16:$C$24,0),1)</f>
        <v>1. Concluído</v>
      </c>
      <c r="H383" s="64">
        <f>VLOOKUP(A383,'Aux - pivots1'!$A:$B,2,0)</f>
        <v>1</v>
      </c>
      <c r="I383" s="180" t="e">
        <f>SUMIFS(Table1[Estimação (horas)],Table1[Tabela],Plano_V3!E383,Table1[Campo],Plano_V3!F383)</f>
        <v>#N/A</v>
      </c>
      <c r="J383" s="180" t="e">
        <f>I383/8</f>
        <v>#N/A</v>
      </c>
      <c r="K383" s="180" t="e">
        <f>SUMIFS(Table1[Horas efetivas],Table1[Tabela],Plano_V3!E383,Table1[Campo],Plano_V3!F383)</f>
        <v>#N/A</v>
      </c>
      <c r="L383" s="180" t="e">
        <f>K383/8</f>
        <v>#N/A</v>
      </c>
      <c r="M383" s="174"/>
      <c r="N383" s="174" t="e">
        <f>L383/J383</f>
        <v>#N/A</v>
      </c>
      <c r="O383" s="174" t="e">
        <f>N383-M383</f>
        <v>#N/A</v>
      </c>
      <c r="P383" s="89" t="s">
        <v>39</v>
      </c>
      <c r="Q383" s="90"/>
      <c r="R383" s="78"/>
      <c r="S383" s="78"/>
      <c r="T383" s="78"/>
      <c r="U383" s="78"/>
      <c r="V383" s="78"/>
      <c r="W383" s="78"/>
      <c r="X383" s="78"/>
      <c r="Y383" s="78"/>
      <c r="Z383" s="78"/>
      <c r="AA383" s="78"/>
      <c r="AB383" s="78"/>
      <c r="AC383" s="78"/>
      <c r="AD383" s="78"/>
      <c r="AE383" s="78"/>
      <c r="AF383" s="78"/>
      <c r="AG383" s="78"/>
      <c r="AH383" s="78"/>
      <c r="AI383" s="78"/>
      <c r="AJ383" s="78"/>
      <c r="AK383" s="78"/>
      <c r="AL383" s="78"/>
      <c r="AM383" s="78"/>
      <c r="AN383" s="78"/>
      <c r="AO383" s="78"/>
      <c r="AP383" s="78"/>
      <c r="AQ383" s="78"/>
      <c r="AR383" s="78"/>
      <c r="AS383" s="78"/>
      <c r="AT383" s="78"/>
      <c r="AU383" s="78"/>
      <c r="AV383" s="78"/>
      <c r="AW383" s="78"/>
      <c r="AX383" s="78"/>
      <c r="AY383" s="91"/>
      <c r="AZ383" s="78"/>
      <c r="BA383" s="78"/>
      <c r="BB383" s="78"/>
      <c r="BC383" s="78"/>
      <c r="BD383" s="78"/>
      <c r="BE383" s="78"/>
      <c r="BF383" s="78"/>
      <c r="BG383" s="78"/>
      <c r="BH383" s="78"/>
      <c r="BI383" s="78"/>
      <c r="BJ383" s="78"/>
      <c r="BK383" s="78"/>
      <c r="BL383" s="78"/>
      <c r="BM383" s="78"/>
      <c r="BN383" s="78"/>
      <c r="BO383" s="78"/>
      <c r="BP383" s="78"/>
      <c r="BQ383" s="78"/>
      <c r="BR383" s="78"/>
      <c r="BS383" s="78"/>
      <c r="BT383" s="78"/>
      <c r="BU383" s="78"/>
      <c r="BV383" s="78"/>
      <c r="BW383" s="78"/>
      <c r="BX383" s="78"/>
      <c r="BY383" s="78"/>
      <c r="BZ383" s="78"/>
      <c r="CA383" s="78"/>
      <c r="CB383" s="78"/>
      <c r="CC383" s="78"/>
      <c r="CD383" s="78"/>
      <c r="CE383" s="78"/>
      <c r="CF383" s="78"/>
      <c r="CG383" s="78"/>
      <c r="CH383" s="78"/>
      <c r="CI383" s="78"/>
      <c r="CJ383" s="78"/>
      <c r="CK383" s="78"/>
      <c r="CL383" s="78"/>
      <c r="CM383" s="78"/>
      <c r="CN383" s="78"/>
      <c r="CO383" s="78"/>
      <c r="CP383" s="78"/>
      <c r="CQ383" s="78"/>
      <c r="CR383" s="78"/>
      <c r="CS383" s="78"/>
      <c r="CT383" s="78"/>
      <c r="CU383" s="78"/>
      <c r="CV383" s="78"/>
      <c r="CW383" s="78"/>
      <c r="CX383" s="78"/>
      <c r="CY383" s="78"/>
      <c r="CZ383" s="78"/>
      <c r="DA383" s="78"/>
      <c r="DB383" s="78"/>
      <c r="DC383" s="78"/>
      <c r="DD383" s="78"/>
      <c r="DE383" s="78"/>
      <c r="DF383" s="78"/>
      <c r="DG383" s="78"/>
      <c r="DH383" s="78"/>
      <c r="DI383" s="78"/>
      <c r="DJ383" s="78"/>
      <c r="DK383" s="78"/>
      <c r="DL383" s="78"/>
      <c r="DM383" s="78"/>
      <c r="DN383" s="78"/>
      <c r="DO383" s="78"/>
      <c r="DP383" s="78"/>
      <c r="DQ383" s="78"/>
      <c r="DR383" s="78"/>
      <c r="DS383" s="78"/>
      <c r="DT383" s="78"/>
      <c r="DU383" s="78"/>
      <c r="DV383" s="78"/>
      <c r="DW383" s="78"/>
      <c r="DX383" s="78"/>
      <c r="DY383" s="78"/>
      <c r="DZ383" s="78"/>
      <c r="EA383" s="78"/>
      <c r="EB383" s="78"/>
      <c r="EC383" s="78"/>
      <c r="ED383" s="78"/>
      <c r="EE383" s="78"/>
      <c r="EF383" s="78"/>
      <c r="EG383" s="78"/>
      <c r="EH383" s="78"/>
      <c r="EI383" s="78"/>
      <c r="EJ383" s="78"/>
      <c r="EK383" s="78"/>
      <c r="EL383" s="78"/>
      <c r="EM383" s="78"/>
      <c r="EN383" s="91"/>
      <c r="EO383" s="91"/>
      <c r="EP383" s="91"/>
      <c r="EQ383" s="91"/>
      <c r="ER383" s="91"/>
      <c r="ES383" s="91"/>
    </row>
    <row r="384" spans="1:149" outlineLevel="1">
      <c r="A384" s="29" t="str">
        <f>E384&amp;F384</f>
        <v>modesg_inp_risco_fisico_zipcodeflg_rsc_fsc_agd</v>
      </c>
      <c r="B384" s="67" t="s">
        <v>26</v>
      </c>
      <c r="C384" s="68" t="s">
        <v>181</v>
      </c>
      <c r="D384" s="64" t="s">
        <v>40</v>
      </c>
      <c r="E384" s="66" t="s">
        <v>2154</v>
      </c>
      <c r="F384" s="64" t="s">
        <v>282</v>
      </c>
      <c r="G384" s="64" t="str">
        <f>INDEX(Auxiliar!$B$16:$B$24,MATCH(Plano_V3!H384,Auxiliar!$C$16:$C$24,0),1)</f>
        <v>1. Concluído</v>
      </c>
      <c r="H384" s="64">
        <f>VLOOKUP(A384,'Aux - pivots1'!$A:$B,2,0)</f>
        <v>1</v>
      </c>
      <c r="I384" s="180" t="e">
        <f>SUMIFS(Table1[Estimação (horas)],Table1[Tabela],Plano_V3!E384,Table1[Campo],Plano_V3!F384)</f>
        <v>#N/A</v>
      </c>
      <c r="J384" s="180" t="e">
        <f>I384/8</f>
        <v>#N/A</v>
      </c>
      <c r="K384" s="180" t="e">
        <f>SUMIFS(Table1[Horas efetivas],Table1[Tabela],Plano_V3!E384,Table1[Campo],Plano_V3!F384)</f>
        <v>#N/A</v>
      </c>
      <c r="L384" s="180" t="e">
        <f>K384/8</f>
        <v>#N/A</v>
      </c>
      <c r="M384" s="174"/>
      <c r="N384" s="174" t="e">
        <f>L384/J384</f>
        <v>#N/A</v>
      </c>
      <c r="O384" s="174" t="e">
        <f>N384-M384</f>
        <v>#N/A</v>
      </c>
      <c r="P384" s="89" t="s">
        <v>39</v>
      </c>
      <c r="Q384" s="90"/>
      <c r="R384" s="78"/>
      <c r="S384" s="78"/>
      <c r="T384" s="78"/>
      <c r="U384" s="78"/>
      <c r="V384" s="78"/>
      <c r="W384" s="78"/>
      <c r="X384" s="78"/>
      <c r="Y384" s="78"/>
      <c r="Z384" s="78"/>
      <c r="AA384" s="78"/>
      <c r="AB384" s="78"/>
      <c r="AC384" s="78"/>
      <c r="AD384" s="78"/>
      <c r="AE384" s="78"/>
      <c r="AF384" s="78"/>
      <c r="AG384" s="78"/>
      <c r="AH384" s="78"/>
      <c r="AI384" s="78"/>
      <c r="AJ384" s="78"/>
      <c r="AK384" s="78"/>
      <c r="AL384" s="78"/>
      <c r="AM384" s="78"/>
      <c r="AN384" s="78"/>
      <c r="AO384" s="78"/>
      <c r="AP384" s="78"/>
      <c r="AQ384" s="78"/>
      <c r="AR384" s="78"/>
      <c r="AS384" s="78"/>
      <c r="AT384" s="78"/>
      <c r="AU384" s="78"/>
      <c r="AV384" s="78"/>
      <c r="AW384" s="78"/>
      <c r="AX384" s="78"/>
      <c r="AY384" s="91"/>
      <c r="AZ384" s="78"/>
      <c r="BA384" s="78"/>
      <c r="BB384" s="78"/>
      <c r="BC384" s="78"/>
      <c r="BD384" s="78"/>
      <c r="BE384" s="78"/>
      <c r="BF384" s="78"/>
      <c r="BG384" s="78"/>
      <c r="BH384" s="78"/>
      <c r="BI384" s="78"/>
      <c r="BJ384" s="78"/>
      <c r="BK384" s="78"/>
      <c r="BL384" s="78"/>
      <c r="BM384" s="78"/>
      <c r="BN384" s="78"/>
      <c r="BO384" s="78"/>
      <c r="BP384" s="78"/>
      <c r="BQ384" s="78"/>
      <c r="BR384" s="78"/>
      <c r="BS384" s="78"/>
      <c r="BT384" s="78"/>
      <c r="BU384" s="78"/>
      <c r="BV384" s="78"/>
      <c r="BW384" s="78"/>
      <c r="BX384" s="78"/>
      <c r="BY384" s="78"/>
      <c r="BZ384" s="78"/>
      <c r="CA384" s="78"/>
      <c r="CB384" s="78"/>
      <c r="CC384" s="78"/>
      <c r="CD384" s="78"/>
      <c r="CE384" s="78"/>
      <c r="CF384" s="78"/>
      <c r="CG384" s="78"/>
      <c r="CH384" s="78"/>
      <c r="CI384" s="78"/>
      <c r="CJ384" s="78"/>
      <c r="CK384" s="78"/>
      <c r="CL384" s="78"/>
      <c r="CM384" s="78"/>
      <c r="CN384" s="78"/>
      <c r="CO384" s="78"/>
      <c r="CP384" s="78"/>
      <c r="CQ384" s="78"/>
      <c r="CR384" s="78"/>
      <c r="CS384" s="78"/>
      <c r="CT384" s="78"/>
      <c r="CU384" s="78"/>
      <c r="CV384" s="78"/>
      <c r="CW384" s="78"/>
      <c r="CX384" s="78"/>
      <c r="CY384" s="78"/>
      <c r="CZ384" s="78"/>
      <c r="DA384" s="78"/>
      <c r="DB384" s="78"/>
      <c r="DC384" s="78"/>
      <c r="DD384" s="78"/>
      <c r="DE384" s="78"/>
      <c r="DF384" s="78"/>
      <c r="DG384" s="78"/>
      <c r="DH384" s="78"/>
      <c r="DI384" s="78"/>
      <c r="DJ384" s="78"/>
      <c r="DK384" s="78"/>
      <c r="DL384" s="78"/>
      <c r="DM384" s="78"/>
      <c r="DN384" s="78"/>
      <c r="DO384" s="78"/>
      <c r="DP384" s="78"/>
      <c r="DQ384" s="78"/>
      <c r="DR384" s="78"/>
      <c r="DS384" s="78"/>
      <c r="DT384" s="78"/>
      <c r="DU384" s="78"/>
      <c r="DV384" s="78"/>
      <c r="DW384" s="78"/>
      <c r="DX384" s="78"/>
      <c r="DY384" s="78"/>
      <c r="DZ384" s="78"/>
      <c r="EA384" s="78"/>
      <c r="EB384" s="78"/>
      <c r="EC384" s="78"/>
      <c r="ED384" s="78"/>
      <c r="EE384" s="78"/>
      <c r="EF384" s="78"/>
      <c r="EG384" s="78"/>
      <c r="EH384" s="78"/>
      <c r="EI384" s="78"/>
      <c r="EJ384" s="78"/>
      <c r="EK384" s="78"/>
      <c r="EL384" s="78"/>
      <c r="EM384" s="78"/>
      <c r="EN384" s="91"/>
      <c r="EO384" s="91"/>
      <c r="EP384" s="91"/>
      <c r="EQ384" s="91"/>
      <c r="ER384" s="91"/>
      <c r="ES384" s="91"/>
    </row>
    <row r="385" spans="1:149" outlineLevel="1">
      <c r="A385" s="29" t="str">
        <f>E385&amp;F385</f>
        <v>modesg_inp_risco_fisico_zipcodeflg_rsc_fsc_crnc</v>
      </c>
      <c r="B385" s="67" t="s">
        <v>26</v>
      </c>
      <c r="C385" s="68" t="s">
        <v>181</v>
      </c>
      <c r="D385" s="64" t="s">
        <v>40</v>
      </c>
      <c r="E385" s="66" t="s">
        <v>2154</v>
      </c>
      <c r="F385" s="64" t="s">
        <v>283</v>
      </c>
      <c r="G385" s="64" t="str">
        <f>INDEX(Auxiliar!$B$16:$B$24,MATCH(Plano_V3!H385,Auxiliar!$C$16:$C$24,0),1)</f>
        <v>1. Concluído</v>
      </c>
      <c r="H385" s="64">
        <f>VLOOKUP(A385,'Aux - pivots1'!$A:$B,2,0)</f>
        <v>1</v>
      </c>
      <c r="I385" s="180" t="e">
        <f>SUMIFS(Table1[Estimação (horas)],Table1[Tabela],Plano_V3!E385,Table1[Campo],Plano_V3!F385)</f>
        <v>#N/A</v>
      </c>
      <c r="J385" s="180" t="e">
        <f>I385/8</f>
        <v>#N/A</v>
      </c>
      <c r="K385" s="180" t="e">
        <f>SUMIFS(Table1[Horas efetivas],Table1[Tabela],Plano_V3!E385,Table1[Campo],Plano_V3!F385)</f>
        <v>#N/A</v>
      </c>
      <c r="L385" s="180" t="e">
        <f>K385/8</f>
        <v>#N/A</v>
      </c>
      <c r="M385" s="174"/>
      <c r="N385" s="174" t="e">
        <f>L385/J385</f>
        <v>#N/A</v>
      </c>
      <c r="O385" s="174" t="e">
        <f>N385-M385</f>
        <v>#N/A</v>
      </c>
      <c r="P385" s="89" t="s">
        <v>39</v>
      </c>
      <c r="Q385" s="90"/>
      <c r="R385" s="78"/>
      <c r="S385" s="78"/>
      <c r="T385" s="78"/>
      <c r="U385" s="78"/>
      <c r="V385" s="78"/>
      <c r="W385" s="78"/>
      <c r="X385" s="78"/>
      <c r="Y385" s="78"/>
      <c r="Z385" s="78"/>
      <c r="AA385" s="78"/>
      <c r="AB385" s="78"/>
      <c r="AC385" s="78"/>
      <c r="AD385" s="78"/>
      <c r="AE385" s="78"/>
      <c r="AF385" s="78"/>
      <c r="AG385" s="78"/>
      <c r="AH385" s="78"/>
      <c r="AI385" s="78"/>
      <c r="AJ385" s="78"/>
      <c r="AK385" s="78"/>
      <c r="AL385" s="78"/>
      <c r="AM385" s="78"/>
      <c r="AN385" s="78"/>
      <c r="AO385" s="78"/>
      <c r="AP385" s="78"/>
      <c r="AQ385" s="78"/>
      <c r="AR385" s="78"/>
      <c r="AS385" s="78"/>
      <c r="AT385" s="78"/>
      <c r="AU385" s="78"/>
      <c r="AV385" s="78"/>
      <c r="AW385" s="78"/>
      <c r="AX385" s="78"/>
      <c r="AY385" s="91"/>
      <c r="AZ385" s="78"/>
      <c r="BA385" s="78"/>
      <c r="BB385" s="78"/>
      <c r="BC385" s="78"/>
      <c r="BD385" s="78"/>
      <c r="BE385" s="78"/>
      <c r="BF385" s="78"/>
      <c r="BG385" s="78"/>
      <c r="BH385" s="78"/>
      <c r="BI385" s="78"/>
      <c r="BJ385" s="78"/>
      <c r="BK385" s="78"/>
      <c r="BL385" s="78"/>
      <c r="BM385" s="78"/>
      <c r="BN385" s="78"/>
      <c r="BO385" s="78"/>
      <c r="BP385" s="78"/>
      <c r="BQ385" s="78"/>
      <c r="BR385" s="78"/>
      <c r="BS385" s="78"/>
      <c r="BT385" s="78"/>
      <c r="BU385" s="78"/>
      <c r="BV385" s="78"/>
      <c r="BW385" s="78"/>
      <c r="BX385" s="78"/>
      <c r="BY385" s="78"/>
      <c r="BZ385" s="78"/>
      <c r="CA385" s="78"/>
      <c r="CB385" s="78"/>
      <c r="CC385" s="78"/>
      <c r="CD385" s="78"/>
      <c r="CE385" s="78"/>
      <c r="CF385" s="78"/>
      <c r="CG385" s="78"/>
      <c r="CH385" s="78"/>
      <c r="CI385" s="78"/>
      <c r="CJ385" s="78"/>
      <c r="CK385" s="78"/>
      <c r="CL385" s="78"/>
      <c r="CM385" s="78"/>
      <c r="CN385" s="78"/>
      <c r="CO385" s="78"/>
      <c r="CP385" s="78"/>
      <c r="CQ385" s="78"/>
      <c r="CR385" s="78"/>
      <c r="CS385" s="78"/>
      <c r="CT385" s="78"/>
      <c r="CU385" s="78"/>
      <c r="CV385" s="78"/>
      <c r="CW385" s="78"/>
      <c r="CX385" s="78"/>
      <c r="CY385" s="78"/>
      <c r="CZ385" s="78"/>
      <c r="DA385" s="78"/>
      <c r="DB385" s="78"/>
      <c r="DC385" s="78"/>
      <c r="DD385" s="78"/>
      <c r="DE385" s="78"/>
      <c r="DF385" s="78"/>
      <c r="DG385" s="78"/>
      <c r="DH385" s="78"/>
      <c r="DI385" s="78"/>
      <c r="DJ385" s="78"/>
      <c r="DK385" s="78"/>
      <c r="DL385" s="78"/>
      <c r="DM385" s="78"/>
      <c r="DN385" s="78"/>
      <c r="DO385" s="78"/>
      <c r="DP385" s="78"/>
      <c r="DQ385" s="78"/>
      <c r="DR385" s="78"/>
      <c r="DS385" s="78"/>
      <c r="DT385" s="78"/>
      <c r="DU385" s="78"/>
      <c r="DV385" s="78"/>
      <c r="DW385" s="78"/>
      <c r="DX385" s="78"/>
      <c r="DY385" s="78"/>
      <c r="DZ385" s="78"/>
      <c r="EA385" s="78"/>
      <c r="EB385" s="78"/>
      <c r="EC385" s="78"/>
      <c r="ED385" s="78"/>
      <c r="EE385" s="78"/>
      <c r="EF385" s="78"/>
      <c r="EG385" s="78"/>
      <c r="EH385" s="78"/>
      <c r="EI385" s="78"/>
      <c r="EJ385" s="78"/>
      <c r="EK385" s="78"/>
      <c r="EL385" s="78"/>
      <c r="EM385" s="78"/>
      <c r="EN385" s="91"/>
      <c r="EO385" s="91"/>
      <c r="EP385" s="91"/>
      <c r="EQ385" s="91"/>
      <c r="ER385" s="91"/>
      <c r="ES385" s="91"/>
    </row>
    <row r="386" spans="1:149" outlineLevel="1">
      <c r="A386" s="29" t="str">
        <f t="shared" si="311"/>
        <v>modesg_inp_emss_scibref_date</v>
      </c>
      <c r="B386" s="67" t="s">
        <v>26</v>
      </c>
      <c r="C386" s="68" t="s">
        <v>181</v>
      </c>
      <c r="D386" s="64" t="s">
        <v>40</v>
      </c>
      <c r="E386" s="66" t="s">
        <v>217</v>
      </c>
      <c r="F386" s="64" t="s">
        <v>208</v>
      </c>
      <c r="G386" s="64" t="str">
        <f>INDEX(Auxiliar!$B$16:$B$24,MATCH(Plano_V3!H386,Auxiliar!$C$16:$C$24,0),1)</f>
        <v>1. Concluído</v>
      </c>
      <c r="H386" s="64">
        <f>VLOOKUP(A386,'Aux - pivots1'!$A:$B,2,0)</f>
        <v>1</v>
      </c>
      <c r="I386" s="180">
        <f>SUMIFS(Table1[Estimação (horas)],Table1[Tabela],Plano_V3!E386,Table1[Campo],Plano_V3!F386)</f>
        <v>0.5</v>
      </c>
      <c r="J386" s="180">
        <f t="shared" si="307"/>
        <v>6.25E-2</v>
      </c>
      <c r="K386" s="180">
        <f>SUMIFS(Table1[Horas efetivas],Table1[Tabela],Plano_V3!E386,Table1[Campo],Plano_V3!F386)</f>
        <v>0.5</v>
      </c>
      <c r="L386" s="180">
        <f t="shared" si="308"/>
        <v>6.25E-2</v>
      </c>
      <c r="M386" s="174"/>
      <c r="N386" s="174">
        <f t="shared" si="309"/>
        <v>1</v>
      </c>
      <c r="O386" s="174">
        <f t="shared" si="310"/>
        <v>1</v>
      </c>
      <c r="P386" s="89" t="s">
        <v>39</v>
      </c>
      <c r="Q386" s="90">
        <f t="shared" si="312"/>
        <v>6.25E-2</v>
      </c>
      <c r="R386" s="78"/>
      <c r="S386" s="78"/>
      <c r="T386" s="78"/>
      <c r="U386" s="78"/>
      <c r="V386" s="78"/>
      <c r="W386" s="78"/>
      <c r="X386" s="78"/>
      <c r="Y386" s="78"/>
      <c r="Z386" s="78"/>
      <c r="AA386" s="78"/>
      <c r="AB386" s="78"/>
      <c r="AC386" s="78"/>
      <c r="AD386" s="78"/>
      <c r="AE386" s="78"/>
      <c r="AF386" s="78"/>
      <c r="AG386" s="78"/>
      <c r="AH386" s="78"/>
      <c r="AI386" s="78"/>
      <c r="AJ386" s="78"/>
      <c r="AK386" s="78"/>
      <c r="AL386" s="78"/>
      <c r="AM386" s="78"/>
      <c r="AN386" s="78"/>
      <c r="AO386" s="78"/>
      <c r="AP386" s="78"/>
      <c r="AQ386" s="78"/>
      <c r="AR386" s="78"/>
      <c r="AS386" s="78"/>
      <c r="AT386" s="78"/>
      <c r="AU386" s="78"/>
      <c r="AV386" s="78"/>
      <c r="AW386" s="78"/>
      <c r="AX386" s="78"/>
      <c r="AY386" s="91"/>
      <c r="AZ386" s="78"/>
      <c r="BA386" s="78"/>
      <c r="BB386" s="78"/>
      <c r="BC386" s="78"/>
      <c r="BD386" s="78"/>
      <c r="BE386" s="78"/>
      <c r="BF386" s="78"/>
      <c r="BG386" s="78"/>
      <c r="BH386" s="78"/>
      <c r="BI386" s="78"/>
      <c r="BJ386" s="78"/>
      <c r="BK386" s="78"/>
      <c r="BL386" s="78"/>
      <c r="BM386" s="78"/>
      <c r="BN386" s="78"/>
      <c r="BO386" s="78"/>
      <c r="BP386" s="78"/>
      <c r="BQ386" s="78"/>
      <c r="BR386" s="78"/>
      <c r="BS386" s="78"/>
      <c r="BT386" s="78"/>
      <c r="BU386" s="78"/>
      <c r="BV386" s="78"/>
      <c r="BW386" s="78"/>
      <c r="BX386" s="78"/>
      <c r="BY386" s="78"/>
      <c r="BZ386" s="78"/>
      <c r="CA386" s="78"/>
      <c r="CB386" s="78"/>
      <c r="CC386" s="78"/>
      <c r="CD386" s="78"/>
      <c r="CE386" s="78"/>
      <c r="CF386" s="78"/>
      <c r="CG386" s="78"/>
      <c r="CH386" s="78"/>
      <c r="CI386" s="78"/>
      <c r="CJ386" s="78"/>
      <c r="CK386" s="78"/>
      <c r="CL386" s="78"/>
      <c r="CM386" s="78"/>
      <c r="CN386" s="78"/>
      <c r="CO386" s="78"/>
      <c r="CP386" s="78"/>
      <c r="CQ386" s="78"/>
      <c r="CR386" s="78"/>
      <c r="CS386" s="78"/>
      <c r="CT386" s="78"/>
      <c r="CU386" s="78"/>
      <c r="CV386" s="78"/>
      <c r="CW386" s="78"/>
      <c r="CX386" s="78"/>
      <c r="CY386" s="78"/>
      <c r="CZ386" s="78"/>
      <c r="DA386" s="78"/>
      <c r="DB386" s="78"/>
      <c r="DC386" s="78"/>
      <c r="DD386" s="78"/>
      <c r="DE386" s="78"/>
      <c r="DF386" s="78"/>
      <c r="DG386" s="78"/>
      <c r="DH386" s="78"/>
      <c r="DI386" s="78"/>
      <c r="DJ386" s="78"/>
      <c r="DK386" s="78"/>
      <c r="DL386" s="78"/>
      <c r="DM386" s="78"/>
      <c r="DN386" s="78"/>
      <c r="DO386" s="78"/>
      <c r="DP386" s="78"/>
      <c r="DQ386" s="78"/>
      <c r="DR386" s="78"/>
      <c r="DS386" s="78"/>
      <c r="DT386" s="78"/>
      <c r="DU386" s="78"/>
      <c r="DV386" s="78"/>
      <c r="DW386" s="78"/>
      <c r="DX386" s="78"/>
      <c r="DY386" s="78"/>
      <c r="DZ386" s="78"/>
      <c r="EA386" s="78"/>
      <c r="EB386" s="78"/>
      <c r="EC386" s="78"/>
      <c r="ED386" s="78"/>
      <c r="EE386" s="78"/>
      <c r="EF386" s="78"/>
      <c r="EG386" s="78"/>
      <c r="EH386" s="78"/>
      <c r="EI386" s="78"/>
      <c r="EJ386" s="78"/>
      <c r="EK386" s="78"/>
      <c r="EL386" s="78"/>
      <c r="EM386" s="78"/>
      <c r="EN386" s="91"/>
      <c r="EO386" s="91"/>
      <c r="EP386" s="91"/>
      <c r="EQ386" s="91"/>
      <c r="ER386" s="91"/>
      <c r="ES386" s="91"/>
    </row>
    <row r="387" spans="1:149" outlineLevel="1">
      <c r="A387" s="29" t="str">
        <f t="shared" si="311"/>
        <v>modesg_inp_emss_scibccli_kgl</v>
      </c>
      <c r="B387" s="67" t="s">
        <v>26</v>
      </c>
      <c r="C387" s="68" t="s">
        <v>181</v>
      </c>
      <c r="D387" s="64" t="s">
        <v>40</v>
      </c>
      <c r="E387" s="66" t="s">
        <v>217</v>
      </c>
      <c r="F387" s="64" t="s">
        <v>240</v>
      </c>
      <c r="G387" s="64" t="str">
        <f>INDEX(Auxiliar!$B$16:$B$24,MATCH(Plano_V3!H387,Auxiliar!$C$16:$C$24,0),1)</f>
        <v>1. Concluído</v>
      </c>
      <c r="H387" s="64">
        <f>VLOOKUP(A387,'Aux - pivots1'!$A:$B,2,0)</f>
        <v>1</v>
      </c>
      <c r="I387" s="180">
        <f>SUMIFS(Table1[Estimação (horas)],Table1[Tabela],Plano_V3!E387,Table1[Campo],Plano_V3!F387)</f>
        <v>0.6</v>
      </c>
      <c r="J387" s="180">
        <f t="shared" si="307"/>
        <v>7.4999999999999997E-2</v>
      </c>
      <c r="K387" s="180">
        <f>SUMIFS(Table1[Horas efetivas],Table1[Tabela],Plano_V3!E387,Table1[Campo],Plano_V3!F387)</f>
        <v>0.6</v>
      </c>
      <c r="L387" s="180">
        <f t="shared" si="308"/>
        <v>7.4999999999999997E-2</v>
      </c>
      <c r="M387" s="174"/>
      <c r="N387" s="174">
        <f t="shared" si="309"/>
        <v>1</v>
      </c>
      <c r="O387" s="174">
        <f t="shared" si="310"/>
        <v>1</v>
      </c>
      <c r="P387" s="89" t="s">
        <v>39</v>
      </c>
      <c r="Q387" s="90">
        <f t="shared" si="312"/>
        <v>7.4999999999999997E-2</v>
      </c>
      <c r="R387" s="78"/>
      <c r="S387" s="78"/>
      <c r="T387" s="78"/>
      <c r="U387" s="78"/>
      <c r="V387" s="78"/>
      <c r="W387" s="78"/>
      <c r="X387" s="78"/>
      <c r="Y387" s="78"/>
      <c r="Z387" s="78"/>
      <c r="AA387" s="78"/>
      <c r="AB387" s="78"/>
      <c r="AC387" s="78"/>
      <c r="AD387" s="78"/>
      <c r="AE387" s="78"/>
      <c r="AF387" s="78"/>
      <c r="AG387" s="78"/>
      <c r="AH387" s="78"/>
      <c r="AI387" s="78"/>
      <c r="AJ387" s="78"/>
      <c r="AK387" s="78"/>
      <c r="AL387" s="78"/>
      <c r="AM387" s="78"/>
      <c r="AN387" s="78"/>
      <c r="AO387" s="78"/>
      <c r="AP387" s="78"/>
      <c r="AQ387" s="78"/>
      <c r="AR387" s="78"/>
      <c r="AS387" s="78"/>
      <c r="AT387" s="78"/>
      <c r="AU387" s="78"/>
      <c r="AV387" s="78"/>
      <c r="AW387" s="78"/>
      <c r="AX387" s="78"/>
      <c r="AY387" s="91"/>
      <c r="AZ387" s="78"/>
      <c r="BA387" s="78"/>
      <c r="BB387" s="78"/>
      <c r="BC387" s="78"/>
      <c r="BD387" s="78"/>
      <c r="BE387" s="78"/>
      <c r="BF387" s="78"/>
      <c r="BG387" s="78"/>
      <c r="BH387" s="78"/>
      <c r="BI387" s="78"/>
      <c r="BJ387" s="78"/>
      <c r="BK387" s="78"/>
      <c r="BL387" s="78"/>
      <c r="BM387" s="78"/>
      <c r="BN387" s="78"/>
      <c r="BO387" s="78"/>
      <c r="BP387" s="78"/>
      <c r="BQ387" s="78"/>
      <c r="BR387" s="78"/>
      <c r="BS387" s="78"/>
      <c r="BT387" s="78"/>
      <c r="BU387" s="78"/>
      <c r="BV387" s="78"/>
      <c r="BW387" s="78"/>
      <c r="BX387" s="78"/>
      <c r="BY387" s="78"/>
      <c r="BZ387" s="78"/>
      <c r="CA387" s="78"/>
      <c r="CB387" s="78"/>
      <c r="CC387" s="78"/>
      <c r="CD387" s="78"/>
      <c r="CE387" s="78"/>
      <c r="CF387" s="78"/>
      <c r="CG387" s="78"/>
      <c r="CH387" s="78"/>
      <c r="CI387" s="78"/>
      <c r="CJ387" s="78"/>
      <c r="CK387" s="78"/>
      <c r="CL387" s="78"/>
      <c r="CM387" s="78"/>
      <c r="CN387" s="78"/>
      <c r="CO387" s="78"/>
      <c r="CP387" s="78"/>
      <c r="CQ387" s="78"/>
      <c r="CR387" s="78"/>
      <c r="CS387" s="78"/>
      <c r="CT387" s="78"/>
      <c r="CU387" s="78"/>
      <c r="CV387" s="78"/>
      <c r="CW387" s="78"/>
      <c r="CX387" s="78"/>
      <c r="CY387" s="78"/>
      <c r="CZ387" s="78"/>
      <c r="DA387" s="78"/>
      <c r="DB387" s="78"/>
      <c r="DC387" s="78"/>
      <c r="DD387" s="78"/>
      <c r="DE387" s="78"/>
      <c r="DF387" s="78"/>
      <c r="DG387" s="78"/>
      <c r="DH387" s="78"/>
      <c r="DI387" s="78"/>
      <c r="DJ387" s="78"/>
      <c r="DK387" s="78"/>
      <c r="DL387" s="78"/>
      <c r="DM387" s="78"/>
      <c r="DN387" s="78"/>
      <c r="DO387" s="78"/>
      <c r="DP387" s="78"/>
      <c r="DQ387" s="78"/>
      <c r="DR387" s="78"/>
      <c r="DS387" s="78"/>
      <c r="DT387" s="78"/>
      <c r="DU387" s="78"/>
      <c r="DV387" s="78"/>
      <c r="DW387" s="78"/>
      <c r="DX387" s="78"/>
      <c r="DY387" s="78"/>
      <c r="DZ387" s="78"/>
      <c r="EA387" s="78"/>
      <c r="EB387" s="78"/>
      <c r="EC387" s="78"/>
      <c r="ED387" s="78"/>
      <c r="EE387" s="78"/>
      <c r="EF387" s="78"/>
      <c r="EG387" s="78"/>
      <c r="EH387" s="78"/>
      <c r="EI387" s="78"/>
      <c r="EJ387" s="78"/>
      <c r="EK387" s="78"/>
      <c r="EL387" s="78"/>
      <c r="EM387" s="78"/>
      <c r="EN387" s="91"/>
      <c r="EO387" s="91"/>
      <c r="EP387" s="91"/>
      <c r="EQ387" s="91"/>
      <c r="ER387" s="91"/>
      <c r="ES387" s="91"/>
    </row>
    <row r="388" spans="1:149" outlineLevel="1">
      <c r="A388" s="29" t="str">
        <f t="shared" si="311"/>
        <v>modesg_inp_emss_scibnome_grupo</v>
      </c>
      <c r="B388" s="67" t="s">
        <v>26</v>
      </c>
      <c r="C388" s="68" t="s">
        <v>181</v>
      </c>
      <c r="D388" s="64" t="s">
        <v>40</v>
      </c>
      <c r="E388" s="66" t="s">
        <v>217</v>
      </c>
      <c r="F388" s="64" t="s">
        <v>284</v>
      </c>
      <c r="G388" s="64" t="str">
        <f>INDEX(Auxiliar!$B$16:$B$24,MATCH(Plano_V3!H388,Auxiliar!$C$16:$C$24,0),1)</f>
        <v>1. Concluído</v>
      </c>
      <c r="H388" s="64">
        <f>VLOOKUP(A388,'Aux - pivots1'!$A:$B,2,0)</f>
        <v>1</v>
      </c>
      <c r="I388" s="180">
        <f>SUMIFS(Table1[Estimação (horas)],Table1[Tabela],Plano_V3!E388,Table1[Campo],Plano_V3!F388)</f>
        <v>0.5</v>
      </c>
      <c r="J388" s="180">
        <f t="shared" si="307"/>
        <v>6.25E-2</v>
      </c>
      <c r="K388" s="180">
        <f>SUMIFS(Table1[Horas efetivas],Table1[Tabela],Plano_V3!E388,Table1[Campo],Plano_V3!F388)</f>
        <v>0.5</v>
      </c>
      <c r="L388" s="180">
        <f t="shared" si="308"/>
        <v>6.25E-2</v>
      </c>
      <c r="M388" s="174"/>
      <c r="N388" s="174">
        <f t="shared" si="309"/>
        <v>1</v>
      </c>
      <c r="O388" s="174">
        <f t="shared" si="310"/>
        <v>1</v>
      </c>
      <c r="P388" s="89" t="s">
        <v>39</v>
      </c>
      <c r="Q388" s="90">
        <f t="shared" si="312"/>
        <v>6.25E-2</v>
      </c>
      <c r="R388" s="78"/>
      <c r="S388" s="78"/>
      <c r="T388" s="78"/>
      <c r="U388" s="78"/>
      <c r="V388" s="78"/>
      <c r="W388" s="78"/>
      <c r="X388" s="78"/>
      <c r="Y388" s="78"/>
      <c r="Z388" s="78"/>
      <c r="AA388" s="78"/>
      <c r="AB388" s="78"/>
      <c r="AC388" s="78"/>
      <c r="AD388" s="78"/>
      <c r="AE388" s="78"/>
      <c r="AF388" s="78"/>
      <c r="AG388" s="78"/>
      <c r="AH388" s="78"/>
      <c r="AI388" s="78"/>
      <c r="AJ388" s="78"/>
      <c r="AK388" s="78"/>
      <c r="AL388" s="78"/>
      <c r="AM388" s="78"/>
      <c r="AN388" s="78"/>
      <c r="AO388" s="78"/>
      <c r="AP388" s="78"/>
      <c r="AQ388" s="78"/>
      <c r="AR388" s="78"/>
      <c r="AS388" s="78"/>
      <c r="AT388" s="78"/>
      <c r="AU388" s="78"/>
      <c r="AV388" s="78"/>
      <c r="AW388" s="78"/>
      <c r="AX388" s="78"/>
      <c r="AY388" s="91"/>
      <c r="AZ388" s="78"/>
      <c r="BA388" s="78"/>
      <c r="BB388" s="78"/>
      <c r="BC388" s="78"/>
      <c r="BD388" s="78"/>
      <c r="BE388" s="78"/>
      <c r="BF388" s="78"/>
      <c r="BG388" s="78"/>
      <c r="BH388" s="78"/>
      <c r="BI388" s="78"/>
      <c r="BJ388" s="78"/>
      <c r="BK388" s="78"/>
      <c r="BL388" s="78"/>
      <c r="BM388" s="78"/>
      <c r="BN388" s="78"/>
      <c r="BO388" s="78"/>
      <c r="BP388" s="78"/>
      <c r="BQ388" s="78"/>
      <c r="BR388" s="78"/>
      <c r="BS388" s="78"/>
      <c r="BT388" s="78"/>
      <c r="BU388" s="78"/>
      <c r="BV388" s="78"/>
      <c r="BW388" s="78"/>
      <c r="BX388" s="78"/>
      <c r="BY388" s="78"/>
      <c r="BZ388" s="78"/>
      <c r="CA388" s="78"/>
      <c r="CB388" s="78"/>
      <c r="CC388" s="78"/>
      <c r="CD388" s="78"/>
      <c r="CE388" s="78"/>
      <c r="CF388" s="78"/>
      <c r="CG388" s="78"/>
      <c r="CH388" s="78"/>
      <c r="CI388" s="78"/>
      <c r="CJ388" s="78"/>
      <c r="CK388" s="78"/>
      <c r="CL388" s="78"/>
      <c r="CM388" s="78"/>
      <c r="CN388" s="78"/>
      <c r="CO388" s="78"/>
      <c r="CP388" s="78"/>
      <c r="CQ388" s="78"/>
      <c r="CR388" s="78"/>
      <c r="CS388" s="78"/>
      <c r="CT388" s="78"/>
      <c r="CU388" s="78"/>
      <c r="CV388" s="78"/>
      <c r="CW388" s="78"/>
      <c r="CX388" s="78"/>
      <c r="CY388" s="78"/>
      <c r="CZ388" s="78"/>
      <c r="DA388" s="78"/>
      <c r="DB388" s="78"/>
      <c r="DC388" s="78"/>
      <c r="DD388" s="78"/>
      <c r="DE388" s="78"/>
      <c r="DF388" s="78"/>
      <c r="DG388" s="78"/>
      <c r="DH388" s="78"/>
      <c r="DI388" s="78"/>
      <c r="DJ388" s="78"/>
      <c r="DK388" s="78"/>
      <c r="DL388" s="78"/>
      <c r="DM388" s="78"/>
      <c r="DN388" s="78"/>
      <c r="DO388" s="78"/>
      <c r="DP388" s="78"/>
      <c r="DQ388" s="78"/>
      <c r="DR388" s="78"/>
      <c r="DS388" s="78"/>
      <c r="DT388" s="78"/>
      <c r="DU388" s="78"/>
      <c r="DV388" s="78"/>
      <c r="DW388" s="78"/>
      <c r="DX388" s="78"/>
      <c r="DY388" s="78"/>
      <c r="DZ388" s="78"/>
      <c r="EA388" s="78"/>
      <c r="EB388" s="78"/>
      <c r="EC388" s="78"/>
      <c r="ED388" s="78"/>
      <c r="EE388" s="78"/>
      <c r="EF388" s="78"/>
      <c r="EG388" s="78"/>
      <c r="EH388" s="78"/>
      <c r="EI388" s="78"/>
      <c r="EJ388" s="78"/>
      <c r="EK388" s="78"/>
      <c r="EL388" s="78"/>
      <c r="EM388" s="78"/>
      <c r="EN388" s="91"/>
      <c r="EO388" s="91"/>
      <c r="EP388" s="91"/>
      <c r="EQ388" s="91"/>
      <c r="ER388" s="91"/>
      <c r="ES388" s="91"/>
    </row>
    <row r="389" spans="1:149" outlineLevel="1">
      <c r="A389" s="29" t="str">
        <f t="shared" si="311"/>
        <v>modesg_inp_emss_scibisin</v>
      </c>
      <c r="B389" s="67" t="s">
        <v>26</v>
      </c>
      <c r="C389" s="68" t="s">
        <v>181</v>
      </c>
      <c r="D389" s="64" t="s">
        <v>40</v>
      </c>
      <c r="E389" s="66" t="s">
        <v>217</v>
      </c>
      <c r="F389" s="64" t="s">
        <v>238</v>
      </c>
      <c r="G389" s="64" t="str">
        <f>INDEX(Auxiliar!$B$16:$B$24,MATCH(Plano_V3!H389,Auxiliar!$C$16:$C$24,0),1)</f>
        <v>1. Concluído</v>
      </c>
      <c r="H389" s="64">
        <f>VLOOKUP(A389,'Aux - pivots1'!$A:$B,2,0)</f>
        <v>1</v>
      </c>
      <c r="I389" s="180">
        <f>SUMIFS(Table1[Estimação (horas)],Table1[Tabela],Plano_V3!E389,Table1[Campo],Plano_V3!F389)</f>
        <v>0.6</v>
      </c>
      <c r="J389" s="180">
        <f t="shared" si="307"/>
        <v>7.4999999999999997E-2</v>
      </c>
      <c r="K389" s="180">
        <f>SUMIFS(Table1[Horas efetivas],Table1[Tabela],Plano_V3!E389,Table1[Campo],Plano_V3!F389)</f>
        <v>0.6</v>
      </c>
      <c r="L389" s="180">
        <f t="shared" si="308"/>
        <v>7.4999999999999997E-2</v>
      </c>
      <c r="M389" s="174"/>
      <c r="N389" s="174">
        <f t="shared" si="309"/>
        <v>1</v>
      </c>
      <c r="O389" s="174">
        <f t="shared" si="310"/>
        <v>1</v>
      </c>
      <c r="P389" s="89" t="s">
        <v>39</v>
      </c>
      <c r="Q389" s="90">
        <f t="shared" si="312"/>
        <v>7.4999999999999997E-2</v>
      </c>
      <c r="R389" s="78"/>
      <c r="S389" s="78"/>
      <c r="T389" s="78"/>
      <c r="U389" s="78"/>
      <c r="V389" s="78"/>
      <c r="W389" s="78"/>
      <c r="X389" s="78"/>
      <c r="Y389" s="78"/>
      <c r="Z389" s="78"/>
      <c r="AA389" s="78"/>
      <c r="AB389" s="78"/>
      <c r="AC389" s="78"/>
      <c r="AD389" s="78"/>
      <c r="AE389" s="78"/>
      <c r="AF389" s="78"/>
      <c r="AG389" s="78"/>
      <c r="AH389" s="78"/>
      <c r="AI389" s="78"/>
      <c r="AJ389" s="78"/>
      <c r="AK389" s="78"/>
      <c r="AL389" s="78"/>
      <c r="AM389" s="78"/>
      <c r="AN389" s="78"/>
      <c r="AO389" s="78"/>
      <c r="AP389" s="78"/>
      <c r="AQ389" s="78"/>
      <c r="AR389" s="78"/>
      <c r="AS389" s="78"/>
      <c r="AT389" s="78"/>
      <c r="AU389" s="78"/>
      <c r="AV389" s="78"/>
      <c r="AW389" s="78"/>
      <c r="AX389" s="78"/>
      <c r="AY389" s="91"/>
      <c r="AZ389" s="78"/>
      <c r="BA389" s="78"/>
      <c r="BB389" s="78"/>
      <c r="BC389" s="78"/>
      <c r="BD389" s="78"/>
      <c r="BE389" s="78"/>
      <c r="BF389" s="78"/>
      <c r="BG389" s="78"/>
      <c r="BH389" s="78"/>
      <c r="BI389" s="78"/>
      <c r="BJ389" s="78"/>
      <c r="BK389" s="78"/>
      <c r="BL389" s="78"/>
      <c r="BM389" s="78"/>
      <c r="BN389" s="78"/>
      <c r="BO389" s="78"/>
      <c r="BP389" s="78"/>
      <c r="BQ389" s="78"/>
      <c r="BR389" s="78"/>
      <c r="BS389" s="78"/>
      <c r="BT389" s="78"/>
      <c r="BU389" s="78"/>
      <c r="BV389" s="78"/>
      <c r="BW389" s="78"/>
      <c r="BX389" s="78"/>
      <c r="BY389" s="78"/>
      <c r="BZ389" s="78"/>
      <c r="CA389" s="78"/>
      <c r="CB389" s="78"/>
      <c r="CC389" s="78"/>
      <c r="CD389" s="78"/>
      <c r="CE389" s="78"/>
      <c r="CF389" s="78"/>
      <c r="CG389" s="78"/>
      <c r="CH389" s="78"/>
      <c r="CI389" s="78"/>
      <c r="CJ389" s="78"/>
      <c r="CK389" s="78"/>
      <c r="CL389" s="78"/>
      <c r="CM389" s="78"/>
      <c r="CN389" s="78"/>
      <c r="CO389" s="78"/>
      <c r="CP389" s="78"/>
      <c r="CQ389" s="78"/>
      <c r="CR389" s="78"/>
      <c r="CS389" s="78"/>
      <c r="CT389" s="78"/>
      <c r="CU389" s="78"/>
      <c r="CV389" s="78"/>
      <c r="CW389" s="78"/>
      <c r="CX389" s="78"/>
      <c r="CY389" s="78"/>
      <c r="CZ389" s="78"/>
      <c r="DA389" s="78"/>
      <c r="DB389" s="78"/>
      <c r="DC389" s="78"/>
      <c r="DD389" s="78"/>
      <c r="DE389" s="78"/>
      <c r="DF389" s="78"/>
      <c r="DG389" s="78"/>
      <c r="DH389" s="78"/>
      <c r="DI389" s="78"/>
      <c r="DJ389" s="78"/>
      <c r="DK389" s="78"/>
      <c r="DL389" s="78"/>
      <c r="DM389" s="78"/>
      <c r="DN389" s="78"/>
      <c r="DO389" s="78"/>
      <c r="DP389" s="78"/>
      <c r="DQ389" s="78"/>
      <c r="DR389" s="78"/>
      <c r="DS389" s="78"/>
      <c r="DT389" s="78"/>
      <c r="DU389" s="78"/>
      <c r="DV389" s="78"/>
      <c r="DW389" s="78"/>
      <c r="DX389" s="78"/>
      <c r="DY389" s="78"/>
      <c r="DZ389" s="78"/>
      <c r="EA389" s="78"/>
      <c r="EB389" s="78"/>
      <c r="EC389" s="78"/>
      <c r="ED389" s="78"/>
      <c r="EE389" s="78"/>
      <c r="EF389" s="78"/>
      <c r="EG389" s="78"/>
      <c r="EH389" s="78"/>
      <c r="EI389" s="78"/>
      <c r="EJ389" s="78"/>
      <c r="EK389" s="78"/>
      <c r="EL389" s="78"/>
      <c r="EM389" s="78"/>
      <c r="EN389" s="91"/>
      <c r="EO389" s="91"/>
      <c r="EP389" s="91"/>
      <c r="EQ389" s="91"/>
      <c r="ER389" s="91"/>
      <c r="ES389" s="91"/>
    </row>
    <row r="390" spans="1:149" outlineLevel="1">
      <c r="A390" s="29" t="str">
        <f t="shared" si="311"/>
        <v>modesg_inp_emss_scibclei</v>
      </c>
      <c r="B390" s="67" t="s">
        <v>26</v>
      </c>
      <c r="C390" s="68" t="s">
        <v>181</v>
      </c>
      <c r="D390" s="64" t="s">
        <v>40</v>
      </c>
      <c r="E390" s="66" t="s">
        <v>217</v>
      </c>
      <c r="F390" s="64" t="s">
        <v>239</v>
      </c>
      <c r="G390" s="64" t="str">
        <f>INDEX(Auxiliar!$B$16:$B$24,MATCH(Plano_V3!H390,Auxiliar!$C$16:$C$24,0),1)</f>
        <v>1. Concluído</v>
      </c>
      <c r="H390" s="64">
        <f>VLOOKUP(A390,'Aux - pivots1'!$A:$B,2,0)</f>
        <v>1</v>
      </c>
      <c r="I390" s="180">
        <f>SUMIFS(Table1[Estimação (horas)],Table1[Tabela],Plano_V3!E390,Table1[Campo],Plano_V3!F390)</f>
        <v>0.6</v>
      </c>
      <c r="J390" s="180">
        <f t="shared" si="307"/>
        <v>7.4999999999999997E-2</v>
      </c>
      <c r="K390" s="180">
        <f>SUMIFS(Table1[Horas efetivas],Table1[Tabela],Plano_V3!E390,Table1[Campo],Plano_V3!F390)</f>
        <v>0.6</v>
      </c>
      <c r="L390" s="180">
        <f t="shared" si="308"/>
        <v>7.4999999999999997E-2</v>
      </c>
      <c r="M390" s="174"/>
      <c r="N390" s="174">
        <f t="shared" si="309"/>
        <v>1</v>
      </c>
      <c r="O390" s="174">
        <f t="shared" si="310"/>
        <v>1</v>
      </c>
      <c r="P390" s="89" t="s">
        <v>39</v>
      </c>
      <c r="Q390" s="90">
        <f t="shared" si="312"/>
        <v>7.4999999999999997E-2</v>
      </c>
      <c r="R390" s="78"/>
      <c r="S390" s="78"/>
      <c r="T390" s="78"/>
      <c r="U390" s="78"/>
      <c r="V390" s="78"/>
      <c r="W390" s="78"/>
      <c r="X390" s="78"/>
      <c r="Y390" s="78"/>
      <c r="Z390" s="78"/>
      <c r="AA390" s="78"/>
      <c r="AB390" s="78"/>
      <c r="AC390" s="78"/>
      <c r="AD390" s="78"/>
      <c r="AE390" s="78"/>
      <c r="AF390" s="78"/>
      <c r="AG390" s="78"/>
      <c r="AH390" s="78"/>
      <c r="AI390" s="78"/>
      <c r="AJ390" s="78"/>
      <c r="AK390" s="78"/>
      <c r="AL390" s="78"/>
      <c r="AM390" s="78"/>
      <c r="AN390" s="78"/>
      <c r="AO390" s="78"/>
      <c r="AP390" s="78"/>
      <c r="AQ390" s="78"/>
      <c r="AR390" s="78"/>
      <c r="AS390" s="78"/>
      <c r="AT390" s="78"/>
      <c r="AU390" s="78"/>
      <c r="AV390" s="78"/>
      <c r="AW390" s="78"/>
      <c r="AX390" s="78"/>
      <c r="AY390" s="91"/>
      <c r="AZ390" s="78"/>
      <c r="BA390" s="78"/>
      <c r="BB390" s="78"/>
      <c r="BC390" s="78"/>
      <c r="BD390" s="78"/>
      <c r="BE390" s="78"/>
      <c r="BF390" s="78"/>
      <c r="BG390" s="78"/>
      <c r="BH390" s="78"/>
      <c r="BI390" s="78"/>
      <c r="BJ390" s="78"/>
      <c r="BK390" s="78"/>
      <c r="BL390" s="78"/>
      <c r="BM390" s="78"/>
      <c r="BN390" s="78"/>
      <c r="BO390" s="78"/>
      <c r="BP390" s="78"/>
      <c r="BQ390" s="78"/>
      <c r="BR390" s="78"/>
      <c r="BS390" s="78"/>
      <c r="BT390" s="78"/>
      <c r="BU390" s="78"/>
      <c r="BV390" s="78"/>
      <c r="BW390" s="78"/>
      <c r="BX390" s="78"/>
      <c r="BY390" s="78"/>
      <c r="BZ390" s="78"/>
      <c r="CA390" s="78"/>
      <c r="CB390" s="78"/>
      <c r="CC390" s="78"/>
      <c r="CD390" s="78"/>
      <c r="CE390" s="78"/>
      <c r="CF390" s="78"/>
      <c r="CG390" s="78"/>
      <c r="CH390" s="78"/>
      <c r="CI390" s="78"/>
      <c r="CJ390" s="78"/>
      <c r="CK390" s="78"/>
      <c r="CL390" s="78"/>
      <c r="CM390" s="78"/>
      <c r="CN390" s="78"/>
      <c r="CO390" s="78"/>
      <c r="CP390" s="78"/>
      <c r="CQ390" s="78"/>
      <c r="CR390" s="78"/>
      <c r="CS390" s="78"/>
      <c r="CT390" s="78"/>
      <c r="CU390" s="78"/>
      <c r="CV390" s="78"/>
      <c r="CW390" s="78"/>
      <c r="CX390" s="78"/>
      <c r="CY390" s="78"/>
      <c r="CZ390" s="78"/>
      <c r="DA390" s="78"/>
      <c r="DB390" s="78"/>
      <c r="DC390" s="78"/>
      <c r="DD390" s="78"/>
      <c r="DE390" s="78"/>
      <c r="DF390" s="78"/>
      <c r="DG390" s="78"/>
      <c r="DH390" s="78"/>
      <c r="DI390" s="78"/>
      <c r="DJ390" s="78"/>
      <c r="DK390" s="78"/>
      <c r="DL390" s="78"/>
      <c r="DM390" s="78"/>
      <c r="DN390" s="78"/>
      <c r="DO390" s="78"/>
      <c r="DP390" s="78"/>
      <c r="DQ390" s="78"/>
      <c r="DR390" s="78"/>
      <c r="DS390" s="78"/>
      <c r="DT390" s="78"/>
      <c r="DU390" s="78"/>
      <c r="DV390" s="78"/>
      <c r="DW390" s="78"/>
      <c r="DX390" s="78"/>
      <c r="DY390" s="78"/>
      <c r="DZ390" s="78"/>
      <c r="EA390" s="78"/>
      <c r="EB390" s="78"/>
      <c r="EC390" s="78"/>
      <c r="ED390" s="78"/>
      <c r="EE390" s="78"/>
      <c r="EF390" s="78"/>
      <c r="EG390" s="78"/>
      <c r="EH390" s="78"/>
      <c r="EI390" s="78"/>
      <c r="EJ390" s="78"/>
      <c r="EK390" s="78"/>
      <c r="EL390" s="78"/>
      <c r="EM390" s="78"/>
      <c r="EN390" s="91"/>
      <c r="EO390" s="91"/>
      <c r="EP390" s="91"/>
      <c r="EQ390" s="91"/>
      <c r="ER390" s="91"/>
      <c r="ES390" s="91"/>
    </row>
    <row r="391" spans="1:149" outlineLevel="1">
      <c r="A391" s="29" t="str">
        <f t="shared" si="311"/>
        <v>modesg_inp_emss_scibscp1_emss</v>
      </c>
      <c r="B391" s="67" t="s">
        <v>26</v>
      </c>
      <c r="C391" s="68" t="s">
        <v>181</v>
      </c>
      <c r="D391" s="64" t="s">
        <v>40</v>
      </c>
      <c r="E391" s="66" t="s">
        <v>217</v>
      </c>
      <c r="F391" s="64" t="s">
        <v>285</v>
      </c>
      <c r="G391" s="64" t="str">
        <f>INDEX(Auxiliar!$B$16:$B$24,MATCH(Plano_V3!H391,Auxiliar!$C$16:$C$24,0),1)</f>
        <v>1. Concluído</v>
      </c>
      <c r="H391" s="64">
        <f>VLOOKUP(A391,'Aux - pivots1'!$A:$B,2,0)</f>
        <v>1</v>
      </c>
      <c r="I391" s="180">
        <f>SUMIFS(Table1[Estimação (horas)],Table1[Tabela],Plano_V3!E391,Table1[Campo],Plano_V3!F391)</f>
        <v>0.6</v>
      </c>
      <c r="J391" s="180">
        <f t="shared" si="307"/>
        <v>7.4999999999999997E-2</v>
      </c>
      <c r="K391" s="180">
        <f>SUMIFS(Table1[Horas efetivas],Table1[Tabela],Plano_V3!E391,Table1[Campo],Plano_V3!F391)</f>
        <v>0.6</v>
      </c>
      <c r="L391" s="180">
        <f t="shared" si="308"/>
        <v>7.4999999999999997E-2</v>
      </c>
      <c r="M391" s="174"/>
      <c r="N391" s="174">
        <f t="shared" si="309"/>
        <v>1</v>
      </c>
      <c r="O391" s="174">
        <f t="shared" si="310"/>
        <v>1</v>
      </c>
      <c r="P391" s="89" t="s">
        <v>39</v>
      </c>
      <c r="Q391" s="90">
        <f t="shared" si="312"/>
        <v>7.4999999999999997E-2</v>
      </c>
      <c r="R391" s="78"/>
      <c r="S391" s="78"/>
      <c r="T391" s="78"/>
      <c r="U391" s="78"/>
      <c r="V391" s="78"/>
      <c r="W391" s="78"/>
      <c r="X391" s="78"/>
      <c r="Y391" s="78"/>
      <c r="Z391" s="78"/>
      <c r="AA391" s="78"/>
      <c r="AB391" s="78"/>
      <c r="AC391" s="78"/>
      <c r="AD391" s="78"/>
      <c r="AE391" s="78"/>
      <c r="AF391" s="78"/>
      <c r="AG391" s="78"/>
      <c r="AH391" s="78"/>
      <c r="AI391" s="78"/>
      <c r="AJ391" s="78"/>
      <c r="AK391" s="78"/>
      <c r="AL391" s="78"/>
      <c r="AM391" s="78"/>
      <c r="AN391" s="78"/>
      <c r="AO391" s="78"/>
      <c r="AP391" s="78"/>
      <c r="AQ391" s="78"/>
      <c r="AR391" s="78"/>
      <c r="AS391" s="78"/>
      <c r="AT391" s="78"/>
      <c r="AU391" s="78"/>
      <c r="AV391" s="78"/>
      <c r="AW391" s="78"/>
      <c r="AX391" s="78"/>
      <c r="AY391" s="91"/>
      <c r="AZ391" s="78"/>
      <c r="BA391" s="78"/>
      <c r="BB391" s="78"/>
      <c r="BC391" s="78"/>
      <c r="BD391" s="78"/>
      <c r="BE391" s="78"/>
      <c r="BF391" s="78"/>
      <c r="BG391" s="78"/>
      <c r="BH391" s="78"/>
      <c r="BI391" s="78"/>
      <c r="BJ391" s="78"/>
      <c r="BK391" s="78"/>
      <c r="BL391" s="78"/>
      <c r="BM391" s="78"/>
      <c r="BN391" s="78"/>
      <c r="BO391" s="78"/>
      <c r="BP391" s="78"/>
      <c r="BQ391" s="78"/>
      <c r="BR391" s="78"/>
      <c r="BS391" s="78"/>
      <c r="BT391" s="78"/>
      <c r="BU391" s="78"/>
      <c r="BV391" s="78"/>
      <c r="BW391" s="78"/>
      <c r="BX391" s="78"/>
      <c r="BY391" s="78"/>
      <c r="BZ391" s="78"/>
      <c r="CA391" s="78"/>
      <c r="CB391" s="78"/>
      <c r="CC391" s="78"/>
      <c r="CD391" s="78"/>
      <c r="CE391" s="78"/>
      <c r="CF391" s="78"/>
      <c r="CG391" s="78"/>
      <c r="CH391" s="78"/>
      <c r="CI391" s="78"/>
      <c r="CJ391" s="78"/>
      <c r="CK391" s="78"/>
      <c r="CL391" s="78"/>
      <c r="CM391" s="78"/>
      <c r="CN391" s="78"/>
      <c r="CO391" s="78"/>
      <c r="CP391" s="78"/>
      <c r="CQ391" s="78"/>
      <c r="CR391" s="78"/>
      <c r="CS391" s="78"/>
      <c r="CT391" s="78"/>
      <c r="CU391" s="78"/>
      <c r="CV391" s="78"/>
      <c r="CW391" s="78"/>
      <c r="CX391" s="78"/>
      <c r="CY391" s="78"/>
      <c r="CZ391" s="78"/>
      <c r="DA391" s="78"/>
      <c r="DB391" s="78"/>
      <c r="DC391" s="78"/>
      <c r="DD391" s="78"/>
      <c r="DE391" s="78"/>
      <c r="DF391" s="78"/>
      <c r="DG391" s="78"/>
      <c r="DH391" s="78"/>
      <c r="DI391" s="78"/>
      <c r="DJ391" s="78"/>
      <c r="DK391" s="78"/>
      <c r="DL391" s="78"/>
      <c r="DM391" s="78"/>
      <c r="DN391" s="78"/>
      <c r="DO391" s="78"/>
      <c r="DP391" s="78"/>
      <c r="DQ391" s="78"/>
      <c r="DR391" s="78"/>
      <c r="DS391" s="78"/>
      <c r="DT391" s="78"/>
      <c r="DU391" s="78"/>
      <c r="DV391" s="78"/>
      <c r="DW391" s="78"/>
      <c r="DX391" s="78"/>
      <c r="DY391" s="78"/>
      <c r="DZ391" s="78"/>
      <c r="EA391" s="78"/>
      <c r="EB391" s="78"/>
      <c r="EC391" s="78"/>
      <c r="ED391" s="78"/>
      <c r="EE391" s="78"/>
      <c r="EF391" s="78"/>
      <c r="EG391" s="78"/>
      <c r="EH391" s="78"/>
      <c r="EI391" s="78"/>
      <c r="EJ391" s="78"/>
      <c r="EK391" s="78"/>
      <c r="EL391" s="78"/>
      <c r="EM391" s="78"/>
      <c r="EN391" s="91"/>
      <c r="EO391" s="91"/>
      <c r="EP391" s="91"/>
      <c r="EQ391" s="91"/>
      <c r="ER391" s="91"/>
      <c r="ES391" s="91"/>
    </row>
    <row r="392" spans="1:149" outlineLevel="1">
      <c r="A392" s="29" t="str">
        <f t="shared" si="311"/>
        <v>modesg_inp_emss_scibscp2_emss</v>
      </c>
      <c r="B392" s="67" t="s">
        <v>26</v>
      </c>
      <c r="C392" s="68" t="s">
        <v>181</v>
      </c>
      <c r="D392" s="64" t="s">
        <v>40</v>
      </c>
      <c r="E392" s="66" t="s">
        <v>217</v>
      </c>
      <c r="F392" s="64" t="s">
        <v>286</v>
      </c>
      <c r="G392" s="64" t="str">
        <f>INDEX(Auxiliar!$B$16:$B$24,MATCH(Plano_V3!H392,Auxiliar!$C$16:$C$24,0),1)</f>
        <v>1. Concluído</v>
      </c>
      <c r="H392" s="64">
        <f>VLOOKUP(A392,'Aux - pivots1'!$A:$B,2,0)</f>
        <v>1</v>
      </c>
      <c r="I392" s="180">
        <f>SUMIFS(Table1[Estimação (horas)],Table1[Tabela],Plano_V3!E392,Table1[Campo],Plano_V3!F392)</f>
        <v>0.6</v>
      </c>
      <c r="J392" s="180">
        <f t="shared" si="307"/>
        <v>7.4999999999999997E-2</v>
      </c>
      <c r="K392" s="180">
        <f>SUMIFS(Table1[Horas efetivas],Table1[Tabela],Plano_V3!E392,Table1[Campo],Plano_V3!F392)</f>
        <v>0.6</v>
      </c>
      <c r="L392" s="180">
        <f t="shared" si="308"/>
        <v>7.4999999999999997E-2</v>
      </c>
      <c r="M392" s="174"/>
      <c r="N392" s="174">
        <f t="shared" si="309"/>
        <v>1</v>
      </c>
      <c r="O392" s="174">
        <f t="shared" si="310"/>
        <v>1</v>
      </c>
      <c r="P392" s="89" t="s">
        <v>39</v>
      </c>
      <c r="Q392" s="90">
        <f t="shared" si="312"/>
        <v>7.4999999999999997E-2</v>
      </c>
      <c r="R392" s="78"/>
      <c r="S392" s="78"/>
      <c r="T392" s="78"/>
      <c r="U392" s="78"/>
      <c r="V392" s="78"/>
      <c r="W392" s="78"/>
      <c r="X392" s="78"/>
      <c r="Y392" s="78"/>
      <c r="Z392" s="78"/>
      <c r="AA392" s="78"/>
      <c r="AB392" s="78"/>
      <c r="AC392" s="78"/>
      <c r="AD392" s="78"/>
      <c r="AE392" s="78"/>
      <c r="AF392" s="78"/>
      <c r="AG392" s="78"/>
      <c r="AH392" s="78"/>
      <c r="AI392" s="78"/>
      <c r="AJ392" s="78"/>
      <c r="AK392" s="78"/>
      <c r="AL392" s="78"/>
      <c r="AM392" s="78"/>
      <c r="AN392" s="78"/>
      <c r="AO392" s="78"/>
      <c r="AP392" s="78"/>
      <c r="AQ392" s="78"/>
      <c r="AR392" s="78"/>
      <c r="AS392" s="78"/>
      <c r="AT392" s="78"/>
      <c r="AU392" s="78"/>
      <c r="AV392" s="78"/>
      <c r="AW392" s="78"/>
      <c r="AX392" s="78"/>
      <c r="AY392" s="91"/>
      <c r="AZ392" s="78"/>
      <c r="BA392" s="78"/>
      <c r="BB392" s="78"/>
      <c r="BC392" s="78"/>
      <c r="BD392" s="78"/>
      <c r="BE392" s="78"/>
      <c r="BF392" s="78"/>
      <c r="BG392" s="78"/>
      <c r="BH392" s="78"/>
      <c r="BI392" s="78"/>
      <c r="BJ392" s="78"/>
      <c r="BK392" s="78"/>
      <c r="BL392" s="78"/>
      <c r="BM392" s="78"/>
      <c r="BN392" s="78"/>
      <c r="BO392" s="78"/>
      <c r="BP392" s="78"/>
      <c r="BQ392" s="78"/>
      <c r="BR392" s="78"/>
      <c r="BS392" s="78"/>
      <c r="BT392" s="78"/>
      <c r="BU392" s="78"/>
      <c r="BV392" s="78"/>
      <c r="BW392" s="78"/>
      <c r="BX392" s="78"/>
      <c r="BY392" s="78"/>
      <c r="BZ392" s="78"/>
      <c r="CA392" s="78"/>
      <c r="CB392" s="78"/>
      <c r="CC392" s="78"/>
      <c r="CD392" s="78"/>
      <c r="CE392" s="78"/>
      <c r="CF392" s="78"/>
      <c r="CG392" s="78"/>
      <c r="CH392" s="78"/>
      <c r="CI392" s="78"/>
      <c r="CJ392" s="78"/>
      <c r="CK392" s="78"/>
      <c r="CL392" s="78"/>
      <c r="CM392" s="78"/>
      <c r="CN392" s="78"/>
      <c r="CO392" s="78"/>
      <c r="CP392" s="78"/>
      <c r="CQ392" s="78"/>
      <c r="CR392" s="78"/>
      <c r="CS392" s="78"/>
      <c r="CT392" s="78"/>
      <c r="CU392" s="78"/>
      <c r="CV392" s="78"/>
      <c r="CW392" s="78"/>
      <c r="CX392" s="78"/>
      <c r="CY392" s="78"/>
      <c r="CZ392" s="78"/>
      <c r="DA392" s="78"/>
      <c r="DB392" s="78"/>
      <c r="DC392" s="78"/>
      <c r="DD392" s="78"/>
      <c r="DE392" s="78"/>
      <c r="DF392" s="78"/>
      <c r="DG392" s="78"/>
      <c r="DH392" s="78"/>
      <c r="DI392" s="78"/>
      <c r="DJ392" s="78"/>
      <c r="DK392" s="78"/>
      <c r="DL392" s="78"/>
      <c r="DM392" s="78"/>
      <c r="DN392" s="78"/>
      <c r="DO392" s="78"/>
      <c r="DP392" s="78"/>
      <c r="DQ392" s="78"/>
      <c r="DR392" s="78"/>
      <c r="DS392" s="78"/>
      <c r="DT392" s="78"/>
      <c r="DU392" s="78"/>
      <c r="DV392" s="78"/>
      <c r="DW392" s="78"/>
      <c r="DX392" s="78"/>
      <c r="DY392" s="78"/>
      <c r="DZ392" s="78"/>
      <c r="EA392" s="78"/>
      <c r="EB392" s="78"/>
      <c r="EC392" s="78"/>
      <c r="ED392" s="78"/>
      <c r="EE392" s="78"/>
      <c r="EF392" s="78"/>
      <c r="EG392" s="78"/>
      <c r="EH392" s="78"/>
      <c r="EI392" s="78"/>
      <c r="EJ392" s="78"/>
      <c r="EK392" s="78"/>
      <c r="EL392" s="78"/>
      <c r="EM392" s="78"/>
      <c r="EN392" s="91"/>
      <c r="EO392" s="91"/>
      <c r="EP392" s="91"/>
      <c r="EQ392" s="91"/>
      <c r="ER392" s="91"/>
      <c r="ES392" s="91"/>
    </row>
    <row r="393" spans="1:149" outlineLevel="1">
      <c r="A393" s="29" t="str">
        <f t="shared" si="311"/>
        <v>modesg_inp_emss_scibscp3_emss</v>
      </c>
      <c r="B393" s="67" t="s">
        <v>26</v>
      </c>
      <c r="C393" s="68" t="s">
        <v>181</v>
      </c>
      <c r="D393" s="64" t="s">
        <v>40</v>
      </c>
      <c r="E393" s="66" t="s">
        <v>217</v>
      </c>
      <c r="F393" s="64" t="s">
        <v>287</v>
      </c>
      <c r="G393" s="64" t="str">
        <f>INDEX(Auxiliar!$B$16:$B$24,MATCH(Plano_V3!H393,Auxiliar!$C$16:$C$24,0),1)</f>
        <v>1. Concluído</v>
      </c>
      <c r="H393" s="64">
        <f>VLOOKUP(A393,'Aux - pivots1'!$A:$B,2,0)</f>
        <v>1</v>
      </c>
      <c r="I393" s="180">
        <f>SUMIFS(Table1[Estimação (horas)],Table1[Tabela],Plano_V3!E393,Table1[Campo],Plano_V3!F393)</f>
        <v>0.6</v>
      </c>
      <c r="J393" s="180">
        <f t="shared" si="307"/>
        <v>7.4999999999999997E-2</v>
      </c>
      <c r="K393" s="180">
        <f>SUMIFS(Table1[Horas efetivas],Table1[Tabela],Plano_V3!E393,Table1[Campo],Plano_V3!F393)</f>
        <v>0.6</v>
      </c>
      <c r="L393" s="180">
        <f t="shared" si="308"/>
        <v>7.4999999999999997E-2</v>
      </c>
      <c r="M393" s="174"/>
      <c r="N393" s="174">
        <f t="shared" si="309"/>
        <v>1</v>
      </c>
      <c r="O393" s="174">
        <f t="shared" si="310"/>
        <v>1</v>
      </c>
      <c r="P393" s="89" t="s">
        <v>39</v>
      </c>
      <c r="Q393" s="90">
        <f t="shared" si="312"/>
        <v>7.4999999999999997E-2</v>
      </c>
      <c r="R393" s="78"/>
      <c r="S393" s="78"/>
      <c r="T393" s="78"/>
      <c r="U393" s="78"/>
      <c r="V393" s="78"/>
      <c r="W393" s="78"/>
      <c r="X393" s="78"/>
      <c r="Y393" s="78"/>
      <c r="Z393" s="78"/>
      <c r="AA393" s="78"/>
      <c r="AB393" s="78"/>
      <c r="AC393" s="78"/>
      <c r="AD393" s="78"/>
      <c r="AE393" s="78"/>
      <c r="AF393" s="78"/>
      <c r="AG393" s="78"/>
      <c r="AH393" s="78"/>
      <c r="AI393" s="78"/>
      <c r="AJ393" s="78"/>
      <c r="AK393" s="78"/>
      <c r="AL393" s="78"/>
      <c r="AM393" s="78"/>
      <c r="AN393" s="78"/>
      <c r="AO393" s="78"/>
      <c r="AP393" s="78"/>
      <c r="AQ393" s="78"/>
      <c r="AR393" s="78"/>
      <c r="AS393" s="78"/>
      <c r="AT393" s="78"/>
      <c r="AU393" s="78"/>
      <c r="AV393" s="78"/>
      <c r="AW393" s="78"/>
      <c r="AX393" s="78"/>
      <c r="AY393" s="91"/>
      <c r="AZ393" s="78"/>
      <c r="BA393" s="78"/>
      <c r="BB393" s="78"/>
      <c r="BC393" s="78"/>
      <c r="BD393" s="78"/>
      <c r="BE393" s="78"/>
      <c r="BF393" s="78"/>
      <c r="BG393" s="78"/>
      <c r="BH393" s="78"/>
      <c r="BI393" s="78"/>
      <c r="BJ393" s="78"/>
      <c r="BK393" s="78"/>
      <c r="BL393" s="78"/>
      <c r="BM393" s="78"/>
      <c r="BN393" s="78"/>
      <c r="BO393" s="78"/>
      <c r="BP393" s="78"/>
      <c r="BQ393" s="78"/>
      <c r="BR393" s="78"/>
      <c r="BS393" s="78"/>
      <c r="BT393" s="78"/>
      <c r="BU393" s="78"/>
      <c r="BV393" s="78"/>
      <c r="BW393" s="78"/>
      <c r="BX393" s="78"/>
      <c r="BY393" s="78"/>
      <c r="BZ393" s="78"/>
      <c r="CA393" s="78"/>
      <c r="CB393" s="78"/>
      <c r="CC393" s="78"/>
      <c r="CD393" s="78"/>
      <c r="CE393" s="78"/>
      <c r="CF393" s="78"/>
      <c r="CG393" s="78"/>
      <c r="CH393" s="78"/>
      <c r="CI393" s="78"/>
      <c r="CJ393" s="78"/>
      <c r="CK393" s="78"/>
      <c r="CL393" s="78"/>
      <c r="CM393" s="78"/>
      <c r="CN393" s="78"/>
      <c r="CO393" s="78"/>
      <c r="CP393" s="78"/>
      <c r="CQ393" s="78"/>
      <c r="CR393" s="78"/>
      <c r="CS393" s="78"/>
      <c r="CT393" s="78"/>
      <c r="CU393" s="78"/>
      <c r="CV393" s="78"/>
      <c r="CW393" s="78"/>
      <c r="CX393" s="78"/>
      <c r="CY393" s="78"/>
      <c r="CZ393" s="78"/>
      <c r="DA393" s="78"/>
      <c r="DB393" s="78"/>
      <c r="DC393" s="78"/>
      <c r="DD393" s="78"/>
      <c r="DE393" s="78"/>
      <c r="DF393" s="78"/>
      <c r="DG393" s="78"/>
      <c r="DH393" s="78"/>
      <c r="DI393" s="78"/>
      <c r="DJ393" s="78"/>
      <c r="DK393" s="78"/>
      <c r="DL393" s="78"/>
      <c r="DM393" s="78"/>
      <c r="DN393" s="78"/>
      <c r="DO393" s="78"/>
      <c r="DP393" s="78"/>
      <c r="DQ393" s="78"/>
      <c r="DR393" s="78"/>
      <c r="DS393" s="78"/>
      <c r="DT393" s="78"/>
      <c r="DU393" s="78"/>
      <c r="DV393" s="78"/>
      <c r="DW393" s="78"/>
      <c r="DX393" s="78"/>
      <c r="DY393" s="78"/>
      <c r="DZ393" s="78"/>
      <c r="EA393" s="78"/>
      <c r="EB393" s="78"/>
      <c r="EC393" s="78"/>
      <c r="ED393" s="78"/>
      <c r="EE393" s="78"/>
      <c r="EF393" s="78"/>
      <c r="EG393" s="78"/>
      <c r="EH393" s="78"/>
      <c r="EI393" s="78"/>
      <c r="EJ393" s="78"/>
      <c r="EK393" s="78"/>
      <c r="EL393" s="78"/>
      <c r="EM393" s="78"/>
      <c r="EN393" s="91"/>
      <c r="EO393" s="91"/>
      <c r="EP393" s="91"/>
      <c r="EQ393" s="91"/>
      <c r="ER393" s="91"/>
      <c r="ES393" s="91"/>
    </row>
    <row r="394" spans="1:149" outlineLevel="1">
      <c r="A394" s="29" t="str">
        <f t="shared" si="311"/>
        <v>modesg_inp_emss_scibscore_scp1</v>
      </c>
      <c r="B394" s="67" t="s">
        <v>26</v>
      </c>
      <c r="C394" s="68" t="s">
        <v>181</v>
      </c>
      <c r="D394" s="64" t="s">
        <v>40</v>
      </c>
      <c r="E394" s="66" t="s">
        <v>217</v>
      </c>
      <c r="F394" s="64" t="s">
        <v>288</v>
      </c>
      <c r="G394" s="64" t="str">
        <f>INDEX(Auxiliar!$B$16:$B$24,MATCH(Plano_V3!H394,Auxiliar!$C$16:$C$24,0),1)</f>
        <v>1. Concluído</v>
      </c>
      <c r="H394" s="64">
        <f>VLOOKUP(A394,'Aux - pivots1'!$A:$B,2,0)</f>
        <v>1</v>
      </c>
      <c r="I394" s="180">
        <f>SUMIFS(Table1[Estimação (horas)],Table1[Tabela],Plano_V3!E394,Table1[Campo],Plano_V3!F394)</f>
        <v>0.5</v>
      </c>
      <c r="J394" s="180">
        <f t="shared" si="307"/>
        <v>6.25E-2</v>
      </c>
      <c r="K394" s="180">
        <f>SUMIFS(Table1[Horas efetivas],Table1[Tabela],Plano_V3!E394,Table1[Campo],Plano_V3!F394)</f>
        <v>0.5</v>
      </c>
      <c r="L394" s="180">
        <f t="shared" si="308"/>
        <v>6.25E-2</v>
      </c>
      <c r="M394" s="174"/>
      <c r="N394" s="174">
        <f t="shared" si="309"/>
        <v>1</v>
      </c>
      <c r="O394" s="174">
        <f t="shared" si="310"/>
        <v>1</v>
      </c>
      <c r="P394" s="89" t="s">
        <v>39</v>
      </c>
      <c r="Q394" s="90">
        <f t="shared" si="312"/>
        <v>6.25E-2</v>
      </c>
      <c r="R394" s="78"/>
      <c r="S394" s="78"/>
      <c r="T394" s="78"/>
      <c r="U394" s="78"/>
      <c r="V394" s="78"/>
      <c r="W394" s="78"/>
      <c r="X394" s="78"/>
      <c r="Y394" s="78"/>
      <c r="Z394" s="78"/>
      <c r="AA394" s="78"/>
      <c r="AB394" s="78"/>
      <c r="AC394" s="78"/>
      <c r="AD394" s="78"/>
      <c r="AE394" s="78"/>
      <c r="AF394" s="78"/>
      <c r="AG394" s="78"/>
      <c r="AH394" s="78"/>
      <c r="AI394" s="78"/>
      <c r="AJ394" s="78"/>
      <c r="AK394" s="78"/>
      <c r="AL394" s="78"/>
      <c r="AM394" s="78"/>
      <c r="AN394" s="78"/>
      <c r="AO394" s="78"/>
      <c r="AP394" s="78"/>
      <c r="AQ394" s="78"/>
      <c r="AR394" s="78"/>
      <c r="AS394" s="78"/>
      <c r="AT394" s="78"/>
      <c r="AU394" s="78"/>
      <c r="AV394" s="78"/>
      <c r="AW394" s="78"/>
      <c r="AX394" s="78"/>
      <c r="AY394" s="91"/>
      <c r="AZ394" s="78"/>
      <c r="BA394" s="78"/>
      <c r="BB394" s="78"/>
      <c r="BC394" s="78"/>
      <c r="BD394" s="78"/>
      <c r="BE394" s="78"/>
      <c r="BF394" s="78"/>
      <c r="BG394" s="78"/>
      <c r="BH394" s="78"/>
      <c r="BI394" s="78"/>
      <c r="BJ394" s="78"/>
      <c r="BK394" s="78"/>
      <c r="BL394" s="78"/>
      <c r="BM394" s="78"/>
      <c r="BN394" s="78"/>
      <c r="BO394" s="78"/>
      <c r="BP394" s="78"/>
      <c r="BQ394" s="78"/>
      <c r="BR394" s="78"/>
      <c r="BS394" s="78"/>
      <c r="BT394" s="78"/>
      <c r="BU394" s="78"/>
      <c r="BV394" s="78"/>
      <c r="BW394" s="78"/>
      <c r="BX394" s="78"/>
      <c r="BY394" s="78"/>
      <c r="BZ394" s="78"/>
      <c r="CA394" s="78"/>
      <c r="CB394" s="78"/>
      <c r="CC394" s="78"/>
      <c r="CD394" s="78"/>
      <c r="CE394" s="78"/>
      <c r="CF394" s="78"/>
      <c r="CG394" s="78"/>
      <c r="CH394" s="78"/>
      <c r="CI394" s="78"/>
      <c r="CJ394" s="78"/>
      <c r="CK394" s="78"/>
      <c r="CL394" s="78"/>
      <c r="CM394" s="78"/>
      <c r="CN394" s="78"/>
      <c r="CO394" s="78"/>
      <c r="CP394" s="78"/>
      <c r="CQ394" s="78"/>
      <c r="CR394" s="78"/>
      <c r="CS394" s="78"/>
      <c r="CT394" s="78"/>
      <c r="CU394" s="78"/>
      <c r="CV394" s="78"/>
      <c r="CW394" s="78"/>
      <c r="CX394" s="78"/>
      <c r="CY394" s="78"/>
      <c r="CZ394" s="78"/>
      <c r="DA394" s="78"/>
      <c r="DB394" s="78"/>
      <c r="DC394" s="78"/>
      <c r="DD394" s="78"/>
      <c r="DE394" s="78"/>
      <c r="DF394" s="78"/>
      <c r="DG394" s="78"/>
      <c r="DH394" s="78"/>
      <c r="DI394" s="78"/>
      <c r="DJ394" s="78"/>
      <c r="DK394" s="78"/>
      <c r="DL394" s="78"/>
      <c r="DM394" s="78"/>
      <c r="DN394" s="78"/>
      <c r="DO394" s="78"/>
      <c r="DP394" s="78"/>
      <c r="DQ394" s="78"/>
      <c r="DR394" s="78"/>
      <c r="DS394" s="78"/>
      <c r="DT394" s="78"/>
      <c r="DU394" s="78"/>
      <c r="DV394" s="78"/>
      <c r="DW394" s="78"/>
      <c r="DX394" s="78"/>
      <c r="DY394" s="78"/>
      <c r="DZ394" s="78"/>
      <c r="EA394" s="78"/>
      <c r="EB394" s="78"/>
      <c r="EC394" s="78"/>
      <c r="ED394" s="78"/>
      <c r="EE394" s="78"/>
      <c r="EF394" s="78"/>
      <c r="EG394" s="78"/>
      <c r="EH394" s="78"/>
      <c r="EI394" s="78"/>
      <c r="EJ394" s="78"/>
      <c r="EK394" s="78"/>
      <c r="EL394" s="78"/>
      <c r="EM394" s="78"/>
      <c r="EN394" s="91"/>
      <c r="EO394" s="91"/>
      <c r="EP394" s="91"/>
      <c r="EQ394" s="91"/>
      <c r="ER394" s="91"/>
      <c r="ES394" s="91"/>
    </row>
    <row r="395" spans="1:149" outlineLevel="1">
      <c r="A395" s="29" t="str">
        <f t="shared" si="311"/>
        <v>modesg_inp_emss_scibscore_scp2</v>
      </c>
      <c r="B395" s="67" t="s">
        <v>26</v>
      </c>
      <c r="C395" s="68" t="s">
        <v>181</v>
      </c>
      <c r="D395" s="64" t="s">
        <v>40</v>
      </c>
      <c r="E395" s="66" t="s">
        <v>217</v>
      </c>
      <c r="F395" s="64" t="s">
        <v>289</v>
      </c>
      <c r="G395" s="64" t="str">
        <f>INDEX(Auxiliar!$B$16:$B$24,MATCH(Plano_V3!H395,Auxiliar!$C$16:$C$24,0),1)</f>
        <v>1. Concluído</v>
      </c>
      <c r="H395" s="64">
        <f>VLOOKUP(A395,'Aux - pivots1'!$A:$B,2,0)</f>
        <v>1</v>
      </c>
      <c r="I395" s="180">
        <f>SUMIFS(Table1[Estimação (horas)],Table1[Tabela],Plano_V3!E395,Table1[Campo],Plano_V3!F395)</f>
        <v>0.5</v>
      </c>
      <c r="J395" s="180">
        <f t="shared" si="307"/>
        <v>6.25E-2</v>
      </c>
      <c r="K395" s="180">
        <f>SUMIFS(Table1[Horas efetivas],Table1[Tabela],Plano_V3!E395,Table1[Campo],Plano_V3!F395)</f>
        <v>0.5</v>
      </c>
      <c r="L395" s="180">
        <f t="shared" si="308"/>
        <v>6.25E-2</v>
      </c>
      <c r="M395" s="174"/>
      <c r="N395" s="174">
        <f t="shared" si="309"/>
        <v>1</v>
      </c>
      <c r="O395" s="174">
        <f t="shared" si="310"/>
        <v>1</v>
      </c>
      <c r="P395" s="89" t="s">
        <v>39</v>
      </c>
      <c r="Q395" s="90">
        <f t="shared" si="312"/>
        <v>6.25E-2</v>
      </c>
      <c r="R395" s="78"/>
      <c r="S395" s="78"/>
      <c r="T395" s="78"/>
      <c r="U395" s="78"/>
      <c r="V395" s="78"/>
      <c r="W395" s="78"/>
      <c r="X395" s="78"/>
      <c r="Y395" s="78"/>
      <c r="Z395" s="78"/>
      <c r="AA395" s="78"/>
      <c r="AB395" s="78"/>
      <c r="AC395" s="78"/>
      <c r="AD395" s="78"/>
      <c r="AE395" s="78"/>
      <c r="AF395" s="78"/>
      <c r="AG395" s="78"/>
      <c r="AH395" s="78"/>
      <c r="AI395" s="78"/>
      <c r="AJ395" s="78"/>
      <c r="AK395" s="78"/>
      <c r="AL395" s="78"/>
      <c r="AM395" s="78"/>
      <c r="AN395" s="78"/>
      <c r="AO395" s="78"/>
      <c r="AP395" s="78"/>
      <c r="AQ395" s="78"/>
      <c r="AR395" s="78"/>
      <c r="AS395" s="78"/>
      <c r="AT395" s="78"/>
      <c r="AU395" s="78"/>
      <c r="AV395" s="78"/>
      <c r="AW395" s="78"/>
      <c r="AX395" s="78"/>
      <c r="AY395" s="91"/>
      <c r="AZ395" s="78"/>
      <c r="BA395" s="78"/>
      <c r="BB395" s="78"/>
      <c r="BC395" s="78"/>
      <c r="BD395" s="78"/>
      <c r="BE395" s="78"/>
      <c r="BF395" s="78"/>
      <c r="BG395" s="78"/>
      <c r="BH395" s="78"/>
      <c r="BI395" s="78"/>
      <c r="BJ395" s="78"/>
      <c r="BK395" s="78"/>
      <c r="BL395" s="78"/>
      <c r="BM395" s="78"/>
      <c r="BN395" s="78"/>
      <c r="BO395" s="78"/>
      <c r="BP395" s="78"/>
      <c r="BQ395" s="78"/>
      <c r="BR395" s="78"/>
      <c r="BS395" s="78"/>
      <c r="BT395" s="78"/>
      <c r="BU395" s="78"/>
      <c r="BV395" s="78"/>
      <c r="BW395" s="78"/>
      <c r="BX395" s="78"/>
      <c r="BY395" s="78"/>
      <c r="BZ395" s="78"/>
      <c r="CA395" s="78"/>
      <c r="CB395" s="78"/>
      <c r="CC395" s="78"/>
      <c r="CD395" s="78"/>
      <c r="CE395" s="78"/>
      <c r="CF395" s="78"/>
      <c r="CG395" s="78"/>
      <c r="CH395" s="78"/>
      <c r="CI395" s="78"/>
      <c r="CJ395" s="78"/>
      <c r="CK395" s="78"/>
      <c r="CL395" s="78"/>
      <c r="CM395" s="78"/>
      <c r="CN395" s="78"/>
      <c r="CO395" s="78"/>
      <c r="CP395" s="78"/>
      <c r="CQ395" s="78"/>
      <c r="CR395" s="78"/>
      <c r="CS395" s="78"/>
      <c r="CT395" s="78"/>
      <c r="CU395" s="78"/>
      <c r="CV395" s="78"/>
      <c r="CW395" s="78"/>
      <c r="CX395" s="78"/>
      <c r="CY395" s="78"/>
      <c r="CZ395" s="78"/>
      <c r="DA395" s="78"/>
      <c r="DB395" s="78"/>
      <c r="DC395" s="78"/>
      <c r="DD395" s="78"/>
      <c r="DE395" s="78"/>
      <c r="DF395" s="78"/>
      <c r="DG395" s="78"/>
      <c r="DH395" s="78"/>
      <c r="DI395" s="78"/>
      <c r="DJ395" s="78"/>
      <c r="DK395" s="78"/>
      <c r="DL395" s="78"/>
      <c r="DM395" s="78"/>
      <c r="DN395" s="78"/>
      <c r="DO395" s="78"/>
      <c r="DP395" s="78"/>
      <c r="DQ395" s="78"/>
      <c r="DR395" s="78"/>
      <c r="DS395" s="78"/>
      <c r="DT395" s="78"/>
      <c r="DU395" s="78"/>
      <c r="DV395" s="78"/>
      <c r="DW395" s="78"/>
      <c r="DX395" s="78"/>
      <c r="DY395" s="78"/>
      <c r="DZ395" s="78"/>
      <c r="EA395" s="78"/>
      <c r="EB395" s="78"/>
      <c r="EC395" s="78"/>
      <c r="ED395" s="78"/>
      <c r="EE395" s="78"/>
      <c r="EF395" s="78"/>
      <c r="EG395" s="78"/>
      <c r="EH395" s="78"/>
      <c r="EI395" s="78"/>
      <c r="EJ395" s="78"/>
      <c r="EK395" s="78"/>
      <c r="EL395" s="78"/>
      <c r="EM395" s="78"/>
      <c r="EN395" s="91"/>
      <c r="EO395" s="91"/>
      <c r="EP395" s="91"/>
      <c r="EQ395" s="91"/>
      <c r="ER395" s="91"/>
      <c r="ES395" s="91"/>
    </row>
    <row r="396" spans="1:149" outlineLevel="1">
      <c r="A396" s="29" t="str">
        <f t="shared" si="311"/>
        <v>modesg_inp_emss_scibscore_scp3</v>
      </c>
      <c r="B396" s="67" t="s">
        <v>26</v>
      </c>
      <c r="C396" s="68" t="s">
        <v>181</v>
      </c>
      <c r="D396" s="64" t="s">
        <v>40</v>
      </c>
      <c r="E396" s="66" t="s">
        <v>217</v>
      </c>
      <c r="F396" s="64" t="s">
        <v>290</v>
      </c>
      <c r="G396" s="64" t="str">
        <f>INDEX(Auxiliar!$B$16:$B$24,MATCH(Plano_V3!H396,Auxiliar!$C$16:$C$24,0),1)</f>
        <v>1. Concluído</v>
      </c>
      <c r="H396" s="64">
        <f>VLOOKUP(A396,'Aux - pivots1'!$A:$B,2,0)</f>
        <v>1</v>
      </c>
      <c r="I396" s="180">
        <f>SUMIFS(Table1[Estimação (horas)],Table1[Tabela],Plano_V3!E396,Table1[Campo],Plano_V3!F396)</f>
        <v>0.5</v>
      </c>
      <c r="J396" s="180">
        <f t="shared" si="307"/>
        <v>6.25E-2</v>
      </c>
      <c r="K396" s="180">
        <f>SUMIFS(Table1[Horas efetivas],Table1[Tabela],Plano_V3!E396,Table1[Campo],Plano_V3!F396)</f>
        <v>0.5</v>
      </c>
      <c r="L396" s="180">
        <f t="shared" si="308"/>
        <v>6.25E-2</v>
      </c>
      <c r="M396" s="174"/>
      <c r="N396" s="174">
        <f t="shared" si="309"/>
        <v>1</v>
      </c>
      <c r="O396" s="174">
        <f t="shared" si="310"/>
        <v>1</v>
      </c>
      <c r="P396" s="89" t="s">
        <v>39</v>
      </c>
      <c r="Q396" s="90">
        <f t="shared" si="312"/>
        <v>6.25E-2</v>
      </c>
      <c r="R396" s="78"/>
      <c r="S396" s="78"/>
      <c r="T396" s="78"/>
      <c r="U396" s="78"/>
      <c r="V396" s="78"/>
      <c r="W396" s="78"/>
      <c r="X396" s="78"/>
      <c r="Y396" s="78"/>
      <c r="Z396" s="78"/>
      <c r="AA396" s="78"/>
      <c r="AB396" s="78"/>
      <c r="AC396" s="78"/>
      <c r="AD396" s="78"/>
      <c r="AE396" s="78"/>
      <c r="AF396" s="78"/>
      <c r="AG396" s="78"/>
      <c r="AH396" s="78"/>
      <c r="AI396" s="78"/>
      <c r="AJ396" s="78"/>
      <c r="AK396" s="78"/>
      <c r="AL396" s="78"/>
      <c r="AM396" s="78"/>
      <c r="AN396" s="78"/>
      <c r="AO396" s="78"/>
      <c r="AP396" s="78"/>
      <c r="AQ396" s="78"/>
      <c r="AR396" s="78"/>
      <c r="AS396" s="78"/>
      <c r="AT396" s="78"/>
      <c r="AU396" s="78"/>
      <c r="AV396" s="78"/>
      <c r="AW396" s="78"/>
      <c r="AX396" s="78"/>
      <c r="AY396" s="91"/>
      <c r="AZ396" s="78"/>
      <c r="BA396" s="78"/>
      <c r="BB396" s="78"/>
      <c r="BC396" s="78"/>
      <c r="BD396" s="78"/>
      <c r="BE396" s="78"/>
      <c r="BF396" s="78"/>
      <c r="BG396" s="78"/>
      <c r="BH396" s="78"/>
      <c r="BI396" s="78"/>
      <c r="BJ396" s="78"/>
      <c r="BK396" s="78"/>
      <c r="BL396" s="78"/>
      <c r="BM396" s="78"/>
      <c r="BN396" s="78"/>
      <c r="BO396" s="78"/>
      <c r="BP396" s="78"/>
      <c r="BQ396" s="78"/>
      <c r="BR396" s="78"/>
      <c r="BS396" s="78"/>
      <c r="BT396" s="78"/>
      <c r="BU396" s="78"/>
      <c r="BV396" s="78"/>
      <c r="BW396" s="78"/>
      <c r="BX396" s="78"/>
      <c r="BY396" s="78"/>
      <c r="BZ396" s="78"/>
      <c r="CA396" s="78"/>
      <c r="CB396" s="78"/>
      <c r="CC396" s="78"/>
      <c r="CD396" s="78"/>
      <c r="CE396" s="78"/>
      <c r="CF396" s="78"/>
      <c r="CG396" s="78"/>
      <c r="CH396" s="78"/>
      <c r="CI396" s="78"/>
      <c r="CJ396" s="78"/>
      <c r="CK396" s="78"/>
      <c r="CL396" s="78"/>
      <c r="CM396" s="78"/>
      <c r="CN396" s="78"/>
      <c r="CO396" s="78"/>
      <c r="CP396" s="78"/>
      <c r="CQ396" s="78"/>
      <c r="CR396" s="78"/>
      <c r="CS396" s="78"/>
      <c r="CT396" s="78"/>
      <c r="CU396" s="78"/>
      <c r="CV396" s="78"/>
      <c r="CW396" s="78"/>
      <c r="CX396" s="78"/>
      <c r="CY396" s="78"/>
      <c r="CZ396" s="78"/>
      <c r="DA396" s="78"/>
      <c r="DB396" s="78"/>
      <c r="DC396" s="78"/>
      <c r="DD396" s="78"/>
      <c r="DE396" s="78"/>
      <c r="DF396" s="78"/>
      <c r="DG396" s="78"/>
      <c r="DH396" s="78"/>
      <c r="DI396" s="78"/>
      <c r="DJ396" s="78"/>
      <c r="DK396" s="78"/>
      <c r="DL396" s="78"/>
      <c r="DM396" s="78"/>
      <c r="DN396" s="78"/>
      <c r="DO396" s="78"/>
      <c r="DP396" s="78"/>
      <c r="DQ396" s="78"/>
      <c r="DR396" s="78"/>
      <c r="DS396" s="78"/>
      <c r="DT396" s="78"/>
      <c r="DU396" s="78"/>
      <c r="DV396" s="78"/>
      <c r="DW396" s="78"/>
      <c r="DX396" s="78"/>
      <c r="DY396" s="78"/>
      <c r="DZ396" s="78"/>
      <c r="EA396" s="78"/>
      <c r="EB396" s="78"/>
      <c r="EC396" s="78"/>
      <c r="ED396" s="78"/>
      <c r="EE396" s="78"/>
      <c r="EF396" s="78"/>
      <c r="EG396" s="78"/>
      <c r="EH396" s="78"/>
      <c r="EI396" s="78"/>
      <c r="EJ396" s="78"/>
      <c r="EK396" s="78"/>
      <c r="EL396" s="78"/>
      <c r="EM396" s="78"/>
      <c r="EN396" s="91"/>
      <c r="EO396" s="91"/>
      <c r="EP396" s="91"/>
      <c r="EQ396" s="91"/>
      <c r="ER396" s="91"/>
      <c r="ES396" s="91"/>
    </row>
    <row r="397" spans="1:149" outlineLevel="1">
      <c r="A397" s="29" t="str">
        <f t="shared" si="311"/>
        <v>modesg_inp_emss_sciborigem_scp1</v>
      </c>
      <c r="B397" s="67" t="s">
        <v>26</v>
      </c>
      <c r="C397" s="68" t="s">
        <v>181</v>
      </c>
      <c r="D397" s="64" t="s">
        <v>40</v>
      </c>
      <c r="E397" s="66" t="s">
        <v>217</v>
      </c>
      <c r="F397" s="64" t="s">
        <v>291</v>
      </c>
      <c r="G397" s="64" t="str">
        <f>INDEX(Auxiliar!$B$16:$B$24,MATCH(Plano_V3!H397,Auxiliar!$C$16:$C$24,0),1)</f>
        <v>1. Concluído</v>
      </c>
      <c r="H397" s="64">
        <f>VLOOKUP(A397,'Aux - pivots1'!$A:$B,2,0)</f>
        <v>1</v>
      </c>
      <c r="I397" s="180">
        <f>SUMIFS(Table1[Estimação (horas)],Table1[Tabela],Plano_V3!E397,Table1[Campo],Plano_V3!F397)</f>
        <v>0.5</v>
      </c>
      <c r="J397" s="180">
        <f t="shared" si="307"/>
        <v>6.25E-2</v>
      </c>
      <c r="K397" s="180">
        <f>SUMIFS(Table1[Horas efetivas],Table1[Tabela],Plano_V3!E397,Table1[Campo],Plano_V3!F397)</f>
        <v>0.5</v>
      </c>
      <c r="L397" s="180">
        <f t="shared" si="308"/>
        <v>6.25E-2</v>
      </c>
      <c r="M397" s="174"/>
      <c r="N397" s="174">
        <f t="shared" si="309"/>
        <v>1</v>
      </c>
      <c r="O397" s="174">
        <f t="shared" si="310"/>
        <v>1</v>
      </c>
      <c r="P397" s="89" t="s">
        <v>39</v>
      </c>
      <c r="Q397" s="90">
        <f t="shared" si="312"/>
        <v>6.25E-2</v>
      </c>
      <c r="R397" s="78"/>
      <c r="S397" s="78"/>
      <c r="T397" s="78"/>
      <c r="U397" s="78"/>
      <c r="V397" s="78"/>
      <c r="W397" s="78"/>
      <c r="X397" s="78"/>
      <c r="Y397" s="78"/>
      <c r="Z397" s="78"/>
      <c r="AA397" s="78"/>
      <c r="AB397" s="78"/>
      <c r="AC397" s="78"/>
      <c r="AD397" s="78"/>
      <c r="AE397" s="78"/>
      <c r="AF397" s="78"/>
      <c r="AG397" s="78"/>
      <c r="AH397" s="78"/>
      <c r="AI397" s="78"/>
      <c r="AJ397" s="78"/>
      <c r="AK397" s="78"/>
      <c r="AL397" s="78"/>
      <c r="AM397" s="78"/>
      <c r="AN397" s="78"/>
      <c r="AO397" s="78"/>
      <c r="AP397" s="78"/>
      <c r="AQ397" s="78"/>
      <c r="AR397" s="78"/>
      <c r="AS397" s="78"/>
      <c r="AT397" s="78"/>
      <c r="AU397" s="78"/>
      <c r="AV397" s="78"/>
      <c r="AW397" s="78"/>
      <c r="AX397" s="78"/>
      <c r="AY397" s="91"/>
      <c r="AZ397" s="78"/>
      <c r="BA397" s="78"/>
      <c r="BB397" s="78"/>
      <c r="BC397" s="78"/>
      <c r="BD397" s="78"/>
      <c r="BE397" s="78"/>
      <c r="BF397" s="78"/>
      <c r="BG397" s="78"/>
      <c r="BH397" s="78"/>
      <c r="BI397" s="78"/>
      <c r="BJ397" s="78"/>
      <c r="BK397" s="78"/>
      <c r="BL397" s="78"/>
      <c r="BM397" s="78"/>
      <c r="BN397" s="78"/>
      <c r="BO397" s="78"/>
      <c r="BP397" s="78"/>
      <c r="BQ397" s="78"/>
      <c r="BR397" s="78"/>
      <c r="BS397" s="78"/>
      <c r="BT397" s="78"/>
      <c r="BU397" s="78"/>
      <c r="BV397" s="78"/>
      <c r="BW397" s="78"/>
      <c r="BX397" s="78"/>
      <c r="BY397" s="78"/>
      <c r="BZ397" s="78"/>
      <c r="CA397" s="78"/>
      <c r="CB397" s="78"/>
      <c r="CC397" s="78"/>
      <c r="CD397" s="78"/>
      <c r="CE397" s="78"/>
      <c r="CF397" s="78"/>
      <c r="CG397" s="78"/>
      <c r="CH397" s="78"/>
      <c r="CI397" s="78"/>
      <c r="CJ397" s="78"/>
      <c r="CK397" s="78"/>
      <c r="CL397" s="78"/>
      <c r="CM397" s="78"/>
      <c r="CN397" s="78"/>
      <c r="CO397" s="78"/>
      <c r="CP397" s="78"/>
      <c r="CQ397" s="78"/>
      <c r="CR397" s="78"/>
      <c r="CS397" s="78"/>
      <c r="CT397" s="78"/>
      <c r="CU397" s="78"/>
      <c r="CV397" s="78"/>
      <c r="CW397" s="78"/>
      <c r="CX397" s="78"/>
      <c r="CY397" s="78"/>
      <c r="CZ397" s="78"/>
      <c r="DA397" s="78"/>
      <c r="DB397" s="78"/>
      <c r="DC397" s="78"/>
      <c r="DD397" s="78"/>
      <c r="DE397" s="78"/>
      <c r="DF397" s="78"/>
      <c r="DG397" s="78"/>
      <c r="DH397" s="78"/>
      <c r="DI397" s="78"/>
      <c r="DJ397" s="78"/>
      <c r="DK397" s="78"/>
      <c r="DL397" s="78"/>
      <c r="DM397" s="78"/>
      <c r="DN397" s="78"/>
      <c r="DO397" s="78"/>
      <c r="DP397" s="78"/>
      <c r="DQ397" s="78"/>
      <c r="DR397" s="78"/>
      <c r="DS397" s="78"/>
      <c r="DT397" s="78"/>
      <c r="DU397" s="78"/>
      <c r="DV397" s="78"/>
      <c r="DW397" s="78"/>
      <c r="DX397" s="78"/>
      <c r="DY397" s="78"/>
      <c r="DZ397" s="78"/>
      <c r="EA397" s="78"/>
      <c r="EB397" s="78"/>
      <c r="EC397" s="78"/>
      <c r="ED397" s="78"/>
      <c r="EE397" s="78"/>
      <c r="EF397" s="78"/>
      <c r="EG397" s="78"/>
      <c r="EH397" s="78"/>
      <c r="EI397" s="78"/>
      <c r="EJ397" s="78"/>
      <c r="EK397" s="78"/>
      <c r="EL397" s="78"/>
      <c r="EM397" s="78"/>
      <c r="EN397" s="91"/>
      <c r="EO397" s="91"/>
      <c r="EP397" s="91"/>
      <c r="EQ397" s="91"/>
      <c r="ER397" s="91"/>
      <c r="ES397" s="91"/>
    </row>
    <row r="398" spans="1:149" outlineLevel="1">
      <c r="A398" s="29" t="str">
        <f t="shared" si="311"/>
        <v>modesg_inp_emss_sciborigem_scp2</v>
      </c>
      <c r="B398" s="67" t="s">
        <v>26</v>
      </c>
      <c r="C398" s="68" t="s">
        <v>181</v>
      </c>
      <c r="D398" s="64" t="s">
        <v>40</v>
      </c>
      <c r="E398" s="66" t="s">
        <v>217</v>
      </c>
      <c r="F398" s="64" t="s">
        <v>292</v>
      </c>
      <c r="G398" s="64" t="str">
        <f>INDEX(Auxiliar!$B$16:$B$24,MATCH(Plano_V3!H398,Auxiliar!$C$16:$C$24,0),1)</f>
        <v>1. Concluído</v>
      </c>
      <c r="H398" s="64">
        <f>VLOOKUP(A398,'Aux - pivots1'!$A:$B,2,0)</f>
        <v>1</v>
      </c>
      <c r="I398" s="180">
        <f>SUMIFS(Table1[Estimação (horas)],Table1[Tabela],Plano_V3!E398,Table1[Campo],Plano_V3!F398)</f>
        <v>0.5</v>
      </c>
      <c r="J398" s="180">
        <f t="shared" si="307"/>
        <v>6.25E-2</v>
      </c>
      <c r="K398" s="180">
        <f>SUMIFS(Table1[Horas efetivas],Table1[Tabela],Plano_V3!E398,Table1[Campo],Plano_V3!F398)</f>
        <v>0.5</v>
      </c>
      <c r="L398" s="180">
        <f t="shared" si="308"/>
        <v>6.25E-2</v>
      </c>
      <c r="M398" s="174"/>
      <c r="N398" s="174">
        <f t="shared" si="309"/>
        <v>1</v>
      </c>
      <c r="O398" s="174">
        <f t="shared" si="310"/>
        <v>1</v>
      </c>
      <c r="P398" s="89" t="s">
        <v>39</v>
      </c>
      <c r="Q398" s="90">
        <f t="shared" si="312"/>
        <v>6.25E-2</v>
      </c>
      <c r="R398" s="78"/>
      <c r="S398" s="78"/>
      <c r="T398" s="78"/>
      <c r="U398" s="78"/>
      <c r="V398" s="78"/>
      <c r="W398" s="78"/>
      <c r="X398" s="78"/>
      <c r="Y398" s="78"/>
      <c r="Z398" s="78"/>
      <c r="AA398" s="78"/>
      <c r="AB398" s="78"/>
      <c r="AC398" s="78"/>
      <c r="AD398" s="78"/>
      <c r="AE398" s="78"/>
      <c r="AF398" s="78"/>
      <c r="AG398" s="78"/>
      <c r="AH398" s="78"/>
      <c r="AI398" s="78"/>
      <c r="AJ398" s="78"/>
      <c r="AK398" s="78"/>
      <c r="AL398" s="78"/>
      <c r="AM398" s="78"/>
      <c r="AN398" s="78"/>
      <c r="AO398" s="78"/>
      <c r="AP398" s="78"/>
      <c r="AQ398" s="78"/>
      <c r="AR398" s="78"/>
      <c r="AS398" s="78"/>
      <c r="AT398" s="78"/>
      <c r="AU398" s="78"/>
      <c r="AV398" s="78"/>
      <c r="AW398" s="78"/>
      <c r="AX398" s="78"/>
      <c r="AY398" s="91"/>
      <c r="AZ398" s="78"/>
      <c r="BA398" s="78"/>
      <c r="BB398" s="78"/>
      <c r="BC398" s="78"/>
      <c r="BD398" s="78"/>
      <c r="BE398" s="78"/>
      <c r="BF398" s="78"/>
      <c r="BG398" s="78"/>
      <c r="BH398" s="78"/>
      <c r="BI398" s="78"/>
      <c r="BJ398" s="78"/>
      <c r="BK398" s="78"/>
      <c r="BL398" s="78"/>
      <c r="BM398" s="78"/>
      <c r="BN398" s="78"/>
      <c r="BO398" s="78"/>
      <c r="BP398" s="78"/>
      <c r="BQ398" s="78"/>
      <c r="BR398" s="78"/>
      <c r="BS398" s="78"/>
      <c r="BT398" s="78"/>
      <c r="BU398" s="78"/>
      <c r="BV398" s="78"/>
      <c r="BW398" s="78"/>
      <c r="BX398" s="78"/>
      <c r="BY398" s="78"/>
      <c r="BZ398" s="78"/>
      <c r="CA398" s="78"/>
      <c r="CB398" s="78"/>
      <c r="CC398" s="78"/>
      <c r="CD398" s="78"/>
      <c r="CE398" s="78"/>
      <c r="CF398" s="78"/>
      <c r="CG398" s="78"/>
      <c r="CH398" s="78"/>
      <c r="CI398" s="78"/>
      <c r="CJ398" s="78"/>
      <c r="CK398" s="78"/>
      <c r="CL398" s="78"/>
      <c r="CM398" s="78"/>
      <c r="CN398" s="78"/>
      <c r="CO398" s="78"/>
      <c r="CP398" s="78"/>
      <c r="CQ398" s="78"/>
      <c r="CR398" s="78"/>
      <c r="CS398" s="78"/>
      <c r="CT398" s="78"/>
      <c r="CU398" s="78"/>
      <c r="CV398" s="78"/>
      <c r="CW398" s="78"/>
      <c r="CX398" s="78"/>
      <c r="CY398" s="78"/>
      <c r="CZ398" s="78"/>
      <c r="DA398" s="78"/>
      <c r="DB398" s="78"/>
      <c r="DC398" s="78"/>
      <c r="DD398" s="78"/>
      <c r="DE398" s="78"/>
      <c r="DF398" s="78"/>
      <c r="DG398" s="78"/>
      <c r="DH398" s="78"/>
      <c r="DI398" s="78"/>
      <c r="DJ398" s="78"/>
      <c r="DK398" s="78"/>
      <c r="DL398" s="78"/>
      <c r="DM398" s="78"/>
      <c r="DN398" s="78"/>
      <c r="DO398" s="78"/>
      <c r="DP398" s="78"/>
      <c r="DQ398" s="78"/>
      <c r="DR398" s="78"/>
      <c r="DS398" s="78"/>
      <c r="DT398" s="78"/>
      <c r="DU398" s="78"/>
      <c r="DV398" s="78"/>
      <c r="DW398" s="78"/>
      <c r="DX398" s="78"/>
      <c r="DY398" s="78"/>
      <c r="DZ398" s="78"/>
      <c r="EA398" s="78"/>
      <c r="EB398" s="78"/>
      <c r="EC398" s="78"/>
      <c r="ED398" s="78"/>
      <c r="EE398" s="78"/>
      <c r="EF398" s="78"/>
      <c r="EG398" s="78"/>
      <c r="EH398" s="78"/>
      <c r="EI398" s="78"/>
      <c r="EJ398" s="78"/>
      <c r="EK398" s="78"/>
      <c r="EL398" s="78"/>
      <c r="EM398" s="78"/>
      <c r="EN398" s="91"/>
      <c r="EO398" s="91"/>
      <c r="EP398" s="91"/>
      <c r="EQ398" s="91"/>
      <c r="ER398" s="91"/>
      <c r="ES398" s="91"/>
    </row>
    <row r="399" spans="1:149" outlineLevel="1">
      <c r="A399" s="29" t="str">
        <f t="shared" si="311"/>
        <v>modesg_inp_emss_sciborigem_scp3</v>
      </c>
      <c r="B399" s="67" t="s">
        <v>26</v>
      </c>
      <c r="C399" s="68" t="s">
        <v>181</v>
      </c>
      <c r="D399" s="64" t="s">
        <v>40</v>
      </c>
      <c r="E399" s="66" t="s">
        <v>217</v>
      </c>
      <c r="F399" s="64" t="s">
        <v>293</v>
      </c>
      <c r="G399" s="64" t="str">
        <f>INDEX(Auxiliar!$B$16:$B$24,MATCH(Plano_V3!H399,Auxiliar!$C$16:$C$24,0),1)</f>
        <v>1. Concluído</v>
      </c>
      <c r="H399" s="64">
        <f>VLOOKUP(A399,'Aux - pivots1'!$A:$B,2,0)</f>
        <v>1</v>
      </c>
      <c r="I399" s="180">
        <f>SUMIFS(Table1[Estimação (horas)],Table1[Tabela],Plano_V3!E399,Table1[Campo],Plano_V3!F399)</f>
        <v>0.5</v>
      </c>
      <c r="J399" s="180">
        <f t="shared" si="307"/>
        <v>6.25E-2</v>
      </c>
      <c r="K399" s="180">
        <f>SUMIFS(Table1[Horas efetivas],Table1[Tabela],Plano_V3!E399,Table1[Campo],Plano_V3!F399)</f>
        <v>0.5</v>
      </c>
      <c r="L399" s="180">
        <f t="shared" si="308"/>
        <v>6.25E-2</v>
      </c>
      <c r="M399" s="174"/>
      <c r="N399" s="174">
        <f t="shared" si="309"/>
        <v>1</v>
      </c>
      <c r="O399" s="174">
        <f t="shared" si="310"/>
        <v>1</v>
      </c>
      <c r="P399" s="89" t="s">
        <v>39</v>
      </c>
      <c r="Q399" s="90">
        <f t="shared" si="312"/>
        <v>6.25E-2</v>
      </c>
      <c r="R399" s="78"/>
      <c r="S399" s="78"/>
      <c r="T399" s="78"/>
      <c r="U399" s="78"/>
      <c r="V399" s="78"/>
      <c r="W399" s="78"/>
      <c r="X399" s="78"/>
      <c r="Y399" s="78"/>
      <c r="Z399" s="78"/>
      <c r="AA399" s="78"/>
      <c r="AB399" s="78"/>
      <c r="AC399" s="78"/>
      <c r="AD399" s="78"/>
      <c r="AE399" s="78"/>
      <c r="AF399" s="78"/>
      <c r="AG399" s="78"/>
      <c r="AH399" s="78"/>
      <c r="AI399" s="78"/>
      <c r="AJ399" s="78"/>
      <c r="AK399" s="78"/>
      <c r="AL399" s="78"/>
      <c r="AM399" s="78"/>
      <c r="AN399" s="78"/>
      <c r="AO399" s="78"/>
      <c r="AP399" s="78"/>
      <c r="AQ399" s="78"/>
      <c r="AR399" s="78"/>
      <c r="AS399" s="78"/>
      <c r="AT399" s="78"/>
      <c r="AU399" s="78"/>
      <c r="AV399" s="78"/>
      <c r="AW399" s="78"/>
      <c r="AX399" s="78"/>
      <c r="AY399" s="91"/>
      <c r="AZ399" s="78"/>
      <c r="BA399" s="78"/>
      <c r="BB399" s="78"/>
      <c r="BC399" s="78"/>
      <c r="BD399" s="78"/>
      <c r="BE399" s="78"/>
      <c r="BF399" s="78"/>
      <c r="BG399" s="78"/>
      <c r="BH399" s="78"/>
      <c r="BI399" s="78"/>
      <c r="BJ399" s="78"/>
      <c r="BK399" s="78"/>
      <c r="BL399" s="78"/>
      <c r="BM399" s="78"/>
      <c r="BN399" s="78"/>
      <c r="BO399" s="78"/>
      <c r="BP399" s="78"/>
      <c r="BQ399" s="78"/>
      <c r="BR399" s="78"/>
      <c r="BS399" s="78"/>
      <c r="BT399" s="78"/>
      <c r="BU399" s="78"/>
      <c r="BV399" s="78"/>
      <c r="BW399" s="78"/>
      <c r="BX399" s="78"/>
      <c r="BY399" s="78"/>
      <c r="BZ399" s="78"/>
      <c r="CA399" s="78"/>
      <c r="CB399" s="78"/>
      <c r="CC399" s="78"/>
      <c r="CD399" s="78"/>
      <c r="CE399" s="78"/>
      <c r="CF399" s="78"/>
      <c r="CG399" s="78"/>
      <c r="CH399" s="78"/>
      <c r="CI399" s="78"/>
      <c r="CJ399" s="78"/>
      <c r="CK399" s="78"/>
      <c r="CL399" s="78"/>
      <c r="CM399" s="78"/>
      <c r="CN399" s="78"/>
      <c r="CO399" s="78"/>
      <c r="CP399" s="78"/>
      <c r="CQ399" s="78"/>
      <c r="CR399" s="78"/>
      <c r="CS399" s="78"/>
      <c r="CT399" s="78"/>
      <c r="CU399" s="78"/>
      <c r="CV399" s="78"/>
      <c r="CW399" s="78"/>
      <c r="CX399" s="78"/>
      <c r="CY399" s="78"/>
      <c r="CZ399" s="78"/>
      <c r="DA399" s="78"/>
      <c r="DB399" s="78"/>
      <c r="DC399" s="78"/>
      <c r="DD399" s="78"/>
      <c r="DE399" s="78"/>
      <c r="DF399" s="78"/>
      <c r="DG399" s="78"/>
      <c r="DH399" s="78"/>
      <c r="DI399" s="78"/>
      <c r="DJ399" s="78"/>
      <c r="DK399" s="78"/>
      <c r="DL399" s="78"/>
      <c r="DM399" s="78"/>
      <c r="DN399" s="78"/>
      <c r="DO399" s="78"/>
      <c r="DP399" s="78"/>
      <c r="DQ399" s="78"/>
      <c r="DR399" s="78"/>
      <c r="DS399" s="78"/>
      <c r="DT399" s="78"/>
      <c r="DU399" s="78"/>
      <c r="DV399" s="78"/>
      <c r="DW399" s="78"/>
      <c r="DX399" s="78"/>
      <c r="DY399" s="78"/>
      <c r="DZ399" s="78"/>
      <c r="EA399" s="78"/>
      <c r="EB399" s="78"/>
      <c r="EC399" s="78"/>
      <c r="ED399" s="78"/>
      <c r="EE399" s="78"/>
      <c r="EF399" s="78"/>
      <c r="EG399" s="78"/>
      <c r="EH399" s="78"/>
      <c r="EI399" s="78"/>
      <c r="EJ399" s="78"/>
      <c r="EK399" s="78"/>
      <c r="EL399" s="78"/>
      <c r="EM399" s="78"/>
      <c r="EN399" s="91"/>
      <c r="EO399" s="91"/>
      <c r="EP399" s="91"/>
      <c r="EQ399" s="91"/>
      <c r="ER399" s="91"/>
      <c r="ES399" s="91"/>
    </row>
    <row r="400" spans="1:149" outlineLevel="1">
      <c r="A400" s="29" t="str">
        <f t="shared" si="311"/>
        <v>modesg_inp_emss_scibano_info</v>
      </c>
      <c r="B400" s="67" t="s">
        <v>26</v>
      </c>
      <c r="C400" s="68" t="s">
        <v>181</v>
      </c>
      <c r="D400" s="64" t="s">
        <v>40</v>
      </c>
      <c r="E400" s="66" t="s">
        <v>217</v>
      </c>
      <c r="F400" s="64" t="s">
        <v>294</v>
      </c>
      <c r="G400" s="64" t="str">
        <f>INDEX(Auxiliar!$B$16:$B$24,MATCH(Plano_V3!H400,Auxiliar!$C$16:$C$24,0),1)</f>
        <v>1. Concluído</v>
      </c>
      <c r="H400" s="64">
        <f>VLOOKUP(A400,'Aux - pivots1'!$A:$B,2,0)</f>
        <v>1</v>
      </c>
      <c r="I400" s="180">
        <f>SUMIFS(Table1[Estimação (horas)],Table1[Tabela],Plano_V3!E400,Table1[Campo],Plano_V3!F400)</f>
        <v>0.5</v>
      </c>
      <c r="J400" s="180">
        <f t="shared" si="307"/>
        <v>6.25E-2</v>
      </c>
      <c r="K400" s="180">
        <f>SUMIFS(Table1[Horas efetivas],Table1[Tabela],Plano_V3!E400,Table1[Campo],Plano_V3!F400)</f>
        <v>0.5</v>
      </c>
      <c r="L400" s="180">
        <f t="shared" si="308"/>
        <v>6.25E-2</v>
      </c>
      <c r="M400" s="174"/>
      <c r="N400" s="174">
        <f t="shared" si="309"/>
        <v>1</v>
      </c>
      <c r="O400" s="174">
        <f t="shared" si="310"/>
        <v>1</v>
      </c>
      <c r="P400" s="89" t="s">
        <v>39</v>
      </c>
      <c r="Q400" s="90">
        <f t="shared" si="312"/>
        <v>6.25E-2</v>
      </c>
      <c r="R400" s="78"/>
      <c r="S400" s="78"/>
      <c r="T400" s="78"/>
      <c r="U400" s="78"/>
      <c r="V400" s="78"/>
      <c r="W400" s="78"/>
      <c r="X400" s="78"/>
      <c r="Y400" s="78"/>
      <c r="Z400" s="78"/>
      <c r="AA400" s="78"/>
      <c r="AB400" s="78"/>
      <c r="AC400" s="78"/>
      <c r="AD400" s="78"/>
      <c r="AE400" s="78"/>
      <c r="AF400" s="78"/>
      <c r="AG400" s="78"/>
      <c r="AH400" s="78"/>
      <c r="AI400" s="78"/>
      <c r="AJ400" s="78"/>
      <c r="AK400" s="78"/>
      <c r="AL400" s="78"/>
      <c r="AM400" s="78"/>
      <c r="AN400" s="78"/>
      <c r="AO400" s="78"/>
      <c r="AP400" s="78"/>
      <c r="AQ400" s="78"/>
      <c r="AR400" s="78"/>
      <c r="AS400" s="78"/>
      <c r="AT400" s="78"/>
      <c r="AU400" s="78"/>
      <c r="AV400" s="78"/>
      <c r="AW400" s="78"/>
      <c r="AX400" s="78"/>
      <c r="AY400" s="91"/>
      <c r="AZ400" s="78"/>
      <c r="BA400" s="78"/>
      <c r="BB400" s="78"/>
      <c r="BC400" s="78"/>
      <c r="BD400" s="78"/>
      <c r="BE400" s="78"/>
      <c r="BF400" s="78"/>
      <c r="BG400" s="78"/>
      <c r="BH400" s="78"/>
      <c r="BI400" s="78"/>
      <c r="BJ400" s="78"/>
      <c r="BK400" s="78"/>
      <c r="BL400" s="78"/>
      <c r="BM400" s="78"/>
      <c r="BN400" s="78"/>
      <c r="BO400" s="78"/>
      <c r="BP400" s="78"/>
      <c r="BQ400" s="78"/>
      <c r="BR400" s="78"/>
      <c r="BS400" s="78"/>
      <c r="BT400" s="78"/>
      <c r="BU400" s="78"/>
      <c r="BV400" s="78"/>
      <c r="BW400" s="78"/>
      <c r="BX400" s="78"/>
      <c r="BY400" s="78"/>
      <c r="BZ400" s="78"/>
      <c r="CA400" s="78"/>
      <c r="CB400" s="78"/>
      <c r="CC400" s="78"/>
      <c r="CD400" s="78"/>
      <c r="CE400" s="78"/>
      <c r="CF400" s="78"/>
      <c r="CG400" s="78"/>
      <c r="CH400" s="78"/>
      <c r="CI400" s="78"/>
      <c r="CJ400" s="78"/>
      <c r="CK400" s="78"/>
      <c r="CL400" s="78"/>
      <c r="CM400" s="78"/>
      <c r="CN400" s="78"/>
      <c r="CO400" s="78"/>
      <c r="CP400" s="78"/>
      <c r="CQ400" s="78"/>
      <c r="CR400" s="78"/>
      <c r="CS400" s="78"/>
      <c r="CT400" s="78"/>
      <c r="CU400" s="78"/>
      <c r="CV400" s="78"/>
      <c r="CW400" s="78"/>
      <c r="CX400" s="78"/>
      <c r="CY400" s="78"/>
      <c r="CZ400" s="78"/>
      <c r="DA400" s="78"/>
      <c r="DB400" s="78"/>
      <c r="DC400" s="78"/>
      <c r="DD400" s="78"/>
      <c r="DE400" s="78"/>
      <c r="DF400" s="78"/>
      <c r="DG400" s="78"/>
      <c r="DH400" s="78"/>
      <c r="DI400" s="78"/>
      <c r="DJ400" s="78"/>
      <c r="DK400" s="78"/>
      <c r="DL400" s="78"/>
      <c r="DM400" s="78"/>
      <c r="DN400" s="78"/>
      <c r="DO400" s="78"/>
      <c r="DP400" s="78"/>
      <c r="DQ400" s="78"/>
      <c r="DR400" s="78"/>
      <c r="DS400" s="78"/>
      <c r="DT400" s="78"/>
      <c r="DU400" s="78"/>
      <c r="DV400" s="78"/>
      <c r="DW400" s="78"/>
      <c r="DX400" s="78"/>
      <c r="DY400" s="78"/>
      <c r="DZ400" s="78"/>
      <c r="EA400" s="78"/>
      <c r="EB400" s="78"/>
      <c r="EC400" s="78"/>
      <c r="ED400" s="78"/>
      <c r="EE400" s="78"/>
      <c r="EF400" s="78"/>
      <c r="EG400" s="78"/>
      <c r="EH400" s="78"/>
      <c r="EI400" s="78"/>
      <c r="EJ400" s="78"/>
      <c r="EK400" s="78"/>
      <c r="EL400" s="78"/>
      <c r="EM400" s="78"/>
      <c r="EN400" s="91"/>
      <c r="EO400" s="91"/>
      <c r="EP400" s="91"/>
      <c r="EQ400" s="91"/>
      <c r="ER400" s="91"/>
      <c r="ES400" s="91"/>
    </row>
    <row r="401" spans="1:149" outlineLevel="1">
      <c r="A401" s="29" t="str">
        <f t="shared" si="311"/>
        <v>modesg_inp_emss_scibdivida_total</v>
      </c>
      <c r="B401" s="67" t="s">
        <v>26</v>
      </c>
      <c r="C401" s="68" t="s">
        <v>181</v>
      </c>
      <c r="D401" s="64" t="s">
        <v>40</v>
      </c>
      <c r="E401" s="66" t="s">
        <v>217</v>
      </c>
      <c r="F401" s="64" t="s">
        <v>295</v>
      </c>
      <c r="G401" s="64" t="str">
        <f>INDEX(Auxiliar!$B$16:$B$24,MATCH(Plano_V3!H401,Auxiliar!$C$16:$C$24,0),1)</f>
        <v>1. Concluído</v>
      </c>
      <c r="H401" s="64">
        <f>VLOOKUP(A401,'Aux - pivots1'!$A:$B,2,0)</f>
        <v>1</v>
      </c>
      <c r="I401" s="180">
        <f>SUMIFS(Table1[Estimação (horas)],Table1[Tabela],Plano_V3!E401,Table1[Campo],Plano_V3!F401)</f>
        <v>0.5</v>
      </c>
      <c r="J401" s="180">
        <f t="shared" ref="J401:J441" si="313">I401/8</f>
        <v>6.25E-2</v>
      </c>
      <c r="K401" s="180">
        <f>SUMIFS(Table1[Horas efetivas],Table1[Tabela],Plano_V3!E401,Table1[Campo],Plano_V3!F401)</f>
        <v>0.5</v>
      </c>
      <c r="L401" s="180">
        <f t="shared" si="308"/>
        <v>6.25E-2</v>
      </c>
      <c r="M401" s="174"/>
      <c r="N401" s="174">
        <f t="shared" si="309"/>
        <v>1</v>
      </c>
      <c r="O401" s="174">
        <f t="shared" si="310"/>
        <v>1</v>
      </c>
      <c r="P401" s="89" t="s">
        <v>39</v>
      </c>
      <c r="Q401" s="90">
        <f t="shared" si="312"/>
        <v>6.25E-2</v>
      </c>
      <c r="R401" s="78"/>
      <c r="S401" s="78"/>
      <c r="T401" s="78"/>
      <c r="U401" s="78"/>
      <c r="V401" s="78"/>
      <c r="W401" s="78"/>
      <c r="X401" s="78"/>
      <c r="Y401" s="78"/>
      <c r="Z401" s="78"/>
      <c r="AA401" s="78"/>
      <c r="AB401" s="78"/>
      <c r="AC401" s="78"/>
      <c r="AD401" s="78"/>
      <c r="AE401" s="78"/>
      <c r="AF401" s="78"/>
      <c r="AG401" s="78"/>
      <c r="AH401" s="78"/>
      <c r="AI401" s="78"/>
      <c r="AJ401" s="78"/>
      <c r="AK401" s="78"/>
      <c r="AL401" s="78"/>
      <c r="AM401" s="78"/>
      <c r="AN401" s="78"/>
      <c r="AO401" s="78"/>
      <c r="AP401" s="78"/>
      <c r="AQ401" s="78"/>
      <c r="AR401" s="78"/>
      <c r="AS401" s="78"/>
      <c r="AT401" s="78"/>
      <c r="AU401" s="78"/>
      <c r="AV401" s="78"/>
      <c r="AW401" s="78"/>
      <c r="AX401" s="78"/>
      <c r="AY401" s="91"/>
      <c r="AZ401" s="78"/>
      <c r="BA401" s="78"/>
      <c r="BB401" s="78"/>
      <c r="BC401" s="78"/>
      <c r="BD401" s="78"/>
      <c r="BE401" s="78"/>
      <c r="BF401" s="78"/>
      <c r="BG401" s="78"/>
      <c r="BH401" s="78"/>
      <c r="BI401" s="78"/>
      <c r="BJ401" s="78"/>
      <c r="BK401" s="78"/>
      <c r="BL401" s="78"/>
      <c r="BM401" s="78"/>
      <c r="BN401" s="78"/>
      <c r="BO401" s="78"/>
      <c r="BP401" s="78"/>
      <c r="BQ401" s="78"/>
      <c r="BR401" s="78"/>
      <c r="BS401" s="78"/>
      <c r="BT401" s="78"/>
      <c r="BU401" s="78"/>
      <c r="BV401" s="78"/>
      <c r="BW401" s="78"/>
      <c r="BX401" s="78"/>
      <c r="BY401" s="78"/>
      <c r="BZ401" s="78"/>
      <c r="CA401" s="78"/>
      <c r="CB401" s="78"/>
      <c r="CC401" s="78"/>
      <c r="CD401" s="78"/>
      <c r="CE401" s="78"/>
      <c r="CF401" s="78"/>
      <c r="CG401" s="78"/>
      <c r="CH401" s="78"/>
      <c r="CI401" s="78"/>
      <c r="CJ401" s="78"/>
      <c r="CK401" s="78"/>
      <c r="CL401" s="78"/>
      <c r="CM401" s="78"/>
      <c r="CN401" s="78"/>
      <c r="CO401" s="78"/>
      <c r="CP401" s="78"/>
      <c r="CQ401" s="78"/>
      <c r="CR401" s="78"/>
      <c r="CS401" s="78"/>
      <c r="CT401" s="78"/>
      <c r="CU401" s="78"/>
      <c r="CV401" s="78"/>
      <c r="CW401" s="78"/>
      <c r="CX401" s="78"/>
      <c r="CY401" s="78"/>
      <c r="CZ401" s="78"/>
      <c r="DA401" s="78"/>
      <c r="DB401" s="78"/>
      <c r="DC401" s="78"/>
      <c r="DD401" s="78"/>
      <c r="DE401" s="78"/>
      <c r="DF401" s="78"/>
      <c r="DG401" s="78"/>
      <c r="DH401" s="78"/>
      <c r="DI401" s="78"/>
      <c r="DJ401" s="78"/>
      <c r="DK401" s="78"/>
      <c r="DL401" s="78"/>
      <c r="DM401" s="78"/>
      <c r="DN401" s="78"/>
      <c r="DO401" s="78"/>
      <c r="DP401" s="78"/>
      <c r="DQ401" s="78"/>
      <c r="DR401" s="78"/>
      <c r="DS401" s="78"/>
      <c r="DT401" s="78"/>
      <c r="DU401" s="78"/>
      <c r="DV401" s="78"/>
      <c r="DW401" s="78"/>
      <c r="DX401" s="78"/>
      <c r="DY401" s="78"/>
      <c r="DZ401" s="78"/>
      <c r="EA401" s="78"/>
      <c r="EB401" s="78"/>
      <c r="EC401" s="78"/>
      <c r="ED401" s="78"/>
      <c r="EE401" s="78"/>
      <c r="EF401" s="78"/>
      <c r="EG401" s="78"/>
      <c r="EH401" s="78"/>
      <c r="EI401" s="78"/>
      <c r="EJ401" s="78"/>
      <c r="EK401" s="78"/>
      <c r="EL401" s="78"/>
      <c r="EM401" s="78"/>
      <c r="EN401" s="91"/>
      <c r="EO401" s="91"/>
      <c r="EP401" s="91"/>
      <c r="EQ401" s="91"/>
      <c r="ER401" s="91"/>
      <c r="ES401" s="91"/>
    </row>
    <row r="402" spans="1:149" outlineLevel="1">
      <c r="A402" s="29" t="str">
        <f t="shared" si="311"/>
        <v>modesg_inp_emss_scibcapital_proprio</v>
      </c>
      <c r="B402" s="67" t="s">
        <v>26</v>
      </c>
      <c r="C402" s="68" t="s">
        <v>181</v>
      </c>
      <c r="D402" s="64" t="s">
        <v>40</v>
      </c>
      <c r="E402" s="66" t="s">
        <v>217</v>
      </c>
      <c r="F402" s="64" t="s">
        <v>296</v>
      </c>
      <c r="G402" s="64" t="str">
        <f>INDEX(Auxiliar!$B$16:$B$24,MATCH(Plano_V3!H402,Auxiliar!$C$16:$C$24,0),1)</f>
        <v>1. Concluído</v>
      </c>
      <c r="H402" s="64">
        <f>VLOOKUP(A402,'Aux - pivots1'!$A:$B,2,0)</f>
        <v>1</v>
      </c>
      <c r="I402" s="180">
        <f>SUMIFS(Table1[Estimação (horas)],Table1[Tabela],Plano_V3!E402,Table1[Campo],Plano_V3!F402)</f>
        <v>0.5</v>
      </c>
      <c r="J402" s="180">
        <f t="shared" si="313"/>
        <v>6.25E-2</v>
      </c>
      <c r="K402" s="180">
        <f>SUMIFS(Table1[Horas efetivas],Table1[Tabela],Plano_V3!E402,Table1[Campo],Plano_V3!F402)</f>
        <v>0.5</v>
      </c>
      <c r="L402" s="180">
        <f t="shared" ref="L402:L441" si="314">K402/8</f>
        <v>6.25E-2</v>
      </c>
      <c r="M402" s="174"/>
      <c r="N402" s="174">
        <f t="shared" ref="N402:N441" si="315">L402/J402</f>
        <v>1</v>
      </c>
      <c r="O402" s="174">
        <f t="shared" si="310"/>
        <v>1</v>
      </c>
      <c r="P402" s="89" t="s">
        <v>39</v>
      </c>
      <c r="Q402" s="90">
        <f t="shared" si="312"/>
        <v>6.25E-2</v>
      </c>
      <c r="R402" s="78"/>
      <c r="S402" s="78"/>
      <c r="T402" s="78"/>
      <c r="U402" s="78"/>
      <c r="V402" s="78"/>
      <c r="W402" s="78"/>
      <c r="X402" s="78"/>
      <c r="Y402" s="78"/>
      <c r="Z402" s="78"/>
      <c r="AA402" s="78"/>
      <c r="AB402" s="78"/>
      <c r="AC402" s="78"/>
      <c r="AD402" s="78"/>
      <c r="AE402" s="78"/>
      <c r="AF402" s="78"/>
      <c r="AG402" s="78"/>
      <c r="AH402" s="78"/>
      <c r="AI402" s="78"/>
      <c r="AJ402" s="78"/>
      <c r="AK402" s="78"/>
      <c r="AL402" s="78"/>
      <c r="AM402" s="78"/>
      <c r="AN402" s="78"/>
      <c r="AO402" s="78"/>
      <c r="AP402" s="78"/>
      <c r="AQ402" s="78"/>
      <c r="AR402" s="78"/>
      <c r="AS402" s="78"/>
      <c r="AT402" s="78"/>
      <c r="AU402" s="78"/>
      <c r="AV402" s="78"/>
      <c r="AW402" s="78"/>
      <c r="AX402" s="78"/>
      <c r="AY402" s="91"/>
      <c r="AZ402" s="78"/>
      <c r="BA402" s="78"/>
      <c r="BB402" s="78"/>
      <c r="BC402" s="78"/>
      <c r="BD402" s="78"/>
      <c r="BE402" s="78"/>
      <c r="BF402" s="78"/>
      <c r="BG402" s="78"/>
      <c r="BH402" s="78"/>
      <c r="BI402" s="78"/>
      <c r="BJ402" s="78"/>
      <c r="BK402" s="78"/>
      <c r="BL402" s="78"/>
      <c r="BM402" s="78"/>
      <c r="BN402" s="78"/>
      <c r="BO402" s="78"/>
      <c r="BP402" s="78"/>
      <c r="BQ402" s="78"/>
      <c r="BR402" s="78"/>
      <c r="BS402" s="78"/>
      <c r="BT402" s="78"/>
      <c r="BU402" s="78"/>
      <c r="BV402" s="78"/>
      <c r="BW402" s="78"/>
      <c r="BX402" s="78"/>
      <c r="BY402" s="78"/>
      <c r="BZ402" s="78"/>
      <c r="CA402" s="78"/>
      <c r="CB402" s="78"/>
      <c r="CC402" s="78"/>
      <c r="CD402" s="78"/>
      <c r="CE402" s="78"/>
      <c r="CF402" s="78"/>
      <c r="CG402" s="78"/>
      <c r="CH402" s="78"/>
      <c r="CI402" s="78"/>
      <c r="CJ402" s="78"/>
      <c r="CK402" s="78"/>
      <c r="CL402" s="78"/>
      <c r="CM402" s="78"/>
      <c r="CN402" s="78"/>
      <c r="CO402" s="78"/>
      <c r="CP402" s="78"/>
      <c r="CQ402" s="78"/>
      <c r="CR402" s="78"/>
      <c r="CS402" s="78"/>
      <c r="CT402" s="78"/>
      <c r="CU402" s="78"/>
      <c r="CV402" s="78"/>
      <c r="CW402" s="78"/>
      <c r="CX402" s="78"/>
      <c r="CY402" s="78"/>
      <c r="CZ402" s="78"/>
      <c r="DA402" s="78"/>
      <c r="DB402" s="78"/>
      <c r="DC402" s="78"/>
      <c r="DD402" s="78"/>
      <c r="DE402" s="78"/>
      <c r="DF402" s="78"/>
      <c r="DG402" s="78"/>
      <c r="DH402" s="78"/>
      <c r="DI402" s="78"/>
      <c r="DJ402" s="78"/>
      <c r="DK402" s="78"/>
      <c r="DL402" s="78"/>
      <c r="DM402" s="78"/>
      <c r="DN402" s="78"/>
      <c r="DO402" s="78"/>
      <c r="DP402" s="78"/>
      <c r="DQ402" s="78"/>
      <c r="DR402" s="78"/>
      <c r="DS402" s="78"/>
      <c r="DT402" s="78"/>
      <c r="DU402" s="78"/>
      <c r="DV402" s="78"/>
      <c r="DW402" s="78"/>
      <c r="DX402" s="78"/>
      <c r="DY402" s="78"/>
      <c r="DZ402" s="78"/>
      <c r="EA402" s="78"/>
      <c r="EB402" s="78"/>
      <c r="EC402" s="78"/>
      <c r="ED402" s="78"/>
      <c r="EE402" s="78"/>
      <c r="EF402" s="78"/>
      <c r="EG402" s="78"/>
      <c r="EH402" s="78"/>
      <c r="EI402" s="78"/>
      <c r="EJ402" s="78"/>
      <c r="EK402" s="78"/>
      <c r="EL402" s="78"/>
      <c r="EM402" s="78"/>
      <c r="EN402" s="91"/>
      <c r="EO402" s="91"/>
      <c r="EP402" s="91"/>
      <c r="EQ402" s="91"/>
      <c r="ER402" s="91"/>
      <c r="ES402" s="91"/>
    </row>
    <row r="403" spans="1:149" outlineLevel="1">
      <c r="A403" s="29" t="str">
        <f t="shared" si="311"/>
        <v>modesg_inp_emss_naceref_date</v>
      </c>
      <c r="B403" s="67" t="s">
        <v>26</v>
      </c>
      <c r="C403" s="68" t="s">
        <v>181</v>
      </c>
      <c r="D403" s="64" t="s">
        <v>40</v>
      </c>
      <c r="E403" s="66" t="s">
        <v>218</v>
      </c>
      <c r="F403" s="64" t="s">
        <v>208</v>
      </c>
      <c r="G403" s="64" t="str">
        <f>INDEX(Auxiliar!$B$16:$B$24,MATCH(Plano_V3!H403,Auxiliar!$C$16:$C$24,0),1)</f>
        <v>1. Concluído</v>
      </c>
      <c r="H403" s="64">
        <f>VLOOKUP(A403,'Aux - pivots1'!$A:$B,2,0)</f>
        <v>1</v>
      </c>
      <c r="I403" s="180">
        <f>SUMIFS(Table1[Estimação (horas)],Table1[Tabela],Plano_V3!E403,Table1[Campo],Plano_V3!F403)</f>
        <v>0.5</v>
      </c>
      <c r="J403" s="180">
        <f t="shared" si="313"/>
        <v>6.25E-2</v>
      </c>
      <c r="K403" s="180">
        <f>SUMIFS(Table1[Horas efetivas],Table1[Tabela],Plano_V3!E403,Table1[Campo],Plano_V3!F403)</f>
        <v>0.5</v>
      </c>
      <c r="L403" s="180">
        <f t="shared" si="314"/>
        <v>6.25E-2</v>
      </c>
      <c r="M403" s="174"/>
      <c r="N403" s="174">
        <f t="shared" si="315"/>
        <v>1</v>
      </c>
      <c r="O403" s="174">
        <f t="shared" si="310"/>
        <v>1</v>
      </c>
      <c r="P403" s="89" t="s">
        <v>39</v>
      </c>
      <c r="Q403" s="90">
        <f t="shared" si="312"/>
        <v>6.25E-2</v>
      </c>
      <c r="R403" s="78"/>
      <c r="S403" s="78"/>
      <c r="T403" s="78"/>
      <c r="U403" s="78"/>
      <c r="V403" s="78"/>
      <c r="W403" s="78"/>
      <c r="X403" s="78"/>
      <c r="Y403" s="78"/>
      <c r="Z403" s="78"/>
      <c r="AA403" s="78"/>
      <c r="AB403" s="78"/>
      <c r="AC403" s="78"/>
      <c r="AD403" s="78"/>
      <c r="AE403" s="78"/>
      <c r="AF403" s="78"/>
      <c r="AG403" s="78"/>
      <c r="AH403" s="78"/>
      <c r="AI403" s="78"/>
      <c r="AJ403" s="78"/>
      <c r="AK403" s="78"/>
      <c r="AL403" s="78"/>
      <c r="AM403" s="78"/>
      <c r="AN403" s="78"/>
      <c r="AO403" s="78"/>
      <c r="AP403" s="78"/>
      <c r="AQ403" s="78"/>
      <c r="AR403" s="78"/>
      <c r="AS403" s="78"/>
      <c r="AT403" s="78"/>
      <c r="AU403" s="78"/>
      <c r="AV403" s="78"/>
      <c r="AW403" s="78"/>
      <c r="AX403" s="78"/>
      <c r="AY403" s="91"/>
      <c r="AZ403" s="78"/>
      <c r="BA403" s="78"/>
      <c r="BB403" s="78"/>
      <c r="BC403" s="78"/>
      <c r="BD403" s="78"/>
      <c r="BE403" s="78"/>
      <c r="BF403" s="78"/>
      <c r="BG403" s="78"/>
      <c r="BH403" s="78"/>
      <c r="BI403" s="78"/>
      <c r="BJ403" s="78"/>
      <c r="BK403" s="78"/>
      <c r="BL403" s="78"/>
      <c r="BM403" s="78"/>
      <c r="BN403" s="78"/>
      <c r="BO403" s="78"/>
      <c r="BP403" s="78"/>
      <c r="BQ403" s="78"/>
      <c r="BR403" s="78"/>
      <c r="BS403" s="78"/>
      <c r="BT403" s="78"/>
      <c r="BU403" s="78"/>
      <c r="BV403" s="78"/>
      <c r="BW403" s="78"/>
      <c r="BX403" s="78"/>
      <c r="BY403" s="78"/>
      <c r="BZ403" s="78"/>
      <c r="CA403" s="78"/>
      <c r="CB403" s="78"/>
      <c r="CC403" s="78"/>
      <c r="CD403" s="78"/>
      <c r="CE403" s="78"/>
      <c r="CF403" s="78"/>
      <c r="CG403" s="78"/>
      <c r="CH403" s="78"/>
      <c r="CI403" s="78"/>
      <c r="CJ403" s="78"/>
      <c r="CK403" s="78"/>
      <c r="CL403" s="78"/>
      <c r="CM403" s="78"/>
      <c r="CN403" s="78"/>
      <c r="CO403" s="78"/>
      <c r="CP403" s="78"/>
      <c r="CQ403" s="78"/>
      <c r="CR403" s="78"/>
      <c r="CS403" s="78"/>
      <c r="CT403" s="78"/>
      <c r="CU403" s="78"/>
      <c r="CV403" s="78"/>
      <c r="CW403" s="78"/>
      <c r="CX403" s="78"/>
      <c r="CY403" s="78"/>
      <c r="CZ403" s="78"/>
      <c r="DA403" s="78"/>
      <c r="DB403" s="78"/>
      <c r="DC403" s="78"/>
      <c r="DD403" s="78"/>
      <c r="DE403" s="78"/>
      <c r="DF403" s="78"/>
      <c r="DG403" s="78"/>
      <c r="DH403" s="78"/>
      <c r="DI403" s="78"/>
      <c r="DJ403" s="78"/>
      <c r="DK403" s="78"/>
      <c r="DL403" s="78"/>
      <c r="DM403" s="78"/>
      <c r="DN403" s="78"/>
      <c r="DO403" s="78"/>
      <c r="DP403" s="78"/>
      <c r="DQ403" s="78"/>
      <c r="DR403" s="78"/>
      <c r="DS403" s="78"/>
      <c r="DT403" s="78"/>
      <c r="DU403" s="78"/>
      <c r="DV403" s="78"/>
      <c r="DW403" s="78"/>
      <c r="DX403" s="78"/>
      <c r="DY403" s="78"/>
      <c r="DZ403" s="78"/>
      <c r="EA403" s="78"/>
      <c r="EB403" s="78"/>
      <c r="EC403" s="78"/>
      <c r="ED403" s="78"/>
      <c r="EE403" s="78"/>
      <c r="EF403" s="78"/>
      <c r="EG403" s="78"/>
      <c r="EH403" s="78"/>
      <c r="EI403" s="78"/>
      <c r="EJ403" s="78"/>
      <c r="EK403" s="78"/>
      <c r="EL403" s="78"/>
      <c r="EM403" s="78"/>
      <c r="EN403" s="91"/>
      <c r="EO403" s="91"/>
      <c r="EP403" s="91"/>
      <c r="EQ403" s="91"/>
      <c r="ER403" s="91"/>
      <c r="ES403" s="91"/>
    </row>
    <row r="404" spans="1:149" outlineLevel="1">
      <c r="A404" s="29" t="str">
        <f t="shared" si="311"/>
        <v>modesg_inp_emss_naceano</v>
      </c>
      <c r="B404" s="67" t="s">
        <v>26</v>
      </c>
      <c r="C404" s="68" t="s">
        <v>181</v>
      </c>
      <c r="D404" s="64" t="s">
        <v>40</v>
      </c>
      <c r="E404" s="66" t="s">
        <v>218</v>
      </c>
      <c r="F404" s="64" t="s">
        <v>297</v>
      </c>
      <c r="G404" s="64" t="str">
        <f>INDEX(Auxiliar!$B$16:$B$24,MATCH(Plano_V3!H404,Auxiliar!$C$16:$C$24,0),1)</f>
        <v>1. Concluído</v>
      </c>
      <c r="H404" s="64">
        <f>VLOOKUP(A404,'Aux - pivots1'!$A:$B,2,0)</f>
        <v>1</v>
      </c>
      <c r="I404" s="180">
        <f>SUMIFS(Table1[Estimação (horas)],Table1[Tabela],Plano_V3!E404,Table1[Campo],Plano_V3!F404)</f>
        <v>0.5</v>
      </c>
      <c r="J404" s="180">
        <f t="shared" si="313"/>
        <v>6.25E-2</v>
      </c>
      <c r="K404" s="180">
        <f>SUMIFS(Table1[Horas efetivas],Table1[Tabela],Plano_V3!E404,Table1[Campo],Plano_V3!F404)</f>
        <v>0.5</v>
      </c>
      <c r="L404" s="180">
        <f t="shared" si="314"/>
        <v>6.25E-2</v>
      </c>
      <c r="M404" s="174"/>
      <c r="N404" s="174">
        <f t="shared" si="315"/>
        <v>1</v>
      </c>
      <c r="O404" s="174">
        <f t="shared" si="310"/>
        <v>1</v>
      </c>
      <c r="P404" s="89" t="s">
        <v>39</v>
      </c>
      <c r="Q404" s="90">
        <f t="shared" si="312"/>
        <v>6.25E-2</v>
      </c>
      <c r="R404" s="78"/>
      <c r="S404" s="78"/>
      <c r="T404" s="78"/>
      <c r="U404" s="78"/>
      <c r="V404" s="78"/>
      <c r="W404" s="78"/>
      <c r="X404" s="78"/>
      <c r="Y404" s="78"/>
      <c r="Z404" s="78"/>
      <c r="AA404" s="78"/>
      <c r="AB404" s="78"/>
      <c r="AC404" s="78"/>
      <c r="AD404" s="78"/>
      <c r="AE404" s="78"/>
      <c r="AF404" s="78"/>
      <c r="AG404" s="78"/>
      <c r="AH404" s="78"/>
      <c r="AI404" s="78"/>
      <c r="AJ404" s="78"/>
      <c r="AK404" s="78"/>
      <c r="AL404" s="78"/>
      <c r="AM404" s="78"/>
      <c r="AN404" s="78"/>
      <c r="AO404" s="78"/>
      <c r="AP404" s="78"/>
      <c r="AQ404" s="78"/>
      <c r="AR404" s="78"/>
      <c r="AS404" s="78"/>
      <c r="AT404" s="78"/>
      <c r="AU404" s="78"/>
      <c r="AV404" s="78"/>
      <c r="AW404" s="78"/>
      <c r="AX404" s="78"/>
      <c r="AY404" s="91"/>
      <c r="AZ404" s="78"/>
      <c r="BA404" s="78"/>
      <c r="BB404" s="78"/>
      <c r="BC404" s="78"/>
      <c r="BD404" s="78"/>
      <c r="BE404" s="78"/>
      <c r="BF404" s="78"/>
      <c r="BG404" s="78"/>
      <c r="BH404" s="78"/>
      <c r="BI404" s="78"/>
      <c r="BJ404" s="78"/>
      <c r="BK404" s="78"/>
      <c r="BL404" s="78"/>
      <c r="BM404" s="78"/>
      <c r="BN404" s="78"/>
      <c r="BO404" s="78"/>
      <c r="BP404" s="78"/>
      <c r="BQ404" s="78"/>
      <c r="BR404" s="78"/>
      <c r="BS404" s="78"/>
      <c r="BT404" s="78"/>
      <c r="BU404" s="78"/>
      <c r="BV404" s="78"/>
      <c r="BW404" s="78"/>
      <c r="BX404" s="78"/>
      <c r="BY404" s="78"/>
      <c r="BZ404" s="78"/>
      <c r="CA404" s="78"/>
      <c r="CB404" s="78"/>
      <c r="CC404" s="78"/>
      <c r="CD404" s="78"/>
      <c r="CE404" s="78"/>
      <c r="CF404" s="78"/>
      <c r="CG404" s="78"/>
      <c r="CH404" s="78"/>
      <c r="CI404" s="78"/>
      <c r="CJ404" s="78"/>
      <c r="CK404" s="78"/>
      <c r="CL404" s="78"/>
      <c r="CM404" s="78"/>
      <c r="CN404" s="78"/>
      <c r="CO404" s="78"/>
      <c r="CP404" s="78"/>
      <c r="CQ404" s="78"/>
      <c r="CR404" s="78"/>
      <c r="CS404" s="78"/>
      <c r="CT404" s="78"/>
      <c r="CU404" s="78"/>
      <c r="CV404" s="78"/>
      <c r="CW404" s="78"/>
      <c r="CX404" s="78"/>
      <c r="CY404" s="78"/>
      <c r="CZ404" s="78"/>
      <c r="DA404" s="78"/>
      <c r="DB404" s="78"/>
      <c r="DC404" s="78"/>
      <c r="DD404" s="78"/>
      <c r="DE404" s="78"/>
      <c r="DF404" s="78"/>
      <c r="DG404" s="78"/>
      <c r="DH404" s="78"/>
      <c r="DI404" s="78"/>
      <c r="DJ404" s="78"/>
      <c r="DK404" s="78"/>
      <c r="DL404" s="78"/>
      <c r="DM404" s="78"/>
      <c r="DN404" s="78"/>
      <c r="DO404" s="78"/>
      <c r="DP404" s="78"/>
      <c r="DQ404" s="78"/>
      <c r="DR404" s="78"/>
      <c r="DS404" s="78"/>
      <c r="DT404" s="78"/>
      <c r="DU404" s="78"/>
      <c r="DV404" s="78"/>
      <c r="DW404" s="78"/>
      <c r="DX404" s="78"/>
      <c r="DY404" s="78"/>
      <c r="DZ404" s="78"/>
      <c r="EA404" s="78"/>
      <c r="EB404" s="78"/>
      <c r="EC404" s="78"/>
      <c r="ED404" s="78"/>
      <c r="EE404" s="78"/>
      <c r="EF404" s="78"/>
      <c r="EG404" s="78"/>
      <c r="EH404" s="78"/>
      <c r="EI404" s="78"/>
      <c r="EJ404" s="78"/>
      <c r="EK404" s="78"/>
      <c r="EL404" s="78"/>
      <c r="EM404" s="78"/>
      <c r="EN404" s="91"/>
      <c r="EO404" s="91"/>
      <c r="EP404" s="91"/>
      <c r="EQ404" s="91"/>
      <c r="ER404" s="91"/>
      <c r="ES404" s="91"/>
    </row>
    <row r="405" spans="1:149" outlineLevel="1">
      <c r="A405" s="29" t="str">
        <f t="shared" si="311"/>
        <v>modesg_inp_emss_nacenome_pais</v>
      </c>
      <c r="B405" s="67" t="s">
        <v>26</v>
      </c>
      <c r="C405" s="68" t="s">
        <v>181</v>
      </c>
      <c r="D405" s="64" t="s">
        <v>40</v>
      </c>
      <c r="E405" s="66" t="s">
        <v>218</v>
      </c>
      <c r="F405" s="64" t="s">
        <v>221</v>
      </c>
      <c r="G405" s="64" t="str">
        <f>INDEX(Auxiliar!$B$16:$B$24,MATCH(Plano_V3!H405,Auxiliar!$C$16:$C$24,0),1)</f>
        <v>1. Concluído</v>
      </c>
      <c r="H405" s="64">
        <f>VLOOKUP(A405,'Aux - pivots1'!$A:$B,2,0)</f>
        <v>1</v>
      </c>
      <c r="I405" s="180">
        <f>SUMIFS(Table1[Estimação (horas)],Table1[Tabela],Plano_V3!E405,Table1[Campo],Plano_V3!F405)</f>
        <v>0.5</v>
      </c>
      <c r="J405" s="180">
        <f t="shared" si="313"/>
        <v>6.25E-2</v>
      </c>
      <c r="K405" s="180">
        <f>SUMIFS(Table1[Horas efetivas],Table1[Tabela],Plano_V3!E405,Table1[Campo],Plano_V3!F405)</f>
        <v>0.5</v>
      </c>
      <c r="L405" s="180">
        <f t="shared" si="314"/>
        <v>6.25E-2</v>
      </c>
      <c r="M405" s="174"/>
      <c r="N405" s="174">
        <f t="shared" si="315"/>
        <v>1</v>
      </c>
      <c r="O405" s="174">
        <f t="shared" si="310"/>
        <v>1</v>
      </c>
      <c r="P405" s="89" t="s">
        <v>39</v>
      </c>
      <c r="Q405" s="90">
        <f t="shared" si="312"/>
        <v>6.25E-2</v>
      </c>
      <c r="R405" s="78"/>
      <c r="S405" s="78"/>
      <c r="T405" s="78"/>
      <c r="U405" s="78"/>
      <c r="V405" s="78"/>
      <c r="W405" s="78"/>
      <c r="X405" s="78"/>
      <c r="Y405" s="78"/>
      <c r="Z405" s="78"/>
      <c r="AA405" s="78"/>
      <c r="AB405" s="78"/>
      <c r="AC405" s="78"/>
      <c r="AD405" s="78"/>
      <c r="AE405" s="78"/>
      <c r="AF405" s="78"/>
      <c r="AG405" s="78"/>
      <c r="AH405" s="78"/>
      <c r="AI405" s="78"/>
      <c r="AJ405" s="78"/>
      <c r="AK405" s="78"/>
      <c r="AL405" s="78"/>
      <c r="AM405" s="78"/>
      <c r="AN405" s="78"/>
      <c r="AO405" s="78"/>
      <c r="AP405" s="78"/>
      <c r="AQ405" s="78"/>
      <c r="AR405" s="78"/>
      <c r="AS405" s="78"/>
      <c r="AT405" s="78"/>
      <c r="AU405" s="78"/>
      <c r="AV405" s="78"/>
      <c r="AW405" s="78"/>
      <c r="AX405" s="78"/>
      <c r="AY405" s="91"/>
      <c r="AZ405" s="78"/>
      <c r="BA405" s="78"/>
      <c r="BB405" s="78"/>
      <c r="BC405" s="78"/>
      <c r="BD405" s="78"/>
      <c r="BE405" s="78"/>
      <c r="BF405" s="78"/>
      <c r="BG405" s="78"/>
      <c r="BH405" s="78"/>
      <c r="BI405" s="78"/>
      <c r="BJ405" s="78"/>
      <c r="BK405" s="78"/>
      <c r="BL405" s="78"/>
      <c r="BM405" s="78"/>
      <c r="BN405" s="78"/>
      <c r="BO405" s="78"/>
      <c r="BP405" s="78"/>
      <c r="BQ405" s="78"/>
      <c r="BR405" s="78"/>
      <c r="BS405" s="78"/>
      <c r="BT405" s="78"/>
      <c r="BU405" s="78"/>
      <c r="BV405" s="78"/>
      <c r="BW405" s="78"/>
      <c r="BX405" s="78"/>
      <c r="BY405" s="78"/>
      <c r="BZ405" s="78"/>
      <c r="CA405" s="78"/>
      <c r="CB405" s="78"/>
      <c r="CC405" s="78"/>
      <c r="CD405" s="78"/>
      <c r="CE405" s="78"/>
      <c r="CF405" s="78"/>
      <c r="CG405" s="78"/>
      <c r="CH405" s="78"/>
      <c r="CI405" s="78"/>
      <c r="CJ405" s="78"/>
      <c r="CK405" s="78"/>
      <c r="CL405" s="78"/>
      <c r="CM405" s="78"/>
      <c r="CN405" s="78"/>
      <c r="CO405" s="78"/>
      <c r="CP405" s="78"/>
      <c r="CQ405" s="78"/>
      <c r="CR405" s="78"/>
      <c r="CS405" s="78"/>
      <c r="CT405" s="78"/>
      <c r="CU405" s="78"/>
      <c r="CV405" s="78"/>
      <c r="CW405" s="78"/>
      <c r="CX405" s="78"/>
      <c r="CY405" s="78"/>
      <c r="CZ405" s="78"/>
      <c r="DA405" s="78"/>
      <c r="DB405" s="78"/>
      <c r="DC405" s="78"/>
      <c r="DD405" s="78"/>
      <c r="DE405" s="78"/>
      <c r="DF405" s="78"/>
      <c r="DG405" s="78"/>
      <c r="DH405" s="78"/>
      <c r="DI405" s="78"/>
      <c r="DJ405" s="78"/>
      <c r="DK405" s="78"/>
      <c r="DL405" s="78"/>
      <c r="DM405" s="78"/>
      <c r="DN405" s="78"/>
      <c r="DO405" s="78"/>
      <c r="DP405" s="78"/>
      <c r="DQ405" s="78"/>
      <c r="DR405" s="78"/>
      <c r="DS405" s="78"/>
      <c r="DT405" s="78"/>
      <c r="DU405" s="78"/>
      <c r="DV405" s="78"/>
      <c r="DW405" s="78"/>
      <c r="DX405" s="78"/>
      <c r="DY405" s="78"/>
      <c r="DZ405" s="78"/>
      <c r="EA405" s="78"/>
      <c r="EB405" s="78"/>
      <c r="EC405" s="78"/>
      <c r="ED405" s="78"/>
      <c r="EE405" s="78"/>
      <c r="EF405" s="78"/>
      <c r="EG405" s="78"/>
      <c r="EH405" s="78"/>
      <c r="EI405" s="78"/>
      <c r="EJ405" s="78"/>
      <c r="EK405" s="78"/>
      <c r="EL405" s="78"/>
      <c r="EM405" s="78"/>
      <c r="EN405" s="91"/>
      <c r="EO405" s="91"/>
      <c r="EP405" s="91"/>
      <c r="EQ405" s="91"/>
      <c r="ER405" s="91"/>
      <c r="ES405" s="91"/>
    </row>
    <row r="406" spans="1:149" outlineLevel="1">
      <c r="A406" s="29" t="str">
        <f t="shared" si="311"/>
        <v>modesg_inp_emss_nacecod_nace_esg</v>
      </c>
      <c r="B406" s="67" t="s">
        <v>26</v>
      </c>
      <c r="C406" s="68" t="s">
        <v>181</v>
      </c>
      <c r="D406" s="64" t="s">
        <v>40</v>
      </c>
      <c r="E406" s="66" t="s">
        <v>218</v>
      </c>
      <c r="F406" s="64" t="s">
        <v>281</v>
      </c>
      <c r="G406" s="64" t="str">
        <f>INDEX(Auxiliar!$B$16:$B$24,MATCH(Plano_V3!H406,Auxiliar!$C$16:$C$24,0),1)</f>
        <v>1. Concluído</v>
      </c>
      <c r="H406" s="64">
        <f>VLOOKUP(A406,'Aux - pivots1'!$A:$B,2,0)</f>
        <v>1</v>
      </c>
      <c r="I406" s="180">
        <f>SUMIFS(Table1[Estimação (horas)],Table1[Tabela],Plano_V3!E406,Table1[Campo],Plano_V3!F406)</f>
        <v>0.6</v>
      </c>
      <c r="J406" s="180">
        <f t="shared" si="313"/>
        <v>7.4999999999999997E-2</v>
      </c>
      <c r="K406" s="180">
        <f>SUMIFS(Table1[Horas efetivas],Table1[Tabela],Plano_V3!E406,Table1[Campo],Plano_V3!F406)</f>
        <v>0.6</v>
      </c>
      <c r="L406" s="180">
        <f t="shared" si="314"/>
        <v>7.4999999999999997E-2</v>
      </c>
      <c r="M406" s="174"/>
      <c r="N406" s="174">
        <f t="shared" si="315"/>
        <v>1</v>
      </c>
      <c r="O406" s="174">
        <f t="shared" si="310"/>
        <v>1</v>
      </c>
      <c r="P406" s="89" t="s">
        <v>39</v>
      </c>
      <c r="Q406" s="90">
        <f t="shared" si="312"/>
        <v>7.4999999999999997E-2</v>
      </c>
      <c r="R406" s="78"/>
      <c r="S406" s="78"/>
      <c r="T406" s="78"/>
      <c r="U406" s="78"/>
      <c r="V406" s="78"/>
      <c r="W406" s="78"/>
      <c r="X406" s="78"/>
      <c r="Y406" s="78"/>
      <c r="Z406" s="78"/>
      <c r="AA406" s="78"/>
      <c r="AB406" s="78"/>
      <c r="AC406" s="78"/>
      <c r="AD406" s="78"/>
      <c r="AE406" s="78"/>
      <c r="AF406" s="78"/>
      <c r="AG406" s="78"/>
      <c r="AH406" s="78"/>
      <c r="AI406" s="78"/>
      <c r="AJ406" s="78"/>
      <c r="AK406" s="78"/>
      <c r="AL406" s="78"/>
      <c r="AM406" s="78"/>
      <c r="AN406" s="78"/>
      <c r="AO406" s="78"/>
      <c r="AP406" s="78"/>
      <c r="AQ406" s="78"/>
      <c r="AR406" s="78"/>
      <c r="AS406" s="78"/>
      <c r="AT406" s="78"/>
      <c r="AU406" s="78"/>
      <c r="AV406" s="78"/>
      <c r="AW406" s="78"/>
      <c r="AX406" s="78"/>
      <c r="AY406" s="91"/>
      <c r="AZ406" s="78"/>
      <c r="BA406" s="78"/>
      <c r="BB406" s="78"/>
      <c r="BC406" s="78"/>
      <c r="BD406" s="78"/>
      <c r="BE406" s="78"/>
      <c r="BF406" s="78"/>
      <c r="BG406" s="78"/>
      <c r="BH406" s="78"/>
      <c r="BI406" s="78"/>
      <c r="BJ406" s="78"/>
      <c r="BK406" s="78"/>
      <c r="BL406" s="78"/>
      <c r="BM406" s="78"/>
      <c r="BN406" s="78"/>
      <c r="BO406" s="78"/>
      <c r="BP406" s="78"/>
      <c r="BQ406" s="78"/>
      <c r="BR406" s="78"/>
      <c r="BS406" s="78"/>
      <c r="BT406" s="78"/>
      <c r="BU406" s="78"/>
      <c r="BV406" s="78"/>
      <c r="BW406" s="78"/>
      <c r="BX406" s="78"/>
      <c r="BY406" s="78"/>
      <c r="BZ406" s="78"/>
      <c r="CA406" s="78"/>
      <c r="CB406" s="78"/>
      <c r="CC406" s="78"/>
      <c r="CD406" s="78"/>
      <c r="CE406" s="78"/>
      <c r="CF406" s="78"/>
      <c r="CG406" s="78"/>
      <c r="CH406" s="78"/>
      <c r="CI406" s="78"/>
      <c r="CJ406" s="78"/>
      <c r="CK406" s="78"/>
      <c r="CL406" s="78"/>
      <c r="CM406" s="78"/>
      <c r="CN406" s="78"/>
      <c r="CO406" s="78"/>
      <c r="CP406" s="78"/>
      <c r="CQ406" s="78"/>
      <c r="CR406" s="78"/>
      <c r="CS406" s="78"/>
      <c r="CT406" s="78"/>
      <c r="CU406" s="78"/>
      <c r="CV406" s="78"/>
      <c r="CW406" s="78"/>
      <c r="CX406" s="78"/>
      <c r="CY406" s="78"/>
      <c r="CZ406" s="78"/>
      <c r="DA406" s="78"/>
      <c r="DB406" s="78"/>
      <c r="DC406" s="78"/>
      <c r="DD406" s="78"/>
      <c r="DE406" s="78"/>
      <c r="DF406" s="78"/>
      <c r="DG406" s="78"/>
      <c r="DH406" s="78"/>
      <c r="DI406" s="78"/>
      <c r="DJ406" s="78"/>
      <c r="DK406" s="78"/>
      <c r="DL406" s="78"/>
      <c r="DM406" s="78"/>
      <c r="DN406" s="78"/>
      <c r="DO406" s="78"/>
      <c r="DP406" s="78"/>
      <c r="DQ406" s="78"/>
      <c r="DR406" s="78"/>
      <c r="DS406" s="78"/>
      <c r="DT406" s="78"/>
      <c r="DU406" s="78"/>
      <c r="DV406" s="78"/>
      <c r="DW406" s="78"/>
      <c r="DX406" s="78"/>
      <c r="DY406" s="78"/>
      <c r="DZ406" s="78"/>
      <c r="EA406" s="78"/>
      <c r="EB406" s="78"/>
      <c r="EC406" s="78"/>
      <c r="ED406" s="78"/>
      <c r="EE406" s="78"/>
      <c r="EF406" s="78"/>
      <c r="EG406" s="78"/>
      <c r="EH406" s="78"/>
      <c r="EI406" s="78"/>
      <c r="EJ406" s="78"/>
      <c r="EK406" s="78"/>
      <c r="EL406" s="78"/>
      <c r="EM406" s="78"/>
      <c r="EN406" s="91"/>
      <c r="EO406" s="91"/>
      <c r="EP406" s="91"/>
      <c r="EQ406" s="91"/>
      <c r="ER406" s="91"/>
      <c r="ES406" s="91"/>
    </row>
    <row r="407" spans="1:149" outlineLevel="1">
      <c r="A407" s="29" t="str">
        <f t="shared" si="311"/>
        <v>modesg_inp_emss_nacecod_class_indust</v>
      </c>
      <c r="B407" s="67" t="s">
        <v>26</v>
      </c>
      <c r="C407" s="68" t="s">
        <v>181</v>
      </c>
      <c r="D407" s="64" t="s">
        <v>40</v>
      </c>
      <c r="E407" s="66" t="s">
        <v>218</v>
      </c>
      <c r="F407" s="64" t="s">
        <v>298</v>
      </c>
      <c r="G407" s="64" t="str">
        <f>INDEX(Auxiliar!$B$16:$B$24,MATCH(Plano_V3!H407,Auxiliar!$C$16:$C$24,0),1)</f>
        <v>1. Concluído</v>
      </c>
      <c r="H407" s="64">
        <f>VLOOKUP(A407,'Aux - pivots1'!$A:$B,2,0)</f>
        <v>1</v>
      </c>
      <c r="I407" s="180">
        <f>SUMIFS(Table1[Estimação (horas)],Table1[Tabela],Plano_V3!E407,Table1[Campo],Plano_V3!F407)</f>
        <v>0.5</v>
      </c>
      <c r="J407" s="180">
        <f t="shared" si="313"/>
        <v>6.25E-2</v>
      </c>
      <c r="K407" s="180">
        <f>SUMIFS(Table1[Horas efetivas],Table1[Tabela],Plano_V3!E407,Table1[Campo],Plano_V3!F407)</f>
        <v>0.5</v>
      </c>
      <c r="L407" s="180">
        <f t="shared" si="314"/>
        <v>6.25E-2</v>
      </c>
      <c r="M407" s="174"/>
      <c r="N407" s="174">
        <f t="shared" si="315"/>
        <v>1</v>
      </c>
      <c r="O407" s="174">
        <f t="shared" si="310"/>
        <v>1</v>
      </c>
      <c r="P407" s="89" t="s">
        <v>39</v>
      </c>
      <c r="Q407" s="90">
        <f t="shared" si="312"/>
        <v>6.25E-2</v>
      </c>
      <c r="R407" s="78"/>
      <c r="S407" s="78"/>
      <c r="T407" s="78"/>
      <c r="U407" s="78"/>
      <c r="V407" s="78"/>
      <c r="W407" s="78"/>
      <c r="X407" s="78"/>
      <c r="Y407" s="78"/>
      <c r="Z407" s="78"/>
      <c r="AA407" s="78"/>
      <c r="AB407" s="78"/>
      <c r="AC407" s="78"/>
      <c r="AD407" s="78"/>
      <c r="AE407" s="78"/>
      <c r="AF407" s="78"/>
      <c r="AG407" s="78"/>
      <c r="AH407" s="78"/>
      <c r="AI407" s="78"/>
      <c r="AJ407" s="78"/>
      <c r="AK407" s="78"/>
      <c r="AL407" s="78"/>
      <c r="AM407" s="78"/>
      <c r="AN407" s="78"/>
      <c r="AO407" s="78"/>
      <c r="AP407" s="78"/>
      <c r="AQ407" s="78"/>
      <c r="AR407" s="78"/>
      <c r="AS407" s="78"/>
      <c r="AT407" s="78"/>
      <c r="AU407" s="78"/>
      <c r="AV407" s="78"/>
      <c r="AW407" s="78"/>
      <c r="AX407" s="78"/>
      <c r="AY407" s="91"/>
      <c r="AZ407" s="78"/>
      <c r="BA407" s="78"/>
      <c r="BB407" s="78"/>
      <c r="BC407" s="78"/>
      <c r="BD407" s="78"/>
      <c r="BE407" s="78"/>
      <c r="BF407" s="78"/>
      <c r="BG407" s="78"/>
      <c r="BH407" s="78"/>
      <c r="BI407" s="78"/>
      <c r="BJ407" s="78"/>
      <c r="BK407" s="78"/>
      <c r="BL407" s="78"/>
      <c r="BM407" s="78"/>
      <c r="BN407" s="78"/>
      <c r="BO407" s="78"/>
      <c r="BP407" s="78"/>
      <c r="BQ407" s="78"/>
      <c r="BR407" s="78"/>
      <c r="BS407" s="78"/>
      <c r="BT407" s="78"/>
      <c r="BU407" s="78"/>
      <c r="BV407" s="78"/>
      <c r="BW407" s="78"/>
      <c r="BX407" s="78"/>
      <c r="BY407" s="78"/>
      <c r="BZ407" s="78"/>
      <c r="CA407" s="78"/>
      <c r="CB407" s="78"/>
      <c r="CC407" s="78"/>
      <c r="CD407" s="78"/>
      <c r="CE407" s="78"/>
      <c r="CF407" s="78"/>
      <c r="CG407" s="78"/>
      <c r="CH407" s="78"/>
      <c r="CI407" s="78"/>
      <c r="CJ407" s="78"/>
      <c r="CK407" s="78"/>
      <c r="CL407" s="78"/>
      <c r="CM407" s="78"/>
      <c r="CN407" s="78"/>
      <c r="CO407" s="78"/>
      <c r="CP407" s="78"/>
      <c r="CQ407" s="78"/>
      <c r="CR407" s="78"/>
      <c r="CS407" s="78"/>
      <c r="CT407" s="78"/>
      <c r="CU407" s="78"/>
      <c r="CV407" s="78"/>
      <c r="CW407" s="78"/>
      <c r="CX407" s="78"/>
      <c r="CY407" s="78"/>
      <c r="CZ407" s="78"/>
      <c r="DA407" s="78"/>
      <c r="DB407" s="78"/>
      <c r="DC407" s="78"/>
      <c r="DD407" s="78"/>
      <c r="DE407" s="78"/>
      <c r="DF407" s="78"/>
      <c r="DG407" s="78"/>
      <c r="DH407" s="78"/>
      <c r="DI407" s="78"/>
      <c r="DJ407" s="78"/>
      <c r="DK407" s="78"/>
      <c r="DL407" s="78"/>
      <c r="DM407" s="78"/>
      <c r="DN407" s="78"/>
      <c r="DO407" s="78"/>
      <c r="DP407" s="78"/>
      <c r="DQ407" s="78"/>
      <c r="DR407" s="78"/>
      <c r="DS407" s="78"/>
      <c r="DT407" s="78"/>
      <c r="DU407" s="78"/>
      <c r="DV407" s="78"/>
      <c r="DW407" s="78"/>
      <c r="DX407" s="78"/>
      <c r="DY407" s="78"/>
      <c r="DZ407" s="78"/>
      <c r="EA407" s="78"/>
      <c r="EB407" s="78"/>
      <c r="EC407" s="78"/>
      <c r="ED407" s="78"/>
      <c r="EE407" s="78"/>
      <c r="EF407" s="78"/>
      <c r="EG407" s="78"/>
      <c r="EH407" s="78"/>
      <c r="EI407" s="78"/>
      <c r="EJ407" s="78"/>
      <c r="EK407" s="78"/>
      <c r="EL407" s="78"/>
      <c r="EM407" s="78"/>
      <c r="EN407" s="91"/>
      <c r="EO407" s="91"/>
      <c r="EP407" s="91"/>
      <c r="EQ407" s="91"/>
      <c r="ER407" s="91"/>
      <c r="ES407" s="91"/>
    </row>
    <row r="408" spans="1:149" outlineLevel="1">
      <c r="A408" s="29" t="str">
        <f t="shared" si="311"/>
        <v>modesg_inp_emss_nacenivel_classificacao_1</v>
      </c>
      <c r="B408" s="67" t="s">
        <v>26</v>
      </c>
      <c r="C408" s="68" t="s">
        <v>181</v>
      </c>
      <c r="D408" s="64" t="s">
        <v>40</v>
      </c>
      <c r="E408" s="66" t="s">
        <v>218</v>
      </c>
      <c r="F408" s="64" t="s">
        <v>299</v>
      </c>
      <c r="G408" s="64" t="str">
        <f>INDEX(Auxiliar!$B$16:$B$24,MATCH(Plano_V3!H408,Auxiliar!$C$16:$C$24,0),1)</f>
        <v>1. Concluído</v>
      </c>
      <c r="H408" s="64">
        <f>VLOOKUP(A408,'Aux - pivots1'!$A:$B,2,0)</f>
        <v>1</v>
      </c>
      <c r="I408" s="180">
        <f>SUMIFS(Table1[Estimação (horas)],Table1[Tabela],Plano_V3!E408,Table1[Campo],Plano_V3!F408)</f>
        <v>0.5</v>
      </c>
      <c r="J408" s="180">
        <f t="shared" si="313"/>
        <v>6.25E-2</v>
      </c>
      <c r="K408" s="180">
        <f>SUMIFS(Table1[Horas efetivas],Table1[Tabela],Plano_V3!E408,Table1[Campo],Plano_V3!F408)</f>
        <v>0.5</v>
      </c>
      <c r="L408" s="180">
        <f t="shared" si="314"/>
        <v>6.25E-2</v>
      </c>
      <c r="M408" s="174"/>
      <c r="N408" s="174">
        <f t="shared" si="315"/>
        <v>1</v>
      </c>
      <c r="O408" s="174">
        <f t="shared" si="310"/>
        <v>1</v>
      </c>
      <c r="P408" s="89" t="s">
        <v>39</v>
      </c>
      <c r="Q408" s="90">
        <f t="shared" si="312"/>
        <v>6.25E-2</v>
      </c>
      <c r="R408" s="78"/>
      <c r="S408" s="78"/>
      <c r="T408" s="78"/>
      <c r="U408" s="78"/>
      <c r="V408" s="78"/>
      <c r="W408" s="78"/>
      <c r="X408" s="78"/>
      <c r="Y408" s="78"/>
      <c r="Z408" s="78"/>
      <c r="AA408" s="78"/>
      <c r="AB408" s="78"/>
      <c r="AC408" s="78"/>
      <c r="AD408" s="78"/>
      <c r="AE408" s="78"/>
      <c r="AF408" s="78"/>
      <c r="AG408" s="78"/>
      <c r="AH408" s="78"/>
      <c r="AI408" s="78"/>
      <c r="AJ408" s="78"/>
      <c r="AK408" s="78"/>
      <c r="AL408" s="78"/>
      <c r="AM408" s="78"/>
      <c r="AN408" s="78"/>
      <c r="AO408" s="78"/>
      <c r="AP408" s="78"/>
      <c r="AQ408" s="78"/>
      <c r="AR408" s="78"/>
      <c r="AS408" s="78"/>
      <c r="AT408" s="78"/>
      <c r="AU408" s="78"/>
      <c r="AV408" s="78"/>
      <c r="AW408" s="78"/>
      <c r="AX408" s="78"/>
      <c r="AY408" s="91"/>
      <c r="AZ408" s="78"/>
      <c r="BA408" s="78"/>
      <c r="BB408" s="78"/>
      <c r="BC408" s="78"/>
      <c r="BD408" s="78"/>
      <c r="BE408" s="78"/>
      <c r="BF408" s="78"/>
      <c r="BG408" s="78"/>
      <c r="BH408" s="78"/>
      <c r="BI408" s="78"/>
      <c r="BJ408" s="78"/>
      <c r="BK408" s="78"/>
      <c r="BL408" s="78"/>
      <c r="BM408" s="78"/>
      <c r="BN408" s="78"/>
      <c r="BO408" s="78"/>
      <c r="BP408" s="78"/>
      <c r="BQ408" s="78"/>
      <c r="BR408" s="78"/>
      <c r="BS408" s="78"/>
      <c r="BT408" s="78"/>
      <c r="BU408" s="78"/>
      <c r="BV408" s="78"/>
      <c r="BW408" s="78"/>
      <c r="BX408" s="78"/>
      <c r="BY408" s="78"/>
      <c r="BZ408" s="78"/>
      <c r="CA408" s="78"/>
      <c r="CB408" s="78"/>
      <c r="CC408" s="78"/>
      <c r="CD408" s="78"/>
      <c r="CE408" s="78"/>
      <c r="CF408" s="78"/>
      <c r="CG408" s="78"/>
      <c r="CH408" s="78"/>
      <c r="CI408" s="78"/>
      <c r="CJ408" s="78"/>
      <c r="CK408" s="78"/>
      <c r="CL408" s="78"/>
      <c r="CM408" s="78"/>
      <c r="CN408" s="78"/>
      <c r="CO408" s="78"/>
      <c r="CP408" s="78"/>
      <c r="CQ408" s="78"/>
      <c r="CR408" s="78"/>
      <c r="CS408" s="78"/>
      <c r="CT408" s="78"/>
      <c r="CU408" s="78"/>
      <c r="CV408" s="78"/>
      <c r="CW408" s="78"/>
      <c r="CX408" s="78"/>
      <c r="CY408" s="78"/>
      <c r="CZ408" s="78"/>
      <c r="DA408" s="78"/>
      <c r="DB408" s="78"/>
      <c r="DC408" s="78"/>
      <c r="DD408" s="78"/>
      <c r="DE408" s="78"/>
      <c r="DF408" s="78"/>
      <c r="DG408" s="78"/>
      <c r="DH408" s="78"/>
      <c r="DI408" s="78"/>
      <c r="DJ408" s="78"/>
      <c r="DK408" s="78"/>
      <c r="DL408" s="78"/>
      <c r="DM408" s="78"/>
      <c r="DN408" s="78"/>
      <c r="DO408" s="78"/>
      <c r="DP408" s="78"/>
      <c r="DQ408" s="78"/>
      <c r="DR408" s="78"/>
      <c r="DS408" s="78"/>
      <c r="DT408" s="78"/>
      <c r="DU408" s="78"/>
      <c r="DV408" s="78"/>
      <c r="DW408" s="78"/>
      <c r="DX408" s="78"/>
      <c r="DY408" s="78"/>
      <c r="DZ408" s="78"/>
      <c r="EA408" s="78"/>
      <c r="EB408" s="78"/>
      <c r="EC408" s="78"/>
      <c r="ED408" s="78"/>
      <c r="EE408" s="78"/>
      <c r="EF408" s="78"/>
      <c r="EG408" s="78"/>
      <c r="EH408" s="78"/>
      <c r="EI408" s="78"/>
      <c r="EJ408" s="78"/>
      <c r="EK408" s="78"/>
      <c r="EL408" s="78"/>
      <c r="EM408" s="78"/>
      <c r="EN408" s="91"/>
      <c r="EO408" s="91"/>
      <c r="EP408" s="91"/>
      <c r="EQ408" s="91"/>
      <c r="ER408" s="91"/>
      <c r="ES408" s="91"/>
    </row>
    <row r="409" spans="1:149" outlineLevel="1">
      <c r="A409" s="29" t="str">
        <f t="shared" si="311"/>
        <v>modesg_inp_emss_naceclasse_ativo</v>
      </c>
      <c r="B409" s="67" t="s">
        <v>26</v>
      </c>
      <c r="C409" s="68" t="s">
        <v>181</v>
      </c>
      <c r="D409" s="64" t="s">
        <v>40</v>
      </c>
      <c r="E409" s="66" t="s">
        <v>218</v>
      </c>
      <c r="F409" s="64" t="s">
        <v>300</v>
      </c>
      <c r="G409" s="64" t="str">
        <f>INDEX(Auxiliar!$B$16:$B$24,MATCH(Plano_V3!H409,Auxiliar!$C$16:$C$24,0),1)</f>
        <v>1. Concluído</v>
      </c>
      <c r="H409" s="64">
        <f>VLOOKUP(A409,'Aux - pivots1'!$A:$B,2,0)</f>
        <v>1</v>
      </c>
      <c r="I409" s="180">
        <f>SUMIFS(Table1[Estimação (horas)],Table1[Tabela],Plano_V3!E409,Table1[Campo],Plano_V3!F409)</f>
        <v>0.5</v>
      </c>
      <c r="J409" s="180">
        <f t="shared" si="313"/>
        <v>6.25E-2</v>
      </c>
      <c r="K409" s="180">
        <f>SUMIFS(Table1[Horas efetivas],Table1[Tabela],Plano_V3!E409,Table1[Campo],Plano_V3!F409)</f>
        <v>0.5</v>
      </c>
      <c r="L409" s="180">
        <f t="shared" si="314"/>
        <v>6.25E-2</v>
      </c>
      <c r="M409" s="174"/>
      <c r="N409" s="174">
        <f t="shared" si="315"/>
        <v>1</v>
      </c>
      <c r="O409" s="174">
        <f t="shared" si="310"/>
        <v>1</v>
      </c>
      <c r="P409" s="89" t="s">
        <v>39</v>
      </c>
      <c r="Q409" s="90">
        <f t="shared" si="312"/>
        <v>6.25E-2</v>
      </c>
      <c r="R409" s="78"/>
      <c r="S409" s="78"/>
      <c r="T409" s="78"/>
      <c r="U409" s="78"/>
      <c r="V409" s="78"/>
      <c r="W409" s="78"/>
      <c r="X409" s="78"/>
      <c r="Y409" s="78"/>
      <c r="Z409" s="78"/>
      <c r="AA409" s="78"/>
      <c r="AB409" s="78"/>
      <c r="AC409" s="78"/>
      <c r="AD409" s="78"/>
      <c r="AE409" s="78"/>
      <c r="AF409" s="78"/>
      <c r="AG409" s="78"/>
      <c r="AH409" s="78"/>
      <c r="AI409" s="78"/>
      <c r="AJ409" s="78"/>
      <c r="AK409" s="78"/>
      <c r="AL409" s="78"/>
      <c r="AM409" s="78"/>
      <c r="AN409" s="78"/>
      <c r="AO409" s="78"/>
      <c r="AP409" s="78"/>
      <c r="AQ409" s="78"/>
      <c r="AR409" s="78"/>
      <c r="AS409" s="78"/>
      <c r="AT409" s="78"/>
      <c r="AU409" s="78"/>
      <c r="AV409" s="78"/>
      <c r="AW409" s="78"/>
      <c r="AX409" s="78"/>
      <c r="AY409" s="91"/>
      <c r="AZ409" s="78"/>
      <c r="BA409" s="78"/>
      <c r="BB409" s="78"/>
      <c r="BC409" s="78"/>
      <c r="BD409" s="78"/>
      <c r="BE409" s="78"/>
      <c r="BF409" s="78"/>
      <c r="BG409" s="78"/>
      <c r="BH409" s="78"/>
      <c r="BI409" s="78"/>
      <c r="BJ409" s="78"/>
      <c r="BK409" s="78"/>
      <c r="BL409" s="78"/>
      <c r="BM409" s="78"/>
      <c r="BN409" s="78"/>
      <c r="BO409" s="78"/>
      <c r="BP409" s="78"/>
      <c r="BQ409" s="78"/>
      <c r="BR409" s="78"/>
      <c r="BS409" s="78"/>
      <c r="BT409" s="78"/>
      <c r="BU409" s="78"/>
      <c r="BV409" s="78"/>
      <c r="BW409" s="78"/>
      <c r="BX409" s="78"/>
      <c r="BY409" s="78"/>
      <c r="BZ409" s="78"/>
      <c r="CA409" s="78"/>
      <c r="CB409" s="78"/>
      <c r="CC409" s="78"/>
      <c r="CD409" s="78"/>
      <c r="CE409" s="78"/>
      <c r="CF409" s="78"/>
      <c r="CG409" s="78"/>
      <c r="CH409" s="78"/>
      <c r="CI409" s="78"/>
      <c r="CJ409" s="78"/>
      <c r="CK409" s="78"/>
      <c r="CL409" s="78"/>
      <c r="CM409" s="78"/>
      <c r="CN409" s="78"/>
      <c r="CO409" s="78"/>
      <c r="CP409" s="78"/>
      <c r="CQ409" s="78"/>
      <c r="CR409" s="78"/>
      <c r="CS409" s="78"/>
      <c r="CT409" s="78"/>
      <c r="CU409" s="78"/>
      <c r="CV409" s="78"/>
      <c r="CW409" s="78"/>
      <c r="CX409" s="78"/>
      <c r="CY409" s="78"/>
      <c r="CZ409" s="78"/>
      <c r="DA409" s="78"/>
      <c r="DB409" s="78"/>
      <c r="DC409" s="78"/>
      <c r="DD409" s="78"/>
      <c r="DE409" s="78"/>
      <c r="DF409" s="78"/>
      <c r="DG409" s="78"/>
      <c r="DH409" s="78"/>
      <c r="DI409" s="78"/>
      <c r="DJ409" s="78"/>
      <c r="DK409" s="78"/>
      <c r="DL409" s="78"/>
      <c r="DM409" s="78"/>
      <c r="DN409" s="78"/>
      <c r="DO409" s="78"/>
      <c r="DP409" s="78"/>
      <c r="DQ409" s="78"/>
      <c r="DR409" s="78"/>
      <c r="DS409" s="78"/>
      <c r="DT409" s="78"/>
      <c r="DU409" s="78"/>
      <c r="DV409" s="78"/>
      <c r="DW409" s="78"/>
      <c r="DX409" s="78"/>
      <c r="DY409" s="78"/>
      <c r="DZ409" s="78"/>
      <c r="EA409" s="78"/>
      <c r="EB409" s="78"/>
      <c r="EC409" s="78"/>
      <c r="ED409" s="78"/>
      <c r="EE409" s="78"/>
      <c r="EF409" s="78"/>
      <c r="EG409" s="78"/>
      <c r="EH409" s="78"/>
      <c r="EI409" s="78"/>
      <c r="EJ409" s="78"/>
      <c r="EK409" s="78"/>
      <c r="EL409" s="78"/>
      <c r="EM409" s="78"/>
      <c r="EN409" s="91"/>
      <c r="EO409" s="91"/>
      <c r="EP409" s="91"/>
      <c r="EQ409" s="91"/>
      <c r="ER409" s="91"/>
      <c r="ES409" s="91"/>
    </row>
    <row r="410" spans="1:149" outlineLevel="1">
      <c r="A410" s="29" t="str">
        <f t="shared" si="311"/>
        <v>modesg_inp_emss_naceopcao_metodologia</v>
      </c>
      <c r="B410" s="67" t="s">
        <v>26</v>
      </c>
      <c r="C410" s="68" t="s">
        <v>181</v>
      </c>
      <c r="D410" s="64" t="s">
        <v>40</v>
      </c>
      <c r="E410" s="66" t="s">
        <v>218</v>
      </c>
      <c r="F410" s="64" t="s">
        <v>301</v>
      </c>
      <c r="G410" s="64" t="str">
        <f>INDEX(Auxiliar!$B$16:$B$24,MATCH(Plano_V3!H410,Auxiliar!$C$16:$C$24,0),1)</f>
        <v>1. Concluído</v>
      </c>
      <c r="H410" s="64">
        <f>VLOOKUP(A410,'Aux - pivots1'!$A:$B,2,0)</f>
        <v>1</v>
      </c>
      <c r="I410" s="180">
        <f>SUMIFS(Table1[Estimação (horas)],Table1[Tabela],Plano_V3!E410,Table1[Campo],Plano_V3!F410)</f>
        <v>0.5</v>
      </c>
      <c r="J410" s="180">
        <f t="shared" si="313"/>
        <v>6.25E-2</v>
      </c>
      <c r="K410" s="180">
        <f>SUMIFS(Table1[Horas efetivas],Table1[Tabela],Plano_V3!E410,Table1[Campo],Plano_V3!F410)</f>
        <v>0.5</v>
      </c>
      <c r="L410" s="180">
        <f t="shared" si="314"/>
        <v>6.25E-2</v>
      </c>
      <c r="M410" s="174"/>
      <c r="N410" s="174">
        <f t="shared" si="315"/>
        <v>1</v>
      </c>
      <c r="O410" s="174">
        <f t="shared" ref="O410:O509" si="316">N410-M410</f>
        <v>1</v>
      </c>
      <c r="P410" s="89" t="s">
        <v>39</v>
      </c>
      <c r="Q410" s="90">
        <f t="shared" si="312"/>
        <v>6.25E-2</v>
      </c>
      <c r="R410" s="78"/>
      <c r="S410" s="78"/>
      <c r="T410" s="78"/>
      <c r="U410" s="78"/>
      <c r="V410" s="78"/>
      <c r="W410" s="78"/>
      <c r="X410" s="78"/>
      <c r="Y410" s="78"/>
      <c r="Z410" s="78"/>
      <c r="AA410" s="78"/>
      <c r="AB410" s="78"/>
      <c r="AC410" s="78"/>
      <c r="AD410" s="78"/>
      <c r="AE410" s="78"/>
      <c r="AF410" s="78"/>
      <c r="AG410" s="78"/>
      <c r="AH410" s="78"/>
      <c r="AI410" s="78"/>
      <c r="AJ410" s="78"/>
      <c r="AK410" s="78"/>
      <c r="AL410" s="78"/>
      <c r="AM410" s="78"/>
      <c r="AN410" s="78"/>
      <c r="AO410" s="78"/>
      <c r="AP410" s="78"/>
      <c r="AQ410" s="78"/>
      <c r="AR410" s="78"/>
      <c r="AS410" s="78"/>
      <c r="AT410" s="78"/>
      <c r="AU410" s="78"/>
      <c r="AV410" s="78"/>
      <c r="AW410" s="78"/>
      <c r="AX410" s="78"/>
      <c r="AY410" s="91"/>
      <c r="AZ410" s="78"/>
      <c r="BA410" s="78"/>
      <c r="BB410" s="78"/>
      <c r="BC410" s="78"/>
      <c r="BD410" s="78"/>
      <c r="BE410" s="78"/>
      <c r="BF410" s="78"/>
      <c r="BG410" s="78"/>
      <c r="BH410" s="78"/>
      <c r="BI410" s="78"/>
      <c r="BJ410" s="78"/>
      <c r="BK410" s="78"/>
      <c r="BL410" s="78"/>
      <c r="BM410" s="78"/>
      <c r="BN410" s="78"/>
      <c r="BO410" s="78"/>
      <c r="BP410" s="78"/>
      <c r="BQ410" s="78"/>
      <c r="BR410" s="78"/>
      <c r="BS410" s="78"/>
      <c r="BT410" s="78"/>
      <c r="BU410" s="78"/>
      <c r="BV410" s="78"/>
      <c r="BW410" s="78"/>
      <c r="BX410" s="78"/>
      <c r="BY410" s="78"/>
      <c r="BZ410" s="78"/>
      <c r="CA410" s="78"/>
      <c r="CB410" s="78"/>
      <c r="CC410" s="78"/>
      <c r="CD410" s="78"/>
      <c r="CE410" s="78"/>
      <c r="CF410" s="78"/>
      <c r="CG410" s="78"/>
      <c r="CH410" s="78"/>
      <c r="CI410" s="78"/>
      <c r="CJ410" s="78"/>
      <c r="CK410" s="78"/>
      <c r="CL410" s="78"/>
      <c r="CM410" s="78"/>
      <c r="CN410" s="78"/>
      <c r="CO410" s="78"/>
      <c r="CP410" s="78"/>
      <c r="CQ410" s="78"/>
      <c r="CR410" s="78"/>
      <c r="CS410" s="78"/>
      <c r="CT410" s="78"/>
      <c r="CU410" s="78"/>
      <c r="CV410" s="78"/>
      <c r="CW410" s="78"/>
      <c r="CX410" s="78"/>
      <c r="CY410" s="78"/>
      <c r="CZ410" s="78"/>
      <c r="DA410" s="78"/>
      <c r="DB410" s="78"/>
      <c r="DC410" s="78"/>
      <c r="DD410" s="78"/>
      <c r="DE410" s="78"/>
      <c r="DF410" s="78"/>
      <c r="DG410" s="78"/>
      <c r="DH410" s="78"/>
      <c r="DI410" s="78"/>
      <c r="DJ410" s="78"/>
      <c r="DK410" s="78"/>
      <c r="DL410" s="78"/>
      <c r="DM410" s="78"/>
      <c r="DN410" s="78"/>
      <c r="DO410" s="78"/>
      <c r="DP410" s="78"/>
      <c r="DQ410" s="78"/>
      <c r="DR410" s="78"/>
      <c r="DS410" s="78"/>
      <c r="DT410" s="78"/>
      <c r="DU410" s="78"/>
      <c r="DV410" s="78"/>
      <c r="DW410" s="78"/>
      <c r="DX410" s="78"/>
      <c r="DY410" s="78"/>
      <c r="DZ410" s="78"/>
      <c r="EA410" s="78"/>
      <c r="EB410" s="78"/>
      <c r="EC410" s="78"/>
      <c r="ED410" s="78"/>
      <c r="EE410" s="78"/>
      <c r="EF410" s="78"/>
      <c r="EG410" s="78"/>
      <c r="EH410" s="78"/>
      <c r="EI410" s="78"/>
      <c r="EJ410" s="78"/>
      <c r="EK410" s="78"/>
      <c r="EL410" s="78"/>
      <c r="EM410" s="78"/>
      <c r="EN410" s="91"/>
      <c r="EO410" s="91"/>
      <c r="EP410" s="91"/>
      <c r="EQ410" s="91"/>
      <c r="ER410" s="91"/>
      <c r="ES410" s="91"/>
    </row>
    <row r="411" spans="1:149" outlineLevel="1">
      <c r="A411" s="29" t="str">
        <f t="shared" si="311"/>
        <v>modesg_inp_emss_naceunidade_funcional</v>
      </c>
      <c r="B411" s="67" t="s">
        <v>26</v>
      </c>
      <c r="C411" s="68" t="s">
        <v>181</v>
      </c>
      <c r="D411" s="64" t="s">
        <v>40</v>
      </c>
      <c r="E411" s="66" t="s">
        <v>218</v>
      </c>
      <c r="F411" s="64" t="s">
        <v>229</v>
      </c>
      <c r="G411" s="64" t="str">
        <f>INDEX(Auxiliar!$B$16:$B$24,MATCH(Plano_V3!H411,Auxiliar!$C$16:$C$24,0),1)</f>
        <v>1. Concluído</v>
      </c>
      <c r="H411" s="64">
        <f>VLOOKUP(A411,'Aux - pivots1'!$A:$B,2,0)</f>
        <v>1</v>
      </c>
      <c r="I411" s="180">
        <f>SUMIFS(Table1[Estimação (horas)],Table1[Tabela],Plano_V3!E411,Table1[Campo],Plano_V3!F411)</f>
        <v>0.6</v>
      </c>
      <c r="J411" s="180">
        <f t="shared" si="313"/>
        <v>7.4999999999999997E-2</v>
      </c>
      <c r="K411" s="180">
        <f>SUMIFS(Table1[Horas efetivas],Table1[Tabela],Plano_V3!E411,Table1[Campo],Plano_V3!F411)</f>
        <v>0.6</v>
      </c>
      <c r="L411" s="180">
        <f t="shared" si="314"/>
        <v>7.4999999999999997E-2</v>
      </c>
      <c r="M411" s="174"/>
      <c r="N411" s="174">
        <f t="shared" si="315"/>
        <v>1</v>
      </c>
      <c r="O411" s="174">
        <f t="shared" si="316"/>
        <v>1</v>
      </c>
      <c r="P411" s="89" t="s">
        <v>39</v>
      </c>
      <c r="Q411" s="90">
        <f t="shared" si="312"/>
        <v>7.4999999999999997E-2</v>
      </c>
      <c r="R411" s="78"/>
      <c r="S411" s="78"/>
      <c r="T411" s="78"/>
      <c r="U411" s="78"/>
      <c r="V411" s="78"/>
      <c r="W411" s="78"/>
      <c r="X411" s="78"/>
      <c r="Y411" s="78"/>
      <c r="Z411" s="78"/>
      <c r="AA411" s="78"/>
      <c r="AB411" s="78"/>
      <c r="AC411" s="78"/>
      <c r="AD411" s="78"/>
      <c r="AE411" s="78"/>
      <c r="AF411" s="78"/>
      <c r="AG411" s="78"/>
      <c r="AH411" s="78"/>
      <c r="AI411" s="78"/>
      <c r="AJ411" s="78"/>
      <c r="AK411" s="78"/>
      <c r="AL411" s="78"/>
      <c r="AM411" s="78"/>
      <c r="AN411" s="78"/>
      <c r="AO411" s="78"/>
      <c r="AP411" s="78"/>
      <c r="AQ411" s="78"/>
      <c r="AR411" s="78"/>
      <c r="AS411" s="78"/>
      <c r="AT411" s="78"/>
      <c r="AU411" s="78"/>
      <c r="AV411" s="78"/>
      <c r="AW411" s="78"/>
      <c r="AX411" s="78"/>
      <c r="AY411" s="91"/>
      <c r="AZ411" s="78"/>
      <c r="BA411" s="78"/>
      <c r="BB411" s="78"/>
      <c r="BC411" s="78"/>
      <c r="BD411" s="78"/>
      <c r="BE411" s="78"/>
      <c r="BF411" s="78"/>
      <c r="BG411" s="78"/>
      <c r="BH411" s="78"/>
      <c r="BI411" s="78"/>
      <c r="BJ411" s="78"/>
      <c r="BK411" s="78"/>
      <c r="BL411" s="78"/>
      <c r="BM411" s="78"/>
      <c r="BN411" s="78"/>
      <c r="BO411" s="78"/>
      <c r="BP411" s="78"/>
      <c r="BQ411" s="78"/>
      <c r="BR411" s="78"/>
      <c r="BS411" s="78"/>
      <c r="BT411" s="78"/>
      <c r="BU411" s="78"/>
      <c r="BV411" s="78"/>
      <c r="BW411" s="78"/>
      <c r="BX411" s="78"/>
      <c r="BY411" s="78"/>
      <c r="BZ411" s="78"/>
      <c r="CA411" s="78"/>
      <c r="CB411" s="78"/>
      <c r="CC411" s="78"/>
      <c r="CD411" s="78"/>
      <c r="CE411" s="78"/>
      <c r="CF411" s="78"/>
      <c r="CG411" s="78"/>
      <c r="CH411" s="78"/>
      <c r="CI411" s="78"/>
      <c r="CJ411" s="78"/>
      <c r="CK411" s="78"/>
      <c r="CL411" s="78"/>
      <c r="CM411" s="78"/>
      <c r="CN411" s="78"/>
      <c r="CO411" s="78"/>
      <c r="CP411" s="78"/>
      <c r="CQ411" s="78"/>
      <c r="CR411" s="78"/>
      <c r="CS411" s="78"/>
      <c r="CT411" s="78"/>
      <c r="CU411" s="78"/>
      <c r="CV411" s="78"/>
      <c r="CW411" s="78"/>
      <c r="CX411" s="78"/>
      <c r="CY411" s="78"/>
      <c r="CZ411" s="78"/>
      <c r="DA411" s="78"/>
      <c r="DB411" s="78"/>
      <c r="DC411" s="78"/>
      <c r="DD411" s="78"/>
      <c r="DE411" s="78"/>
      <c r="DF411" s="78"/>
      <c r="DG411" s="78"/>
      <c r="DH411" s="78"/>
      <c r="DI411" s="78"/>
      <c r="DJ411" s="78"/>
      <c r="DK411" s="78"/>
      <c r="DL411" s="78"/>
      <c r="DM411" s="78"/>
      <c r="DN411" s="78"/>
      <c r="DO411" s="78"/>
      <c r="DP411" s="78"/>
      <c r="DQ411" s="78"/>
      <c r="DR411" s="78"/>
      <c r="DS411" s="78"/>
      <c r="DT411" s="78"/>
      <c r="DU411" s="78"/>
      <c r="DV411" s="78"/>
      <c r="DW411" s="78"/>
      <c r="DX411" s="78"/>
      <c r="DY411" s="78"/>
      <c r="DZ411" s="78"/>
      <c r="EA411" s="78"/>
      <c r="EB411" s="78"/>
      <c r="EC411" s="78"/>
      <c r="ED411" s="78"/>
      <c r="EE411" s="78"/>
      <c r="EF411" s="78"/>
      <c r="EG411" s="78"/>
      <c r="EH411" s="78"/>
      <c r="EI411" s="78"/>
      <c r="EJ411" s="78"/>
      <c r="EK411" s="78"/>
      <c r="EL411" s="78"/>
      <c r="EM411" s="78"/>
      <c r="EN411" s="91"/>
      <c r="EO411" s="91"/>
      <c r="EP411" s="91"/>
      <c r="EQ411" s="91"/>
      <c r="ER411" s="91"/>
      <c r="ES411" s="91"/>
    </row>
    <row r="412" spans="1:149" outlineLevel="1">
      <c r="A412" s="29" t="str">
        <f t="shared" ref="A412:A451" si="317">E412&amp;F412</f>
        <v>modesg_inp_emss_naceunidades_fator_de_emissao</v>
      </c>
      <c r="B412" s="67" t="s">
        <v>26</v>
      </c>
      <c r="C412" s="68" t="s">
        <v>181</v>
      </c>
      <c r="D412" s="64" t="s">
        <v>40</v>
      </c>
      <c r="E412" s="66" t="s">
        <v>218</v>
      </c>
      <c r="F412" s="64" t="s">
        <v>302</v>
      </c>
      <c r="G412" s="64" t="str">
        <f>INDEX(Auxiliar!$B$16:$B$24,MATCH(Plano_V3!H412,Auxiliar!$C$16:$C$24,0),1)</f>
        <v>1. Concluído</v>
      </c>
      <c r="H412" s="64">
        <f>VLOOKUP(A412,'Aux - pivots1'!$A:$B,2,0)</f>
        <v>1</v>
      </c>
      <c r="I412" s="180">
        <f>SUMIFS(Table1[Estimação (horas)],Table1[Tabela],Plano_V3!E412,Table1[Campo],Plano_V3!F412)</f>
        <v>0.5</v>
      </c>
      <c r="J412" s="180">
        <f t="shared" si="313"/>
        <v>6.25E-2</v>
      </c>
      <c r="K412" s="180">
        <f>SUMIFS(Table1[Horas efetivas],Table1[Tabela],Plano_V3!E412,Table1[Campo],Plano_V3!F412)</f>
        <v>0.5</v>
      </c>
      <c r="L412" s="180">
        <f t="shared" si="314"/>
        <v>6.25E-2</v>
      </c>
      <c r="M412" s="174"/>
      <c r="N412" s="174">
        <f t="shared" si="315"/>
        <v>1</v>
      </c>
      <c r="O412" s="174">
        <f t="shared" si="316"/>
        <v>1</v>
      </c>
      <c r="P412" s="89" t="s">
        <v>39</v>
      </c>
      <c r="Q412" s="90">
        <f t="shared" si="312"/>
        <v>6.25E-2</v>
      </c>
      <c r="R412" s="78"/>
      <c r="S412" s="78"/>
      <c r="T412" s="78"/>
      <c r="U412" s="78"/>
      <c r="V412" s="78"/>
      <c r="W412" s="78"/>
      <c r="X412" s="78"/>
      <c r="Y412" s="78"/>
      <c r="Z412" s="78"/>
      <c r="AA412" s="78"/>
      <c r="AB412" s="78"/>
      <c r="AC412" s="78"/>
      <c r="AD412" s="78"/>
      <c r="AE412" s="78"/>
      <c r="AF412" s="78"/>
      <c r="AG412" s="78"/>
      <c r="AH412" s="78"/>
      <c r="AI412" s="78"/>
      <c r="AJ412" s="78"/>
      <c r="AK412" s="78"/>
      <c r="AL412" s="78"/>
      <c r="AM412" s="78"/>
      <c r="AN412" s="78"/>
      <c r="AO412" s="78"/>
      <c r="AP412" s="78"/>
      <c r="AQ412" s="78"/>
      <c r="AR412" s="78"/>
      <c r="AS412" s="78"/>
      <c r="AT412" s="78"/>
      <c r="AU412" s="78"/>
      <c r="AV412" s="78"/>
      <c r="AW412" s="78"/>
      <c r="AX412" s="78"/>
      <c r="AY412" s="91"/>
      <c r="AZ412" s="78"/>
      <c r="BA412" s="78"/>
      <c r="BB412" s="78"/>
      <c r="BC412" s="78"/>
      <c r="BD412" s="78"/>
      <c r="BE412" s="78"/>
      <c r="BF412" s="78"/>
      <c r="BG412" s="78"/>
      <c r="BH412" s="78"/>
      <c r="BI412" s="78"/>
      <c r="BJ412" s="78"/>
      <c r="BK412" s="78"/>
      <c r="BL412" s="78"/>
      <c r="BM412" s="78"/>
      <c r="BN412" s="78"/>
      <c r="BO412" s="78"/>
      <c r="BP412" s="78"/>
      <c r="BQ412" s="78"/>
      <c r="BR412" s="78"/>
      <c r="BS412" s="78"/>
      <c r="BT412" s="78"/>
      <c r="BU412" s="78"/>
      <c r="BV412" s="78"/>
      <c r="BW412" s="78"/>
      <c r="BX412" s="78"/>
      <c r="BY412" s="78"/>
      <c r="BZ412" s="78"/>
      <c r="CA412" s="78"/>
      <c r="CB412" s="78"/>
      <c r="CC412" s="78"/>
      <c r="CD412" s="78"/>
      <c r="CE412" s="78"/>
      <c r="CF412" s="78"/>
      <c r="CG412" s="78"/>
      <c r="CH412" s="78"/>
      <c r="CI412" s="78"/>
      <c r="CJ412" s="78"/>
      <c r="CK412" s="78"/>
      <c r="CL412" s="78"/>
      <c r="CM412" s="78"/>
      <c r="CN412" s="78"/>
      <c r="CO412" s="78"/>
      <c r="CP412" s="78"/>
      <c r="CQ412" s="78"/>
      <c r="CR412" s="78"/>
      <c r="CS412" s="78"/>
      <c r="CT412" s="78"/>
      <c r="CU412" s="78"/>
      <c r="CV412" s="78"/>
      <c r="CW412" s="78"/>
      <c r="CX412" s="78"/>
      <c r="CY412" s="78"/>
      <c r="CZ412" s="78"/>
      <c r="DA412" s="78"/>
      <c r="DB412" s="78"/>
      <c r="DC412" s="78"/>
      <c r="DD412" s="78"/>
      <c r="DE412" s="78"/>
      <c r="DF412" s="78"/>
      <c r="DG412" s="78"/>
      <c r="DH412" s="78"/>
      <c r="DI412" s="78"/>
      <c r="DJ412" s="78"/>
      <c r="DK412" s="78"/>
      <c r="DL412" s="78"/>
      <c r="DM412" s="78"/>
      <c r="DN412" s="78"/>
      <c r="DO412" s="78"/>
      <c r="DP412" s="78"/>
      <c r="DQ412" s="78"/>
      <c r="DR412" s="78"/>
      <c r="DS412" s="78"/>
      <c r="DT412" s="78"/>
      <c r="DU412" s="78"/>
      <c r="DV412" s="78"/>
      <c r="DW412" s="78"/>
      <c r="DX412" s="78"/>
      <c r="DY412" s="78"/>
      <c r="DZ412" s="78"/>
      <c r="EA412" s="78"/>
      <c r="EB412" s="78"/>
      <c r="EC412" s="78"/>
      <c r="ED412" s="78"/>
      <c r="EE412" s="78"/>
      <c r="EF412" s="78"/>
      <c r="EG412" s="78"/>
      <c r="EH412" s="78"/>
      <c r="EI412" s="78"/>
      <c r="EJ412" s="78"/>
      <c r="EK412" s="78"/>
      <c r="EL412" s="78"/>
      <c r="EM412" s="78"/>
      <c r="EN412" s="91"/>
      <c r="EO412" s="91"/>
      <c r="EP412" s="91"/>
      <c r="EQ412" s="91"/>
      <c r="ER412" s="91"/>
      <c r="ES412" s="91"/>
    </row>
    <row r="413" spans="1:149" outlineLevel="1">
      <c r="A413" s="29" t="str">
        <f t="shared" si="317"/>
        <v>modesg_inp_emss_nacescore_qualidade</v>
      </c>
      <c r="B413" s="67" t="s">
        <v>26</v>
      </c>
      <c r="C413" s="68" t="s">
        <v>181</v>
      </c>
      <c r="D413" s="64" t="s">
        <v>40</v>
      </c>
      <c r="E413" s="66" t="s">
        <v>218</v>
      </c>
      <c r="F413" s="64" t="s">
        <v>232</v>
      </c>
      <c r="G413" s="64" t="str">
        <f>INDEX(Auxiliar!$B$16:$B$24,MATCH(Plano_V3!H413,Auxiliar!$C$16:$C$24,0),1)</f>
        <v>1. Concluído</v>
      </c>
      <c r="H413" s="64">
        <f>VLOOKUP(A413,'Aux - pivots1'!$A:$B,2,0)</f>
        <v>1</v>
      </c>
      <c r="I413" s="180">
        <f>SUMIFS(Table1[Estimação (horas)],Table1[Tabela],Plano_V3!E413,Table1[Campo],Plano_V3!F413)</f>
        <v>0.5</v>
      </c>
      <c r="J413" s="180">
        <f t="shared" si="313"/>
        <v>6.25E-2</v>
      </c>
      <c r="K413" s="180">
        <f>SUMIFS(Table1[Horas efetivas],Table1[Tabela],Plano_V3!E413,Table1[Campo],Plano_V3!F413)</f>
        <v>0.5</v>
      </c>
      <c r="L413" s="180">
        <f t="shared" si="314"/>
        <v>6.25E-2</v>
      </c>
      <c r="M413" s="174"/>
      <c r="N413" s="174">
        <f t="shared" si="315"/>
        <v>1</v>
      </c>
      <c r="O413" s="174">
        <f t="shared" si="316"/>
        <v>1</v>
      </c>
      <c r="P413" s="89" t="s">
        <v>39</v>
      </c>
      <c r="Q413" s="90">
        <f t="shared" si="312"/>
        <v>6.25E-2</v>
      </c>
      <c r="R413" s="78"/>
      <c r="S413" s="78"/>
      <c r="T413" s="78"/>
      <c r="U413" s="78"/>
      <c r="V413" s="78"/>
      <c r="W413" s="78"/>
      <c r="X413" s="78"/>
      <c r="Y413" s="78"/>
      <c r="Z413" s="78"/>
      <c r="AA413" s="78"/>
      <c r="AB413" s="78"/>
      <c r="AC413" s="78"/>
      <c r="AD413" s="78"/>
      <c r="AE413" s="78"/>
      <c r="AF413" s="78"/>
      <c r="AG413" s="78"/>
      <c r="AH413" s="78"/>
      <c r="AI413" s="78"/>
      <c r="AJ413" s="78"/>
      <c r="AK413" s="78"/>
      <c r="AL413" s="78"/>
      <c r="AM413" s="78"/>
      <c r="AN413" s="78"/>
      <c r="AO413" s="78"/>
      <c r="AP413" s="78"/>
      <c r="AQ413" s="78"/>
      <c r="AR413" s="78"/>
      <c r="AS413" s="78"/>
      <c r="AT413" s="78"/>
      <c r="AU413" s="78"/>
      <c r="AV413" s="78"/>
      <c r="AW413" s="78"/>
      <c r="AX413" s="78"/>
      <c r="AY413" s="91"/>
      <c r="AZ413" s="78"/>
      <c r="BA413" s="78"/>
      <c r="BB413" s="78"/>
      <c r="BC413" s="78"/>
      <c r="BD413" s="78"/>
      <c r="BE413" s="78"/>
      <c r="BF413" s="78"/>
      <c r="BG413" s="78"/>
      <c r="BH413" s="78"/>
      <c r="BI413" s="78"/>
      <c r="BJ413" s="78"/>
      <c r="BK413" s="78"/>
      <c r="BL413" s="78"/>
      <c r="BM413" s="78"/>
      <c r="BN413" s="78"/>
      <c r="BO413" s="78"/>
      <c r="BP413" s="78"/>
      <c r="BQ413" s="78"/>
      <c r="BR413" s="78"/>
      <c r="BS413" s="78"/>
      <c r="BT413" s="78"/>
      <c r="BU413" s="78"/>
      <c r="BV413" s="78"/>
      <c r="BW413" s="78"/>
      <c r="BX413" s="78"/>
      <c r="BY413" s="78"/>
      <c r="BZ413" s="78"/>
      <c r="CA413" s="78"/>
      <c r="CB413" s="78"/>
      <c r="CC413" s="78"/>
      <c r="CD413" s="78"/>
      <c r="CE413" s="78"/>
      <c r="CF413" s="78"/>
      <c r="CG413" s="78"/>
      <c r="CH413" s="78"/>
      <c r="CI413" s="78"/>
      <c r="CJ413" s="78"/>
      <c r="CK413" s="78"/>
      <c r="CL413" s="78"/>
      <c r="CM413" s="78"/>
      <c r="CN413" s="78"/>
      <c r="CO413" s="78"/>
      <c r="CP413" s="78"/>
      <c r="CQ413" s="78"/>
      <c r="CR413" s="78"/>
      <c r="CS413" s="78"/>
      <c r="CT413" s="78"/>
      <c r="CU413" s="78"/>
      <c r="CV413" s="78"/>
      <c r="CW413" s="78"/>
      <c r="CX413" s="78"/>
      <c r="CY413" s="78"/>
      <c r="CZ413" s="78"/>
      <c r="DA413" s="78"/>
      <c r="DB413" s="78"/>
      <c r="DC413" s="78"/>
      <c r="DD413" s="78"/>
      <c r="DE413" s="78"/>
      <c r="DF413" s="78"/>
      <c r="DG413" s="78"/>
      <c r="DH413" s="78"/>
      <c r="DI413" s="78"/>
      <c r="DJ413" s="78"/>
      <c r="DK413" s="78"/>
      <c r="DL413" s="78"/>
      <c r="DM413" s="78"/>
      <c r="DN413" s="78"/>
      <c r="DO413" s="78"/>
      <c r="DP413" s="78"/>
      <c r="DQ413" s="78"/>
      <c r="DR413" s="78"/>
      <c r="DS413" s="78"/>
      <c r="DT413" s="78"/>
      <c r="DU413" s="78"/>
      <c r="DV413" s="78"/>
      <c r="DW413" s="78"/>
      <c r="DX413" s="78"/>
      <c r="DY413" s="78"/>
      <c r="DZ413" s="78"/>
      <c r="EA413" s="78"/>
      <c r="EB413" s="78"/>
      <c r="EC413" s="78"/>
      <c r="ED413" s="78"/>
      <c r="EE413" s="78"/>
      <c r="EF413" s="78"/>
      <c r="EG413" s="78"/>
      <c r="EH413" s="78"/>
      <c r="EI413" s="78"/>
      <c r="EJ413" s="78"/>
      <c r="EK413" s="78"/>
      <c r="EL413" s="78"/>
      <c r="EM413" s="78"/>
      <c r="EN413" s="91"/>
      <c r="EO413" s="91"/>
      <c r="EP413" s="91"/>
      <c r="EQ413" s="91"/>
      <c r="ER413" s="91"/>
      <c r="ES413" s="91"/>
    </row>
    <row r="414" spans="1:149" outlineLevel="1">
      <c r="A414" s="29" t="str">
        <f t="shared" si="317"/>
        <v>modesg_inp_emss_nacescp1_ftr_emss</v>
      </c>
      <c r="B414" s="67" t="s">
        <v>26</v>
      </c>
      <c r="C414" s="68" t="s">
        <v>181</v>
      </c>
      <c r="D414" s="64" t="s">
        <v>40</v>
      </c>
      <c r="E414" s="66" t="s">
        <v>218</v>
      </c>
      <c r="F414" s="64" t="s">
        <v>233</v>
      </c>
      <c r="G414" s="64" t="str">
        <f>INDEX(Auxiliar!$B$16:$B$24,MATCH(Plano_V3!H414,Auxiliar!$C$16:$C$24,0),1)</f>
        <v>1. Concluído</v>
      </c>
      <c r="H414" s="64">
        <f>VLOOKUP(A414,'Aux - pivots1'!$A:$B,2,0)</f>
        <v>1</v>
      </c>
      <c r="I414" s="180">
        <f>SUMIFS(Table1[Estimação (horas)],Table1[Tabela],Plano_V3!E414,Table1[Campo],Plano_V3!F414)</f>
        <v>0.6</v>
      </c>
      <c r="J414" s="180">
        <f t="shared" si="313"/>
        <v>7.4999999999999997E-2</v>
      </c>
      <c r="K414" s="180">
        <f>SUMIFS(Table1[Horas efetivas],Table1[Tabela],Plano_V3!E414,Table1[Campo],Plano_V3!F414)</f>
        <v>0.6</v>
      </c>
      <c r="L414" s="180">
        <f t="shared" si="314"/>
        <v>7.4999999999999997E-2</v>
      </c>
      <c r="M414" s="174"/>
      <c r="N414" s="174">
        <f t="shared" si="315"/>
        <v>1</v>
      </c>
      <c r="O414" s="174">
        <f t="shared" si="316"/>
        <v>1</v>
      </c>
      <c r="P414" s="89" t="s">
        <v>39</v>
      </c>
      <c r="Q414" s="90">
        <f t="shared" si="312"/>
        <v>7.4999999999999997E-2</v>
      </c>
      <c r="R414" s="78"/>
      <c r="S414" s="78"/>
      <c r="T414" s="78"/>
      <c r="U414" s="78"/>
      <c r="V414" s="78"/>
      <c r="W414" s="78"/>
      <c r="X414" s="78"/>
      <c r="Y414" s="78"/>
      <c r="Z414" s="78"/>
      <c r="AA414" s="78"/>
      <c r="AB414" s="78"/>
      <c r="AC414" s="78"/>
      <c r="AD414" s="78"/>
      <c r="AE414" s="78"/>
      <c r="AF414" s="78"/>
      <c r="AG414" s="78"/>
      <c r="AH414" s="78"/>
      <c r="AI414" s="78"/>
      <c r="AJ414" s="78"/>
      <c r="AK414" s="78"/>
      <c r="AL414" s="78"/>
      <c r="AM414" s="78"/>
      <c r="AN414" s="78"/>
      <c r="AO414" s="78"/>
      <c r="AP414" s="78"/>
      <c r="AQ414" s="78"/>
      <c r="AR414" s="78"/>
      <c r="AS414" s="78"/>
      <c r="AT414" s="78"/>
      <c r="AU414" s="78"/>
      <c r="AV414" s="78"/>
      <c r="AW414" s="78"/>
      <c r="AX414" s="78"/>
      <c r="AY414" s="91"/>
      <c r="AZ414" s="78"/>
      <c r="BA414" s="78"/>
      <c r="BB414" s="78"/>
      <c r="BC414" s="78"/>
      <c r="BD414" s="78"/>
      <c r="BE414" s="78"/>
      <c r="BF414" s="78"/>
      <c r="BG414" s="78"/>
      <c r="BH414" s="78"/>
      <c r="BI414" s="78"/>
      <c r="BJ414" s="78"/>
      <c r="BK414" s="78"/>
      <c r="BL414" s="78"/>
      <c r="BM414" s="78"/>
      <c r="BN414" s="78"/>
      <c r="BO414" s="78"/>
      <c r="BP414" s="78"/>
      <c r="BQ414" s="78"/>
      <c r="BR414" s="78"/>
      <c r="BS414" s="78"/>
      <c r="BT414" s="78"/>
      <c r="BU414" s="78"/>
      <c r="BV414" s="78"/>
      <c r="BW414" s="78"/>
      <c r="BX414" s="78"/>
      <c r="BY414" s="78"/>
      <c r="BZ414" s="78"/>
      <c r="CA414" s="78"/>
      <c r="CB414" s="78"/>
      <c r="CC414" s="78"/>
      <c r="CD414" s="78"/>
      <c r="CE414" s="78"/>
      <c r="CF414" s="78"/>
      <c r="CG414" s="78"/>
      <c r="CH414" s="78"/>
      <c r="CI414" s="78"/>
      <c r="CJ414" s="78"/>
      <c r="CK414" s="78"/>
      <c r="CL414" s="78"/>
      <c r="CM414" s="78"/>
      <c r="CN414" s="78"/>
      <c r="CO414" s="78"/>
      <c r="CP414" s="78"/>
      <c r="CQ414" s="78"/>
      <c r="CR414" s="78"/>
      <c r="CS414" s="78"/>
      <c r="CT414" s="78"/>
      <c r="CU414" s="78"/>
      <c r="CV414" s="78"/>
      <c r="CW414" s="78"/>
      <c r="CX414" s="78"/>
      <c r="CY414" s="78"/>
      <c r="CZ414" s="78"/>
      <c r="DA414" s="78"/>
      <c r="DB414" s="78"/>
      <c r="DC414" s="78"/>
      <c r="DD414" s="78"/>
      <c r="DE414" s="78"/>
      <c r="DF414" s="78"/>
      <c r="DG414" s="78"/>
      <c r="DH414" s="78"/>
      <c r="DI414" s="78"/>
      <c r="DJ414" s="78"/>
      <c r="DK414" s="78"/>
      <c r="DL414" s="78"/>
      <c r="DM414" s="78"/>
      <c r="DN414" s="78"/>
      <c r="DO414" s="78"/>
      <c r="DP414" s="78"/>
      <c r="DQ414" s="78"/>
      <c r="DR414" s="78"/>
      <c r="DS414" s="78"/>
      <c r="DT414" s="78"/>
      <c r="DU414" s="78"/>
      <c r="DV414" s="78"/>
      <c r="DW414" s="78"/>
      <c r="DX414" s="78"/>
      <c r="DY414" s="78"/>
      <c r="DZ414" s="78"/>
      <c r="EA414" s="78"/>
      <c r="EB414" s="78"/>
      <c r="EC414" s="78"/>
      <c r="ED414" s="78"/>
      <c r="EE414" s="78"/>
      <c r="EF414" s="78"/>
      <c r="EG414" s="78"/>
      <c r="EH414" s="78"/>
      <c r="EI414" s="78"/>
      <c r="EJ414" s="78"/>
      <c r="EK414" s="78"/>
      <c r="EL414" s="78"/>
      <c r="EM414" s="78"/>
      <c r="EN414" s="91"/>
      <c r="EO414" s="91"/>
      <c r="EP414" s="91"/>
      <c r="EQ414" s="91"/>
      <c r="ER414" s="91"/>
      <c r="ES414" s="91"/>
    </row>
    <row r="415" spans="1:149" outlineLevel="1">
      <c r="A415" s="29" t="str">
        <f t="shared" si="317"/>
        <v>modesg_inp_emss_nacescp2_ftr_emss</v>
      </c>
      <c r="B415" s="67" t="s">
        <v>26</v>
      </c>
      <c r="C415" s="68" t="s">
        <v>181</v>
      </c>
      <c r="D415" s="64" t="s">
        <v>40</v>
      </c>
      <c r="E415" s="66" t="s">
        <v>218</v>
      </c>
      <c r="F415" s="64" t="s">
        <v>234</v>
      </c>
      <c r="G415" s="64" t="str">
        <f>INDEX(Auxiliar!$B$16:$B$24,MATCH(Plano_V3!H415,Auxiliar!$C$16:$C$24,0),1)</f>
        <v>1. Concluído</v>
      </c>
      <c r="H415" s="64">
        <f>VLOOKUP(A415,'Aux - pivots1'!$A:$B,2,0)</f>
        <v>1</v>
      </c>
      <c r="I415" s="180">
        <f>SUMIFS(Table1[Estimação (horas)],Table1[Tabela],Plano_V3!E415,Table1[Campo],Plano_V3!F415)</f>
        <v>0.6</v>
      </c>
      <c r="J415" s="180">
        <f t="shared" si="313"/>
        <v>7.4999999999999997E-2</v>
      </c>
      <c r="K415" s="180">
        <f>SUMIFS(Table1[Horas efetivas],Table1[Tabela],Plano_V3!E415,Table1[Campo],Plano_V3!F415)</f>
        <v>0.6</v>
      </c>
      <c r="L415" s="180">
        <f t="shared" si="314"/>
        <v>7.4999999999999997E-2</v>
      </c>
      <c r="M415" s="174"/>
      <c r="N415" s="174">
        <f t="shared" si="315"/>
        <v>1</v>
      </c>
      <c r="O415" s="174">
        <f t="shared" si="316"/>
        <v>1</v>
      </c>
      <c r="P415" s="89" t="s">
        <v>39</v>
      </c>
      <c r="Q415" s="90">
        <f t="shared" si="312"/>
        <v>7.4999999999999997E-2</v>
      </c>
      <c r="R415" s="78"/>
      <c r="S415" s="78"/>
      <c r="T415" s="78"/>
      <c r="U415" s="78"/>
      <c r="V415" s="78"/>
      <c r="W415" s="78"/>
      <c r="X415" s="78"/>
      <c r="Y415" s="78"/>
      <c r="Z415" s="78"/>
      <c r="AA415" s="78"/>
      <c r="AB415" s="78"/>
      <c r="AC415" s="78"/>
      <c r="AD415" s="78"/>
      <c r="AE415" s="78"/>
      <c r="AF415" s="78"/>
      <c r="AG415" s="78"/>
      <c r="AH415" s="78"/>
      <c r="AI415" s="78"/>
      <c r="AJ415" s="78"/>
      <c r="AK415" s="78"/>
      <c r="AL415" s="78"/>
      <c r="AM415" s="78"/>
      <c r="AN415" s="78"/>
      <c r="AO415" s="78"/>
      <c r="AP415" s="78"/>
      <c r="AQ415" s="78"/>
      <c r="AR415" s="78"/>
      <c r="AS415" s="78"/>
      <c r="AT415" s="78"/>
      <c r="AU415" s="78"/>
      <c r="AV415" s="78"/>
      <c r="AW415" s="78"/>
      <c r="AX415" s="78"/>
      <c r="AY415" s="91"/>
      <c r="AZ415" s="78"/>
      <c r="BA415" s="78"/>
      <c r="BB415" s="78"/>
      <c r="BC415" s="78"/>
      <c r="BD415" s="78"/>
      <c r="BE415" s="78"/>
      <c r="BF415" s="78"/>
      <c r="BG415" s="78"/>
      <c r="BH415" s="78"/>
      <c r="BI415" s="78"/>
      <c r="BJ415" s="78"/>
      <c r="BK415" s="78"/>
      <c r="BL415" s="78"/>
      <c r="BM415" s="78"/>
      <c r="BN415" s="78"/>
      <c r="BO415" s="78"/>
      <c r="BP415" s="78"/>
      <c r="BQ415" s="78"/>
      <c r="BR415" s="78"/>
      <c r="BS415" s="78"/>
      <c r="BT415" s="78"/>
      <c r="BU415" s="78"/>
      <c r="BV415" s="78"/>
      <c r="BW415" s="78"/>
      <c r="BX415" s="78"/>
      <c r="BY415" s="78"/>
      <c r="BZ415" s="78"/>
      <c r="CA415" s="78"/>
      <c r="CB415" s="78"/>
      <c r="CC415" s="78"/>
      <c r="CD415" s="78"/>
      <c r="CE415" s="78"/>
      <c r="CF415" s="78"/>
      <c r="CG415" s="78"/>
      <c r="CH415" s="78"/>
      <c r="CI415" s="78"/>
      <c r="CJ415" s="78"/>
      <c r="CK415" s="78"/>
      <c r="CL415" s="78"/>
      <c r="CM415" s="78"/>
      <c r="CN415" s="78"/>
      <c r="CO415" s="78"/>
      <c r="CP415" s="78"/>
      <c r="CQ415" s="78"/>
      <c r="CR415" s="78"/>
      <c r="CS415" s="78"/>
      <c r="CT415" s="78"/>
      <c r="CU415" s="78"/>
      <c r="CV415" s="78"/>
      <c r="CW415" s="78"/>
      <c r="CX415" s="78"/>
      <c r="CY415" s="78"/>
      <c r="CZ415" s="78"/>
      <c r="DA415" s="78"/>
      <c r="DB415" s="78"/>
      <c r="DC415" s="78"/>
      <c r="DD415" s="78"/>
      <c r="DE415" s="78"/>
      <c r="DF415" s="78"/>
      <c r="DG415" s="78"/>
      <c r="DH415" s="78"/>
      <c r="DI415" s="78"/>
      <c r="DJ415" s="78"/>
      <c r="DK415" s="78"/>
      <c r="DL415" s="78"/>
      <c r="DM415" s="78"/>
      <c r="DN415" s="78"/>
      <c r="DO415" s="78"/>
      <c r="DP415" s="78"/>
      <c r="DQ415" s="78"/>
      <c r="DR415" s="78"/>
      <c r="DS415" s="78"/>
      <c r="DT415" s="78"/>
      <c r="DU415" s="78"/>
      <c r="DV415" s="78"/>
      <c r="DW415" s="78"/>
      <c r="DX415" s="78"/>
      <c r="DY415" s="78"/>
      <c r="DZ415" s="78"/>
      <c r="EA415" s="78"/>
      <c r="EB415" s="78"/>
      <c r="EC415" s="78"/>
      <c r="ED415" s="78"/>
      <c r="EE415" s="78"/>
      <c r="EF415" s="78"/>
      <c r="EG415" s="78"/>
      <c r="EH415" s="78"/>
      <c r="EI415" s="78"/>
      <c r="EJ415" s="78"/>
      <c r="EK415" s="78"/>
      <c r="EL415" s="78"/>
      <c r="EM415" s="78"/>
      <c r="EN415" s="91"/>
      <c r="EO415" s="91"/>
      <c r="EP415" s="91"/>
      <c r="EQ415" s="91"/>
      <c r="ER415" s="91"/>
      <c r="ES415" s="91"/>
    </row>
    <row r="416" spans="1:149" outlineLevel="1">
      <c r="A416" s="29" t="str">
        <f t="shared" si="317"/>
        <v>modesg_inp_emss_nacescp3_ftr_emss</v>
      </c>
      <c r="B416" s="67" t="s">
        <v>26</v>
      </c>
      <c r="C416" s="68" t="s">
        <v>181</v>
      </c>
      <c r="D416" s="64" t="s">
        <v>40</v>
      </c>
      <c r="E416" s="66" t="s">
        <v>218</v>
      </c>
      <c r="F416" s="64" t="s">
        <v>235</v>
      </c>
      <c r="G416" s="64" t="str">
        <f>INDEX(Auxiliar!$B$16:$B$24,MATCH(Plano_V3!H416,Auxiliar!$C$16:$C$24,0),1)</f>
        <v>1. Concluído</v>
      </c>
      <c r="H416" s="64">
        <f>VLOOKUP(A416,'Aux - pivots1'!$A:$B,2,0)</f>
        <v>1</v>
      </c>
      <c r="I416" s="180">
        <f>SUMIFS(Table1[Estimação (horas)],Table1[Tabela],Plano_V3!E416,Table1[Campo],Plano_V3!F416)</f>
        <v>0.6</v>
      </c>
      <c r="J416" s="180">
        <f t="shared" si="313"/>
        <v>7.4999999999999997E-2</v>
      </c>
      <c r="K416" s="180">
        <f>SUMIFS(Table1[Horas efetivas],Table1[Tabela],Plano_V3!E416,Table1[Campo],Plano_V3!F416)</f>
        <v>0.6</v>
      </c>
      <c r="L416" s="180">
        <f t="shared" si="314"/>
        <v>7.4999999999999997E-2</v>
      </c>
      <c r="M416" s="174"/>
      <c r="N416" s="174">
        <f t="shared" si="315"/>
        <v>1</v>
      </c>
      <c r="O416" s="174">
        <f t="shared" si="316"/>
        <v>1</v>
      </c>
      <c r="P416" s="89" t="s">
        <v>39</v>
      </c>
      <c r="Q416" s="90">
        <f t="shared" si="312"/>
        <v>7.4999999999999997E-2</v>
      </c>
      <c r="R416" s="78"/>
      <c r="S416" s="78"/>
      <c r="T416" s="78"/>
      <c r="U416" s="78"/>
      <c r="V416" s="78"/>
      <c r="W416" s="78"/>
      <c r="X416" s="78"/>
      <c r="Y416" s="78"/>
      <c r="Z416" s="78"/>
      <c r="AA416" s="78"/>
      <c r="AB416" s="78"/>
      <c r="AC416" s="78"/>
      <c r="AD416" s="78"/>
      <c r="AE416" s="78"/>
      <c r="AF416" s="78"/>
      <c r="AG416" s="78"/>
      <c r="AH416" s="78"/>
      <c r="AI416" s="78"/>
      <c r="AJ416" s="78"/>
      <c r="AK416" s="78"/>
      <c r="AL416" s="78"/>
      <c r="AM416" s="78"/>
      <c r="AN416" s="78"/>
      <c r="AO416" s="78"/>
      <c r="AP416" s="78"/>
      <c r="AQ416" s="78"/>
      <c r="AR416" s="78"/>
      <c r="AS416" s="78"/>
      <c r="AT416" s="78"/>
      <c r="AU416" s="78"/>
      <c r="AV416" s="78"/>
      <c r="AW416" s="78"/>
      <c r="AX416" s="78"/>
      <c r="AY416" s="91"/>
      <c r="AZ416" s="78"/>
      <c r="BA416" s="78"/>
      <c r="BB416" s="78"/>
      <c r="BC416" s="78"/>
      <c r="BD416" s="78"/>
      <c r="BE416" s="78"/>
      <c r="BF416" s="78"/>
      <c r="BG416" s="78"/>
      <c r="BH416" s="78"/>
      <c r="BI416" s="78"/>
      <c r="BJ416" s="78"/>
      <c r="BK416" s="78"/>
      <c r="BL416" s="78"/>
      <c r="BM416" s="78"/>
      <c r="BN416" s="78"/>
      <c r="BO416" s="78"/>
      <c r="BP416" s="78"/>
      <c r="BQ416" s="78"/>
      <c r="BR416" s="78"/>
      <c r="BS416" s="78"/>
      <c r="BT416" s="78"/>
      <c r="BU416" s="78"/>
      <c r="BV416" s="78"/>
      <c r="BW416" s="78"/>
      <c r="BX416" s="78"/>
      <c r="BY416" s="78"/>
      <c r="BZ416" s="78"/>
      <c r="CA416" s="78"/>
      <c r="CB416" s="78"/>
      <c r="CC416" s="78"/>
      <c r="CD416" s="78"/>
      <c r="CE416" s="78"/>
      <c r="CF416" s="78"/>
      <c r="CG416" s="78"/>
      <c r="CH416" s="78"/>
      <c r="CI416" s="78"/>
      <c r="CJ416" s="78"/>
      <c r="CK416" s="78"/>
      <c r="CL416" s="78"/>
      <c r="CM416" s="78"/>
      <c r="CN416" s="78"/>
      <c r="CO416" s="78"/>
      <c r="CP416" s="78"/>
      <c r="CQ416" s="78"/>
      <c r="CR416" s="78"/>
      <c r="CS416" s="78"/>
      <c r="CT416" s="78"/>
      <c r="CU416" s="78"/>
      <c r="CV416" s="78"/>
      <c r="CW416" s="78"/>
      <c r="CX416" s="78"/>
      <c r="CY416" s="78"/>
      <c r="CZ416" s="78"/>
      <c r="DA416" s="78"/>
      <c r="DB416" s="78"/>
      <c r="DC416" s="78"/>
      <c r="DD416" s="78"/>
      <c r="DE416" s="78"/>
      <c r="DF416" s="78"/>
      <c r="DG416" s="78"/>
      <c r="DH416" s="78"/>
      <c r="DI416" s="78"/>
      <c r="DJ416" s="78"/>
      <c r="DK416" s="78"/>
      <c r="DL416" s="78"/>
      <c r="DM416" s="78"/>
      <c r="DN416" s="78"/>
      <c r="DO416" s="78"/>
      <c r="DP416" s="78"/>
      <c r="DQ416" s="78"/>
      <c r="DR416" s="78"/>
      <c r="DS416" s="78"/>
      <c r="DT416" s="78"/>
      <c r="DU416" s="78"/>
      <c r="DV416" s="78"/>
      <c r="DW416" s="78"/>
      <c r="DX416" s="78"/>
      <c r="DY416" s="78"/>
      <c r="DZ416" s="78"/>
      <c r="EA416" s="78"/>
      <c r="EB416" s="78"/>
      <c r="EC416" s="78"/>
      <c r="ED416" s="78"/>
      <c r="EE416" s="78"/>
      <c r="EF416" s="78"/>
      <c r="EG416" s="78"/>
      <c r="EH416" s="78"/>
      <c r="EI416" s="78"/>
      <c r="EJ416" s="78"/>
      <c r="EK416" s="78"/>
      <c r="EL416" s="78"/>
      <c r="EM416" s="78"/>
      <c r="EN416" s="91"/>
      <c r="EO416" s="91"/>
      <c r="EP416" s="91"/>
      <c r="EQ416" s="91"/>
      <c r="ER416" s="91"/>
      <c r="ES416" s="91"/>
    </row>
    <row r="417" spans="1:149" outlineLevel="1">
      <c r="A417" s="29" t="str">
        <f t="shared" ref="A417:A423" si="318">E417&amp;F417</f>
        <v>modesg_inp_emss_nacenome_regiao</v>
      </c>
      <c r="B417" s="67" t="s">
        <v>26</v>
      </c>
      <c r="C417" s="68" t="s">
        <v>181</v>
      </c>
      <c r="D417" s="64" t="s">
        <v>40</v>
      </c>
      <c r="E417" s="66" t="s">
        <v>218</v>
      </c>
      <c r="F417" s="64" t="s">
        <v>220</v>
      </c>
      <c r="G417" s="64" t="str">
        <f>INDEX(Auxiliar!$B$16:$B$24,MATCH(Plano_V3!H417,Auxiliar!$C$16:$C$24,0),1)</f>
        <v>0. Cancelado</v>
      </c>
      <c r="H417" s="64">
        <f>VLOOKUP(A417,'Aux - pivots1'!$A:$B,2,0)</f>
        <v>0</v>
      </c>
      <c r="I417" s="180">
        <f>SUMIFS(Table1[Estimação (horas)],Table1[Tabela],Plano_V3!E417,Table1[Campo],Plano_V3!F417)</f>
        <v>0.5</v>
      </c>
      <c r="J417" s="180">
        <f t="shared" ref="J417:J423" si="319">I417/8</f>
        <v>6.25E-2</v>
      </c>
      <c r="K417" s="180">
        <f>SUMIFS(Table1[Horas efetivas],Table1[Tabela],Plano_V3!E417,Table1[Campo],Plano_V3!F417)</f>
        <v>0</v>
      </c>
      <c r="L417" s="180">
        <f t="shared" ref="L417:L423" si="320">K417/8</f>
        <v>0</v>
      </c>
      <c r="M417" s="174"/>
      <c r="N417" s="174">
        <f t="shared" ref="N417:N423" si="321">L417/J417</f>
        <v>0</v>
      </c>
      <c r="O417" s="174">
        <f t="shared" ref="O417:O423" si="322">N417-M417</f>
        <v>0</v>
      </c>
      <c r="P417" s="89" t="s">
        <v>39</v>
      </c>
      <c r="Q417" s="90">
        <f t="shared" ref="Q417:Q423" si="323">J417-SUM(R417:ES417)</f>
        <v>6.25E-2</v>
      </c>
      <c r="R417" s="78"/>
      <c r="S417" s="78"/>
      <c r="T417" s="78"/>
      <c r="U417" s="78"/>
      <c r="V417" s="78"/>
      <c r="W417" s="78"/>
      <c r="X417" s="78"/>
      <c r="Y417" s="78"/>
      <c r="Z417" s="78"/>
      <c r="AA417" s="78"/>
      <c r="AB417" s="78"/>
      <c r="AC417" s="78"/>
      <c r="AD417" s="78"/>
      <c r="AE417" s="78"/>
      <c r="AF417" s="78"/>
      <c r="AG417" s="78"/>
      <c r="AH417" s="78"/>
      <c r="AI417" s="78"/>
      <c r="AJ417" s="78"/>
      <c r="AK417" s="78"/>
      <c r="AL417" s="78"/>
      <c r="AM417" s="78"/>
      <c r="AN417" s="78"/>
      <c r="AO417" s="78"/>
      <c r="AP417" s="78"/>
      <c r="AQ417" s="78"/>
      <c r="AR417" s="78"/>
      <c r="AS417" s="78"/>
      <c r="AT417" s="78"/>
      <c r="AU417" s="78"/>
      <c r="AV417" s="78"/>
      <c r="AW417" s="78"/>
      <c r="AX417" s="78"/>
      <c r="AY417" s="91"/>
      <c r="AZ417" s="78"/>
      <c r="BA417" s="78"/>
      <c r="BB417" s="78"/>
      <c r="BC417" s="78"/>
      <c r="BD417" s="78"/>
      <c r="BE417" s="78"/>
      <c r="BF417" s="78"/>
      <c r="BG417" s="78"/>
      <c r="BH417" s="78"/>
      <c r="BI417" s="78"/>
      <c r="BJ417" s="78"/>
      <c r="BK417" s="78"/>
      <c r="BL417" s="78"/>
      <c r="BM417" s="78"/>
      <c r="BN417" s="78"/>
      <c r="BO417" s="78"/>
      <c r="BP417" s="78"/>
      <c r="BQ417" s="78"/>
      <c r="BR417" s="78"/>
      <c r="BS417" s="78"/>
      <c r="BT417" s="78"/>
      <c r="BU417" s="78"/>
      <c r="BV417" s="78"/>
      <c r="BW417" s="78"/>
      <c r="BX417" s="78"/>
      <c r="BY417" s="78"/>
      <c r="BZ417" s="78"/>
      <c r="CA417" s="78"/>
      <c r="CB417" s="78"/>
      <c r="CC417" s="78"/>
      <c r="CD417" s="78"/>
      <c r="CE417" s="78"/>
      <c r="CF417" s="78"/>
      <c r="CG417" s="78"/>
      <c r="CH417" s="78"/>
      <c r="CI417" s="78"/>
      <c r="CJ417" s="78"/>
      <c r="CK417" s="78"/>
      <c r="CL417" s="78"/>
      <c r="CM417" s="78"/>
      <c r="CN417" s="78"/>
      <c r="CO417" s="78"/>
      <c r="CP417" s="78"/>
      <c r="CQ417" s="78"/>
      <c r="CR417" s="78"/>
      <c r="CS417" s="78"/>
      <c r="CT417" s="78"/>
      <c r="CU417" s="78"/>
      <c r="CV417" s="78"/>
      <c r="CW417" s="78"/>
      <c r="CX417" s="78"/>
      <c r="CY417" s="78"/>
      <c r="CZ417" s="78"/>
      <c r="DA417" s="78"/>
      <c r="DB417" s="78"/>
      <c r="DC417" s="78"/>
      <c r="DD417" s="78"/>
      <c r="DE417" s="78"/>
      <c r="DF417" s="78"/>
      <c r="DG417" s="78"/>
      <c r="DH417" s="78"/>
      <c r="DI417" s="78"/>
      <c r="DJ417" s="78"/>
      <c r="DK417" s="78"/>
      <c r="DL417" s="78"/>
      <c r="DM417" s="78"/>
      <c r="DN417" s="78"/>
      <c r="DO417" s="78"/>
      <c r="DP417" s="78"/>
      <c r="DQ417" s="78"/>
      <c r="DR417" s="78"/>
      <c r="DS417" s="78"/>
      <c r="DT417" s="78"/>
      <c r="DU417" s="78"/>
      <c r="DV417" s="78"/>
      <c r="DW417" s="78"/>
      <c r="DX417" s="78"/>
      <c r="DY417" s="78"/>
      <c r="DZ417" s="78"/>
      <c r="EA417" s="78"/>
      <c r="EB417" s="78"/>
      <c r="EC417" s="78"/>
      <c r="ED417" s="78"/>
      <c r="EE417" s="78"/>
      <c r="EF417" s="78"/>
      <c r="EG417" s="78"/>
      <c r="EH417" s="78"/>
      <c r="EI417" s="78"/>
      <c r="EJ417" s="78"/>
      <c r="EK417" s="78"/>
      <c r="EL417" s="78"/>
      <c r="EM417" s="78"/>
      <c r="EN417" s="91"/>
      <c r="EO417" s="91"/>
      <c r="EP417" s="91"/>
      <c r="EQ417" s="91"/>
      <c r="ER417" s="91"/>
      <c r="ES417" s="91"/>
    </row>
    <row r="418" spans="1:149" outlineLevel="1">
      <c r="A418" s="29" t="str">
        <f t="shared" si="318"/>
        <v>modesg_inp_emss_nacearea_atividade</v>
      </c>
      <c r="B418" s="67" t="s">
        <v>26</v>
      </c>
      <c r="C418" s="68" t="s">
        <v>181</v>
      </c>
      <c r="D418" s="64" t="s">
        <v>40</v>
      </c>
      <c r="E418" s="66" t="s">
        <v>218</v>
      </c>
      <c r="F418" s="64" t="s">
        <v>643</v>
      </c>
      <c r="G418" s="64" t="str">
        <f>INDEX(Auxiliar!$B$16:$B$24,MATCH(Plano_V3!H418,Auxiliar!$C$16:$C$24,0),1)</f>
        <v>0. Cancelado</v>
      </c>
      <c r="H418" s="64">
        <f>VLOOKUP(A418,'Aux - pivots1'!$A:$B,2,0)</f>
        <v>0</v>
      </c>
      <c r="I418" s="180">
        <f>SUMIFS(Table1[Estimação (horas)],Table1[Tabela],Plano_V3!E418,Table1[Campo],Plano_V3!F418)</f>
        <v>0.5</v>
      </c>
      <c r="J418" s="180">
        <f t="shared" si="319"/>
        <v>6.25E-2</v>
      </c>
      <c r="K418" s="180">
        <f>SUMIFS(Table1[Horas efetivas],Table1[Tabela],Plano_V3!E418,Table1[Campo],Plano_V3!F418)</f>
        <v>0</v>
      </c>
      <c r="L418" s="180">
        <f t="shared" si="320"/>
        <v>0</v>
      </c>
      <c r="M418" s="174"/>
      <c r="N418" s="174">
        <f t="shared" si="321"/>
        <v>0</v>
      </c>
      <c r="O418" s="174">
        <f t="shared" si="322"/>
        <v>0</v>
      </c>
      <c r="P418" s="89" t="s">
        <v>39</v>
      </c>
      <c r="Q418" s="90">
        <f t="shared" si="323"/>
        <v>6.25E-2</v>
      </c>
      <c r="R418" s="78"/>
      <c r="S418" s="78"/>
      <c r="T418" s="78"/>
      <c r="U418" s="78"/>
      <c r="V418" s="78"/>
      <c r="W418" s="78"/>
      <c r="X418" s="78"/>
      <c r="Y418" s="78"/>
      <c r="Z418" s="78"/>
      <c r="AA418" s="78"/>
      <c r="AB418" s="78"/>
      <c r="AC418" s="78"/>
      <c r="AD418" s="78"/>
      <c r="AE418" s="78"/>
      <c r="AF418" s="78"/>
      <c r="AG418" s="78"/>
      <c r="AH418" s="78"/>
      <c r="AI418" s="78"/>
      <c r="AJ418" s="78"/>
      <c r="AK418" s="78"/>
      <c r="AL418" s="78"/>
      <c r="AM418" s="78"/>
      <c r="AN418" s="78"/>
      <c r="AO418" s="78"/>
      <c r="AP418" s="78"/>
      <c r="AQ418" s="78"/>
      <c r="AR418" s="78"/>
      <c r="AS418" s="78"/>
      <c r="AT418" s="78"/>
      <c r="AU418" s="78"/>
      <c r="AV418" s="78"/>
      <c r="AW418" s="78"/>
      <c r="AX418" s="78"/>
      <c r="AY418" s="91"/>
      <c r="AZ418" s="78"/>
      <c r="BA418" s="78"/>
      <c r="BB418" s="78"/>
      <c r="BC418" s="78"/>
      <c r="BD418" s="78"/>
      <c r="BE418" s="78"/>
      <c r="BF418" s="78"/>
      <c r="BG418" s="78"/>
      <c r="BH418" s="78"/>
      <c r="BI418" s="78"/>
      <c r="BJ418" s="78"/>
      <c r="BK418" s="78"/>
      <c r="BL418" s="78"/>
      <c r="BM418" s="78"/>
      <c r="BN418" s="78"/>
      <c r="BO418" s="78"/>
      <c r="BP418" s="78"/>
      <c r="BQ418" s="78"/>
      <c r="BR418" s="78"/>
      <c r="BS418" s="78"/>
      <c r="BT418" s="78"/>
      <c r="BU418" s="78"/>
      <c r="BV418" s="78"/>
      <c r="BW418" s="78"/>
      <c r="BX418" s="78"/>
      <c r="BY418" s="78"/>
      <c r="BZ418" s="78"/>
      <c r="CA418" s="78"/>
      <c r="CB418" s="78"/>
      <c r="CC418" s="78"/>
      <c r="CD418" s="78"/>
      <c r="CE418" s="78"/>
      <c r="CF418" s="78"/>
      <c r="CG418" s="78"/>
      <c r="CH418" s="78"/>
      <c r="CI418" s="78"/>
      <c r="CJ418" s="78"/>
      <c r="CK418" s="78"/>
      <c r="CL418" s="78"/>
      <c r="CM418" s="78"/>
      <c r="CN418" s="78"/>
      <c r="CO418" s="78"/>
      <c r="CP418" s="78"/>
      <c r="CQ418" s="78"/>
      <c r="CR418" s="78"/>
      <c r="CS418" s="78"/>
      <c r="CT418" s="78"/>
      <c r="CU418" s="78"/>
      <c r="CV418" s="78"/>
      <c r="CW418" s="78"/>
      <c r="CX418" s="78"/>
      <c r="CY418" s="78"/>
      <c r="CZ418" s="78"/>
      <c r="DA418" s="78"/>
      <c r="DB418" s="78"/>
      <c r="DC418" s="78"/>
      <c r="DD418" s="78"/>
      <c r="DE418" s="78"/>
      <c r="DF418" s="78"/>
      <c r="DG418" s="78"/>
      <c r="DH418" s="78"/>
      <c r="DI418" s="78"/>
      <c r="DJ418" s="78"/>
      <c r="DK418" s="78"/>
      <c r="DL418" s="78"/>
      <c r="DM418" s="78"/>
      <c r="DN418" s="78"/>
      <c r="DO418" s="78"/>
      <c r="DP418" s="78"/>
      <c r="DQ418" s="78"/>
      <c r="DR418" s="78"/>
      <c r="DS418" s="78"/>
      <c r="DT418" s="78"/>
      <c r="DU418" s="78"/>
      <c r="DV418" s="78"/>
      <c r="DW418" s="78"/>
      <c r="DX418" s="78"/>
      <c r="DY418" s="78"/>
      <c r="DZ418" s="78"/>
      <c r="EA418" s="78"/>
      <c r="EB418" s="78"/>
      <c r="EC418" s="78"/>
      <c r="ED418" s="78"/>
      <c r="EE418" s="78"/>
      <c r="EF418" s="78"/>
      <c r="EG418" s="78"/>
      <c r="EH418" s="78"/>
      <c r="EI418" s="78"/>
      <c r="EJ418" s="78"/>
      <c r="EK418" s="78"/>
      <c r="EL418" s="78"/>
      <c r="EM418" s="78"/>
      <c r="EN418" s="91"/>
      <c r="EO418" s="91"/>
      <c r="EP418" s="91"/>
      <c r="EQ418" s="91"/>
      <c r="ER418" s="91"/>
      <c r="ES418" s="91"/>
    </row>
    <row r="419" spans="1:149" outlineLevel="1">
      <c r="A419" s="29" t="str">
        <f t="shared" si="318"/>
        <v>modesg_inp_emss_nacetipo_atividade</v>
      </c>
      <c r="B419" s="67" t="s">
        <v>26</v>
      </c>
      <c r="C419" s="68" t="s">
        <v>181</v>
      </c>
      <c r="D419" s="64" t="s">
        <v>40</v>
      </c>
      <c r="E419" s="66" t="s">
        <v>218</v>
      </c>
      <c r="F419" s="64" t="s">
        <v>644</v>
      </c>
      <c r="G419" s="64" t="str">
        <f>INDEX(Auxiliar!$B$16:$B$24,MATCH(Plano_V3!H419,Auxiliar!$C$16:$C$24,0),1)</f>
        <v>0. Cancelado</v>
      </c>
      <c r="H419" s="64">
        <f>VLOOKUP(A419,'Aux - pivots1'!$A:$B,2,0)</f>
        <v>0</v>
      </c>
      <c r="I419" s="180">
        <f>SUMIFS(Table1[Estimação (horas)],Table1[Tabela],Plano_V3!E419,Table1[Campo],Plano_V3!F419)</f>
        <v>0.5</v>
      </c>
      <c r="J419" s="180">
        <f t="shared" si="319"/>
        <v>6.25E-2</v>
      </c>
      <c r="K419" s="180">
        <f>SUMIFS(Table1[Horas efetivas],Table1[Tabela],Plano_V3!E419,Table1[Campo],Plano_V3!F419)</f>
        <v>0</v>
      </c>
      <c r="L419" s="180">
        <f t="shared" si="320"/>
        <v>0</v>
      </c>
      <c r="M419" s="174"/>
      <c r="N419" s="174">
        <f t="shared" si="321"/>
        <v>0</v>
      </c>
      <c r="O419" s="174">
        <f t="shared" si="322"/>
        <v>0</v>
      </c>
      <c r="P419" s="89" t="s">
        <v>39</v>
      </c>
      <c r="Q419" s="90">
        <f t="shared" si="323"/>
        <v>6.25E-2</v>
      </c>
      <c r="R419" s="78"/>
      <c r="S419" s="78"/>
      <c r="T419" s="78"/>
      <c r="U419" s="78"/>
      <c r="V419" s="78"/>
      <c r="W419" s="78"/>
      <c r="X419" s="78"/>
      <c r="Y419" s="78"/>
      <c r="Z419" s="78"/>
      <c r="AA419" s="78"/>
      <c r="AB419" s="78"/>
      <c r="AC419" s="78"/>
      <c r="AD419" s="78"/>
      <c r="AE419" s="78"/>
      <c r="AF419" s="78"/>
      <c r="AG419" s="78"/>
      <c r="AH419" s="78"/>
      <c r="AI419" s="78"/>
      <c r="AJ419" s="78"/>
      <c r="AK419" s="78"/>
      <c r="AL419" s="78"/>
      <c r="AM419" s="78"/>
      <c r="AN419" s="78"/>
      <c r="AO419" s="78"/>
      <c r="AP419" s="78"/>
      <c r="AQ419" s="78"/>
      <c r="AR419" s="78"/>
      <c r="AS419" s="78"/>
      <c r="AT419" s="78"/>
      <c r="AU419" s="78"/>
      <c r="AV419" s="78"/>
      <c r="AW419" s="78"/>
      <c r="AX419" s="78"/>
      <c r="AY419" s="91"/>
      <c r="AZ419" s="78"/>
      <c r="BA419" s="78"/>
      <c r="BB419" s="78"/>
      <c r="BC419" s="78"/>
      <c r="BD419" s="78"/>
      <c r="BE419" s="78"/>
      <c r="BF419" s="78"/>
      <c r="BG419" s="78"/>
      <c r="BH419" s="78"/>
      <c r="BI419" s="78"/>
      <c r="BJ419" s="78"/>
      <c r="BK419" s="78"/>
      <c r="BL419" s="78"/>
      <c r="BM419" s="78"/>
      <c r="BN419" s="78"/>
      <c r="BO419" s="78"/>
      <c r="BP419" s="78"/>
      <c r="BQ419" s="78"/>
      <c r="BR419" s="78"/>
      <c r="BS419" s="78"/>
      <c r="BT419" s="78"/>
      <c r="BU419" s="78"/>
      <c r="BV419" s="78"/>
      <c r="BW419" s="78"/>
      <c r="BX419" s="78"/>
      <c r="BY419" s="78"/>
      <c r="BZ419" s="78"/>
      <c r="CA419" s="78"/>
      <c r="CB419" s="78"/>
      <c r="CC419" s="78"/>
      <c r="CD419" s="78"/>
      <c r="CE419" s="78"/>
      <c r="CF419" s="78"/>
      <c r="CG419" s="78"/>
      <c r="CH419" s="78"/>
      <c r="CI419" s="78"/>
      <c r="CJ419" s="78"/>
      <c r="CK419" s="78"/>
      <c r="CL419" s="78"/>
      <c r="CM419" s="78"/>
      <c r="CN419" s="78"/>
      <c r="CO419" s="78"/>
      <c r="CP419" s="78"/>
      <c r="CQ419" s="78"/>
      <c r="CR419" s="78"/>
      <c r="CS419" s="78"/>
      <c r="CT419" s="78"/>
      <c r="CU419" s="78"/>
      <c r="CV419" s="78"/>
      <c r="CW419" s="78"/>
      <c r="CX419" s="78"/>
      <c r="CY419" s="78"/>
      <c r="CZ419" s="78"/>
      <c r="DA419" s="78"/>
      <c r="DB419" s="78"/>
      <c r="DC419" s="78"/>
      <c r="DD419" s="78"/>
      <c r="DE419" s="78"/>
      <c r="DF419" s="78"/>
      <c r="DG419" s="78"/>
      <c r="DH419" s="78"/>
      <c r="DI419" s="78"/>
      <c r="DJ419" s="78"/>
      <c r="DK419" s="78"/>
      <c r="DL419" s="78"/>
      <c r="DM419" s="78"/>
      <c r="DN419" s="78"/>
      <c r="DO419" s="78"/>
      <c r="DP419" s="78"/>
      <c r="DQ419" s="78"/>
      <c r="DR419" s="78"/>
      <c r="DS419" s="78"/>
      <c r="DT419" s="78"/>
      <c r="DU419" s="78"/>
      <c r="DV419" s="78"/>
      <c r="DW419" s="78"/>
      <c r="DX419" s="78"/>
      <c r="DY419" s="78"/>
      <c r="DZ419" s="78"/>
      <c r="EA419" s="78"/>
      <c r="EB419" s="78"/>
      <c r="EC419" s="78"/>
      <c r="ED419" s="78"/>
      <c r="EE419" s="78"/>
      <c r="EF419" s="78"/>
      <c r="EG419" s="78"/>
      <c r="EH419" s="78"/>
      <c r="EI419" s="78"/>
      <c r="EJ419" s="78"/>
      <c r="EK419" s="78"/>
      <c r="EL419" s="78"/>
      <c r="EM419" s="78"/>
      <c r="EN419" s="91"/>
      <c r="EO419" s="91"/>
      <c r="EP419" s="91"/>
      <c r="EQ419" s="91"/>
      <c r="ER419" s="91"/>
      <c r="ES419" s="91"/>
    </row>
    <row r="420" spans="1:149" outlineLevel="1">
      <c r="A420" s="29" t="str">
        <f t="shared" si="318"/>
        <v>modesg_inp_emss_nacesub_tipo_atividade_1</v>
      </c>
      <c r="B420" s="67" t="s">
        <v>26</v>
      </c>
      <c r="C420" s="68" t="s">
        <v>181</v>
      </c>
      <c r="D420" s="64" t="s">
        <v>40</v>
      </c>
      <c r="E420" s="66" t="s">
        <v>218</v>
      </c>
      <c r="F420" s="64" t="s">
        <v>645</v>
      </c>
      <c r="G420" s="64" t="str">
        <f>INDEX(Auxiliar!$B$16:$B$24,MATCH(Plano_V3!H420,Auxiliar!$C$16:$C$24,0),1)</f>
        <v>0. Cancelado</v>
      </c>
      <c r="H420" s="64">
        <f>VLOOKUP(A420,'Aux - pivots1'!$A:$B,2,0)</f>
        <v>0</v>
      </c>
      <c r="I420" s="180">
        <f>SUMIFS(Table1[Estimação (horas)],Table1[Tabela],Plano_V3!E420,Table1[Campo],Plano_V3!F420)</f>
        <v>0.5</v>
      </c>
      <c r="J420" s="180">
        <f t="shared" si="319"/>
        <v>6.25E-2</v>
      </c>
      <c r="K420" s="180">
        <f>SUMIFS(Table1[Horas efetivas],Table1[Tabela],Plano_V3!E420,Table1[Campo],Plano_V3!F420)</f>
        <v>0</v>
      </c>
      <c r="L420" s="180">
        <f t="shared" si="320"/>
        <v>0</v>
      </c>
      <c r="M420" s="174"/>
      <c r="N420" s="174">
        <f t="shared" si="321"/>
        <v>0</v>
      </c>
      <c r="O420" s="174">
        <f t="shared" si="322"/>
        <v>0</v>
      </c>
      <c r="P420" s="89" t="s">
        <v>39</v>
      </c>
      <c r="Q420" s="90">
        <f t="shared" si="323"/>
        <v>6.25E-2</v>
      </c>
      <c r="R420" s="78"/>
      <c r="S420" s="78"/>
      <c r="T420" s="78"/>
      <c r="U420" s="78"/>
      <c r="V420" s="78"/>
      <c r="W420" s="78"/>
      <c r="X420" s="78"/>
      <c r="Y420" s="78"/>
      <c r="Z420" s="78"/>
      <c r="AA420" s="78"/>
      <c r="AB420" s="78"/>
      <c r="AC420" s="78"/>
      <c r="AD420" s="78"/>
      <c r="AE420" s="78"/>
      <c r="AF420" s="78"/>
      <c r="AG420" s="78"/>
      <c r="AH420" s="78"/>
      <c r="AI420" s="78"/>
      <c r="AJ420" s="78"/>
      <c r="AK420" s="78"/>
      <c r="AL420" s="78"/>
      <c r="AM420" s="78"/>
      <c r="AN420" s="78"/>
      <c r="AO420" s="78"/>
      <c r="AP420" s="78"/>
      <c r="AQ420" s="78"/>
      <c r="AR420" s="78"/>
      <c r="AS420" s="78"/>
      <c r="AT420" s="78"/>
      <c r="AU420" s="78"/>
      <c r="AV420" s="78"/>
      <c r="AW420" s="78"/>
      <c r="AX420" s="78"/>
      <c r="AY420" s="91"/>
      <c r="AZ420" s="78"/>
      <c r="BA420" s="78"/>
      <c r="BB420" s="78"/>
      <c r="BC420" s="78"/>
      <c r="BD420" s="78"/>
      <c r="BE420" s="78"/>
      <c r="BF420" s="78"/>
      <c r="BG420" s="78"/>
      <c r="BH420" s="78"/>
      <c r="BI420" s="78"/>
      <c r="BJ420" s="78"/>
      <c r="BK420" s="78"/>
      <c r="BL420" s="78"/>
      <c r="BM420" s="78"/>
      <c r="BN420" s="78"/>
      <c r="BO420" s="78"/>
      <c r="BP420" s="78"/>
      <c r="BQ420" s="78"/>
      <c r="BR420" s="78"/>
      <c r="BS420" s="78"/>
      <c r="BT420" s="78"/>
      <c r="BU420" s="78"/>
      <c r="BV420" s="78"/>
      <c r="BW420" s="78"/>
      <c r="BX420" s="78"/>
      <c r="BY420" s="78"/>
      <c r="BZ420" s="78"/>
      <c r="CA420" s="78"/>
      <c r="CB420" s="78"/>
      <c r="CC420" s="78"/>
      <c r="CD420" s="78"/>
      <c r="CE420" s="78"/>
      <c r="CF420" s="78"/>
      <c r="CG420" s="78"/>
      <c r="CH420" s="78"/>
      <c r="CI420" s="78"/>
      <c r="CJ420" s="78"/>
      <c r="CK420" s="78"/>
      <c r="CL420" s="78"/>
      <c r="CM420" s="78"/>
      <c r="CN420" s="78"/>
      <c r="CO420" s="78"/>
      <c r="CP420" s="78"/>
      <c r="CQ420" s="78"/>
      <c r="CR420" s="78"/>
      <c r="CS420" s="78"/>
      <c r="CT420" s="78"/>
      <c r="CU420" s="78"/>
      <c r="CV420" s="78"/>
      <c r="CW420" s="78"/>
      <c r="CX420" s="78"/>
      <c r="CY420" s="78"/>
      <c r="CZ420" s="78"/>
      <c r="DA420" s="78"/>
      <c r="DB420" s="78"/>
      <c r="DC420" s="78"/>
      <c r="DD420" s="78"/>
      <c r="DE420" s="78"/>
      <c r="DF420" s="78"/>
      <c r="DG420" s="78"/>
      <c r="DH420" s="78"/>
      <c r="DI420" s="78"/>
      <c r="DJ420" s="78"/>
      <c r="DK420" s="78"/>
      <c r="DL420" s="78"/>
      <c r="DM420" s="78"/>
      <c r="DN420" s="78"/>
      <c r="DO420" s="78"/>
      <c r="DP420" s="78"/>
      <c r="DQ420" s="78"/>
      <c r="DR420" s="78"/>
      <c r="DS420" s="78"/>
      <c r="DT420" s="78"/>
      <c r="DU420" s="78"/>
      <c r="DV420" s="78"/>
      <c r="DW420" s="78"/>
      <c r="DX420" s="78"/>
      <c r="DY420" s="78"/>
      <c r="DZ420" s="78"/>
      <c r="EA420" s="78"/>
      <c r="EB420" s="78"/>
      <c r="EC420" s="78"/>
      <c r="ED420" s="78"/>
      <c r="EE420" s="78"/>
      <c r="EF420" s="78"/>
      <c r="EG420" s="78"/>
      <c r="EH420" s="78"/>
      <c r="EI420" s="78"/>
      <c r="EJ420" s="78"/>
      <c r="EK420" s="78"/>
      <c r="EL420" s="78"/>
      <c r="EM420" s="78"/>
      <c r="EN420" s="91"/>
      <c r="EO420" s="91"/>
      <c r="EP420" s="91"/>
      <c r="EQ420" s="91"/>
      <c r="ER420" s="91"/>
      <c r="ES420" s="91"/>
    </row>
    <row r="421" spans="1:149" outlineLevel="1">
      <c r="A421" s="29" t="str">
        <f t="shared" si="318"/>
        <v>modesg_inp_emss_nacesub_tipo_atividade_2</v>
      </c>
      <c r="B421" s="67" t="s">
        <v>26</v>
      </c>
      <c r="C421" s="68" t="s">
        <v>181</v>
      </c>
      <c r="D421" s="64" t="s">
        <v>40</v>
      </c>
      <c r="E421" s="66" t="s">
        <v>218</v>
      </c>
      <c r="F421" s="64" t="s">
        <v>646</v>
      </c>
      <c r="G421" s="64" t="str">
        <f>INDEX(Auxiliar!$B$16:$B$24,MATCH(Plano_V3!H421,Auxiliar!$C$16:$C$24,0),1)</f>
        <v>0. Cancelado</v>
      </c>
      <c r="H421" s="64">
        <f>VLOOKUP(A421,'Aux - pivots1'!$A:$B,2,0)</f>
        <v>0</v>
      </c>
      <c r="I421" s="180">
        <f>SUMIFS(Table1[Estimação (horas)],Table1[Tabela],Plano_V3!E421,Table1[Campo],Plano_V3!F421)</f>
        <v>0.5</v>
      </c>
      <c r="J421" s="180">
        <f t="shared" si="319"/>
        <v>6.25E-2</v>
      </c>
      <c r="K421" s="180">
        <f>SUMIFS(Table1[Horas efetivas],Table1[Tabela],Plano_V3!E421,Table1[Campo],Plano_V3!F421)</f>
        <v>0</v>
      </c>
      <c r="L421" s="180">
        <f t="shared" si="320"/>
        <v>0</v>
      </c>
      <c r="M421" s="174"/>
      <c r="N421" s="174">
        <f t="shared" si="321"/>
        <v>0</v>
      </c>
      <c r="O421" s="174">
        <f t="shared" si="322"/>
        <v>0</v>
      </c>
      <c r="P421" s="89" t="s">
        <v>39</v>
      </c>
      <c r="Q421" s="90">
        <f t="shared" si="323"/>
        <v>6.25E-2</v>
      </c>
      <c r="R421" s="78"/>
      <c r="S421" s="78"/>
      <c r="T421" s="78"/>
      <c r="U421" s="78"/>
      <c r="V421" s="78"/>
      <c r="W421" s="78"/>
      <c r="X421" s="78"/>
      <c r="Y421" s="78"/>
      <c r="Z421" s="78"/>
      <c r="AA421" s="78"/>
      <c r="AB421" s="78"/>
      <c r="AC421" s="78"/>
      <c r="AD421" s="78"/>
      <c r="AE421" s="78"/>
      <c r="AF421" s="78"/>
      <c r="AG421" s="78"/>
      <c r="AH421" s="78"/>
      <c r="AI421" s="78"/>
      <c r="AJ421" s="78"/>
      <c r="AK421" s="78"/>
      <c r="AL421" s="78"/>
      <c r="AM421" s="78"/>
      <c r="AN421" s="78"/>
      <c r="AO421" s="78"/>
      <c r="AP421" s="78"/>
      <c r="AQ421" s="78"/>
      <c r="AR421" s="78"/>
      <c r="AS421" s="78"/>
      <c r="AT421" s="78"/>
      <c r="AU421" s="78"/>
      <c r="AV421" s="78"/>
      <c r="AW421" s="78"/>
      <c r="AX421" s="78"/>
      <c r="AY421" s="91"/>
      <c r="AZ421" s="78"/>
      <c r="BA421" s="78"/>
      <c r="BB421" s="78"/>
      <c r="BC421" s="78"/>
      <c r="BD421" s="78"/>
      <c r="BE421" s="78"/>
      <c r="BF421" s="78"/>
      <c r="BG421" s="78"/>
      <c r="BH421" s="78"/>
      <c r="BI421" s="78"/>
      <c r="BJ421" s="78"/>
      <c r="BK421" s="78"/>
      <c r="BL421" s="78"/>
      <c r="BM421" s="78"/>
      <c r="BN421" s="78"/>
      <c r="BO421" s="78"/>
      <c r="BP421" s="78"/>
      <c r="BQ421" s="78"/>
      <c r="BR421" s="78"/>
      <c r="BS421" s="78"/>
      <c r="BT421" s="78"/>
      <c r="BU421" s="78"/>
      <c r="BV421" s="78"/>
      <c r="BW421" s="78"/>
      <c r="BX421" s="78"/>
      <c r="BY421" s="78"/>
      <c r="BZ421" s="78"/>
      <c r="CA421" s="78"/>
      <c r="CB421" s="78"/>
      <c r="CC421" s="78"/>
      <c r="CD421" s="78"/>
      <c r="CE421" s="78"/>
      <c r="CF421" s="78"/>
      <c r="CG421" s="78"/>
      <c r="CH421" s="78"/>
      <c r="CI421" s="78"/>
      <c r="CJ421" s="78"/>
      <c r="CK421" s="78"/>
      <c r="CL421" s="78"/>
      <c r="CM421" s="78"/>
      <c r="CN421" s="78"/>
      <c r="CO421" s="78"/>
      <c r="CP421" s="78"/>
      <c r="CQ421" s="78"/>
      <c r="CR421" s="78"/>
      <c r="CS421" s="78"/>
      <c r="CT421" s="78"/>
      <c r="CU421" s="78"/>
      <c r="CV421" s="78"/>
      <c r="CW421" s="78"/>
      <c r="CX421" s="78"/>
      <c r="CY421" s="78"/>
      <c r="CZ421" s="78"/>
      <c r="DA421" s="78"/>
      <c r="DB421" s="78"/>
      <c r="DC421" s="78"/>
      <c r="DD421" s="78"/>
      <c r="DE421" s="78"/>
      <c r="DF421" s="78"/>
      <c r="DG421" s="78"/>
      <c r="DH421" s="78"/>
      <c r="DI421" s="78"/>
      <c r="DJ421" s="78"/>
      <c r="DK421" s="78"/>
      <c r="DL421" s="78"/>
      <c r="DM421" s="78"/>
      <c r="DN421" s="78"/>
      <c r="DO421" s="78"/>
      <c r="DP421" s="78"/>
      <c r="DQ421" s="78"/>
      <c r="DR421" s="78"/>
      <c r="DS421" s="78"/>
      <c r="DT421" s="78"/>
      <c r="DU421" s="78"/>
      <c r="DV421" s="78"/>
      <c r="DW421" s="78"/>
      <c r="DX421" s="78"/>
      <c r="DY421" s="78"/>
      <c r="DZ421" s="78"/>
      <c r="EA421" s="78"/>
      <c r="EB421" s="78"/>
      <c r="EC421" s="78"/>
      <c r="ED421" s="78"/>
      <c r="EE421" s="78"/>
      <c r="EF421" s="78"/>
      <c r="EG421" s="78"/>
      <c r="EH421" s="78"/>
      <c r="EI421" s="78"/>
      <c r="EJ421" s="78"/>
      <c r="EK421" s="78"/>
      <c r="EL421" s="78"/>
      <c r="EM421" s="78"/>
      <c r="EN421" s="91"/>
      <c r="EO421" s="91"/>
      <c r="EP421" s="91"/>
      <c r="EQ421" s="91"/>
      <c r="ER421" s="91"/>
      <c r="ES421" s="91"/>
    </row>
    <row r="422" spans="1:149" outlineLevel="1">
      <c r="A422" s="29" t="str">
        <f t="shared" si="318"/>
        <v>modesg_inp_emss_naceunidades_unidade_funcional</v>
      </c>
      <c r="B422" s="67" t="s">
        <v>26</v>
      </c>
      <c r="C422" s="68" t="s">
        <v>181</v>
      </c>
      <c r="D422" s="64" t="s">
        <v>40</v>
      </c>
      <c r="E422" s="66" t="s">
        <v>218</v>
      </c>
      <c r="F422" s="64" t="s">
        <v>647</v>
      </c>
      <c r="G422" s="64" t="str">
        <f>INDEX(Auxiliar!$B$16:$B$24,MATCH(Plano_V3!H422,Auxiliar!$C$16:$C$24,0),1)</f>
        <v>0. Cancelado</v>
      </c>
      <c r="H422" s="64">
        <f>VLOOKUP(A422,'Aux - pivots1'!$A:$B,2,0)</f>
        <v>0</v>
      </c>
      <c r="I422" s="180">
        <f>SUMIFS(Table1[Estimação (horas)],Table1[Tabela],Plano_V3!E422,Table1[Campo],Plano_V3!F422)</f>
        <v>0.5</v>
      </c>
      <c r="J422" s="180">
        <f t="shared" si="319"/>
        <v>6.25E-2</v>
      </c>
      <c r="K422" s="180">
        <f>SUMIFS(Table1[Horas efetivas],Table1[Tabela],Plano_V3!E422,Table1[Campo],Plano_V3!F422)</f>
        <v>0</v>
      </c>
      <c r="L422" s="180">
        <f t="shared" si="320"/>
        <v>0</v>
      </c>
      <c r="M422" s="174"/>
      <c r="N422" s="174">
        <f t="shared" si="321"/>
        <v>0</v>
      </c>
      <c r="O422" s="174">
        <f t="shared" si="322"/>
        <v>0</v>
      </c>
      <c r="P422" s="89" t="s">
        <v>39</v>
      </c>
      <c r="Q422" s="90">
        <f t="shared" si="323"/>
        <v>6.25E-2</v>
      </c>
      <c r="R422" s="78"/>
      <c r="S422" s="78"/>
      <c r="T422" s="78"/>
      <c r="U422" s="78"/>
      <c r="V422" s="78"/>
      <c r="W422" s="78"/>
      <c r="X422" s="78"/>
      <c r="Y422" s="78"/>
      <c r="Z422" s="78"/>
      <c r="AA422" s="78"/>
      <c r="AB422" s="78"/>
      <c r="AC422" s="78"/>
      <c r="AD422" s="78"/>
      <c r="AE422" s="78"/>
      <c r="AF422" s="78"/>
      <c r="AG422" s="78"/>
      <c r="AH422" s="78"/>
      <c r="AI422" s="78"/>
      <c r="AJ422" s="78"/>
      <c r="AK422" s="78"/>
      <c r="AL422" s="78"/>
      <c r="AM422" s="78"/>
      <c r="AN422" s="78"/>
      <c r="AO422" s="78"/>
      <c r="AP422" s="78"/>
      <c r="AQ422" s="78"/>
      <c r="AR422" s="78"/>
      <c r="AS422" s="78"/>
      <c r="AT422" s="78"/>
      <c r="AU422" s="78"/>
      <c r="AV422" s="78"/>
      <c r="AW422" s="78"/>
      <c r="AX422" s="78"/>
      <c r="AY422" s="91"/>
      <c r="AZ422" s="78"/>
      <c r="BA422" s="78"/>
      <c r="BB422" s="78"/>
      <c r="BC422" s="78"/>
      <c r="BD422" s="78"/>
      <c r="BE422" s="78"/>
      <c r="BF422" s="78"/>
      <c r="BG422" s="78"/>
      <c r="BH422" s="78"/>
      <c r="BI422" s="78"/>
      <c r="BJ422" s="78"/>
      <c r="BK422" s="78"/>
      <c r="BL422" s="78"/>
      <c r="BM422" s="78"/>
      <c r="BN422" s="78"/>
      <c r="BO422" s="78"/>
      <c r="BP422" s="78"/>
      <c r="BQ422" s="78"/>
      <c r="BR422" s="78"/>
      <c r="BS422" s="78"/>
      <c r="BT422" s="78"/>
      <c r="BU422" s="78"/>
      <c r="BV422" s="78"/>
      <c r="BW422" s="78"/>
      <c r="BX422" s="78"/>
      <c r="BY422" s="78"/>
      <c r="BZ422" s="78"/>
      <c r="CA422" s="78"/>
      <c r="CB422" s="78"/>
      <c r="CC422" s="78"/>
      <c r="CD422" s="78"/>
      <c r="CE422" s="78"/>
      <c r="CF422" s="78"/>
      <c r="CG422" s="78"/>
      <c r="CH422" s="78"/>
      <c r="CI422" s="78"/>
      <c r="CJ422" s="78"/>
      <c r="CK422" s="78"/>
      <c r="CL422" s="78"/>
      <c r="CM422" s="78"/>
      <c r="CN422" s="78"/>
      <c r="CO422" s="78"/>
      <c r="CP422" s="78"/>
      <c r="CQ422" s="78"/>
      <c r="CR422" s="78"/>
      <c r="CS422" s="78"/>
      <c r="CT422" s="78"/>
      <c r="CU422" s="78"/>
      <c r="CV422" s="78"/>
      <c r="CW422" s="78"/>
      <c r="CX422" s="78"/>
      <c r="CY422" s="78"/>
      <c r="CZ422" s="78"/>
      <c r="DA422" s="78"/>
      <c r="DB422" s="78"/>
      <c r="DC422" s="78"/>
      <c r="DD422" s="78"/>
      <c r="DE422" s="78"/>
      <c r="DF422" s="78"/>
      <c r="DG422" s="78"/>
      <c r="DH422" s="78"/>
      <c r="DI422" s="78"/>
      <c r="DJ422" s="78"/>
      <c r="DK422" s="78"/>
      <c r="DL422" s="78"/>
      <c r="DM422" s="78"/>
      <c r="DN422" s="78"/>
      <c r="DO422" s="78"/>
      <c r="DP422" s="78"/>
      <c r="DQ422" s="78"/>
      <c r="DR422" s="78"/>
      <c r="DS422" s="78"/>
      <c r="DT422" s="78"/>
      <c r="DU422" s="78"/>
      <c r="DV422" s="78"/>
      <c r="DW422" s="78"/>
      <c r="DX422" s="78"/>
      <c r="DY422" s="78"/>
      <c r="DZ422" s="78"/>
      <c r="EA422" s="78"/>
      <c r="EB422" s="78"/>
      <c r="EC422" s="78"/>
      <c r="ED422" s="78"/>
      <c r="EE422" s="78"/>
      <c r="EF422" s="78"/>
      <c r="EG422" s="78"/>
      <c r="EH422" s="78"/>
      <c r="EI422" s="78"/>
      <c r="EJ422" s="78"/>
      <c r="EK422" s="78"/>
      <c r="EL422" s="78"/>
      <c r="EM422" s="78"/>
      <c r="EN422" s="91"/>
      <c r="EO422" s="91"/>
      <c r="EP422" s="91"/>
      <c r="EQ422" s="91"/>
      <c r="ER422" s="91"/>
      <c r="ES422" s="91"/>
    </row>
    <row r="423" spans="1:149" outlineLevel="1">
      <c r="A423" s="29" t="str">
        <f t="shared" si="318"/>
        <v>modesg_inp_emss_nacefator_emissao</v>
      </c>
      <c r="B423" s="67" t="s">
        <v>26</v>
      </c>
      <c r="C423" s="68" t="s">
        <v>181</v>
      </c>
      <c r="D423" s="64" t="s">
        <v>40</v>
      </c>
      <c r="E423" s="66" t="s">
        <v>218</v>
      </c>
      <c r="F423" s="64" t="s">
        <v>648</v>
      </c>
      <c r="G423" s="64" t="str">
        <f>INDEX(Auxiliar!$B$16:$B$24,MATCH(Plano_V3!H423,Auxiliar!$C$16:$C$24,0),1)</f>
        <v>0. Cancelado</v>
      </c>
      <c r="H423" s="64">
        <f>VLOOKUP(A423,'Aux - pivots1'!$A:$B,2,0)</f>
        <v>0</v>
      </c>
      <c r="I423" s="180">
        <f>SUMIFS(Table1[Estimação (horas)],Table1[Tabela],Plano_V3!E423,Table1[Campo],Plano_V3!F423)</f>
        <v>0.5</v>
      </c>
      <c r="J423" s="180">
        <f t="shared" si="319"/>
        <v>6.25E-2</v>
      </c>
      <c r="K423" s="180">
        <f>SUMIFS(Table1[Horas efetivas],Table1[Tabela],Plano_V3!E423,Table1[Campo],Plano_V3!F423)</f>
        <v>0</v>
      </c>
      <c r="L423" s="180">
        <f t="shared" si="320"/>
        <v>0</v>
      </c>
      <c r="M423" s="174"/>
      <c r="N423" s="174">
        <f t="shared" si="321"/>
        <v>0</v>
      </c>
      <c r="O423" s="174">
        <f t="shared" si="322"/>
        <v>0</v>
      </c>
      <c r="P423" s="89" t="s">
        <v>39</v>
      </c>
      <c r="Q423" s="90">
        <f t="shared" si="323"/>
        <v>6.25E-2</v>
      </c>
      <c r="R423" s="78"/>
      <c r="S423" s="78"/>
      <c r="T423" s="78"/>
      <c r="U423" s="78"/>
      <c r="V423" s="78"/>
      <c r="W423" s="78"/>
      <c r="X423" s="78"/>
      <c r="Y423" s="78"/>
      <c r="Z423" s="78"/>
      <c r="AA423" s="78"/>
      <c r="AB423" s="78"/>
      <c r="AC423" s="78"/>
      <c r="AD423" s="78"/>
      <c r="AE423" s="78"/>
      <c r="AF423" s="78"/>
      <c r="AG423" s="78"/>
      <c r="AH423" s="78"/>
      <c r="AI423" s="78"/>
      <c r="AJ423" s="78"/>
      <c r="AK423" s="78"/>
      <c r="AL423" s="78"/>
      <c r="AM423" s="78"/>
      <c r="AN423" s="78"/>
      <c r="AO423" s="78"/>
      <c r="AP423" s="78"/>
      <c r="AQ423" s="78"/>
      <c r="AR423" s="78"/>
      <c r="AS423" s="78"/>
      <c r="AT423" s="78"/>
      <c r="AU423" s="78"/>
      <c r="AV423" s="78"/>
      <c r="AW423" s="78"/>
      <c r="AX423" s="78"/>
      <c r="AY423" s="91"/>
      <c r="AZ423" s="78"/>
      <c r="BA423" s="78"/>
      <c r="BB423" s="78"/>
      <c r="BC423" s="78"/>
      <c r="BD423" s="78"/>
      <c r="BE423" s="78"/>
      <c r="BF423" s="78"/>
      <c r="BG423" s="78"/>
      <c r="BH423" s="78"/>
      <c r="BI423" s="78"/>
      <c r="BJ423" s="78"/>
      <c r="BK423" s="78"/>
      <c r="BL423" s="78"/>
      <c r="BM423" s="78"/>
      <c r="BN423" s="78"/>
      <c r="BO423" s="78"/>
      <c r="BP423" s="78"/>
      <c r="BQ423" s="78"/>
      <c r="BR423" s="78"/>
      <c r="BS423" s="78"/>
      <c r="BT423" s="78"/>
      <c r="BU423" s="78"/>
      <c r="BV423" s="78"/>
      <c r="BW423" s="78"/>
      <c r="BX423" s="78"/>
      <c r="BY423" s="78"/>
      <c r="BZ423" s="78"/>
      <c r="CA423" s="78"/>
      <c r="CB423" s="78"/>
      <c r="CC423" s="78"/>
      <c r="CD423" s="78"/>
      <c r="CE423" s="78"/>
      <c r="CF423" s="78"/>
      <c r="CG423" s="78"/>
      <c r="CH423" s="78"/>
      <c r="CI423" s="78"/>
      <c r="CJ423" s="78"/>
      <c r="CK423" s="78"/>
      <c r="CL423" s="78"/>
      <c r="CM423" s="78"/>
      <c r="CN423" s="78"/>
      <c r="CO423" s="78"/>
      <c r="CP423" s="78"/>
      <c r="CQ423" s="78"/>
      <c r="CR423" s="78"/>
      <c r="CS423" s="78"/>
      <c r="CT423" s="78"/>
      <c r="CU423" s="78"/>
      <c r="CV423" s="78"/>
      <c r="CW423" s="78"/>
      <c r="CX423" s="78"/>
      <c r="CY423" s="78"/>
      <c r="CZ423" s="78"/>
      <c r="DA423" s="78"/>
      <c r="DB423" s="78"/>
      <c r="DC423" s="78"/>
      <c r="DD423" s="78"/>
      <c r="DE423" s="78"/>
      <c r="DF423" s="78"/>
      <c r="DG423" s="78"/>
      <c r="DH423" s="78"/>
      <c r="DI423" s="78"/>
      <c r="DJ423" s="78"/>
      <c r="DK423" s="78"/>
      <c r="DL423" s="78"/>
      <c r="DM423" s="78"/>
      <c r="DN423" s="78"/>
      <c r="DO423" s="78"/>
      <c r="DP423" s="78"/>
      <c r="DQ423" s="78"/>
      <c r="DR423" s="78"/>
      <c r="DS423" s="78"/>
      <c r="DT423" s="78"/>
      <c r="DU423" s="78"/>
      <c r="DV423" s="78"/>
      <c r="DW423" s="78"/>
      <c r="DX423" s="78"/>
      <c r="DY423" s="78"/>
      <c r="DZ423" s="78"/>
      <c r="EA423" s="78"/>
      <c r="EB423" s="78"/>
      <c r="EC423" s="78"/>
      <c r="ED423" s="78"/>
      <c r="EE423" s="78"/>
      <c r="EF423" s="78"/>
      <c r="EG423" s="78"/>
      <c r="EH423" s="78"/>
      <c r="EI423" s="78"/>
      <c r="EJ423" s="78"/>
      <c r="EK423" s="78"/>
      <c r="EL423" s="78"/>
      <c r="EM423" s="78"/>
      <c r="EN423" s="91"/>
      <c r="EO423" s="91"/>
      <c r="EP423" s="91"/>
      <c r="EQ423" s="91"/>
      <c r="ER423" s="91"/>
      <c r="ES423" s="91"/>
    </row>
    <row r="424" spans="1:149" outlineLevel="1">
      <c r="A424" s="29" t="str">
        <f t="shared" si="317"/>
        <v>modesg_inp_emss_bens_imoveisref_date</v>
      </c>
      <c r="B424" s="67" t="s">
        <v>26</v>
      </c>
      <c r="C424" s="68" t="s">
        <v>181</v>
      </c>
      <c r="D424" s="64" t="s">
        <v>40</v>
      </c>
      <c r="E424" s="66" t="s">
        <v>219</v>
      </c>
      <c r="F424" s="64" t="s">
        <v>208</v>
      </c>
      <c r="G424" s="64" t="str">
        <f>INDEX(Auxiliar!$B$16:$B$24,MATCH(Plano_V3!H424,Auxiliar!$C$16:$C$24,0),1)</f>
        <v>1. Concluído</v>
      </c>
      <c r="H424" s="64">
        <f>VLOOKUP(A424,'Aux - pivots1'!$A:$B,2,0)</f>
        <v>1</v>
      </c>
      <c r="I424" s="180">
        <f>SUMIFS(Table1[Estimação (horas)],Table1[Tabela],Plano_V3!E424,Table1[Campo],Plano_V3!F424)</f>
        <v>0.5</v>
      </c>
      <c r="J424" s="180">
        <f t="shared" si="313"/>
        <v>6.25E-2</v>
      </c>
      <c r="K424" s="180">
        <f>SUMIFS(Table1[Horas efetivas],Table1[Tabela],Plano_V3!E424,Table1[Campo],Plano_V3!F424)</f>
        <v>0.5</v>
      </c>
      <c r="L424" s="180">
        <f t="shared" si="314"/>
        <v>6.25E-2</v>
      </c>
      <c r="M424" s="174"/>
      <c r="N424" s="174">
        <f t="shared" si="315"/>
        <v>1</v>
      </c>
      <c r="O424" s="174">
        <f t="shared" si="316"/>
        <v>1</v>
      </c>
      <c r="P424" s="89" t="s">
        <v>39</v>
      </c>
      <c r="Q424" s="90">
        <f t="shared" si="312"/>
        <v>6.25E-2</v>
      </c>
      <c r="R424" s="78"/>
      <c r="S424" s="78"/>
      <c r="T424" s="78"/>
      <c r="U424" s="78"/>
      <c r="V424" s="78"/>
      <c r="W424" s="78"/>
      <c r="X424" s="78"/>
      <c r="Y424" s="78"/>
      <c r="Z424" s="78"/>
      <c r="AA424" s="78"/>
      <c r="AB424" s="78"/>
      <c r="AC424" s="78"/>
      <c r="AD424" s="78"/>
      <c r="AE424" s="78"/>
      <c r="AF424" s="78"/>
      <c r="AG424" s="78"/>
      <c r="AH424" s="78"/>
      <c r="AI424" s="78"/>
      <c r="AJ424" s="78"/>
      <c r="AK424" s="78"/>
      <c r="AL424" s="78"/>
      <c r="AM424" s="78"/>
      <c r="AN424" s="78"/>
      <c r="AO424" s="78"/>
      <c r="AP424" s="78"/>
      <c r="AQ424" s="78"/>
      <c r="AR424" s="78"/>
      <c r="AS424" s="78"/>
      <c r="AT424" s="78"/>
      <c r="AU424" s="78"/>
      <c r="AV424" s="78"/>
      <c r="AW424" s="78"/>
      <c r="AX424" s="78"/>
      <c r="AY424" s="91"/>
      <c r="AZ424" s="78"/>
      <c r="BA424" s="78"/>
      <c r="BB424" s="78"/>
      <c r="BC424" s="78"/>
      <c r="BD424" s="78"/>
      <c r="BE424" s="78"/>
      <c r="BF424" s="78"/>
      <c r="BG424" s="78"/>
      <c r="BH424" s="78"/>
      <c r="BI424" s="78"/>
      <c r="BJ424" s="78"/>
      <c r="BK424" s="78"/>
      <c r="BL424" s="78"/>
      <c r="BM424" s="78"/>
      <c r="BN424" s="78"/>
      <c r="BO424" s="78"/>
      <c r="BP424" s="78"/>
      <c r="BQ424" s="78"/>
      <c r="BR424" s="78"/>
      <c r="BS424" s="78"/>
      <c r="BT424" s="78"/>
      <c r="BU424" s="78"/>
      <c r="BV424" s="78"/>
      <c r="BW424" s="78"/>
      <c r="BX424" s="78"/>
      <c r="BY424" s="78"/>
      <c r="BZ424" s="78"/>
      <c r="CA424" s="78"/>
      <c r="CB424" s="78"/>
      <c r="CC424" s="78"/>
      <c r="CD424" s="78"/>
      <c r="CE424" s="78"/>
      <c r="CF424" s="78"/>
      <c r="CG424" s="78"/>
      <c r="CH424" s="78"/>
      <c r="CI424" s="78"/>
      <c r="CJ424" s="78"/>
      <c r="CK424" s="78"/>
      <c r="CL424" s="78"/>
      <c r="CM424" s="78"/>
      <c r="CN424" s="78"/>
      <c r="CO424" s="78"/>
      <c r="CP424" s="78"/>
      <c r="CQ424" s="78"/>
      <c r="CR424" s="78"/>
      <c r="CS424" s="78"/>
      <c r="CT424" s="78"/>
      <c r="CU424" s="78"/>
      <c r="CV424" s="78"/>
      <c r="CW424" s="78"/>
      <c r="CX424" s="78"/>
      <c r="CY424" s="78"/>
      <c r="CZ424" s="78"/>
      <c r="DA424" s="78"/>
      <c r="DB424" s="78"/>
      <c r="DC424" s="78"/>
      <c r="DD424" s="78"/>
      <c r="DE424" s="78"/>
      <c r="DF424" s="78"/>
      <c r="DG424" s="78"/>
      <c r="DH424" s="78"/>
      <c r="DI424" s="78"/>
      <c r="DJ424" s="78"/>
      <c r="DK424" s="78"/>
      <c r="DL424" s="78"/>
      <c r="DM424" s="78"/>
      <c r="DN424" s="78"/>
      <c r="DO424" s="78"/>
      <c r="DP424" s="78"/>
      <c r="DQ424" s="78"/>
      <c r="DR424" s="78"/>
      <c r="DS424" s="78"/>
      <c r="DT424" s="78"/>
      <c r="DU424" s="78"/>
      <c r="DV424" s="78"/>
      <c r="DW424" s="78"/>
      <c r="DX424" s="78"/>
      <c r="DY424" s="78"/>
      <c r="DZ424" s="78"/>
      <c r="EA424" s="78"/>
      <c r="EB424" s="78"/>
      <c r="EC424" s="78"/>
      <c r="ED424" s="78"/>
      <c r="EE424" s="78"/>
      <c r="EF424" s="78"/>
      <c r="EG424" s="78"/>
      <c r="EH424" s="78"/>
      <c r="EI424" s="78"/>
      <c r="EJ424" s="78"/>
      <c r="EK424" s="78"/>
      <c r="EL424" s="78"/>
      <c r="EM424" s="78"/>
      <c r="EN424" s="91"/>
      <c r="EO424" s="91"/>
      <c r="EP424" s="91"/>
      <c r="EQ424" s="91"/>
      <c r="ER424" s="91"/>
      <c r="ES424" s="91"/>
    </row>
    <row r="425" spans="1:149" outlineLevel="1">
      <c r="A425" s="29" t="str">
        <f t="shared" si="317"/>
        <v>modesg_inp_emss_bens_imoveisnome_pais</v>
      </c>
      <c r="B425" s="67" t="s">
        <v>26</v>
      </c>
      <c r="C425" s="68" t="s">
        <v>181</v>
      </c>
      <c r="D425" s="64" t="s">
        <v>40</v>
      </c>
      <c r="E425" s="66" t="s">
        <v>219</v>
      </c>
      <c r="F425" s="64" t="s">
        <v>221</v>
      </c>
      <c r="G425" s="64" t="str">
        <f>INDEX(Auxiliar!$B$16:$B$24,MATCH(Plano_V3!H425,Auxiliar!$C$16:$C$24,0),1)</f>
        <v>1. Concluído</v>
      </c>
      <c r="H425" s="64">
        <f>VLOOKUP(A425,'Aux - pivots1'!$A:$B,2,0)</f>
        <v>1</v>
      </c>
      <c r="I425" s="180">
        <f>SUMIFS(Table1[Estimação (horas)],Table1[Tabela],Plano_V3!E425,Table1[Campo],Plano_V3!F425)</f>
        <v>0.5</v>
      </c>
      <c r="J425" s="180">
        <f t="shared" si="313"/>
        <v>6.25E-2</v>
      </c>
      <c r="K425" s="180">
        <f>SUMIFS(Table1[Horas efetivas],Table1[Tabela],Plano_V3!E425,Table1[Campo],Plano_V3!F425)</f>
        <v>0.5</v>
      </c>
      <c r="L425" s="180">
        <f t="shared" si="314"/>
        <v>6.25E-2</v>
      </c>
      <c r="M425" s="174"/>
      <c r="N425" s="174">
        <f t="shared" si="315"/>
        <v>1</v>
      </c>
      <c r="O425" s="174">
        <f t="shared" si="316"/>
        <v>1</v>
      </c>
      <c r="P425" s="89" t="s">
        <v>39</v>
      </c>
      <c r="Q425" s="90">
        <f t="shared" si="312"/>
        <v>6.25E-2</v>
      </c>
      <c r="R425" s="78"/>
      <c r="S425" s="78"/>
      <c r="T425" s="78"/>
      <c r="U425" s="78"/>
      <c r="V425" s="78"/>
      <c r="W425" s="78"/>
      <c r="X425" s="78"/>
      <c r="Y425" s="78"/>
      <c r="Z425" s="78"/>
      <c r="AA425" s="78"/>
      <c r="AB425" s="78"/>
      <c r="AC425" s="78"/>
      <c r="AD425" s="78"/>
      <c r="AE425" s="78"/>
      <c r="AF425" s="78"/>
      <c r="AG425" s="78"/>
      <c r="AH425" s="78"/>
      <c r="AI425" s="78"/>
      <c r="AJ425" s="78"/>
      <c r="AK425" s="78"/>
      <c r="AL425" s="78"/>
      <c r="AM425" s="78"/>
      <c r="AN425" s="78"/>
      <c r="AO425" s="78"/>
      <c r="AP425" s="78"/>
      <c r="AQ425" s="78"/>
      <c r="AR425" s="78"/>
      <c r="AS425" s="78"/>
      <c r="AT425" s="78"/>
      <c r="AU425" s="78"/>
      <c r="AV425" s="78"/>
      <c r="AW425" s="78"/>
      <c r="AX425" s="78"/>
      <c r="AY425" s="91"/>
      <c r="AZ425" s="78"/>
      <c r="BA425" s="78"/>
      <c r="BB425" s="78"/>
      <c r="BC425" s="78"/>
      <c r="BD425" s="78"/>
      <c r="BE425" s="78"/>
      <c r="BF425" s="78"/>
      <c r="BG425" s="78"/>
      <c r="BH425" s="78"/>
      <c r="BI425" s="78"/>
      <c r="BJ425" s="78"/>
      <c r="BK425" s="78"/>
      <c r="BL425" s="78"/>
      <c r="BM425" s="78"/>
      <c r="BN425" s="78"/>
      <c r="BO425" s="78"/>
      <c r="BP425" s="78"/>
      <c r="BQ425" s="78"/>
      <c r="BR425" s="78"/>
      <c r="BS425" s="78"/>
      <c r="BT425" s="78"/>
      <c r="BU425" s="78"/>
      <c r="BV425" s="78"/>
      <c r="BW425" s="78"/>
      <c r="BX425" s="78"/>
      <c r="BY425" s="78"/>
      <c r="BZ425" s="78"/>
      <c r="CA425" s="78"/>
      <c r="CB425" s="78"/>
      <c r="CC425" s="78"/>
      <c r="CD425" s="78"/>
      <c r="CE425" s="78"/>
      <c r="CF425" s="78"/>
      <c r="CG425" s="78"/>
      <c r="CH425" s="78"/>
      <c r="CI425" s="78"/>
      <c r="CJ425" s="78"/>
      <c r="CK425" s="78"/>
      <c r="CL425" s="78"/>
      <c r="CM425" s="78"/>
      <c r="CN425" s="78"/>
      <c r="CO425" s="78"/>
      <c r="CP425" s="78"/>
      <c r="CQ425" s="78"/>
      <c r="CR425" s="78"/>
      <c r="CS425" s="78"/>
      <c r="CT425" s="78"/>
      <c r="CU425" s="78"/>
      <c r="CV425" s="78"/>
      <c r="CW425" s="78"/>
      <c r="CX425" s="78"/>
      <c r="CY425" s="78"/>
      <c r="CZ425" s="78"/>
      <c r="DA425" s="78"/>
      <c r="DB425" s="78"/>
      <c r="DC425" s="78"/>
      <c r="DD425" s="78"/>
      <c r="DE425" s="78"/>
      <c r="DF425" s="78"/>
      <c r="DG425" s="78"/>
      <c r="DH425" s="78"/>
      <c r="DI425" s="78"/>
      <c r="DJ425" s="78"/>
      <c r="DK425" s="78"/>
      <c r="DL425" s="78"/>
      <c r="DM425" s="78"/>
      <c r="DN425" s="78"/>
      <c r="DO425" s="78"/>
      <c r="DP425" s="78"/>
      <c r="DQ425" s="78"/>
      <c r="DR425" s="78"/>
      <c r="DS425" s="78"/>
      <c r="DT425" s="78"/>
      <c r="DU425" s="78"/>
      <c r="DV425" s="78"/>
      <c r="DW425" s="78"/>
      <c r="DX425" s="78"/>
      <c r="DY425" s="78"/>
      <c r="DZ425" s="78"/>
      <c r="EA425" s="78"/>
      <c r="EB425" s="78"/>
      <c r="EC425" s="78"/>
      <c r="ED425" s="78"/>
      <c r="EE425" s="78"/>
      <c r="EF425" s="78"/>
      <c r="EG425" s="78"/>
      <c r="EH425" s="78"/>
      <c r="EI425" s="78"/>
      <c r="EJ425" s="78"/>
      <c r="EK425" s="78"/>
      <c r="EL425" s="78"/>
      <c r="EM425" s="78"/>
      <c r="EN425" s="91"/>
      <c r="EO425" s="91"/>
      <c r="EP425" s="91"/>
      <c r="EQ425" s="91"/>
      <c r="ER425" s="91"/>
      <c r="ES425" s="91"/>
    </row>
    <row r="426" spans="1:149" outlineLevel="1">
      <c r="A426" s="29" t="str">
        <f t="shared" si="317"/>
        <v>modesg_inp_emss_bens_imoveisnome_estado</v>
      </c>
      <c r="B426" s="67" t="s">
        <v>26</v>
      </c>
      <c r="C426" s="68" t="s">
        <v>181</v>
      </c>
      <c r="D426" s="64" t="s">
        <v>40</v>
      </c>
      <c r="E426" s="66" t="s">
        <v>219</v>
      </c>
      <c r="F426" s="64" t="s">
        <v>222</v>
      </c>
      <c r="G426" s="64" t="str">
        <f>INDEX(Auxiliar!$B$16:$B$24,MATCH(Plano_V3!H426,Auxiliar!$C$16:$C$24,0),1)</f>
        <v>1. Concluído</v>
      </c>
      <c r="H426" s="64">
        <f>VLOOKUP(A426,'Aux - pivots1'!$A:$B,2,0)</f>
        <v>1</v>
      </c>
      <c r="I426" s="180">
        <f>SUMIFS(Table1[Estimação (horas)],Table1[Tabela],Plano_V3!E426,Table1[Campo],Plano_V3!F426)</f>
        <v>0.5</v>
      </c>
      <c r="J426" s="180">
        <f t="shared" si="313"/>
        <v>6.25E-2</v>
      </c>
      <c r="K426" s="180">
        <f>SUMIFS(Table1[Horas efetivas],Table1[Tabela],Plano_V3!E426,Table1[Campo],Plano_V3!F426)</f>
        <v>0.5</v>
      </c>
      <c r="L426" s="180">
        <f t="shared" si="314"/>
        <v>6.25E-2</v>
      </c>
      <c r="M426" s="174"/>
      <c r="N426" s="174">
        <f t="shared" si="315"/>
        <v>1</v>
      </c>
      <c r="O426" s="174">
        <f t="shared" si="316"/>
        <v>1</v>
      </c>
      <c r="P426" s="89" t="s">
        <v>39</v>
      </c>
      <c r="Q426" s="90">
        <f t="shared" si="312"/>
        <v>6.25E-2</v>
      </c>
      <c r="R426" s="78"/>
      <c r="S426" s="78"/>
      <c r="T426" s="78"/>
      <c r="U426" s="78"/>
      <c r="V426" s="78"/>
      <c r="W426" s="78"/>
      <c r="X426" s="78"/>
      <c r="Y426" s="78"/>
      <c r="Z426" s="78"/>
      <c r="AA426" s="78"/>
      <c r="AB426" s="78"/>
      <c r="AC426" s="78"/>
      <c r="AD426" s="78"/>
      <c r="AE426" s="78"/>
      <c r="AF426" s="78"/>
      <c r="AG426" s="78"/>
      <c r="AH426" s="78"/>
      <c r="AI426" s="78"/>
      <c r="AJ426" s="78"/>
      <c r="AK426" s="78"/>
      <c r="AL426" s="78"/>
      <c r="AM426" s="78"/>
      <c r="AN426" s="78"/>
      <c r="AO426" s="78"/>
      <c r="AP426" s="78"/>
      <c r="AQ426" s="78"/>
      <c r="AR426" s="78"/>
      <c r="AS426" s="78"/>
      <c r="AT426" s="78"/>
      <c r="AU426" s="78"/>
      <c r="AV426" s="78"/>
      <c r="AW426" s="78"/>
      <c r="AX426" s="78"/>
      <c r="AY426" s="91"/>
      <c r="AZ426" s="78"/>
      <c r="BA426" s="78"/>
      <c r="BB426" s="78"/>
      <c r="BC426" s="78"/>
      <c r="BD426" s="78"/>
      <c r="BE426" s="78"/>
      <c r="BF426" s="78"/>
      <c r="BG426" s="78"/>
      <c r="BH426" s="78"/>
      <c r="BI426" s="78"/>
      <c r="BJ426" s="78"/>
      <c r="BK426" s="78"/>
      <c r="BL426" s="78"/>
      <c r="BM426" s="78"/>
      <c r="BN426" s="78"/>
      <c r="BO426" s="78"/>
      <c r="BP426" s="78"/>
      <c r="BQ426" s="78"/>
      <c r="BR426" s="78"/>
      <c r="BS426" s="78"/>
      <c r="BT426" s="78"/>
      <c r="BU426" s="78"/>
      <c r="BV426" s="78"/>
      <c r="BW426" s="78"/>
      <c r="BX426" s="78"/>
      <c r="BY426" s="78"/>
      <c r="BZ426" s="78"/>
      <c r="CA426" s="78"/>
      <c r="CB426" s="78"/>
      <c r="CC426" s="78"/>
      <c r="CD426" s="78"/>
      <c r="CE426" s="78"/>
      <c r="CF426" s="78"/>
      <c r="CG426" s="78"/>
      <c r="CH426" s="78"/>
      <c r="CI426" s="78"/>
      <c r="CJ426" s="78"/>
      <c r="CK426" s="78"/>
      <c r="CL426" s="78"/>
      <c r="CM426" s="78"/>
      <c r="CN426" s="78"/>
      <c r="CO426" s="78"/>
      <c r="CP426" s="78"/>
      <c r="CQ426" s="78"/>
      <c r="CR426" s="78"/>
      <c r="CS426" s="78"/>
      <c r="CT426" s="78"/>
      <c r="CU426" s="78"/>
      <c r="CV426" s="78"/>
      <c r="CW426" s="78"/>
      <c r="CX426" s="78"/>
      <c r="CY426" s="78"/>
      <c r="CZ426" s="78"/>
      <c r="DA426" s="78"/>
      <c r="DB426" s="78"/>
      <c r="DC426" s="78"/>
      <c r="DD426" s="78"/>
      <c r="DE426" s="78"/>
      <c r="DF426" s="78"/>
      <c r="DG426" s="78"/>
      <c r="DH426" s="78"/>
      <c r="DI426" s="78"/>
      <c r="DJ426" s="78"/>
      <c r="DK426" s="78"/>
      <c r="DL426" s="78"/>
      <c r="DM426" s="78"/>
      <c r="DN426" s="78"/>
      <c r="DO426" s="78"/>
      <c r="DP426" s="78"/>
      <c r="DQ426" s="78"/>
      <c r="DR426" s="78"/>
      <c r="DS426" s="78"/>
      <c r="DT426" s="78"/>
      <c r="DU426" s="78"/>
      <c r="DV426" s="78"/>
      <c r="DW426" s="78"/>
      <c r="DX426" s="78"/>
      <c r="DY426" s="78"/>
      <c r="DZ426" s="78"/>
      <c r="EA426" s="78"/>
      <c r="EB426" s="78"/>
      <c r="EC426" s="78"/>
      <c r="ED426" s="78"/>
      <c r="EE426" s="78"/>
      <c r="EF426" s="78"/>
      <c r="EG426" s="78"/>
      <c r="EH426" s="78"/>
      <c r="EI426" s="78"/>
      <c r="EJ426" s="78"/>
      <c r="EK426" s="78"/>
      <c r="EL426" s="78"/>
      <c r="EM426" s="78"/>
      <c r="EN426" s="91"/>
      <c r="EO426" s="91"/>
      <c r="EP426" s="91"/>
      <c r="EQ426" s="91"/>
      <c r="ER426" s="91"/>
      <c r="ES426" s="91"/>
    </row>
    <row r="427" spans="1:149" outlineLevel="1">
      <c r="A427" s="29" t="str">
        <f t="shared" si="317"/>
        <v>modesg_inp_emss_bens_imoveisclasse_ativo</v>
      </c>
      <c r="B427" s="67" t="s">
        <v>26</v>
      </c>
      <c r="C427" s="68" t="s">
        <v>181</v>
      </c>
      <c r="D427" s="64" t="s">
        <v>40</v>
      </c>
      <c r="E427" s="66" t="s">
        <v>219</v>
      </c>
      <c r="F427" s="64" t="s">
        <v>300</v>
      </c>
      <c r="G427" s="64" t="str">
        <f>INDEX(Auxiliar!$B$16:$B$24,MATCH(Plano_V3!H427,Auxiliar!$C$16:$C$24,0),1)</f>
        <v>1. Concluído</v>
      </c>
      <c r="H427" s="64">
        <f>VLOOKUP(A427,'Aux - pivots1'!$A:$B,2,0)</f>
        <v>1</v>
      </c>
      <c r="I427" s="180">
        <f>SUMIFS(Table1[Estimação (horas)],Table1[Tabela],Plano_V3!E427,Table1[Campo],Plano_V3!F427)</f>
        <v>0.5</v>
      </c>
      <c r="J427" s="180">
        <f t="shared" si="313"/>
        <v>6.25E-2</v>
      </c>
      <c r="K427" s="180">
        <f>SUMIFS(Table1[Horas efetivas],Table1[Tabela],Plano_V3!E427,Table1[Campo],Plano_V3!F427)</f>
        <v>0.5</v>
      </c>
      <c r="L427" s="180">
        <f t="shared" si="314"/>
        <v>6.25E-2</v>
      </c>
      <c r="M427" s="174"/>
      <c r="N427" s="174">
        <f t="shared" si="315"/>
        <v>1</v>
      </c>
      <c r="O427" s="174">
        <f t="shared" si="316"/>
        <v>1</v>
      </c>
      <c r="P427" s="89" t="s">
        <v>39</v>
      </c>
      <c r="Q427" s="90">
        <f t="shared" si="312"/>
        <v>6.25E-2</v>
      </c>
      <c r="R427" s="78"/>
      <c r="S427" s="78"/>
      <c r="T427" s="78"/>
      <c r="U427" s="78"/>
      <c r="V427" s="78"/>
      <c r="W427" s="78"/>
      <c r="X427" s="78"/>
      <c r="Y427" s="78"/>
      <c r="Z427" s="78"/>
      <c r="AA427" s="78"/>
      <c r="AB427" s="78"/>
      <c r="AC427" s="78"/>
      <c r="AD427" s="78"/>
      <c r="AE427" s="78"/>
      <c r="AF427" s="78"/>
      <c r="AG427" s="78"/>
      <c r="AH427" s="78"/>
      <c r="AI427" s="78"/>
      <c r="AJ427" s="78"/>
      <c r="AK427" s="78"/>
      <c r="AL427" s="78"/>
      <c r="AM427" s="78"/>
      <c r="AN427" s="78"/>
      <c r="AO427" s="78"/>
      <c r="AP427" s="78"/>
      <c r="AQ427" s="78"/>
      <c r="AR427" s="78"/>
      <c r="AS427" s="78"/>
      <c r="AT427" s="78"/>
      <c r="AU427" s="78"/>
      <c r="AV427" s="78"/>
      <c r="AW427" s="78"/>
      <c r="AX427" s="78"/>
      <c r="AY427" s="91"/>
      <c r="AZ427" s="78"/>
      <c r="BA427" s="78"/>
      <c r="BB427" s="78"/>
      <c r="BC427" s="78"/>
      <c r="BD427" s="78"/>
      <c r="BE427" s="78"/>
      <c r="BF427" s="78"/>
      <c r="BG427" s="78"/>
      <c r="BH427" s="78"/>
      <c r="BI427" s="78"/>
      <c r="BJ427" s="78"/>
      <c r="BK427" s="78"/>
      <c r="BL427" s="78"/>
      <c r="BM427" s="78"/>
      <c r="BN427" s="78"/>
      <c r="BO427" s="78"/>
      <c r="BP427" s="78"/>
      <c r="BQ427" s="78"/>
      <c r="BR427" s="78"/>
      <c r="BS427" s="78"/>
      <c r="BT427" s="78"/>
      <c r="BU427" s="78"/>
      <c r="BV427" s="78"/>
      <c r="BW427" s="78"/>
      <c r="BX427" s="78"/>
      <c r="BY427" s="78"/>
      <c r="BZ427" s="78"/>
      <c r="CA427" s="78"/>
      <c r="CB427" s="78"/>
      <c r="CC427" s="78"/>
      <c r="CD427" s="78"/>
      <c r="CE427" s="78"/>
      <c r="CF427" s="78"/>
      <c r="CG427" s="78"/>
      <c r="CH427" s="78"/>
      <c r="CI427" s="78"/>
      <c r="CJ427" s="78"/>
      <c r="CK427" s="78"/>
      <c r="CL427" s="78"/>
      <c r="CM427" s="78"/>
      <c r="CN427" s="78"/>
      <c r="CO427" s="78"/>
      <c r="CP427" s="78"/>
      <c r="CQ427" s="78"/>
      <c r="CR427" s="78"/>
      <c r="CS427" s="78"/>
      <c r="CT427" s="78"/>
      <c r="CU427" s="78"/>
      <c r="CV427" s="78"/>
      <c r="CW427" s="78"/>
      <c r="CX427" s="78"/>
      <c r="CY427" s="78"/>
      <c r="CZ427" s="78"/>
      <c r="DA427" s="78"/>
      <c r="DB427" s="78"/>
      <c r="DC427" s="78"/>
      <c r="DD427" s="78"/>
      <c r="DE427" s="78"/>
      <c r="DF427" s="78"/>
      <c r="DG427" s="78"/>
      <c r="DH427" s="78"/>
      <c r="DI427" s="78"/>
      <c r="DJ427" s="78"/>
      <c r="DK427" s="78"/>
      <c r="DL427" s="78"/>
      <c r="DM427" s="78"/>
      <c r="DN427" s="78"/>
      <c r="DO427" s="78"/>
      <c r="DP427" s="78"/>
      <c r="DQ427" s="78"/>
      <c r="DR427" s="78"/>
      <c r="DS427" s="78"/>
      <c r="DT427" s="78"/>
      <c r="DU427" s="78"/>
      <c r="DV427" s="78"/>
      <c r="DW427" s="78"/>
      <c r="DX427" s="78"/>
      <c r="DY427" s="78"/>
      <c r="DZ427" s="78"/>
      <c r="EA427" s="78"/>
      <c r="EB427" s="78"/>
      <c r="EC427" s="78"/>
      <c r="ED427" s="78"/>
      <c r="EE427" s="78"/>
      <c r="EF427" s="78"/>
      <c r="EG427" s="78"/>
      <c r="EH427" s="78"/>
      <c r="EI427" s="78"/>
      <c r="EJ427" s="78"/>
      <c r="EK427" s="78"/>
      <c r="EL427" s="78"/>
      <c r="EM427" s="78"/>
      <c r="EN427" s="91"/>
      <c r="EO427" s="91"/>
      <c r="EP427" s="91"/>
      <c r="EQ427" s="91"/>
      <c r="ER427" s="91"/>
      <c r="ES427" s="91"/>
    </row>
    <row r="428" spans="1:149" outlineLevel="1">
      <c r="A428" s="29" t="str">
        <f t="shared" si="317"/>
        <v>modesg_inp_emss_bens_imoveistipo_fator_emissao</v>
      </c>
      <c r="B428" s="67" t="s">
        <v>26</v>
      </c>
      <c r="C428" s="68" t="s">
        <v>181</v>
      </c>
      <c r="D428" s="64" t="s">
        <v>40</v>
      </c>
      <c r="E428" s="66" t="s">
        <v>219</v>
      </c>
      <c r="F428" s="64" t="s">
        <v>303</v>
      </c>
      <c r="G428" s="64" t="str">
        <f>INDEX(Auxiliar!$B$16:$B$24,MATCH(Plano_V3!H428,Auxiliar!$C$16:$C$24,0),1)</f>
        <v>1. Concluído</v>
      </c>
      <c r="H428" s="64">
        <f>VLOOKUP(A428,'Aux - pivots1'!$A:$B,2,0)</f>
        <v>1</v>
      </c>
      <c r="I428" s="180">
        <f>SUMIFS(Table1[Estimação (horas)],Table1[Tabela],Plano_V3!E428,Table1[Campo],Plano_V3!F428)</f>
        <v>1</v>
      </c>
      <c r="J428" s="180">
        <f t="shared" si="313"/>
        <v>0.125</v>
      </c>
      <c r="K428" s="180">
        <f>SUMIFS(Table1[Horas efetivas],Table1[Tabela],Plano_V3!E428,Table1[Campo],Plano_V3!F428)</f>
        <v>1</v>
      </c>
      <c r="L428" s="180">
        <f t="shared" si="314"/>
        <v>0.125</v>
      </c>
      <c r="M428" s="174"/>
      <c r="N428" s="174">
        <f t="shared" si="315"/>
        <v>1</v>
      </c>
      <c r="O428" s="174">
        <f t="shared" si="316"/>
        <v>1</v>
      </c>
      <c r="P428" s="89" t="s">
        <v>39</v>
      </c>
      <c r="Q428" s="90">
        <f t="shared" ref="Q428:Q520" si="324">J428-SUM(R428:ES428)</f>
        <v>0.125</v>
      </c>
      <c r="R428" s="78"/>
      <c r="S428" s="78"/>
      <c r="T428" s="78"/>
      <c r="U428" s="78"/>
      <c r="V428" s="78"/>
      <c r="W428" s="78"/>
      <c r="X428" s="78"/>
      <c r="Y428" s="78"/>
      <c r="Z428" s="78"/>
      <c r="AA428" s="78"/>
      <c r="AB428" s="78"/>
      <c r="AC428" s="78"/>
      <c r="AD428" s="78"/>
      <c r="AE428" s="78"/>
      <c r="AF428" s="78"/>
      <c r="AG428" s="78"/>
      <c r="AH428" s="78"/>
      <c r="AI428" s="78"/>
      <c r="AJ428" s="78"/>
      <c r="AK428" s="78"/>
      <c r="AL428" s="78"/>
      <c r="AM428" s="78"/>
      <c r="AN428" s="78"/>
      <c r="AO428" s="78"/>
      <c r="AP428" s="78"/>
      <c r="AQ428" s="78"/>
      <c r="AR428" s="78"/>
      <c r="AS428" s="78"/>
      <c r="AT428" s="78"/>
      <c r="AU428" s="78"/>
      <c r="AV428" s="78"/>
      <c r="AW428" s="78"/>
      <c r="AX428" s="78"/>
      <c r="AY428" s="91"/>
      <c r="AZ428" s="78"/>
      <c r="BA428" s="78"/>
      <c r="BB428" s="78"/>
      <c r="BC428" s="78"/>
      <c r="BD428" s="78"/>
      <c r="BE428" s="78"/>
      <c r="BF428" s="78"/>
      <c r="BG428" s="78"/>
      <c r="BH428" s="78"/>
      <c r="BI428" s="78"/>
      <c r="BJ428" s="78"/>
      <c r="BK428" s="78"/>
      <c r="BL428" s="78"/>
      <c r="BM428" s="78"/>
      <c r="BN428" s="78"/>
      <c r="BO428" s="78"/>
      <c r="BP428" s="78"/>
      <c r="BQ428" s="78"/>
      <c r="BR428" s="78"/>
      <c r="BS428" s="78"/>
      <c r="BT428" s="78"/>
      <c r="BU428" s="78"/>
      <c r="BV428" s="78"/>
      <c r="BW428" s="78"/>
      <c r="BX428" s="78"/>
      <c r="BY428" s="78"/>
      <c r="BZ428" s="78"/>
      <c r="CA428" s="78"/>
      <c r="CB428" s="78"/>
      <c r="CC428" s="78"/>
      <c r="CD428" s="78"/>
      <c r="CE428" s="78"/>
      <c r="CF428" s="78"/>
      <c r="CG428" s="78"/>
      <c r="CH428" s="78"/>
      <c r="CI428" s="78"/>
      <c r="CJ428" s="78"/>
      <c r="CK428" s="78"/>
      <c r="CL428" s="78"/>
      <c r="CM428" s="78"/>
      <c r="CN428" s="78"/>
      <c r="CO428" s="78"/>
      <c r="CP428" s="78"/>
      <c r="CQ428" s="78"/>
      <c r="CR428" s="78"/>
      <c r="CS428" s="78"/>
      <c r="CT428" s="78"/>
      <c r="CU428" s="78"/>
      <c r="CV428" s="78"/>
      <c r="CW428" s="78"/>
      <c r="CX428" s="78"/>
      <c r="CY428" s="78"/>
      <c r="CZ428" s="78"/>
      <c r="DA428" s="78"/>
      <c r="DB428" s="78"/>
      <c r="DC428" s="78"/>
      <c r="DD428" s="78"/>
      <c r="DE428" s="78"/>
      <c r="DF428" s="78"/>
      <c r="DG428" s="78"/>
      <c r="DH428" s="78"/>
      <c r="DI428" s="78"/>
      <c r="DJ428" s="78"/>
      <c r="DK428" s="78"/>
      <c r="DL428" s="78"/>
      <c r="DM428" s="78"/>
      <c r="DN428" s="78"/>
      <c r="DO428" s="78"/>
      <c r="DP428" s="78"/>
      <c r="DQ428" s="78"/>
      <c r="DR428" s="78"/>
      <c r="DS428" s="78"/>
      <c r="DT428" s="78"/>
      <c r="DU428" s="78"/>
      <c r="DV428" s="78"/>
      <c r="DW428" s="78"/>
      <c r="DX428" s="78"/>
      <c r="DY428" s="78"/>
      <c r="DZ428" s="78"/>
      <c r="EA428" s="78"/>
      <c r="EB428" s="78"/>
      <c r="EC428" s="78"/>
      <c r="ED428" s="78"/>
      <c r="EE428" s="78"/>
      <c r="EF428" s="78"/>
      <c r="EG428" s="78"/>
      <c r="EH428" s="78"/>
      <c r="EI428" s="78"/>
      <c r="EJ428" s="78"/>
      <c r="EK428" s="78"/>
      <c r="EL428" s="78"/>
      <c r="EM428" s="78"/>
      <c r="EN428" s="91"/>
      <c r="EO428" s="91"/>
      <c r="EP428" s="91"/>
      <c r="EQ428" s="91"/>
      <c r="ER428" s="91"/>
      <c r="ES428" s="91"/>
    </row>
    <row r="429" spans="1:149" outlineLevel="1">
      <c r="A429" s="29" t="str">
        <f t="shared" si="317"/>
        <v>modesg_inp_emss_bens_imoveisregiao</v>
      </c>
      <c r="B429" s="67" t="s">
        <v>26</v>
      </c>
      <c r="C429" s="68" t="s">
        <v>181</v>
      </c>
      <c r="D429" s="64" t="s">
        <v>40</v>
      </c>
      <c r="E429" s="66" t="s">
        <v>219</v>
      </c>
      <c r="F429" s="64" t="s">
        <v>304</v>
      </c>
      <c r="G429" s="64" t="str">
        <f>INDEX(Auxiliar!$B$16:$B$24,MATCH(Plano_V3!H429,Auxiliar!$C$16:$C$24,0),1)</f>
        <v>1. Concluído</v>
      </c>
      <c r="H429" s="64">
        <f>VLOOKUP(A429,'Aux - pivots1'!$A:$B,2,0)</f>
        <v>1</v>
      </c>
      <c r="I429" s="180">
        <f>SUMIFS(Table1[Estimação (horas)],Table1[Tabela],Plano_V3!E429,Table1[Campo],Plano_V3!F429)</f>
        <v>0.5</v>
      </c>
      <c r="J429" s="180">
        <f t="shared" si="313"/>
        <v>6.25E-2</v>
      </c>
      <c r="K429" s="180">
        <f>SUMIFS(Table1[Horas efetivas],Table1[Tabela],Plano_V3!E429,Table1[Campo],Plano_V3!F429)</f>
        <v>0.5</v>
      </c>
      <c r="L429" s="180">
        <f t="shared" si="314"/>
        <v>6.25E-2</v>
      </c>
      <c r="M429" s="174"/>
      <c r="N429" s="174">
        <f t="shared" si="315"/>
        <v>1</v>
      </c>
      <c r="O429" s="174">
        <f t="shared" si="316"/>
        <v>1</v>
      </c>
      <c r="P429" s="89" t="s">
        <v>39</v>
      </c>
      <c r="Q429" s="90">
        <f t="shared" si="324"/>
        <v>6.25E-2</v>
      </c>
      <c r="R429" s="78"/>
      <c r="S429" s="78"/>
      <c r="T429" s="78"/>
      <c r="U429" s="78"/>
      <c r="V429" s="78"/>
      <c r="W429" s="78"/>
      <c r="X429" s="78"/>
      <c r="Y429" s="78"/>
      <c r="Z429" s="78"/>
      <c r="AA429" s="78"/>
      <c r="AB429" s="78"/>
      <c r="AC429" s="78"/>
      <c r="AD429" s="78"/>
      <c r="AE429" s="78"/>
      <c r="AF429" s="78"/>
      <c r="AG429" s="78"/>
      <c r="AH429" s="78"/>
      <c r="AI429" s="78"/>
      <c r="AJ429" s="78"/>
      <c r="AK429" s="78"/>
      <c r="AL429" s="78"/>
      <c r="AM429" s="78"/>
      <c r="AN429" s="78"/>
      <c r="AO429" s="78"/>
      <c r="AP429" s="78"/>
      <c r="AQ429" s="78"/>
      <c r="AR429" s="78"/>
      <c r="AS429" s="78"/>
      <c r="AT429" s="78"/>
      <c r="AU429" s="78"/>
      <c r="AV429" s="78"/>
      <c r="AW429" s="78"/>
      <c r="AX429" s="78"/>
      <c r="AY429" s="91"/>
      <c r="AZ429" s="78"/>
      <c r="BA429" s="78"/>
      <c r="BB429" s="78"/>
      <c r="BC429" s="78"/>
      <c r="BD429" s="78"/>
      <c r="BE429" s="78"/>
      <c r="BF429" s="78"/>
      <c r="BG429" s="78"/>
      <c r="BH429" s="78"/>
      <c r="BI429" s="78"/>
      <c r="BJ429" s="78"/>
      <c r="BK429" s="78"/>
      <c r="BL429" s="78"/>
      <c r="BM429" s="78"/>
      <c r="BN429" s="78"/>
      <c r="BO429" s="78"/>
      <c r="BP429" s="78"/>
      <c r="BQ429" s="78"/>
      <c r="BR429" s="78"/>
      <c r="BS429" s="78"/>
      <c r="BT429" s="78"/>
      <c r="BU429" s="78"/>
      <c r="BV429" s="78"/>
      <c r="BW429" s="78"/>
      <c r="BX429" s="78"/>
      <c r="BY429" s="78"/>
      <c r="BZ429" s="78"/>
      <c r="CA429" s="78"/>
      <c r="CB429" s="78"/>
      <c r="CC429" s="78"/>
      <c r="CD429" s="78"/>
      <c r="CE429" s="78"/>
      <c r="CF429" s="78"/>
      <c r="CG429" s="78"/>
      <c r="CH429" s="78"/>
      <c r="CI429" s="78"/>
      <c r="CJ429" s="78"/>
      <c r="CK429" s="78"/>
      <c r="CL429" s="78"/>
      <c r="CM429" s="78"/>
      <c r="CN429" s="78"/>
      <c r="CO429" s="78"/>
      <c r="CP429" s="78"/>
      <c r="CQ429" s="78"/>
      <c r="CR429" s="78"/>
      <c r="CS429" s="78"/>
      <c r="CT429" s="78"/>
      <c r="CU429" s="78"/>
      <c r="CV429" s="78"/>
      <c r="CW429" s="78"/>
      <c r="CX429" s="78"/>
      <c r="CY429" s="78"/>
      <c r="CZ429" s="78"/>
      <c r="DA429" s="78"/>
      <c r="DB429" s="78"/>
      <c r="DC429" s="78"/>
      <c r="DD429" s="78"/>
      <c r="DE429" s="78"/>
      <c r="DF429" s="78"/>
      <c r="DG429" s="78"/>
      <c r="DH429" s="78"/>
      <c r="DI429" s="78"/>
      <c r="DJ429" s="78"/>
      <c r="DK429" s="78"/>
      <c r="DL429" s="78"/>
      <c r="DM429" s="78"/>
      <c r="DN429" s="78"/>
      <c r="DO429" s="78"/>
      <c r="DP429" s="78"/>
      <c r="DQ429" s="78"/>
      <c r="DR429" s="78"/>
      <c r="DS429" s="78"/>
      <c r="DT429" s="78"/>
      <c r="DU429" s="78"/>
      <c r="DV429" s="78"/>
      <c r="DW429" s="78"/>
      <c r="DX429" s="78"/>
      <c r="DY429" s="78"/>
      <c r="DZ429" s="78"/>
      <c r="EA429" s="78"/>
      <c r="EB429" s="78"/>
      <c r="EC429" s="78"/>
      <c r="ED429" s="78"/>
      <c r="EE429" s="78"/>
      <c r="EF429" s="78"/>
      <c r="EG429" s="78"/>
      <c r="EH429" s="78"/>
      <c r="EI429" s="78"/>
      <c r="EJ429" s="78"/>
      <c r="EK429" s="78"/>
      <c r="EL429" s="78"/>
      <c r="EM429" s="78"/>
      <c r="EN429" s="91"/>
      <c r="EO429" s="91"/>
      <c r="EP429" s="91"/>
      <c r="EQ429" s="91"/>
      <c r="ER429" s="91"/>
      <c r="ES429" s="91"/>
    </row>
    <row r="430" spans="1:149" outlineLevel="1">
      <c r="A430" s="29" t="str">
        <f t="shared" si="317"/>
        <v>modesg_inp_emss_bens_imoveistipo_bem</v>
      </c>
      <c r="B430" s="67" t="s">
        <v>26</v>
      </c>
      <c r="C430" s="68" t="s">
        <v>181</v>
      </c>
      <c r="D430" s="64" t="s">
        <v>40</v>
      </c>
      <c r="E430" s="66" t="s">
        <v>219</v>
      </c>
      <c r="F430" s="64" t="s">
        <v>305</v>
      </c>
      <c r="G430" s="64" t="str">
        <f>INDEX(Auxiliar!$B$16:$B$24,MATCH(Plano_V3!H430,Auxiliar!$C$16:$C$24,0),1)</f>
        <v>1. Concluído</v>
      </c>
      <c r="H430" s="64">
        <f>VLOOKUP(A430,'Aux - pivots1'!$A:$B,2,0)</f>
        <v>1</v>
      </c>
      <c r="I430" s="180">
        <f>SUMIFS(Table1[Estimação (horas)],Table1[Tabela],Plano_V3!E430,Table1[Campo],Plano_V3!F430)</f>
        <v>0.5</v>
      </c>
      <c r="J430" s="180">
        <f t="shared" si="313"/>
        <v>6.25E-2</v>
      </c>
      <c r="K430" s="180">
        <f>SUMIFS(Table1[Horas efetivas],Table1[Tabela],Plano_V3!E430,Table1[Campo],Plano_V3!F430)</f>
        <v>0.5</v>
      </c>
      <c r="L430" s="180">
        <f t="shared" si="314"/>
        <v>6.25E-2</v>
      </c>
      <c r="M430" s="174"/>
      <c r="N430" s="174">
        <f t="shared" si="315"/>
        <v>1</v>
      </c>
      <c r="O430" s="174">
        <f t="shared" si="316"/>
        <v>1</v>
      </c>
      <c r="P430" s="89" t="s">
        <v>39</v>
      </c>
      <c r="Q430" s="90">
        <f t="shared" si="324"/>
        <v>6.25E-2</v>
      </c>
      <c r="R430" s="78"/>
      <c r="S430" s="78"/>
      <c r="T430" s="78"/>
      <c r="U430" s="78"/>
      <c r="V430" s="78"/>
      <c r="W430" s="78"/>
      <c r="X430" s="78"/>
      <c r="Y430" s="78"/>
      <c r="Z430" s="78"/>
      <c r="AA430" s="78"/>
      <c r="AB430" s="78"/>
      <c r="AC430" s="78"/>
      <c r="AD430" s="78"/>
      <c r="AE430" s="78"/>
      <c r="AF430" s="78"/>
      <c r="AG430" s="78"/>
      <c r="AH430" s="78"/>
      <c r="AI430" s="78"/>
      <c r="AJ430" s="78"/>
      <c r="AK430" s="78"/>
      <c r="AL430" s="78"/>
      <c r="AM430" s="78"/>
      <c r="AN430" s="78"/>
      <c r="AO430" s="78"/>
      <c r="AP430" s="78"/>
      <c r="AQ430" s="78"/>
      <c r="AR430" s="78"/>
      <c r="AS430" s="78"/>
      <c r="AT430" s="78"/>
      <c r="AU430" s="78"/>
      <c r="AV430" s="78"/>
      <c r="AW430" s="78"/>
      <c r="AX430" s="78"/>
      <c r="AY430" s="91"/>
      <c r="AZ430" s="78"/>
      <c r="BA430" s="78"/>
      <c r="BB430" s="78"/>
      <c r="BC430" s="78"/>
      <c r="BD430" s="78"/>
      <c r="BE430" s="78"/>
      <c r="BF430" s="78"/>
      <c r="BG430" s="78"/>
      <c r="BH430" s="78"/>
      <c r="BI430" s="78"/>
      <c r="BJ430" s="78"/>
      <c r="BK430" s="78"/>
      <c r="BL430" s="78"/>
      <c r="BM430" s="78"/>
      <c r="BN430" s="78"/>
      <c r="BO430" s="78"/>
      <c r="BP430" s="78"/>
      <c r="BQ430" s="78"/>
      <c r="BR430" s="78"/>
      <c r="BS430" s="78"/>
      <c r="BT430" s="78"/>
      <c r="BU430" s="78"/>
      <c r="BV430" s="78"/>
      <c r="BW430" s="78"/>
      <c r="BX430" s="78"/>
      <c r="BY430" s="78"/>
      <c r="BZ430" s="78"/>
      <c r="CA430" s="78"/>
      <c r="CB430" s="78"/>
      <c r="CC430" s="78"/>
      <c r="CD430" s="78"/>
      <c r="CE430" s="78"/>
      <c r="CF430" s="78"/>
      <c r="CG430" s="78"/>
      <c r="CH430" s="78"/>
      <c r="CI430" s="78"/>
      <c r="CJ430" s="78"/>
      <c r="CK430" s="78"/>
      <c r="CL430" s="78"/>
      <c r="CM430" s="78"/>
      <c r="CN430" s="78"/>
      <c r="CO430" s="78"/>
      <c r="CP430" s="78"/>
      <c r="CQ430" s="78"/>
      <c r="CR430" s="78"/>
      <c r="CS430" s="78"/>
      <c r="CT430" s="78"/>
      <c r="CU430" s="78"/>
      <c r="CV430" s="78"/>
      <c r="CW430" s="78"/>
      <c r="CX430" s="78"/>
      <c r="CY430" s="78"/>
      <c r="CZ430" s="78"/>
      <c r="DA430" s="78"/>
      <c r="DB430" s="78"/>
      <c r="DC430" s="78"/>
      <c r="DD430" s="78"/>
      <c r="DE430" s="78"/>
      <c r="DF430" s="78"/>
      <c r="DG430" s="78"/>
      <c r="DH430" s="78"/>
      <c r="DI430" s="78"/>
      <c r="DJ430" s="78"/>
      <c r="DK430" s="78"/>
      <c r="DL430" s="78"/>
      <c r="DM430" s="78"/>
      <c r="DN430" s="78"/>
      <c r="DO430" s="78"/>
      <c r="DP430" s="78"/>
      <c r="DQ430" s="78"/>
      <c r="DR430" s="78"/>
      <c r="DS430" s="78"/>
      <c r="DT430" s="78"/>
      <c r="DU430" s="78"/>
      <c r="DV430" s="78"/>
      <c r="DW430" s="78"/>
      <c r="DX430" s="78"/>
      <c r="DY430" s="78"/>
      <c r="DZ430" s="78"/>
      <c r="EA430" s="78"/>
      <c r="EB430" s="78"/>
      <c r="EC430" s="78"/>
      <c r="ED430" s="78"/>
      <c r="EE430" s="78"/>
      <c r="EF430" s="78"/>
      <c r="EG430" s="78"/>
      <c r="EH430" s="78"/>
      <c r="EI430" s="78"/>
      <c r="EJ430" s="78"/>
      <c r="EK430" s="78"/>
      <c r="EL430" s="78"/>
      <c r="EM430" s="78"/>
      <c r="EN430" s="91"/>
      <c r="EO430" s="91"/>
      <c r="EP430" s="91"/>
      <c r="EQ430" s="91"/>
      <c r="ER430" s="91"/>
      <c r="ES430" s="91"/>
    </row>
    <row r="431" spans="1:149" outlineLevel="1">
      <c r="A431" s="29" t="str">
        <f t="shared" si="317"/>
        <v>modesg_inp_emss_bens_imoveistipo_finalidade_bem</v>
      </c>
      <c r="B431" s="67" t="s">
        <v>26</v>
      </c>
      <c r="C431" s="68" t="s">
        <v>181</v>
      </c>
      <c r="D431" s="64" t="s">
        <v>40</v>
      </c>
      <c r="E431" s="66" t="s">
        <v>219</v>
      </c>
      <c r="F431" s="64" t="s">
        <v>306</v>
      </c>
      <c r="G431" s="64" t="str">
        <f>INDEX(Auxiliar!$B$16:$B$24,MATCH(Plano_V3!H431,Auxiliar!$C$16:$C$24,0),1)</f>
        <v>1. Concluído</v>
      </c>
      <c r="H431" s="64">
        <f>VLOOKUP(A431,'Aux - pivots1'!$A:$B,2,0)</f>
        <v>1</v>
      </c>
      <c r="I431" s="180">
        <f>SUMIFS(Table1[Estimação (horas)],Table1[Tabela],Plano_V3!E431,Table1[Campo],Plano_V3!F431)</f>
        <v>0.5</v>
      </c>
      <c r="J431" s="180">
        <f t="shared" si="313"/>
        <v>6.25E-2</v>
      </c>
      <c r="K431" s="180">
        <f>SUMIFS(Table1[Horas efetivas],Table1[Tabela],Plano_V3!E431,Table1[Campo],Plano_V3!F431)</f>
        <v>0.5</v>
      </c>
      <c r="L431" s="180">
        <f t="shared" si="314"/>
        <v>6.25E-2</v>
      </c>
      <c r="M431" s="174"/>
      <c r="N431" s="174">
        <f t="shared" si="315"/>
        <v>1</v>
      </c>
      <c r="O431" s="174">
        <f t="shared" si="316"/>
        <v>1</v>
      </c>
      <c r="P431" s="89" t="s">
        <v>39</v>
      </c>
      <c r="Q431" s="90">
        <f t="shared" si="324"/>
        <v>6.25E-2</v>
      </c>
      <c r="R431" s="78"/>
      <c r="S431" s="78"/>
      <c r="T431" s="78"/>
      <c r="U431" s="78"/>
      <c r="V431" s="78"/>
      <c r="W431" s="78"/>
      <c r="X431" s="78"/>
      <c r="Y431" s="78"/>
      <c r="Z431" s="78"/>
      <c r="AA431" s="78"/>
      <c r="AB431" s="78"/>
      <c r="AC431" s="78"/>
      <c r="AD431" s="78"/>
      <c r="AE431" s="78"/>
      <c r="AF431" s="78"/>
      <c r="AG431" s="78"/>
      <c r="AH431" s="78"/>
      <c r="AI431" s="78"/>
      <c r="AJ431" s="78"/>
      <c r="AK431" s="78"/>
      <c r="AL431" s="78"/>
      <c r="AM431" s="78"/>
      <c r="AN431" s="78"/>
      <c r="AO431" s="78"/>
      <c r="AP431" s="78"/>
      <c r="AQ431" s="78"/>
      <c r="AR431" s="78"/>
      <c r="AS431" s="78"/>
      <c r="AT431" s="78"/>
      <c r="AU431" s="78"/>
      <c r="AV431" s="78"/>
      <c r="AW431" s="78"/>
      <c r="AX431" s="78"/>
      <c r="AY431" s="91"/>
      <c r="AZ431" s="78"/>
      <c r="BA431" s="78"/>
      <c r="BB431" s="78"/>
      <c r="BC431" s="78"/>
      <c r="BD431" s="78"/>
      <c r="BE431" s="78"/>
      <c r="BF431" s="78"/>
      <c r="BG431" s="78"/>
      <c r="BH431" s="78"/>
      <c r="BI431" s="78"/>
      <c r="BJ431" s="78"/>
      <c r="BK431" s="78"/>
      <c r="BL431" s="78"/>
      <c r="BM431" s="78"/>
      <c r="BN431" s="78"/>
      <c r="BO431" s="78"/>
      <c r="BP431" s="78"/>
      <c r="BQ431" s="78"/>
      <c r="BR431" s="78"/>
      <c r="BS431" s="78"/>
      <c r="BT431" s="78"/>
      <c r="BU431" s="78"/>
      <c r="BV431" s="78"/>
      <c r="BW431" s="78"/>
      <c r="BX431" s="78"/>
      <c r="BY431" s="78"/>
      <c r="BZ431" s="78"/>
      <c r="CA431" s="78"/>
      <c r="CB431" s="78"/>
      <c r="CC431" s="78"/>
      <c r="CD431" s="78"/>
      <c r="CE431" s="78"/>
      <c r="CF431" s="78"/>
      <c r="CG431" s="78"/>
      <c r="CH431" s="78"/>
      <c r="CI431" s="78"/>
      <c r="CJ431" s="78"/>
      <c r="CK431" s="78"/>
      <c r="CL431" s="78"/>
      <c r="CM431" s="78"/>
      <c r="CN431" s="78"/>
      <c r="CO431" s="78"/>
      <c r="CP431" s="78"/>
      <c r="CQ431" s="78"/>
      <c r="CR431" s="78"/>
      <c r="CS431" s="78"/>
      <c r="CT431" s="78"/>
      <c r="CU431" s="78"/>
      <c r="CV431" s="78"/>
      <c r="CW431" s="78"/>
      <c r="CX431" s="78"/>
      <c r="CY431" s="78"/>
      <c r="CZ431" s="78"/>
      <c r="DA431" s="78"/>
      <c r="DB431" s="78"/>
      <c r="DC431" s="78"/>
      <c r="DD431" s="78"/>
      <c r="DE431" s="78"/>
      <c r="DF431" s="78"/>
      <c r="DG431" s="78"/>
      <c r="DH431" s="78"/>
      <c r="DI431" s="78"/>
      <c r="DJ431" s="78"/>
      <c r="DK431" s="78"/>
      <c r="DL431" s="78"/>
      <c r="DM431" s="78"/>
      <c r="DN431" s="78"/>
      <c r="DO431" s="78"/>
      <c r="DP431" s="78"/>
      <c r="DQ431" s="78"/>
      <c r="DR431" s="78"/>
      <c r="DS431" s="78"/>
      <c r="DT431" s="78"/>
      <c r="DU431" s="78"/>
      <c r="DV431" s="78"/>
      <c r="DW431" s="78"/>
      <c r="DX431" s="78"/>
      <c r="DY431" s="78"/>
      <c r="DZ431" s="78"/>
      <c r="EA431" s="78"/>
      <c r="EB431" s="78"/>
      <c r="EC431" s="78"/>
      <c r="ED431" s="78"/>
      <c r="EE431" s="78"/>
      <c r="EF431" s="78"/>
      <c r="EG431" s="78"/>
      <c r="EH431" s="78"/>
      <c r="EI431" s="78"/>
      <c r="EJ431" s="78"/>
      <c r="EK431" s="78"/>
      <c r="EL431" s="78"/>
      <c r="EM431" s="78"/>
      <c r="EN431" s="91"/>
      <c r="EO431" s="91"/>
      <c r="EP431" s="91"/>
      <c r="EQ431" s="91"/>
      <c r="ER431" s="91"/>
      <c r="ES431" s="91"/>
    </row>
    <row r="432" spans="1:149" outlineLevel="1">
      <c r="A432" s="29" t="str">
        <f t="shared" si="317"/>
        <v>modesg_inp_emss_bens_imoveisepc</v>
      </c>
      <c r="B432" s="67" t="s">
        <v>26</v>
      </c>
      <c r="C432" s="68" t="s">
        <v>181</v>
      </c>
      <c r="D432" s="64" t="s">
        <v>40</v>
      </c>
      <c r="E432" s="66" t="s">
        <v>219</v>
      </c>
      <c r="F432" s="64" t="s">
        <v>198</v>
      </c>
      <c r="G432" s="64" t="str">
        <f>INDEX(Auxiliar!$B$16:$B$24,MATCH(Plano_V3!H432,Auxiliar!$C$16:$C$24,0),1)</f>
        <v>1. Concluído</v>
      </c>
      <c r="H432" s="64">
        <f>VLOOKUP(A432,'Aux - pivots1'!$A:$B,2,0)</f>
        <v>1</v>
      </c>
      <c r="I432" s="180">
        <f>SUMIFS(Table1[Estimação (horas)],Table1[Tabela],Plano_V3!E432,Table1[Campo],Plano_V3!F432)</f>
        <v>0.5</v>
      </c>
      <c r="J432" s="180">
        <f t="shared" si="313"/>
        <v>6.25E-2</v>
      </c>
      <c r="K432" s="180">
        <f>SUMIFS(Table1[Horas efetivas],Table1[Tabela],Plano_V3!E432,Table1[Campo],Plano_V3!F432)</f>
        <v>0.5</v>
      </c>
      <c r="L432" s="180">
        <f t="shared" si="314"/>
        <v>6.25E-2</v>
      </c>
      <c r="M432" s="174"/>
      <c r="N432" s="174">
        <f t="shared" si="315"/>
        <v>1</v>
      </c>
      <c r="O432" s="174">
        <f t="shared" si="316"/>
        <v>1</v>
      </c>
      <c r="P432" s="89" t="s">
        <v>39</v>
      </c>
      <c r="Q432" s="90">
        <f t="shared" si="324"/>
        <v>6.25E-2</v>
      </c>
      <c r="R432" s="78"/>
      <c r="S432" s="78"/>
      <c r="T432" s="78"/>
      <c r="U432" s="78"/>
      <c r="V432" s="78"/>
      <c r="W432" s="78"/>
      <c r="X432" s="78"/>
      <c r="Y432" s="78"/>
      <c r="Z432" s="78"/>
      <c r="AA432" s="78"/>
      <c r="AB432" s="78"/>
      <c r="AC432" s="78"/>
      <c r="AD432" s="78"/>
      <c r="AE432" s="78"/>
      <c r="AF432" s="78"/>
      <c r="AG432" s="78"/>
      <c r="AH432" s="78"/>
      <c r="AI432" s="78"/>
      <c r="AJ432" s="78"/>
      <c r="AK432" s="78"/>
      <c r="AL432" s="78"/>
      <c r="AM432" s="78"/>
      <c r="AN432" s="78"/>
      <c r="AO432" s="78"/>
      <c r="AP432" s="78"/>
      <c r="AQ432" s="78"/>
      <c r="AR432" s="78"/>
      <c r="AS432" s="78"/>
      <c r="AT432" s="78"/>
      <c r="AU432" s="78"/>
      <c r="AV432" s="78"/>
      <c r="AW432" s="78"/>
      <c r="AX432" s="78"/>
      <c r="AY432" s="91"/>
      <c r="AZ432" s="78"/>
      <c r="BA432" s="78"/>
      <c r="BB432" s="78"/>
      <c r="BC432" s="78"/>
      <c r="BD432" s="78"/>
      <c r="BE432" s="78"/>
      <c r="BF432" s="78"/>
      <c r="BG432" s="78"/>
      <c r="BH432" s="78"/>
      <c r="BI432" s="78"/>
      <c r="BJ432" s="78"/>
      <c r="BK432" s="78"/>
      <c r="BL432" s="78"/>
      <c r="BM432" s="78"/>
      <c r="BN432" s="78"/>
      <c r="BO432" s="78"/>
      <c r="BP432" s="78"/>
      <c r="BQ432" s="78"/>
      <c r="BR432" s="78"/>
      <c r="BS432" s="78"/>
      <c r="BT432" s="78"/>
      <c r="BU432" s="78"/>
      <c r="BV432" s="78"/>
      <c r="BW432" s="78"/>
      <c r="BX432" s="78"/>
      <c r="BY432" s="78"/>
      <c r="BZ432" s="78"/>
      <c r="CA432" s="78"/>
      <c r="CB432" s="78"/>
      <c r="CC432" s="78"/>
      <c r="CD432" s="78"/>
      <c r="CE432" s="78"/>
      <c r="CF432" s="78"/>
      <c r="CG432" s="78"/>
      <c r="CH432" s="78"/>
      <c r="CI432" s="78"/>
      <c r="CJ432" s="78"/>
      <c r="CK432" s="78"/>
      <c r="CL432" s="78"/>
      <c r="CM432" s="78"/>
      <c r="CN432" s="78"/>
      <c r="CO432" s="78"/>
      <c r="CP432" s="78"/>
      <c r="CQ432" s="78"/>
      <c r="CR432" s="78"/>
      <c r="CS432" s="78"/>
      <c r="CT432" s="78"/>
      <c r="CU432" s="78"/>
      <c r="CV432" s="78"/>
      <c r="CW432" s="78"/>
      <c r="CX432" s="78"/>
      <c r="CY432" s="78"/>
      <c r="CZ432" s="78"/>
      <c r="DA432" s="78"/>
      <c r="DB432" s="78"/>
      <c r="DC432" s="78"/>
      <c r="DD432" s="78"/>
      <c r="DE432" s="78"/>
      <c r="DF432" s="78"/>
      <c r="DG432" s="78"/>
      <c r="DH432" s="78"/>
      <c r="DI432" s="78"/>
      <c r="DJ432" s="78"/>
      <c r="DK432" s="78"/>
      <c r="DL432" s="78"/>
      <c r="DM432" s="78"/>
      <c r="DN432" s="78"/>
      <c r="DO432" s="78"/>
      <c r="DP432" s="78"/>
      <c r="DQ432" s="78"/>
      <c r="DR432" s="78"/>
      <c r="DS432" s="78"/>
      <c r="DT432" s="78"/>
      <c r="DU432" s="78"/>
      <c r="DV432" s="78"/>
      <c r="DW432" s="78"/>
      <c r="DX432" s="78"/>
      <c r="DY432" s="78"/>
      <c r="DZ432" s="78"/>
      <c r="EA432" s="78"/>
      <c r="EB432" s="78"/>
      <c r="EC432" s="78"/>
      <c r="ED432" s="78"/>
      <c r="EE432" s="78"/>
      <c r="EF432" s="78"/>
      <c r="EG432" s="78"/>
      <c r="EH432" s="78"/>
      <c r="EI432" s="78"/>
      <c r="EJ432" s="78"/>
      <c r="EK432" s="78"/>
      <c r="EL432" s="78"/>
      <c r="EM432" s="78"/>
      <c r="EN432" s="91"/>
      <c r="EO432" s="91"/>
      <c r="EP432" s="91"/>
      <c r="EQ432" s="91"/>
      <c r="ER432" s="91"/>
      <c r="ES432" s="91"/>
    </row>
    <row r="433" spans="1:149" outlineLevel="1">
      <c r="A433" s="29" t="str">
        <f t="shared" si="317"/>
        <v>modesg_inp_emss_bens_imoveisflg_ftr_emss_area</v>
      </c>
      <c r="B433" s="67" t="s">
        <v>26</v>
      </c>
      <c r="C433" s="68" t="s">
        <v>181</v>
      </c>
      <c r="D433" s="64" t="s">
        <v>40</v>
      </c>
      <c r="E433" s="66" t="s">
        <v>219</v>
      </c>
      <c r="F433" s="64" t="s">
        <v>307</v>
      </c>
      <c r="G433" s="64" t="str">
        <f>INDEX(Auxiliar!$B$16:$B$24,MATCH(Plano_V3!H433,Auxiliar!$C$16:$C$24,0),1)</f>
        <v>0. Cancelado</v>
      </c>
      <c r="H433" s="64">
        <f>VLOOKUP(A433,'Aux - pivots1'!$A:$B,2,0)</f>
        <v>0</v>
      </c>
      <c r="I433" s="180">
        <f>SUMIFS(Table1[Estimação (horas)],Table1[Tabela],Plano_V3!E433,Table1[Campo],Plano_V3!F433)</f>
        <v>0.5</v>
      </c>
      <c r="J433" s="180">
        <f t="shared" si="313"/>
        <v>6.25E-2</v>
      </c>
      <c r="K433" s="180">
        <f>SUMIFS(Table1[Horas efetivas],Table1[Tabela],Plano_V3!E433,Table1[Campo],Plano_V3!F433)</f>
        <v>0</v>
      </c>
      <c r="L433" s="180">
        <f t="shared" si="314"/>
        <v>0</v>
      </c>
      <c r="M433" s="174"/>
      <c r="N433" s="174">
        <f t="shared" si="315"/>
        <v>0</v>
      </c>
      <c r="O433" s="174">
        <f t="shared" si="316"/>
        <v>0</v>
      </c>
      <c r="P433" s="89" t="s">
        <v>39</v>
      </c>
      <c r="Q433" s="90">
        <f t="shared" si="324"/>
        <v>6.25E-2</v>
      </c>
      <c r="R433" s="78"/>
      <c r="S433" s="78"/>
      <c r="T433" s="78"/>
      <c r="U433" s="78"/>
      <c r="V433" s="78"/>
      <c r="W433" s="78"/>
      <c r="X433" s="78"/>
      <c r="Y433" s="78"/>
      <c r="Z433" s="78"/>
      <c r="AA433" s="78"/>
      <c r="AB433" s="78"/>
      <c r="AC433" s="78"/>
      <c r="AD433" s="78"/>
      <c r="AE433" s="78"/>
      <c r="AF433" s="78"/>
      <c r="AG433" s="78"/>
      <c r="AH433" s="78"/>
      <c r="AI433" s="78"/>
      <c r="AJ433" s="78"/>
      <c r="AK433" s="78"/>
      <c r="AL433" s="78"/>
      <c r="AM433" s="78"/>
      <c r="AN433" s="78"/>
      <c r="AO433" s="78"/>
      <c r="AP433" s="78"/>
      <c r="AQ433" s="78"/>
      <c r="AR433" s="78"/>
      <c r="AS433" s="78"/>
      <c r="AT433" s="78"/>
      <c r="AU433" s="78"/>
      <c r="AV433" s="78"/>
      <c r="AW433" s="78"/>
      <c r="AX433" s="78"/>
      <c r="AY433" s="91"/>
      <c r="AZ433" s="78"/>
      <c r="BA433" s="78"/>
      <c r="BB433" s="78"/>
      <c r="BC433" s="78"/>
      <c r="BD433" s="78"/>
      <c r="BE433" s="78"/>
      <c r="BF433" s="78"/>
      <c r="BG433" s="78"/>
      <c r="BH433" s="78"/>
      <c r="BI433" s="78"/>
      <c r="BJ433" s="78"/>
      <c r="BK433" s="78"/>
      <c r="BL433" s="78"/>
      <c r="BM433" s="78"/>
      <c r="BN433" s="78"/>
      <c r="BO433" s="78"/>
      <c r="BP433" s="78"/>
      <c r="BQ433" s="78"/>
      <c r="BR433" s="78"/>
      <c r="BS433" s="78"/>
      <c r="BT433" s="78"/>
      <c r="BU433" s="78"/>
      <c r="BV433" s="78"/>
      <c r="BW433" s="78"/>
      <c r="BX433" s="78"/>
      <c r="BY433" s="78"/>
      <c r="BZ433" s="78"/>
      <c r="CA433" s="78"/>
      <c r="CB433" s="78"/>
      <c r="CC433" s="78"/>
      <c r="CD433" s="78"/>
      <c r="CE433" s="78"/>
      <c r="CF433" s="78"/>
      <c r="CG433" s="78"/>
      <c r="CH433" s="78"/>
      <c r="CI433" s="78"/>
      <c r="CJ433" s="78"/>
      <c r="CK433" s="78"/>
      <c r="CL433" s="78"/>
      <c r="CM433" s="78"/>
      <c r="CN433" s="78"/>
      <c r="CO433" s="78"/>
      <c r="CP433" s="78"/>
      <c r="CQ433" s="78"/>
      <c r="CR433" s="78"/>
      <c r="CS433" s="78"/>
      <c r="CT433" s="78"/>
      <c r="CU433" s="78"/>
      <c r="CV433" s="78"/>
      <c r="CW433" s="78"/>
      <c r="CX433" s="78"/>
      <c r="CY433" s="78"/>
      <c r="CZ433" s="78"/>
      <c r="DA433" s="78"/>
      <c r="DB433" s="78"/>
      <c r="DC433" s="78"/>
      <c r="DD433" s="78"/>
      <c r="DE433" s="78"/>
      <c r="DF433" s="78"/>
      <c r="DG433" s="78"/>
      <c r="DH433" s="78"/>
      <c r="DI433" s="78"/>
      <c r="DJ433" s="78"/>
      <c r="DK433" s="78"/>
      <c r="DL433" s="78"/>
      <c r="DM433" s="78"/>
      <c r="DN433" s="78"/>
      <c r="DO433" s="78"/>
      <c r="DP433" s="78"/>
      <c r="DQ433" s="78"/>
      <c r="DR433" s="78"/>
      <c r="DS433" s="78"/>
      <c r="DT433" s="78"/>
      <c r="DU433" s="78"/>
      <c r="DV433" s="78"/>
      <c r="DW433" s="78"/>
      <c r="DX433" s="78"/>
      <c r="DY433" s="78"/>
      <c r="DZ433" s="78"/>
      <c r="EA433" s="78"/>
      <c r="EB433" s="78"/>
      <c r="EC433" s="78"/>
      <c r="ED433" s="78"/>
      <c r="EE433" s="78"/>
      <c r="EF433" s="78"/>
      <c r="EG433" s="78"/>
      <c r="EH433" s="78"/>
      <c r="EI433" s="78"/>
      <c r="EJ433" s="78"/>
      <c r="EK433" s="78"/>
      <c r="EL433" s="78"/>
      <c r="EM433" s="78"/>
      <c r="EN433" s="91"/>
      <c r="EO433" s="91"/>
      <c r="EP433" s="91"/>
      <c r="EQ433" s="91"/>
      <c r="ER433" s="91"/>
      <c r="ES433" s="91"/>
    </row>
    <row r="434" spans="1:149" outlineLevel="1">
      <c r="A434" s="29" t="str">
        <f t="shared" si="317"/>
        <v>modesg_inp_emss_bens_imoveisnome_unidade_funcional</v>
      </c>
      <c r="B434" s="67" t="s">
        <v>26</v>
      </c>
      <c r="C434" s="68" t="s">
        <v>181</v>
      </c>
      <c r="D434" s="64" t="s">
        <v>40</v>
      </c>
      <c r="E434" s="66" t="s">
        <v>219</v>
      </c>
      <c r="F434" s="64" t="s">
        <v>228</v>
      </c>
      <c r="G434" s="64" t="str">
        <f>INDEX(Auxiliar!$B$16:$B$24,MATCH(Plano_V3!H434,Auxiliar!$C$16:$C$24,0),1)</f>
        <v>1. Concluído</v>
      </c>
      <c r="H434" s="64">
        <f>VLOOKUP(A434,'Aux - pivots1'!$A:$B,2,0)</f>
        <v>1</v>
      </c>
      <c r="I434" s="180">
        <f>SUMIFS(Table1[Estimação (horas)],Table1[Tabela],Plano_V3!E434,Table1[Campo],Plano_V3!F434)</f>
        <v>0.5</v>
      </c>
      <c r="J434" s="180">
        <f t="shared" si="313"/>
        <v>6.25E-2</v>
      </c>
      <c r="K434" s="180">
        <f>SUMIFS(Table1[Horas efetivas],Table1[Tabela],Plano_V3!E434,Table1[Campo],Plano_V3!F434)</f>
        <v>0.5</v>
      </c>
      <c r="L434" s="180">
        <f t="shared" si="314"/>
        <v>6.25E-2</v>
      </c>
      <c r="M434" s="174"/>
      <c r="N434" s="174">
        <f t="shared" si="315"/>
        <v>1</v>
      </c>
      <c r="O434" s="174">
        <f t="shared" si="316"/>
        <v>1</v>
      </c>
      <c r="P434" s="89" t="s">
        <v>39</v>
      </c>
      <c r="Q434" s="90">
        <f t="shared" si="324"/>
        <v>6.25E-2</v>
      </c>
      <c r="R434" s="78"/>
      <c r="S434" s="78"/>
      <c r="T434" s="78"/>
      <c r="U434" s="78"/>
      <c r="V434" s="78"/>
      <c r="W434" s="78"/>
      <c r="X434" s="78"/>
      <c r="Y434" s="78"/>
      <c r="Z434" s="78"/>
      <c r="AA434" s="78"/>
      <c r="AB434" s="78"/>
      <c r="AC434" s="78"/>
      <c r="AD434" s="78"/>
      <c r="AE434" s="78"/>
      <c r="AF434" s="78"/>
      <c r="AG434" s="78"/>
      <c r="AH434" s="78"/>
      <c r="AI434" s="78"/>
      <c r="AJ434" s="78"/>
      <c r="AK434" s="78"/>
      <c r="AL434" s="78"/>
      <c r="AM434" s="78"/>
      <c r="AN434" s="78"/>
      <c r="AO434" s="78"/>
      <c r="AP434" s="78"/>
      <c r="AQ434" s="78"/>
      <c r="AR434" s="78"/>
      <c r="AS434" s="78"/>
      <c r="AT434" s="78"/>
      <c r="AU434" s="78"/>
      <c r="AV434" s="78"/>
      <c r="AW434" s="78"/>
      <c r="AX434" s="78"/>
      <c r="AY434" s="91"/>
      <c r="AZ434" s="78"/>
      <c r="BA434" s="78"/>
      <c r="BB434" s="78"/>
      <c r="BC434" s="78"/>
      <c r="BD434" s="78"/>
      <c r="BE434" s="78"/>
      <c r="BF434" s="78"/>
      <c r="BG434" s="78"/>
      <c r="BH434" s="78"/>
      <c r="BI434" s="78"/>
      <c r="BJ434" s="78"/>
      <c r="BK434" s="78"/>
      <c r="BL434" s="78"/>
      <c r="BM434" s="78"/>
      <c r="BN434" s="78"/>
      <c r="BO434" s="78"/>
      <c r="BP434" s="78"/>
      <c r="BQ434" s="78"/>
      <c r="BR434" s="78"/>
      <c r="BS434" s="78"/>
      <c r="BT434" s="78"/>
      <c r="BU434" s="78"/>
      <c r="BV434" s="78"/>
      <c r="BW434" s="78"/>
      <c r="BX434" s="78"/>
      <c r="BY434" s="78"/>
      <c r="BZ434" s="78"/>
      <c r="CA434" s="78"/>
      <c r="CB434" s="78"/>
      <c r="CC434" s="78"/>
      <c r="CD434" s="78"/>
      <c r="CE434" s="78"/>
      <c r="CF434" s="78"/>
      <c r="CG434" s="78"/>
      <c r="CH434" s="78"/>
      <c r="CI434" s="78"/>
      <c r="CJ434" s="78"/>
      <c r="CK434" s="78"/>
      <c r="CL434" s="78"/>
      <c r="CM434" s="78"/>
      <c r="CN434" s="78"/>
      <c r="CO434" s="78"/>
      <c r="CP434" s="78"/>
      <c r="CQ434" s="78"/>
      <c r="CR434" s="78"/>
      <c r="CS434" s="78"/>
      <c r="CT434" s="78"/>
      <c r="CU434" s="78"/>
      <c r="CV434" s="78"/>
      <c r="CW434" s="78"/>
      <c r="CX434" s="78"/>
      <c r="CY434" s="78"/>
      <c r="CZ434" s="78"/>
      <c r="DA434" s="78"/>
      <c r="DB434" s="78"/>
      <c r="DC434" s="78"/>
      <c r="DD434" s="78"/>
      <c r="DE434" s="78"/>
      <c r="DF434" s="78"/>
      <c r="DG434" s="78"/>
      <c r="DH434" s="78"/>
      <c r="DI434" s="78"/>
      <c r="DJ434" s="78"/>
      <c r="DK434" s="78"/>
      <c r="DL434" s="78"/>
      <c r="DM434" s="78"/>
      <c r="DN434" s="78"/>
      <c r="DO434" s="78"/>
      <c r="DP434" s="78"/>
      <c r="DQ434" s="78"/>
      <c r="DR434" s="78"/>
      <c r="DS434" s="78"/>
      <c r="DT434" s="78"/>
      <c r="DU434" s="78"/>
      <c r="DV434" s="78"/>
      <c r="DW434" s="78"/>
      <c r="DX434" s="78"/>
      <c r="DY434" s="78"/>
      <c r="DZ434" s="78"/>
      <c r="EA434" s="78"/>
      <c r="EB434" s="78"/>
      <c r="EC434" s="78"/>
      <c r="ED434" s="78"/>
      <c r="EE434" s="78"/>
      <c r="EF434" s="78"/>
      <c r="EG434" s="78"/>
      <c r="EH434" s="78"/>
      <c r="EI434" s="78"/>
      <c r="EJ434" s="78"/>
      <c r="EK434" s="78"/>
      <c r="EL434" s="78"/>
      <c r="EM434" s="78"/>
      <c r="EN434" s="91"/>
      <c r="EO434" s="91"/>
      <c r="EP434" s="91"/>
      <c r="EQ434" s="91"/>
      <c r="ER434" s="91"/>
      <c r="ES434" s="91"/>
    </row>
    <row r="435" spans="1:149" outlineLevel="1">
      <c r="A435" s="29" t="str">
        <f t="shared" si="317"/>
        <v>modesg_inp_emss_bens_imoveisunidade_funcional</v>
      </c>
      <c r="B435" s="67" t="s">
        <v>26</v>
      </c>
      <c r="C435" s="68" t="s">
        <v>181</v>
      </c>
      <c r="D435" s="64" t="s">
        <v>40</v>
      </c>
      <c r="E435" s="66" t="s">
        <v>219</v>
      </c>
      <c r="F435" s="64" t="s">
        <v>229</v>
      </c>
      <c r="G435" s="64" t="str">
        <f>INDEX(Auxiliar!$B$16:$B$24,MATCH(Plano_V3!H435,Auxiliar!$C$16:$C$24,0),1)</f>
        <v>1. Concluído</v>
      </c>
      <c r="H435" s="64">
        <f>VLOOKUP(A435,'Aux - pivots1'!$A:$B,2,0)</f>
        <v>1</v>
      </c>
      <c r="I435" s="180">
        <f>SUMIFS(Table1[Estimação (horas)],Table1[Tabela],Plano_V3!E435,Table1[Campo],Plano_V3!F435)</f>
        <v>0.5</v>
      </c>
      <c r="J435" s="180">
        <f t="shared" si="313"/>
        <v>6.25E-2</v>
      </c>
      <c r="K435" s="180">
        <f>SUMIFS(Table1[Horas efetivas],Table1[Tabela],Plano_V3!E435,Table1[Campo],Plano_V3!F435)</f>
        <v>0.5</v>
      </c>
      <c r="L435" s="180">
        <f t="shared" si="314"/>
        <v>6.25E-2</v>
      </c>
      <c r="M435" s="174"/>
      <c r="N435" s="174">
        <f t="shared" si="315"/>
        <v>1</v>
      </c>
      <c r="O435" s="174">
        <f t="shared" si="316"/>
        <v>1</v>
      </c>
      <c r="P435" s="89" t="s">
        <v>39</v>
      </c>
      <c r="Q435" s="90">
        <f t="shared" si="324"/>
        <v>6.25E-2</v>
      </c>
      <c r="R435" s="78"/>
      <c r="S435" s="78"/>
      <c r="T435" s="78"/>
      <c r="U435" s="78"/>
      <c r="V435" s="78"/>
      <c r="W435" s="78"/>
      <c r="X435" s="78"/>
      <c r="Y435" s="78"/>
      <c r="Z435" s="78"/>
      <c r="AA435" s="78"/>
      <c r="AB435" s="78"/>
      <c r="AC435" s="78"/>
      <c r="AD435" s="78"/>
      <c r="AE435" s="78"/>
      <c r="AF435" s="78"/>
      <c r="AG435" s="78"/>
      <c r="AH435" s="78"/>
      <c r="AI435" s="78"/>
      <c r="AJ435" s="78"/>
      <c r="AK435" s="78"/>
      <c r="AL435" s="78"/>
      <c r="AM435" s="78"/>
      <c r="AN435" s="78"/>
      <c r="AO435" s="78"/>
      <c r="AP435" s="78"/>
      <c r="AQ435" s="78"/>
      <c r="AR435" s="78"/>
      <c r="AS435" s="78"/>
      <c r="AT435" s="78"/>
      <c r="AU435" s="78"/>
      <c r="AV435" s="78"/>
      <c r="AW435" s="78"/>
      <c r="AX435" s="78"/>
      <c r="AY435" s="91"/>
      <c r="AZ435" s="78"/>
      <c r="BA435" s="78"/>
      <c r="BB435" s="78"/>
      <c r="BC435" s="78"/>
      <c r="BD435" s="78"/>
      <c r="BE435" s="78"/>
      <c r="BF435" s="78"/>
      <c r="BG435" s="78"/>
      <c r="BH435" s="78"/>
      <c r="BI435" s="78"/>
      <c r="BJ435" s="78"/>
      <c r="BK435" s="78"/>
      <c r="BL435" s="78"/>
      <c r="BM435" s="78"/>
      <c r="BN435" s="78"/>
      <c r="BO435" s="78"/>
      <c r="BP435" s="78"/>
      <c r="BQ435" s="78"/>
      <c r="BR435" s="78"/>
      <c r="BS435" s="78"/>
      <c r="BT435" s="78"/>
      <c r="BU435" s="78"/>
      <c r="BV435" s="78"/>
      <c r="BW435" s="78"/>
      <c r="BX435" s="78"/>
      <c r="BY435" s="78"/>
      <c r="BZ435" s="78"/>
      <c r="CA435" s="78"/>
      <c r="CB435" s="78"/>
      <c r="CC435" s="78"/>
      <c r="CD435" s="78"/>
      <c r="CE435" s="78"/>
      <c r="CF435" s="78"/>
      <c r="CG435" s="78"/>
      <c r="CH435" s="78"/>
      <c r="CI435" s="78"/>
      <c r="CJ435" s="78"/>
      <c r="CK435" s="78"/>
      <c r="CL435" s="78"/>
      <c r="CM435" s="78"/>
      <c r="CN435" s="78"/>
      <c r="CO435" s="78"/>
      <c r="CP435" s="78"/>
      <c r="CQ435" s="78"/>
      <c r="CR435" s="78"/>
      <c r="CS435" s="78"/>
      <c r="CT435" s="78"/>
      <c r="CU435" s="78"/>
      <c r="CV435" s="78"/>
      <c r="CW435" s="78"/>
      <c r="CX435" s="78"/>
      <c r="CY435" s="78"/>
      <c r="CZ435" s="78"/>
      <c r="DA435" s="78"/>
      <c r="DB435" s="78"/>
      <c r="DC435" s="78"/>
      <c r="DD435" s="78"/>
      <c r="DE435" s="78"/>
      <c r="DF435" s="78"/>
      <c r="DG435" s="78"/>
      <c r="DH435" s="78"/>
      <c r="DI435" s="78"/>
      <c r="DJ435" s="78"/>
      <c r="DK435" s="78"/>
      <c r="DL435" s="78"/>
      <c r="DM435" s="78"/>
      <c r="DN435" s="78"/>
      <c r="DO435" s="78"/>
      <c r="DP435" s="78"/>
      <c r="DQ435" s="78"/>
      <c r="DR435" s="78"/>
      <c r="DS435" s="78"/>
      <c r="DT435" s="78"/>
      <c r="DU435" s="78"/>
      <c r="DV435" s="78"/>
      <c r="DW435" s="78"/>
      <c r="DX435" s="78"/>
      <c r="DY435" s="78"/>
      <c r="DZ435" s="78"/>
      <c r="EA435" s="78"/>
      <c r="EB435" s="78"/>
      <c r="EC435" s="78"/>
      <c r="ED435" s="78"/>
      <c r="EE435" s="78"/>
      <c r="EF435" s="78"/>
      <c r="EG435" s="78"/>
      <c r="EH435" s="78"/>
      <c r="EI435" s="78"/>
      <c r="EJ435" s="78"/>
      <c r="EK435" s="78"/>
      <c r="EL435" s="78"/>
      <c r="EM435" s="78"/>
      <c r="EN435" s="91"/>
      <c r="EO435" s="91"/>
      <c r="EP435" s="91"/>
      <c r="EQ435" s="91"/>
      <c r="ER435" s="91"/>
      <c r="ES435" s="91"/>
    </row>
    <row r="436" spans="1:149" outlineLevel="1">
      <c r="A436" s="29" t="str">
        <f t="shared" si="317"/>
        <v>modesg_inp_emss_bens_imoveisnome_fator_emissao</v>
      </c>
      <c r="B436" s="67" t="s">
        <v>26</v>
      </c>
      <c r="C436" s="68" t="s">
        <v>181</v>
      </c>
      <c r="D436" s="64" t="s">
        <v>40</v>
      </c>
      <c r="E436" s="66" t="s">
        <v>219</v>
      </c>
      <c r="F436" s="64" t="s">
        <v>230</v>
      </c>
      <c r="G436" s="64" t="str">
        <f>INDEX(Auxiliar!$B$16:$B$24,MATCH(Plano_V3!H436,Auxiliar!$C$16:$C$24,0),1)</f>
        <v>1. Concluído</v>
      </c>
      <c r="H436" s="64">
        <f>VLOOKUP(A436,'Aux - pivots1'!$A:$B,2,0)</f>
        <v>1</v>
      </c>
      <c r="I436" s="180">
        <f>SUMIFS(Table1[Estimação (horas)],Table1[Tabela],Plano_V3!E436,Table1[Campo],Plano_V3!F436)</f>
        <v>0.5</v>
      </c>
      <c r="J436" s="180">
        <f t="shared" si="313"/>
        <v>6.25E-2</v>
      </c>
      <c r="K436" s="180">
        <f>SUMIFS(Table1[Horas efetivas],Table1[Tabela],Plano_V3!E436,Table1[Campo],Plano_V3!F436)</f>
        <v>0.5</v>
      </c>
      <c r="L436" s="180">
        <f t="shared" si="314"/>
        <v>6.25E-2</v>
      </c>
      <c r="M436" s="174"/>
      <c r="N436" s="174">
        <f t="shared" si="315"/>
        <v>1</v>
      </c>
      <c r="O436" s="174">
        <f t="shared" si="316"/>
        <v>1</v>
      </c>
      <c r="P436" s="89" t="s">
        <v>39</v>
      </c>
      <c r="Q436" s="90">
        <f t="shared" si="324"/>
        <v>6.25E-2</v>
      </c>
      <c r="R436" s="78"/>
      <c r="S436" s="78"/>
      <c r="T436" s="78"/>
      <c r="U436" s="78"/>
      <c r="V436" s="78"/>
      <c r="W436" s="78"/>
      <c r="X436" s="78"/>
      <c r="Y436" s="78"/>
      <c r="Z436" s="78"/>
      <c r="AA436" s="78"/>
      <c r="AB436" s="78"/>
      <c r="AC436" s="78"/>
      <c r="AD436" s="78"/>
      <c r="AE436" s="78"/>
      <c r="AF436" s="78"/>
      <c r="AG436" s="78"/>
      <c r="AH436" s="78"/>
      <c r="AI436" s="78"/>
      <c r="AJ436" s="78"/>
      <c r="AK436" s="78"/>
      <c r="AL436" s="78"/>
      <c r="AM436" s="78"/>
      <c r="AN436" s="78"/>
      <c r="AO436" s="78"/>
      <c r="AP436" s="78"/>
      <c r="AQ436" s="78"/>
      <c r="AR436" s="78"/>
      <c r="AS436" s="78"/>
      <c r="AT436" s="78"/>
      <c r="AU436" s="78"/>
      <c r="AV436" s="78"/>
      <c r="AW436" s="78"/>
      <c r="AX436" s="78"/>
      <c r="AY436" s="91"/>
      <c r="AZ436" s="78"/>
      <c r="BA436" s="78"/>
      <c r="BB436" s="78"/>
      <c r="BC436" s="78"/>
      <c r="BD436" s="78"/>
      <c r="BE436" s="78"/>
      <c r="BF436" s="78"/>
      <c r="BG436" s="78"/>
      <c r="BH436" s="78"/>
      <c r="BI436" s="78"/>
      <c r="BJ436" s="78"/>
      <c r="BK436" s="78"/>
      <c r="BL436" s="78"/>
      <c r="BM436" s="78"/>
      <c r="BN436" s="78"/>
      <c r="BO436" s="78"/>
      <c r="BP436" s="78"/>
      <c r="BQ436" s="78"/>
      <c r="BR436" s="78"/>
      <c r="BS436" s="78"/>
      <c r="BT436" s="78"/>
      <c r="BU436" s="78"/>
      <c r="BV436" s="78"/>
      <c r="BW436" s="78"/>
      <c r="BX436" s="78"/>
      <c r="BY436" s="78"/>
      <c r="BZ436" s="78"/>
      <c r="CA436" s="78"/>
      <c r="CB436" s="78"/>
      <c r="CC436" s="78"/>
      <c r="CD436" s="78"/>
      <c r="CE436" s="78"/>
      <c r="CF436" s="78"/>
      <c r="CG436" s="78"/>
      <c r="CH436" s="78"/>
      <c r="CI436" s="78"/>
      <c r="CJ436" s="78"/>
      <c r="CK436" s="78"/>
      <c r="CL436" s="78"/>
      <c r="CM436" s="78"/>
      <c r="CN436" s="78"/>
      <c r="CO436" s="78"/>
      <c r="CP436" s="78"/>
      <c r="CQ436" s="78"/>
      <c r="CR436" s="78"/>
      <c r="CS436" s="78"/>
      <c r="CT436" s="78"/>
      <c r="CU436" s="78"/>
      <c r="CV436" s="78"/>
      <c r="CW436" s="78"/>
      <c r="CX436" s="78"/>
      <c r="CY436" s="78"/>
      <c r="CZ436" s="78"/>
      <c r="DA436" s="78"/>
      <c r="DB436" s="78"/>
      <c r="DC436" s="78"/>
      <c r="DD436" s="78"/>
      <c r="DE436" s="78"/>
      <c r="DF436" s="78"/>
      <c r="DG436" s="78"/>
      <c r="DH436" s="78"/>
      <c r="DI436" s="78"/>
      <c r="DJ436" s="78"/>
      <c r="DK436" s="78"/>
      <c r="DL436" s="78"/>
      <c r="DM436" s="78"/>
      <c r="DN436" s="78"/>
      <c r="DO436" s="78"/>
      <c r="DP436" s="78"/>
      <c r="DQ436" s="78"/>
      <c r="DR436" s="78"/>
      <c r="DS436" s="78"/>
      <c r="DT436" s="78"/>
      <c r="DU436" s="78"/>
      <c r="DV436" s="78"/>
      <c r="DW436" s="78"/>
      <c r="DX436" s="78"/>
      <c r="DY436" s="78"/>
      <c r="DZ436" s="78"/>
      <c r="EA436" s="78"/>
      <c r="EB436" s="78"/>
      <c r="EC436" s="78"/>
      <c r="ED436" s="78"/>
      <c r="EE436" s="78"/>
      <c r="EF436" s="78"/>
      <c r="EG436" s="78"/>
      <c r="EH436" s="78"/>
      <c r="EI436" s="78"/>
      <c r="EJ436" s="78"/>
      <c r="EK436" s="78"/>
      <c r="EL436" s="78"/>
      <c r="EM436" s="78"/>
      <c r="EN436" s="91"/>
      <c r="EO436" s="91"/>
      <c r="EP436" s="91"/>
      <c r="EQ436" s="91"/>
      <c r="ER436" s="91"/>
      <c r="ES436" s="91"/>
    </row>
    <row r="437" spans="1:149" outlineLevel="1">
      <c r="A437" s="29" t="str">
        <f t="shared" si="317"/>
        <v>modesg_inp_emss_bens_imoveisunidade_fator_de_emissao</v>
      </c>
      <c r="B437" s="67" t="s">
        <v>26</v>
      </c>
      <c r="C437" s="68" t="s">
        <v>181</v>
      </c>
      <c r="D437" s="64" t="s">
        <v>40</v>
      </c>
      <c r="E437" s="66" t="s">
        <v>219</v>
      </c>
      <c r="F437" s="64" t="s">
        <v>231</v>
      </c>
      <c r="G437" s="64" t="str">
        <f>INDEX(Auxiliar!$B$16:$B$24,MATCH(Plano_V3!H437,Auxiliar!$C$16:$C$24,0),1)</f>
        <v>1. Concluído</v>
      </c>
      <c r="H437" s="64">
        <f>VLOOKUP(A437,'Aux - pivots1'!$A:$B,2,0)</f>
        <v>1</v>
      </c>
      <c r="I437" s="180">
        <f>SUMIFS(Table1[Estimação (horas)],Table1[Tabela],Plano_V3!E437,Table1[Campo],Plano_V3!F437)</f>
        <v>0.5</v>
      </c>
      <c r="J437" s="180">
        <f t="shared" si="313"/>
        <v>6.25E-2</v>
      </c>
      <c r="K437" s="180">
        <f>SUMIFS(Table1[Horas efetivas],Table1[Tabela],Plano_V3!E437,Table1[Campo],Plano_V3!F437)</f>
        <v>0.5</v>
      </c>
      <c r="L437" s="180">
        <f t="shared" si="314"/>
        <v>6.25E-2</v>
      </c>
      <c r="M437" s="174"/>
      <c r="N437" s="174">
        <f t="shared" si="315"/>
        <v>1</v>
      </c>
      <c r="O437" s="174">
        <f t="shared" si="316"/>
        <v>1</v>
      </c>
      <c r="P437" s="89" t="s">
        <v>39</v>
      </c>
      <c r="Q437" s="90">
        <f t="shared" si="324"/>
        <v>6.25E-2</v>
      </c>
      <c r="R437" s="78"/>
      <c r="S437" s="78"/>
      <c r="T437" s="78"/>
      <c r="U437" s="78"/>
      <c r="V437" s="78"/>
      <c r="W437" s="78"/>
      <c r="X437" s="78"/>
      <c r="Y437" s="78"/>
      <c r="Z437" s="78"/>
      <c r="AA437" s="78"/>
      <c r="AB437" s="78"/>
      <c r="AC437" s="78"/>
      <c r="AD437" s="78"/>
      <c r="AE437" s="78"/>
      <c r="AF437" s="78"/>
      <c r="AG437" s="78"/>
      <c r="AH437" s="78"/>
      <c r="AI437" s="78"/>
      <c r="AJ437" s="78"/>
      <c r="AK437" s="78"/>
      <c r="AL437" s="78"/>
      <c r="AM437" s="78"/>
      <c r="AN437" s="78"/>
      <c r="AO437" s="78"/>
      <c r="AP437" s="78"/>
      <c r="AQ437" s="78"/>
      <c r="AR437" s="78"/>
      <c r="AS437" s="78"/>
      <c r="AT437" s="78"/>
      <c r="AU437" s="78"/>
      <c r="AV437" s="78"/>
      <c r="AW437" s="78"/>
      <c r="AX437" s="78"/>
      <c r="AY437" s="91"/>
      <c r="AZ437" s="78"/>
      <c r="BA437" s="78"/>
      <c r="BB437" s="78"/>
      <c r="BC437" s="78"/>
      <c r="BD437" s="78"/>
      <c r="BE437" s="78"/>
      <c r="BF437" s="78"/>
      <c r="BG437" s="78"/>
      <c r="BH437" s="78"/>
      <c r="BI437" s="78"/>
      <c r="BJ437" s="78"/>
      <c r="BK437" s="78"/>
      <c r="BL437" s="78"/>
      <c r="BM437" s="78"/>
      <c r="BN437" s="78"/>
      <c r="BO437" s="78"/>
      <c r="BP437" s="78"/>
      <c r="BQ437" s="78"/>
      <c r="BR437" s="78"/>
      <c r="BS437" s="78"/>
      <c r="BT437" s="78"/>
      <c r="BU437" s="78"/>
      <c r="BV437" s="78"/>
      <c r="BW437" s="78"/>
      <c r="BX437" s="78"/>
      <c r="BY437" s="78"/>
      <c r="BZ437" s="78"/>
      <c r="CA437" s="78"/>
      <c r="CB437" s="78"/>
      <c r="CC437" s="78"/>
      <c r="CD437" s="78"/>
      <c r="CE437" s="78"/>
      <c r="CF437" s="78"/>
      <c r="CG437" s="78"/>
      <c r="CH437" s="78"/>
      <c r="CI437" s="78"/>
      <c r="CJ437" s="78"/>
      <c r="CK437" s="78"/>
      <c r="CL437" s="78"/>
      <c r="CM437" s="78"/>
      <c r="CN437" s="78"/>
      <c r="CO437" s="78"/>
      <c r="CP437" s="78"/>
      <c r="CQ437" s="78"/>
      <c r="CR437" s="78"/>
      <c r="CS437" s="78"/>
      <c r="CT437" s="78"/>
      <c r="CU437" s="78"/>
      <c r="CV437" s="78"/>
      <c r="CW437" s="78"/>
      <c r="CX437" s="78"/>
      <c r="CY437" s="78"/>
      <c r="CZ437" s="78"/>
      <c r="DA437" s="78"/>
      <c r="DB437" s="78"/>
      <c r="DC437" s="78"/>
      <c r="DD437" s="78"/>
      <c r="DE437" s="78"/>
      <c r="DF437" s="78"/>
      <c r="DG437" s="78"/>
      <c r="DH437" s="78"/>
      <c r="DI437" s="78"/>
      <c r="DJ437" s="78"/>
      <c r="DK437" s="78"/>
      <c r="DL437" s="78"/>
      <c r="DM437" s="78"/>
      <c r="DN437" s="78"/>
      <c r="DO437" s="78"/>
      <c r="DP437" s="78"/>
      <c r="DQ437" s="78"/>
      <c r="DR437" s="78"/>
      <c r="DS437" s="78"/>
      <c r="DT437" s="78"/>
      <c r="DU437" s="78"/>
      <c r="DV437" s="78"/>
      <c r="DW437" s="78"/>
      <c r="DX437" s="78"/>
      <c r="DY437" s="78"/>
      <c r="DZ437" s="78"/>
      <c r="EA437" s="78"/>
      <c r="EB437" s="78"/>
      <c r="EC437" s="78"/>
      <c r="ED437" s="78"/>
      <c r="EE437" s="78"/>
      <c r="EF437" s="78"/>
      <c r="EG437" s="78"/>
      <c r="EH437" s="78"/>
      <c r="EI437" s="78"/>
      <c r="EJ437" s="78"/>
      <c r="EK437" s="78"/>
      <c r="EL437" s="78"/>
      <c r="EM437" s="78"/>
      <c r="EN437" s="91"/>
      <c r="EO437" s="91"/>
      <c r="EP437" s="91"/>
      <c r="EQ437" s="91"/>
      <c r="ER437" s="91"/>
      <c r="ES437" s="91"/>
    </row>
    <row r="438" spans="1:149" outlineLevel="1">
      <c r="A438" s="29" t="str">
        <f t="shared" si="317"/>
        <v>modesg_inp_emss_bens_imoveisscore_qualidade</v>
      </c>
      <c r="B438" s="67" t="s">
        <v>26</v>
      </c>
      <c r="C438" s="68" t="s">
        <v>181</v>
      </c>
      <c r="D438" s="64" t="s">
        <v>40</v>
      </c>
      <c r="E438" s="66" t="s">
        <v>219</v>
      </c>
      <c r="F438" s="64" t="s">
        <v>232</v>
      </c>
      <c r="G438" s="64" t="str">
        <f>INDEX(Auxiliar!$B$16:$B$24,MATCH(Plano_V3!H438,Auxiliar!$C$16:$C$24,0),1)</f>
        <v>1. Concluído</v>
      </c>
      <c r="H438" s="64">
        <f>VLOOKUP(A438,'Aux - pivots1'!$A:$B,2,0)</f>
        <v>1</v>
      </c>
      <c r="I438" s="180">
        <f>SUMIFS(Table1[Estimação (horas)],Table1[Tabela],Plano_V3!E438,Table1[Campo],Plano_V3!F438)</f>
        <v>0.5</v>
      </c>
      <c r="J438" s="180">
        <f t="shared" si="313"/>
        <v>6.25E-2</v>
      </c>
      <c r="K438" s="180">
        <f>SUMIFS(Table1[Horas efetivas],Table1[Tabela],Plano_V3!E438,Table1[Campo],Plano_V3!F438)</f>
        <v>0.5</v>
      </c>
      <c r="L438" s="180">
        <f t="shared" si="314"/>
        <v>6.25E-2</v>
      </c>
      <c r="M438" s="174"/>
      <c r="N438" s="174">
        <f t="shared" si="315"/>
        <v>1</v>
      </c>
      <c r="O438" s="174">
        <f t="shared" si="316"/>
        <v>1</v>
      </c>
      <c r="P438" s="89" t="s">
        <v>39</v>
      </c>
      <c r="Q438" s="90">
        <f t="shared" si="324"/>
        <v>6.25E-2</v>
      </c>
      <c r="R438" s="78"/>
      <c r="S438" s="78"/>
      <c r="T438" s="78"/>
      <c r="U438" s="78"/>
      <c r="V438" s="78"/>
      <c r="W438" s="78"/>
      <c r="X438" s="78"/>
      <c r="Y438" s="78"/>
      <c r="Z438" s="78"/>
      <c r="AA438" s="78"/>
      <c r="AB438" s="78"/>
      <c r="AC438" s="78"/>
      <c r="AD438" s="78"/>
      <c r="AE438" s="78"/>
      <c r="AF438" s="78"/>
      <c r="AG438" s="78"/>
      <c r="AH438" s="78"/>
      <c r="AI438" s="78"/>
      <c r="AJ438" s="78"/>
      <c r="AK438" s="78"/>
      <c r="AL438" s="78"/>
      <c r="AM438" s="78"/>
      <c r="AN438" s="78"/>
      <c r="AO438" s="78"/>
      <c r="AP438" s="78"/>
      <c r="AQ438" s="78"/>
      <c r="AR438" s="78"/>
      <c r="AS438" s="78"/>
      <c r="AT438" s="78"/>
      <c r="AU438" s="78"/>
      <c r="AV438" s="78"/>
      <c r="AW438" s="78"/>
      <c r="AX438" s="78"/>
      <c r="AY438" s="91"/>
      <c r="AZ438" s="78"/>
      <c r="BA438" s="78"/>
      <c r="BB438" s="78"/>
      <c r="BC438" s="78"/>
      <c r="BD438" s="78"/>
      <c r="BE438" s="78"/>
      <c r="BF438" s="78"/>
      <c r="BG438" s="78"/>
      <c r="BH438" s="78"/>
      <c r="BI438" s="78"/>
      <c r="BJ438" s="78"/>
      <c r="BK438" s="78"/>
      <c r="BL438" s="78"/>
      <c r="BM438" s="78"/>
      <c r="BN438" s="78"/>
      <c r="BO438" s="78"/>
      <c r="BP438" s="78"/>
      <c r="BQ438" s="78"/>
      <c r="BR438" s="78"/>
      <c r="BS438" s="78"/>
      <c r="BT438" s="78"/>
      <c r="BU438" s="78"/>
      <c r="BV438" s="78"/>
      <c r="BW438" s="78"/>
      <c r="BX438" s="78"/>
      <c r="BY438" s="78"/>
      <c r="BZ438" s="78"/>
      <c r="CA438" s="78"/>
      <c r="CB438" s="78"/>
      <c r="CC438" s="78"/>
      <c r="CD438" s="78"/>
      <c r="CE438" s="78"/>
      <c r="CF438" s="78"/>
      <c r="CG438" s="78"/>
      <c r="CH438" s="78"/>
      <c r="CI438" s="78"/>
      <c r="CJ438" s="78"/>
      <c r="CK438" s="78"/>
      <c r="CL438" s="78"/>
      <c r="CM438" s="78"/>
      <c r="CN438" s="78"/>
      <c r="CO438" s="78"/>
      <c r="CP438" s="78"/>
      <c r="CQ438" s="78"/>
      <c r="CR438" s="78"/>
      <c r="CS438" s="78"/>
      <c r="CT438" s="78"/>
      <c r="CU438" s="78"/>
      <c r="CV438" s="78"/>
      <c r="CW438" s="78"/>
      <c r="CX438" s="78"/>
      <c r="CY438" s="78"/>
      <c r="CZ438" s="78"/>
      <c r="DA438" s="78"/>
      <c r="DB438" s="78"/>
      <c r="DC438" s="78"/>
      <c r="DD438" s="78"/>
      <c r="DE438" s="78"/>
      <c r="DF438" s="78"/>
      <c r="DG438" s="78"/>
      <c r="DH438" s="78"/>
      <c r="DI438" s="78"/>
      <c r="DJ438" s="78"/>
      <c r="DK438" s="78"/>
      <c r="DL438" s="78"/>
      <c r="DM438" s="78"/>
      <c r="DN438" s="78"/>
      <c r="DO438" s="78"/>
      <c r="DP438" s="78"/>
      <c r="DQ438" s="78"/>
      <c r="DR438" s="78"/>
      <c r="DS438" s="78"/>
      <c r="DT438" s="78"/>
      <c r="DU438" s="78"/>
      <c r="DV438" s="78"/>
      <c r="DW438" s="78"/>
      <c r="DX438" s="78"/>
      <c r="DY438" s="78"/>
      <c r="DZ438" s="78"/>
      <c r="EA438" s="78"/>
      <c r="EB438" s="78"/>
      <c r="EC438" s="78"/>
      <c r="ED438" s="78"/>
      <c r="EE438" s="78"/>
      <c r="EF438" s="78"/>
      <c r="EG438" s="78"/>
      <c r="EH438" s="78"/>
      <c r="EI438" s="78"/>
      <c r="EJ438" s="78"/>
      <c r="EK438" s="78"/>
      <c r="EL438" s="78"/>
      <c r="EM438" s="78"/>
      <c r="EN438" s="91"/>
      <c r="EO438" s="91"/>
      <c r="EP438" s="91"/>
      <c r="EQ438" s="91"/>
      <c r="ER438" s="91"/>
      <c r="ES438" s="91"/>
    </row>
    <row r="439" spans="1:149" outlineLevel="1">
      <c r="A439" s="29" t="str">
        <f t="shared" si="317"/>
        <v>modesg_inp_emss_bens_imoveisano_fator_emissao</v>
      </c>
      <c r="B439" s="67" t="s">
        <v>26</v>
      </c>
      <c r="C439" s="68" t="s">
        <v>181</v>
      </c>
      <c r="D439" s="64" t="s">
        <v>40</v>
      </c>
      <c r="E439" s="66" t="s">
        <v>219</v>
      </c>
      <c r="F439" s="64" t="s">
        <v>308</v>
      </c>
      <c r="G439" s="64" t="str">
        <f>INDEX(Auxiliar!$B$16:$B$24,MATCH(Plano_V3!H439,Auxiliar!$C$16:$C$24,0),1)</f>
        <v>1. Concluído</v>
      </c>
      <c r="H439" s="64">
        <f>VLOOKUP(A439,'Aux - pivots1'!$A:$B,2,0)</f>
        <v>1</v>
      </c>
      <c r="I439" s="180">
        <f>SUMIFS(Table1[Estimação (horas)],Table1[Tabela],Plano_V3!E439,Table1[Campo],Plano_V3!F439)</f>
        <v>0.5</v>
      </c>
      <c r="J439" s="180">
        <f t="shared" si="313"/>
        <v>6.25E-2</v>
      </c>
      <c r="K439" s="180">
        <f>SUMIFS(Table1[Horas efetivas],Table1[Tabela],Plano_V3!E439,Table1[Campo],Plano_V3!F439)</f>
        <v>0.5</v>
      </c>
      <c r="L439" s="180">
        <f t="shared" si="314"/>
        <v>6.25E-2</v>
      </c>
      <c r="M439" s="174"/>
      <c r="N439" s="174">
        <f t="shared" si="315"/>
        <v>1</v>
      </c>
      <c r="O439" s="174">
        <f t="shared" si="316"/>
        <v>1</v>
      </c>
      <c r="P439" s="89" t="s">
        <v>39</v>
      </c>
      <c r="Q439" s="90">
        <f t="shared" si="324"/>
        <v>6.25E-2</v>
      </c>
      <c r="R439" s="78"/>
      <c r="S439" s="78"/>
      <c r="T439" s="78"/>
      <c r="U439" s="78"/>
      <c r="V439" s="78"/>
      <c r="W439" s="78"/>
      <c r="X439" s="78"/>
      <c r="Y439" s="78"/>
      <c r="Z439" s="78"/>
      <c r="AA439" s="78"/>
      <c r="AB439" s="78"/>
      <c r="AC439" s="78"/>
      <c r="AD439" s="78"/>
      <c r="AE439" s="78"/>
      <c r="AF439" s="78"/>
      <c r="AG439" s="78"/>
      <c r="AH439" s="78"/>
      <c r="AI439" s="78"/>
      <c r="AJ439" s="78"/>
      <c r="AK439" s="78"/>
      <c r="AL439" s="78"/>
      <c r="AM439" s="78"/>
      <c r="AN439" s="78"/>
      <c r="AO439" s="78"/>
      <c r="AP439" s="78"/>
      <c r="AQ439" s="78"/>
      <c r="AR439" s="78"/>
      <c r="AS439" s="78"/>
      <c r="AT439" s="78"/>
      <c r="AU439" s="78"/>
      <c r="AV439" s="78"/>
      <c r="AW439" s="78"/>
      <c r="AX439" s="78"/>
      <c r="AY439" s="91"/>
      <c r="AZ439" s="78"/>
      <c r="BA439" s="78"/>
      <c r="BB439" s="78"/>
      <c r="BC439" s="78"/>
      <c r="BD439" s="78"/>
      <c r="BE439" s="78"/>
      <c r="BF439" s="78"/>
      <c r="BG439" s="78"/>
      <c r="BH439" s="78"/>
      <c r="BI439" s="78"/>
      <c r="BJ439" s="78"/>
      <c r="BK439" s="78"/>
      <c r="BL439" s="78"/>
      <c r="BM439" s="78"/>
      <c r="BN439" s="78"/>
      <c r="BO439" s="78"/>
      <c r="BP439" s="78"/>
      <c r="BQ439" s="78"/>
      <c r="BR439" s="78"/>
      <c r="BS439" s="78"/>
      <c r="BT439" s="78"/>
      <c r="BU439" s="78"/>
      <c r="BV439" s="78"/>
      <c r="BW439" s="78"/>
      <c r="BX439" s="78"/>
      <c r="BY439" s="78"/>
      <c r="BZ439" s="78"/>
      <c r="CA439" s="78"/>
      <c r="CB439" s="78"/>
      <c r="CC439" s="78"/>
      <c r="CD439" s="78"/>
      <c r="CE439" s="78"/>
      <c r="CF439" s="78"/>
      <c r="CG439" s="78"/>
      <c r="CH439" s="78"/>
      <c r="CI439" s="78"/>
      <c r="CJ439" s="78"/>
      <c r="CK439" s="78"/>
      <c r="CL439" s="78"/>
      <c r="CM439" s="78"/>
      <c r="CN439" s="78"/>
      <c r="CO439" s="78"/>
      <c r="CP439" s="78"/>
      <c r="CQ439" s="78"/>
      <c r="CR439" s="78"/>
      <c r="CS439" s="78"/>
      <c r="CT439" s="78"/>
      <c r="CU439" s="78"/>
      <c r="CV439" s="78"/>
      <c r="CW439" s="78"/>
      <c r="CX439" s="78"/>
      <c r="CY439" s="78"/>
      <c r="CZ439" s="78"/>
      <c r="DA439" s="78"/>
      <c r="DB439" s="78"/>
      <c r="DC439" s="78"/>
      <c r="DD439" s="78"/>
      <c r="DE439" s="78"/>
      <c r="DF439" s="78"/>
      <c r="DG439" s="78"/>
      <c r="DH439" s="78"/>
      <c r="DI439" s="78"/>
      <c r="DJ439" s="78"/>
      <c r="DK439" s="78"/>
      <c r="DL439" s="78"/>
      <c r="DM439" s="78"/>
      <c r="DN439" s="78"/>
      <c r="DO439" s="78"/>
      <c r="DP439" s="78"/>
      <c r="DQ439" s="78"/>
      <c r="DR439" s="78"/>
      <c r="DS439" s="78"/>
      <c r="DT439" s="78"/>
      <c r="DU439" s="78"/>
      <c r="DV439" s="78"/>
      <c r="DW439" s="78"/>
      <c r="DX439" s="78"/>
      <c r="DY439" s="78"/>
      <c r="DZ439" s="78"/>
      <c r="EA439" s="78"/>
      <c r="EB439" s="78"/>
      <c r="EC439" s="78"/>
      <c r="ED439" s="78"/>
      <c r="EE439" s="78"/>
      <c r="EF439" s="78"/>
      <c r="EG439" s="78"/>
      <c r="EH439" s="78"/>
      <c r="EI439" s="78"/>
      <c r="EJ439" s="78"/>
      <c r="EK439" s="78"/>
      <c r="EL439" s="78"/>
      <c r="EM439" s="78"/>
      <c r="EN439" s="91"/>
      <c r="EO439" s="91"/>
      <c r="EP439" s="91"/>
      <c r="EQ439" s="91"/>
      <c r="ER439" s="91"/>
      <c r="ES439" s="91"/>
    </row>
    <row r="440" spans="1:149" outlineLevel="1">
      <c r="A440" s="29" t="str">
        <f t="shared" si="317"/>
        <v>modesg_inp_emss_bens_imoveisscp1_ftr_emss</v>
      </c>
      <c r="B440" s="67" t="s">
        <v>26</v>
      </c>
      <c r="C440" s="68" t="s">
        <v>181</v>
      </c>
      <c r="D440" s="64" t="s">
        <v>40</v>
      </c>
      <c r="E440" s="66" t="s">
        <v>219</v>
      </c>
      <c r="F440" s="64" t="s">
        <v>233</v>
      </c>
      <c r="G440" s="64" t="str">
        <f>INDEX(Auxiliar!$B$16:$B$24,MATCH(Plano_V3!H440,Auxiliar!$C$16:$C$24,0),1)</f>
        <v>1. Concluído</v>
      </c>
      <c r="H440" s="64">
        <f>VLOOKUP(A440,'Aux - pivots1'!$A:$B,2,0)</f>
        <v>1</v>
      </c>
      <c r="I440" s="180">
        <f>SUMIFS(Table1[Estimação (horas)],Table1[Tabela],Plano_V3!E440,Table1[Campo],Plano_V3!F440)</f>
        <v>0.6</v>
      </c>
      <c r="J440" s="180">
        <f t="shared" si="313"/>
        <v>7.4999999999999997E-2</v>
      </c>
      <c r="K440" s="180">
        <f>SUMIFS(Table1[Horas efetivas],Table1[Tabela],Plano_V3!E440,Table1[Campo],Plano_V3!F440)</f>
        <v>0.6</v>
      </c>
      <c r="L440" s="180">
        <f t="shared" si="314"/>
        <v>7.4999999999999997E-2</v>
      </c>
      <c r="M440" s="174"/>
      <c r="N440" s="174">
        <f t="shared" si="315"/>
        <v>1</v>
      </c>
      <c r="O440" s="174">
        <f t="shared" si="316"/>
        <v>1</v>
      </c>
      <c r="P440" s="89" t="s">
        <v>39</v>
      </c>
      <c r="Q440" s="90">
        <f t="shared" si="324"/>
        <v>7.4999999999999997E-2</v>
      </c>
      <c r="R440" s="78"/>
      <c r="S440" s="78"/>
      <c r="T440" s="78"/>
      <c r="U440" s="78"/>
      <c r="V440" s="78"/>
      <c r="W440" s="78"/>
      <c r="X440" s="78"/>
      <c r="Y440" s="78"/>
      <c r="Z440" s="78"/>
      <c r="AA440" s="78"/>
      <c r="AB440" s="78"/>
      <c r="AC440" s="78"/>
      <c r="AD440" s="78"/>
      <c r="AE440" s="78"/>
      <c r="AF440" s="78"/>
      <c r="AG440" s="78"/>
      <c r="AH440" s="78"/>
      <c r="AI440" s="78"/>
      <c r="AJ440" s="78"/>
      <c r="AK440" s="78"/>
      <c r="AL440" s="78"/>
      <c r="AM440" s="78"/>
      <c r="AN440" s="78"/>
      <c r="AO440" s="78"/>
      <c r="AP440" s="78"/>
      <c r="AQ440" s="78"/>
      <c r="AR440" s="78"/>
      <c r="AS440" s="78"/>
      <c r="AT440" s="78"/>
      <c r="AU440" s="78"/>
      <c r="AV440" s="78"/>
      <c r="AW440" s="78"/>
      <c r="AX440" s="78"/>
      <c r="AY440" s="91"/>
      <c r="AZ440" s="78"/>
      <c r="BA440" s="78"/>
      <c r="BB440" s="78"/>
      <c r="BC440" s="78"/>
      <c r="BD440" s="78"/>
      <c r="BE440" s="78"/>
      <c r="BF440" s="78"/>
      <c r="BG440" s="78"/>
      <c r="BH440" s="78"/>
      <c r="BI440" s="78"/>
      <c r="BJ440" s="78"/>
      <c r="BK440" s="78"/>
      <c r="BL440" s="78"/>
      <c r="BM440" s="78"/>
      <c r="BN440" s="78"/>
      <c r="BO440" s="78"/>
      <c r="BP440" s="78"/>
      <c r="BQ440" s="78"/>
      <c r="BR440" s="78"/>
      <c r="BS440" s="78"/>
      <c r="BT440" s="78"/>
      <c r="BU440" s="78"/>
      <c r="BV440" s="78"/>
      <c r="BW440" s="78"/>
      <c r="BX440" s="78"/>
      <c r="BY440" s="78"/>
      <c r="BZ440" s="78"/>
      <c r="CA440" s="78"/>
      <c r="CB440" s="78"/>
      <c r="CC440" s="78"/>
      <c r="CD440" s="78"/>
      <c r="CE440" s="78"/>
      <c r="CF440" s="78"/>
      <c r="CG440" s="78"/>
      <c r="CH440" s="78"/>
      <c r="CI440" s="78"/>
      <c r="CJ440" s="78"/>
      <c r="CK440" s="78"/>
      <c r="CL440" s="78"/>
      <c r="CM440" s="78"/>
      <c r="CN440" s="78"/>
      <c r="CO440" s="78"/>
      <c r="CP440" s="78"/>
      <c r="CQ440" s="78"/>
      <c r="CR440" s="78"/>
      <c r="CS440" s="78"/>
      <c r="CT440" s="78"/>
      <c r="CU440" s="78"/>
      <c r="CV440" s="78"/>
      <c r="CW440" s="78"/>
      <c r="CX440" s="78"/>
      <c r="CY440" s="78"/>
      <c r="CZ440" s="78"/>
      <c r="DA440" s="78"/>
      <c r="DB440" s="78"/>
      <c r="DC440" s="78"/>
      <c r="DD440" s="78"/>
      <c r="DE440" s="78"/>
      <c r="DF440" s="78"/>
      <c r="DG440" s="78"/>
      <c r="DH440" s="78"/>
      <c r="DI440" s="78"/>
      <c r="DJ440" s="78"/>
      <c r="DK440" s="78"/>
      <c r="DL440" s="78"/>
      <c r="DM440" s="78"/>
      <c r="DN440" s="78"/>
      <c r="DO440" s="78"/>
      <c r="DP440" s="78"/>
      <c r="DQ440" s="78"/>
      <c r="DR440" s="78"/>
      <c r="DS440" s="78"/>
      <c r="DT440" s="78"/>
      <c r="DU440" s="78"/>
      <c r="DV440" s="78"/>
      <c r="DW440" s="78"/>
      <c r="DX440" s="78"/>
      <c r="DY440" s="78"/>
      <c r="DZ440" s="78"/>
      <c r="EA440" s="78"/>
      <c r="EB440" s="78"/>
      <c r="EC440" s="78"/>
      <c r="ED440" s="78"/>
      <c r="EE440" s="78"/>
      <c r="EF440" s="78"/>
      <c r="EG440" s="78"/>
      <c r="EH440" s="78"/>
      <c r="EI440" s="78"/>
      <c r="EJ440" s="78"/>
      <c r="EK440" s="78"/>
      <c r="EL440" s="78"/>
      <c r="EM440" s="78"/>
      <c r="EN440" s="91"/>
      <c r="EO440" s="91"/>
      <c r="EP440" s="91"/>
      <c r="EQ440" s="91"/>
      <c r="ER440" s="91"/>
      <c r="ES440" s="91"/>
    </row>
    <row r="441" spans="1:149" outlineLevel="1">
      <c r="A441" s="29" t="str">
        <f t="shared" si="317"/>
        <v>modesg_inp_emss_bens_imoveisscp2_ftr_emss</v>
      </c>
      <c r="B441" s="67" t="s">
        <v>26</v>
      </c>
      <c r="C441" s="68" t="s">
        <v>181</v>
      </c>
      <c r="D441" s="64" t="s">
        <v>40</v>
      </c>
      <c r="E441" s="66" t="s">
        <v>219</v>
      </c>
      <c r="F441" s="64" t="s">
        <v>234</v>
      </c>
      <c r="G441" s="64" t="str">
        <f>INDEX(Auxiliar!$B$16:$B$24,MATCH(Plano_V3!H441,Auxiliar!$C$16:$C$24,0),1)</f>
        <v>1. Concluído</v>
      </c>
      <c r="H441" s="64">
        <f>VLOOKUP(A441,'Aux - pivots1'!$A:$B,2,0)</f>
        <v>1</v>
      </c>
      <c r="I441" s="180">
        <f>SUMIFS(Table1[Estimação (horas)],Table1[Tabela],Plano_V3!E441,Table1[Campo],Plano_V3!F441)</f>
        <v>0.6</v>
      </c>
      <c r="J441" s="180">
        <f t="shared" si="313"/>
        <v>7.4999999999999997E-2</v>
      </c>
      <c r="K441" s="180">
        <f>SUMIFS(Table1[Horas efetivas],Table1[Tabela],Plano_V3!E441,Table1[Campo],Plano_V3!F441)</f>
        <v>0.6</v>
      </c>
      <c r="L441" s="180">
        <f t="shared" si="314"/>
        <v>7.4999999999999997E-2</v>
      </c>
      <c r="M441" s="174"/>
      <c r="N441" s="174">
        <f t="shared" si="315"/>
        <v>1</v>
      </c>
      <c r="O441" s="174">
        <f t="shared" si="316"/>
        <v>1</v>
      </c>
      <c r="P441" s="89" t="s">
        <v>39</v>
      </c>
      <c r="Q441" s="90">
        <f t="shared" si="324"/>
        <v>7.4999999999999997E-2</v>
      </c>
      <c r="R441" s="78"/>
      <c r="S441" s="78"/>
      <c r="T441" s="78"/>
      <c r="U441" s="78"/>
      <c r="V441" s="78"/>
      <c r="W441" s="78"/>
      <c r="X441" s="78"/>
      <c r="Y441" s="78"/>
      <c r="Z441" s="78"/>
      <c r="AA441" s="78"/>
      <c r="AB441" s="78"/>
      <c r="AC441" s="78"/>
      <c r="AD441" s="78"/>
      <c r="AE441" s="78"/>
      <c r="AF441" s="78"/>
      <c r="AG441" s="78"/>
      <c r="AH441" s="78"/>
      <c r="AI441" s="78"/>
      <c r="AJ441" s="78"/>
      <c r="AK441" s="78"/>
      <c r="AL441" s="78"/>
      <c r="AM441" s="78"/>
      <c r="AN441" s="78"/>
      <c r="AO441" s="78"/>
      <c r="AP441" s="78"/>
      <c r="AQ441" s="78"/>
      <c r="AR441" s="78"/>
      <c r="AS441" s="78"/>
      <c r="AT441" s="78"/>
      <c r="AU441" s="78"/>
      <c r="AV441" s="78"/>
      <c r="AW441" s="78"/>
      <c r="AX441" s="78"/>
      <c r="AY441" s="91"/>
      <c r="AZ441" s="78"/>
      <c r="BA441" s="78"/>
      <c r="BB441" s="78"/>
      <c r="BC441" s="78"/>
      <c r="BD441" s="78"/>
      <c r="BE441" s="78"/>
      <c r="BF441" s="78"/>
      <c r="BG441" s="78"/>
      <c r="BH441" s="78"/>
      <c r="BI441" s="78"/>
      <c r="BJ441" s="78"/>
      <c r="BK441" s="78"/>
      <c r="BL441" s="78"/>
      <c r="BM441" s="78"/>
      <c r="BN441" s="78"/>
      <c r="BO441" s="78"/>
      <c r="BP441" s="78"/>
      <c r="BQ441" s="78"/>
      <c r="BR441" s="78"/>
      <c r="BS441" s="78"/>
      <c r="BT441" s="78"/>
      <c r="BU441" s="78"/>
      <c r="BV441" s="78"/>
      <c r="BW441" s="78"/>
      <c r="BX441" s="78"/>
      <c r="BY441" s="78"/>
      <c r="BZ441" s="78"/>
      <c r="CA441" s="78"/>
      <c r="CB441" s="78"/>
      <c r="CC441" s="78"/>
      <c r="CD441" s="78"/>
      <c r="CE441" s="78"/>
      <c r="CF441" s="78"/>
      <c r="CG441" s="78"/>
      <c r="CH441" s="78"/>
      <c r="CI441" s="78"/>
      <c r="CJ441" s="78"/>
      <c r="CK441" s="78"/>
      <c r="CL441" s="78"/>
      <c r="CM441" s="78"/>
      <c r="CN441" s="78"/>
      <c r="CO441" s="78"/>
      <c r="CP441" s="78"/>
      <c r="CQ441" s="78"/>
      <c r="CR441" s="78"/>
      <c r="CS441" s="78"/>
      <c r="CT441" s="78"/>
      <c r="CU441" s="78"/>
      <c r="CV441" s="78"/>
      <c r="CW441" s="78"/>
      <c r="CX441" s="78"/>
      <c r="CY441" s="78"/>
      <c r="CZ441" s="78"/>
      <c r="DA441" s="78"/>
      <c r="DB441" s="78"/>
      <c r="DC441" s="78"/>
      <c r="DD441" s="78"/>
      <c r="DE441" s="78"/>
      <c r="DF441" s="78"/>
      <c r="DG441" s="78"/>
      <c r="DH441" s="78"/>
      <c r="DI441" s="78"/>
      <c r="DJ441" s="78"/>
      <c r="DK441" s="78"/>
      <c r="DL441" s="78"/>
      <c r="DM441" s="78"/>
      <c r="DN441" s="78"/>
      <c r="DO441" s="78"/>
      <c r="DP441" s="78"/>
      <c r="DQ441" s="78"/>
      <c r="DR441" s="78"/>
      <c r="DS441" s="78"/>
      <c r="DT441" s="78"/>
      <c r="DU441" s="78"/>
      <c r="DV441" s="78"/>
      <c r="DW441" s="78"/>
      <c r="DX441" s="78"/>
      <c r="DY441" s="78"/>
      <c r="DZ441" s="78"/>
      <c r="EA441" s="78"/>
      <c r="EB441" s="78"/>
      <c r="EC441" s="78"/>
      <c r="ED441" s="78"/>
      <c r="EE441" s="78"/>
      <c r="EF441" s="78"/>
      <c r="EG441" s="78"/>
      <c r="EH441" s="78"/>
      <c r="EI441" s="78"/>
      <c r="EJ441" s="78"/>
      <c r="EK441" s="78"/>
      <c r="EL441" s="78"/>
      <c r="EM441" s="78"/>
      <c r="EN441" s="91"/>
      <c r="EO441" s="91"/>
      <c r="EP441" s="91"/>
      <c r="EQ441" s="91"/>
      <c r="ER441" s="91"/>
      <c r="ES441" s="91"/>
    </row>
    <row r="442" spans="1:149" outlineLevel="1">
      <c r="A442" s="29" t="str">
        <f t="shared" si="317"/>
        <v>modesg_inp_project_financecodigo_unidade</v>
      </c>
      <c r="B442" s="67"/>
      <c r="C442" s="68"/>
      <c r="D442" s="64" t="s">
        <v>40</v>
      </c>
      <c r="E442" s="66" t="s">
        <v>2060</v>
      </c>
      <c r="F442" s="64" t="s">
        <v>2061</v>
      </c>
      <c r="G442" s="64" t="str">
        <f>INDEX(Auxiliar!$B$16:$B$24,MATCH(Plano_V3!H442,Auxiliar!$C$16:$C$24,0),1)</f>
        <v>1. Concluído</v>
      </c>
      <c r="H442" s="64">
        <f>VLOOKUP(A442,'Aux - pivots1'!$A:$B,2,0)</f>
        <v>1</v>
      </c>
      <c r="I442" s="180" t="e">
        <f>SUMIFS(Table1[Estimação (horas)],Table1[Tabela],Plano_V3!E442,Table1[Campo],Plano_V3!F442)</f>
        <v>#N/A</v>
      </c>
      <c r="J442" s="180" t="e">
        <f t="shared" ref="J442:J450" si="325">I442/8</f>
        <v>#N/A</v>
      </c>
      <c r="K442" s="180" t="e">
        <f>SUMIFS(Table1[Horas efetivas],Table1[Tabela],Plano_V3!E442,Table1[Campo],Plano_V3!F442)</f>
        <v>#N/A</v>
      </c>
      <c r="L442" s="180" t="e">
        <f t="shared" ref="L442:L450" si="326">K442/8</f>
        <v>#N/A</v>
      </c>
      <c r="M442" s="174"/>
      <c r="N442" s="174" t="e">
        <f t="shared" ref="N442:N450" si="327">L442/J442</f>
        <v>#N/A</v>
      </c>
      <c r="O442" s="174" t="e">
        <f t="shared" ref="O442:O450" si="328">N442-M442</f>
        <v>#N/A</v>
      </c>
      <c r="P442" s="89" t="s">
        <v>39</v>
      </c>
      <c r="Q442" s="90"/>
      <c r="R442" s="78"/>
      <c r="S442" s="78"/>
      <c r="T442" s="78"/>
      <c r="U442" s="78"/>
      <c r="V442" s="78"/>
      <c r="W442" s="78"/>
      <c r="X442" s="78"/>
      <c r="Y442" s="78"/>
      <c r="Z442" s="78"/>
      <c r="AA442" s="78"/>
      <c r="AB442" s="78"/>
      <c r="AC442" s="78"/>
      <c r="AD442" s="78"/>
      <c r="AE442" s="78"/>
      <c r="AF442" s="78"/>
      <c r="AG442" s="78"/>
      <c r="AH442" s="78"/>
      <c r="AI442" s="78"/>
      <c r="AJ442" s="78"/>
      <c r="AK442" s="78"/>
      <c r="AL442" s="78"/>
      <c r="AM442" s="78"/>
      <c r="AN442" s="78"/>
      <c r="AO442" s="78"/>
      <c r="AP442" s="78"/>
      <c r="AQ442" s="78"/>
      <c r="AR442" s="78"/>
      <c r="AS442" s="78"/>
      <c r="AT442" s="78"/>
      <c r="AU442" s="78"/>
      <c r="AV442" s="78"/>
      <c r="AW442" s="78"/>
      <c r="AX442" s="78"/>
      <c r="AY442" s="91"/>
      <c r="AZ442" s="78"/>
      <c r="BA442" s="78"/>
      <c r="BB442" s="78"/>
      <c r="BC442" s="78"/>
      <c r="BD442" s="78"/>
      <c r="BE442" s="78"/>
      <c r="BF442" s="78"/>
      <c r="BG442" s="78"/>
      <c r="BH442" s="78"/>
      <c r="BI442" s="78"/>
      <c r="BJ442" s="78"/>
      <c r="BK442" s="78"/>
      <c r="BL442" s="78"/>
      <c r="BM442" s="78"/>
      <c r="BN442" s="78"/>
      <c r="BO442" s="78"/>
      <c r="BP442" s="78"/>
      <c r="BQ442" s="78"/>
      <c r="BR442" s="78"/>
      <c r="BS442" s="78"/>
      <c r="BT442" s="78"/>
      <c r="BU442" s="78"/>
      <c r="BV442" s="78"/>
      <c r="BW442" s="78"/>
      <c r="BX442" s="78"/>
      <c r="BY442" s="78"/>
      <c r="BZ442" s="78"/>
      <c r="CA442" s="78"/>
      <c r="CB442" s="78"/>
      <c r="CC442" s="78"/>
      <c r="CD442" s="78"/>
      <c r="CE442" s="78"/>
      <c r="CF442" s="78"/>
      <c r="CG442" s="78"/>
      <c r="CH442" s="78"/>
      <c r="CI442" s="78"/>
      <c r="CJ442" s="78"/>
      <c r="CK442" s="78"/>
      <c r="CL442" s="78"/>
      <c r="CM442" s="78"/>
      <c r="CN442" s="78"/>
      <c r="CO442" s="78"/>
      <c r="CP442" s="78"/>
      <c r="CQ442" s="78"/>
      <c r="CR442" s="78"/>
      <c r="CS442" s="78"/>
      <c r="CT442" s="78"/>
      <c r="CU442" s="78"/>
      <c r="CV442" s="78"/>
      <c r="CW442" s="78"/>
      <c r="CX442" s="78"/>
      <c r="CY442" s="78"/>
      <c r="CZ442" s="78"/>
      <c r="DA442" s="78"/>
      <c r="DB442" s="78"/>
      <c r="DC442" s="78"/>
      <c r="DD442" s="78"/>
      <c r="DE442" s="78"/>
      <c r="DF442" s="78"/>
      <c r="DG442" s="78"/>
      <c r="DH442" s="78"/>
      <c r="DI442" s="78"/>
      <c r="DJ442" s="78"/>
      <c r="DK442" s="78"/>
      <c r="DL442" s="78"/>
      <c r="DM442" s="78"/>
      <c r="DN442" s="78"/>
      <c r="DO442" s="78"/>
      <c r="DP442" s="78"/>
      <c r="DQ442" s="78"/>
      <c r="DR442" s="78"/>
      <c r="DS442" s="78"/>
      <c r="DT442" s="78"/>
      <c r="DU442" s="78"/>
      <c r="DV442" s="78"/>
      <c r="DW442" s="78"/>
      <c r="DX442" s="78"/>
      <c r="DY442" s="78"/>
      <c r="DZ442" s="78"/>
      <c r="EA442" s="78"/>
      <c r="EB442" s="78"/>
      <c r="EC442" s="78"/>
      <c r="ED442" s="78"/>
      <c r="EE442" s="78"/>
      <c r="EF442" s="78"/>
      <c r="EG442" s="78"/>
      <c r="EH442" s="78"/>
      <c r="EI442" s="78"/>
      <c r="EJ442" s="78"/>
      <c r="EK442" s="78"/>
      <c r="EL442" s="78"/>
      <c r="EM442" s="78"/>
      <c r="EN442" s="91"/>
      <c r="EO442" s="91"/>
      <c r="EP442" s="91"/>
      <c r="EQ442" s="91"/>
      <c r="ER442" s="91"/>
      <c r="ES442" s="91"/>
    </row>
    <row r="443" spans="1:149" outlineLevel="1">
      <c r="A443" s="29" t="str">
        <f t="shared" si="317"/>
        <v>modesg_inp_project_financenome_unidade</v>
      </c>
      <c r="B443" s="67"/>
      <c r="C443" s="68"/>
      <c r="D443" s="64" t="s">
        <v>40</v>
      </c>
      <c r="E443" s="66" t="s">
        <v>2060</v>
      </c>
      <c r="F443" s="64" t="s">
        <v>2062</v>
      </c>
      <c r="G443" s="64" t="str">
        <f>INDEX(Auxiliar!$B$16:$B$24,MATCH(Plano_V3!H443,Auxiliar!$C$16:$C$24,0),1)</f>
        <v>1. Concluído</v>
      </c>
      <c r="H443" s="64">
        <f>VLOOKUP(A443,'Aux - pivots1'!$A:$B,2,0)</f>
        <v>1</v>
      </c>
      <c r="I443" s="180" t="e">
        <f>SUMIFS(Table1[Estimação (horas)],Table1[Tabela],Plano_V3!E443,Table1[Campo],Plano_V3!F443)</f>
        <v>#N/A</v>
      </c>
      <c r="J443" s="180" t="e">
        <f t="shared" si="325"/>
        <v>#N/A</v>
      </c>
      <c r="K443" s="180" t="e">
        <f>SUMIFS(Table1[Horas efetivas],Table1[Tabela],Plano_V3!E443,Table1[Campo],Plano_V3!F443)</f>
        <v>#N/A</v>
      </c>
      <c r="L443" s="180" t="e">
        <f t="shared" si="326"/>
        <v>#N/A</v>
      </c>
      <c r="M443" s="174"/>
      <c r="N443" s="174" t="e">
        <f t="shared" si="327"/>
        <v>#N/A</v>
      </c>
      <c r="O443" s="174" t="e">
        <f t="shared" si="328"/>
        <v>#N/A</v>
      </c>
      <c r="P443" s="89" t="s">
        <v>39</v>
      </c>
      <c r="Q443" s="90"/>
      <c r="R443" s="78"/>
      <c r="S443" s="78"/>
      <c r="T443" s="78"/>
      <c r="U443" s="78"/>
      <c r="V443" s="78"/>
      <c r="W443" s="78"/>
      <c r="X443" s="78"/>
      <c r="Y443" s="78"/>
      <c r="Z443" s="78"/>
      <c r="AA443" s="78"/>
      <c r="AB443" s="78"/>
      <c r="AC443" s="78"/>
      <c r="AD443" s="78"/>
      <c r="AE443" s="78"/>
      <c r="AF443" s="78"/>
      <c r="AG443" s="78"/>
      <c r="AH443" s="78"/>
      <c r="AI443" s="78"/>
      <c r="AJ443" s="78"/>
      <c r="AK443" s="78"/>
      <c r="AL443" s="78"/>
      <c r="AM443" s="78"/>
      <c r="AN443" s="78"/>
      <c r="AO443" s="78"/>
      <c r="AP443" s="78"/>
      <c r="AQ443" s="78"/>
      <c r="AR443" s="78"/>
      <c r="AS443" s="78"/>
      <c r="AT443" s="78"/>
      <c r="AU443" s="78"/>
      <c r="AV443" s="78"/>
      <c r="AW443" s="78"/>
      <c r="AX443" s="78"/>
      <c r="AY443" s="91"/>
      <c r="AZ443" s="78"/>
      <c r="BA443" s="78"/>
      <c r="BB443" s="78"/>
      <c r="BC443" s="78"/>
      <c r="BD443" s="78"/>
      <c r="BE443" s="78"/>
      <c r="BF443" s="78"/>
      <c r="BG443" s="78"/>
      <c r="BH443" s="78"/>
      <c r="BI443" s="78"/>
      <c r="BJ443" s="78"/>
      <c r="BK443" s="78"/>
      <c r="BL443" s="78"/>
      <c r="BM443" s="78"/>
      <c r="BN443" s="78"/>
      <c r="BO443" s="78"/>
      <c r="BP443" s="78"/>
      <c r="BQ443" s="78"/>
      <c r="BR443" s="78"/>
      <c r="BS443" s="78"/>
      <c r="BT443" s="78"/>
      <c r="BU443" s="78"/>
      <c r="BV443" s="78"/>
      <c r="BW443" s="78"/>
      <c r="BX443" s="78"/>
      <c r="BY443" s="78"/>
      <c r="BZ443" s="78"/>
      <c r="CA443" s="78"/>
      <c r="CB443" s="78"/>
      <c r="CC443" s="78"/>
      <c r="CD443" s="78"/>
      <c r="CE443" s="78"/>
      <c r="CF443" s="78"/>
      <c r="CG443" s="78"/>
      <c r="CH443" s="78"/>
      <c r="CI443" s="78"/>
      <c r="CJ443" s="78"/>
      <c r="CK443" s="78"/>
      <c r="CL443" s="78"/>
      <c r="CM443" s="78"/>
      <c r="CN443" s="78"/>
      <c r="CO443" s="78"/>
      <c r="CP443" s="78"/>
      <c r="CQ443" s="78"/>
      <c r="CR443" s="78"/>
      <c r="CS443" s="78"/>
      <c r="CT443" s="78"/>
      <c r="CU443" s="78"/>
      <c r="CV443" s="78"/>
      <c r="CW443" s="78"/>
      <c r="CX443" s="78"/>
      <c r="CY443" s="78"/>
      <c r="CZ443" s="78"/>
      <c r="DA443" s="78"/>
      <c r="DB443" s="78"/>
      <c r="DC443" s="78"/>
      <c r="DD443" s="78"/>
      <c r="DE443" s="78"/>
      <c r="DF443" s="78"/>
      <c r="DG443" s="78"/>
      <c r="DH443" s="78"/>
      <c r="DI443" s="78"/>
      <c r="DJ443" s="78"/>
      <c r="DK443" s="78"/>
      <c r="DL443" s="78"/>
      <c r="DM443" s="78"/>
      <c r="DN443" s="78"/>
      <c r="DO443" s="78"/>
      <c r="DP443" s="78"/>
      <c r="DQ443" s="78"/>
      <c r="DR443" s="78"/>
      <c r="DS443" s="78"/>
      <c r="DT443" s="78"/>
      <c r="DU443" s="78"/>
      <c r="DV443" s="78"/>
      <c r="DW443" s="78"/>
      <c r="DX443" s="78"/>
      <c r="DY443" s="78"/>
      <c r="DZ443" s="78"/>
      <c r="EA443" s="78"/>
      <c r="EB443" s="78"/>
      <c r="EC443" s="78"/>
      <c r="ED443" s="78"/>
      <c r="EE443" s="78"/>
      <c r="EF443" s="78"/>
      <c r="EG443" s="78"/>
      <c r="EH443" s="78"/>
      <c r="EI443" s="78"/>
      <c r="EJ443" s="78"/>
      <c r="EK443" s="78"/>
      <c r="EL443" s="78"/>
      <c r="EM443" s="78"/>
      <c r="EN443" s="91"/>
      <c r="EO443" s="91"/>
      <c r="EP443" s="91"/>
      <c r="EQ443" s="91"/>
      <c r="ER443" s="91"/>
      <c r="ES443" s="91"/>
    </row>
    <row r="444" spans="1:149" outlineLevel="1">
      <c r="A444" s="29" t="str">
        <f t="shared" si="317"/>
        <v>modesg_inp_project_financekgl</v>
      </c>
      <c r="B444" s="67"/>
      <c r="C444" s="68"/>
      <c r="D444" s="64" t="s">
        <v>40</v>
      </c>
      <c r="E444" s="66" t="s">
        <v>2060</v>
      </c>
      <c r="F444" s="64" t="s">
        <v>2063</v>
      </c>
      <c r="G444" s="64" t="str">
        <f>INDEX(Auxiliar!$B$16:$B$24,MATCH(Plano_V3!H444,Auxiliar!$C$16:$C$24,0),1)</f>
        <v>1. Concluído</v>
      </c>
      <c r="H444" s="64">
        <f>VLOOKUP(A444,'Aux - pivots1'!$A:$B,2,0)</f>
        <v>1</v>
      </c>
      <c r="I444" s="180" t="e">
        <f>SUMIFS(Table1[Estimação (horas)],Table1[Tabela],Plano_V3!E444,Table1[Campo],Plano_V3!F444)</f>
        <v>#N/A</v>
      </c>
      <c r="J444" s="180" t="e">
        <f t="shared" si="325"/>
        <v>#N/A</v>
      </c>
      <c r="K444" s="180" t="e">
        <f>SUMIFS(Table1[Horas efetivas],Table1[Tabela],Plano_V3!E444,Table1[Campo],Plano_V3!F444)</f>
        <v>#N/A</v>
      </c>
      <c r="L444" s="180" t="e">
        <f t="shared" si="326"/>
        <v>#N/A</v>
      </c>
      <c r="M444" s="174"/>
      <c r="N444" s="174" t="e">
        <f t="shared" si="327"/>
        <v>#N/A</v>
      </c>
      <c r="O444" s="174" t="e">
        <f t="shared" si="328"/>
        <v>#N/A</v>
      </c>
      <c r="P444" s="89" t="s">
        <v>39</v>
      </c>
      <c r="Q444" s="90"/>
      <c r="R444" s="78"/>
      <c r="S444" s="78"/>
      <c r="T444" s="78"/>
      <c r="U444" s="78"/>
      <c r="V444" s="78"/>
      <c r="W444" s="78"/>
      <c r="X444" s="78"/>
      <c r="Y444" s="78"/>
      <c r="Z444" s="78"/>
      <c r="AA444" s="78"/>
      <c r="AB444" s="78"/>
      <c r="AC444" s="78"/>
      <c r="AD444" s="78"/>
      <c r="AE444" s="78"/>
      <c r="AF444" s="78"/>
      <c r="AG444" s="78"/>
      <c r="AH444" s="78"/>
      <c r="AI444" s="78"/>
      <c r="AJ444" s="78"/>
      <c r="AK444" s="78"/>
      <c r="AL444" s="78"/>
      <c r="AM444" s="78"/>
      <c r="AN444" s="78"/>
      <c r="AO444" s="78"/>
      <c r="AP444" s="78"/>
      <c r="AQ444" s="78"/>
      <c r="AR444" s="78"/>
      <c r="AS444" s="78"/>
      <c r="AT444" s="78"/>
      <c r="AU444" s="78"/>
      <c r="AV444" s="78"/>
      <c r="AW444" s="78"/>
      <c r="AX444" s="78"/>
      <c r="AY444" s="91"/>
      <c r="AZ444" s="78"/>
      <c r="BA444" s="78"/>
      <c r="BB444" s="78"/>
      <c r="BC444" s="78"/>
      <c r="BD444" s="78"/>
      <c r="BE444" s="78"/>
      <c r="BF444" s="78"/>
      <c r="BG444" s="78"/>
      <c r="BH444" s="78"/>
      <c r="BI444" s="78"/>
      <c r="BJ444" s="78"/>
      <c r="BK444" s="78"/>
      <c r="BL444" s="78"/>
      <c r="BM444" s="78"/>
      <c r="BN444" s="78"/>
      <c r="BO444" s="78"/>
      <c r="BP444" s="78"/>
      <c r="BQ444" s="78"/>
      <c r="BR444" s="78"/>
      <c r="BS444" s="78"/>
      <c r="BT444" s="78"/>
      <c r="BU444" s="78"/>
      <c r="BV444" s="78"/>
      <c r="BW444" s="78"/>
      <c r="BX444" s="78"/>
      <c r="BY444" s="78"/>
      <c r="BZ444" s="78"/>
      <c r="CA444" s="78"/>
      <c r="CB444" s="78"/>
      <c r="CC444" s="78"/>
      <c r="CD444" s="78"/>
      <c r="CE444" s="78"/>
      <c r="CF444" s="78"/>
      <c r="CG444" s="78"/>
      <c r="CH444" s="78"/>
      <c r="CI444" s="78"/>
      <c r="CJ444" s="78"/>
      <c r="CK444" s="78"/>
      <c r="CL444" s="78"/>
      <c r="CM444" s="78"/>
      <c r="CN444" s="78"/>
      <c r="CO444" s="78"/>
      <c r="CP444" s="78"/>
      <c r="CQ444" s="78"/>
      <c r="CR444" s="78"/>
      <c r="CS444" s="78"/>
      <c r="CT444" s="78"/>
      <c r="CU444" s="78"/>
      <c r="CV444" s="78"/>
      <c r="CW444" s="78"/>
      <c r="CX444" s="78"/>
      <c r="CY444" s="78"/>
      <c r="CZ444" s="78"/>
      <c r="DA444" s="78"/>
      <c r="DB444" s="78"/>
      <c r="DC444" s="78"/>
      <c r="DD444" s="78"/>
      <c r="DE444" s="78"/>
      <c r="DF444" s="78"/>
      <c r="DG444" s="78"/>
      <c r="DH444" s="78"/>
      <c r="DI444" s="78"/>
      <c r="DJ444" s="78"/>
      <c r="DK444" s="78"/>
      <c r="DL444" s="78"/>
      <c r="DM444" s="78"/>
      <c r="DN444" s="78"/>
      <c r="DO444" s="78"/>
      <c r="DP444" s="78"/>
      <c r="DQ444" s="78"/>
      <c r="DR444" s="78"/>
      <c r="DS444" s="78"/>
      <c r="DT444" s="78"/>
      <c r="DU444" s="78"/>
      <c r="DV444" s="78"/>
      <c r="DW444" s="78"/>
      <c r="DX444" s="78"/>
      <c r="DY444" s="78"/>
      <c r="DZ444" s="78"/>
      <c r="EA444" s="78"/>
      <c r="EB444" s="78"/>
      <c r="EC444" s="78"/>
      <c r="ED444" s="78"/>
      <c r="EE444" s="78"/>
      <c r="EF444" s="78"/>
      <c r="EG444" s="78"/>
      <c r="EH444" s="78"/>
      <c r="EI444" s="78"/>
      <c r="EJ444" s="78"/>
      <c r="EK444" s="78"/>
      <c r="EL444" s="78"/>
      <c r="EM444" s="78"/>
      <c r="EN444" s="91"/>
      <c r="EO444" s="91"/>
      <c r="EP444" s="91"/>
      <c r="EQ444" s="91"/>
      <c r="ER444" s="91"/>
      <c r="ES444" s="91"/>
    </row>
    <row r="445" spans="1:149" outlineLevel="1">
      <c r="A445" s="29" t="str">
        <f t="shared" si="317"/>
        <v>modesg_inp_project_financenome_legal_kgl</v>
      </c>
      <c r="B445" s="67"/>
      <c r="C445" s="68"/>
      <c r="D445" s="64" t="s">
        <v>40</v>
      </c>
      <c r="E445" s="66" t="s">
        <v>2060</v>
      </c>
      <c r="F445" s="64" t="s">
        <v>2064</v>
      </c>
      <c r="G445" s="64" t="str">
        <f>INDEX(Auxiliar!$B$16:$B$24,MATCH(Plano_V3!H445,Auxiliar!$C$16:$C$24,0),1)</f>
        <v>1. Concluído</v>
      </c>
      <c r="H445" s="64">
        <f>VLOOKUP(A445,'Aux - pivots1'!$A:$B,2,0)</f>
        <v>1</v>
      </c>
      <c r="I445" s="180" t="e">
        <f>SUMIFS(Table1[Estimação (horas)],Table1[Tabela],Plano_V3!E445,Table1[Campo],Plano_V3!F445)</f>
        <v>#N/A</v>
      </c>
      <c r="J445" s="180" t="e">
        <f t="shared" si="325"/>
        <v>#N/A</v>
      </c>
      <c r="K445" s="180" t="e">
        <f>SUMIFS(Table1[Horas efetivas],Table1[Tabela],Plano_V3!E445,Table1[Campo],Plano_V3!F445)</f>
        <v>#N/A</v>
      </c>
      <c r="L445" s="180" t="e">
        <f t="shared" si="326"/>
        <v>#N/A</v>
      </c>
      <c r="M445" s="174"/>
      <c r="N445" s="174" t="e">
        <f t="shared" si="327"/>
        <v>#N/A</v>
      </c>
      <c r="O445" s="174" t="e">
        <f t="shared" si="328"/>
        <v>#N/A</v>
      </c>
      <c r="P445" s="89" t="s">
        <v>39</v>
      </c>
      <c r="Q445" s="90"/>
      <c r="R445" s="78"/>
      <c r="S445" s="78"/>
      <c r="T445" s="78"/>
      <c r="U445" s="78"/>
      <c r="V445" s="78"/>
      <c r="W445" s="78"/>
      <c r="X445" s="78"/>
      <c r="Y445" s="78"/>
      <c r="Z445" s="78"/>
      <c r="AA445" s="78"/>
      <c r="AB445" s="78"/>
      <c r="AC445" s="78"/>
      <c r="AD445" s="78"/>
      <c r="AE445" s="78"/>
      <c r="AF445" s="78"/>
      <c r="AG445" s="78"/>
      <c r="AH445" s="78"/>
      <c r="AI445" s="78"/>
      <c r="AJ445" s="78"/>
      <c r="AK445" s="78"/>
      <c r="AL445" s="78"/>
      <c r="AM445" s="78"/>
      <c r="AN445" s="78"/>
      <c r="AO445" s="78"/>
      <c r="AP445" s="78"/>
      <c r="AQ445" s="78"/>
      <c r="AR445" s="78"/>
      <c r="AS445" s="78"/>
      <c r="AT445" s="78"/>
      <c r="AU445" s="78"/>
      <c r="AV445" s="78"/>
      <c r="AW445" s="78"/>
      <c r="AX445" s="78"/>
      <c r="AY445" s="91"/>
      <c r="AZ445" s="78"/>
      <c r="BA445" s="78"/>
      <c r="BB445" s="78"/>
      <c r="BC445" s="78"/>
      <c r="BD445" s="78"/>
      <c r="BE445" s="78"/>
      <c r="BF445" s="78"/>
      <c r="BG445" s="78"/>
      <c r="BH445" s="78"/>
      <c r="BI445" s="78"/>
      <c r="BJ445" s="78"/>
      <c r="BK445" s="78"/>
      <c r="BL445" s="78"/>
      <c r="BM445" s="78"/>
      <c r="BN445" s="78"/>
      <c r="BO445" s="78"/>
      <c r="BP445" s="78"/>
      <c r="BQ445" s="78"/>
      <c r="BR445" s="78"/>
      <c r="BS445" s="78"/>
      <c r="BT445" s="78"/>
      <c r="BU445" s="78"/>
      <c r="BV445" s="78"/>
      <c r="BW445" s="78"/>
      <c r="BX445" s="78"/>
      <c r="BY445" s="78"/>
      <c r="BZ445" s="78"/>
      <c r="CA445" s="78"/>
      <c r="CB445" s="78"/>
      <c r="CC445" s="78"/>
      <c r="CD445" s="78"/>
      <c r="CE445" s="78"/>
      <c r="CF445" s="78"/>
      <c r="CG445" s="78"/>
      <c r="CH445" s="78"/>
      <c r="CI445" s="78"/>
      <c r="CJ445" s="78"/>
      <c r="CK445" s="78"/>
      <c r="CL445" s="78"/>
      <c r="CM445" s="78"/>
      <c r="CN445" s="78"/>
      <c r="CO445" s="78"/>
      <c r="CP445" s="78"/>
      <c r="CQ445" s="78"/>
      <c r="CR445" s="78"/>
      <c r="CS445" s="78"/>
      <c r="CT445" s="78"/>
      <c r="CU445" s="78"/>
      <c r="CV445" s="78"/>
      <c r="CW445" s="78"/>
      <c r="CX445" s="78"/>
      <c r="CY445" s="78"/>
      <c r="CZ445" s="78"/>
      <c r="DA445" s="78"/>
      <c r="DB445" s="78"/>
      <c r="DC445" s="78"/>
      <c r="DD445" s="78"/>
      <c r="DE445" s="78"/>
      <c r="DF445" s="78"/>
      <c r="DG445" s="78"/>
      <c r="DH445" s="78"/>
      <c r="DI445" s="78"/>
      <c r="DJ445" s="78"/>
      <c r="DK445" s="78"/>
      <c r="DL445" s="78"/>
      <c r="DM445" s="78"/>
      <c r="DN445" s="78"/>
      <c r="DO445" s="78"/>
      <c r="DP445" s="78"/>
      <c r="DQ445" s="78"/>
      <c r="DR445" s="78"/>
      <c r="DS445" s="78"/>
      <c r="DT445" s="78"/>
      <c r="DU445" s="78"/>
      <c r="DV445" s="78"/>
      <c r="DW445" s="78"/>
      <c r="DX445" s="78"/>
      <c r="DY445" s="78"/>
      <c r="DZ445" s="78"/>
      <c r="EA445" s="78"/>
      <c r="EB445" s="78"/>
      <c r="EC445" s="78"/>
      <c r="ED445" s="78"/>
      <c r="EE445" s="78"/>
      <c r="EF445" s="78"/>
      <c r="EG445" s="78"/>
      <c r="EH445" s="78"/>
      <c r="EI445" s="78"/>
      <c r="EJ445" s="78"/>
      <c r="EK445" s="78"/>
      <c r="EL445" s="78"/>
      <c r="EM445" s="78"/>
      <c r="EN445" s="91"/>
      <c r="EO445" s="91"/>
      <c r="EP445" s="91"/>
      <c r="EQ445" s="91"/>
      <c r="ER445" s="91"/>
      <c r="ES445" s="91"/>
    </row>
    <row r="446" spans="1:149" outlineLevel="1">
      <c r="A446" s="29" t="str">
        <f t="shared" si="317"/>
        <v>modesg_inp_project_financekgl_top_entidade_principal</v>
      </c>
      <c r="B446" s="67"/>
      <c r="C446" s="68"/>
      <c r="D446" s="64" t="s">
        <v>40</v>
      </c>
      <c r="E446" s="66" t="s">
        <v>2060</v>
      </c>
      <c r="F446" s="64" t="s">
        <v>2065</v>
      </c>
      <c r="G446" s="64" t="str">
        <f>INDEX(Auxiliar!$B$16:$B$24,MATCH(Plano_V3!H446,Auxiliar!$C$16:$C$24,0),1)</f>
        <v>1. Concluído</v>
      </c>
      <c r="H446" s="64">
        <f>VLOOKUP(A446,'Aux - pivots1'!$A:$B,2,0)</f>
        <v>1</v>
      </c>
      <c r="I446" s="180" t="e">
        <f>SUMIFS(Table1[Estimação (horas)],Table1[Tabela],Plano_V3!E446,Table1[Campo],Plano_V3!F446)</f>
        <v>#N/A</v>
      </c>
      <c r="J446" s="180" t="e">
        <f t="shared" si="325"/>
        <v>#N/A</v>
      </c>
      <c r="K446" s="180" t="e">
        <f>SUMIFS(Table1[Horas efetivas],Table1[Tabela],Plano_V3!E446,Table1[Campo],Plano_V3!F446)</f>
        <v>#N/A</v>
      </c>
      <c r="L446" s="180" t="e">
        <f t="shared" si="326"/>
        <v>#N/A</v>
      </c>
      <c r="M446" s="174"/>
      <c r="N446" s="174" t="e">
        <f t="shared" si="327"/>
        <v>#N/A</v>
      </c>
      <c r="O446" s="174" t="e">
        <f t="shared" si="328"/>
        <v>#N/A</v>
      </c>
      <c r="P446" s="89" t="s">
        <v>39</v>
      </c>
      <c r="Q446" s="90"/>
      <c r="R446" s="78"/>
      <c r="S446" s="78"/>
      <c r="T446" s="78"/>
      <c r="U446" s="78"/>
      <c r="V446" s="78"/>
      <c r="W446" s="78"/>
      <c r="X446" s="78"/>
      <c r="Y446" s="78"/>
      <c r="Z446" s="78"/>
      <c r="AA446" s="78"/>
      <c r="AB446" s="78"/>
      <c r="AC446" s="78"/>
      <c r="AD446" s="78"/>
      <c r="AE446" s="78"/>
      <c r="AF446" s="78"/>
      <c r="AG446" s="78"/>
      <c r="AH446" s="78"/>
      <c r="AI446" s="78"/>
      <c r="AJ446" s="78"/>
      <c r="AK446" s="78"/>
      <c r="AL446" s="78"/>
      <c r="AM446" s="78"/>
      <c r="AN446" s="78"/>
      <c r="AO446" s="78"/>
      <c r="AP446" s="78"/>
      <c r="AQ446" s="78"/>
      <c r="AR446" s="78"/>
      <c r="AS446" s="78"/>
      <c r="AT446" s="78"/>
      <c r="AU446" s="78"/>
      <c r="AV446" s="78"/>
      <c r="AW446" s="78"/>
      <c r="AX446" s="78"/>
      <c r="AY446" s="91"/>
      <c r="AZ446" s="78"/>
      <c r="BA446" s="78"/>
      <c r="BB446" s="78"/>
      <c r="BC446" s="78"/>
      <c r="BD446" s="78"/>
      <c r="BE446" s="78"/>
      <c r="BF446" s="78"/>
      <c r="BG446" s="78"/>
      <c r="BH446" s="78"/>
      <c r="BI446" s="78"/>
      <c r="BJ446" s="78"/>
      <c r="BK446" s="78"/>
      <c r="BL446" s="78"/>
      <c r="BM446" s="78"/>
      <c r="BN446" s="78"/>
      <c r="BO446" s="78"/>
      <c r="BP446" s="78"/>
      <c r="BQ446" s="78"/>
      <c r="BR446" s="78"/>
      <c r="BS446" s="78"/>
      <c r="BT446" s="78"/>
      <c r="BU446" s="78"/>
      <c r="BV446" s="78"/>
      <c r="BW446" s="78"/>
      <c r="BX446" s="78"/>
      <c r="BY446" s="78"/>
      <c r="BZ446" s="78"/>
      <c r="CA446" s="78"/>
      <c r="CB446" s="78"/>
      <c r="CC446" s="78"/>
      <c r="CD446" s="78"/>
      <c r="CE446" s="78"/>
      <c r="CF446" s="78"/>
      <c r="CG446" s="78"/>
      <c r="CH446" s="78"/>
      <c r="CI446" s="78"/>
      <c r="CJ446" s="78"/>
      <c r="CK446" s="78"/>
      <c r="CL446" s="78"/>
      <c r="CM446" s="78"/>
      <c r="CN446" s="78"/>
      <c r="CO446" s="78"/>
      <c r="CP446" s="78"/>
      <c r="CQ446" s="78"/>
      <c r="CR446" s="78"/>
      <c r="CS446" s="78"/>
      <c r="CT446" s="78"/>
      <c r="CU446" s="78"/>
      <c r="CV446" s="78"/>
      <c r="CW446" s="78"/>
      <c r="CX446" s="78"/>
      <c r="CY446" s="78"/>
      <c r="CZ446" s="78"/>
      <c r="DA446" s="78"/>
      <c r="DB446" s="78"/>
      <c r="DC446" s="78"/>
      <c r="DD446" s="78"/>
      <c r="DE446" s="78"/>
      <c r="DF446" s="78"/>
      <c r="DG446" s="78"/>
      <c r="DH446" s="78"/>
      <c r="DI446" s="78"/>
      <c r="DJ446" s="78"/>
      <c r="DK446" s="78"/>
      <c r="DL446" s="78"/>
      <c r="DM446" s="78"/>
      <c r="DN446" s="78"/>
      <c r="DO446" s="78"/>
      <c r="DP446" s="78"/>
      <c r="DQ446" s="78"/>
      <c r="DR446" s="78"/>
      <c r="DS446" s="78"/>
      <c r="DT446" s="78"/>
      <c r="DU446" s="78"/>
      <c r="DV446" s="78"/>
      <c r="DW446" s="78"/>
      <c r="DX446" s="78"/>
      <c r="DY446" s="78"/>
      <c r="DZ446" s="78"/>
      <c r="EA446" s="78"/>
      <c r="EB446" s="78"/>
      <c r="EC446" s="78"/>
      <c r="ED446" s="78"/>
      <c r="EE446" s="78"/>
      <c r="EF446" s="78"/>
      <c r="EG446" s="78"/>
      <c r="EH446" s="78"/>
      <c r="EI446" s="78"/>
      <c r="EJ446" s="78"/>
      <c r="EK446" s="78"/>
      <c r="EL446" s="78"/>
      <c r="EM446" s="78"/>
      <c r="EN446" s="91"/>
      <c r="EO446" s="91"/>
      <c r="EP446" s="91"/>
      <c r="EQ446" s="91"/>
      <c r="ER446" s="91"/>
      <c r="ES446" s="91"/>
    </row>
    <row r="447" spans="1:149" outlineLevel="1">
      <c r="A447" s="29" t="str">
        <f t="shared" si="317"/>
        <v>modesg_inp_project_financekgl_entidade_principal</v>
      </c>
      <c r="B447" s="67"/>
      <c r="C447" s="68"/>
      <c r="D447" s="64" t="s">
        <v>40</v>
      </c>
      <c r="E447" s="66" t="s">
        <v>2060</v>
      </c>
      <c r="F447" s="64" t="s">
        <v>2066</v>
      </c>
      <c r="G447" s="64" t="str">
        <f>INDEX(Auxiliar!$B$16:$B$24,MATCH(Plano_V3!H447,Auxiliar!$C$16:$C$24,0),1)</f>
        <v>1. Concluído</v>
      </c>
      <c r="H447" s="64">
        <f>VLOOKUP(A447,'Aux - pivots1'!$A:$B,2,0)</f>
        <v>1</v>
      </c>
      <c r="I447" s="180" t="e">
        <f>SUMIFS(Table1[Estimação (horas)],Table1[Tabela],Plano_V3!E447,Table1[Campo],Plano_V3!F447)</f>
        <v>#N/A</v>
      </c>
      <c r="J447" s="180" t="e">
        <f t="shared" si="325"/>
        <v>#N/A</v>
      </c>
      <c r="K447" s="180" t="e">
        <f>SUMIFS(Table1[Horas efetivas],Table1[Tabela],Plano_V3!E447,Table1[Campo],Plano_V3!F447)</f>
        <v>#N/A</v>
      </c>
      <c r="L447" s="180" t="e">
        <f t="shared" si="326"/>
        <v>#N/A</v>
      </c>
      <c r="M447" s="174"/>
      <c r="N447" s="174" t="e">
        <f t="shared" si="327"/>
        <v>#N/A</v>
      </c>
      <c r="O447" s="174" t="e">
        <f t="shared" si="328"/>
        <v>#N/A</v>
      </c>
      <c r="P447" s="89" t="s">
        <v>39</v>
      </c>
      <c r="Q447" s="90"/>
      <c r="R447" s="78"/>
      <c r="S447" s="78"/>
      <c r="T447" s="78"/>
      <c r="U447" s="78"/>
      <c r="V447" s="78"/>
      <c r="W447" s="78"/>
      <c r="X447" s="78"/>
      <c r="Y447" s="78"/>
      <c r="Z447" s="78"/>
      <c r="AA447" s="78"/>
      <c r="AB447" s="78"/>
      <c r="AC447" s="78"/>
      <c r="AD447" s="78"/>
      <c r="AE447" s="78"/>
      <c r="AF447" s="78"/>
      <c r="AG447" s="78"/>
      <c r="AH447" s="78"/>
      <c r="AI447" s="78"/>
      <c r="AJ447" s="78"/>
      <c r="AK447" s="78"/>
      <c r="AL447" s="78"/>
      <c r="AM447" s="78"/>
      <c r="AN447" s="78"/>
      <c r="AO447" s="78"/>
      <c r="AP447" s="78"/>
      <c r="AQ447" s="78"/>
      <c r="AR447" s="78"/>
      <c r="AS447" s="78"/>
      <c r="AT447" s="78"/>
      <c r="AU447" s="78"/>
      <c r="AV447" s="78"/>
      <c r="AW447" s="78"/>
      <c r="AX447" s="78"/>
      <c r="AY447" s="91"/>
      <c r="AZ447" s="78"/>
      <c r="BA447" s="78"/>
      <c r="BB447" s="78"/>
      <c r="BC447" s="78"/>
      <c r="BD447" s="78"/>
      <c r="BE447" s="78"/>
      <c r="BF447" s="78"/>
      <c r="BG447" s="78"/>
      <c r="BH447" s="78"/>
      <c r="BI447" s="78"/>
      <c r="BJ447" s="78"/>
      <c r="BK447" s="78"/>
      <c r="BL447" s="78"/>
      <c r="BM447" s="78"/>
      <c r="BN447" s="78"/>
      <c r="BO447" s="78"/>
      <c r="BP447" s="78"/>
      <c r="BQ447" s="78"/>
      <c r="BR447" s="78"/>
      <c r="BS447" s="78"/>
      <c r="BT447" s="78"/>
      <c r="BU447" s="78"/>
      <c r="BV447" s="78"/>
      <c r="BW447" s="78"/>
      <c r="BX447" s="78"/>
      <c r="BY447" s="78"/>
      <c r="BZ447" s="78"/>
      <c r="CA447" s="78"/>
      <c r="CB447" s="78"/>
      <c r="CC447" s="78"/>
      <c r="CD447" s="78"/>
      <c r="CE447" s="78"/>
      <c r="CF447" s="78"/>
      <c r="CG447" s="78"/>
      <c r="CH447" s="78"/>
      <c r="CI447" s="78"/>
      <c r="CJ447" s="78"/>
      <c r="CK447" s="78"/>
      <c r="CL447" s="78"/>
      <c r="CM447" s="78"/>
      <c r="CN447" s="78"/>
      <c r="CO447" s="78"/>
      <c r="CP447" s="78"/>
      <c r="CQ447" s="78"/>
      <c r="CR447" s="78"/>
      <c r="CS447" s="78"/>
      <c r="CT447" s="78"/>
      <c r="CU447" s="78"/>
      <c r="CV447" s="78"/>
      <c r="CW447" s="78"/>
      <c r="CX447" s="78"/>
      <c r="CY447" s="78"/>
      <c r="CZ447" s="78"/>
      <c r="DA447" s="78"/>
      <c r="DB447" s="78"/>
      <c r="DC447" s="78"/>
      <c r="DD447" s="78"/>
      <c r="DE447" s="78"/>
      <c r="DF447" s="78"/>
      <c r="DG447" s="78"/>
      <c r="DH447" s="78"/>
      <c r="DI447" s="78"/>
      <c r="DJ447" s="78"/>
      <c r="DK447" s="78"/>
      <c r="DL447" s="78"/>
      <c r="DM447" s="78"/>
      <c r="DN447" s="78"/>
      <c r="DO447" s="78"/>
      <c r="DP447" s="78"/>
      <c r="DQ447" s="78"/>
      <c r="DR447" s="78"/>
      <c r="DS447" s="78"/>
      <c r="DT447" s="78"/>
      <c r="DU447" s="78"/>
      <c r="DV447" s="78"/>
      <c r="DW447" s="78"/>
      <c r="DX447" s="78"/>
      <c r="DY447" s="78"/>
      <c r="DZ447" s="78"/>
      <c r="EA447" s="78"/>
      <c r="EB447" s="78"/>
      <c r="EC447" s="78"/>
      <c r="ED447" s="78"/>
      <c r="EE447" s="78"/>
      <c r="EF447" s="78"/>
      <c r="EG447" s="78"/>
      <c r="EH447" s="78"/>
      <c r="EI447" s="78"/>
      <c r="EJ447" s="78"/>
      <c r="EK447" s="78"/>
      <c r="EL447" s="78"/>
      <c r="EM447" s="78"/>
      <c r="EN447" s="91"/>
      <c r="EO447" s="91"/>
      <c r="EP447" s="91"/>
      <c r="EQ447" s="91"/>
      <c r="ER447" s="91"/>
      <c r="ES447" s="91"/>
    </row>
    <row r="448" spans="1:149" outlineLevel="1">
      <c r="A448" s="29" t="str">
        <f t="shared" si="317"/>
        <v>modesg_inp_project_financenome_top_entidade_principal</v>
      </c>
      <c r="B448" s="67"/>
      <c r="C448" s="68"/>
      <c r="D448" s="64" t="s">
        <v>40</v>
      </c>
      <c r="E448" s="66" t="s">
        <v>2060</v>
      </c>
      <c r="F448" s="64" t="s">
        <v>2067</v>
      </c>
      <c r="G448" s="64" t="str">
        <f>INDEX(Auxiliar!$B$16:$B$24,MATCH(Plano_V3!H448,Auxiliar!$C$16:$C$24,0),1)</f>
        <v>1. Concluído</v>
      </c>
      <c r="H448" s="64">
        <f>VLOOKUP(A448,'Aux - pivots1'!$A:$B,2,0)</f>
        <v>1</v>
      </c>
      <c r="I448" s="180" t="e">
        <f>SUMIFS(Table1[Estimação (horas)],Table1[Tabela],Plano_V3!E448,Table1[Campo],Plano_V3!F448)</f>
        <v>#N/A</v>
      </c>
      <c r="J448" s="180" t="e">
        <f t="shared" si="325"/>
        <v>#N/A</v>
      </c>
      <c r="K448" s="180" t="e">
        <f>SUMIFS(Table1[Horas efetivas],Table1[Tabela],Plano_V3!E448,Table1[Campo],Plano_V3!F448)</f>
        <v>#N/A</v>
      </c>
      <c r="L448" s="180" t="e">
        <f t="shared" si="326"/>
        <v>#N/A</v>
      </c>
      <c r="M448" s="174"/>
      <c r="N448" s="174" t="e">
        <f t="shared" si="327"/>
        <v>#N/A</v>
      </c>
      <c r="O448" s="174" t="e">
        <f t="shared" si="328"/>
        <v>#N/A</v>
      </c>
      <c r="P448" s="89" t="s">
        <v>39</v>
      </c>
      <c r="Q448" s="90"/>
      <c r="R448" s="78"/>
      <c r="S448" s="78"/>
      <c r="T448" s="78"/>
      <c r="U448" s="78"/>
      <c r="V448" s="78"/>
      <c r="W448" s="78"/>
      <c r="X448" s="78"/>
      <c r="Y448" s="78"/>
      <c r="Z448" s="78"/>
      <c r="AA448" s="78"/>
      <c r="AB448" s="78"/>
      <c r="AC448" s="78"/>
      <c r="AD448" s="78"/>
      <c r="AE448" s="78"/>
      <c r="AF448" s="78"/>
      <c r="AG448" s="78"/>
      <c r="AH448" s="78"/>
      <c r="AI448" s="78"/>
      <c r="AJ448" s="78"/>
      <c r="AK448" s="78"/>
      <c r="AL448" s="78"/>
      <c r="AM448" s="78"/>
      <c r="AN448" s="78"/>
      <c r="AO448" s="78"/>
      <c r="AP448" s="78"/>
      <c r="AQ448" s="78"/>
      <c r="AR448" s="78"/>
      <c r="AS448" s="78"/>
      <c r="AT448" s="78"/>
      <c r="AU448" s="78"/>
      <c r="AV448" s="78"/>
      <c r="AW448" s="78"/>
      <c r="AX448" s="78"/>
      <c r="AY448" s="91"/>
      <c r="AZ448" s="78"/>
      <c r="BA448" s="78"/>
      <c r="BB448" s="78"/>
      <c r="BC448" s="78"/>
      <c r="BD448" s="78"/>
      <c r="BE448" s="78"/>
      <c r="BF448" s="78"/>
      <c r="BG448" s="78"/>
      <c r="BH448" s="78"/>
      <c r="BI448" s="78"/>
      <c r="BJ448" s="78"/>
      <c r="BK448" s="78"/>
      <c r="BL448" s="78"/>
      <c r="BM448" s="78"/>
      <c r="BN448" s="78"/>
      <c r="BO448" s="78"/>
      <c r="BP448" s="78"/>
      <c r="BQ448" s="78"/>
      <c r="BR448" s="78"/>
      <c r="BS448" s="78"/>
      <c r="BT448" s="78"/>
      <c r="BU448" s="78"/>
      <c r="BV448" s="78"/>
      <c r="BW448" s="78"/>
      <c r="BX448" s="78"/>
      <c r="BY448" s="78"/>
      <c r="BZ448" s="78"/>
      <c r="CA448" s="78"/>
      <c r="CB448" s="78"/>
      <c r="CC448" s="78"/>
      <c r="CD448" s="78"/>
      <c r="CE448" s="78"/>
      <c r="CF448" s="78"/>
      <c r="CG448" s="78"/>
      <c r="CH448" s="78"/>
      <c r="CI448" s="78"/>
      <c r="CJ448" s="78"/>
      <c r="CK448" s="78"/>
      <c r="CL448" s="78"/>
      <c r="CM448" s="78"/>
      <c r="CN448" s="78"/>
      <c r="CO448" s="78"/>
      <c r="CP448" s="78"/>
      <c r="CQ448" s="78"/>
      <c r="CR448" s="78"/>
      <c r="CS448" s="78"/>
      <c r="CT448" s="78"/>
      <c r="CU448" s="78"/>
      <c r="CV448" s="78"/>
      <c r="CW448" s="78"/>
      <c r="CX448" s="78"/>
      <c r="CY448" s="78"/>
      <c r="CZ448" s="78"/>
      <c r="DA448" s="78"/>
      <c r="DB448" s="78"/>
      <c r="DC448" s="78"/>
      <c r="DD448" s="78"/>
      <c r="DE448" s="78"/>
      <c r="DF448" s="78"/>
      <c r="DG448" s="78"/>
      <c r="DH448" s="78"/>
      <c r="DI448" s="78"/>
      <c r="DJ448" s="78"/>
      <c r="DK448" s="78"/>
      <c r="DL448" s="78"/>
      <c r="DM448" s="78"/>
      <c r="DN448" s="78"/>
      <c r="DO448" s="78"/>
      <c r="DP448" s="78"/>
      <c r="DQ448" s="78"/>
      <c r="DR448" s="78"/>
      <c r="DS448" s="78"/>
      <c r="DT448" s="78"/>
      <c r="DU448" s="78"/>
      <c r="DV448" s="78"/>
      <c r="DW448" s="78"/>
      <c r="DX448" s="78"/>
      <c r="DY448" s="78"/>
      <c r="DZ448" s="78"/>
      <c r="EA448" s="78"/>
      <c r="EB448" s="78"/>
      <c r="EC448" s="78"/>
      <c r="ED448" s="78"/>
      <c r="EE448" s="78"/>
      <c r="EF448" s="78"/>
      <c r="EG448" s="78"/>
      <c r="EH448" s="78"/>
      <c r="EI448" s="78"/>
      <c r="EJ448" s="78"/>
      <c r="EK448" s="78"/>
      <c r="EL448" s="78"/>
      <c r="EM448" s="78"/>
      <c r="EN448" s="91"/>
      <c r="EO448" s="91"/>
      <c r="EP448" s="91"/>
      <c r="EQ448" s="91"/>
      <c r="ER448" s="91"/>
      <c r="ES448" s="91"/>
    </row>
    <row r="449" spans="1:149" outlineLevel="1">
      <c r="A449" s="29" t="str">
        <f t="shared" si="317"/>
        <v>modesg_inp_project_financecodigo_unidade_operativa</v>
      </c>
      <c r="B449" s="67"/>
      <c r="C449" s="68"/>
      <c r="D449" s="64" t="s">
        <v>40</v>
      </c>
      <c r="E449" s="66" t="s">
        <v>2060</v>
      </c>
      <c r="F449" s="64" t="s">
        <v>2068</v>
      </c>
      <c r="G449" s="64" t="str">
        <f>INDEX(Auxiliar!$B$16:$B$24,MATCH(Plano_V3!H449,Auxiliar!$C$16:$C$24,0),1)</f>
        <v>1. Concluído</v>
      </c>
      <c r="H449" s="64">
        <f>VLOOKUP(A449,'Aux - pivots1'!$A:$B,2,0)</f>
        <v>1</v>
      </c>
      <c r="I449" s="180" t="e">
        <f>SUMIFS(Table1[Estimação (horas)],Table1[Tabela],Plano_V3!E449,Table1[Campo],Plano_V3!F449)</f>
        <v>#N/A</v>
      </c>
      <c r="J449" s="180" t="e">
        <f t="shared" si="325"/>
        <v>#N/A</v>
      </c>
      <c r="K449" s="180" t="e">
        <f>SUMIFS(Table1[Horas efetivas],Table1[Tabela],Plano_V3!E449,Table1[Campo],Plano_V3!F449)</f>
        <v>#N/A</v>
      </c>
      <c r="L449" s="180" t="e">
        <f t="shared" si="326"/>
        <v>#N/A</v>
      </c>
      <c r="M449" s="174"/>
      <c r="N449" s="174" t="e">
        <f t="shared" si="327"/>
        <v>#N/A</v>
      </c>
      <c r="O449" s="174" t="e">
        <f t="shared" si="328"/>
        <v>#N/A</v>
      </c>
      <c r="P449" s="89" t="s">
        <v>39</v>
      </c>
      <c r="Q449" s="90"/>
      <c r="R449" s="78"/>
      <c r="S449" s="78"/>
      <c r="T449" s="78"/>
      <c r="U449" s="78"/>
      <c r="V449" s="78"/>
      <c r="W449" s="78"/>
      <c r="X449" s="78"/>
      <c r="Y449" s="78"/>
      <c r="Z449" s="78"/>
      <c r="AA449" s="78"/>
      <c r="AB449" s="78"/>
      <c r="AC449" s="78"/>
      <c r="AD449" s="78"/>
      <c r="AE449" s="78"/>
      <c r="AF449" s="78"/>
      <c r="AG449" s="78"/>
      <c r="AH449" s="78"/>
      <c r="AI449" s="78"/>
      <c r="AJ449" s="78"/>
      <c r="AK449" s="78"/>
      <c r="AL449" s="78"/>
      <c r="AM449" s="78"/>
      <c r="AN449" s="78"/>
      <c r="AO449" s="78"/>
      <c r="AP449" s="78"/>
      <c r="AQ449" s="78"/>
      <c r="AR449" s="78"/>
      <c r="AS449" s="78"/>
      <c r="AT449" s="78"/>
      <c r="AU449" s="78"/>
      <c r="AV449" s="78"/>
      <c r="AW449" s="78"/>
      <c r="AX449" s="78"/>
      <c r="AY449" s="91"/>
      <c r="AZ449" s="78"/>
      <c r="BA449" s="78"/>
      <c r="BB449" s="78"/>
      <c r="BC449" s="78"/>
      <c r="BD449" s="78"/>
      <c r="BE449" s="78"/>
      <c r="BF449" s="78"/>
      <c r="BG449" s="78"/>
      <c r="BH449" s="78"/>
      <c r="BI449" s="78"/>
      <c r="BJ449" s="78"/>
      <c r="BK449" s="78"/>
      <c r="BL449" s="78"/>
      <c r="BM449" s="78"/>
      <c r="BN449" s="78"/>
      <c r="BO449" s="78"/>
      <c r="BP449" s="78"/>
      <c r="BQ449" s="78"/>
      <c r="BR449" s="78"/>
      <c r="BS449" s="78"/>
      <c r="BT449" s="78"/>
      <c r="BU449" s="78"/>
      <c r="BV449" s="78"/>
      <c r="BW449" s="78"/>
      <c r="BX449" s="78"/>
      <c r="BY449" s="78"/>
      <c r="BZ449" s="78"/>
      <c r="CA449" s="78"/>
      <c r="CB449" s="78"/>
      <c r="CC449" s="78"/>
      <c r="CD449" s="78"/>
      <c r="CE449" s="78"/>
      <c r="CF449" s="78"/>
      <c r="CG449" s="78"/>
      <c r="CH449" s="78"/>
      <c r="CI449" s="78"/>
      <c r="CJ449" s="78"/>
      <c r="CK449" s="78"/>
      <c r="CL449" s="78"/>
      <c r="CM449" s="78"/>
      <c r="CN449" s="78"/>
      <c r="CO449" s="78"/>
      <c r="CP449" s="78"/>
      <c r="CQ449" s="78"/>
      <c r="CR449" s="78"/>
      <c r="CS449" s="78"/>
      <c r="CT449" s="78"/>
      <c r="CU449" s="78"/>
      <c r="CV449" s="78"/>
      <c r="CW449" s="78"/>
      <c r="CX449" s="78"/>
      <c r="CY449" s="78"/>
      <c r="CZ449" s="78"/>
      <c r="DA449" s="78"/>
      <c r="DB449" s="78"/>
      <c r="DC449" s="78"/>
      <c r="DD449" s="78"/>
      <c r="DE449" s="78"/>
      <c r="DF449" s="78"/>
      <c r="DG449" s="78"/>
      <c r="DH449" s="78"/>
      <c r="DI449" s="78"/>
      <c r="DJ449" s="78"/>
      <c r="DK449" s="78"/>
      <c r="DL449" s="78"/>
      <c r="DM449" s="78"/>
      <c r="DN449" s="78"/>
      <c r="DO449" s="78"/>
      <c r="DP449" s="78"/>
      <c r="DQ449" s="78"/>
      <c r="DR449" s="78"/>
      <c r="DS449" s="78"/>
      <c r="DT449" s="78"/>
      <c r="DU449" s="78"/>
      <c r="DV449" s="78"/>
      <c r="DW449" s="78"/>
      <c r="DX449" s="78"/>
      <c r="DY449" s="78"/>
      <c r="DZ449" s="78"/>
      <c r="EA449" s="78"/>
      <c r="EB449" s="78"/>
      <c r="EC449" s="78"/>
      <c r="ED449" s="78"/>
      <c r="EE449" s="78"/>
      <c r="EF449" s="78"/>
      <c r="EG449" s="78"/>
      <c r="EH449" s="78"/>
      <c r="EI449" s="78"/>
      <c r="EJ449" s="78"/>
      <c r="EK449" s="78"/>
      <c r="EL449" s="78"/>
      <c r="EM449" s="78"/>
      <c r="EN449" s="91"/>
      <c r="EO449" s="91"/>
      <c r="EP449" s="91"/>
      <c r="EQ449" s="91"/>
      <c r="ER449" s="91"/>
      <c r="ES449" s="91"/>
    </row>
    <row r="450" spans="1:149" outlineLevel="1">
      <c r="A450" s="29" t="str">
        <f t="shared" si="317"/>
        <v>modesg_inp_project_financenome_entidade_operativa</v>
      </c>
      <c r="B450" s="67"/>
      <c r="C450" s="68"/>
      <c r="D450" s="64" t="s">
        <v>40</v>
      </c>
      <c r="E450" s="66" t="s">
        <v>2060</v>
      </c>
      <c r="F450" s="64" t="s">
        <v>2069</v>
      </c>
      <c r="G450" s="64" t="str">
        <f>INDEX(Auxiliar!$B$16:$B$24,MATCH(Plano_V3!H450,Auxiliar!$C$16:$C$24,0),1)</f>
        <v>1. Concluído</v>
      </c>
      <c r="H450" s="64">
        <f>VLOOKUP(A450,'Aux - pivots1'!$A:$B,2,0)</f>
        <v>1</v>
      </c>
      <c r="I450" s="180" t="e">
        <f>SUMIFS(Table1[Estimação (horas)],Table1[Tabela],Plano_V3!E450,Table1[Campo],Plano_V3!F450)</f>
        <v>#N/A</v>
      </c>
      <c r="J450" s="180" t="e">
        <f t="shared" si="325"/>
        <v>#N/A</v>
      </c>
      <c r="K450" s="180">
        <f>SUMIFS(Table1[Horas efetivas],Table1[Tabela],Plano_V3!E450,Table1[Campo],Plano_V3!F450)</f>
        <v>0</v>
      </c>
      <c r="L450" s="180">
        <f t="shared" si="326"/>
        <v>0</v>
      </c>
      <c r="M450" s="174"/>
      <c r="N450" s="174" t="e">
        <f t="shared" si="327"/>
        <v>#N/A</v>
      </c>
      <c r="O450" s="174" t="e">
        <f t="shared" si="328"/>
        <v>#N/A</v>
      </c>
      <c r="P450" s="89" t="s">
        <v>39</v>
      </c>
      <c r="Q450" s="90"/>
      <c r="R450" s="78"/>
      <c r="S450" s="78"/>
      <c r="T450" s="78"/>
      <c r="U450" s="78"/>
      <c r="V450" s="78"/>
      <c r="W450" s="78"/>
      <c r="X450" s="78"/>
      <c r="Y450" s="78"/>
      <c r="Z450" s="78"/>
      <c r="AA450" s="78"/>
      <c r="AB450" s="78"/>
      <c r="AC450" s="78"/>
      <c r="AD450" s="78"/>
      <c r="AE450" s="78"/>
      <c r="AF450" s="78"/>
      <c r="AG450" s="78"/>
      <c r="AH450" s="78"/>
      <c r="AI450" s="78"/>
      <c r="AJ450" s="78"/>
      <c r="AK450" s="78"/>
      <c r="AL450" s="78"/>
      <c r="AM450" s="78"/>
      <c r="AN450" s="78"/>
      <c r="AO450" s="78"/>
      <c r="AP450" s="78"/>
      <c r="AQ450" s="78"/>
      <c r="AR450" s="78"/>
      <c r="AS450" s="78"/>
      <c r="AT450" s="78"/>
      <c r="AU450" s="78"/>
      <c r="AV450" s="78"/>
      <c r="AW450" s="78"/>
      <c r="AX450" s="78"/>
      <c r="AY450" s="91"/>
      <c r="AZ450" s="78"/>
      <c r="BA450" s="78"/>
      <c r="BB450" s="78"/>
      <c r="BC450" s="78"/>
      <c r="BD450" s="78"/>
      <c r="BE450" s="78"/>
      <c r="BF450" s="78"/>
      <c r="BG450" s="78"/>
      <c r="BH450" s="78"/>
      <c r="BI450" s="78"/>
      <c r="BJ450" s="78"/>
      <c r="BK450" s="78"/>
      <c r="BL450" s="78"/>
      <c r="BM450" s="78"/>
      <c r="BN450" s="78"/>
      <c r="BO450" s="78"/>
      <c r="BP450" s="78"/>
      <c r="BQ450" s="78"/>
      <c r="BR450" s="78"/>
      <c r="BS450" s="78"/>
      <c r="BT450" s="78"/>
      <c r="BU450" s="78"/>
      <c r="BV450" s="78"/>
      <c r="BW450" s="78"/>
      <c r="BX450" s="78"/>
      <c r="BY450" s="78"/>
      <c r="BZ450" s="78"/>
      <c r="CA450" s="78"/>
      <c r="CB450" s="78"/>
      <c r="CC450" s="78"/>
      <c r="CD450" s="78"/>
      <c r="CE450" s="78"/>
      <c r="CF450" s="78"/>
      <c r="CG450" s="78"/>
      <c r="CH450" s="78"/>
      <c r="CI450" s="78"/>
      <c r="CJ450" s="78"/>
      <c r="CK450" s="78"/>
      <c r="CL450" s="78"/>
      <c r="CM450" s="78"/>
      <c r="CN450" s="78"/>
      <c r="CO450" s="78"/>
      <c r="CP450" s="78"/>
      <c r="CQ450" s="78"/>
      <c r="CR450" s="78"/>
      <c r="CS450" s="78"/>
      <c r="CT450" s="78"/>
      <c r="CU450" s="78"/>
      <c r="CV450" s="78"/>
      <c r="CW450" s="78"/>
      <c r="CX450" s="78"/>
      <c r="CY450" s="78"/>
      <c r="CZ450" s="78"/>
      <c r="DA450" s="78"/>
      <c r="DB450" s="78"/>
      <c r="DC450" s="78"/>
      <c r="DD450" s="78"/>
      <c r="DE450" s="78"/>
      <c r="DF450" s="78"/>
      <c r="DG450" s="78"/>
      <c r="DH450" s="78"/>
      <c r="DI450" s="78"/>
      <c r="DJ450" s="78"/>
      <c r="DK450" s="78"/>
      <c r="DL450" s="78"/>
      <c r="DM450" s="78"/>
      <c r="DN450" s="78"/>
      <c r="DO450" s="78"/>
      <c r="DP450" s="78"/>
      <c r="DQ450" s="78"/>
      <c r="DR450" s="78"/>
      <c r="DS450" s="78"/>
      <c r="DT450" s="78"/>
      <c r="DU450" s="78"/>
      <c r="DV450" s="78"/>
      <c r="DW450" s="78"/>
      <c r="DX450" s="78"/>
      <c r="DY450" s="78"/>
      <c r="DZ450" s="78"/>
      <c r="EA450" s="78"/>
      <c r="EB450" s="78"/>
      <c r="EC450" s="78"/>
      <c r="ED450" s="78"/>
      <c r="EE450" s="78"/>
      <c r="EF450" s="78"/>
      <c r="EG450" s="78"/>
      <c r="EH450" s="78"/>
      <c r="EI450" s="78"/>
      <c r="EJ450" s="78"/>
      <c r="EK450" s="78"/>
      <c r="EL450" s="78"/>
      <c r="EM450" s="78"/>
      <c r="EN450" s="91"/>
      <c r="EO450" s="91"/>
      <c r="EP450" s="91"/>
      <c r="EQ450" s="91"/>
      <c r="ER450" s="91"/>
      <c r="ES450" s="91"/>
    </row>
    <row r="451" spans="1:149" outlineLevel="1">
      <c r="A451" s="29" t="str">
        <f t="shared" si="317"/>
        <v>Re-testesn.a.</v>
      </c>
      <c r="B451" s="67" t="s">
        <v>26</v>
      </c>
      <c r="C451" s="68" t="s">
        <v>181</v>
      </c>
      <c r="D451" s="64" t="s">
        <v>40</v>
      </c>
      <c r="E451" s="66" t="s">
        <v>53</v>
      </c>
      <c r="F451" s="64" t="s">
        <v>38</v>
      </c>
      <c r="G451" s="64" t="s">
        <v>309</v>
      </c>
      <c r="H451" s="64"/>
      <c r="I451" s="180">
        <f>J451*8</f>
        <v>16</v>
      </c>
      <c r="J451" s="180">
        <v>2</v>
      </c>
      <c r="K451" s="180"/>
      <c r="L451" s="180"/>
      <c r="M451" s="174"/>
      <c r="N451" s="174">
        <v>0.25</v>
      </c>
      <c r="O451" s="174">
        <f t="shared" si="316"/>
        <v>0.25</v>
      </c>
      <c r="P451" s="87"/>
      <c r="Q451" s="90">
        <f t="shared" si="324"/>
        <v>2</v>
      </c>
      <c r="R451" s="78"/>
      <c r="S451" s="78"/>
      <c r="T451" s="78"/>
      <c r="U451" s="78"/>
      <c r="V451" s="78"/>
      <c r="W451" s="78"/>
      <c r="X451" s="78"/>
      <c r="Y451" s="78"/>
      <c r="Z451" s="78"/>
      <c r="AA451" s="78"/>
      <c r="AB451" s="78"/>
      <c r="AC451" s="78"/>
      <c r="AD451" s="78"/>
      <c r="AE451" s="78"/>
      <c r="AF451" s="78"/>
      <c r="AG451" s="78"/>
      <c r="AH451" s="78"/>
      <c r="AI451" s="78"/>
      <c r="AJ451" s="78"/>
      <c r="AK451" s="78"/>
      <c r="AL451" s="78"/>
      <c r="AM451" s="78"/>
      <c r="AN451" s="78"/>
      <c r="AO451" s="78"/>
      <c r="AP451" s="78"/>
      <c r="AQ451" s="78"/>
      <c r="AR451" s="78"/>
      <c r="AS451" s="78"/>
      <c r="AT451" s="78"/>
      <c r="AU451" s="78"/>
      <c r="AV451" s="78"/>
      <c r="AW451" s="78"/>
      <c r="AX451" s="78"/>
      <c r="AY451" s="91"/>
      <c r="AZ451" s="78"/>
      <c r="BA451" s="78"/>
      <c r="BB451" s="78"/>
      <c r="BC451" s="78"/>
      <c r="BD451" s="78"/>
      <c r="BE451" s="78"/>
      <c r="BF451" s="78"/>
      <c r="BG451" s="78"/>
      <c r="BH451" s="78"/>
      <c r="BI451" s="78"/>
      <c r="BJ451" s="78"/>
      <c r="BK451" s="78"/>
      <c r="BL451" s="78"/>
      <c r="BM451" s="78"/>
      <c r="BN451" s="78"/>
      <c r="BO451" s="78"/>
      <c r="BP451" s="78"/>
      <c r="BQ451" s="78"/>
      <c r="BR451" s="78"/>
      <c r="BS451" s="78"/>
      <c r="BT451" s="78"/>
      <c r="BU451" s="78"/>
      <c r="BV451" s="78"/>
      <c r="BW451" s="78"/>
      <c r="BX451" s="78"/>
      <c r="BY451" s="78"/>
      <c r="BZ451" s="78"/>
      <c r="CA451" s="78"/>
      <c r="CB451" s="78"/>
      <c r="CC451" s="78"/>
      <c r="CD451" s="78"/>
      <c r="CE451" s="78"/>
      <c r="CF451" s="78"/>
      <c r="CG451" s="78"/>
      <c r="CH451" s="78"/>
      <c r="CI451" s="78"/>
      <c r="CJ451" s="78"/>
      <c r="CK451" s="78"/>
      <c r="CL451" s="78"/>
      <c r="CM451" s="78"/>
      <c r="CN451" s="78"/>
      <c r="CO451" s="78"/>
      <c r="CP451" s="78"/>
      <c r="CQ451" s="78"/>
      <c r="CR451" s="78"/>
      <c r="CS451" s="78"/>
      <c r="CT451" s="78"/>
      <c r="CU451" s="78"/>
      <c r="CV451" s="78"/>
      <c r="CW451" s="78"/>
      <c r="CX451" s="78"/>
      <c r="CY451" s="78"/>
      <c r="CZ451" s="78"/>
      <c r="DA451" s="78"/>
      <c r="DB451" s="78"/>
      <c r="DC451" s="78"/>
      <c r="DD451" s="78"/>
      <c r="DE451" s="78"/>
      <c r="DF451" s="78"/>
      <c r="DG451" s="78"/>
      <c r="DH451" s="78"/>
      <c r="DI451" s="78"/>
      <c r="DJ451" s="78"/>
      <c r="DK451" s="78"/>
      <c r="DL451" s="78"/>
      <c r="DM451" s="78"/>
      <c r="DN451" s="78"/>
      <c r="DO451" s="78"/>
      <c r="DP451" s="78"/>
      <c r="DQ451" s="78"/>
      <c r="DR451" s="78"/>
      <c r="DS451" s="78"/>
      <c r="DT451" s="78"/>
      <c r="DU451" s="78"/>
      <c r="DV451" s="78"/>
      <c r="DW451" s="78"/>
      <c r="DX451" s="78"/>
      <c r="DY451" s="78"/>
      <c r="DZ451" s="78"/>
      <c r="EA451" s="78"/>
      <c r="EB451" s="78"/>
      <c r="EC451" s="78"/>
      <c r="ED451" s="78"/>
      <c r="EE451" s="78"/>
      <c r="EF451" s="78"/>
      <c r="EG451" s="78"/>
      <c r="EH451" s="78"/>
      <c r="EI451" s="78"/>
      <c r="EJ451" s="78"/>
      <c r="EK451" s="78"/>
      <c r="EL451" s="78"/>
      <c r="EM451" s="78"/>
      <c r="EN451" s="91"/>
      <c r="EO451" s="91"/>
      <c r="EP451" s="91"/>
      <c r="EQ451" s="91"/>
      <c r="ER451" s="91"/>
      <c r="ES451" s="91"/>
    </row>
    <row r="452" spans="1:149">
      <c r="A452" s="104" t="str">
        <f t="shared" ref="A452:A526" si="329">E452&amp;F452</f>
        <v/>
      </c>
      <c r="B452" s="63" t="s">
        <v>26</v>
      </c>
      <c r="C452" s="96" t="s">
        <v>310</v>
      </c>
      <c r="D452" s="96"/>
      <c r="E452" s="103"/>
      <c r="F452" s="96"/>
      <c r="G452" s="96"/>
      <c r="H452" s="96"/>
      <c r="I452" s="179" t="e">
        <f>SUM(I453:I561)</f>
        <v>#N/A</v>
      </c>
      <c r="J452" s="179" t="e">
        <f>ROUNDUP(I452/8,0)</f>
        <v>#N/A</v>
      </c>
      <c r="K452" s="179" t="e">
        <f>SUM(K453:K561)</f>
        <v>#N/A</v>
      </c>
      <c r="L452" s="179" t="e">
        <f>ROUNDUP(K452/8,0)</f>
        <v>#N/A</v>
      </c>
      <c r="M452" s="178" t="e">
        <f>SUMIFS(R452:ES452,$R$9:$ES$9,"S")/J452</f>
        <v>#N/A</v>
      </c>
      <c r="N452" s="178">
        <f>IFERROR(L452/J452,0)-15%</f>
        <v>-0.15</v>
      </c>
      <c r="O452" s="178" t="e">
        <f t="shared" si="316"/>
        <v>#N/A</v>
      </c>
      <c r="P452" s="185" t="s">
        <v>1841</v>
      </c>
      <c r="Q452" s="90" t="e">
        <f t="shared" si="324"/>
        <v>#N/A</v>
      </c>
      <c r="R452" s="78"/>
      <c r="S452" s="78"/>
      <c r="T452" s="78"/>
      <c r="U452" s="78"/>
      <c r="V452" s="78"/>
      <c r="W452" s="78"/>
      <c r="X452" s="78"/>
      <c r="Y452" s="78"/>
      <c r="Z452" s="78"/>
      <c r="AA452" s="78"/>
      <c r="AB452" s="78"/>
      <c r="AC452" s="78"/>
      <c r="AD452" s="78"/>
      <c r="AE452" s="78"/>
      <c r="AF452" s="78"/>
      <c r="AG452" s="78"/>
      <c r="AH452" s="78"/>
      <c r="AI452" s="78"/>
      <c r="AJ452" s="78"/>
      <c r="AK452" s="78"/>
      <c r="AL452" s="78"/>
      <c r="AM452" s="78"/>
      <c r="AN452" s="78"/>
      <c r="AO452" s="78"/>
      <c r="AP452" s="78"/>
      <c r="AQ452" s="78"/>
      <c r="AR452" s="78"/>
      <c r="AS452" s="78"/>
      <c r="AT452" s="78"/>
      <c r="AU452" s="78"/>
      <c r="AV452" s="78"/>
      <c r="AW452" s="78"/>
      <c r="AX452" s="78"/>
      <c r="AY452" s="91"/>
      <c r="AZ452" s="78"/>
      <c r="BA452" s="78"/>
      <c r="BB452" s="78"/>
      <c r="BC452" s="78"/>
      <c r="BD452" s="78"/>
      <c r="BE452" s="78"/>
      <c r="BF452" s="78"/>
      <c r="BG452" s="78"/>
      <c r="BH452" s="78"/>
      <c r="BI452" s="78"/>
      <c r="BJ452" s="78"/>
      <c r="BK452" s="78"/>
      <c r="BL452" s="78"/>
      <c r="BM452" s="78"/>
      <c r="BN452" s="78"/>
      <c r="BO452" s="78"/>
      <c r="BP452" s="78"/>
      <c r="BQ452" s="78"/>
      <c r="BR452" s="78"/>
      <c r="BS452" s="78"/>
      <c r="BT452" s="78"/>
      <c r="BU452" s="78"/>
      <c r="BV452" s="78">
        <v>1</v>
      </c>
      <c r="BW452" s="78">
        <v>1</v>
      </c>
      <c r="BX452" s="78">
        <v>1</v>
      </c>
      <c r="BY452" s="78">
        <v>1</v>
      </c>
      <c r="BZ452" s="78">
        <v>0.5</v>
      </c>
      <c r="CA452" s="78">
        <v>1</v>
      </c>
      <c r="CB452" s="78">
        <v>1</v>
      </c>
      <c r="CC452" s="78">
        <v>1</v>
      </c>
      <c r="CD452" s="78">
        <v>1</v>
      </c>
      <c r="CE452" s="78">
        <v>0.5</v>
      </c>
      <c r="CF452" s="78">
        <v>1</v>
      </c>
      <c r="CG452" s="78">
        <v>1</v>
      </c>
      <c r="CH452" s="78">
        <v>1</v>
      </c>
      <c r="CI452" s="78">
        <v>1</v>
      </c>
      <c r="CJ452" s="78">
        <v>0.5</v>
      </c>
      <c r="CK452" s="78">
        <v>1</v>
      </c>
      <c r="CL452" s="78">
        <v>1</v>
      </c>
      <c r="CM452" s="78">
        <v>1</v>
      </c>
      <c r="CN452" s="78">
        <v>1</v>
      </c>
      <c r="CO452" s="78">
        <v>0.5</v>
      </c>
      <c r="CP452" s="78">
        <v>1</v>
      </c>
      <c r="CQ452" s="78">
        <v>1</v>
      </c>
      <c r="CR452" s="78">
        <v>1</v>
      </c>
      <c r="CS452" s="78">
        <v>1</v>
      </c>
      <c r="CT452" s="78">
        <v>0.5</v>
      </c>
      <c r="CU452" s="78">
        <v>1</v>
      </c>
      <c r="CV452" s="78">
        <v>1</v>
      </c>
      <c r="CW452" s="78">
        <v>1</v>
      </c>
      <c r="CX452" s="78">
        <v>1</v>
      </c>
      <c r="CY452" s="78">
        <v>2</v>
      </c>
      <c r="CZ452" s="78">
        <v>2</v>
      </c>
      <c r="DA452" s="78">
        <v>2</v>
      </c>
      <c r="DB452" s="78">
        <v>2</v>
      </c>
      <c r="DC452" s="78">
        <v>2</v>
      </c>
      <c r="DD452" s="78">
        <v>2</v>
      </c>
      <c r="DE452" s="78">
        <v>2</v>
      </c>
      <c r="DF452" s="78">
        <v>2</v>
      </c>
      <c r="DG452" s="78">
        <v>2</v>
      </c>
      <c r="DH452" s="78">
        <v>2</v>
      </c>
      <c r="DI452" s="78">
        <v>2</v>
      </c>
      <c r="DJ452" s="78">
        <v>2</v>
      </c>
      <c r="DK452" s="78">
        <v>2</v>
      </c>
      <c r="DL452" s="78">
        <v>2</v>
      </c>
      <c r="DM452" s="78">
        <v>2</v>
      </c>
      <c r="DN452" s="78">
        <v>2</v>
      </c>
      <c r="DO452" s="78">
        <v>2</v>
      </c>
      <c r="DP452" s="78">
        <v>2</v>
      </c>
      <c r="DQ452" s="78">
        <v>2</v>
      </c>
      <c r="DR452" s="78">
        <v>2</v>
      </c>
      <c r="DS452" s="78">
        <v>2</v>
      </c>
      <c r="DT452" s="78">
        <v>2</v>
      </c>
      <c r="DU452" s="78">
        <v>2</v>
      </c>
      <c r="DV452" s="78">
        <v>2</v>
      </c>
      <c r="DW452" s="78">
        <v>2</v>
      </c>
      <c r="DX452" s="78">
        <v>2</v>
      </c>
      <c r="DY452" s="78">
        <v>2</v>
      </c>
      <c r="DZ452" s="78">
        <v>2</v>
      </c>
      <c r="EA452" s="78">
        <v>2</v>
      </c>
      <c r="EB452" s="78">
        <v>2</v>
      </c>
      <c r="EC452" s="78">
        <v>2</v>
      </c>
      <c r="ED452" s="78">
        <v>2</v>
      </c>
      <c r="EE452" s="78">
        <v>2</v>
      </c>
      <c r="EF452" s="78">
        <v>2</v>
      </c>
      <c r="EG452" s="78">
        <v>2</v>
      </c>
      <c r="EH452" s="78">
        <v>2</v>
      </c>
      <c r="EI452" s="78">
        <v>1.5</v>
      </c>
      <c r="EJ452" s="78"/>
      <c r="EK452" s="78"/>
      <c r="EL452" s="78"/>
      <c r="EM452" s="78"/>
      <c r="EN452" s="91"/>
      <c r="EO452" s="91"/>
      <c r="EP452" s="91"/>
      <c r="EQ452" s="91"/>
      <c r="ER452" s="91"/>
      <c r="ES452" s="91"/>
    </row>
    <row r="453" spans="1:149" outlineLevel="1">
      <c r="A453" s="29" t="str">
        <f t="shared" si="329"/>
        <v>modesg_out_bens_imoveisn.a.</v>
      </c>
      <c r="B453" s="67" t="s">
        <v>26</v>
      </c>
      <c r="C453" s="68" t="s">
        <v>310</v>
      </c>
      <c r="D453" s="64" t="s">
        <v>36</v>
      </c>
      <c r="E453" s="66" t="s">
        <v>311</v>
      </c>
      <c r="F453" s="64" t="s">
        <v>38</v>
      </c>
      <c r="G453" s="64" t="str">
        <f>INDEX(Auxiliar!$B$16:$B$24,MATCH(Plano_V3!H453,Auxiliar!$C$16:$C$24,0),1)</f>
        <v>1. Concluído</v>
      </c>
      <c r="H453" s="64">
        <f>VLOOKUP(A453,'Aux - pivots1'!$A:$B,2,0)</f>
        <v>1</v>
      </c>
      <c r="I453" s="180">
        <f>SUMIFS(Table1[Estimação (horas)],Table1[Tabela],Plano_V3!E453,Table1[Campo],Plano_V3!F453)</f>
        <v>8</v>
      </c>
      <c r="J453" s="180">
        <f t="shared" ref="J453:J538" si="330">I453/8</f>
        <v>1</v>
      </c>
      <c r="K453" s="180">
        <f>SUMIFS(Table1[Horas efetivas],Table1[Tabela],Plano_V3!E453,Table1[Campo],Plano_V3!F453)</f>
        <v>8</v>
      </c>
      <c r="L453" s="180">
        <f t="shared" ref="L453:L538" si="331">K453/8</f>
        <v>1</v>
      </c>
      <c r="M453" s="174"/>
      <c r="N453" s="174">
        <f t="shared" ref="N453:N538" si="332">L453/J453</f>
        <v>1</v>
      </c>
      <c r="O453" s="174">
        <f t="shared" si="316"/>
        <v>1</v>
      </c>
      <c r="P453" s="87" t="s">
        <v>312</v>
      </c>
      <c r="Q453" s="90">
        <f t="shared" si="324"/>
        <v>1</v>
      </c>
      <c r="R453" s="78"/>
      <c r="S453" s="78"/>
      <c r="T453" s="78"/>
      <c r="U453" s="78"/>
      <c r="V453" s="78"/>
      <c r="W453" s="78"/>
      <c r="X453" s="78"/>
      <c r="Y453" s="78"/>
      <c r="Z453" s="78"/>
      <c r="AA453" s="78"/>
      <c r="AB453" s="78"/>
      <c r="AC453" s="78"/>
      <c r="AD453" s="78"/>
      <c r="AE453" s="78"/>
      <c r="AF453" s="78"/>
      <c r="AG453" s="78"/>
      <c r="AH453" s="78"/>
      <c r="AI453" s="78"/>
      <c r="AJ453" s="78"/>
      <c r="AK453" s="78"/>
      <c r="AL453" s="78"/>
      <c r="AM453" s="78"/>
      <c r="AN453" s="78"/>
      <c r="AO453" s="78"/>
      <c r="AP453" s="78"/>
      <c r="AQ453" s="78"/>
      <c r="AR453" s="78"/>
      <c r="AS453" s="78"/>
      <c r="AT453" s="78"/>
      <c r="AU453" s="78"/>
      <c r="AV453" s="78"/>
      <c r="AW453" s="78"/>
      <c r="AX453" s="78"/>
      <c r="AY453" s="91"/>
      <c r="AZ453" s="78"/>
      <c r="BA453" s="78"/>
      <c r="BB453" s="78"/>
      <c r="BC453" s="78"/>
      <c r="BD453" s="78"/>
      <c r="BE453" s="78"/>
      <c r="BF453" s="78"/>
      <c r="BG453" s="78"/>
      <c r="BH453" s="78"/>
      <c r="BI453" s="78"/>
      <c r="BJ453" s="78"/>
      <c r="BK453" s="78"/>
      <c r="BL453" s="78"/>
      <c r="BM453" s="78"/>
      <c r="BN453" s="78"/>
      <c r="BO453" s="78"/>
      <c r="BP453" s="78"/>
      <c r="BQ453" s="78"/>
      <c r="BR453" s="78"/>
      <c r="BS453" s="78"/>
      <c r="BT453" s="78"/>
      <c r="BU453" s="78"/>
      <c r="BV453" s="78"/>
      <c r="BW453" s="78"/>
      <c r="BX453" s="78"/>
      <c r="BY453" s="78"/>
      <c r="BZ453" s="78"/>
      <c r="CA453" s="78"/>
      <c r="CB453" s="78"/>
      <c r="CC453" s="78"/>
      <c r="CD453" s="78"/>
      <c r="CE453" s="78"/>
      <c r="CF453" s="78"/>
      <c r="CG453" s="78"/>
      <c r="CH453" s="78"/>
      <c r="CI453" s="78"/>
      <c r="CJ453" s="78"/>
      <c r="CK453" s="78"/>
      <c r="CL453" s="78"/>
      <c r="CM453" s="78"/>
      <c r="CN453" s="78"/>
      <c r="CO453" s="78"/>
      <c r="CP453" s="78"/>
      <c r="CQ453" s="78"/>
      <c r="CR453" s="78"/>
      <c r="CS453" s="78"/>
      <c r="CT453" s="78"/>
      <c r="CU453" s="78"/>
      <c r="CV453" s="78"/>
      <c r="CW453" s="78"/>
      <c r="CX453" s="78"/>
      <c r="CY453" s="78"/>
      <c r="CZ453" s="78"/>
      <c r="DA453" s="78"/>
      <c r="DB453" s="78"/>
      <c r="DC453" s="78"/>
      <c r="DD453" s="78"/>
      <c r="DE453" s="78"/>
      <c r="DF453" s="78"/>
      <c r="DG453" s="78"/>
      <c r="DH453" s="78"/>
      <c r="DI453" s="78"/>
      <c r="DJ453" s="78"/>
      <c r="DK453" s="78"/>
      <c r="DL453" s="78"/>
      <c r="DM453" s="78"/>
      <c r="DN453" s="78"/>
      <c r="DO453" s="78"/>
      <c r="DP453" s="78"/>
      <c r="DQ453" s="78"/>
      <c r="DR453" s="78"/>
      <c r="DS453" s="78"/>
      <c r="DT453" s="78"/>
      <c r="DU453" s="78"/>
      <c r="DV453" s="78"/>
      <c r="DW453" s="78"/>
      <c r="DX453" s="78"/>
      <c r="DY453" s="78"/>
      <c r="DZ453" s="78"/>
      <c r="EA453" s="78"/>
      <c r="EB453" s="78"/>
      <c r="EC453" s="78"/>
      <c r="ED453" s="78"/>
      <c r="EE453" s="78"/>
      <c r="EF453" s="78"/>
      <c r="EG453" s="78"/>
      <c r="EH453" s="78"/>
      <c r="EI453" s="78"/>
      <c r="EJ453" s="78"/>
      <c r="EK453" s="78"/>
      <c r="EL453" s="78"/>
      <c r="EM453" s="78"/>
      <c r="EN453" s="91"/>
      <c r="EO453" s="91"/>
      <c r="EP453" s="91"/>
      <c r="EQ453" s="91"/>
      <c r="ER453" s="91"/>
      <c r="ES453" s="91"/>
    </row>
    <row r="454" spans="1:149" outlineLevel="1">
      <c r="A454" s="29" t="str">
        <f t="shared" si="329"/>
        <v>modesg_out_bens_imoveiscempbem</v>
      </c>
      <c r="B454" s="67" t="s">
        <v>26</v>
      </c>
      <c r="C454" s="68" t="s">
        <v>310</v>
      </c>
      <c r="D454" s="64" t="s">
        <v>40</v>
      </c>
      <c r="E454" s="66" t="s">
        <v>311</v>
      </c>
      <c r="F454" s="64" t="s">
        <v>313</v>
      </c>
      <c r="G454" s="64" t="str">
        <f>INDEX(Auxiliar!$B$16:$B$24,MATCH(Plano_V3!H454,Auxiliar!$C$16:$C$24,0),1)</f>
        <v>1. Concluído</v>
      </c>
      <c r="H454" s="64">
        <f>VLOOKUP(A454,'Aux - pivots1'!$A:$B,2,0)</f>
        <v>1</v>
      </c>
      <c r="I454" s="180">
        <f>SUMIFS(Table1[Estimação (horas)],Table1[Tabela],Plano_V3!E454,Table1[Campo],Plano_V3!F454)</f>
        <v>4.0999999999999996</v>
      </c>
      <c r="J454" s="180">
        <f t="shared" si="330"/>
        <v>0.51249999999999996</v>
      </c>
      <c r="K454" s="180">
        <f>SUMIFS(Table1[Horas efetivas],Table1[Tabela],Plano_V3!E454,Table1[Campo],Plano_V3!F454)</f>
        <v>4.0999999999999996</v>
      </c>
      <c r="L454" s="180">
        <f t="shared" si="331"/>
        <v>0.51249999999999996</v>
      </c>
      <c r="M454" s="174"/>
      <c r="N454" s="174">
        <f t="shared" si="332"/>
        <v>1</v>
      </c>
      <c r="O454" s="174">
        <f t="shared" si="316"/>
        <v>1</v>
      </c>
      <c r="P454" s="87" t="s">
        <v>312</v>
      </c>
      <c r="Q454" s="90">
        <f t="shared" si="324"/>
        <v>0.51249999999999996</v>
      </c>
      <c r="R454" s="78"/>
      <c r="S454" s="78"/>
      <c r="T454" s="78"/>
      <c r="U454" s="78"/>
      <c r="V454" s="78"/>
      <c r="W454" s="78"/>
      <c r="X454" s="78"/>
      <c r="Y454" s="78"/>
      <c r="Z454" s="78"/>
      <c r="AA454" s="78"/>
      <c r="AB454" s="78"/>
      <c r="AC454" s="78"/>
      <c r="AD454" s="78"/>
      <c r="AE454" s="78"/>
      <c r="AF454" s="78"/>
      <c r="AG454" s="78"/>
      <c r="AH454" s="78"/>
      <c r="AI454" s="78"/>
      <c r="AJ454" s="78"/>
      <c r="AK454" s="78"/>
      <c r="AL454" s="78"/>
      <c r="AM454" s="78"/>
      <c r="AN454" s="78"/>
      <c r="AO454" s="78"/>
      <c r="AP454" s="78"/>
      <c r="AQ454" s="78"/>
      <c r="AR454" s="78"/>
      <c r="AS454" s="78"/>
      <c r="AT454" s="78"/>
      <c r="AU454" s="78"/>
      <c r="AV454" s="78"/>
      <c r="AW454" s="78"/>
      <c r="AX454" s="78"/>
      <c r="AY454" s="91"/>
      <c r="AZ454" s="78"/>
      <c r="BA454" s="78"/>
      <c r="BB454" s="78"/>
      <c r="BC454" s="78"/>
      <c r="BD454" s="78"/>
      <c r="BE454" s="78"/>
      <c r="BF454" s="78"/>
      <c r="BG454" s="78"/>
      <c r="BH454" s="78"/>
      <c r="BI454" s="78"/>
      <c r="BJ454" s="78"/>
      <c r="BK454" s="78"/>
      <c r="BL454" s="78"/>
      <c r="BM454" s="78"/>
      <c r="BN454" s="78"/>
      <c r="BO454" s="78"/>
      <c r="BP454" s="78"/>
      <c r="BQ454" s="78"/>
      <c r="BR454" s="78"/>
      <c r="BS454" s="78"/>
      <c r="BT454" s="78"/>
      <c r="BU454" s="78"/>
      <c r="BV454" s="78"/>
      <c r="BW454" s="78"/>
      <c r="BX454" s="78"/>
      <c r="BY454" s="78"/>
      <c r="BZ454" s="78"/>
      <c r="CA454" s="78"/>
      <c r="CB454" s="78"/>
      <c r="CC454" s="78"/>
      <c r="CD454" s="78"/>
      <c r="CE454" s="78"/>
      <c r="CF454" s="78"/>
      <c r="CG454" s="78"/>
      <c r="CH454" s="78"/>
      <c r="CI454" s="78"/>
      <c r="CJ454" s="78"/>
      <c r="CK454" s="78"/>
      <c r="CL454" s="78"/>
      <c r="CM454" s="78"/>
      <c r="CN454" s="78"/>
      <c r="CO454" s="78"/>
      <c r="CP454" s="78"/>
      <c r="CQ454" s="78"/>
      <c r="CR454" s="78"/>
      <c r="CS454" s="78"/>
      <c r="CT454" s="78"/>
      <c r="CU454" s="78"/>
      <c r="CV454" s="78"/>
      <c r="CW454" s="78"/>
      <c r="CX454" s="78"/>
      <c r="CY454" s="78"/>
      <c r="CZ454" s="78"/>
      <c r="DA454" s="78"/>
      <c r="DB454" s="78"/>
      <c r="DC454" s="78"/>
      <c r="DD454" s="78"/>
      <c r="DE454" s="78"/>
      <c r="DF454" s="78"/>
      <c r="DG454" s="78"/>
      <c r="DH454" s="78"/>
      <c r="DI454" s="78"/>
      <c r="DJ454" s="78"/>
      <c r="DK454" s="78"/>
      <c r="DL454" s="78"/>
      <c r="DM454" s="78"/>
      <c r="DN454" s="78"/>
      <c r="DO454" s="78"/>
      <c r="DP454" s="78"/>
      <c r="DQ454" s="78"/>
      <c r="DR454" s="78"/>
      <c r="DS454" s="78"/>
      <c r="DT454" s="78"/>
      <c r="DU454" s="78"/>
      <c r="DV454" s="78"/>
      <c r="DW454" s="78"/>
      <c r="DX454" s="78"/>
      <c r="DY454" s="78"/>
      <c r="DZ454" s="78"/>
      <c r="EA454" s="78"/>
      <c r="EB454" s="78"/>
      <c r="EC454" s="78"/>
      <c r="ED454" s="78"/>
      <c r="EE454" s="78"/>
      <c r="EF454" s="78"/>
      <c r="EG454" s="78"/>
      <c r="EH454" s="78"/>
      <c r="EI454" s="78"/>
      <c r="EJ454" s="78"/>
      <c r="EK454" s="78"/>
      <c r="EL454" s="78"/>
      <c r="EM454" s="78"/>
      <c r="EN454" s="91"/>
      <c r="EO454" s="91"/>
      <c r="EP454" s="91"/>
      <c r="EQ454" s="91"/>
      <c r="ER454" s="91"/>
      <c r="ES454" s="91"/>
    </row>
    <row r="455" spans="1:149" outlineLevel="1">
      <c r="A455" s="29" t="str">
        <f t="shared" si="329"/>
        <v>modesg_out_bens_imoveisckbalbem</v>
      </c>
      <c r="B455" s="67" t="s">
        <v>26</v>
      </c>
      <c r="C455" s="68" t="s">
        <v>310</v>
      </c>
      <c r="D455" s="64" t="s">
        <v>40</v>
      </c>
      <c r="E455" s="66" t="s">
        <v>311</v>
      </c>
      <c r="F455" s="64" t="s">
        <v>314</v>
      </c>
      <c r="G455" s="64" t="str">
        <f>INDEX(Auxiliar!$B$16:$B$24,MATCH(Plano_V3!H455,Auxiliar!$C$16:$C$24,0),1)</f>
        <v>1. Concluído</v>
      </c>
      <c r="H455" s="64">
        <f>VLOOKUP(A455,'Aux - pivots1'!$A:$B,2,0)</f>
        <v>1</v>
      </c>
      <c r="I455" s="180">
        <f>SUMIFS(Table1[Estimação (horas)],Table1[Tabela],Plano_V3!E455,Table1[Campo],Plano_V3!F455)</f>
        <v>4.0999999999999996</v>
      </c>
      <c r="J455" s="180">
        <f t="shared" si="330"/>
        <v>0.51249999999999996</v>
      </c>
      <c r="K455" s="180">
        <f>SUMIFS(Table1[Horas efetivas],Table1[Tabela],Plano_V3!E455,Table1[Campo],Plano_V3!F455)</f>
        <v>4.0999999999999996</v>
      </c>
      <c r="L455" s="180">
        <f t="shared" si="331"/>
        <v>0.51249999999999996</v>
      </c>
      <c r="M455" s="174"/>
      <c r="N455" s="174">
        <f t="shared" si="332"/>
        <v>1</v>
      </c>
      <c r="O455" s="174">
        <f t="shared" si="316"/>
        <v>1</v>
      </c>
      <c r="P455" s="87" t="s">
        <v>312</v>
      </c>
      <c r="Q455" s="90">
        <f t="shared" si="324"/>
        <v>0.51249999999999996</v>
      </c>
      <c r="R455" s="78"/>
      <c r="S455" s="78"/>
      <c r="T455" s="78"/>
      <c r="U455" s="78"/>
      <c r="V455" s="78"/>
      <c r="W455" s="78"/>
      <c r="X455" s="78"/>
      <c r="Y455" s="78"/>
      <c r="Z455" s="78"/>
      <c r="AA455" s="78"/>
      <c r="AB455" s="78"/>
      <c r="AC455" s="78"/>
      <c r="AD455" s="78"/>
      <c r="AE455" s="78"/>
      <c r="AF455" s="78"/>
      <c r="AG455" s="78"/>
      <c r="AH455" s="78"/>
      <c r="AI455" s="78"/>
      <c r="AJ455" s="78"/>
      <c r="AK455" s="78"/>
      <c r="AL455" s="78"/>
      <c r="AM455" s="78"/>
      <c r="AN455" s="78"/>
      <c r="AO455" s="78"/>
      <c r="AP455" s="78"/>
      <c r="AQ455" s="78"/>
      <c r="AR455" s="78"/>
      <c r="AS455" s="78"/>
      <c r="AT455" s="78"/>
      <c r="AU455" s="78"/>
      <c r="AV455" s="78"/>
      <c r="AW455" s="78"/>
      <c r="AX455" s="78"/>
      <c r="AY455" s="91"/>
      <c r="AZ455" s="78"/>
      <c r="BA455" s="78"/>
      <c r="BB455" s="78"/>
      <c r="BC455" s="78"/>
      <c r="BD455" s="78"/>
      <c r="BE455" s="78"/>
      <c r="BF455" s="78"/>
      <c r="BG455" s="78"/>
      <c r="BH455" s="78"/>
      <c r="BI455" s="78"/>
      <c r="BJ455" s="78"/>
      <c r="BK455" s="78"/>
      <c r="BL455" s="78"/>
      <c r="BM455" s="78"/>
      <c r="BN455" s="78"/>
      <c r="BO455" s="78"/>
      <c r="BP455" s="78"/>
      <c r="BQ455" s="78"/>
      <c r="BR455" s="78"/>
      <c r="BS455" s="78"/>
      <c r="BT455" s="78"/>
      <c r="BU455" s="78"/>
      <c r="BV455" s="78"/>
      <c r="BW455" s="78"/>
      <c r="BX455" s="78"/>
      <c r="BY455" s="78"/>
      <c r="BZ455" s="78"/>
      <c r="CA455" s="78"/>
      <c r="CB455" s="78"/>
      <c r="CC455" s="78"/>
      <c r="CD455" s="78"/>
      <c r="CE455" s="78"/>
      <c r="CF455" s="78"/>
      <c r="CG455" s="78"/>
      <c r="CH455" s="78"/>
      <c r="CI455" s="78"/>
      <c r="CJ455" s="78"/>
      <c r="CK455" s="78"/>
      <c r="CL455" s="78"/>
      <c r="CM455" s="78"/>
      <c r="CN455" s="78"/>
      <c r="CO455" s="78"/>
      <c r="CP455" s="78"/>
      <c r="CQ455" s="78"/>
      <c r="CR455" s="78"/>
      <c r="CS455" s="78"/>
      <c r="CT455" s="78"/>
      <c r="CU455" s="78"/>
      <c r="CV455" s="78"/>
      <c r="CW455" s="78"/>
      <c r="CX455" s="78"/>
      <c r="CY455" s="78"/>
      <c r="CZ455" s="78"/>
      <c r="DA455" s="78"/>
      <c r="DB455" s="78"/>
      <c r="DC455" s="78"/>
      <c r="DD455" s="78"/>
      <c r="DE455" s="78"/>
      <c r="DF455" s="78"/>
      <c r="DG455" s="78"/>
      <c r="DH455" s="78"/>
      <c r="DI455" s="78"/>
      <c r="DJ455" s="78"/>
      <c r="DK455" s="78"/>
      <c r="DL455" s="78"/>
      <c r="DM455" s="78"/>
      <c r="DN455" s="78"/>
      <c r="DO455" s="78"/>
      <c r="DP455" s="78"/>
      <c r="DQ455" s="78"/>
      <c r="DR455" s="78"/>
      <c r="DS455" s="78"/>
      <c r="DT455" s="78"/>
      <c r="DU455" s="78"/>
      <c r="DV455" s="78"/>
      <c r="DW455" s="78"/>
      <c r="DX455" s="78"/>
      <c r="DY455" s="78"/>
      <c r="DZ455" s="78"/>
      <c r="EA455" s="78"/>
      <c r="EB455" s="78"/>
      <c r="EC455" s="78"/>
      <c r="ED455" s="78"/>
      <c r="EE455" s="78"/>
      <c r="EF455" s="78"/>
      <c r="EG455" s="78"/>
      <c r="EH455" s="78"/>
      <c r="EI455" s="78"/>
      <c r="EJ455" s="78"/>
      <c r="EK455" s="78"/>
      <c r="EL455" s="78"/>
      <c r="EM455" s="78"/>
      <c r="EN455" s="91"/>
      <c r="EO455" s="91"/>
      <c r="EP455" s="91"/>
      <c r="EQ455" s="91"/>
      <c r="ER455" s="91"/>
      <c r="ES455" s="91"/>
    </row>
    <row r="456" spans="1:149" outlineLevel="1">
      <c r="A456" s="29" t="str">
        <f t="shared" si="329"/>
        <v>modesg_out_bens_imoveisckctabem</v>
      </c>
      <c r="B456" s="67" t="s">
        <v>26</v>
      </c>
      <c r="C456" s="68" t="s">
        <v>310</v>
      </c>
      <c r="D456" s="64" t="s">
        <v>40</v>
      </c>
      <c r="E456" s="66" t="s">
        <v>311</v>
      </c>
      <c r="F456" s="64" t="s">
        <v>315</v>
      </c>
      <c r="G456" s="64" t="str">
        <f>INDEX(Auxiliar!$B$16:$B$24,MATCH(Plano_V3!H456,Auxiliar!$C$16:$C$24,0),1)</f>
        <v>1. Concluído</v>
      </c>
      <c r="H456" s="64">
        <f>VLOOKUP(A456,'Aux - pivots1'!$A:$B,2,0)</f>
        <v>1</v>
      </c>
      <c r="I456" s="180">
        <f>SUMIFS(Table1[Estimação (horas)],Table1[Tabela],Plano_V3!E456,Table1[Campo],Plano_V3!F456)</f>
        <v>4.0999999999999996</v>
      </c>
      <c r="J456" s="180">
        <f t="shared" si="330"/>
        <v>0.51249999999999996</v>
      </c>
      <c r="K456" s="180">
        <f>SUMIFS(Table1[Horas efetivas],Table1[Tabela],Plano_V3!E456,Table1[Campo],Plano_V3!F456)</f>
        <v>4.0999999999999996</v>
      </c>
      <c r="L456" s="180">
        <f t="shared" si="331"/>
        <v>0.51249999999999996</v>
      </c>
      <c r="M456" s="174"/>
      <c r="N456" s="174">
        <f t="shared" si="332"/>
        <v>1</v>
      </c>
      <c r="O456" s="174">
        <f t="shared" si="316"/>
        <v>1</v>
      </c>
      <c r="P456" s="87" t="s">
        <v>312</v>
      </c>
      <c r="Q456" s="90">
        <f t="shared" si="324"/>
        <v>0.51249999999999996</v>
      </c>
      <c r="R456" s="78"/>
      <c r="S456" s="78"/>
      <c r="T456" s="78"/>
      <c r="U456" s="78"/>
      <c r="V456" s="78"/>
      <c r="W456" s="78"/>
      <c r="X456" s="78"/>
      <c r="Y456" s="78"/>
      <c r="Z456" s="78"/>
      <c r="AA456" s="78"/>
      <c r="AB456" s="78"/>
      <c r="AC456" s="78"/>
      <c r="AD456" s="78"/>
      <c r="AE456" s="78"/>
      <c r="AF456" s="78"/>
      <c r="AG456" s="78"/>
      <c r="AH456" s="78"/>
      <c r="AI456" s="78"/>
      <c r="AJ456" s="78"/>
      <c r="AK456" s="78"/>
      <c r="AL456" s="78"/>
      <c r="AM456" s="78"/>
      <c r="AN456" s="78"/>
      <c r="AO456" s="78"/>
      <c r="AP456" s="78"/>
      <c r="AQ456" s="78"/>
      <c r="AR456" s="78"/>
      <c r="AS456" s="78"/>
      <c r="AT456" s="78"/>
      <c r="AU456" s="78"/>
      <c r="AV456" s="78"/>
      <c r="AW456" s="78"/>
      <c r="AX456" s="78"/>
      <c r="AY456" s="91"/>
      <c r="AZ456" s="78"/>
      <c r="BA456" s="78"/>
      <c r="BB456" s="78"/>
      <c r="BC456" s="78"/>
      <c r="BD456" s="78"/>
      <c r="BE456" s="78"/>
      <c r="BF456" s="78"/>
      <c r="BG456" s="78"/>
      <c r="BH456" s="78"/>
      <c r="BI456" s="78"/>
      <c r="BJ456" s="78"/>
      <c r="BK456" s="78"/>
      <c r="BL456" s="78"/>
      <c r="BM456" s="78"/>
      <c r="BN456" s="78"/>
      <c r="BO456" s="78"/>
      <c r="BP456" s="78"/>
      <c r="BQ456" s="78"/>
      <c r="BR456" s="78"/>
      <c r="BS456" s="78"/>
      <c r="BT456" s="78"/>
      <c r="BU456" s="78"/>
      <c r="BV456" s="78"/>
      <c r="BW456" s="78"/>
      <c r="BX456" s="78"/>
      <c r="BY456" s="78"/>
      <c r="BZ456" s="78"/>
      <c r="CA456" s="78"/>
      <c r="CB456" s="78"/>
      <c r="CC456" s="78"/>
      <c r="CD456" s="78"/>
      <c r="CE456" s="78"/>
      <c r="CF456" s="78"/>
      <c r="CG456" s="78"/>
      <c r="CH456" s="78"/>
      <c r="CI456" s="78"/>
      <c r="CJ456" s="78"/>
      <c r="CK456" s="78"/>
      <c r="CL456" s="78"/>
      <c r="CM456" s="78"/>
      <c r="CN456" s="78"/>
      <c r="CO456" s="78"/>
      <c r="CP456" s="78"/>
      <c r="CQ456" s="78"/>
      <c r="CR456" s="78"/>
      <c r="CS456" s="78"/>
      <c r="CT456" s="78"/>
      <c r="CU456" s="78"/>
      <c r="CV456" s="78"/>
      <c r="CW456" s="78"/>
      <c r="CX456" s="78"/>
      <c r="CY456" s="78"/>
      <c r="CZ456" s="78"/>
      <c r="DA456" s="78"/>
      <c r="DB456" s="78"/>
      <c r="DC456" s="78"/>
      <c r="DD456" s="78"/>
      <c r="DE456" s="78"/>
      <c r="DF456" s="78"/>
      <c r="DG456" s="78"/>
      <c r="DH456" s="78"/>
      <c r="DI456" s="78"/>
      <c r="DJ456" s="78"/>
      <c r="DK456" s="78"/>
      <c r="DL456" s="78"/>
      <c r="DM456" s="78"/>
      <c r="DN456" s="78"/>
      <c r="DO456" s="78"/>
      <c r="DP456" s="78"/>
      <c r="DQ456" s="78"/>
      <c r="DR456" s="78"/>
      <c r="DS456" s="78"/>
      <c r="DT456" s="78"/>
      <c r="DU456" s="78"/>
      <c r="DV456" s="78"/>
      <c r="DW456" s="78"/>
      <c r="DX456" s="78"/>
      <c r="DY456" s="78"/>
      <c r="DZ456" s="78"/>
      <c r="EA456" s="78"/>
      <c r="EB456" s="78"/>
      <c r="EC456" s="78"/>
      <c r="ED456" s="78"/>
      <c r="EE456" s="78"/>
      <c r="EF456" s="78"/>
      <c r="EG456" s="78"/>
      <c r="EH456" s="78"/>
      <c r="EI456" s="78"/>
      <c r="EJ456" s="78"/>
      <c r="EK456" s="78"/>
      <c r="EL456" s="78"/>
      <c r="EM456" s="78"/>
      <c r="EN456" s="91"/>
      <c r="EO456" s="91"/>
      <c r="EP456" s="91"/>
      <c r="EQ456" s="91"/>
      <c r="ER456" s="91"/>
      <c r="ES456" s="91"/>
    </row>
    <row r="457" spans="1:149" outlineLevel="1">
      <c r="A457" s="29" t="str">
        <f t="shared" si="329"/>
        <v>modesg_out_bens_imoveisckrefbem</v>
      </c>
      <c r="B457" s="67" t="s">
        <v>26</v>
      </c>
      <c r="C457" s="68" t="s">
        <v>310</v>
      </c>
      <c r="D457" s="64" t="s">
        <v>40</v>
      </c>
      <c r="E457" s="66" t="s">
        <v>311</v>
      </c>
      <c r="F457" s="64" t="s">
        <v>316</v>
      </c>
      <c r="G457" s="64" t="str">
        <f>INDEX(Auxiliar!$B$16:$B$24,MATCH(Plano_V3!H457,Auxiliar!$C$16:$C$24,0),1)</f>
        <v>1. Concluído</v>
      </c>
      <c r="H457" s="64">
        <f>VLOOKUP(A457,'Aux - pivots1'!$A:$B,2,0)</f>
        <v>1</v>
      </c>
      <c r="I457" s="180">
        <f>SUMIFS(Table1[Estimação (horas)],Table1[Tabela],Plano_V3!E457,Table1[Campo],Plano_V3!F457)</f>
        <v>4.0999999999999996</v>
      </c>
      <c r="J457" s="180">
        <f t="shared" si="330"/>
        <v>0.51249999999999996</v>
      </c>
      <c r="K457" s="180">
        <f>SUMIFS(Table1[Horas efetivas],Table1[Tabela],Plano_V3!E457,Table1[Campo],Plano_V3!F457)</f>
        <v>4.0999999999999996</v>
      </c>
      <c r="L457" s="180">
        <f t="shared" si="331"/>
        <v>0.51249999999999996</v>
      </c>
      <c r="M457" s="174"/>
      <c r="N457" s="174">
        <f t="shared" si="332"/>
        <v>1</v>
      </c>
      <c r="O457" s="174">
        <f t="shared" si="316"/>
        <v>1</v>
      </c>
      <c r="P457" s="87" t="s">
        <v>312</v>
      </c>
      <c r="Q457" s="90">
        <f t="shared" si="324"/>
        <v>0.51249999999999996</v>
      </c>
      <c r="R457" s="78"/>
      <c r="S457" s="78"/>
      <c r="T457" s="78"/>
      <c r="U457" s="78"/>
      <c r="V457" s="78"/>
      <c r="W457" s="78"/>
      <c r="X457" s="78"/>
      <c r="Y457" s="78"/>
      <c r="Z457" s="78"/>
      <c r="AA457" s="78"/>
      <c r="AB457" s="78"/>
      <c r="AC457" s="78"/>
      <c r="AD457" s="78"/>
      <c r="AE457" s="78"/>
      <c r="AF457" s="78"/>
      <c r="AG457" s="78"/>
      <c r="AH457" s="78"/>
      <c r="AI457" s="78"/>
      <c r="AJ457" s="78"/>
      <c r="AK457" s="78"/>
      <c r="AL457" s="78"/>
      <c r="AM457" s="78"/>
      <c r="AN457" s="78"/>
      <c r="AO457" s="78"/>
      <c r="AP457" s="78"/>
      <c r="AQ457" s="78"/>
      <c r="AR457" s="78"/>
      <c r="AS457" s="78"/>
      <c r="AT457" s="78"/>
      <c r="AU457" s="78"/>
      <c r="AV457" s="78"/>
      <c r="AW457" s="78"/>
      <c r="AX457" s="78"/>
      <c r="AY457" s="91"/>
      <c r="AZ457" s="78"/>
      <c r="BA457" s="78"/>
      <c r="BB457" s="78"/>
      <c r="BC457" s="78"/>
      <c r="BD457" s="78"/>
      <c r="BE457" s="78"/>
      <c r="BF457" s="78"/>
      <c r="BG457" s="78"/>
      <c r="BH457" s="78"/>
      <c r="BI457" s="78"/>
      <c r="BJ457" s="78"/>
      <c r="BK457" s="78"/>
      <c r="BL457" s="78"/>
      <c r="BM457" s="78"/>
      <c r="BN457" s="78"/>
      <c r="BO457" s="78"/>
      <c r="BP457" s="78"/>
      <c r="BQ457" s="78"/>
      <c r="BR457" s="78"/>
      <c r="BS457" s="78"/>
      <c r="BT457" s="78"/>
      <c r="BU457" s="78"/>
      <c r="BV457" s="78"/>
      <c r="BW457" s="78"/>
      <c r="BX457" s="78"/>
      <c r="BY457" s="78"/>
      <c r="BZ457" s="78"/>
      <c r="CA457" s="78"/>
      <c r="CB457" s="78"/>
      <c r="CC457" s="78"/>
      <c r="CD457" s="78"/>
      <c r="CE457" s="78"/>
      <c r="CF457" s="78"/>
      <c r="CG457" s="78"/>
      <c r="CH457" s="78"/>
      <c r="CI457" s="78"/>
      <c r="CJ457" s="78"/>
      <c r="CK457" s="78"/>
      <c r="CL457" s="78"/>
      <c r="CM457" s="78"/>
      <c r="CN457" s="78"/>
      <c r="CO457" s="78"/>
      <c r="CP457" s="78"/>
      <c r="CQ457" s="78"/>
      <c r="CR457" s="78"/>
      <c r="CS457" s="78"/>
      <c r="CT457" s="78"/>
      <c r="CU457" s="78"/>
      <c r="CV457" s="78"/>
      <c r="CW457" s="78"/>
      <c r="CX457" s="78"/>
      <c r="CY457" s="78"/>
      <c r="CZ457" s="78"/>
      <c r="DA457" s="78"/>
      <c r="DB457" s="78"/>
      <c r="DC457" s="78"/>
      <c r="DD457" s="78"/>
      <c r="DE457" s="78"/>
      <c r="DF457" s="78"/>
      <c r="DG457" s="78"/>
      <c r="DH457" s="78"/>
      <c r="DI457" s="78"/>
      <c r="DJ457" s="78"/>
      <c r="DK457" s="78"/>
      <c r="DL457" s="78"/>
      <c r="DM457" s="78"/>
      <c r="DN457" s="78"/>
      <c r="DO457" s="78"/>
      <c r="DP457" s="78"/>
      <c r="DQ457" s="78"/>
      <c r="DR457" s="78"/>
      <c r="DS457" s="78"/>
      <c r="DT457" s="78"/>
      <c r="DU457" s="78"/>
      <c r="DV457" s="78"/>
      <c r="DW457" s="78"/>
      <c r="DX457" s="78"/>
      <c r="DY457" s="78"/>
      <c r="DZ457" s="78"/>
      <c r="EA457" s="78"/>
      <c r="EB457" s="78"/>
      <c r="EC457" s="78"/>
      <c r="ED457" s="78"/>
      <c r="EE457" s="78"/>
      <c r="EF457" s="78"/>
      <c r="EG457" s="78"/>
      <c r="EH457" s="78"/>
      <c r="EI457" s="78"/>
      <c r="EJ457" s="78"/>
      <c r="EK457" s="78"/>
      <c r="EL457" s="78"/>
      <c r="EM457" s="78"/>
      <c r="EN457" s="91"/>
      <c r="EO457" s="91"/>
      <c r="EP457" s="91"/>
      <c r="EQ457" s="91"/>
      <c r="ER457" s="91"/>
      <c r="ES457" s="91"/>
    </row>
    <row r="458" spans="1:149" outlineLevel="1">
      <c r="A458" s="29" t="str">
        <f t="shared" si="329"/>
        <v>modesg_out_bens_imoveisflg_rsc_fsc_agd</v>
      </c>
      <c r="B458" s="67" t="s">
        <v>26</v>
      </c>
      <c r="C458" s="68" t="s">
        <v>310</v>
      </c>
      <c r="D458" s="64" t="s">
        <v>40</v>
      </c>
      <c r="E458" s="66" t="s">
        <v>311</v>
      </c>
      <c r="F458" s="64" t="s">
        <v>282</v>
      </c>
      <c r="G458" s="64" t="str">
        <f>INDEX(Auxiliar!$B$16:$B$24,MATCH(Plano_V3!H458,Auxiliar!$C$16:$C$24,0),1)</f>
        <v>1. Concluído</v>
      </c>
      <c r="H458" s="64">
        <f>VLOOKUP(A458,'Aux - pivots1'!$A:$B,2,0)</f>
        <v>1</v>
      </c>
      <c r="I458" s="180">
        <f>SUMIFS(Table1[Estimação (horas)],Table1[Tabela],Plano_V3!E458,Table1[Campo],Plano_V3!F458)</f>
        <v>16.100000000000001</v>
      </c>
      <c r="J458" s="180">
        <f t="shared" si="330"/>
        <v>2.0125000000000002</v>
      </c>
      <c r="K458" s="180">
        <f>SUMIFS(Table1[Horas efetivas],Table1[Tabela],Plano_V3!E458,Table1[Campo],Plano_V3!F458)</f>
        <v>16.100000000000001</v>
      </c>
      <c r="L458" s="180">
        <f t="shared" si="331"/>
        <v>2.0125000000000002</v>
      </c>
      <c r="M458" s="174"/>
      <c r="N458" s="174">
        <f t="shared" si="332"/>
        <v>1</v>
      </c>
      <c r="O458" s="174">
        <f t="shared" si="316"/>
        <v>1</v>
      </c>
      <c r="P458" s="87" t="s">
        <v>312</v>
      </c>
      <c r="Q458" s="90">
        <f t="shared" si="324"/>
        <v>2.0125000000000002</v>
      </c>
      <c r="R458" s="78"/>
      <c r="S458" s="78"/>
      <c r="T458" s="78"/>
      <c r="U458" s="78"/>
      <c r="V458" s="78"/>
      <c r="W458" s="78"/>
      <c r="X458" s="78"/>
      <c r="Y458" s="78"/>
      <c r="Z458" s="78"/>
      <c r="AA458" s="78"/>
      <c r="AB458" s="78"/>
      <c r="AC458" s="78"/>
      <c r="AD458" s="78"/>
      <c r="AE458" s="78"/>
      <c r="AF458" s="78"/>
      <c r="AG458" s="78"/>
      <c r="AH458" s="78"/>
      <c r="AI458" s="78"/>
      <c r="AJ458" s="78"/>
      <c r="AK458" s="78"/>
      <c r="AL458" s="78"/>
      <c r="AM458" s="78"/>
      <c r="AN458" s="78"/>
      <c r="AO458" s="78"/>
      <c r="AP458" s="78"/>
      <c r="AQ458" s="78"/>
      <c r="AR458" s="78"/>
      <c r="AS458" s="78"/>
      <c r="AT458" s="78"/>
      <c r="AU458" s="78"/>
      <c r="AV458" s="78"/>
      <c r="AW458" s="78"/>
      <c r="AX458" s="78"/>
      <c r="AY458" s="91"/>
      <c r="AZ458" s="78"/>
      <c r="BA458" s="78"/>
      <c r="BB458" s="78"/>
      <c r="BC458" s="78"/>
      <c r="BD458" s="78"/>
      <c r="BE458" s="78"/>
      <c r="BF458" s="78"/>
      <c r="BG458" s="78"/>
      <c r="BH458" s="78"/>
      <c r="BI458" s="78"/>
      <c r="BJ458" s="78"/>
      <c r="BK458" s="78"/>
      <c r="BL458" s="78"/>
      <c r="BM458" s="78"/>
      <c r="BN458" s="78"/>
      <c r="BO458" s="78"/>
      <c r="BP458" s="78"/>
      <c r="BQ458" s="78"/>
      <c r="BR458" s="78"/>
      <c r="BS458" s="78"/>
      <c r="BT458" s="78"/>
      <c r="BU458" s="78"/>
      <c r="BV458" s="78"/>
      <c r="BW458" s="78"/>
      <c r="BX458" s="78"/>
      <c r="BY458" s="78"/>
      <c r="BZ458" s="78"/>
      <c r="CA458" s="78"/>
      <c r="CB458" s="78"/>
      <c r="CC458" s="78"/>
      <c r="CD458" s="78"/>
      <c r="CE458" s="78"/>
      <c r="CF458" s="78"/>
      <c r="CG458" s="78"/>
      <c r="CH458" s="78"/>
      <c r="CI458" s="78"/>
      <c r="CJ458" s="78"/>
      <c r="CK458" s="78"/>
      <c r="CL458" s="78"/>
      <c r="CM458" s="78"/>
      <c r="CN458" s="78"/>
      <c r="CO458" s="78"/>
      <c r="CP458" s="78"/>
      <c r="CQ458" s="78"/>
      <c r="CR458" s="78"/>
      <c r="CS458" s="78"/>
      <c r="CT458" s="78"/>
      <c r="CU458" s="78"/>
      <c r="CV458" s="78"/>
      <c r="CW458" s="78"/>
      <c r="CX458" s="78"/>
      <c r="CY458" s="78"/>
      <c r="CZ458" s="78"/>
      <c r="DA458" s="78"/>
      <c r="DB458" s="78"/>
      <c r="DC458" s="78"/>
      <c r="DD458" s="78"/>
      <c r="DE458" s="78"/>
      <c r="DF458" s="78"/>
      <c r="DG458" s="78"/>
      <c r="DH458" s="78"/>
      <c r="DI458" s="78"/>
      <c r="DJ458" s="78"/>
      <c r="DK458" s="78"/>
      <c r="DL458" s="78"/>
      <c r="DM458" s="78"/>
      <c r="DN458" s="78"/>
      <c r="DO458" s="78"/>
      <c r="DP458" s="78"/>
      <c r="DQ458" s="78"/>
      <c r="DR458" s="78"/>
      <c r="DS458" s="78"/>
      <c r="DT458" s="78"/>
      <c r="DU458" s="78"/>
      <c r="DV458" s="78"/>
      <c r="DW458" s="78"/>
      <c r="DX458" s="78"/>
      <c r="DY458" s="78"/>
      <c r="DZ458" s="78"/>
      <c r="EA458" s="78"/>
      <c r="EB458" s="78"/>
      <c r="EC458" s="78"/>
      <c r="ED458" s="78"/>
      <c r="EE458" s="78"/>
      <c r="EF458" s="78"/>
      <c r="EG458" s="78"/>
      <c r="EH458" s="78"/>
      <c r="EI458" s="78"/>
      <c r="EJ458" s="78"/>
      <c r="EK458" s="78"/>
      <c r="EL458" s="78"/>
      <c r="EM458" s="78"/>
      <c r="EN458" s="91"/>
      <c r="EO458" s="91"/>
      <c r="EP458" s="91"/>
      <c r="EQ458" s="91"/>
      <c r="ER458" s="91"/>
      <c r="ES458" s="91"/>
    </row>
    <row r="459" spans="1:149" outlineLevel="1">
      <c r="A459" s="29" t="str">
        <f t="shared" si="329"/>
        <v>modesg_out_bens_imoveisflg_rsc_fsc_crnc</v>
      </c>
      <c r="B459" s="67" t="s">
        <v>26</v>
      </c>
      <c r="C459" s="68" t="s">
        <v>310</v>
      </c>
      <c r="D459" s="64" t="s">
        <v>40</v>
      </c>
      <c r="E459" s="66" t="s">
        <v>311</v>
      </c>
      <c r="F459" s="64" t="s">
        <v>283</v>
      </c>
      <c r="G459" s="64" t="str">
        <f>INDEX(Auxiliar!$B$16:$B$24,MATCH(Plano_V3!H459,Auxiliar!$C$16:$C$24,0),1)</f>
        <v>1. Concluído</v>
      </c>
      <c r="H459" s="64">
        <f>VLOOKUP(A459,'Aux - pivots1'!$A:$B,2,0)</f>
        <v>1</v>
      </c>
      <c r="I459" s="180">
        <f>SUMIFS(Table1[Estimação (horas)],Table1[Tabela],Plano_V3!E459,Table1[Campo],Plano_V3!F459)</f>
        <v>16.100000000000001</v>
      </c>
      <c r="J459" s="180">
        <f t="shared" si="330"/>
        <v>2.0125000000000002</v>
      </c>
      <c r="K459" s="180">
        <f>SUMIFS(Table1[Horas efetivas],Table1[Tabela],Plano_V3!E459,Table1[Campo],Plano_V3!F459)</f>
        <v>16.100000000000001</v>
      </c>
      <c r="L459" s="180">
        <f t="shared" si="331"/>
        <v>2.0125000000000002</v>
      </c>
      <c r="M459" s="174"/>
      <c r="N459" s="174">
        <f t="shared" si="332"/>
        <v>1</v>
      </c>
      <c r="O459" s="174">
        <f t="shared" si="316"/>
        <v>1</v>
      </c>
      <c r="P459" s="87" t="s">
        <v>312</v>
      </c>
      <c r="Q459" s="90">
        <f t="shared" si="324"/>
        <v>2.0125000000000002</v>
      </c>
      <c r="R459" s="78"/>
      <c r="S459" s="78"/>
      <c r="T459" s="78"/>
      <c r="U459" s="78"/>
      <c r="V459" s="78"/>
      <c r="W459" s="78"/>
      <c r="X459" s="78"/>
      <c r="Y459" s="78"/>
      <c r="Z459" s="78"/>
      <c r="AA459" s="78"/>
      <c r="AB459" s="78"/>
      <c r="AC459" s="78"/>
      <c r="AD459" s="78"/>
      <c r="AE459" s="78"/>
      <c r="AF459" s="78"/>
      <c r="AG459" s="78"/>
      <c r="AH459" s="78"/>
      <c r="AI459" s="78"/>
      <c r="AJ459" s="78"/>
      <c r="AK459" s="78"/>
      <c r="AL459" s="78"/>
      <c r="AM459" s="78"/>
      <c r="AN459" s="78"/>
      <c r="AO459" s="78"/>
      <c r="AP459" s="78"/>
      <c r="AQ459" s="78"/>
      <c r="AR459" s="78"/>
      <c r="AS459" s="78"/>
      <c r="AT459" s="78"/>
      <c r="AU459" s="78"/>
      <c r="AV459" s="78"/>
      <c r="AW459" s="78"/>
      <c r="AX459" s="78"/>
      <c r="AY459" s="91"/>
      <c r="AZ459" s="78"/>
      <c r="BA459" s="78"/>
      <c r="BB459" s="78"/>
      <c r="BC459" s="78"/>
      <c r="BD459" s="78"/>
      <c r="BE459" s="78"/>
      <c r="BF459" s="78"/>
      <c r="BG459" s="78"/>
      <c r="BH459" s="78"/>
      <c r="BI459" s="78"/>
      <c r="BJ459" s="78"/>
      <c r="BK459" s="78"/>
      <c r="BL459" s="78"/>
      <c r="BM459" s="78"/>
      <c r="BN459" s="78"/>
      <c r="BO459" s="78"/>
      <c r="BP459" s="78"/>
      <c r="BQ459" s="78"/>
      <c r="BR459" s="78"/>
      <c r="BS459" s="78"/>
      <c r="BT459" s="78"/>
      <c r="BU459" s="78"/>
      <c r="BV459" s="78"/>
      <c r="BW459" s="78"/>
      <c r="BX459" s="78"/>
      <c r="BY459" s="78"/>
      <c r="BZ459" s="78"/>
      <c r="CA459" s="78"/>
      <c r="CB459" s="78"/>
      <c r="CC459" s="78"/>
      <c r="CD459" s="78"/>
      <c r="CE459" s="78"/>
      <c r="CF459" s="78"/>
      <c r="CG459" s="78"/>
      <c r="CH459" s="78"/>
      <c r="CI459" s="78"/>
      <c r="CJ459" s="78"/>
      <c r="CK459" s="78"/>
      <c r="CL459" s="78"/>
      <c r="CM459" s="78"/>
      <c r="CN459" s="78"/>
      <c r="CO459" s="78"/>
      <c r="CP459" s="78"/>
      <c r="CQ459" s="78"/>
      <c r="CR459" s="78"/>
      <c r="CS459" s="78"/>
      <c r="CT459" s="78"/>
      <c r="CU459" s="78"/>
      <c r="CV459" s="78"/>
      <c r="CW459" s="78"/>
      <c r="CX459" s="78"/>
      <c r="CY459" s="78"/>
      <c r="CZ459" s="78"/>
      <c r="DA459" s="78"/>
      <c r="DB459" s="78"/>
      <c r="DC459" s="78"/>
      <c r="DD459" s="78"/>
      <c r="DE459" s="78"/>
      <c r="DF459" s="78"/>
      <c r="DG459" s="78"/>
      <c r="DH459" s="78"/>
      <c r="DI459" s="78"/>
      <c r="DJ459" s="78"/>
      <c r="DK459" s="78"/>
      <c r="DL459" s="78"/>
      <c r="DM459" s="78"/>
      <c r="DN459" s="78"/>
      <c r="DO459" s="78"/>
      <c r="DP459" s="78"/>
      <c r="DQ459" s="78"/>
      <c r="DR459" s="78"/>
      <c r="DS459" s="78"/>
      <c r="DT459" s="78"/>
      <c r="DU459" s="78"/>
      <c r="DV459" s="78"/>
      <c r="DW459" s="78"/>
      <c r="DX459" s="78"/>
      <c r="DY459" s="78"/>
      <c r="DZ459" s="78"/>
      <c r="EA459" s="78"/>
      <c r="EB459" s="78"/>
      <c r="EC459" s="78"/>
      <c r="ED459" s="78"/>
      <c r="EE459" s="78"/>
      <c r="EF459" s="78"/>
      <c r="EG459" s="78"/>
      <c r="EH459" s="78"/>
      <c r="EI459" s="78"/>
      <c r="EJ459" s="78"/>
      <c r="EK459" s="78"/>
      <c r="EL459" s="78"/>
      <c r="EM459" s="78"/>
      <c r="EN459" s="91"/>
      <c r="EO459" s="91"/>
      <c r="EP459" s="91"/>
      <c r="EQ459" s="91"/>
      <c r="ER459" s="91"/>
      <c r="ES459" s="91"/>
    </row>
    <row r="460" spans="1:149" outlineLevel="1">
      <c r="A460" s="29" t="str">
        <f t="shared" si="329"/>
        <v>modesg_out_bens_imoveisorigem_flg_rsc_fsc_agd</v>
      </c>
      <c r="B460" s="67" t="s">
        <v>26</v>
      </c>
      <c r="C460" s="68" t="s">
        <v>310</v>
      </c>
      <c r="D460" s="64" t="s">
        <v>40</v>
      </c>
      <c r="E460" s="66" t="s">
        <v>311</v>
      </c>
      <c r="F460" s="64" t="s">
        <v>317</v>
      </c>
      <c r="G460" s="64" t="str">
        <f>INDEX(Auxiliar!$B$16:$B$24,MATCH(Plano_V3!H460,Auxiliar!$C$16:$C$24,0),1)</f>
        <v>1. Concluído</v>
      </c>
      <c r="H460" s="64">
        <f>VLOOKUP(A460,'Aux - pivots1'!$A:$B,2,0)</f>
        <v>1</v>
      </c>
      <c r="I460" s="180">
        <f>SUMIFS(Table1[Estimação (horas)],Table1[Tabela],Plano_V3!E460,Table1[Campo],Plano_V3!F460)</f>
        <v>4.0999999999999996</v>
      </c>
      <c r="J460" s="180">
        <f t="shared" si="330"/>
        <v>0.51249999999999996</v>
      </c>
      <c r="K460" s="180">
        <f>SUMIFS(Table1[Horas efetivas],Table1[Tabela],Plano_V3!E460,Table1[Campo],Plano_V3!F460)</f>
        <v>4.0999999999999996</v>
      </c>
      <c r="L460" s="180">
        <f t="shared" si="331"/>
        <v>0.51249999999999996</v>
      </c>
      <c r="M460" s="174"/>
      <c r="N460" s="174">
        <f t="shared" si="332"/>
        <v>1</v>
      </c>
      <c r="O460" s="174">
        <f t="shared" si="316"/>
        <v>1</v>
      </c>
      <c r="P460" s="87" t="s">
        <v>312</v>
      </c>
      <c r="Q460" s="90">
        <f t="shared" si="324"/>
        <v>0.51249999999999996</v>
      </c>
      <c r="R460" s="78"/>
      <c r="S460" s="78"/>
      <c r="T460" s="78"/>
      <c r="U460" s="78"/>
      <c r="V460" s="78"/>
      <c r="W460" s="78"/>
      <c r="X460" s="78"/>
      <c r="Y460" s="78"/>
      <c r="Z460" s="78"/>
      <c r="AA460" s="78"/>
      <c r="AB460" s="78"/>
      <c r="AC460" s="78"/>
      <c r="AD460" s="78"/>
      <c r="AE460" s="78"/>
      <c r="AF460" s="78"/>
      <c r="AG460" s="78"/>
      <c r="AH460" s="78"/>
      <c r="AI460" s="78"/>
      <c r="AJ460" s="78"/>
      <c r="AK460" s="78"/>
      <c r="AL460" s="78"/>
      <c r="AM460" s="78"/>
      <c r="AN460" s="78"/>
      <c r="AO460" s="78"/>
      <c r="AP460" s="78"/>
      <c r="AQ460" s="78"/>
      <c r="AR460" s="78"/>
      <c r="AS460" s="78"/>
      <c r="AT460" s="78"/>
      <c r="AU460" s="78"/>
      <c r="AV460" s="78"/>
      <c r="AW460" s="78"/>
      <c r="AX460" s="78"/>
      <c r="AY460" s="91"/>
      <c r="AZ460" s="78"/>
      <c r="BA460" s="78"/>
      <c r="BB460" s="78"/>
      <c r="BC460" s="78"/>
      <c r="BD460" s="78"/>
      <c r="BE460" s="78"/>
      <c r="BF460" s="78"/>
      <c r="BG460" s="78"/>
      <c r="BH460" s="78"/>
      <c r="BI460" s="78"/>
      <c r="BJ460" s="78"/>
      <c r="BK460" s="78"/>
      <c r="BL460" s="78"/>
      <c r="BM460" s="78"/>
      <c r="BN460" s="78"/>
      <c r="BO460" s="78"/>
      <c r="BP460" s="78"/>
      <c r="BQ460" s="78"/>
      <c r="BR460" s="78"/>
      <c r="BS460" s="78"/>
      <c r="BT460" s="78"/>
      <c r="BU460" s="78"/>
      <c r="BV460" s="78"/>
      <c r="BW460" s="78"/>
      <c r="BX460" s="78"/>
      <c r="BY460" s="78"/>
      <c r="BZ460" s="78"/>
      <c r="CA460" s="78"/>
      <c r="CB460" s="78"/>
      <c r="CC460" s="78"/>
      <c r="CD460" s="78"/>
      <c r="CE460" s="78"/>
      <c r="CF460" s="78"/>
      <c r="CG460" s="78"/>
      <c r="CH460" s="78"/>
      <c r="CI460" s="78"/>
      <c r="CJ460" s="78"/>
      <c r="CK460" s="78"/>
      <c r="CL460" s="78"/>
      <c r="CM460" s="78"/>
      <c r="CN460" s="78"/>
      <c r="CO460" s="78"/>
      <c r="CP460" s="78"/>
      <c r="CQ460" s="78"/>
      <c r="CR460" s="78"/>
      <c r="CS460" s="78"/>
      <c r="CT460" s="78"/>
      <c r="CU460" s="78"/>
      <c r="CV460" s="78"/>
      <c r="CW460" s="78"/>
      <c r="CX460" s="78"/>
      <c r="CY460" s="78"/>
      <c r="CZ460" s="78"/>
      <c r="DA460" s="78"/>
      <c r="DB460" s="78"/>
      <c r="DC460" s="78"/>
      <c r="DD460" s="78"/>
      <c r="DE460" s="78"/>
      <c r="DF460" s="78"/>
      <c r="DG460" s="78"/>
      <c r="DH460" s="78"/>
      <c r="DI460" s="78"/>
      <c r="DJ460" s="78"/>
      <c r="DK460" s="78"/>
      <c r="DL460" s="78"/>
      <c r="DM460" s="78"/>
      <c r="DN460" s="78"/>
      <c r="DO460" s="78"/>
      <c r="DP460" s="78"/>
      <c r="DQ460" s="78"/>
      <c r="DR460" s="78"/>
      <c r="DS460" s="78"/>
      <c r="DT460" s="78"/>
      <c r="DU460" s="78"/>
      <c r="DV460" s="78"/>
      <c r="DW460" s="78"/>
      <c r="DX460" s="78"/>
      <c r="DY460" s="78"/>
      <c r="DZ460" s="78"/>
      <c r="EA460" s="78"/>
      <c r="EB460" s="78"/>
      <c r="EC460" s="78"/>
      <c r="ED460" s="78"/>
      <c r="EE460" s="78"/>
      <c r="EF460" s="78"/>
      <c r="EG460" s="78"/>
      <c r="EH460" s="78"/>
      <c r="EI460" s="78"/>
      <c r="EJ460" s="78"/>
      <c r="EK460" s="78"/>
      <c r="EL460" s="78"/>
      <c r="EM460" s="78"/>
      <c r="EN460" s="91"/>
      <c r="EO460" s="91"/>
      <c r="EP460" s="91"/>
      <c r="EQ460" s="91"/>
      <c r="ER460" s="91"/>
      <c r="ES460" s="91"/>
    </row>
    <row r="461" spans="1:149" outlineLevel="1">
      <c r="A461" s="29" t="str">
        <f t="shared" si="329"/>
        <v>modesg_out_bens_imoveisorigem_flg_rsc_fsc_crnc</v>
      </c>
      <c r="B461" s="67" t="s">
        <v>26</v>
      </c>
      <c r="C461" s="68" t="s">
        <v>310</v>
      </c>
      <c r="D461" s="64" t="s">
        <v>40</v>
      </c>
      <c r="E461" s="66" t="s">
        <v>311</v>
      </c>
      <c r="F461" s="64" t="s">
        <v>318</v>
      </c>
      <c r="G461" s="64" t="str">
        <f>INDEX(Auxiliar!$B$16:$B$24,MATCH(Plano_V3!H461,Auxiliar!$C$16:$C$24,0),1)</f>
        <v>1. Concluído</v>
      </c>
      <c r="H461" s="64">
        <f>VLOOKUP(A461,'Aux - pivots1'!$A:$B,2,0)</f>
        <v>1</v>
      </c>
      <c r="I461" s="180">
        <f>SUMIFS(Table1[Estimação (horas)],Table1[Tabela],Plano_V3!E461,Table1[Campo],Plano_V3!F461)</f>
        <v>4.0999999999999996</v>
      </c>
      <c r="J461" s="180">
        <f t="shared" si="330"/>
        <v>0.51249999999999996</v>
      </c>
      <c r="K461" s="180">
        <f>SUMIFS(Table1[Horas efetivas],Table1[Tabela],Plano_V3!E461,Table1[Campo],Plano_V3!F461)</f>
        <v>4.0999999999999996</v>
      </c>
      <c r="L461" s="180">
        <f t="shared" si="331"/>
        <v>0.51249999999999996</v>
      </c>
      <c r="M461" s="174"/>
      <c r="N461" s="174">
        <f t="shared" si="332"/>
        <v>1</v>
      </c>
      <c r="O461" s="174">
        <f t="shared" si="316"/>
        <v>1</v>
      </c>
      <c r="P461" s="87" t="s">
        <v>312</v>
      </c>
      <c r="Q461" s="90">
        <f t="shared" si="324"/>
        <v>0.51249999999999996</v>
      </c>
      <c r="R461" s="78"/>
      <c r="S461" s="78"/>
      <c r="T461" s="78"/>
      <c r="U461" s="78"/>
      <c r="V461" s="78"/>
      <c r="W461" s="78"/>
      <c r="X461" s="78"/>
      <c r="Y461" s="78"/>
      <c r="Z461" s="78"/>
      <c r="AA461" s="78"/>
      <c r="AB461" s="78"/>
      <c r="AC461" s="78"/>
      <c r="AD461" s="78"/>
      <c r="AE461" s="78"/>
      <c r="AF461" s="78"/>
      <c r="AG461" s="78"/>
      <c r="AH461" s="78"/>
      <c r="AI461" s="78"/>
      <c r="AJ461" s="78"/>
      <c r="AK461" s="78"/>
      <c r="AL461" s="78"/>
      <c r="AM461" s="78"/>
      <c r="AN461" s="78"/>
      <c r="AO461" s="78"/>
      <c r="AP461" s="78"/>
      <c r="AQ461" s="78"/>
      <c r="AR461" s="78"/>
      <c r="AS461" s="78"/>
      <c r="AT461" s="78"/>
      <c r="AU461" s="78"/>
      <c r="AV461" s="78"/>
      <c r="AW461" s="78"/>
      <c r="AX461" s="78"/>
      <c r="AY461" s="91"/>
      <c r="AZ461" s="78"/>
      <c r="BA461" s="78"/>
      <c r="BB461" s="78"/>
      <c r="BC461" s="78"/>
      <c r="BD461" s="78"/>
      <c r="BE461" s="78"/>
      <c r="BF461" s="78"/>
      <c r="BG461" s="78"/>
      <c r="BH461" s="78"/>
      <c r="BI461" s="78"/>
      <c r="BJ461" s="78"/>
      <c r="BK461" s="78"/>
      <c r="BL461" s="78"/>
      <c r="BM461" s="78"/>
      <c r="BN461" s="78"/>
      <c r="BO461" s="78"/>
      <c r="BP461" s="78"/>
      <c r="BQ461" s="78"/>
      <c r="BR461" s="78"/>
      <c r="BS461" s="78"/>
      <c r="BT461" s="78"/>
      <c r="BU461" s="78"/>
      <c r="BV461" s="78"/>
      <c r="BW461" s="78"/>
      <c r="BX461" s="78"/>
      <c r="BY461" s="78"/>
      <c r="BZ461" s="78"/>
      <c r="CA461" s="78"/>
      <c r="CB461" s="78"/>
      <c r="CC461" s="78"/>
      <c r="CD461" s="78"/>
      <c r="CE461" s="78"/>
      <c r="CF461" s="78"/>
      <c r="CG461" s="78"/>
      <c r="CH461" s="78"/>
      <c r="CI461" s="78"/>
      <c r="CJ461" s="78"/>
      <c r="CK461" s="78"/>
      <c r="CL461" s="78"/>
      <c r="CM461" s="78"/>
      <c r="CN461" s="78"/>
      <c r="CO461" s="78"/>
      <c r="CP461" s="78"/>
      <c r="CQ461" s="78"/>
      <c r="CR461" s="78"/>
      <c r="CS461" s="78"/>
      <c r="CT461" s="78"/>
      <c r="CU461" s="78"/>
      <c r="CV461" s="78"/>
      <c r="CW461" s="78"/>
      <c r="CX461" s="78"/>
      <c r="CY461" s="78"/>
      <c r="CZ461" s="78"/>
      <c r="DA461" s="78"/>
      <c r="DB461" s="78"/>
      <c r="DC461" s="78"/>
      <c r="DD461" s="78"/>
      <c r="DE461" s="78"/>
      <c r="DF461" s="78"/>
      <c r="DG461" s="78"/>
      <c r="DH461" s="78"/>
      <c r="DI461" s="78"/>
      <c r="DJ461" s="78"/>
      <c r="DK461" s="78"/>
      <c r="DL461" s="78"/>
      <c r="DM461" s="78"/>
      <c r="DN461" s="78"/>
      <c r="DO461" s="78"/>
      <c r="DP461" s="78"/>
      <c r="DQ461" s="78"/>
      <c r="DR461" s="78"/>
      <c r="DS461" s="78"/>
      <c r="DT461" s="78"/>
      <c r="DU461" s="78"/>
      <c r="DV461" s="78"/>
      <c r="DW461" s="78"/>
      <c r="DX461" s="78"/>
      <c r="DY461" s="78"/>
      <c r="DZ461" s="78"/>
      <c r="EA461" s="78"/>
      <c r="EB461" s="78"/>
      <c r="EC461" s="78"/>
      <c r="ED461" s="78"/>
      <c r="EE461" s="78"/>
      <c r="EF461" s="78"/>
      <c r="EG461" s="78"/>
      <c r="EH461" s="78"/>
      <c r="EI461" s="78"/>
      <c r="EJ461" s="78"/>
      <c r="EK461" s="78"/>
      <c r="EL461" s="78"/>
      <c r="EM461" s="78"/>
      <c r="EN461" s="91"/>
      <c r="EO461" s="91"/>
      <c r="EP461" s="91"/>
      <c r="EQ461" s="91"/>
      <c r="ER461" s="91"/>
      <c r="ES461" s="91"/>
    </row>
    <row r="462" spans="1:149" outlineLevel="1">
      <c r="A462" s="29" t="str">
        <f t="shared" si="329"/>
        <v>modesg_out_bens_imoveisorigem_scp1_emss</v>
      </c>
      <c r="B462" s="67" t="s">
        <v>26</v>
      </c>
      <c r="C462" s="68" t="s">
        <v>310</v>
      </c>
      <c r="D462" s="64" t="s">
        <v>40</v>
      </c>
      <c r="E462" s="66" t="s">
        <v>311</v>
      </c>
      <c r="F462" s="64" t="s">
        <v>319</v>
      </c>
      <c r="G462" s="64" t="str">
        <f>INDEX(Auxiliar!$B$16:$B$24,MATCH(Plano_V3!H462,Auxiliar!$C$16:$C$24,0),1)</f>
        <v>1. Concluído</v>
      </c>
      <c r="H462" s="64">
        <f>VLOOKUP(A462,'Aux - pivots1'!$A:$B,2,0)</f>
        <v>1</v>
      </c>
      <c r="I462" s="180">
        <f>SUMIFS(Table1[Estimação (horas)],Table1[Tabela],Plano_V3!E462,Table1[Campo],Plano_V3!F462)</f>
        <v>4.0999999999999996</v>
      </c>
      <c r="J462" s="180">
        <f t="shared" si="330"/>
        <v>0.51249999999999996</v>
      </c>
      <c r="K462" s="180">
        <f>SUMIFS(Table1[Horas efetivas],Table1[Tabela],Plano_V3!E462,Table1[Campo],Plano_V3!F462)</f>
        <v>4.0999999999999996</v>
      </c>
      <c r="L462" s="180">
        <f t="shared" si="331"/>
        <v>0.51249999999999996</v>
      </c>
      <c r="M462" s="174"/>
      <c r="N462" s="174">
        <f t="shared" si="332"/>
        <v>1</v>
      </c>
      <c r="O462" s="174">
        <f t="shared" si="316"/>
        <v>1</v>
      </c>
      <c r="P462" s="87" t="s">
        <v>312</v>
      </c>
      <c r="Q462" s="90">
        <f t="shared" si="324"/>
        <v>0.51249999999999996</v>
      </c>
      <c r="R462" s="78"/>
      <c r="S462" s="78"/>
      <c r="T462" s="78"/>
      <c r="U462" s="78"/>
      <c r="V462" s="78"/>
      <c r="W462" s="78"/>
      <c r="X462" s="78"/>
      <c r="Y462" s="78"/>
      <c r="Z462" s="78"/>
      <c r="AA462" s="78"/>
      <c r="AB462" s="78"/>
      <c r="AC462" s="78"/>
      <c r="AD462" s="78"/>
      <c r="AE462" s="78"/>
      <c r="AF462" s="78"/>
      <c r="AG462" s="78"/>
      <c r="AH462" s="78"/>
      <c r="AI462" s="78"/>
      <c r="AJ462" s="78"/>
      <c r="AK462" s="78"/>
      <c r="AL462" s="78"/>
      <c r="AM462" s="78"/>
      <c r="AN462" s="78"/>
      <c r="AO462" s="78"/>
      <c r="AP462" s="78"/>
      <c r="AQ462" s="78"/>
      <c r="AR462" s="78"/>
      <c r="AS462" s="78"/>
      <c r="AT462" s="78"/>
      <c r="AU462" s="78"/>
      <c r="AV462" s="78"/>
      <c r="AW462" s="78"/>
      <c r="AX462" s="78"/>
      <c r="AY462" s="91"/>
      <c r="AZ462" s="78"/>
      <c r="BA462" s="78"/>
      <c r="BB462" s="78"/>
      <c r="BC462" s="78"/>
      <c r="BD462" s="78"/>
      <c r="BE462" s="78"/>
      <c r="BF462" s="78"/>
      <c r="BG462" s="78"/>
      <c r="BH462" s="78"/>
      <c r="BI462" s="78"/>
      <c r="BJ462" s="78"/>
      <c r="BK462" s="78"/>
      <c r="BL462" s="78"/>
      <c r="BM462" s="78"/>
      <c r="BN462" s="78"/>
      <c r="BO462" s="78"/>
      <c r="BP462" s="78"/>
      <c r="BQ462" s="78"/>
      <c r="BR462" s="78"/>
      <c r="BS462" s="78"/>
      <c r="BT462" s="78"/>
      <c r="BU462" s="78"/>
      <c r="BV462" s="78"/>
      <c r="BW462" s="78"/>
      <c r="BX462" s="78"/>
      <c r="BY462" s="78"/>
      <c r="BZ462" s="78"/>
      <c r="CA462" s="78"/>
      <c r="CB462" s="78"/>
      <c r="CC462" s="78"/>
      <c r="CD462" s="78"/>
      <c r="CE462" s="78"/>
      <c r="CF462" s="78"/>
      <c r="CG462" s="78"/>
      <c r="CH462" s="78"/>
      <c r="CI462" s="78"/>
      <c r="CJ462" s="78"/>
      <c r="CK462" s="78"/>
      <c r="CL462" s="78"/>
      <c r="CM462" s="78"/>
      <c r="CN462" s="78"/>
      <c r="CO462" s="78"/>
      <c r="CP462" s="78"/>
      <c r="CQ462" s="78"/>
      <c r="CR462" s="78"/>
      <c r="CS462" s="78"/>
      <c r="CT462" s="78"/>
      <c r="CU462" s="78"/>
      <c r="CV462" s="78"/>
      <c r="CW462" s="78"/>
      <c r="CX462" s="78"/>
      <c r="CY462" s="78"/>
      <c r="CZ462" s="78"/>
      <c r="DA462" s="78"/>
      <c r="DB462" s="78"/>
      <c r="DC462" s="78"/>
      <c r="DD462" s="78"/>
      <c r="DE462" s="78"/>
      <c r="DF462" s="78"/>
      <c r="DG462" s="78"/>
      <c r="DH462" s="78"/>
      <c r="DI462" s="78"/>
      <c r="DJ462" s="78"/>
      <c r="DK462" s="78"/>
      <c r="DL462" s="78"/>
      <c r="DM462" s="78"/>
      <c r="DN462" s="78"/>
      <c r="DO462" s="78"/>
      <c r="DP462" s="78"/>
      <c r="DQ462" s="78"/>
      <c r="DR462" s="78"/>
      <c r="DS462" s="78"/>
      <c r="DT462" s="78"/>
      <c r="DU462" s="78"/>
      <c r="DV462" s="78"/>
      <c r="DW462" s="78"/>
      <c r="DX462" s="78"/>
      <c r="DY462" s="78"/>
      <c r="DZ462" s="78"/>
      <c r="EA462" s="78"/>
      <c r="EB462" s="78"/>
      <c r="EC462" s="78"/>
      <c r="ED462" s="78"/>
      <c r="EE462" s="78"/>
      <c r="EF462" s="78"/>
      <c r="EG462" s="78"/>
      <c r="EH462" s="78"/>
      <c r="EI462" s="78"/>
      <c r="EJ462" s="78"/>
      <c r="EK462" s="78"/>
      <c r="EL462" s="78"/>
      <c r="EM462" s="78"/>
      <c r="EN462" s="91"/>
      <c r="EO462" s="91"/>
      <c r="EP462" s="91"/>
      <c r="EQ462" s="91"/>
      <c r="ER462" s="91"/>
      <c r="ES462" s="91"/>
    </row>
    <row r="463" spans="1:149" outlineLevel="1">
      <c r="A463" s="29" t="str">
        <f t="shared" si="329"/>
        <v>modesg_out_bens_imoveisorigem_scp2_emss</v>
      </c>
      <c r="B463" s="67" t="s">
        <v>26</v>
      </c>
      <c r="C463" s="68" t="s">
        <v>310</v>
      </c>
      <c r="D463" s="64" t="s">
        <v>40</v>
      </c>
      <c r="E463" s="66" t="s">
        <v>311</v>
      </c>
      <c r="F463" s="64" t="s">
        <v>320</v>
      </c>
      <c r="G463" s="64" t="str">
        <f>INDEX(Auxiliar!$B$16:$B$24,MATCH(Plano_V3!H463,Auxiliar!$C$16:$C$24,0),1)</f>
        <v>1. Concluído</v>
      </c>
      <c r="H463" s="64">
        <f>VLOOKUP(A463,'Aux - pivots1'!$A:$B,2,0)</f>
        <v>1</v>
      </c>
      <c r="I463" s="180">
        <f>SUMIFS(Table1[Estimação (horas)],Table1[Tabela],Plano_V3!E463,Table1[Campo],Plano_V3!F463)</f>
        <v>4.0999999999999996</v>
      </c>
      <c r="J463" s="180">
        <f t="shared" si="330"/>
        <v>0.51249999999999996</v>
      </c>
      <c r="K463" s="180">
        <f>SUMIFS(Table1[Horas efetivas],Table1[Tabela],Plano_V3!E463,Table1[Campo],Plano_V3!F463)</f>
        <v>4.0999999999999996</v>
      </c>
      <c r="L463" s="180">
        <f t="shared" si="331"/>
        <v>0.51249999999999996</v>
      </c>
      <c r="M463" s="174"/>
      <c r="N463" s="174">
        <f t="shared" si="332"/>
        <v>1</v>
      </c>
      <c r="O463" s="174">
        <f t="shared" si="316"/>
        <v>1</v>
      </c>
      <c r="P463" s="87" t="s">
        <v>312</v>
      </c>
      <c r="Q463" s="90">
        <f t="shared" si="324"/>
        <v>0.51249999999999996</v>
      </c>
      <c r="R463" s="78"/>
      <c r="S463" s="78"/>
      <c r="T463" s="78"/>
      <c r="U463" s="78"/>
      <c r="V463" s="78"/>
      <c r="W463" s="78"/>
      <c r="X463" s="78"/>
      <c r="Y463" s="78"/>
      <c r="Z463" s="78"/>
      <c r="AA463" s="78"/>
      <c r="AB463" s="78"/>
      <c r="AC463" s="78"/>
      <c r="AD463" s="78"/>
      <c r="AE463" s="78"/>
      <c r="AF463" s="78"/>
      <c r="AG463" s="78"/>
      <c r="AH463" s="78"/>
      <c r="AI463" s="78"/>
      <c r="AJ463" s="78"/>
      <c r="AK463" s="78"/>
      <c r="AL463" s="78"/>
      <c r="AM463" s="78"/>
      <c r="AN463" s="78"/>
      <c r="AO463" s="78"/>
      <c r="AP463" s="78"/>
      <c r="AQ463" s="78"/>
      <c r="AR463" s="78"/>
      <c r="AS463" s="78"/>
      <c r="AT463" s="78"/>
      <c r="AU463" s="78"/>
      <c r="AV463" s="78"/>
      <c r="AW463" s="78"/>
      <c r="AX463" s="78"/>
      <c r="AY463" s="91"/>
      <c r="AZ463" s="78"/>
      <c r="BA463" s="78"/>
      <c r="BB463" s="78"/>
      <c r="BC463" s="78"/>
      <c r="BD463" s="78"/>
      <c r="BE463" s="78"/>
      <c r="BF463" s="78"/>
      <c r="BG463" s="78"/>
      <c r="BH463" s="78"/>
      <c r="BI463" s="78"/>
      <c r="BJ463" s="78"/>
      <c r="BK463" s="78"/>
      <c r="BL463" s="78"/>
      <c r="BM463" s="78"/>
      <c r="BN463" s="78"/>
      <c r="BO463" s="78"/>
      <c r="BP463" s="78"/>
      <c r="BQ463" s="78"/>
      <c r="BR463" s="78"/>
      <c r="BS463" s="78"/>
      <c r="BT463" s="78"/>
      <c r="BU463" s="78"/>
      <c r="BV463" s="78"/>
      <c r="BW463" s="78"/>
      <c r="BX463" s="78"/>
      <c r="BY463" s="78"/>
      <c r="BZ463" s="78"/>
      <c r="CA463" s="78"/>
      <c r="CB463" s="78"/>
      <c r="CC463" s="78"/>
      <c r="CD463" s="78"/>
      <c r="CE463" s="78"/>
      <c r="CF463" s="78"/>
      <c r="CG463" s="78"/>
      <c r="CH463" s="78"/>
      <c r="CI463" s="78"/>
      <c r="CJ463" s="78"/>
      <c r="CK463" s="78"/>
      <c r="CL463" s="78"/>
      <c r="CM463" s="78"/>
      <c r="CN463" s="78"/>
      <c r="CO463" s="78"/>
      <c r="CP463" s="78"/>
      <c r="CQ463" s="78"/>
      <c r="CR463" s="78"/>
      <c r="CS463" s="78"/>
      <c r="CT463" s="78"/>
      <c r="CU463" s="78"/>
      <c r="CV463" s="78"/>
      <c r="CW463" s="78"/>
      <c r="CX463" s="78"/>
      <c r="CY463" s="78"/>
      <c r="CZ463" s="78"/>
      <c r="DA463" s="78"/>
      <c r="DB463" s="78"/>
      <c r="DC463" s="78"/>
      <c r="DD463" s="78"/>
      <c r="DE463" s="78"/>
      <c r="DF463" s="78"/>
      <c r="DG463" s="78"/>
      <c r="DH463" s="78"/>
      <c r="DI463" s="78"/>
      <c r="DJ463" s="78"/>
      <c r="DK463" s="78"/>
      <c r="DL463" s="78"/>
      <c r="DM463" s="78"/>
      <c r="DN463" s="78"/>
      <c r="DO463" s="78"/>
      <c r="DP463" s="78"/>
      <c r="DQ463" s="78"/>
      <c r="DR463" s="78"/>
      <c r="DS463" s="78"/>
      <c r="DT463" s="78"/>
      <c r="DU463" s="78"/>
      <c r="DV463" s="78"/>
      <c r="DW463" s="78"/>
      <c r="DX463" s="78"/>
      <c r="DY463" s="78"/>
      <c r="DZ463" s="78"/>
      <c r="EA463" s="78"/>
      <c r="EB463" s="78"/>
      <c r="EC463" s="78"/>
      <c r="ED463" s="78"/>
      <c r="EE463" s="78"/>
      <c r="EF463" s="78"/>
      <c r="EG463" s="78"/>
      <c r="EH463" s="78"/>
      <c r="EI463" s="78"/>
      <c r="EJ463" s="78"/>
      <c r="EK463" s="78"/>
      <c r="EL463" s="78"/>
      <c r="EM463" s="78"/>
      <c r="EN463" s="91"/>
      <c r="EO463" s="91"/>
      <c r="EP463" s="91"/>
      <c r="EQ463" s="91"/>
      <c r="ER463" s="91"/>
      <c r="ES463" s="91"/>
    </row>
    <row r="464" spans="1:149" outlineLevel="1">
      <c r="A464" s="29" t="str">
        <f t="shared" si="329"/>
        <v>modesg_out_bens_imoveisorigem_scp3_emss</v>
      </c>
      <c r="B464" s="67" t="s">
        <v>26</v>
      </c>
      <c r="C464" s="68" t="s">
        <v>310</v>
      </c>
      <c r="D464" s="64" t="s">
        <v>40</v>
      </c>
      <c r="E464" s="66" t="s">
        <v>311</v>
      </c>
      <c r="F464" s="64" t="s">
        <v>321</v>
      </c>
      <c r="G464" s="64" t="str">
        <f>INDEX(Auxiliar!$B$16:$B$24,MATCH(Plano_V3!H464,Auxiliar!$C$16:$C$24,0),1)</f>
        <v>1. Concluído</v>
      </c>
      <c r="H464" s="64">
        <f>VLOOKUP(A464,'Aux - pivots1'!$A:$B,2,0)</f>
        <v>1</v>
      </c>
      <c r="I464" s="180">
        <f>SUMIFS(Table1[Estimação (horas)],Table1[Tabela],Plano_V3!E464,Table1[Campo],Plano_V3!F464)</f>
        <v>4.0999999999999996</v>
      </c>
      <c r="J464" s="180">
        <f t="shared" si="330"/>
        <v>0.51249999999999996</v>
      </c>
      <c r="K464" s="180">
        <f>SUMIFS(Table1[Horas efetivas],Table1[Tabela],Plano_V3!E464,Table1[Campo],Plano_V3!F464)</f>
        <v>4.0999999999999996</v>
      </c>
      <c r="L464" s="180">
        <f t="shared" si="331"/>
        <v>0.51249999999999996</v>
      </c>
      <c r="M464" s="174"/>
      <c r="N464" s="174">
        <f t="shared" si="332"/>
        <v>1</v>
      </c>
      <c r="O464" s="174">
        <f t="shared" si="316"/>
        <v>1</v>
      </c>
      <c r="P464" s="87" t="s">
        <v>312</v>
      </c>
      <c r="Q464" s="90">
        <f t="shared" si="324"/>
        <v>0.51249999999999996</v>
      </c>
      <c r="R464" s="78"/>
      <c r="S464" s="78"/>
      <c r="T464" s="78"/>
      <c r="U464" s="78"/>
      <c r="V464" s="78"/>
      <c r="W464" s="78"/>
      <c r="X464" s="78"/>
      <c r="Y464" s="78"/>
      <c r="Z464" s="78"/>
      <c r="AA464" s="78"/>
      <c r="AB464" s="78"/>
      <c r="AC464" s="78"/>
      <c r="AD464" s="78"/>
      <c r="AE464" s="78"/>
      <c r="AF464" s="78"/>
      <c r="AG464" s="78"/>
      <c r="AH464" s="78"/>
      <c r="AI464" s="78"/>
      <c r="AJ464" s="78"/>
      <c r="AK464" s="78"/>
      <c r="AL464" s="78"/>
      <c r="AM464" s="78"/>
      <c r="AN464" s="78"/>
      <c r="AO464" s="78"/>
      <c r="AP464" s="78"/>
      <c r="AQ464" s="78"/>
      <c r="AR464" s="78"/>
      <c r="AS464" s="78"/>
      <c r="AT464" s="78"/>
      <c r="AU464" s="78"/>
      <c r="AV464" s="78"/>
      <c r="AW464" s="78"/>
      <c r="AX464" s="78"/>
      <c r="AY464" s="91"/>
      <c r="AZ464" s="78"/>
      <c r="BA464" s="78"/>
      <c r="BB464" s="78"/>
      <c r="BC464" s="78"/>
      <c r="BD464" s="78"/>
      <c r="BE464" s="78"/>
      <c r="BF464" s="78"/>
      <c r="BG464" s="78"/>
      <c r="BH464" s="78"/>
      <c r="BI464" s="78"/>
      <c r="BJ464" s="78"/>
      <c r="BK464" s="78"/>
      <c r="BL464" s="78"/>
      <c r="BM464" s="78"/>
      <c r="BN464" s="78"/>
      <c r="BO464" s="78"/>
      <c r="BP464" s="78"/>
      <c r="BQ464" s="78"/>
      <c r="BR464" s="78"/>
      <c r="BS464" s="78"/>
      <c r="BT464" s="78"/>
      <c r="BU464" s="78"/>
      <c r="BV464" s="78"/>
      <c r="BW464" s="78"/>
      <c r="BX464" s="78"/>
      <c r="BY464" s="78"/>
      <c r="BZ464" s="78"/>
      <c r="CA464" s="78"/>
      <c r="CB464" s="78"/>
      <c r="CC464" s="78"/>
      <c r="CD464" s="78"/>
      <c r="CE464" s="78"/>
      <c r="CF464" s="78"/>
      <c r="CG464" s="78"/>
      <c r="CH464" s="78"/>
      <c r="CI464" s="78"/>
      <c r="CJ464" s="78"/>
      <c r="CK464" s="78"/>
      <c r="CL464" s="78"/>
      <c r="CM464" s="78"/>
      <c r="CN464" s="78"/>
      <c r="CO464" s="78"/>
      <c r="CP464" s="78"/>
      <c r="CQ464" s="78"/>
      <c r="CR464" s="78"/>
      <c r="CS464" s="78"/>
      <c r="CT464" s="78"/>
      <c r="CU464" s="78"/>
      <c r="CV464" s="78"/>
      <c r="CW464" s="78"/>
      <c r="CX464" s="78"/>
      <c r="CY464" s="78"/>
      <c r="CZ464" s="78"/>
      <c r="DA464" s="78"/>
      <c r="DB464" s="78"/>
      <c r="DC464" s="78"/>
      <c r="DD464" s="78"/>
      <c r="DE464" s="78"/>
      <c r="DF464" s="78"/>
      <c r="DG464" s="78"/>
      <c r="DH464" s="78"/>
      <c r="DI464" s="78"/>
      <c r="DJ464" s="78"/>
      <c r="DK464" s="78"/>
      <c r="DL464" s="78"/>
      <c r="DM464" s="78"/>
      <c r="DN464" s="78"/>
      <c r="DO464" s="78"/>
      <c r="DP464" s="78"/>
      <c r="DQ464" s="78"/>
      <c r="DR464" s="78"/>
      <c r="DS464" s="78"/>
      <c r="DT464" s="78"/>
      <c r="DU464" s="78"/>
      <c r="DV464" s="78"/>
      <c r="DW464" s="78"/>
      <c r="DX464" s="78"/>
      <c r="DY464" s="78"/>
      <c r="DZ464" s="78"/>
      <c r="EA464" s="78"/>
      <c r="EB464" s="78"/>
      <c r="EC464" s="78"/>
      <c r="ED464" s="78"/>
      <c r="EE464" s="78"/>
      <c r="EF464" s="78"/>
      <c r="EG464" s="78"/>
      <c r="EH464" s="78"/>
      <c r="EI464" s="78"/>
      <c r="EJ464" s="78"/>
      <c r="EK464" s="78"/>
      <c r="EL464" s="78"/>
      <c r="EM464" s="78"/>
      <c r="EN464" s="91"/>
      <c r="EO464" s="91"/>
      <c r="EP464" s="91"/>
      <c r="EQ464" s="91"/>
      <c r="ER464" s="91"/>
      <c r="ES464" s="91"/>
    </row>
    <row r="465" spans="1:149" outlineLevel="1">
      <c r="A465" s="29" t="str">
        <f t="shared" si="329"/>
        <v>modesg_out_bens_imoveisref_date</v>
      </c>
      <c r="B465" s="67" t="s">
        <v>26</v>
      </c>
      <c r="C465" s="68" t="s">
        <v>310</v>
      </c>
      <c r="D465" s="64" t="s">
        <v>40</v>
      </c>
      <c r="E465" s="66" t="s">
        <v>311</v>
      </c>
      <c r="F465" s="64" t="s">
        <v>208</v>
      </c>
      <c r="G465" s="64" t="str">
        <f>INDEX(Auxiliar!$B$16:$B$24,MATCH(Plano_V3!H465,Auxiliar!$C$16:$C$24,0),1)</f>
        <v>1. Concluído</v>
      </c>
      <c r="H465" s="64">
        <f>VLOOKUP(A465,'Aux - pivots1'!$A:$B,2,0)</f>
        <v>1</v>
      </c>
      <c r="I465" s="180">
        <f>SUMIFS(Table1[Estimação (horas)],Table1[Tabela],Plano_V3!E465,Table1[Campo],Plano_V3!F465)</f>
        <v>4.0999999999999996</v>
      </c>
      <c r="J465" s="180">
        <f t="shared" si="330"/>
        <v>0.51249999999999996</v>
      </c>
      <c r="K465" s="180">
        <f>SUMIFS(Table1[Horas efetivas],Table1[Tabela],Plano_V3!E465,Table1[Campo],Plano_V3!F465)</f>
        <v>4.0999999999999996</v>
      </c>
      <c r="L465" s="180">
        <f t="shared" si="331"/>
        <v>0.51249999999999996</v>
      </c>
      <c r="M465" s="174"/>
      <c r="N465" s="174">
        <f t="shared" si="332"/>
        <v>1</v>
      </c>
      <c r="O465" s="174">
        <f t="shared" si="316"/>
        <v>1</v>
      </c>
      <c r="P465" s="87" t="s">
        <v>312</v>
      </c>
      <c r="Q465" s="90">
        <f t="shared" si="324"/>
        <v>0.51249999999999996</v>
      </c>
      <c r="R465" s="78"/>
      <c r="S465" s="78"/>
      <c r="T465" s="78"/>
      <c r="U465" s="78"/>
      <c r="V465" s="78"/>
      <c r="W465" s="78"/>
      <c r="X465" s="78"/>
      <c r="Y465" s="78"/>
      <c r="Z465" s="78"/>
      <c r="AA465" s="78"/>
      <c r="AB465" s="78"/>
      <c r="AC465" s="78"/>
      <c r="AD465" s="78"/>
      <c r="AE465" s="78"/>
      <c r="AF465" s="78"/>
      <c r="AG465" s="78"/>
      <c r="AH465" s="78"/>
      <c r="AI465" s="78"/>
      <c r="AJ465" s="78"/>
      <c r="AK465" s="78"/>
      <c r="AL465" s="78"/>
      <c r="AM465" s="78"/>
      <c r="AN465" s="78"/>
      <c r="AO465" s="78"/>
      <c r="AP465" s="78"/>
      <c r="AQ465" s="78"/>
      <c r="AR465" s="78"/>
      <c r="AS465" s="78"/>
      <c r="AT465" s="78"/>
      <c r="AU465" s="78"/>
      <c r="AV465" s="78"/>
      <c r="AW465" s="78"/>
      <c r="AX465" s="78"/>
      <c r="AY465" s="91"/>
      <c r="AZ465" s="78"/>
      <c r="BA465" s="78"/>
      <c r="BB465" s="78"/>
      <c r="BC465" s="78"/>
      <c r="BD465" s="78"/>
      <c r="BE465" s="78"/>
      <c r="BF465" s="78"/>
      <c r="BG465" s="78"/>
      <c r="BH465" s="78"/>
      <c r="BI465" s="78"/>
      <c r="BJ465" s="78"/>
      <c r="BK465" s="78"/>
      <c r="BL465" s="78"/>
      <c r="BM465" s="78"/>
      <c r="BN465" s="78"/>
      <c r="BO465" s="78"/>
      <c r="BP465" s="78"/>
      <c r="BQ465" s="78"/>
      <c r="BR465" s="78"/>
      <c r="BS465" s="78"/>
      <c r="BT465" s="78"/>
      <c r="BU465" s="78"/>
      <c r="BV465" s="78"/>
      <c r="BW465" s="78"/>
      <c r="BX465" s="78"/>
      <c r="BY465" s="78"/>
      <c r="BZ465" s="78"/>
      <c r="CA465" s="78"/>
      <c r="CB465" s="78"/>
      <c r="CC465" s="78"/>
      <c r="CD465" s="78"/>
      <c r="CE465" s="78"/>
      <c r="CF465" s="78"/>
      <c r="CG465" s="78"/>
      <c r="CH465" s="78"/>
      <c r="CI465" s="78"/>
      <c r="CJ465" s="78"/>
      <c r="CK465" s="78"/>
      <c r="CL465" s="78"/>
      <c r="CM465" s="78"/>
      <c r="CN465" s="78"/>
      <c r="CO465" s="78"/>
      <c r="CP465" s="78"/>
      <c r="CQ465" s="78"/>
      <c r="CR465" s="78"/>
      <c r="CS465" s="78"/>
      <c r="CT465" s="78"/>
      <c r="CU465" s="78"/>
      <c r="CV465" s="78"/>
      <c r="CW465" s="78"/>
      <c r="CX465" s="78"/>
      <c r="CY465" s="78"/>
      <c r="CZ465" s="78"/>
      <c r="DA465" s="78"/>
      <c r="DB465" s="78"/>
      <c r="DC465" s="78"/>
      <c r="DD465" s="78"/>
      <c r="DE465" s="78"/>
      <c r="DF465" s="78"/>
      <c r="DG465" s="78"/>
      <c r="DH465" s="78"/>
      <c r="DI465" s="78"/>
      <c r="DJ465" s="78"/>
      <c r="DK465" s="78"/>
      <c r="DL465" s="78"/>
      <c r="DM465" s="78"/>
      <c r="DN465" s="78"/>
      <c r="DO465" s="78"/>
      <c r="DP465" s="78"/>
      <c r="DQ465" s="78"/>
      <c r="DR465" s="78"/>
      <c r="DS465" s="78"/>
      <c r="DT465" s="78"/>
      <c r="DU465" s="78"/>
      <c r="DV465" s="78"/>
      <c r="DW465" s="78"/>
      <c r="DX465" s="78"/>
      <c r="DY465" s="78"/>
      <c r="DZ465" s="78"/>
      <c r="EA465" s="78"/>
      <c r="EB465" s="78"/>
      <c r="EC465" s="78"/>
      <c r="ED465" s="78"/>
      <c r="EE465" s="78"/>
      <c r="EF465" s="78"/>
      <c r="EG465" s="78"/>
      <c r="EH465" s="78"/>
      <c r="EI465" s="78"/>
      <c r="EJ465" s="78"/>
      <c r="EK465" s="78"/>
      <c r="EL465" s="78"/>
      <c r="EM465" s="78"/>
      <c r="EN465" s="91"/>
      <c r="EO465" s="91"/>
      <c r="EP465" s="91"/>
      <c r="EQ465" s="91"/>
      <c r="ER465" s="91"/>
      <c r="ES465" s="91"/>
    </row>
    <row r="466" spans="1:149" outlineLevel="1">
      <c r="A466" s="29" t="str">
        <f t="shared" si="329"/>
        <v>modesg_out_bens_imoveisscp1_emss</v>
      </c>
      <c r="B466" s="67" t="s">
        <v>26</v>
      </c>
      <c r="C466" s="68" t="s">
        <v>310</v>
      </c>
      <c r="D466" s="64" t="s">
        <v>40</v>
      </c>
      <c r="E466" s="66" t="s">
        <v>311</v>
      </c>
      <c r="F466" s="64" t="s">
        <v>285</v>
      </c>
      <c r="G466" s="64" t="str">
        <f>INDEX(Auxiliar!$B$16:$B$24,MATCH(Plano_V3!H466,Auxiliar!$C$16:$C$24,0),1)</f>
        <v>1. Concluído</v>
      </c>
      <c r="H466" s="64">
        <f>VLOOKUP(A466,'Aux - pivots1'!$A:$B,2,0)</f>
        <v>1</v>
      </c>
      <c r="I466" s="180">
        <f>SUMIFS(Table1[Estimação (horas)],Table1[Tabela],Plano_V3!E466,Table1[Campo],Plano_V3!F466)</f>
        <v>8.1</v>
      </c>
      <c r="J466" s="180">
        <f t="shared" si="330"/>
        <v>1.0125</v>
      </c>
      <c r="K466" s="180">
        <f>SUMIFS(Table1[Horas efetivas],Table1[Tabela],Plano_V3!E466,Table1[Campo],Plano_V3!F466)</f>
        <v>8.1</v>
      </c>
      <c r="L466" s="180">
        <f t="shared" si="331"/>
        <v>1.0125</v>
      </c>
      <c r="M466" s="174"/>
      <c r="N466" s="174">
        <f t="shared" si="332"/>
        <v>1</v>
      </c>
      <c r="O466" s="174">
        <f t="shared" si="316"/>
        <v>1</v>
      </c>
      <c r="P466" s="87" t="s">
        <v>312</v>
      </c>
      <c r="Q466" s="90">
        <f t="shared" si="324"/>
        <v>1.0125</v>
      </c>
      <c r="R466" s="78"/>
      <c r="S466" s="78"/>
      <c r="T466" s="78"/>
      <c r="U466" s="78"/>
      <c r="V466" s="78"/>
      <c r="W466" s="78"/>
      <c r="X466" s="78"/>
      <c r="Y466" s="78"/>
      <c r="Z466" s="78"/>
      <c r="AA466" s="78"/>
      <c r="AB466" s="78"/>
      <c r="AC466" s="78"/>
      <c r="AD466" s="78"/>
      <c r="AE466" s="78"/>
      <c r="AF466" s="78"/>
      <c r="AG466" s="78"/>
      <c r="AH466" s="78"/>
      <c r="AI466" s="78"/>
      <c r="AJ466" s="78"/>
      <c r="AK466" s="78"/>
      <c r="AL466" s="78"/>
      <c r="AM466" s="78"/>
      <c r="AN466" s="78"/>
      <c r="AO466" s="78"/>
      <c r="AP466" s="78"/>
      <c r="AQ466" s="78"/>
      <c r="AR466" s="78"/>
      <c r="AS466" s="78"/>
      <c r="AT466" s="78"/>
      <c r="AU466" s="78"/>
      <c r="AV466" s="78"/>
      <c r="AW466" s="78"/>
      <c r="AX466" s="78"/>
      <c r="AY466" s="91"/>
      <c r="AZ466" s="78"/>
      <c r="BA466" s="78"/>
      <c r="BB466" s="78"/>
      <c r="BC466" s="78"/>
      <c r="BD466" s="78"/>
      <c r="BE466" s="78"/>
      <c r="BF466" s="78"/>
      <c r="BG466" s="78"/>
      <c r="BH466" s="78"/>
      <c r="BI466" s="78"/>
      <c r="BJ466" s="78"/>
      <c r="BK466" s="78"/>
      <c r="BL466" s="78"/>
      <c r="BM466" s="78"/>
      <c r="BN466" s="78"/>
      <c r="BO466" s="78"/>
      <c r="BP466" s="78"/>
      <c r="BQ466" s="78"/>
      <c r="BR466" s="78"/>
      <c r="BS466" s="78"/>
      <c r="BT466" s="78"/>
      <c r="BU466" s="78"/>
      <c r="BV466" s="78"/>
      <c r="BW466" s="78"/>
      <c r="BX466" s="78"/>
      <c r="BY466" s="78"/>
      <c r="BZ466" s="78"/>
      <c r="CA466" s="78"/>
      <c r="CB466" s="78"/>
      <c r="CC466" s="78"/>
      <c r="CD466" s="78"/>
      <c r="CE466" s="78"/>
      <c r="CF466" s="78"/>
      <c r="CG466" s="78"/>
      <c r="CH466" s="78"/>
      <c r="CI466" s="78"/>
      <c r="CJ466" s="78"/>
      <c r="CK466" s="78"/>
      <c r="CL466" s="78"/>
      <c r="CM466" s="78"/>
      <c r="CN466" s="78"/>
      <c r="CO466" s="78"/>
      <c r="CP466" s="78"/>
      <c r="CQ466" s="78"/>
      <c r="CR466" s="78"/>
      <c r="CS466" s="78"/>
      <c r="CT466" s="78"/>
      <c r="CU466" s="78"/>
      <c r="CV466" s="78"/>
      <c r="CW466" s="78"/>
      <c r="CX466" s="78"/>
      <c r="CY466" s="78"/>
      <c r="CZ466" s="78"/>
      <c r="DA466" s="78"/>
      <c r="DB466" s="78"/>
      <c r="DC466" s="78"/>
      <c r="DD466" s="78"/>
      <c r="DE466" s="78"/>
      <c r="DF466" s="78"/>
      <c r="DG466" s="78"/>
      <c r="DH466" s="78"/>
      <c r="DI466" s="78"/>
      <c r="DJ466" s="78"/>
      <c r="DK466" s="78"/>
      <c r="DL466" s="78"/>
      <c r="DM466" s="78"/>
      <c r="DN466" s="78"/>
      <c r="DO466" s="78"/>
      <c r="DP466" s="78"/>
      <c r="DQ466" s="78"/>
      <c r="DR466" s="78"/>
      <c r="DS466" s="78"/>
      <c r="DT466" s="78"/>
      <c r="DU466" s="78"/>
      <c r="DV466" s="78"/>
      <c r="DW466" s="78"/>
      <c r="DX466" s="78"/>
      <c r="DY466" s="78"/>
      <c r="DZ466" s="78"/>
      <c r="EA466" s="78"/>
      <c r="EB466" s="78"/>
      <c r="EC466" s="78"/>
      <c r="ED466" s="78"/>
      <c r="EE466" s="78"/>
      <c r="EF466" s="78"/>
      <c r="EG466" s="78"/>
      <c r="EH466" s="78"/>
      <c r="EI466" s="78"/>
      <c r="EJ466" s="78"/>
      <c r="EK466" s="78"/>
      <c r="EL466" s="78"/>
      <c r="EM466" s="78"/>
      <c r="EN466" s="91"/>
      <c r="EO466" s="91"/>
      <c r="EP466" s="91"/>
      <c r="EQ466" s="91"/>
      <c r="ER466" s="91"/>
      <c r="ES466" s="91"/>
    </row>
    <row r="467" spans="1:149" outlineLevel="1">
      <c r="A467" s="29" t="str">
        <f t="shared" si="329"/>
        <v>modesg_out_bens_imoveisscp2_emss</v>
      </c>
      <c r="B467" s="67" t="s">
        <v>26</v>
      </c>
      <c r="C467" s="68" t="s">
        <v>310</v>
      </c>
      <c r="D467" s="64" t="s">
        <v>40</v>
      </c>
      <c r="E467" s="66" t="s">
        <v>311</v>
      </c>
      <c r="F467" s="64" t="s">
        <v>286</v>
      </c>
      <c r="G467" s="64" t="str">
        <f>INDEX(Auxiliar!$B$16:$B$24,MATCH(Plano_V3!H467,Auxiliar!$C$16:$C$24,0),1)</f>
        <v>1. Concluído</v>
      </c>
      <c r="H467" s="64">
        <f>VLOOKUP(A467,'Aux - pivots1'!$A:$B,2,0)</f>
        <v>1</v>
      </c>
      <c r="I467" s="180">
        <f>SUMIFS(Table1[Estimação (horas)],Table1[Tabela],Plano_V3!E467,Table1[Campo],Plano_V3!F467)</f>
        <v>8.1</v>
      </c>
      <c r="J467" s="180">
        <f t="shared" si="330"/>
        <v>1.0125</v>
      </c>
      <c r="K467" s="180">
        <f>SUMIFS(Table1[Horas efetivas],Table1[Tabela],Plano_V3!E467,Table1[Campo],Plano_V3!F467)</f>
        <v>8.1</v>
      </c>
      <c r="L467" s="180">
        <f t="shared" si="331"/>
        <v>1.0125</v>
      </c>
      <c r="M467" s="174"/>
      <c r="N467" s="174">
        <f t="shared" si="332"/>
        <v>1</v>
      </c>
      <c r="O467" s="174">
        <f t="shared" si="316"/>
        <v>1</v>
      </c>
      <c r="P467" s="87" t="s">
        <v>312</v>
      </c>
      <c r="Q467" s="90">
        <f t="shared" si="324"/>
        <v>1.0125</v>
      </c>
      <c r="R467" s="78"/>
      <c r="S467" s="78"/>
      <c r="T467" s="78"/>
      <c r="U467" s="78"/>
      <c r="V467" s="78"/>
      <c r="W467" s="78"/>
      <c r="X467" s="78"/>
      <c r="Y467" s="78"/>
      <c r="Z467" s="78"/>
      <c r="AA467" s="78"/>
      <c r="AB467" s="78"/>
      <c r="AC467" s="78"/>
      <c r="AD467" s="78"/>
      <c r="AE467" s="78"/>
      <c r="AF467" s="78"/>
      <c r="AG467" s="78"/>
      <c r="AH467" s="78"/>
      <c r="AI467" s="78"/>
      <c r="AJ467" s="78"/>
      <c r="AK467" s="78"/>
      <c r="AL467" s="78"/>
      <c r="AM467" s="78"/>
      <c r="AN467" s="78"/>
      <c r="AO467" s="78"/>
      <c r="AP467" s="78"/>
      <c r="AQ467" s="78"/>
      <c r="AR467" s="78"/>
      <c r="AS467" s="78"/>
      <c r="AT467" s="78"/>
      <c r="AU467" s="78"/>
      <c r="AV467" s="78"/>
      <c r="AW467" s="78"/>
      <c r="AX467" s="78"/>
      <c r="AY467" s="91"/>
      <c r="AZ467" s="78"/>
      <c r="BA467" s="78"/>
      <c r="BB467" s="78"/>
      <c r="BC467" s="78"/>
      <c r="BD467" s="78"/>
      <c r="BE467" s="78"/>
      <c r="BF467" s="78"/>
      <c r="BG467" s="78"/>
      <c r="BH467" s="78"/>
      <c r="BI467" s="78"/>
      <c r="BJ467" s="78"/>
      <c r="BK467" s="78"/>
      <c r="BL467" s="78"/>
      <c r="BM467" s="78"/>
      <c r="BN467" s="78"/>
      <c r="BO467" s="78"/>
      <c r="BP467" s="78"/>
      <c r="BQ467" s="78"/>
      <c r="BR467" s="78"/>
      <c r="BS467" s="78"/>
      <c r="BT467" s="78"/>
      <c r="BU467" s="78"/>
      <c r="BV467" s="78"/>
      <c r="BW467" s="78"/>
      <c r="BX467" s="78"/>
      <c r="BY467" s="78"/>
      <c r="BZ467" s="78"/>
      <c r="CA467" s="78"/>
      <c r="CB467" s="78"/>
      <c r="CC467" s="78"/>
      <c r="CD467" s="78"/>
      <c r="CE467" s="78"/>
      <c r="CF467" s="78"/>
      <c r="CG467" s="78"/>
      <c r="CH467" s="78"/>
      <c r="CI467" s="78"/>
      <c r="CJ467" s="78"/>
      <c r="CK467" s="78"/>
      <c r="CL467" s="78"/>
      <c r="CM467" s="78"/>
      <c r="CN467" s="78"/>
      <c r="CO467" s="78"/>
      <c r="CP467" s="78"/>
      <c r="CQ467" s="78"/>
      <c r="CR467" s="78"/>
      <c r="CS467" s="78"/>
      <c r="CT467" s="78"/>
      <c r="CU467" s="78"/>
      <c r="CV467" s="78"/>
      <c r="CW467" s="78"/>
      <c r="CX467" s="78"/>
      <c r="CY467" s="78"/>
      <c r="CZ467" s="78"/>
      <c r="DA467" s="78"/>
      <c r="DB467" s="78"/>
      <c r="DC467" s="78"/>
      <c r="DD467" s="78"/>
      <c r="DE467" s="78"/>
      <c r="DF467" s="78"/>
      <c r="DG467" s="78"/>
      <c r="DH467" s="78"/>
      <c r="DI467" s="78"/>
      <c r="DJ467" s="78"/>
      <c r="DK467" s="78"/>
      <c r="DL467" s="78"/>
      <c r="DM467" s="78"/>
      <c r="DN467" s="78"/>
      <c r="DO467" s="78"/>
      <c r="DP467" s="78"/>
      <c r="DQ467" s="78"/>
      <c r="DR467" s="78"/>
      <c r="DS467" s="78"/>
      <c r="DT467" s="78"/>
      <c r="DU467" s="78"/>
      <c r="DV467" s="78"/>
      <c r="DW467" s="78"/>
      <c r="DX467" s="78"/>
      <c r="DY467" s="78"/>
      <c r="DZ467" s="78"/>
      <c r="EA467" s="78"/>
      <c r="EB467" s="78"/>
      <c r="EC467" s="78"/>
      <c r="ED467" s="78"/>
      <c r="EE467" s="78"/>
      <c r="EF467" s="78"/>
      <c r="EG467" s="78"/>
      <c r="EH467" s="78"/>
      <c r="EI467" s="78"/>
      <c r="EJ467" s="78"/>
      <c r="EK467" s="78"/>
      <c r="EL467" s="78"/>
      <c r="EM467" s="78"/>
      <c r="EN467" s="91"/>
      <c r="EO467" s="91"/>
      <c r="EP467" s="91"/>
      <c r="EQ467" s="91"/>
      <c r="ER467" s="91"/>
      <c r="ES467" s="91"/>
    </row>
    <row r="468" spans="1:149" outlineLevel="1">
      <c r="A468" s="29" t="str">
        <f t="shared" si="329"/>
        <v>modesg_out_bens_imoveisscp3_emss</v>
      </c>
      <c r="B468" s="67" t="s">
        <v>26</v>
      </c>
      <c r="C468" s="68" t="s">
        <v>310</v>
      </c>
      <c r="D468" s="64" t="s">
        <v>40</v>
      </c>
      <c r="E468" s="66" t="s">
        <v>311</v>
      </c>
      <c r="F468" s="64" t="s">
        <v>287</v>
      </c>
      <c r="G468" s="64" t="str">
        <f>INDEX(Auxiliar!$B$16:$B$24,MATCH(Plano_V3!H468,Auxiliar!$C$16:$C$24,0),1)</f>
        <v>1. Concluído</v>
      </c>
      <c r="H468" s="64">
        <f>VLOOKUP(A468,'Aux - pivots1'!$A:$B,2,0)</f>
        <v>1</v>
      </c>
      <c r="I468" s="180">
        <f>SUMIFS(Table1[Estimação (horas)],Table1[Tabela],Plano_V3!E468,Table1[Campo],Plano_V3!F468)</f>
        <v>4.0999999999999996</v>
      </c>
      <c r="J468" s="180">
        <f t="shared" si="330"/>
        <v>0.51249999999999996</v>
      </c>
      <c r="K468" s="180">
        <f>SUMIFS(Table1[Horas efetivas],Table1[Tabela],Plano_V3!E468,Table1[Campo],Plano_V3!F468)</f>
        <v>4.0999999999999996</v>
      </c>
      <c r="L468" s="180">
        <f t="shared" si="331"/>
        <v>0.51249999999999996</v>
      </c>
      <c r="M468" s="174"/>
      <c r="N468" s="174">
        <f t="shared" si="332"/>
        <v>1</v>
      </c>
      <c r="O468" s="174">
        <f t="shared" si="316"/>
        <v>1</v>
      </c>
      <c r="P468" s="87" t="s">
        <v>312</v>
      </c>
      <c r="Q468" s="90">
        <f t="shared" si="324"/>
        <v>0.51249999999999996</v>
      </c>
      <c r="R468" s="78"/>
      <c r="S468" s="78"/>
      <c r="T468" s="78"/>
      <c r="U468" s="78"/>
      <c r="V468" s="78"/>
      <c r="W468" s="78"/>
      <c r="X468" s="78"/>
      <c r="Y468" s="78"/>
      <c r="Z468" s="78"/>
      <c r="AA468" s="78"/>
      <c r="AB468" s="78"/>
      <c r="AC468" s="78"/>
      <c r="AD468" s="78"/>
      <c r="AE468" s="78"/>
      <c r="AF468" s="78"/>
      <c r="AG468" s="78"/>
      <c r="AH468" s="78"/>
      <c r="AI468" s="78"/>
      <c r="AJ468" s="78"/>
      <c r="AK468" s="78"/>
      <c r="AL468" s="78"/>
      <c r="AM468" s="78"/>
      <c r="AN468" s="78"/>
      <c r="AO468" s="78"/>
      <c r="AP468" s="78"/>
      <c r="AQ468" s="78"/>
      <c r="AR468" s="78"/>
      <c r="AS468" s="78"/>
      <c r="AT468" s="78"/>
      <c r="AU468" s="78"/>
      <c r="AV468" s="78"/>
      <c r="AW468" s="78"/>
      <c r="AX468" s="78"/>
      <c r="AY468" s="91"/>
      <c r="AZ468" s="78"/>
      <c r="BA468" s="78"/>
      <c r="BB468" s="78"/>
      <c r="BC468" s="78"/>
      <c r="BD468" s="78"/>
      <c r="BE468" s="78"/>
      <c r="BF468" s="78"/>
      <c r="BG468" s="78"/>
      <c r="BH468" s="78"/>
      <c r="BI468" s="78"/>
      <c r="BJ468" s="78"/>
      <c r="BK468" s="78"/>
      <c r="BL468" s="78"/>
      <c r="BM468" s="78"/>
      <c r="BN468" s="78"/>
      <c r="BO468" s="78"/>
      <c r="BP468" s="78"/>
      <c r="BQ468" s="78"/>
      <c r="BR468" s="78"/>
      <c r="BS468" s="78"/>
      <c r="BT468" s="78"/>
      <c r="BU468" s="78"/>
      <c r="BV468" s="78"/>
      <c r="BW468" s="78"/>
      <c r="BX468" s="78"/>
      <c r="BY468" s="78"/>
      <c r="BZ468" s="78"/>
      <c r="CA468" s="78"/>
      <c r="CB468" s="78"/>
      <c r="CC468" s="78"/>
      <c r="CD468" s="78"/>
      <c r="CE468" s="78"/>
      <c r="CF468" s="78"/>
      <c r="CG468" s="78"/>
      <c r="CH468" s="78"/>
      <c r="CI468" s="78"/>
      <c r="CJ468" s="78"/>
      <c r="CK468" s="78"/>
      <c r="CL468" s="78"/>
      <c r="CM468" s="78"/>
      <c r="CN468" s="78"/>
      <c r="CO468" s="78"/>
      <c r="CP468" s="78"/>
      <c r="CQ468" s="78"/>
      <c r="CR468" s="78"/>
      <c r="CS468" s="78"/>
      <c r="CT468" s="78"/>
      <c r="CU468" s="78"/>
      <c r="CV468" s="78"/>
      <c r="CW468" s="78"/>
      <c r="CX468" s="78"/>
      <c r="CY468" s="78"/>
      <c r="CZ468" s="78"/>
      <c r="DA468" s="78"/>
      <c r="DB468" s="78"/>
      <c r="DC468" s="78"/>
      <c r="DD468" s="78"/>
      <c r="DE468" s="78"/>
      <c r="DF468" s="78"/>
      <c r="DG468" s="78"/>
      <c r="DH468" s="78"/>
      <c r="DI468" s="78"/>
      <c r="DJ468" s="78"/>
      <c r="DK468" s="78"/>
      <c r="DL468" s="78"/>
      <c r="DM468" s="78"/>
      <c r="DN468" s="78"/>
      <c r="DO468" s="78"/>
      <c r="DP468" s="78"/>
      <c r="DQ468" s="78"/>
      <c r="DR468" s="78"/>
      <c r="DS468" s="78"/>
      <c r="DT468" s="78"/>
      <c r="DU468" s="78"/>
      <c r="DV468" s="78"/>
      <c r="DW468" s="78"/>
      <c r="DX468" s="78"/>
      <c r="DY468" s="78"/>
      <c r="DZ468" s="78"/>
      <c r="EA468" s="78"/>
      <c r="EB468" s="78"/>
      <c r="EC468" s="78"/>
      <c r="ED468" s="78"/>
      <c r="EE468" s="78"/>
      <c r="EF468" s="78"/>
      <c r="EG468" s="78"/>
      <c r="EH468" s="78"/>
      <c r="EI468" s="78"/>
      <c r="EJ468" s="78"/>
      <c r="EK468" s="78"/>
      <c r="EL468" s="78"/>
      <c r="EM468" s="78"/>
      <c r="EN468" s="91"/>
      <c r="EO468" s="91"/>
      <c r="EP468" s="91"/>
      <c r="EQ468" s="91"/>
      <c r="ER468" s="91"/>
      <c r="ES468" s="91"/>
    </row>
    <row r="469" spans="1:149" outlineLevel="1">
      <c r="A469" s="29" t="str">
        <f t="shared" si="329"/>
        <v>modesg_out_bens_imoveisunidade_funcional_scp1_emss</v>
      </c>
      <c r="B469" s="67" t="s">
        <v>26</v>
      </c>
      <c r="C469" s="68" t="s">
        <v>310</v>
      </c>
      <c r="D469" s="64" t="s">
        <v>40</v>
      </c>
      <c r="E469" s="66" t="s">
        <v>311</v>
      </c>
      <c r="F469" s="64" t="s">
        <v>322</v>
      </c>
      <c r="G469" s="64" t="str">
        <f>INDEX(Auxiliar!$B$16:$B$24,MATCH(Plano_V3!H469,Auxiliar!$C$16:$C$24,0),1)</f>
        <v>1. Concluído</v>
      </c>
      <c r="H469" s="64">
        <f>VLOOKUP(A469,'Aux - pivots1'!$A:$B,2,0)</f>
        <v>1</v>
      </c>
      <c r="I469" s="180">
        <f>SUMIFS(Table1[Estimação (horas)],Table1[Tabela],Plano_V3!E469,Table1[Campo],Plano_V3!F469)</f>
        <v>4.0999999999999996</v>
      </c>
      <c r="J469" s="180">
        <f t="shared" si="330"/>
        <v>0.51249999999999996</v>
      </c>
      <c r="K469" s="180">
        <f>SUMIFS(Table1[Horas efetivas],Table1[Tabela],Plano_V3!E469,Table1[Campo],Plano_V3!F469)</f>
        <v>4.0999999999999996</v>
      </c>
      <c r="L469" s="180">
        <f t="shared" si="331"/>
        <v>0.51249999999999996</v>
      </c>
      <c r="M469" s="174"/>
      <c r="N469" s="174">
        <f t="shared" si="332"/>
        <v>1</v>
      </c>
      <c r="O469" s="174">
        <f t="shared" si="316"/>
        <v>1</v>
      </c>
      <c r="P469" s="87" t="s">
        <v>312</v>
      </c>
      <c r="Q469" s="90">
        <f t="shared" si="324"/>
        <v>0.51249999999999996</v>
      </c>
      <c r="R469" s="78"/>
      <c r="S469" s="78"/>
      <c r="T469" s="78"/>
      <c r="U469" s="78"/>
      <c r="V469" s="78"/>
      <c r="W469" s="78"/>
      <c r="X469" s="78"/>
      <c r="Y469" s="78"/>
      <c r="Z469" s="78"/>
      <c r="AA469" s="78"/>
      <c r="AB469" s="78"/>
      <c r="AC469" s="78"/>
      <c r="AD469" s="78"/>
      <c r="AE469" s="78"/>
      <c r="AF469" s="78"/>
      <c r="AG469" s="78"/>
      <c r="AH469" s="78"/>
      <c r="AI469" s="78"/>
      <c r="AJ469" s="78"/>
      <c r="AK469" s="78"/>
      <c r="AL469" s="78"/>
      <c r="AM469" s="78"/>
      <c r="AN469" s="78"/>
      <c r="AO469" s="78"/>
      <c r="AP469" s="78"/>
      <c r="AQ469" s="78"/>
      <c r="AR469" s="78"/>
      <c r="AS469" s="78"/>
      <c r="AT469" s="78"/>
      <c r="AU469" s="78"/>
      <c r="AV469" s="78"/>
      <c r="AW469" s="78"/>
      <c r="AX469" s="78"/>
      <c r="AY469" s="91"/>
      <c r="AZ469" s="78"/>
      <c r="BA469" s="78"/>
      <c r="BB469" s="78"/>
      <c r="BC469" s="78"/>
      <c r="BD469" s="78"/>
      <c r="BE469" s="78"/>
      <c r="BF469" s="78"/>
      <c r="BG469" s="78"/>
      <c r="BH469" s="78"/>
      <c r="BI469" s="78"/>
      <c r="BJ469" s="78"/>
      <c r="BK469" s="78"/>
      <c r="BL469" s="78"/>
      <c r="BM469" s="78"/>
      <c r="BN469" s="78"/>
      <c r="BO469" s="78"/>
      <c r="BP469" s="78"/>
      <c r="BQ469" s="78"/>
      <c r="BR469" s="78"/>
      <c r="BS469" s="78"/>
      <c r="BT469" s="78"/>
      <c r="BU469" s="78"/>
      <c r="BV469" s="78"/>
      <c r="BW469" s="78"/>
      <c r="BX469" s="78"/>
      <c r="BY469" s="78"/>
      <c r="BZ469" s="78"/>
      <c r="CA469" s="78"/>
      <c r="CB469" s="78"/>
      <c r="CC469" s="78"/>
      <c r="CD469" s="78"/>
      <c r="CE469" s="78"/>
      <c r="CF469" s="78"/>
      <c r="CG469" s="78"/>
      <c r="CH469" s="78"/>
      <c r="CI469" s="78"/>
      <c r="CJ469" s="78"/>
      <c r="CK469" s="78"/>
      <c r="CL469" s="78"/>
      <c r="CM469" s="78"/>
      <c r="CN469" s="78"/>
      <c r="CO469" s="78"/>
      <c r="CP469" s="78"/>
      <c r="CQ469" s="78"/>
      <c r="CR469" s="78"/>
      <c r="CS469" s="78"/>
      <c r="CT469" s="78"/>
      <c r="CU469" s="78"/>
      <c r="CV469" s="78"/>
      <c r="CW469" s="78"/>
      <c r="CX469" s="78"/>
      <c r="CY469" s="78"/>
      <c r="CZ469" s="78"/>
      <c r="DA469" s="78"/>
      <c r="DB469" s="78"/>
      <c r="DC469" s="78"/>
      <c r="DD469" s="78"/>
      <c r="DE469" s="78"/>
      <c r="DF469" s="78"/>
      <c r="DG469" s="78"/>
      <c r="DH469" s="78"/>
      <c r="DI469" s="78"/>
      <c r="DJ469" s="78"/>
      <c r="DK469" s="78"/>
      <c r="DL469" s="78"/>
      <c r="DM469" s="78"/>
      <c r="DN469" s="78"/>
      <c r="DO469" s="78"/>
      <c r="DP469" s="78"/>
      <c r="DQ469" s="78"/>
      <c r="DR469" s="78"/>
      <c r="DS469" s="78"/>
      <c r="DT469" s="78"/>
      <c r="DU469" s="78"/>
      <c r="DV469" s="78"/>
      <c r="DW469" s="78"/>
      <c r="DX469" s="78"/>
      <c r="DY469" s="78"/>
      <c r="DZ469" s="78"/>
      <c r="EA469" s="78"/>
      <c r="EB469" s="78"/>
      <c r="EC469" s="78"/>
      <c r="ED469" s="78"/>
      <c r="EE469" s="78"/>
      <c r="EF469" s="78"/>
      <c r="EG469" s="78"/>
      <c r="EH469" s="78"/>
      <c r="EI469" s="78"/>
      <c r="EJ469" s="78"/>
      <c r="EK469" s="78"/>
      <c r="EL469" s="78"/>
      <c r="EM469" s="78"/>
      <c r="EN469" s="91"/>
      <c r="EO469" s="91"/>
      <c r="EP469" s="91"/>
      <c r="EQ469" s="91"/>
      <c r="ER469" s="91"/>
      <c r="ES469" s="91"/>
    </row>
    <row r="470" spans="1:149" outlineLevel="1">
      <c r="A470" s="29" t="str">
        <f t="shared" si="329"/>
        <v>modesg_out_bens_imoveisunidade_funcional_scp2_emss</v>
      </c>
      <c r="B470" s="67" t="s">
        <v>26</v>
      </c>
      <c r="C470" s="68" t="s">
        <v>310</v>
      </c>
      <c r="D470" s="64" t="s">
        <v>40</v>
      </c>
      <c r="E470" s="66" t="s">
        <v>311</v>
      </c>
      <c r="F470" s="64" t="s">
        <v>323</v>
      </c>
      <c r="G470" s="64" t="str">
        <f>INDEX(Auxiliar!$B$16:$B$24,MATCH(Plano_V3!H470,Auxiliar!$C$16:$C$24,0),1)</f>
        <v>1. Concluído</v>
      </c>
      <c r="H470" s="64">
        <f>VLOOKUP(A470,'Aux - pivots1'!$A:$B,2,0)</f>
        <v>1</v>
      </c>
      <c r="I470" s="180">
        <f>SUMIFS(Table1[Estimação (horas)],Table1[Tabela],Plano_V3!E470,Table1[Campo],Plano_V3!F470)</f>
        <v>4.0999999999999996</v>
      </c>
      <c r="J470" s="180">
        <f t="shared" si="330"/>
        <v>0.51249999999999996</v>
      </c>
      <c r="K470" s="180">
        <f>SUMIFS(Table1[Horas efetivas],Table1[Tabela],Plano_V3!E470,Table1[Campo],Plano_V3!F470)</f>
        <v>4.0999999999999996</v>
      </c>
      <c r="L470" s="180">
        <f t="shared" si="331"/>
        <v>0.51249999999999996</v>
      </c>
      <c r="M470" s="174"/>
      <c r="N470" s="174">
        <f t="shared" si="332"/>
        <v>1</v>
      </c>
      <c r="O470" s="174">
        <f t="shared" si="316"/>
        <v>1</v>
      </c>
      <c r="P470" s="87" t="s">
        <v>312</v>
      </c>
      <c r="Q470" s="90">
        <f t="shared" si="324"/>
        <v>0.51249999999999996</v>
      </c>
      <c r="R470" s="78"/>
      <c r="S470" s="78"/>
      <c r="T470" s="78"/>
      <c r="U470" s="78"/>
      <c r="V470" s="78"/>
      <c r="W470" s="78"/>
      <c r="X470" s="78"/>
      <c r="Y470" s="78"/>
      <c r="Z470" s="78"/>
      <c r="AA470" s="78"/>
      <c r="AB470" s="78"/>
      <c r="AC470" s="78"/>
      <c r="AD470" s="78"/>
      <c r="AE470" s="78"/>
      <c r="AF470" s="78"/>
      <c r="AG470" s="78"/>
      <c r="AH470" s="78"/>
      <c r="AI470" s="78"/>
      <c r="AJ470" s="78"/>
      <c r="AK470" s="78"/>
      <c r="AL470" s="78"/>
      <c r="AM470" s="78"/>
      <c r="AN470" s="78"/>
      <c r="AO470" s="78"/>
      <c r="AP470" s="78"/>
      <c r="AQ470" s="78"/>
      <c r="AR470" s="78"/>
      <c r="AS470" s="78"/>
      <c r="AT470" s="78"/>
      <c r="AU470" s="78"/>
      <c r="AV470" s="78"/>
      <c r="AW470" s="78"/>
      <c r="AX470" s="78"/>
      <c r="AY470" s="91"/>
      <c r="AZ470" s="78"/>
      <c r="BA470" s="78"/>
      <c r="BB470" s="78"/>
      <c r="BC470" s="78"/>
      <c r="BD470" s="78"/>
      <c r="BE470" s="78"/>
      <c r="BF470" s="78"/>
      <c r="BG470" s="78"/>
      <c r="BH470" s="78"/>
      <c r="BI470" s="78"/>
      <c r="BJ470" s="78"/>
      <c r="BK470" s="78"/>
      <c r="BL470" s="78"/>
      <c r="BM470" s="78"/>
      <c r="BN470" s="78"/>
      <c r="BO470" s="78"/>
      <c r="BP470" s="78"/>
      <c r="BQ470" s="78"/>
      <c r="BR470" s="78"/>
      <c r="BS470" s="78"/>
      <c r="BT470" s="78"/>
      <c r="BU470" s="78"/>
      <c r="BV470" s="78"/>
      <c r="BW470" s="78"/>
      <c r="BX470" s="78"/>
      <c r="BY470" s="78"/>
      <c r="BZ470" s="78"/>
      <c r="CA470" s="78"/>
      <c r="CB470" s="78"/>
      <c r="CC470" s="78"/>
      <c r="CD470" s="78"/>
      <c r="CE470" s="78"/>
      <c r="CF470" s="78"/>
      <c r="CG470" s="78"/>
      <c r="CH470" s="78"/>
      <c r="CI470" s="78"/>
      <c r="CJ470" s="78"/>
      <c r="CK470" s="78"/>
      <c r="CL470" s="78"/>
      <c r="CM470" s="78"/>
      <c r="CN470" s="78"/>
      <c r="CO470" s="78"/>
      <c r="CP470" s="78"/>
      <c r="CQ470" s="78"/>
      <c r="CR470" s="78"/>
      <c r="CS470" s="78"/>
      <c r="CT470" s="78"/>
      <c r="CU470" s="78"/>
      <c r="CV470" s="78"/>
      <c r="CW470" s="78"/>
      <c r="CX470" s="78"/>
      <c r="CY470" s="78"/>
      <c r="CZ470" s="78"/>
      <c r="DA470" s="78"/>
      <c r="DB470" s="78"/>
      <c r="DC470" s="78"/>
      <c r="DD470" s="78"/>
      <c r="DE470" s="78"/>
      <c r="DF470" s="78"/>
      <c r="DG470" s="78"/>
      <c r="DH470" s="78"/>
      <c r="DI470" s="78"/>
      <c r="DJ470" s="78"/>
      <c r="DK470" s="78"/>
      <c r="DL470" s="78"/>
      <c r="DM470" s="78"/>
      <c r="DN470" s="78"/>
      <c r="DO470" s="78"/>
      <c r="DP470" s="78"/>
      <c r="DQ470" s="78"/>
      <c r="DR470" s="78"/>
      <c r="DS470" s="78"/>
      <c r="DT470" s="78"/>
      <c r="DU470" s="78"/>
      <c r="DV470" s="78"/>
      <c r="DW470" s="78"/>
      <c r="DX470" s="78"/>
      <c r="DY470" s="78"/>
      <c r="DZ470" s="78"/>
      <c r="EA470" s="78"/>
      <c r="EB470" s="78"/>
      <c r="EC470" s="78"/>
      <c r="ED470" s="78"/>
      <c r="EE470" s="78"/>
      <c r="EF470" s="78"/>
      <c r="EG470" s="78"/>
      <c r="EH470" s="78"/>
      <c r="EI470" s="78"/>
      <c r="EJ470" s="78"/>
      <c r="EK470" s="78"/>
      <c r="EL470" s="78"/>
      <c r="EM470" s="78"/>
      <c r="EN470" s="91"/>
      <c r="EO470" s="91"/>
      <c r="EP470" s="91"/>
      <c r="EQ470" s="91"/>
      <c r="ER470" s="91"/>
      <c r="ES470" s="91"/>
    </row>
    <row r="471" spans="1:149" outlineLevel="1">
      <c r="A471" s="29" t="str">
        <f t="shared" si="329"/>
        <v>modesg_out_bens_imoveisunidade_funcional_scp3_emss</v>
      </c>
      <c r="B471" s="67" t="s">
        <v>26</v>
      </c>
      <c r="C471" s="68" t="s">
        <v>310</v>
      </c>
      <c r="D471" s="64" t="s">
        <v>40</v>
      </c>
      <c r="E471" s="66" t="s">
        <v>311</v>
      </c>
      <c r="F471" s="64" t="s">
        <v>324</v>
      </c>
      <c r="G471" s="64" t="str">
        <f>INDEX(Auxiliar!$B$16:$B$24,MATCH(Plano_V3!H471,Auxiliar!$C$16:$C$24,0),1)</f>
        <v>1. Concluído</v>
      </c>
      <c r="H471" s="64">
        <f>VLOOKUP(A471,'Aux - pivots1'!$A:$B,2,0)</f>
        <v>1</v>
      </c>
      <c r="I471" s="180">
        <f>SUMIFS(Table1[Estimação (horas)],Table1[Tabela],Plano_V3!E471,Table1[Campo],Plano_V3!F471)</f>
        <v>4.0999999999999996</v>
      </c>
      <c r="J471" s="180">
        <f t="shared" si="330"/>
        <v>0.51249999999999996</v>
      </c>
      <c r="K471" s="180">
        <f>SUMIFS(Table1[Horas efetivas],Table1[Tabela],Plano_V3!E471,Table1[Campo],Plano_V3!F471)</f>
        <v>4.0999999999999996</v>
      </c>
      <c r="L471" s="180">
        <f t="shared" si="331"/>
        <v>0.51249999999999996</v>
      </c>
      <c r="M471" s="174"/>
      <c r="N471" s="174">
        <f t="shared" si="332"/>
        <v>1</v>
      </c>
      <c r="O471" s="174">
        <f t="shared" si="316"/>
        <v>1</v>
      </c>
      <c r="P471" s="87" t="s">
        <v>312</v>
      </c>
      <c r="Q471" s="90">
        <f t="shared" si="324"/>
        <v>0.51249999999999996</v>
      </c>
      <c r="R471" s="78"/>
      <c r="S471" s="78"/>
      <c r="T471" s="78"/>
      <c r="U471" s="78"/>
      <c r="V471" s="78"/>
      <c r="W471" s="78"/>
      <c r="X471" s="78"/>
      <c r="Y471" s="78"/>
      <c r="Z471" s="78"/>
      <c r="AA471" s="78"/>
      <c r="AB471" s="78"/>
      <c r="AC471" s="78"/>
      <c r="AD471" s="78"/>
      <c r="AE471" s="78"/>
      <c r="AF471" s="78"/>
      <c r="AG471" s="78"/>
      <c r="AH471" s="78"/>
      <c r="AI471" s="78"/>
      <c r="AJ471" s="78"/>
      <c r="AK471" s="78"/>
      <c r="AL471" s="78"/>
      <c r="AM471" s="78"/>
      <c r="AN471" s="78"/>
      <c r="AO471" s="78"/>
      <c r="AP471" s="78"/>
      <c r="AQ471" s="78"/>
      <c r="AR471" s="78"/>
      <c r="AS471" s="78"/>
      <c r="AT471" s="78"/>
      <c r="AU471" s="78"/>
      <c r="AV471" s="78"/>
      <c r="AW471" s="78"/>
      <c r="AX471" s="78"/>
      <c r="AY471" s="91"/>
      <c r="AZ471" s="78"/>
      <c r="BA471" s="78"/>
      <c r="BB471" s="78"/>
      <c r="BC471" s="78"/>
      <c r="BD471" s="78"/>
      <c r="BE471" s="78"/>
      <c r="BF471" s="78"/>
      <c r="BG471" s="78"/>
      <c r="BH471" s="78"/>
      <c r="BI471" s="78"/>
      <c r="BJ471" s="78"/>
      <c r="BK471" s="78"/>
      <c r="BL471" s="78"/>
      <c r="BM471" s="78"/>
      <c r="BN471" s="78"/>
      <c r="BO471" s="78"/>
      <c r="BP471" s="78"/>
      <c r="BQ471" s="78"/>
      <c r="BR471" s="78"/>
      <c r="BS471" s="78"/>
      <c r="BT471" s="78"/>
      <c r="BU471" s="78"/>
      <c r="BV471" s="78"/>
      <c r="BW471" s="78"/>
      <c r="BX471" s="78"/>
      <c r="BY471" s="78"/>
      <c r="BZ471" s="78"/>
      <c r="CA471" s="78"/>
      <c r="CB471" s="78"/>
      <c r="CC471" s="78"/>
      <c r="CD471" s="78"/>
      <c r="CE471" s="78"/>
      <c r="CF471" s="78"/>
      <c r="CG471" s="78"/>
      <c r="CH471" s="78"/>
      <c r="CI471" s="78"/>
      <c r="CJ471" s="78"/>
      <c r="CK471" s="78"/>
      <c r="CL471" s="78"/>
      <c r="CM471" s="78"/>
      <c r="CN471" s="78"/>
      <c r="CO471" s="78"/>
      <c r="CP471" s="78"/>
      <c r="CQ471" s="78"/>
      <c r="CR471" s="78"/>
      <c r="CS471" s="78"/>
      <c r="CT471" s="78"/>
      <c r="CU471" s="78"/>
      <c r="CV471" s="78"/>
      <c r="CW471" s="78"/>
      <c r="CX471" s="78"/>
      <c r="CY471" s="78"/>
      <c r="CZ471" s="78"/>
      <c r="DA471" s="78"/>
      <c r="DB471" s="78"/>
      <c r="DC471" s="78"/>
      <c r="DD471" s="78"/>
      <c r="DE471" s="78"/>
      <c r="DF471" s="78"/>
      <c r="DG471" s="78"/>
      <c r="DH471" s="78"/>
      <c r="DI471" s="78"/>
      <c r="DJ471" s="78"/>
      <c r="DK471" s="78"/>
      <c r="DL471" s="78"/>
      <c r="DM471" s="78"/>
      <c r="DN471" s="78"/>
      <c r="DO471" s="78"/>
      <c r="DP471" s="78"/>
      <c r="DQ471" s="78"/>
      <c r="DR471" s="78"/>
      <c r="DS471" s="78"/>
      <c r="DT471" s="78"/>
      <c r="DU471" s="78"/>
      <c r="DV471" s="78"/>
      <c r="DW471" s="78"/>
      <c r="DX471" s="78"/>
      <c r="DY471" s="78"/>
      <c r="DZ471" s="78"/>
      <c r="EA471" s="78"/>
      <c r="EB471" s="78"/>
      <c r="EC471" s="78"/>
      <c r="ED471" s="78"/>
      <c r="EE471" s="78"/>
      <c r="EF471" s="78"/>
      <c r="EG471" s="78"/>
      <c r="EH471" s="78"/>
      <c r="EI471" s="78"/>
      <c r="EJ471" s="78"/>
      <c r="EK471" s="78"/>
      <c r="EL471" s="78"/>
      <c r="EM471" s="78"/>
      <c r="EN471" s="91"/>
      <c r="EO471" s="91"/>
      <c r="EP471" s="91"/>
      <c r="EQ471" s="91"/>
      <c r="ER471" s="91"/>
      <c r="ES471" s="91"/>
    </row>
    <row r="472" spans="1:149" outlineLevel="1">
      <c r="A472" s="29" t="str">
        <f t="shared" si="329"/>
        <v>modesg_out_empr_info_nfinn.a.</v>
      </c>
      <c r="B472" s="67" t="s">
        <v>26</v>
      </c>
      <c r="C472" s="68" t="s">
        <v>310</v>
      </c>
      <c r="D472" s="64" t="s">
        <v>36</v>
      </c>
      <c r="E472" s="66" t="s">
        <v>325</v>
      </c>
      <c r="F472" s="64" t="s">
        <v>38</v>
      </c>
      <c r="G472" s="64" t="str">
        <f>INDEX(Auxiliar!$B$16:$B$24,MATCH(Plano_V3!H472,Auxiliar!$C$16:$C$24,0),1)</f>
        <v>1. Concluído</v>
      </c>
      <c r="H472" s="64">
        <f>VLOOKUP(A472,'Aux - pivots1'!$A:$B,2,0)</f>
        <v>1</v>
      </c>
      <c r="I472" s="180">
        <f>SUMIFS(Table1[Estimação (horas)],Table1[Tabela],Plano_V3!E472,Table1[Campo],Plano_V3!F472)</f>
        <v>8</v>
      </c>
      <c r="J472" s="180">
        <f t="shared" si="330"/>
        <v>1</v>
      </c>
      <c r="K472" s="180">
        <f>SUMIFS(Table1[Horas efetivas],Table1[Tabela],Plano_V3!E472,Table1[Campo],Plano_V3!F472)</f>
        <v>8</v>
      </c>
      <c r="L472" s="180">
        <f t="shared" si="331"/>
        <v>1</v>
      </c>
      <c r="M472" s="174"/>
      <c r="N472" s="174">
        <f t="shared" si="332"/>
        <v>1</v>
      </c>
      <c r="O472" s="174">
        <f t="shared" si="316"/>
        <v>1</v>
      </c>
      <c r="P472" s="87" t="s">
        <v>326</v>
      </c>
      <c r="Q472" s="90">
        <f t="shared" si="324"/>
        <v>1</v>
      </c>
      <c r="R472" s="78"/>
      <c r="S472" s="78"/>
      <c r="T472" s="78"/>
      <c r="U472" s="78"/>
      <c r="V472" s="78"/>
      <c r="W472" s="78"/>
      <c r="X472" s="78"/>
      <c r="Y472" s="78"/>
      <c r="Z472" s="78"/>
      <c r="AA472" s="78"/>
      <c r="AB472" s="78"/>
      <c r="AC472" s="78"/>
      <c r="AD472" s="78"/>
      <c r="AE472" s="78"/>
      <c r="AF472" s="78"/>
      <c r="AG472" s="78"/>
      <c r="AH472" s="78"/>
      <c r="AI472" s="78"/>
      <c r="AJ472" s="78"/>
      <c r="AK472" s="78"/>
      <c r="AL472" s="78"/>
      <c r="AM472" s="78"/>
      <c r="AN472" s="78"/>
      <c r="AO472" s="78"/>
      <c r="AP472" s="78"/>
      <c r="AQ472" s="78"/>
      <c r="AR472" s="78"/>
      <c r="AS472" s="78"/>
      <c r="AT472" s="78"/>
      <c r="AU472" s="78"/>
      <c r="AV472" s="78"/>
      <c r="AW472" s="78"/>
      <c r="AX472" s="78"/>
      <c r="AY472" s="91"/>
      <c r="AZ472" s="78"/>
      <c r="BA472" s="78"/>
      <c r="BB472" s="78"/>
      <c r="BC472" s="78"/>
      <c r="BD472" s="78"/>
      <c r="BE472" s="78"/>
      <c r="BF472" s="78"/>
      <c r="BG472" s="78"/>
      <c r="BH472" s="78"/>
      <c r="BI472" s="78"/>
      <c r="BJ472" s="78"/>
      <c r="BK472" s="78"/>
      <c r="BL472" s="78"/>
      <c r="BM472" s="78"/>
      <c r="BN472" s="78"/>
      <c r="BO472" s="78"/>
      <c r="BP472" s="78"/>
      <c r="BQ472" s="78"/>
      <c r="BR472" s="78"/>
      <c r="BS472" s="78"/>
      <c r="BT472" s="78"/>
      <c r="BU472" s="78"/>
      <c r="BV472" s="78"/>
      <c r="BW472" s="78"/>
      <c r="BX472" s="78"/>
      <c r="BY472" s="78"/>
      <c r="BZ472" s="78"/>
      <c r="CA472" s="78"/>
      <c r="CB472" s="78"/>
      <c r="CC472" s="78"/>
      <c r="CD472" s="78"/>
      <c r="CE472" s="78"/>
      <c r="CF472" s="78"/>
      <c r="CG472" s="78"/>
      <c r="CH472" s="78"/>
      <c r="CI472" s="78"/>
      <c r="CJ472" s="78"/>
      <c r="CK472" s="78"/>
      <c r="CL472" s="78"/>
      <c r="CM472" s="78"/>
      <c r="CN472" s="78"/>
      <c r="CO472" s="78"/>
      <c r="CP472" s="78"/>
      <c r="CQ472" s="78"/>
      <c r="CR472" s="78"/>
      <c r="CS472" s="78"/>
      <c r="CT472" s="78"/>
      <c r="CU472" s="78"/>
      <c r="CV472" s="78"/>
      <c r="CW472" s="78"/>
      <c r="CX472" s="78"/>
      <c r="CY472" s="78"/>
      <c r="CZ472" s="78"/>
      <c r="DA472" s="78"/>
      <c r="DB472" s="78"/>
      <c r="DC472" s="78"/>
      <c r="DD472" s="78"/>
      <c r="DE472" s="78"/>
      <c r="DF472" s="78"/>
      <c r="DG472" s="78"/>
      <c r="DH472" s="78"/>
      <c r="DI472" s="78"/>
      <c r="DJ472" s="78"/>
      <c r="DK472" s="78"/>
      <c r="DL472" s="78"/>
      <c r="DM472" s="78"/>
      <c r="DN472" s="78"/>
      <c r="DO472" s="78"/>
      <c r="DP472" s="78"/>
      <c r="DQ472" s="78"/>
      <c r="DR472" s="78"/>
      <c r="DS472" s="78"/>
      <c r="DT472" s="78"/>
      <c r="DU472" s="78"/>
      <c r="DV472" s="78"/>
      <c r="DW472" s="78"/>
      <c r="DX472" s="78"/>
      <c r="DY472" s="78"/>
      <c r="DZ472" s="78"/>
      <c r="EA472" s="78"/>
      <c r="EB472" s="78"/>
      <c r="EC472" s="78"/>
      <c r="ED472" s="78"/>
      <c r="EE472" s="78"/>
      <c r="EF472" s="78"/>
      <c r="EG472" s="78"/>
      <c r="EH472" s="78"/>
      <c r="EI472" s="78"/>
      <c r="EJ472" s="78"/>
      <c r="EK472" s="78"/>
      <c r="EL472" s="78"/>
      <c r="EM472" s="78"/>
      <c r="EN472" s="91"/>
      <c r="EO472" s="91"/>
      <c r="EP472" s="91"/>
      <c r="EQ472" s="91"/>
      <c r="ER472" s="91"/>
      <c r="ES472" s="91"/>
    </row>
    <row r="473" spans="1:149" outlineLevel="1">
      <c r="A473" s="29" t="str">
        <f t="shared" si="329"/>
        <v>modesg_out_empr_info_nfincca_capex_enblng_algnd</v>
      </c>
      <c r="B473" s="67" t="s">
        <v>26</v>
      </c>
      <c r="C473" s="68" t="s">
        <v>310</v>
      </c>
      <c r="D473" s="64" t="s">
        <v>40</v>
      </c>
      <c r="E473" s="66" t="s">
        <v>325</v>
      </c>
      <c r="F473" s="64" t="s">
        <v>249</v>
      </c>
      <c r="G473" s="64" t="str">
        <f>INDEX(Auxiliar!$B$16:$B$24,MATCH(Plano_V3!H473,Auxiliar!$C$16:$C$24,0),1)</f>
        <v>1. Concluído</v>
      </c>
      <c r="H473" s="64">
        <f>VLOOKUP(A473,'Aux - pivots1'!$A:$B,2,0)</f>
        <v>1</v>
      </c>
      <c r="I473" s="180">
        <f>SUMIFS(Table1[Estimação (horas)],Table1[Tabela],Plano_V3!E473,Table1[Campo],Plano_V3!F473)</f>
        <v>16.100000000000001</v>
      </c>
      <c r="J473" s="180">
        <f t="shared" si="330"/>
        <v>2.0125000000000002</v>
      </c>
      <c r="K473" s="180">
        <f>SUMIFS(Table1[Horas efetivas],Table1[Tabela],Plano_V3!E473,Table1[Campo],Plano_V3!F473)</f>
        <v>16.100000000000001</v>
      </c>
      <c r="L473" s="180">
        <f t="shared" si="331"/>
        <v>2.0125000000000002</v>
      </c>
      <c r="M473" s="174"/>
      <c r="N473" s="174">
        <f t="shared" si="332"/>
        <v>1</v>
      </c>
      <c r="O473" s="174">
        <f t="shared" si="316"/>
        <v>1</v>
      </c>
      <c r="P473" s="87" t="s">
        <v>326</v>
      </c>
      <c r="Q473" s="90">
        <f t="shared" si="324"/>
        <v>2.0125000000000002</v>
      </c>
      <c r="R473" s="78"/>
      <c r="S473" s="78"/>
      <c r="T473" s="78"/>
      <c r="U473" s="78"/>
      <c r="V473" s="78"/>
      <c r="W473" s="78"/>
      <c r="X473" s="78"/>
      <c r="Y473" s="78"/>
      <c r="Z473" s="78"/>
      <c r="AA473" s="78"/>
      <c r="AB473" s="78"/>
      <c r="AC473" s="78"/>
      <c r="AD473" s="78"/>
      <c r="AE473" s="78"/>
      <c r="AF473" s="78"/>
      <c r="AG473" s="78"/>
      <c r="AH473" s="78"/>
      <c r="AI473" s="78"/>
      <c r="AJ473" s="78"/>
      <c r="AK473" s="78"/>
      <c r="AL473" s="78"/>
      <c r="AM473" s="78"/>
      <c r="AN473" s="78"/>
      <c r="AO473" s="78"/>
      <c r="AP473" s="78"/>
      <c r="AQ473" s="78"/>
      <c r="AR473" s="78"/>
      <c r="AS473" s="78"/>
      <c r="AT473" s="78"/>
      <c r="AU473" s="78"/>
      <c r="AV473" s="78"/>
      <c r="AW473" s="78"/>
      <c r="AX473" s="78"/>
      <c r="AY473" s="91"/>
      <c r="AZ473" s="78"/>
      <c r="BA473" s="78"/>
      <c r="BB473" s="78"/>
      <c r="BC473" s="78"/>
      <c r="BD473" s="78"/>
      <c r="BE473" s="78"/>
      <c r="BF473" s="78"/>
      <c r="BG473" s="78"/>
      <c r="BH473" s="78"/>
      <c r="BI473" s="78"/>
      <c r="BJ473" s="78"/>
      <c r="BK473" s="78"/>
      <c r="BL473" s="78"/>
      <c r="BM473" s="78"/>
      <c r="BN473" s="78"/>
      <c r="BO473" s="78"/>
      <c r="BP473" s="78"/>
      <c r="BQ473" s="78"/>
      <c r="BR473" s="78"/>
      <c r="BS473" s="78"/>
      <c r="BT473" s="78"/>
      <c r="BU473" s="78"/>
      <c r="BV473" s="78"/>
      <c r="BW473" s="78"/>
      <c r="BX473" s="78"/>
      <c r="BY473" s="78"/>
      <c r="BZ473" s="78"/>
      <c r="CA473" s="78"/>
      <c r="CB473" s="78"/>
      <c r="CC473" s="78"/>
      <c r="CD473" s="78"/>
      <c r="CE473" s="78"/>
      <c r="CF473" s="78"/>
      <c r="CG473" s="78"/>
      <c r="CH473" s="78"/>
      <c r="CI473" s="78"/>
      <c r="CJ473" s="78"/>
      <c r="CK473" s="78"/>
      <c r="CL473" s="78"/>
      <c r="CM473" s="78"/>
      <c r="CN473" s="78"/>
      <c r="CO473" s="78"/>
      <c r="CP473" s="78"/>
      <c r="CQ473" s="78"/>
      <c r="CR473" s="78"/>
      <c r="CS473" s="78"/>
      <c r="CT473" s="78"/>
      <c r="CU473" s="78"/>
      <c r="CV473" s="78"/>
      <c r="CW473" s="78"/>
      <c r="CX473" s="78"/>
      <c r="CY473" s="78"/>
      <c r="CZ473" s="78"/>
      <c r="DA473" s="78"/>
      <c r="DB473" s="78"/>
      <c r="DC473" s="78"/>
      <c r="DD473" s="78"/>
      <c r="DE473" s="78"/>
      <c r="DF473" s="78"/>
      <c r="DG473" s="78"/>
      <c r="DH473" s="78"/>
      <c r="DI473" s="78"/>
      <c r="DJ473" s="78"/>
      <c r="DK473" s="78"/>
      <c r="DL473" s="78"/>
      <c r="DM473" s="78"/>
      <c r="DN473" s="78"/>
      <c r="DO473" s="78"/>
      <c r="DP473" s="78"/>
      <c r="DQ473" s="78"/>
      <c r="DR473" s="78"/>
      <c r="DS473" s="78"/>
      <c r="DT473" s="78"/>
      <c r="DU473" s="78"/>
      <c r="DV473" s="78"/>
      <c r="DW473" s="78"/>
      <c r="DX473" s="78"/>
      <c r="DY473" s="78"/>
      <c r="DZ473" s="78"/>
      <c r="EA473" s="78"/>
      <c r="EB473" s="78"/>
      <c r="EC473" s="78"/>
      <c r="ED473" s="78"/>
      <c r="EE473" s="78"/>
      <c r="EF473" s="78"/>
      <c r="EG473" s="78"/>
      <c r="EH473" s="78"/>
      <c r="EI473" s="78"/>
      <c r="EJ473" s="78"/>
      <c r="EK473" s="78"/>
      <c r="EL473" s="78"/>
      <c r="EM473" s="78"/>
      <c r="EN473" s="91"/>
      <c r="EO473" s="91"/>
      <c r="EP473" s="91"/>
      <c r="EQ473" s="91"/>
      <c r="ER473" s="91"/>
      <c r="ES473" s="91"/>
    </row>
    <row r="474" spans="1:149" outlineLevel="1">
      <c r="A474" s="29" t="str">
        <f t="shared" si="329"/>
        <v>modesg_out_empr_info_nfincca_capex_own_prfrmnce_algnd</v>
      </c>
      <c r="B474" s="67" t="s">
        <v>26</v>
      </c>
      <c r="C474" s="68" t="s">
        <v>310</v>
      </c>
      <c r="D474" s="64" t="s">
        <v>40</v>
      </c>
      <c r="E474" s="66" t="s">
        <v>325</v>
      </c>
      <c r="F474" s="64" t="s">
        <v>250</v>
      </c>
      <c r="G474" s="64" t="str">
        <f>INDEX(Auxiliar!$B$16:$B$24,MATCH(Plano_V3!H474,Auxiliar!$C$16:$C$24,0),1)</f>
        <v>1. Concluído</v>
      </c>
      <c r="H474" s="64">
        <f>VLOOKUP(A474,'Aux - pivots1'!$A:$B,2,0)</f>
        <v>1</v>
      </c>
      <c r="I474" s="180">
        <f>SUMIFS(Table1[Estimação (horas)],Table1[Tabela],Plano_V3!E474,Table1[Campo],Plano_V3!F474)</f>
        <v>16.100000000000001</v>
      </c>
      <c r="J474" s="180">
        <f t="shared" si="330"/>
        <v>2.0125000000000002</v>
      </c>
      <c r="K474" s="180">
        <f>SUMIFS(Table1[Horas efetivas],Table1[Tabela],Plano_V3!E474,Table1[Campo],Plano_V3!F474)</f>
        <v>16.100000000000001</v>
      </c>
      <c r="L474" s="180">
        <f t="shared" si="331"/>
        <v>2.0125000000000002</v>
      </c>
      <c r="M474" s="174"/>
      <c r="N474" s="174">
        <f t="shared" si="332"/>
        <v>1</v>
      </c>
      <c r="O474" s="174">
        <f t="shared" si="316"/>
        <v>1</v>
      </c>
      <c r="P474" s="87" t="s">
        <v>326</v>
      </c>
      <c r="Q474" s="90">
        <f t="shared" si="324"/>
        <v>2.0125000000000002</v>
      </c>
      <c r="R474" s="78"/>
      <c r="S474" s="78"/>
      <c r="T474" s="78"/>
      <c r="U474" s="78"/>
      <c r="V474" s="78"/>
      <c r="W474" s="78"/>
      <c r="X474" s="78"/>
      <c r="Y474" s="78"/>
      <c r="Z474" s="78"/>
      <c r="AA474" s="78"/>
      <c r="AB474" s="78"/>
      <c r="AC474" s="78"/>
      <c r="AD474" s="78"/>
      <c r="AE474" s="78"/>
      <c r="AF474" s="78"/>
      <c r="AG474" s="78"/>
      <c r="AH474" s="78"/>
      <c r="AI474" s="78"/>
      <c r="AJ474" s="78"/>
      <c r="AK474" s="78"/>
      <c r="AL474" s="78"/>
      <c r="AM474" s="78"/>
      <c r="AN474" s="78"/>
      <c r="AO474" s="78"/>
      <c r="AP474" s="78"/>
      <c r="AQ474" s="78"/>
      <c r="AR474" s="78"/>
      <c r="AS474" s="78"/>
      <c r="AT474" s="78"/>
      <c r="AU474" s="78"/>
      <c r="AV474" s="78"/>
      <c r="AW474" s="78"/>
      <c r="AX474" s="78"/>
      <c r="AY474" s="91"/>
      <c r="AZ474" s="78"/>
      <c r="BA474" s="78"/>
      <c r="BB474" s="78"/>
      <c r="BC474" s="78"/>
      <c r="BD474" s="78"/>
      <c r="BE474" s="78"/>
      <c r="BF474" s="78"/>
      <c r="BG474" s="78"/>
      <c r="BH474" s="78"/>
      <c r="BI474" s="78"/>
      <c r="BJ474" s="78"/>
      <c r="BK474" s="78"/>
      <c r="BL474" s="78"/>
      <c r="BM474" s="78"/>
      <c r="BN474" s="78"/>
      <c r="BO474" s="78"/>
      <c r="BP474" s="78"/>
      <c r="BQ474" s="78"/>
      <c r="BR474" s="78"/>
      <c r="BS474" s="78"/>
      <c r="BT474" s="78"/>
      <c r="BU474" s="78"/>
      <c r="BV474" s="78"/>
      <c r="BW474" s="78"/>
      <c r="BX474" s="78"/>
      <c r="BY474" s="78"/>
      <c r="BZ474" s="78"/>
      <c r="CA474" s="78"/>
      <c r="CB474" s="78"/>
      <c r="CC474" s="78"/>
      <c r="CD474" s="78"/>
      <c r="CE474" s="78"/>
      <c r="CF474" s="78"/>
      <c r="CG474" s="78"/>
      <c r="CH474" s="78"/>
      <c r="CI474" s="78"/>
      <c r="CJ474" s="78"/>
      <c r="CK474" s="78"/>
      <c r="CL474" s="78"/>
      <c r="CM474" s="78"/>
      <c r="CN474" s="78"/>
      <c r="CO474" s="78"/>
      <c r="CP474" s="78"/>
      <c r="CQ474" s="78"/>
      <c r="CR474" s="78"/>
      <c r="CS474" s="78"/>
      <c r="CT474" s="78"/>
      <c r="CU474" s="78"/>
      <c r="CV474" s="78"/>
      <c r="CW474" s="78"/>
      <c r="CX474" s="78"/>
      <c r="CY474" s="78"/>
      <c r="CZ474" s="78"/>
      <c r="DA474" s="78"/>
      <c r="DB474" s="78"/>
      <c r="DC474" s="78"/>
      <c r="DD474" s="78"/>
      <c r="DE474" s="78"/>
      <c r="DF474" s="78"/>
      <c r="DG474" s="78"/>
      <c r="DH474" s="78"/>
      <c r="DI474" s="78"/>
      <c r="DJ474" s="78"/>
      <c r="DK474" s="78"/>
      <c r="DL474" s="78"/>
      <c r="DM474" s="78"/>
      <c r="DN474" s="78"/>
      <c r="DO474" s="78"/>
      <c r="DP474" s="78"/>
      <c r="DQ474" s="78"/>
      <c r="DR474" s="78"/>
      <c r="DS474" s="78"/>
      <c r="DT474" s="78"/>
      <c r="DU474" s="78"/>
      <c r="DV474" s="78"/>
      <c r="DW474" s="78"/>
      <c r="DX474" s="78"/>
      <c r="DY474" s="78"/>
      <c r="DZ474" s="78"/>
      <c r="EA474" s="78"/>
      <c r="EB474" s="78"/>
      <c r="EC474" s="78"/>
      <c r="ED474" s="78"/>
      <c r="EE474" s="78"/>
      <c r="EF474" s="78"/>
      <c r="EG474" s="78"/>
      <c r="EH474" s="78"/>
      <c r="EI474" s="78"/>
      <c r="EJ474" s="78"/>
      <c r="EK474" s="78"/>
      <c r="EL474" s="78"/>
      <c r="EM474" s="78"/>
      <c r="EN474" s="91"/>
      <c r="EO474" s="91"/>
      <c r="EP474" s="91"/>
      <c r="EQ474" s="91"/>
      <c r="ER474" s="91"/>
      <c r="ES474" s="91"/>
    </row>
    <row r="475" spans="1:149" outlineLevel="1">
      <c r="A475" s="29" t="str">
        <f t="shared" si="329"/>
        <v>modesg_out_empr_info_nfincca_capex_ttl_elgbl</v>
      </c>
      <c r="B475" s="67" t="s">
        <v>26</v>
      </c>
      <c r="C475" s="68" t="s">
        <v>310</v>
      </c>
      <c r="D475" s="64" t="s">
        <v>40</v>
      </c>
      <c r="E475" s="66" t="s">
        <v>325</v>
      </c>
      <c r="F475" s="64" t="s">
        <v>248</v>
      </c>
      <c r="G475" s="64" t="str">
        <f>INDEX(Auxiliar!$B$16:$B$24,MATCH(Plano_V3!H475,Auxiliar!$C$16:$C$24,0),1)</f>
        <v>1. Concluído</v>
      </c>
      <c r="H475" s="64">
        <f>VLOOKUP(A475,'Aux - pivots1'!$A:$B,2,0)</f>
        <v>1</v>
      </c>
      <c r="I475" s="180">
        <f>SUMIFS(Table1[Estimação (horas)],Table1[Tabela],Plano_V3!E475,Table1[Campo],Plano_V3!F475)</f>
        <v>16.100000000000001</v>
      </c>
      <c r="J475" s="180">
        <f t="shared" si="330"/>
        <v>2.0125000000000002</v>
      </c>
      <c r="K475" s="180">
        <f>SUMIFS(Table1[Horas efetivas],Table1[Tabela],Plano_V3!E475,Table1[Campo],Plano_V3!F475)</f>
        <v>16.100000000000001</v>
      </c>
      <c r="L475" s="180">
        <f t="shared" si="331"/>
        <v>2.0125000000000002</v>
      </c>
      <c r="M475" s="174"/>
      <c r="N475" s="174">
        <f t="shared" si="332"/>
        <v>1</v>
      </c>
      <c r="O475" s="174">
        <f t="shared" si="316"/>
        <v>1</v>
      </c>
      <c r="P475" s="87" t="s">
        <v>326</v>
      </c>
      <c r="Q475" s="90">
        <f t="shared" si="324"/>
        <v>2.0125000000000002</v>
      </c>
      <c r="R475" s="78"/>
      <c r="S475" s="78"/>
      <c r="T475" s="78"/>
      <c r="U475" s="78"/>
      <c r="V475" s="78"/>
      <c r="W475" s="78"/>
      <c r="X475" s="78"/>
      <c r="Y475" s="78"/>
      <c r="Z475" s="78"/>
      <c r="AA475" s="78"/>
      <c r="AB475" s="78"/>
      <c r="AC475" s="78"/>
      <c r="AD475" s="78"/>
      <c r="AE475" s="78"/>
      <c r="AF475" s="78"/>
      <c r="AG475" s="78"/>
      <c r="AH475" s="78"/>
      <c r="AI475" s="78"/>
      <c r="AJ475" s="78"/>
      <c r="AK475" s="78"/>
      <c r="AL475" s="78"/>
      <c r="AM475" s="78"/>
      <c r="AN475" s="78"/>
      <c r="AO475" s="78"/>
      <c r="AP475" s="78"/>
      <c r="AQ475" s="78"/>
      <c r="AR475" s="78"/>
      <c r="AS475" s="78"/>
      <c r="AT475" s="78"/>
      <c r="AU475" s="78"/>
      <c r="AV475" s="78"/>
      <c r="AW475" s="78"/>
      <c r="AX475" s="78"/>
      <c r="AY475" s="91"/>
      <c r="AZ475" s="78"/>
      <c r="BA475" s="78"/>
      <c r="BB475" s="78"/>
      <c r="BC475" s="78"/>
      <c r="BD475" s="78"/>
      <c r="BE475" s="78"/>
      <c r="BF475" s="78"/>
      <c r="BG475" s="78"/>
      <c r="BH475" s="78"/>
      <c r="BI475" s="78"/>
      <c r="BJ475" s="78"/>
      <c r="BK475" s="78"/>
      <c r="BL475" s="78"/>
      <c r="BM475" s="78"/>
      <c r="BN475" s="78"/>
      <c r="BO475" s="78"/>
      <c r="BP475" s="78"/>
      <c r="BQ475" s="78"/>
      <c r="BR475" s="78"/>
      <c r="BS475" s="78"/>
      <c r="BT475" s="78"/>
      <c r="BU475" s="78"/>
      <c r="BV475" s="78"/>
      <c r="BW475" s="78"/>
      <c r="BX475" s="78"/>
      <c r="BY475" s="78"/>
      <c r="BZ475" s="78"/>
      <c r="CA475" s="78"/>
      <c r="CB475" s="78"/>
      <c r="CC475" s="78"/>
      <c r="CD475" s="78"/>
      <c r="CE475" s="78"/>
      <c r="CF475" s="78"/>
      <c r="CG475" s="78"/>
      <c r="CH475" s="78"/>
      <c r="CI475" s="78"/>
      <c r="CJ475" s="78"/>
      <c r="CK475" s="78"/>
      <c r="CL475" s="78"/>
      <c r="CM475" s="78"/>
      <c r="CN475" s="78"/>
      <c r="CO475" s="78"/>
      <c r="CP475" s="78"/>
      <c r="CQ475" s="78"/>
      <c r="CR475" s="78"/>
      <c r="CS475" s="78"/>
      <c r="CT475" s="78"/>
      <c r="CU475" s="78"/>
      <c r="CV475" s="78"/>
      <c r="CW475" s="78"/>
      <c r="CX475" s="78"/>
      <c r="CY475" s="78"/>
      <c r="CZ475" s="78"/>
      <c r="DA475" s="78"/>
      <c r="DB475" s="78"/>
      <c r="DC475" s="78"/>
      <c r="DD475" s="78"/>
      <c r="DE475" s="78"/>
      <c r="DF475" s="78"/>
      <c r="DG475" s="78"/>
      <c r="DH475" s="78"/>
      <c r="DI475" s="78"/>
      <c r="DJ475" s="78"/>
      <c r="DK475" s="78"/>
      <c r="DL475" s="78"/>
      <c r="DM475" s="78"/>
      <c r="DN475" s="78"/>
      <c r="DO475" s="78"/>
      <c r="DP475" s="78"/>
      <c r="DQ475" s="78"/>
      <c r="DR475" s="78"/>
      <c r="DS475" s="78"/>
      <c r="DT475" s="78"/>
      <c r="DU475" s="78"/>
      <c r="DV475" s="78"/>
      <c r="DW475" s="78"/>
      <c r="DX475" s="78"/>
      <c r="DY475" s="78"/>
      <c r="DZ475" s="78"/>
      <c r="EA475" s="78"/>
      <c r="EB475" s="78"/>
      <c r="EC475" s="78"/>
      <c r="ED475" s="78"/>
      <c r="EE475" s="78"/>
      <c r="EF475" s="78"/>
      <c r="EG475" s="78"/>
      <c r="EH475" s="78"/>
      <c r="EI475" s="78"/>
      <c r="EJ475" s="78"/>
      <c r="EK475" s="78"/>
      <c r="EL475" s="78"/>
      <c r="EM475" s="78"/>
      <c r="EN475" s="91"/>
      <c r="EO475" s="91"/>
      <c r="EP475" s="91"/>
      <c r="EQ475" s="91"/>
      <c r="ER475" s="91"/>
      <c r="ES475" s="91"/>
    </row>
    <row r="476" spans="1:149" outlineLevel="1">
      <c r="A476" s="29" t="str">
        <f t="shared" si="329"/>
        <v>modesg_out_empr_info_nfincca_trnvr_enblng_alignd</v>
      </c>
      <c r="B476" s="67" t="s">
        <v>26</v>
      </c>
      <c r="C476" s="68" t="s">
        <v>310</v>
      </c>
      <c r="D476" s="64" t="s">
        <v>40</v>
      </c>
      <c r="E476" s="66" t="s">
        <v>325</v>
      </c>
      <c r="F476" s="64" t="s">
        <v>246</v>
      </c>
      <c r="G476" s="64" t="str">
        <f>INDEX(Auxiliar!$B$16:$B$24,MATCH(Plano_V3!H476,Auxiliar!$C$16:$C$24,0),1)</f>
        <v>1. Concluído</v>
      </c>
      <c r="H476" s="64">
        <f>VLOOKUP(A476,'Aux - pivots1'!$A:$B,2,0)</f>
        <v>1</v>
      </c>
      <c r="I476" s="180">
        <f>SUMIFS(Table1[Estimação (horas)],Table1[Tabela],Plano_V3!E476,Table1[Campo],Plano_V3!F476)</f>
        <v>16.100000000000001</v>
      </c>
      <c r="J476" s="180">
        <f t="shared" si="330"/>
        <v>2.0125000000000002</v>
      </c>
      <c r="K476" s="180">
        <f>SUMIFS(Table1[Horas efetivas],Table1[Tabela],Plano_V3!E476,Table1[Campo],Plano_V3!F476)</f>
        <v>16.100000000000001</v>
      </c>
      <c r="L476" s="180">
        <f t="shared" si="331"/>
        <v>2.0125000000000002</v>
      </c>
      <c r="M476" s="174"/>
      <c r="N476" s="174">
        <f t="shared" si="332"/>
        <v>1</v>
      </c>
      <c r="O476" s="174">
        <f t="shared" si="316"/>
        <v>1</v>
      </c>
      <c r="P476" s="87" t="s">
        <v>326</v>
      </c>
      <c r="Q476" s="90">
        <f t="shared" si="324"/>
        <v>2.0125000000000002</v>
      </c>
      <c r="R476" s="78"/>
      <c r="S476" s="78"/>
      <c r="T476" s="78"/>
      <c r="U476" s="78"/>
      <c r="V476" s="78"/>
      <c r="W476" s="78"/>
      <c r="X476" s="78"/>
      <c r="Y476" s="78"/>
      <c r="Z476" s="78"/>
      <c r="AA476" s="78"/>
      <c r="AB476" s="78"/>
      <c r="AC476" s="78"/>
      <c r="AD476" s="78"/>
      <c r="AE476" s="78"/>
      <c r="AF476" s="78"/>
      <c r="AG476" s="78"/>
      <c r="AH476" s="78"/>
      <c r="AI476" s="78"/>
      <c r="AJ476" s="78"/>
      <c r="AK476" s="78"/>
      <c r="AL476" s="78"/>
      <c r="AM476" s="78"/>
      <c r="AN476" s="78"/>
      <c r="AO476" s="78"/>
      <c r="AP476" s="78"/>
      <c r="AQ476" s="78"/>
      <c r="AR476" s="78"/>
      <c r="AS476" s="78"/>
      <c r="AT476" s="78"/>
      <c r="AU476" s="78"/>
      <c r="AV476" s="78"/>
      <c r="AW476" s="78"/>
      <c r="AX476" s="78"/>
      <c r="AY476" s="91"/>
      <c r="AZ476" s="78"/>
      <c r="BA476" s="78"/>
      <c r="BB476" s="78"/>
      <c r="BC476" s="78"/>
      <c r="BD476" s="78"/>
      <c r="BE476" s="78"/>
      <c r="BF476" s="78"/>
      <c r="BG476" s="78"/>
      <c r="BH476" s="78"/>
      <c r="BI476" s="78"/>
      <c r="BJ476" s="78"/>
      <c r="BK476" s="78"/>
      <c r="BL476" s="78"/>
      <c r="BM476" s="78"/>
      <c r="BN476" s="78"/>
      <c r="BO476" s="78"/>
      <c r="BP476" s="78"/>
      <c r="BQ476" s="78"/>
      <c r="BR476" s="78"/>
      <c r="BS476" s="78"/>
      <c r="BT476" s="78"/>
      <c r="BU476" s="78"/>
      <c r="BV476" s="78"/>
      <c r="BW476" s="78"/>
      <c r="BX476" s="78"/>
      <c r="BY476" s="78"/>
      <c r="BZ476" s="78"/>
      <c r="CA476" s="78"/>
      <c r="CB476" s="78"/>
      <c r="CC476" s="78"/>
      <c r="CD476" s="78"/>
      <c r="CE476" s="78"/>
      <c r="CF476" s="78"/>
      <c r="CG476" s="78"/>
      <c r="CH476" s="78"/>
      <c r="CI476" s="78"/>
      <c r="CJ476" s="78"/>
      <c r="CK476" s="78"/>
      <c r="CL476" s="78"/>
      <c r="CM476" s="78"/>
      <c r="CN476" s="78"/>
      <c r="CO476" s="78"/>
      <c r="CP476" s="78"/>
      <c r="CQ476" s="78"/>
      <c r="CR476" s="78"/>
      <c r="CS476" s="78"/>
      <c r="CT476" s="78"/>
      <c r="CU476" s="78"/>
      <c r="CV476" s="78"/>
      <c r="CW476" s="78"/>
      <c r="CX476" s="78"/>
      <c r="CY476" s="78"/>
      <c r="CZ476" s="78"/>
      <c r="DA476" s="78"/>
      <c r="DB476" s="78"/>
      <c r="DC476" s="78"/>
      <c r="DD476" s="78"/>
      <c r="DE476" s="78"/>
      <c r="DF476" s="78"/>
      <c r="DG476" s="78"/>
      <c r="DH476" s="78"/>
      <c r="DI476" s="78"/>
      <c r="DJ476" s="78"/>
      <c r="DK476" s="78"/>
      <c r="DL476" s="78"/>
      <c r="DM476" s="78"/>
      <c r="DN476" s="78"/>
      <c r="DO476" s="78"/>
      <c r="DP476" s="78"/>
      <c r="DQ476" s="78"/>
      <c r="DR476" s="78"/>
      <c r="DS476" s="78"/>
      <c r="DT476" s="78"/>
      <c r="DU476" s="78"/>
      <c r="DV476" s="78"/>
      <c r="DW476" s="78"/>
      <c r="DX476" s="78"/>
      <c r="DY476" s="78"/>
      <c r="DZ476" s="78"/>
      <c r="EA476" s="78"/>
      <c r="EB476" s="78"/>
      <c r="EC476" s="78"/>
      <c r="ED476" s="78"/>
      <c r="EE476" s="78"/>
      <c r="EF476" s="78"/>
      <c r="EG476" s="78"/>
      <c r="EH476" s="78"/>
      <c r="EI476" s="78"/>
      <c r="EJ476" s="78"/>
      <c r="EK476" s="78"/>
      <c r="EL476" s="78"/>
      <c r="EM476" s="78"/>
      <c r="EN476" s="91"/>
      <c r="EO476" s="91"/>
      <c r="EP476" s="91"/>
      <c r="EQ476" s="91"/>
      <c r="ER476" s="91"/>
      <c r="ES476" s="91"/>
    </row>
    <row r="477" spans="1:149" outlineLevel="1">
      <c r="A477" s="29" t="str">
        <f t="shared" si="329"/>
        <v>modesg_out_empr_info_nfincca_trnvr_ttl_elgbl</v>
      </c>
      <c r="B477" s="67" t="s">
        <v>26</v>
      </c>
      <c r="C477" s="68" t="s">
        <v>310</v>
      </c>
      <c r="D477" s="64" t="s">
        <v>40</v>
      </c>
      <c r="E477" s="66" t="s">
        <v>325</v>
      </c>
      <c r="F477" s="64" t="s">
        <v>245</v>
      </c>
      <c r="G477" s="64" t="str">
        <f>INDEX(Auxiliar!$B$16:$B$24,MATCH(Plano_V3!H477,Auxiliar!$C$16:$C$24,0),1)</f>
        <v>1. Concluído</v>
      </c>
      <c r="H477" s="64">
        <f>VLOOKUP(A477,'Aux - pivots1'!$A:$B,2,0)</f>
        <v>1</v>
      </c>
      <c r="I477" s="180">
        <f>SUMIFS(Table1[Estimação (horas)],Table1[Tabela],Plano_V3!E477,Table1[Campo],Plano_V3!F477)</f>
        <v>16.100000000000001</v>
      </c>
      <c r="J477" s="180">
        <f t="shared" si="330"/>
        <v>2.0125000000000002</v>
      </c>
      <c r="K477" s="180">
        <f>SUMIFS(Table1[Horas efetivas],Table1[Tabela],Plano_V3!E477,Table1[Campo],Plano_V3!F477)</f>
        <v>16.100000000000001</v>
      </c>
      <c r="L477" s="180">
        <f t="shared" si="331"/>
        <v>2.0125000000000002</v>
      </c>
      <c r="M477" s="174"/>
      <c r="N477" s="174">
        <f t="shared" si="332"/>
        <v>1</v>
      </c>
      <c r="O477" s="174">
        <f t="shared" si="316"/>
        <v>1</v>
      </c>
      <c r="P477" s="87" t="s">
        <v>326</v>
      </c>
      <c r="Q477" s="90">
        <f t="shared" si="324"/>
        <v>2.0125000000000002</v>
      </c>
      <c r="R477" s="78"/>
      <c r="S477" s="78"/>
      <c r="T477" s="78"/>
      <c r="U477" s="78"/>
      <c r="V477" s="78"/>
      <c r="W477" s="78"/>
      <c r="X477" s="78"/>
      <c r="Y477" s="78"/>
      <c r="Z477" s="78"/>
      <c r="AA477" s="78"/>
      <c r="AB477" s="78"/>
      <c r="AC477" s="78"/>
      <c r="AD477" s="78"/>
      <c r="AE477" s="78"/>
      <c r="AF477" s="78"/>
      <c r="AG477" s="78"/>
      <c r="AH477" s="78"/>
      <c r="AI477" s="78"/>
      <c r="AJ477" s="78"/>
      <c r="AK477" s="78"/>
      <c r="AL477" s="78"/>
      <c r="AM477" s="78"/>
      <c r="AN477" s="78"/>
      <c r="AO477" s="78"/>
      <c r="AP477" s="78"/>
      <c r="AQ477" s="78"/>
      <c r="AR477" s="78"/>
      <c r="AS477" s="78"/>
      <c r="AT477" s="78"/>
      <c r="AU477" s="78"/>
      <c r="AV477" s="78"/>
      <c r="AW477" s="78"/>
      <c r="AX477" s="78"/>
      <c r="AY477" s="91"/>
      <c r="AZ477" s="78"/>
      <c r="BA477" s="78"/>
      <c r="BB477" s="78"/>
      <c r="BC477" s="78"/>
      <c r="BD477" s="78"/>
      <c r="BE477" s="78"/>
      <c r="BF477" s="78"/>
      <c r="BG477" s="78"/>
      <c r="BH477" s="78"/>
      <c r="BI477" s="78"/>
      <c r="BJ477" s="78"/>
      <c r="BK477" s="78"/>
      <c r="BL477" s="78"/>
      <c r="BM477" s="78"/>
      <c r="BN477" s="78"/>
      <c r="BO477" s="78"/>
      <c r="BP477" s="78"/>
      <c r="BQ477" s="78"/>
      <c r="BR477" s="78"/>
      <c r="BS477" s="78"/>
      <c r="BT477" s="78"/>
      <c r="BU477" s="78"/>
      <c r="BV477" s="78"/>
      <c r="BW477" s="78"/>
      <c r="BX477" s="78"/>
      <c r="BY477" s="78"/>
      <c r="BZ477" s="78"/>
      <c r="CA477" s="78"/>
      <c r="CB477" s="78"/>
      <c r="CC477" s="78"/>
      <c r="CD477" s="78"/>
      <c r="CE477" s="78"/>
      <c r="CF477" s="78"/>
      <c r="CG477" s="78"/>
      <c r="CH477" s="78"/>
      <c r="CI477" s="78"/>
      <c r="CJ477" s="78"/>
      <c r="CK477" s="78"/>
      <c r="CL477" s="78"/>
      <c r="CM477" s="78"/>
      <c r="CN477" s="78"/>
      <c r="CO477" s="78"/>
      <c r="CP477" s="78"/>
      <c r="CQ477" s="78"/>
      <c r="CR477" s="78"/>
      <c r="CS477" s="78"/>
      <c r="CT477" s="78"/>
      <c r="CU477" s="78"/>
      <c r="CV477" s="78"/>
      <c r="CW477" s="78"/>
      <c r="CX477" s="78"/>
      <c r="CY477" s="78"/>
      <c r="CZ477" s="78"/>
      <c r="DA477" s="78"/>
      <c r="DB477" s="78"/>
      <c r="DC477" s="78"/>
      <c r="DD477" s="78"/>
      <c r="DE477" s="78"/>
      <c r="DF477" s="78"/>
      <c r="DG477" s="78"/>
      <c r="DH477" s="78"/>
      <c r="DI477" s="78"/>
      <c r="DJ477" s="78"/>
      <c r="DK477" s="78"/>
      <c r="DL477" s="78"/>
      <c r="DM477" s="78"/>
      <c r="DN477" s="78"/>
      <c r="DO477" s="78"/>
      <c r="DP477" s="78"/>
      <c r="DQ477" s="78"/>
      <c r="DR477" s="78"/>
      <c r="DS477" s="78"/>
      <c r="DT477" s="78"/>
      <c r="DU477" s="78"/>
      <c r="DV477" s="78"/>
      <c r="DW477" s="78"/>
      <c r="DX477" s="78"/>
      <c r="DY477" s="78"/>
      <c r="DZ477" s="78"/>
      <c r="EA477" s="78"/>
      <c r="EB477" s="78"/>
      <c r="EC477" s="78"/>
      <c r="ED477" s="78"/>
      <c r="EE477" s="78"/>
      <c r="EF477" s="78"/>
      <c r="EG477" s="78"/>
      <c r="EH477" s="78"/>
      <c r="EI477" s="78"/>
      <c r="EJ477" s="78"/>
      <c r="EK477" s="78"/>
      <c r="EL477" s="78"/>
      <c r="EM477" s="78"/>
      <c r="EN477" s="91"/>
      <c r="EO477" s="91"/>
      <c r="EP477" s="91"/>
      <c r="EQ477" s="91"/>
      <c r="ER477" s="91"/>
      <c r="ES477" s="91"/>
    </row>
    <row r="478" spans="1:149" outlineLevel="1">
      <c r="A478" s="29" t="str">
        <f t="shared" si="329"/>
        <v>modesg_out_empr_info_nfincca_turnover_own_prfrmnce_algnd</v>
      </c>
      <c r="B478" s="67" t="s">
        <v>26</v>
      </c>
      <c r="C478" s="68" t="s">
        <v>310</v>
      </c>
      <c r="D478" s="64" t="s">
        <v>40</v>
      </c>
      <c r="E478" s="66" t="s">
        <v>325</v>
      </c>
      <c r="F478" s="64" t="s">
        <v>247</v>
      </c>
      <c r="G478" s="64" t="str">
        <f>INDEX(Auxiliar!$B$16:$B$24,MATCH(Plano_V3!H478,Auxiliar!$C$16:$C$24,0),1)</f>
        <v>1. Concluído</v>
      </c>
      <c r="H478" s="64">
        <f>VLOOKUP(A478,'Aux - pivots1'!$A:$B,2,0)</f>
        <v>1</v>
      </c>
      <c r="I478" s="180">
        <f>SUMIFS(Table1[Estimação (horas)],Table1[Tabela],Plano_V3!E478,Table1[Campo],Plano_V3!F478)</f>
        <v>16.100000000000001</v>
      </c>
      <c r="J478" s="180">
        <f t="shared" si="330"/>
        <v>2.0125000000000002</v>
      </c>
      <c r="K478" s="180">
        <f>SUMIFS(Table1[Horas efetivas],Table1[Tabela],Plano_V3!E478,Table1[Campo],Plano_V3!F478)</f>
        <v>16.100000000000001</v>
      </c>
      <c r="L478" s="180">
        <f t="shared" si="331"/>
        <v>2.0125000000000002</v>
      </c>
      <c r="M478" s="174"/>
      <c r="N478" s="174">
        <f t="shared" si="332"/>
        <v>1</v>
      </c>
      <c r="O478" s="174">
        <f t="shared" si="316"/>
        <v>1</v>
      </c>
      <c r="P478" s="87" t="s">
        <v>326</v>
      </c>
      <c r="Q478" s="90">
        <f t="shared" si="324"/>
        <v>2.0125000000000002</v>
      </c>
      <c r="R478" s="78"/>
      <c r="S478" s="78"/>
      <c r="T478" s="78"/>
      <c r="U478" s="78"/>
      <c r="V478" s="78"/>
      <c r="W478" s="78"/>
      <c r="X478" s="78"/>
      <c r="Y478" s="78"/>
      <c r="Z478" s="78"/>
      <c r="AA478" s="78"/>
      <c r="AB478" s="78"/>
      <c r="AC478" s="78"/>
      <c r="AD478" s="78"/>
      <c r="AE478" s="78"/>
      <c r="AF478" s="78"/>
      <c r="AG478" s="78"/>
      <c r="AH478" s="78"/>
      <c r="AI478" s="78"/>
      <c r="AJ478" s="78"/>
      <c r="AK478" s="78"/>
      <c r="AL478" s="78"/>
      <c r="AM478" s="78"/>
      <c r="AN478" s="78"/>
      <c r="AO478" s="78"/>
      <c r="AP478" s="78"/>
      <c r="AQ478" s="78"/>
      <c r="AR478" s="78"/>
      <c r="AS478" s="78"/>
      <c r="AT478" s="78"/>
      <c r="AU478" s="78"/>
      <c r="AV478" s="78"/>
      <c r="AW478" s="78"/>
      <c r="AX478" s="78"/>
      <c r="AY478" s="91"/>
      <c r="AZ478" s="78"/>
      <c r="BA478" s="78"/>
      <c r="BB478" s="78"/>
      <c r="BC478" s="78"/>
      <c r="BD478" s="78"/>
      <c r="BE478" s="78"/>
      <c r="BF478" s="78"/>
      <c r="BG478" s="78"/>
      <c r="BH478" s="78"/>
      <c r="BI478" s="78"/>
      <c r="BJ478" s="78"/>
      <c r="BK478" s="78"/>
      <c r="BL478" s="78"/>
      <c r="BM478" s="78"/>
      <c r="BN478" s="78"/>
      <c r="BO478" s="78"/>
      <c r="BP478" s="78"/>
      <c r="BQ478" s="78"/>
      <c r="BR478" s="78"/>
      <c r="BS478" s="78"/>
      <c r="BT478" s="78"/>
      <c r="BU478" s="78"/>
      <c r="BV478" s="78"/>
      <c r="BW478" s="78"/>
      <c r="BX478" s="78"/>
      <c r="BY478" s="78"/>
      <c r="BZ478" s="78"/>
      <c r="CA478" s="78"/>
      <c r="CB478" s="78"/>
      <c r="CC478" s="78"/>
      <c r="CD478" s="78"/>
      <c r="CE478" s="78"/>
      <c r="CF478" s="78"/>
      <c r="CG478" s="78"/>
      <c r="CH478" s="78"/>
      <c r="CI478" s="78"/>
      <c r="CJ478" s="78"/>
      <c r="CK478" s="78"/>
      <c r="CL478" s="78"/>
      <c r="CM478" s="78"/>
      <c r="CN478" s="78"/>
      <c r="CO478" s="78"/>
      <c r="CP478" s="78"/>
      <c r="CQ478" s="78"/>
      <c r="CR478" s="78"/>
      <c r="CS478" s="78"/>
      <c r="CT478" s="78"/>
      <c r="CU478" s="78"/>
      <c r="CV478" s="78"/>
      <c r="CW478" s="78"/>
      <c r="CX478" s="78"/>
      <c r="CY478" s="78"/>
      <c r="CZ478" s="78"/>
      <c r="DA478" s="78"/>
      <c r="DB478" s="78"/>
      <c r="DC478" s="78"/>
      <c r="DD478" s="78"/>
      <c r="DE478" s="78"/>
      <c r="DF478" s="78"/>
      <c r="DG478" s="78"/>
      <c r="DH478" s="78"/>
      <c r="DI478" s="78"/>
      <c r="DJ478" s="78"/>
      <c r="DK478" s="78"/>
      <c r="DL478" s="78"/>
      <c r="DM478" s="78"/>
      <c r="DN478" s="78"/>
      <c r="DO478" s="78"/>
      <c r="DP478" s="78"/>
      <c r="DQ478" s="78"/>
      <c r="DR478" s="78"/>
      <c r="DS478" s="78"/>
      <c r="DT478" s="78"/>
      <c r="DU478" s="78"/>
      <c r="DV478" s="78"/>
      <c r="DW478" s="78"/>
      <c r="DX478" s="78"/>
      <c r="DY478" s="78"/>
      <c r="DZ478" s="78"/>
      <c r="EA478" s="78"/>
      <c r="EB478" s="78"/>
      <c r="EC478" s="78"/>
      <c r="ED478" s="78"/>
      <c r="EE478" s="78"/>
      <c r="EF478" s="78"/>
      <c r="EG478" s="78"/>
      <c r="EH478" s="78"/>
      <c r="EI478" s="78"/>
      <c r="EJ478" s="78"/>
      <c r="EK478" s="78"/>
      <c r="EL478" s="78"/>
      <c r="EM478" s="78"/>
      <c r="EN478" s="91"/>
      <c r="EO478" s="91"/>
      <c r="EP478" s="91"/>
      <c r="EQ478" s="91"/>
      <c r="ER478" s="91"/>
      <c r="ES478" s="91"/>
    </row>
    <row r="479" spans="1:149" outlineLevel="1">
      <c r="A479" s="29" t="str">
        <f t="shared" si="329"/>
        <v>modesg_out_empr_info_nfinccm_capex_enblng_algnd</v>
      </c>
      <c r="B479" s="67" t="s">
        <v>26</v>
      </c>
      <c r="C479" s="68" t="s">
        <v>310</v>
      </c>
      <c r="D479" s="64" t="s">
        <v>40</v>
      </c>
      <c r="E479" s="66" t="s">
        <v>325</v>
      </c>
      <c r="F479" s="64" t="s">
        <v>256</v>
      </c>
      <c r="G479" s="64" t="str">
        <f>INDEX(Auxiliar!$B$16:$B$24,MATCH(Plano_V3!H479,Auxiliar!$C$16:$C$24,0),1)</f>
        <v>1. Concluído</v>
      </c>
      <c r="H479" s="64">
        <f>VLOOKUP(A479,'Aux - pivots1'!$A:$B,2,0)</f>
        <v>1</v>
      </c>
      <c r="I479" s="180">
        <f>SUMIFS(Table1[Estimação (horas)],Table1[Tabela],Plano_V3!E479,Table1[Campo],Plano_V3!F479)</f>
        <v>16.100000000000001</v>
      </c>
      <c r="J479" s="180">
        <f t="shared" si="330"/>
        <v>2.0125000000000002</v>
      </c>
      <c r="K479" s="180">
        <f>SUMIFS(Table1[Horas efetivas],Table1[Tabela],Plano_V3!E479,Table1[Campo],Plano_V3!F479)</f>
        <v>16.100000000000001</v>
      </c>
      <c r="L479" s="180">
        <f t="shared" si="331"/>
        <v>2.0125000000000002</v>
      </c>
      <c r="M479" s="174"/>
      <c r="N479" s="174">
        <f t="shared" si="332"/>
        <v>1</v>
      </c>
      <c r="O479" s="174">
        <f t="shared" si="316"/>
        <v>1</v>
      </c>
      <c r="P479" s="87" t="s">
        <v>326</v>
      </c>
      <c r="Q479" s="90">
        <f t="shared" si="324"/>
        <v>2.0125000000000002</v>
      </c>
      <c r="R479" s="78"/>
      <c r="S479" s="78"/>
      <c r="T479" s="78"/>
      <c r="U479" s="78"/>
      <c r="V479" s="78"/>
      <c r="W479" s="78"/>
      <c r="X479" s="78"/>
      <c r="Y479" s="78"/>
      <c r="Z479" s="78"/>
      <c r="AA479" s="78"/>
      <c r="AB479" s="78"/>
      <c r="AC479" s="78"/>
      <c r="AD479" s="78"/>
      <c r="AE479" s="78"/>
      <c r="AF479" s="78"/>
      <c r="AG479" s="78"/>
      <c r="AH479" s="78"/>
      <c r="AI479" s="78"/>
      <c r="AJ479" s="78"/>
      <c r="AK479" s="78"/>
      <c r="AL479" s="78"/>
      <c r="AM479" s="78"/>
      <c r="AN479" s="78"/>
      <c r="AO479" s="78"/>
      <c r="AP479" s="78"/>
      <c r="AQ479" s="78"/>
      <c r="AR479" s="78"/>
      <c r="AS479" s="78"/>
      <c r="AT479" s="78"/>
      <c r="AU479" s="78"/>
      <c r="AV479" s="78"/>
      <c r="AW479" s="78"/>
      <c r="AX479" s="78"/>
      <c r="AY479" s="91"/>
      <c r="AZ479" s="78"/>
      <c r="BA479" s="78"/>
      <c r="BB479" s="78"/>
      <c r="BC479" s="78"/>
      <c r="BD479" s="78"/>
      <c r="BE479" s="78"/>
      <c r="BF479" s="78"/>
      <c r="BG479" s="78"/>
      <c r="BH479" s="78"/>
      <c r="BI479" s="78"/>
      <c r="BJ479" s="78"/>
      <c r="BK479" s="78"/>
      <c r="BL479" s="78"/>
      <c r="BM479" s="78"/>
      <c r="BN479" s="78"/>
      <c r="BO479" s="78"/>
      <c r="BP479" s="78"/>
      <c r="BQ479" s="78"/>
      <c r="BR479" s="78"/>
      <c r="BS479" s="78"/>
      <c r="BT479" s="78"/>
      <c r="BU479" s="78"/>
      <c r="BV479" s="78"/>
      <c r="BW479" s="78"/>
      <c r="BX479" s="78"/>
      <c r="BY479" s="78"/>
      <c r="BZ479" s="78"/>
      <c r="CA479" s="78"/>
      <c r="CB479" s="78"/>
      <c r="CC479" s="78"/>
      <c r="CD479" s="78"/>
      <c r="CE479" s="78"/>
      <c r="CF479" s="78"/>
      <c r="CG479" s="78"/>
      <c r="CH479" s="78"/>
      <c r="CI479" s="78"/>
      <c r="CJ479" s="78"/>
      <c r="CK479" s="78"/>
      <c r="CL479" s="78"/>
      <c r="CM479" s="78"/>
      <c r="CN479" s="78"/>
      <c r="CO479" s="78"/>
      <c r="CP479" s="78"/>
      <c r="CQ479" s="78"/>
      <c r="CR479" s="78"/>
      <c r="CS479" s="78"/>
      <c r="CT479" s="78"/>
      <c r="CU479" s="78"/>
      <c r="CV479" s="78"/>
      <c r="CW479" s="78"/>
      <c r="CX479" s="78"/>
      <c r="CY479" s="78"/>
      <c r="CZ479" s="78"/>
      <c r="DA479" s="78"/>
      <c r="DB479" s="78"/>
      <c r="DC479" s="78"/>
      <c r="DD479" s="78"/>
      <c r="DE479" s="78"/>
      <c r="DF479" s="78"/>
      <c r="DG479" s="78"/>
      <c r="DH479" s="78"/>
      <c r="DI479" s="78"/>
      <c r="DJ479" s="78"/>
      <c r="DK479" s="78"/>
      <c r="DL479" s="78"/>
      <c r="DM479" s="78"/>
      <c r="DN479" s="78"/>
      <c r="DO479" s="78"/>
      <c r="DP479" s="78"/>
      <c r="DQ479" s="78"/>
      <c r="DR479" s="78"/>
      <c r="DS479" s="78"/>
      <c r="DT479" s="78"/>
      <c r="DU479" s="78"/>
      <c r="DV479" s="78"/>
      <c r="DW479" s="78"/>
      <c r="DX479" s="78"/>
      <c r="DY479" s="78"/>
      <c r="DZ479" s="78"/>
      <c r="EA479" s="78"/>
      <c r="EB479" s="78"/>
      <c r="EC479" s="78"/>
      <c r="ED479" s="78"/>
      <c r="EE479" s="78"/>
      <c r="EF479" s="78"/>
      <c r="EG479" s="78"/>
      <c r="EH479" s="78"/>
      <c r="EI479" s="78"/>
      <c r="EJ479" s="78"/>
      <c r="EK479" s="78"/>
      <c r="EL479" s="78"/>
      <c r="EM479" s="78"/>
      <c r="EN479" s="91"/>
      <c r="EO479" s="91"/>
      <c r="EP479" s="91"/>
      <c r="EQ479" s="91"/>
      <c r="ER479" s="91"/>
      <c r="ES479" s="91"/>
    </row>
    <row r="480" spans="1:149" outlineLevel="1">
      <c r="A480" s="29" t="str">
        <f t="shared" si="329"/>
        <v>modesg_out_empr_info_nfinccm_capex_own_prfrmnce_algnd</v>
      </c>
      <c r="B480" s="67" t="s">
        <v>26</v>
      </c>
      <c r="C480" s="68" t="s">
        <v>310</v>
      </c>
      <c r="D480" s="64" t="s">
        <v>40</v>
      </c>
      <c r="E480" s="66" t="s">
        <v>325</v>
      </c>
      <c r="F480" s="64" t="s">
        <v>258</v>
      </c>
      <c r="G480" s="64" t="str">
        <f>INDEX(Auxiliar!$B$16:$B$24,MATCH(Plano_V3!H480,Auxiliar!$C$16:$C$24,0),1)</f>
        <v>1. Concluído</v>
      </c>
      <c r="H480" s="64">
        <f>VLOOKUP(A480,'Aux - pivots1'!$A:$B,2,0)</f>
        <v>1</v>
      </c>
      <c r="I480" s="180">
        <f>SUMIFS(Table1[Estimação (horas)],Table1[Tabela],Plano_V3!E480,Table1[Campo],Plano_V3!F480)</f>
        <v>16.100000000000001</v>
      </c>
      <c r="J480" s="180">
        <f t="shared" si="330"/>
        <v>2.0125000000000002</v>
      </c>
      <c r="K480" s="180">
        <f>SUMIFS(Table1[Horas efetivas],Table1[Tabela],Plano_V3!E480,Table1[Campo],Plano_V3!F480)</f>
        <v>16.100000000000001</v>
      </c>
      <c r="L480" s="180">
        <f t="shared" si="331"/>
        <v>2.0125000000000002</v>
      </c>
      <c r="M480" s="174"/>
      <c r="N480" s="174">
        <f t="shared" si="332"/>
        <v>1</v>
      </c>
      <c r="O480" s="174">
        <f t="shared" si="316"/>
        <v>1</v>
      </c>
      <c r="P480" s="87" t="s">
        <v>326</v>
      </c>
      <c r="Q480" s="90">
        <f t="shared" si="324"/>
        <v>2.0125000000000002</v>
      </c>
      <c r="R480" s="78"/>
      <c r="S480" s="78"/>
      <c r="T480" s="78"/>
      <c r="U480" s="78"/>
      <c r="V480" s="78"/>
      <c r="W480" s="78"/>
      <c r="X480" s="78"/>
      <c r="Y480" s="78"/>
      <c r="Z480" s="78"/>
      <c r="AA480" s="78"/>
      <c r="AB480" s="78"/>
      <c r="AC480" s="78"/>
      <c r="AD480" s="78"/>
      <c r="AE480" s="78"/>
      <c r="AF480" s="78"/>
      <c r="AG480" s="78"/>
      <c r="AH480" s="78"/>
      <c r="AI480" s="78"/>
      <c r="AJ480" s="78"/>
      <c r="AK480" s="78"/>
      <c r="AL480" s="78"/>
      <c r="AM480" s="78"/>
      <c r="AN480" s="78"/>
      <c r="AO480" s="78"/>
      <c r="AP480" s="78"/>
      <c r="AQ480" s="78"/>
      <c r="AR480" s="78"/>
      <c r="AS480" s="78"/>
      <c r="AT480" s="78"/>
      <c r="AU480" s="78"/>
      <c r="AV480" s="78"/>
      <c r="AW480" s="78"/>
      <c r="AX480" s="78"/>
      <c r="AY480" s="91"/>
      <c r="AZ480" s="78"/>
      <c r="BA480" s="78"/>
      <c r="BB480" s="78"/>
      <c r="BC480" s="78"/>
      <c r="BD480" s="78"/>
      <c r="BE480" s="78"/>
      <c r="BF480" s="78"/>
      <c r="BG480" s="78"/>
      <c r="BH480" s="78"/>
      <c r="BI480" s="78"/>
      <c r="BJ480" s="78"/>
      <c r="BK480" s="78"/>
      <c r="BL480" s="78"/>
      <c r="BM480" s="78"/>
      <c r="BN480" s="78"/>
      <c r="BO480" s="78"/>
      <c r="BP480" s="78"/>
      <c r="BQ480" s="78"/>
      <c r="BR480" s="78"/>
      <c r="BS480" s="78"/>
      <c r="BT480" s="78"/>
      <c r="BU480" s="78"/>
      <c r="BV480" s="78"/>
      <c r="BW480" s="78"/>
      <c r="BX480" s="78"/>
      <c r="BY480" s="78"/>
      <c r="BZ480" s="78"/>
      <c r="CA480" s="78"/>
      <c r="CB480" s="78"/>
      <c r="CC480" s="78"/>
      <c r="CD480" s="78"/>
      <c r="CE480" s="78"/>
      <c r="CF480" s="78"/>
      <c r="CG480" s="78"/>
      <c r="CH480" s="78"/>
      <c r="CI480" s="78"/>
      <c r="CJ480" s="78"/>
      <c r="CK480" s="78"/>
      <c r="CL480" s="78"/>
      <c r="CM480" s="78"/>
      <c r="CN480" s="78"/>
      <c r="CO480" s="78"/>
      <c r="CP480" s="78"/>
      <c r="CQ480" s="78"/>
      <c r="CR480" s="78"/>
      <c r="CS480" s="78"/>
      <c r="CT480" s="78"/>
      <c r="CU480" s="78"/>
      <c r="CV480" s="78"/>
      <c r="CW480" s="78"/>
      <c r="CX480" s="78"/>
      <c r="CY480" s="78"/>
      <c r="CZ480" s="78"/>
      <c r="DA480" s="78"/>
      <c r="DB480" s="78"/>
      <c r="DC480" s="78"/>
      <c r="DD480" s="78"/>
      <c r="DE480" s="78"/>
      <c r="DF480" s="78"/>
      <c r="DG480" s="78"/>
      <c r="DH480" s="78"/>
      <c r="DI480" s="78"/>
      <c r="DJ480" s="78"/>
      <c r="DK480" s="78"/>
      <c r="DL480" s="78"/>
      <c r="DM480" s="78"/>
      <c r="DN480" s="78"/>
      <c r="DO480" s="78"/>
      <c r="DP480" s="78"/>
      <c r="DQ480" s="78"/>
      <c r="DR480" s="78"/>
      <c r="DS480" s="78"/>
      <c r="DT480" s="78"/>
      <c r="DU480" s="78"/>
      <c r="DV480" s="78"/>
      <c r="DW480" s="78"/>
      <c r="DX480" s="78"/>
      <c r="DY480" s="78"/>
      <c r="DZ480" s="78"/>
      <c r="EA480" s="78"/>
      <c r="EB480" s="78"/>
      <c r="EC480" s="78"/>
      <c r="ED480" s="78"/>
      <c r="EE480" s="78"/>
      <c r="EF480" s="78"/>
      <c r="EG480" s="78"/>
      <c r="EH480" s="78"/>
      <c r="EI480" s="78"/>
      <c r="EJ480" s="78"/>
      <c r="EK480" s="78"/>
      <c r="EL480" s="78"/>
      <c r="EM480" s="78"/>
      <c r="EN480" s="91"/>
      <c r="EO480" s="91"/>
      <c r="EP480" s="91"/>
      <c r="EQ480" s="91"/>
      <c r="ER480" s="91"/>
      <c r="ES480" s="91"/>
    </row>
    <row r="481" spans="1:149" outlineLevel="1">
      <c r="A481" s="29" t="str">
        <f t="shared" si="329"/>
        <v>modesg_out_empr_info_nfinccm_capex_trnstn_algnd</v>
      </c>
      <c r="B481" s="67" t="s">
        <v>26</v>
      </c>
      <c r="C481" s="68" t="s">
        <v>310</v>
      </c>
      <c r="D481" s="64" t="s">
        <v>40</v>
      </c>
      <c r="E481" s="66" t="s">
        <v>325</v>
      </c>
      <c r="F481" s="64" t="s">
        <v>257</v>
      </c>
      <c r="G481" s="64" t="str">
        <f>INDEX(Auxiliar!$B$16:$B$24,MATCH(Plano_V3!H481,Auxiliar!$C$16:$C$24,0),1)</f>
        <v>1. Concluído</v>
      </c>
      <c r="H481" s="64">
        <f>VLOOKUP(A481,'Aux - pivots1'!$A:$B,2,0)</f>
        <v>1</v>
      </c>
      <c r="I481" s="180">
        <f>SUMIFS(Table1[Estimação (horas)],Table1[Tabela],Plano_V3!E481,Table1[Campo],Plano_V3!F481)</f>
        <v>16.100000000000001</v>
      </c>
      <c r="J481" s="180">
        <f t="shared" si="330"/>
        <v>2.0125000000000002</v>
      </c>
      <c r="K481" s="180">
        <f>SUMIFS(Table1[Horas efetivas],Table1[Tabela],Plano_V3!E481,Table1[Campo],Plano_V3!F481)</f>
        <v>16.100000000000001</v>
      </c>
      <c r="L481" s="180">
        <f t="shared" si="331"/>
        <v>2.0125000000000002</v>
      </c>
      <c r="M481" s="174"/>
      <c r="N481" s="174">
        <f t="shared" si="332"/>
        <v>1</v>
      </c>
      <c r="O481" s="174">
        <f t="shared" si="316"/>
        <v>1</v>
      </c>
      <c r="P481" s="87" t="s">
        <v>326</v>
      </c>
      <c r="Q481" s="90">
        <f t="shared" si="324"/>
        <v>2.0125000000000002</v>
      </c>
      <c r="R481" s="78"/>
      <c r="S481" s="78"/>
      <c r="T481" s="78"/>
      <c r="U481" s="78"/>
      <c r="V481" s="78"/>
      <c r="W481" s="78"/>
      <c r="X481" s="78"/>
      <c r="Y481" s="78"/>
      <c r="Z481" s="78"/>
      <c r="AA481" s="78"/>
      <c r="AB481" s="78"/>
      <c r="AC481" s="78"/>
      <c r="AD481" s="78"/>
      <c r="AE481" s="78"/>
      <c r="AF481" s="78"/>
      <c r="AG481" s="78"/>
      <c r="AH481" s="78"/>
      <c r="AI481" s="78"/>
      <c r="AJ481" s="78"/>
      <c r="AK481" s="78"/>
      <c r="AL481" s="78"/>
      <c r="AM481" s="78"/>
      <c r="AN481" s="78"/>
      <c r="AO481" s="78"/>
      <c r="AP481" s="78"/>
      <c r="AQ481" s="78"/>
      <c r="AR481" s="78"/>
      <c r="AS481" s="78"/>
      <c r="AT481" s="78"/>
      <c r="AU481" s="78"/>
      <c r="AV481" s="78"/>
      <c r="AW481" s="78"/>
      <c r="AX481" s="78"/>
      <c r="AY481" s="91"/>
      <c r="AZ481" s="78"/>
      <c r="BA481" s="78"/>
      <c r="BB481" s="78"/>
      <c r="BC481" s="78"/>
      <c r="BD481" s="78"/>
      <c r="BE481" s="78"/>
      <c r="BF481" s="78"/>
      <c r="BG481" s="78"/>
      <c r="BH481" s="78"/>
      <c r="BI481" s="78"/>
      <c r="BJ481" s="78"/>
      <c r="BK481" s="78"/>
      <c r="BL481" s="78"/>
      <c r="BM481" s="78"/>
      <c r="BN481" s="78"/>
      <c r="BO481" s="78"/>
      <c r="BP481" s="78"/>
      <c r="BQ481" s="78"/>
      <c r="BR481" s="78"/>
      <c r="BS481" s="78"/>
      <c r="BT481" s="78"/>
      <c r="BU481" s="78"/>
      <c r="BV481" s="78"/>
      <c r="BW481" s="78"/>
      <c r="BX481" s="78"/>
      <c r="BY481" s="78"/>
      <c r="BZ481" s="78"/>
      <c r="CA481" s="78"/>
      <c r="CB481" s="78"/>
      <c r="CC481" s="78"/>
      <c r="CD481" s="78"/>
      <c r="CE481" s="78"/>
      <c r="CF481" s="78"/>
      <c r="CG481" s="78"/>
      <c r="CH481" s="78"/>
      <c r="CI481" s="78"/>
      <c r="CJ481" s="78"/>
      <c r="CK481" s="78"/>
      <c r="CL481" s="78"/>
      <c r="CM481" s="78"/>
      <c r="CN481" s="78"/>
      <c r="CO481" s="78"/>
      <c r="CP481" s="78"/>
      <c r="CQ481" s="78"/>
      <c r="CR481" s="78"/>
      <c r="CS481" s="78"/>
      <c r="CT481" s="78"/>
      <c r="CU481" s="78"/>
      <c r="CV481" s="78"/>
      <c r="CW481" s="78"/>
      <c r="CX481" s="78"/>
      <c r="CY481" s="78"/>
      <c r="CZ481" s="78"/>
      <c r="DA481" s="78"/>
      <c r="DB481" s="78"/>
      <c r="DC481" s="78"/>
      <c r="DD481" s="78"/>
      <c r="DE481" s="78"/>
      <c r="DF481" s="78"/>
      <c r="DG481" s="78"/>
      <c r="DH481" s="78"/>
      <c r="DI481" s="78"/>
      <c r="DJ481" s="78"/>
      <c r="DK481" s="78"/>
      <c r="DL481" s="78"/>
      <c r="DM481" s="78"/>
      <c r="DN481" s="78"/>
      <c r="DO481" s="78"/>
      <c r="DP481" s="78"/>
      <c r="DQ481" s="78"/>
      <c r="DR481" s="78"/>
      <c r="DS481" s="78"/>
      <c r="DT481" s="78"/>
      <c r="DU481" s="78"/>
      <c r="DV481" s="78"/>
      <c r="DW481" s="78"/>
      <c r="DX481" s="78"/>
      <c r="DY481" s="78"/>
      <c r="DZ481" s="78"/>
      <c r="EA481" s="78"/>
      <c r="EB481" s="78"/>
      <c r="EC481" s="78"/>
      <c r="ED481" s="78"/>
      <c r="EE481" s="78"/>
      <c r="EF481" s="78"/>
      <c r="EG481" s="78"/>
      <c r="EH481" s="78"/>
      <c r="EI481" s="78"/>
      <c r="EJ481" s="78"/>
      <c r="EK481" s="78"/>
      <c r="EL481" s="78"/>
      <c r="EM481" s="78"/>
      <c r="EN481" s="91"/>
      <c r="EO481" s="91"/>
      <c r="EP481" s="91"/>
      <c r="EQ481" s="91"/>
      <c r="ER481" s="91"/>
      <c r="ES481" s="91"/>
    </row>
    <row r="482" spans="1:149" outlineLevel="1">
      <c r="A482" s="29" t="str">
        <f t="shared" si="329"/>
        <v>modesg_out_empr_info_nfinccm_capex_ttl_elgbl</v>
      </c>
      <c r="B482" s="67" t="s">
        <v>26</v>
      </c>
      <c r="C482" s="68" t="s">
        <v>310</v>
      </c>
      <c r="D482" s="64" t="s">
        <v>40</v>
      </c>
      <c r="E482" s="66" t="s">
        <v>325</v>
      </c>
      <c r="F482" s="64" t="s">
        <v>255</v>
      </c>
      <c r="G482" s="64" t="str">
        <f>INDEX(Auxiliar!$B$16:$B$24,MATCH(Plano_V3!H482,Auxiliar!$C$16:$C$24,0),1)</f>
        <v>1. Concluído</v>
      </c>
      <c r="H482" s="64">
        <f>VLOOKUP(A482,'Aux - pivots1'!$A:$B,2,0)</f>
        <v>1</v>
      </c>
      <c r="I482" s="180">
        <f>SUMIFS(Table1[Estimação (horas)],Table1[Tabela],Plano_V3!E482,Table1[Campo],Plano_V3!F482)</f>
        <v>16.100000000000001</v>
      </c>
      <c r="J482" s="180">
        <f t="shared" si="330"/>
        <v>2.0125000000000002</v>
      </c>
      <c r="K482" s="180">
        <f>SUMIFS(Table1[Horas efetivas],Table1[Tabela],Plano_V3!E482,Table1[Campo],Plano_V3!F482)</f>
        <v>16.100000000000001</v>
      </c>
      <c r="L482" s="180">
        <f t="shared" si="331"/>
        <v>2.0125000000000002</v>
      </c>
      <c r="M482" s="174"/>
      <c r="N482" s="174">
        <f t="shared" si="332"/>
        <v>1</v>
      </c>
      <c r="O482" s="174">
        <f t="shared" si="316"/>
        <v>1</v>
      </c>
      <c r="P482" s="87" t="s">
        <v>326</v>
      </c>
      <c r="Q482" s="90">
        <f t="shared" si="324"/>
        <v>2.0125000000000002</v>
      </c>
      <c r="R482" s="78"/>
      <c r="S482" s="78"/>
      <c r="T482" s="78"/>
      <c r="U482" s="78"/>
      <c r="V482" s="78"/>
      <c r="W482" s="78"/>
      <c r="X482" s="78"/>
      <c r="Y482" s="78"/>
      <c r="Z482" s="78"/>
      <c r="AA482" s="78"/>
      <c r="AB482" s="78"/>
      <c r="AC482" s="78"/>
      <c r="AD482" s="78"/>
      <c r="AE482" s="78"/>
      <c r="AF482" s="78"/>
      <c r="AG482" s="78"/>
      <c r="AH482" s="78"/>
      <c r="AI482" s="78"/>
      <c r="AJ482" s="78"/>
      <c r="AK482" s="78"/>
      <c r="AL482" s="78"/>
      <c r="AM482" s="78"/>
      <c r="AN482" s="78"/>
      <c r="AO482" s="78"/>
      <c r="AP482" s="78"/>
      <c r="AQ482" s="78"/>
      <c r="AR482" s="78"/>
      <c r="AS482" s="78"/>
      <c r="AT482" s="78"/>
      <c r="AU482" s="78"/>
      <c r="AV482" s="78"/>
      <c r="AW482" s="78"/>
      <c r="AX482" s="78"/>
      <c r="AY482" s="91"/>
      <c r="AZ482" s="78"/>
      <c r="BA482" s="78"/>
      <c r="BB482" s="78"/>
      <c r="BC482" s="78"/>
      <c r="BD482" s="78"/>
      <c r="BE482" s="78"/>
      <c r="BF482" s="78"/>
      <c r="BG482" s="78"/>
      <c r="BH482" s="78"/>
      <c r="BI482" s="78"/>
      <c r="BJ482" s="78"/>
      <c r="BK482" s="78"/>
      <c r="BL482" s="78"/>
      <c r="BM482" s="78"/>
      <c r="BN482" s="78"/>
      <c r="BO482" s="78"/>
      <c r="BP482" s="78"/>
      <c r="BQ482" s="78"/>
      <c r="BR482" s="78"/>
      <c r="BS482" s="78"/>
      <c r="BT482" s="78"/>
      <c r="BU482" s="78"/>
      <c r="BV482" s="78"/>
      <c r="BW482" s="78"/>
      <c r="BX482" s="78"/>
      <c r="BY482" s="78"/>
      <c r="BZ482" s="78"/>
      <c r="CA482" s="78"/>
      <c r="CB482" s="78"/>
      <c r="CC482" s="78"/>
      <c r="CD482" s="78"/>
      <c r="CE482" s="78"/>
      <c r="CF482" s="78"/>
      <c r="CG482" s="78"/>
      <c r="CH482" s="78"/>
      <c r="CI482" s="78"/>
      <c r="CJ482" s="78"/>
      <c r="CK482" s="78"/>
      <c r="CL482" s="78"/>
      <c r="CM482" s="78"/>
      <c r="CN482" s="78"/>
      <c r="CO482" s="78"/>
      <c r="CP482" s="78"/>
      <c r="CQ482" s="78"/>
      <c r="CR482" s="78"/>
      <c r="CS482" s="78"/>
      <c r="CT482" s="78"/>
      <c r="CU482" s="78"/>
      <c r="CV482" s="78"/>
      <c r="CW482" s="78"/>
      <c r="CX482" s="78"/>
      <c r="CY482" s="78"/>
      <c r="CZ482" s="78"/>
      <c r="DA482" s="78"/>
      <c r="DB482" s="78"/>
      <c r="DC482" s="78"/>
      <c r="DD482" s="78"/>
      <c r="DE482" s="78"/>
      <c r="DF482" s="78"/>
      <c r="DG482" s="78"/>
      <c r="DH482" s="78"/>
      <c r="DI482" s="78"/>
      <c r="DJ482" s="78"/>
      <c r="DK482" s="78"/>
      <c r="DL482" s="78"/>
      <c r="DM482" s="78"/>
      <c r="DN482" s="78"/>
      <c r="DO482" s="78"/>
      <c r="DP482" s="78"/>
      <c r="DQ482" s="78"/>
      <c r="DR482" s="78"/>
      <c r="DS482" s="78"/>
      <c r="DT482" s="78"/>
      <c r="DU482" s="78"/>
      <c r="DV482" s="78"/>
      <c r="DW482" s="78"/>
      <c r="DX482" s="78"/>
      <c r="DY482" s="78"/>
      <c r="DZ482" s="78"/>
      <c r="EA482" s="78"/>
      <c r="EB482" s="78"/>
      <c r="EC482" s="78"/>
      <c r="ED482" s="78"/>
      <c r="EE482" s="78"/>
      <c r="EF482" s="78"/>
      <c r="EG482" s="78"/>
      <c r="EH482" s="78"/>
      <c r="EI482" s="78"/>
      <c r="EJ482" s="78"/>
      <c r="EK482" s="78"/>
      <c r="EL482" s="78"/>
      <c r="EM482" s="78"/>
      <c r="EN482" s="91"/>
      <c r="EO482" s="91"/>
      <c r="EP482" s="91"/>
      <c r="EQ482" s="91"/>
      <c r="ER482" s="91"/>
      <c r="ES482" s="91"/>
    </row>
    <row r="483" spans="1:149" outlineLevel="1">
      <c r="A483" s="29" t="str">
        <f t="shared" si="329"/>
        <v>modesg_out_empr_info_nfinccm_trnvr_enblng_algnd</v>
      </c>
      <c r="B483" s="67" t="s">
        <v>26</v>
      </c>
      <c r="C483" s="68" t="s">
        <v>310</v>
      </c>
      <c r="D483" s="64" t="s">
        <v>40</v>
      </c>
      <c r="E483" s="66" t="s">
        <v>325</v>
      </c>
      <c r="F483" s="64" t="s">
        <v>252</v>
      </c>
      <c r="G483" s="64" t="str">
        <f>INDEX(Auxiliar!$B$16:$B$24,MATCH(Plano_V3!H483,Auxiliar!$C$16:$C$24,0),1)</f>
        <v>1. Concluído</v>
      </c>
      <c r="H483" s="64">
        <f>VLOOKUP(A483,'Aux - pivots1'!$A:$B,2,0)</f>
        <v>1</v>
      </c>
      <c r="I483" s="180">
        <f>SUMIFS(Table1[Estimação (horas)],Table1[Tabela],Plano_V3!E483,Table1[Campo],Plano_V3!F483)</f>
        <v>16.100000000000001</v>
      </c>
      <c r="J483" s="180">
        <f t="shared" si="330"/>
        <v>2.0125000000000002</v>
      </c>
      <c r="K483" s="180">
        <f>SUMIFS(Table1[Horas efetivas],Table1[Tabela],Plano_V3!E483,Table1[Campo],Plano_V3!F483)</f>
        <v>16.100000000000001</v>
      </c>
      <c r="L483" s="180">
        <f t="shared" si="331"/>
        <v>2.0125000000000002</v>
      </c>
      <c r="M483" s="174"/>
      <c r="N483" s="174">
        <f t="shared" si="332"/>
        <v>1</v>
      </c>
      <c r="O483" s="174">
        <f t="shared" si="316"/>
        <v>1</v>
      </c>
      <c r="P483" s="87" t="s">
        <v>326</v>
      </c>
      <c r="Q483" s="90">
        <f t="shared" si="324"/>
        <v>2.0125000000000002</v>
      </c>
      <c r="R483" s="78"/>
      <c r="S483" s="78"/>
      <c r="T483" s="78"/>
      <c r="U483" s="78"/>
      <c r="V483" s="78"/>
      <c r="W483" s="78"/>
      <c r="X483" s="78"/>
      <c r="Y483" s="78"/>
      <c r="Z483" s="78"/>
      <c r="AA483" s="78"/>
      <c r="AB483" s="78"/>
      <c r="AC483" s="78"/>
      <c r="AD483" s="78"/>
      <c r="AE483" s="78"/>
      <c r="AF483" s="78"/>
      <c r="AG483" s="78"/>
      <c r="AH483" s="78"/>
      <c r="AI483" s="78"/>
      <c r="AJ483" s="78"/>
      <c r="AK483" s="78"/>
      <c r="AL483" s="78"/>
      <c r="AM483" s="78"/>
      <c r="AN483" s="78"/>
      <c r="AO483" s="78"/>
      <c r="AP483" s="78"/>
      <c r="AQ483" s="78"/>
      <c r="AR483" s="78"/>
      <c r="AS483" s="78"/>
      <c r="AT483" s="78"/>
      <c r="AU483" s="78"/>
      <c r="AV483" s="78"/>
      <c r="AW483" s="78"/>
      <c r="AX483" s="78"/>
      <c r="AY483" s="91"/>
      <c r="AZ483" s="78"/>
      <c r="BA483" s="78"/>
      <c r="BB483" s="78"/>
      <c r="BC483" s="78"/>
      <c r="BD483" s="78"/>
      <c r="BE483" s="78"/>
      <c r="BF483" s="78"/>
      <c r="BG483" s="78"/>
      <c r="BH483" s="78"/>
      <c r="BI483" s="78"/>
      <c r="BJ483" s="78"/>
      <c r="BK483" s="78"/>
      <c r="BL483" s="78"/>
      <c r="BM483" s="78"/>
      <c r="BN483" s="78"/>
      <c r="BO483" s="78"/>
      <c r="BP483" s="78"/>
      <c r="BQ483" s="78"/>
      <c r="BR483" s="78"/>
      <c r="BS483" s="78"/>
      <c r="BT483" s="78"/>
      <c r="BU483" s="78"/>
      <c r="BV483" s="78"/>
      <c r="BW483" s="78"/>
      <c r="BX483" s="78"/>
      <c r="BY483" s="78"/>
      <c r="BZ483" s="78"/>
      <c r="CA483" s="78"/>
      <c r="CB483" s="78"/>
      <c r="CC483" s="78"/>
      <c r="CD483" s="78"/>
      <c r="CE483" s="78"/>
      <c r="CF483" s="78"/>
      <c r="CG483" s="78"/>
      <c r="CH483" s="78"/>
      <c r="CI483" s="78"/>
      <c r="CJ483" s="78"/>
      <c r="CK483" s="78"/>
      <c r="CL483" s="78"/>
      <c r="CM483" s="78"/>
      <c r="CN483" s="78"/>
      <c r="CO483" s="78"/>
      <c r="CP483" s="78"/>
      <c r="CQ483" s="78"/>
      <c r="CR483" s="78"/>
      <c r="CS483" s="78"/>
      <c r="CT483" s="78"/>
      <c r="CU483" s="78"/>
      <c r="CV483" s="78"/>
      <c r="CW483" s="78"/>
      <c r="CX483" s="78"/>
      <c r="CY483" s="78"/>
      <c r="CZ483" s="78"/>
      <c r="DA483" s="78"/>
      <c r="DB483" s="78"/>
      <c r="DC483" s="78"/>
      <c r="DD483" s="78"/>
      <c r="DE483" s="78"/>
      <c r="DF483" s="78"/>
      <c r="DG483" s="78"/>
      <c r="DH483" s="78"/>
      <c r="DI483" s="78"/>
      <c r="DJ483" s="78"/>
      <c r="DK483" s="78"/>
      <c r="DL483" s="78"/>
      <c r="DM483" s="78"/>
      <c r="DN483" s="78"/>
      <c r="DO483" s="78"/>
      <c r="DP483" s="78"/>
      <c r="DQ483" s="78"/>
      <c r="DR483" s="78"/>
      <c r="DS483" s="78"/>
      <c r="DT483" s="78"/>
      <c r="DU483" s="78"/>
      <c r="DV483" s="78"/>
      <c r="DW483" s="78"/>
      <c r="DX483" s="78"/>
      <c r="DY483" s="78"/>
      <c r="DZ483" s="78"/>
      <c r="EA483" s="78"/>
      <c r="EB483" s="78"/>
      <c r="EC483" s="78"/>
      <c r="ED483" s="78"/>
      <c r="EE483" s="78"/>
      <c r="EF483" s="78"/>
      <c r="EG483" s="78"/>
      <c r="EH483" s="78"/>
      <c r="EI483" s="78"/>
      <c r="EJ483" s="78"/>
      <c r="EK483" s="78"/>
      <c r="EL483" s="78"/>
      <c r="EM483" s="78"/>
      <c r="EN483" s="91"/>
      <c r="EO483" s="91"/>
      <c r="EP483" s="91"/>
      <c r="EQ483" s="91"/>
      <c r="ER483" s="91"/>
      <c r="ES483" s="91"/>
    </row>
    <row r="484" spans="1:149" outlineLevel="1">
      <c r="A484" s="29" t="str">
        <f t="shared" si="329"/>
        <v>modesg_out_empr_info_nfinccm_trnvr_own_prfrmnce_algnd</v>
      </c>
      <c r="B484" s="67" t="s">
        <v>26</v>
      </c>
      <c r="C484" s="68" t="s">
        <v>310</v>
      </c>
      <c r="D484" s="64" t="s">
        <v>40</v>
      </c>
      <c r="E484" s="66" t="s">
        <v>325</v>
      </c>
      <c r="F484" s="64" t="s">
        <v>254</v>
      </c>
      <c r="G484" s="64" t="str">
        <f>INDEX(Auxiliar!$B$16:$B$24,MATCH(Plano_V3!H484,Auxiliar!$C$16:$C$24,0),1)</f>
        <v>1. Concluído</v>
      </c>
      <c r="H484" s="64">
        <f>VLOOKUP(A484,'Aux - pivots1'!$A:$B,2,0)</f>
        <v>1</v>
      </c>
      <c r="I484" s="180">
        <f>SUMIFS(Table1[Estimação (horas)],Table1[Tabela],Plano_V3!E484,Table1[Campo],Plano_V3!F484)</f>
        <v>16.100000000000001</v>
      </c>
      <c r="J484" s="180">
        <f t="shared" si="330"/>
        <v>2.0125000000000002</v>
      </c>
      <c r="K484" s="180">
        <f>SUMIFS(Table1[Horas efetivas],Table1[Tabela],Plano_V3!E484,Table1[Campo],Plano_V3!F484)</f>
        <v>16.100000000000001</v>
      </c>
      <c r="L484" s="180">
        <f t="shared" si="331"/>
        <v>2.0125000000000002</v>
      </c>
      <c r="M484" s="174"/>
      <c r="N484" s="174">
        <f t="shared" si="332"/>
        <v>1</v>
      </c>
      <c r="O484" s="174">
        <f t="shared" si="316"/>
        <v>1</v>
      </c>
      <c r="P484" s="87" t="s">
        <v>326</v>
      </c>
      <c r="Q484" s="90">
        <f t="shared" si="324"/>
        <v>2.0125000000000002</v>
      </c>
      <c r="R484" s="78"/>
      <c r="S484" s="78"/>
      <c r="T484" s="78"/>
      <c r="U484" s="78"/>
      <c r="V484" s="78"/>
      <c r="W484" s="78"/>
      <c r="X484" s="78"/>
      <c r="Y484" s="78"/>
      <c r="Z484" s="78"/>
      <c r="AA484" s="78"/>
      <c r="AB484" s="78"/>
      <c r="AC484" s="78"/>
      <c r="AD484" s="78"/>
      <c r="AE484" s="78"/>
      <c r="AF484" s="78"/>
      <c r="AG484" s="78"/>
      <c r="AH484" s="78"/>
      <c r="AI484" s="78"/>
      <c r="AJ484" s="78"/>
      <c r="AK484" s="78"/>
      <c r="AL484" s="78"/>
      <c r="AM484" s="78"/>
      <c r="AN484" s="78"/>
      <c r="AO484" s="78"/>
      <c r="AP484" s="78"/>
      <c r="AQ484" s="78"/>
      <c r="AR484" s="78"/>
      <c r="AS484" s="78"/>
      <c r="AT484" s="78"/>
      <c r="AU484" s="78"/>
      <c r="AV484" s="78"/>
      <c r="AW484" s="78"/>
      <c r="AX484" s="78"/>
      <c r="AY484" s="91"/>
      <c r="AZ484" s="78"/>
      <c r="BA484" s="78"/>
      <c r="BB484" s="78"/>
      <c r="BC484" s="78"/>
      <c r="BD484" s="78"/>
      <c r="BE484" s="78"/>
      <c r="BF484" s="78"/>
      <c r="BG484" s="78"/>
      <c r="BH484" s="78"/>
      <c r="BI484" s="78"/>
      <c r="BJ484" s="78"/>
      <c r="BK484" s="78"/>
      <c r="BL484" s="78"/>
      <c r="BM484" s="78"/>
      <c r="BN484" s="78"/>
      <c r="BO484" s="78"/>
      <c r="BP484" s="78"/>
      <c r="BQ484" s="78"/>
      <c r="BR484" s="78"/>
      <c r="BS484" s="78"/>
      <c r="BT484" s="78"/>
      <c r="BU484" s="78"/>
      <c r="BV484" s="78"/>
      <c r="BW484" s="78"/>
      <c r="BX484" s="78"/>
      <c r="BY484" s="78"/>
      <c r="BZ484" s="78"/>
      <c r="CA484" s="78"/>
      <c r="CB484" s="78"/>
      <c r="CC484" s="78"/>
      <c r="CD484" s="78"/>
      <c r="CE484" s="78"/>
      <c r="CF484" s="78"/>
      <c r="CG484" s="78"/>
      <c r="CH484" s="78"/>
      <c r="CI484" s="78"/>
      <c r="CJ484" s="78"/>
      <c r="CK484" s="78"/>
      <c r="CL484" s="78"/>
      <c r="CM484" s="78"/>
      <c r="CN484" s="78"/>
      <c r="CO484" s="78"/>
      <c r="CP484" s="78"/>
      <c r="CQ484" s="78"/>
      <c r="CR484" s="78"/>
      <c r="CS484" s="78"/>
      <c r="CT484" s="78"/>
      <c r="CU484" s="78"/>
      <c r="CV484" s="78"/>
      <c r="CW484" s="78"/>
      <c r="CX484" s="78"/>
      <c r="CY484" s="78"/>
      <c r="CZ484" s="78"/>
      <c r="DA484" s="78"/>
      <c r="DB484" s="78"/>
      <c r="DC484" s="78"/>
      <c r="DD484" s="78"/>
      <c r="DE484" s="78"/>
      <c r="DF484" s="78"/>
      <c r="DG484" s="78"/>
      <c r="DH484" s="78"/>
      <c r="DI484" s="78"/>
      <c r="DJ484" s="78"/>
      <c r="DK484" s="78"/>
      <c r="DL484" s="78"/>
      <c r="DM484" s="78"/>
      <c r="DN484" s="78"/>
      <c r="DO484" s="78"/>
      <c r="DP484" s="78"/>
      <c r="DQ484" s="78"/>
      <c r="DR484" s="78"/>
      <c r="DS484" s="78"/>
      <c r="DT484" s="78"/>
      <c r="DU484" s="78"/>
      <c r="DV484" s="78"/>
      <c r="DW484" s="78"/>
      <c r="DX484" s="78"/>
      <c r="DY484" s="78"/>
      <c r="DZ484" s="78"/>
      <c r="EA484" s="78"/>
      <c r="EB484" s="78"/>
      <c r="EC484" s="78"/>
      <c r="ED484" s="78"/>
      <c r="EE484" s="78"/>
      <c r="EF484" s="78"/>
      <c r="EG484" s="78"/>
      <c r="EH484" s="78"/>
      <c r="EI484" s="78"/>
      <c r="EJ484" s="78"/>
      <c r="EK484" s="78"/>
      <c r="EL484" s="78"/>
      <c r="EM484" s="78"/>
      <c r="EN484" s="91"/>
      <c r="EO484" s="91"/>
      <c r="EP484" s="91"/>
      <c r="EQ484" s="91"/>
      <c r="ER484" s="91"/>
      <c r="ES484" s="91"/>
    </row>
    <row r="485" spans="1:149" outlineLevel="1">
      <c r="A485" s="29" t="str">
        <f t="shared" si="329"/>
        <v>modesg_out_empr_info_nfinccm_trnvr_trnstn_alignd</v>
      </c>
      <c r="B485" s="67" t="s">
        <v>26</v>
      </c>
      <c r="C485" s="68" t="s">
        <v>310</v>
      </c>
      <c r="D485" s="64" t="s">
        <v>40</v>
      </c>
      <c r="E485" s="66" t="s">
        <v>325</v>
      </c>
      <c r="F485" s="64" t="s">
        <v>253</v>
      </c>
      <c r="G485" s="64" t="str">
        <f>INDEX(Auxiliar!$B$16:$B$24,MATCH(Plano_V3!H485,Auxiliar!$C$16:$C$24,0),1)</f>
        <v>1. Concluído</v>
      </c>
      <c r="H485" s="64">
        <f>VLOOKUP(A485,'Aux - pivots1'!$A:$B,2,0)</f>
        <v>1</v>
      </c>
      <c r="I485" s="180">
        <f>SUMIFS(Table1[Estimação (horas)],Table1[Tabela],Plano_V3!E485,Table1[Campo],Plano_V3!F485)</f>
        <v>16.100000000000001</v>
      </c>
      <c r="J485" s="180">
        <f t="shared" si="330"/>
        <v>2.0125000000000002</v>
      </c>
      <c r="K485" s="180">
        <f>SUMIFS(Table1[Horas efetivas],Table1[Tabela],Plano_V3!E485,Table1[Campo],Plano_V3!F485)</f>
        <v>16.100000000000001</v>
      </c>
      <c r="L485" s="180">
        <f t="shared" si="331"/>
        <v>2.0125000000000002</v>
      </c>
      <c r="M485" s="174"/>
      <c r="N485" s="174">
        <f t="shared" si="332"/>
        <v>1</v>
      </c>
      <c r="O485" s="174">
        <f t="shared" si="316"/>
        <v>1</v>
      </c>
      <c r="P485" s="87" t="s">
        <v>326</v>
      </c>
      <c r="Q485" s="90">
        <f t="shared" si="324"/>
        <v>2.0125000000000002</v>
      </c>
      <c r="R485" s="78"/>
      <c r="S485" s="78"/>
      <c r="T485" s="78"/>
      <c r="U485" s="78"/>
      <c r="V485" s="78"/>
      <c r="W485" s="78"/>
      <c r="X485" s="78"/>
      <c r="Y485" s="78"/>
      <c r="Z485" s="78"/>
      <c r="AA485" s="78"/>
      <c r="AB485" s="78"/>
      <c r="AC485" s="78"/>
      <c r="AD485" s="78"/>
      <c r="AE485" s="78"/>
      <c r="AF485" s="78"/>
      <c r="AG485" s="78"/>
      <c r="AH485" s="78"/>
      <c r="AI485" s="78"/>
      <c r="AJ485" s="78"/>
      <c r="AK485" s="78"/>
      <c r="AL485" s="78"/>
      <c r="AM485" s="78"/>
      <c r="AN485" s="78"/>
      <c r="AO485" s="78"/>
      <c r="AP485" s="78"/>
      <c r="AQ485" s="78"/>
      <c r="AR485" s="78"/>
      <c r="AS485" s="78"/>
      <c r="AT485" s="78"/>
      <c r="AU485" s="78"/>
      <c r="AV485" s="78"/>
      <c r="AW485" s="78"/>
      <c r="AX485" s="78"/>
      <c r="AY485" s="91"/>
      <c r="AZ485" s="78"/>
      <c r="BA485" s="78"/>
      <c r="BB485" s="78"/>
      <c r="BC485" s="78"/>
      <c r="BD485" s="78"/>
      <c r="BE485" s="78"/>
      <c r="BF485" s="78"/>
      <c r="BG485" s="78"/>
      <c r="BH485" s="78"/>
      <c r="BI485" s="78"/>
      <c r="BJ485" s="78"/>
      <c r="BK485" s="78"/>
      <c r="BL485" s="78"/>
      <c r="BM485" s="78"/>
      <c r="BN485" s="78"/>
      <c r="BO485" s="78"/>
      <c r="BP485" s="78"/>
      <c r="BQ485" s="78"/>
      <c r="BR485" s="78"/>
      <c r="BS485" s="78"/>
      <c r="BT485" s="78"/>
      <c r="BU485" s="78"/>
      <c r="BV485" s="78"/>
      <c r="BW485" s="78"/>
      <c r="BX485" s="78"/>
      <c r="BY485" s="78"/>
      <c r="BZ485" s="78"/>
      <c r="CA485" s="78"/>
      <c r="CB485" s="78"/>
      <c r="CC485" s="78"/>
      <c r="CD485" s="78"/>
      <c r="CE485" s="78"/>
      <c r="CF485" s="78"/>
      <c r="CG485" s="78"/>
      <c r="CH485" s="78"/>
      <c r="CI485" s="78"/>
      <c r="CJ485" s="78"/>
      <c r="CK485" s="78"/>
      <c r="CL485" s="78"/>
      <c r="CM485" s="78"/>
      <c r="CN485" s="78"/>
      <c r="CO485" s="78"/>
      <c r="CP485" s="78"/>
      <c r="CQ485" s="78"/>
      <c r="CR485" s="78"/>
      <c r="CS485" s="78"/>
      <c r="CT485" s="78"/>
      <c r="CU485" s="78"/>
      <c r="CV485" s="78"/>
      <c r="CW485" s="78"/>
      <c r="CX485" s="78"/>
      <c r="CY485" s="78"/>
      <c r="CZ485" s="78"/>
      <c r="DA485" s="78"/>
      <c r="DB485" s="78"/>
      <c r="DC485" s="78"/>
      <c r="DD485" s="78"/>
      <c r="DE485" s="78"/>
      <c r="DF485" s="78"/>
      <c r="DG485" s="78"/>
      <c r="DH485" s="78"/>
      <c r="DI485" s="78"/>
      <c r="DJ485" s="78"/>
      <c r="DK485" s="78"/>
      <c r="DL485" s="78"/>
      <c r="DM485" s="78"/>
      <c r="DN485" s="78"/>
      <c r="DO485" s="78"/>
      <c r="DP485" s="78"/>
      <c r="DQ485" s="78"/>
      <c r="DR485" s="78"/>
      <c r="DS485" s="78"/>
      <c r="DT485" s="78"/>
      <c r="DU485" s="78"/>
      <c r="DV485" s="78"/>
      <c r="DW485" s="78"/>
      <c r="DX485" s="78"/>
      <c r="DY485" s="78"/>
      <c r="DZ485" s="78"/>
      <c r="EA485" s="78"/>
      <c r="EB485" s="78"/>
      <c r="EC485" s="78"/>
      <c r="ED485" s="78"/>
      <c r="EE485" s="78"/>
      <c r="EF485" s="78"/>
      <c r="EG485" s="78"/>
      <c r="EH485" s="78"/>
      <c r="EI485" s="78"/>
      <c r="EJ485" s="78"/>
      <c r="EK485" s="78"/>
      <c r="EL485" s="78"/>
      <c r="EM485" s="78"/>
      <c r="EN485" s="91"/>
      <c r="EO485" s="91"/>
      <c r="EP485" s="91"/>
      <c r="EQ485" s="91"/>
      <c r="ER485" s="91"/>
      <c r="ES485" s="91"/>
    </row>
    <row r="486" spans="1:149" outlineLevel="1">
      <c r="A486" s="29" t="str">
        <f>E486&amp;F486</f>
        <v>modesg_out_empr_info_nfinccm_trnvr_ttl_elgbl</v>
      </c>
      <c r="B486" s="67" t="s">
        <v>26</v>
      </c>
      <c r="C486" s="68" t="s">
        <v>310</v>
      </c>
      <c r="D486" s="64" t="s">
        <v>40</v>
      </c>
      <c r="E486" s="66" t="s">
        <v>325</v>
      </c>
      <c r="F486" s="64" t="s">
        <v>251</v>
      </c>
      <c r="G486" s="64" t="str">
        <f>INDEX(Auxiliar!$B$16:$B$24,MATCH(Plano_V3!H486,Auxiliar!$C$16:$C$24,0),1)</f>
        <v>1. Concluído</v>
      </c>
      <c r="H486" s="64">
        <f>VLOOKUP(A486,'Aux - pivots1'!$A:$B,2,0)</f>
        <v>1</v>
      </c>
      <c r="I486" s="180">
        <f>SUMIFS(Table1[Estimação (horas)],Table1[Tabela],Plano_V3!E486,Table1[Campo],Plano_V3!F486)</f>
        <v>16.100000000000001</v>
      </c>
      <c r="J486" s="180">
        <f>I486/8</f>
        <v>2.0125000000000002</v>
      </c>
      <c r="K486" s="180">
        <f>SUMIFS(Table1[Horas efetivas],Table1[Tabela],Plano_V3!E486,Table1[Campo],Plano_V3!F486)</f>
        <v>16.100000000000001</v>
      </c>
      <c r="L486" s="180">
        <f>K486/8</f>
        <v>2.0125000000000002</v>
      </c>
      <c r="M486" s="174"/>
      <c r="N486" s="174">
        <f>L486/J486</f>
        <v>1</v>
      </c>
      <c r="O486" s="174">
        <f>N486-M486</f>
        <v>1</v>
      </c>
      <c r="P486" s="87" t="s">
        <v>326</v>
      </c>
      <c r="Q486" s="90">
        <f>J486-SUM(R486:ES486)</f>
        <v>2.0125000000000002</v>
      </c>
      <c r="R486" s="78"/>
      <c r="S486" s="78"/>
      <c r="T486" s="78"/>
      <c r="U486" s="78"/>
      <c r="V486" s="78"/>
      <c r="W486" s="78"/>
      <c r="X486" s="78"/>
      <c r="Y486" s="78"/>
      <c r="Z486" s="78"/>
      <c r="AA486" s="78"/>
      <c r="AB486" s="78"/>
      <c r="AC486" s="78"/>
      <c r="AD486" s="78"/>
      <c r="AE486" s="78"/>
      <c r="AF486" s="78"/>
      <c r="AG486" s="78"/>
      <c r="AH486" s="78"/>
      <c r="AI486" s="78"/>
      <c r="AJ486" s="78"/>
      <c r="AK486" s="78"/>
      <c r="AL486" s="78"/>
      <c r="AM486" s="78"/>
      <c r="AN486" s="78"/>
      <c r="AO486" s="78"/>
      <c r="AP486" s="78"/>
      <c r="AQ486" s="78"/>
      <c r="AR486" s="78"/>
      <c r="AS486" s="78"/>
      <c r="AT486" s="78"/>
      <c r="AU486" s="78"/>
      <c r="AV486" s="78"/>
      <c r="AW486" s="78"/>
      <c r="AX486" s="78"/>
      <c r="AY486" s="91"/>
      <c r="AZ486" s="78"/>
      <c r="BA486" s="78"/>
      <c r="BB486" s="78"/>
      <c r="BC486" s="78"/>
      <c r="BD486" s="78"/>
      <c r="BE486" s="78"/>
      <c r="BF486" s="78"/>
      <c r="BG486" s="78"/>
      <c r="BH486" s="78"/>
      <c r="BI486" s="78"/>
      <c r="BJ486" s="78"/>
      <c r="BK486" s="78"/>
      <c r="BL486" s="78"/>
      <c r="BM486" s="78"/>
      <c r="BN486" s="78"/>
      <c r="BO486" s="78"/>
      <c r="BP486" s="78"/>
      <c r="BQ486" s="78"/>
      <c r="BR486" s="78"/>
      <c r="BS486" s="78"/>
      <c r="BT486" s="78"/>
      <c r="BU486" s="78"/>
      <c r="BV486" s="78"/>
      <c r="BW486" s="78"/>
      <c r="BX486" s="78"/>
      <c r="BY486" s="78"/>
      <c r="BZ486" s="78"/>
      <c r="CA486" s="78"/>
      <c r="CB486" s="78"/>
      <c r="CC486" s="78"/>
      <c r="CD486" s="78"/>
      <c r="CE486" s="78"/>
      <c r="CF486" s="78"/>
      <c r="CG486" s="78"/>
      <c r="CH486" s="78"/>
      <c r="CI486" s="78"/>
      <c r="CJ486" s="78"/>
      <c r="CK486" s="78"/>
      <c r="CL486" s="78"/>
      <c r="CM486" s="78"/>
      <c r="CN486" s="78"/>
      <c r="CO486" s="78"/>
      <c r="CP486" s="78"/>
      <c r="CQ486" s="78"/>
      <c r="CR486" s="78"/>
      <c r="CS486" s="78"/>
      <c r="CT486" s="78"/>
      <c r="CU486" s="78"/>
      <c r="CV486" s="78"/>
      <c r="CW486" s="78"/>
      <c r="CX486" s="78"/>
      <c r="CY486" s="78"/>
      <c r="CZ486" s="78"/>
      <c r="DA486" s="78"/>
      <c r="DB486" s="78"/>
      <c r="DC486" s="78"/>
      <c r="DD486" s="78"/>
      <c r="DE486" s="78"/>
      <c r="DF486" s="78"/>
      <c r="DG486" s="78"/>
      <c r="DH486" s="78"/>
      <c r="DI486" s="78"/>
      <c r="DJ486" s="78"/>
      <c r="DK486" s="78"/>
      <c r="DL486" s="78"/>
      <c r="DM486" s="78"/>
      <c r="DN486" s="78"/>
      <c r="DO486" s="78"/>
      <c r="DP486" s="78"/>
      <c r="DQ486" s="78"/>
      <c r="DR486" s="78"/>
      <c r="DS486" s="78"/>
      <c r="DT486" s="78"/>
      <c r="DU486" s="78"/>
      <c r="DV486" s="78"/>
      <c r="DW486" s="78"/>
      <c r="DX486" s="78"/>
      <c r="DY486" s="78"/>
      <c r="DZ486" s="78"/>
      <c r="EA486" s="78"/>
      <c r="EB486" s="78"/>
      <c r="EC486" s="78"/>
      <c r="ED486" s="78"/>
      <c r="EE486" s="78"/>
      <c r="EF486" s="78"/>
      <c r="EG486" s="78"/>
      <c r="EH486" s="78"/>
      <c r="EI486" s="78"/>
      <c r="EJ486" s="78"/>
      <c r="EK486" s="78"/>
      <c r="EL486" s="78"/>
      <c r="EM486" s="78"/>
      <c r="EN486" s="91"/>
      <c r="EO486" s="91"/>
      <c r="EP486" s="91"/>
      <c r="EQ486" s="91"/>
      <c r="ER486" s="91"/>
      <c r="ES486" s="91"/>
    </row>
    <row r="487" spans="1:149" outlineLevel="1">
      <c r="A487" s="29" t="str">
        <f t="shared" ref="A487:A506" si="333">E487&amp;F487</f>
        <v>modesg_out_empr_info_nfinppc_trnvr_ttl_elgbl</v>
      </c>
      <c r="B487" s="67" t="s">
        <v>26</v>
      </c>
      <c r="C487" s="68" t="s">
        <v>310</v>
      </c>
      <c r="D487" s="64" t="s">
        <v>40</v>
      </c>
      <c r="E487" s="66" t="s">
        <v>325</v>
      </c>
      <c r="F487" s="64" t="s">
        <v>259</v>
      </c>
      <c r="G487" s="64" t="str">
        <f>INDEX(Auxiliar!$B$16:$B$24,MATCH(Plano_V3!H487,Auxiliar!$C$16:$C$24,0),1)</f>
        <v>1. Concluído</v>
      </c>
      <c r="H487" s="64">
        <f>VLOOKUP(A487,'Aux - pivots1'!$A:$B,2,0)</f>
        <v>1</v>
      </c>
      <c r="I487" s="180" t="e">
        <f>SUMIFS(Table1[Estimação (horas)],Table1[Tabela],Plano_V3!E487,Table1[Campo],Plano_V3!F487)</f>
        <v>#N/A</v>
      </c>
      <c r="J487" s="180" t="e">
        <f t="shared" ref="J487:J506" si="334">I487/8</f>
        <v>#N/A</v>
      </c>
      <c r="K487" s="180" t="e">
        <f>SUMIFS(Table1[Horas efetivas],Table1[Tabela],Plano_V3!E487,Table1[Campo],Plano_V3!F487)</f>
        <v>#N/A</v>
      </c>
      <c r="L487" s="180" t="e">
        <f t="shared" ref="L487:L506" si="335">K487/8</f>
        <v>#N/A</v>
      </c>
      <c r="M487" s="174"/>
      <c r="N487" s="174" t="e">
        <f t="shared" ref="N487:N506" si="336">L487/J487</f>
        <v>#N/A</v>
      </c>
      <c r="O487" s="174" t="e">
        <f t="shared" ref="O487:O506" si="337">N487-M487</f>
        <v>#N/A</v>
      </c>
      <c r="P487" s="87" t="s">
        <v>326</v>
      </c>
      <c r="Q487" s="90"/>
      <c r="R487" s="78"/>
      <c r="S487" s="78"/>
      <c r="T487" s="78"/>
      <c r="U487" s="78"/>
      <c r="V487" s="78"/>
      <c r="W487" s="78"/>
      <c r="X487" s="78"/>
      <c r="Y487" s="78"/>
      <c r="Z487" s="78"/>
      <c r="AA487" s="78"/>
      <c r="AB487" s="78"/>
      <c r="AC487" s="78"/>
      <c r="AD487" s="78"/>
      <c r="AE487" s="78"/>
      <c r="AF487" s="78"/>
      <c r="AG487" s="78"/>
      <c r="AH487" s="78"/>
      <c r="AI487" s="78"/>
      <c r="AJ487" s="78"/>
      <c r="AK487" s="78"/>
      <c r="AL487" s="78"/>
      <c r="AM487" s="78"/>
      <c r="AN487" s="78"/>
      <c r="AO487" s="78"/>
      <c r="AP487" s="78"/>
      <c r="AQ487" s="78"/>
      <c r="AR487" s="78"/>
      <c r="AS487" s="78"/>
      <c r="AT487" s="78"/>
      <c r="AU487" s="78"/>
      <c r="AV487" s="78"/>
      <c r="AW487" s="78"/>
      <c r="AX487" s="78"/>
      <c r="AY487" s="91"/>
      <c r="AZ487" s="78"/>
      <c r="BA487" s="78"/>
      <c r="BB487" s="78"/>
      <c r="BC487" s="78"/>
      <c r="BD487" s="78"/>
      <c r="BE487" s="78"/>
      <c r="BF487" s="78"/>
      <c r="BG487" s="78"/>
      <c r="BH487" s="78"/>
      <c r="BI487" s="78"/>
      <c r="BJ487" s="78"/>
      <c r="BK487" s="78"/>
      <c r="BL487" s="78"/>
      <c r="BM487" s="78"/>
      <c r="BN487" s="78"/>
      <c r="BO487" s="78"/>
      <c r="BP487" s="78"/>
      <c r="BQ487" s="78"/>
      <c r="BR487" s="78"/>
      <c r="BS487" s="78"/>
      <c r="BT487" s="78"/>
      <c r="BU487" s="78"/>
      <c r="BV487" s="78"/>
      <c r="BW487" s="78"/>
      <c r="BX487" s="78"/>
      <c r="BY487" s="78"/>
      <c r="BZ487" s="78"/>
      <c r="CA487" s="78"/>
      <c r="CB487" s="78"/>
      <c r="CC487" s="78"/>
      <c r="CD487" s="78"/>
      <c r="CE487" s="78"/>
      <c r="CF487" s="78"/>
      <c r="CG487" s="78"/>
      <c r="CH487" s="78"/>
      <c r="CI487" s="78"/>
      <c r="CJ487" s="78"/>
      <c r="CK487" s="78"/>
      <c r="CL487" s="78"/>
      <c r="CM487" s="78"/>
      <c r="CN487" s="78"/>
      <c r="CO487" s="78"/>
      <c r="CP487" s="78"/>
      <c r="CQ487" s="78"/>
      <c r="CR487" s="78"/>
      <c r="CS487" s="78"/>
      <c r="CT487" s="78"/>
      <c r="CU487" s="78"/>
      <c r="CV487" s="78"/>
      <c r="CW487" s="78"/>
      <c r="CX487" s="78"/>
      <c r="CY487" s="78"/>
      <c r="CZ487" s="78"/>
      <c r="DA487" s="78"/>
      <c r="DB487" s="78"/>
      <c r="DC487" s="78"/>
      <c r="DD487" s="78"/>
      <c r="DE487" s="78"/>
      <c r="DF487" s="78"/>
      <c r="DG487" s="78"/>
      <c r="DH487" s="78"/>
      <c r="DI487" s="78"/>
      <c r="DJ487" s="78"/>
      <c r="DK487" s="78"/>
      <c r="DL487" s="78"/>
      <c r="DM487" s="78"/>
      <c r="DN487" s="78"/>
      <c r="DO487" s="78"/>
      <c r="DP487" s="78"/>
      <c r="DQ487" s="78"/>
      <c r="DR487" s="78"/>
      <c r="DS487" s="78"/>
      <c r="DT487" s="78"/>
      <c r="DU487" s="78"/>
      <c r="DV487" s="78"/>
      <c r="DW487" s="78"/>
      <c r="DX487" s="78"/>
      <c r="DY487" s="78"/>
      <c r="DZ487" s="78"/>
      <c r="EA487" s="78"/>
      <c r="EB487" s="78"/>
      <c r="EC487" s="78"/>
      <c r="ED487" s="78"/>
      <c r="EE487" s="78"/>
      <c r="EF487" s="78"/>
      <c r="EG487" s="78"/>
      <c r="EH487" s="78"/>
      <c r="EI487" s="78"/>
      <c r="EJ487" s="78"/>
      <c r="EK487" s="78"/>
      <c r="EL487" s="78"/>
      <c r="EM487" s="78"/>
      <c r="EN487" s="91"/>
      <c r="EO487" s="91"/>
      <c r="EP487" s="91"/>
      <c r="EQ487" s="91"/>
      <c r="ER487" s="91"/>
      <c r="ES487" s="91"/>
    </row>
    <row r="488" spans="1:149" outlineLevel="1">
      <c r="A488" s="29" t="str">
        <f t="shared" si="333"/>
        <v>modesg_out_empr_info_nfinppc_turnover_own_prfrmnce_algnd</v>
      </c>
      <c r="B488" s="67" t="s">
        <v>26</v>
      </c>
      <c r="C488" s="68" t="s">
        <v>310</v>
      </c>
      <c r="D488" s="64" t="s">
        <v>40</v>
      </c>
      <c r="E488" s="66" t="s">
        <v>325</v>
      </c>
      <c r="F488" s="64" t="s">
        <v>260</v>
      </c>
      <c r="G488" s="64" t="str">
        <f>INDEX(Auxiliar!$B$16:$B$24,MATCH(Plano_V3!H488,Auxiliar!$C$16:$C$24,0),1)</f>
        <v>1. Concluído</v>
      </c>
      <c r="H488" s="64">
        <f>VLOOKUP(A488,'Aux - pivots1'!$A:$B,2,0)</f>
        <v>1</v>
      </c>
      <c r="I488" s="180" t="e">
        <f>SUMIFS(Table1[Estimação (horas)],Table1[Tabela],Plano_V3!E488,Table1[Campo],Plano_V3!F488)</f>
        <v>#N/A</v>
      </c>
      <c r="J488" s="180" t="e">
        <f t="shared" si="334"/>
        <v>#N/A</v>
      </c>
      <c r="K488" s="180" t="e">
        <f>SUMIFS(Table1[Horas efetivas],Table1[Tabela],Plano_V3!E488,Table1[Campo],Plano_V3!F488)</f>
        <v>#N/A</v>
      </c>
      <c r="L488" s="180" t="e">
        <f t="shared" si="335"/>
        <v>#N/A</v>
      </c>
      <c r="M488" s="174"/>
      <c r="N488" s="174" t="e">
        <f t="shared" si="336"/>
        <v>#N/A</v>
      </c>
      <c r="O488" s="174" t="e">
        <f t="shared" si="337"/>
        <v>#N/A</v>
      </c>
      <c r="P488" s="87" t="s">
        <v>326</v>
      </c>
      <c r="Q488" s="90"/>
      <c r="R488" s="78"/>
      <c r="S488" s="78"/>
      <c r="T488" s="78"/>
      <c r="U488" s="78"/>
      <c r="V488" s="78"/>
      <c r="W488" s="78"/>
      <c r="X488" s="78"/>
      <c r="Y488" s="78"/>
      <c r="Z488" s="78"/>
      <c r="AA488" s="78"/>
      <c r="AB488" s="78"/>
      <c r="AC488" s="78"/>
      <c r="AD488" s="78"/>
      <c r="AE488" s="78"/>
      <c r="AF488" s="78"/>
      <c r="AG488" s="78"/>
      <c r="AH488" s="78"/>
      <c r="AI488" s="78"/>
      <c r="AJ488" s="78"/>
      <c r="AK488" s="78"/>
      <c r="AL488" s="78"/>
      <c r="AM488" s="78"/>
      <c r="AN488" s="78"/>
      <c r="AO488" s="78"/>
      <c r="AP488" s="78"/>
      <c r="AQ488" s="78"/>
      <c r="AR488" s="78"/>
      <c r="AS488" s="78"/>
      <c r="AT488" s="78"/>
      <c r="AU488" s="78"/>
      <c r="AV488" s="78"/>
      <c r="AW488" s="78"/>
      <c r="AX488" s="78"/>
      <c r="AY488" s="91"/>
      <c r="AZ488" s="78"/>
      <c r="BA488" s="78"/>
      <c r="BB488" s="78"/>
      <c r="BC488" s="78"/>
      <c r="BD488" s="78"/>
      <c r="BE488" s="78"/>
      <c r="BF488" s="78"/>
      <c r="BG488" s="78"/>
      <c r="BH488" s="78"/>
      <c r="BI488" s="78"/>
      <c r="BJ488" s="78"/>
      <c r="BK488" s="78"/>
      <c r="BL488" s="78"/>
      <c r="BM488" s="78"/>
      <c r="BN488" s="78"/>
      <c r="BO488" s="78"/>
      <c r="BP488" s="78"/>
      <c r="BQ488" s="78"/>
      <c r="BR488" s="78"/>
      <c r="BS488" s="78"/>
      <c r="BT488" s="78"/>
      <c r="BU488" s="78"/>
      <c r="BV488" s="78"/>
      <c r="BW488" s="78"/>
      <c r="BX488" s="78"/>
      <c r="BY488" s="78"/>
      <c r="BZ488" s="78"/>
      <c r="CA488" s="78"/>
      <c r="CB488" s="78"/>
      <c r="CC488" s="78"/>
      <c r="CD488" s="78"/>
      <c r="CE488" s="78"/>
      <c r="CF488" s="78"/>
      <c r="CG488" s="78"/>
      <c r="CH488" s="78"/>
      <c r="CI488" s="78"/>
      <c r="CJ488" s="78"/>
      <c r="CK488" s="78"/>
      <c r="CL488" s="78"/>
      <c r="CM488" s="78"/>
      <c r="CN488" s="78"/>
      <c r="CO488" s="78"/>
      <c r="CP488" s="78"/>
      <c r="CQ488" s="78"/>
      <c r="CR488" s="78"/>
      <c r="CS488" s="78"/>
      <c r="CT488" s="78"/>
      <c r="CU488" s="78"/>
      <c r="CV488" s="78"/>
      <c r="CW488" s="78"/>
      <c r="CX488" s="78"/>
      <c r="CY488" s="78"/>
      <c r="CZ488" s="78"/>
      <c r="DA488" s="78"/>
      <c r="DB488" s="78"/>
      <c r="DC488" s="78"/>
      <c r="DD488" s="78"/>
      <c r="DE488" s="78"/>
      <c r="DF488" s="78"/>
      <c r="DG488" s="78"/>
      <c r="DH488" s="78"/>
      <c r="DI488" s="78"/>
      <c r="DJ488" s="78"/>
      <c r="DK488" s="78"/>
      <c r="DL488" s="78"/>
      <c r="DM488" s="78"/>
      <c r="DN488" s="78"/>
      <c r="DO488" s="78"/>
      <c r="DP488" s="78"/>
      <c r="DQ488" s="78"/>
      <c r="DR488" s="78"/>
      <c r="DS488" s="78"/>
      <c r="DT488" s="78"/>
      <c r="DU488" s="78"/>
      <c r="DV488" s="78"/>
      <c r="DW488" s="78"/>
      <c r="DX488" s="78"/>
      <c r="DY488" s="78"/>
      <c r="DZ488" s="78"/>
      <c r="EA488" s="78"/>
      <c r="EB488" s="78"/>
      <c r="EC488" s="78"/>
      <c r="ED488" s="78"/>
      <c r="EE488" s="78"/>
      <c r="EF488" s="78"/>
      <c r="EG488" s="78"/>
      <c r="EH488" s="78"/>
      <c r="EI488" s="78"/>
      <c r="EJ488" s="78"/>
      <c r="EK488" s="78"/>
      <c r="EL488" s="78"/>
      <c r="EM488" s="78"/>
      <c r="EN488" s="91"/>
      <c r="EO488" s="91"/>
      <c r="EP488" s="91"/>
      <c r="EQ488" s="91"/>
      <c r="ER488" s="91"/>
      <c r="ES488" s="91"/>
    </row>
    <row r="489" spans="1:149" outlineLevel="1">
      <c r="A489" s="29" t="str">
        <f t="shared" si="333"/>
        <v>modesg_out_empr_info_nfinppc_capex_ttl_elgbl</v>
      </c>
      <c r="B489" s="67" t="s">
        <v>26</v>
      </c>
      <c r="C489" s="68" t="s">
        <v>310</v>
      </c>
      <c r="D489" s="64" t="s">
        <v>40</v>
      </c>
      <c r="E489" s="66" t="s">
        <v>325</v>
      </c>
      <c r="F489" s="64" t="s">
        <v>261</v>
      </c>
      <c r="G489" s="64" t="str">
        <f>INDEX(Auxiliar!$B$16:$B$24,MATCH(Plano_V3!H489,Auxiliar!$C$16:$C$24,0),1)</f>
        <v>1. Concluído</v>
      </c>
      <c r="H489" s="64">
        <f>VLOOKUP(A489,'Aux - pivots1'!$A:$B,2,0)</f>
        <v>1</v>
      </c>
      <c r="I489" s="180" t="e">
        <f>SUMIFS(Table1[Estimação (horas)],Table1[Tabela],Plano_V3!E489,Table1[Campo],Plano_V3!F489)</f>
        <v>#N/A</v>
      </c>
      <c r="J489" s="180" t="e">
        <f t="shared" si="334"/>
        <v>#N/A</v>
      </c>
      <c r="K489" s="180" t="e">
        <f>SUMIFS(Table1[Horas efetivas],Table1[Tabela],Plano_V3!E489,Table1[Campo],Plano_V3!F489)</f>
        <v>#N/A</v>
      </c>
      <c r="L489" s="180" t="e">
        <f t="shared" si="335"/>
        <v>#N/A</v>
      </c>
      <c r="M489" s="174"/>
      <c r="N489" s="174" t="e">
        <f t="shared" si="336"/>
        <v>#N/A</v>
      </c>
      <c r="O489" s="174" t="e">
        <f t="shared" si="337"/>
        <v>#N/A</v>
      </c>
      <c r="P489" s="87" t="s">
        <v>326</v>
      </c>
      <c r="Q489" s="90"/>
      <c r="R489" s="78"/>
      <c r="S489" s="78"/>
      <c r="T489" s="78"/>
      <c r="U489" s="78"/>
      <c r="V489" s="78"/>
      <c r="W489" s="78"/>
      <c r="X489" s="78"/>
      <c r="Y489" s="78"/>
      <c r="Z489" s="78"/>
      <c r="AA489" s="78"/>
      <c r="AB489" s="78"/>
      <c r="AC489" s="78"/>
      <c r="AD489" s="78"/>
      <c r="AE489" s="78"/>
      <c r="AF489" s="78"/>
      <c r="AG489" s="78"/>
      <c r="AH489" s="78"/>
      <c r="AI489" s="78"/>
      <c r="AJ489" s="78"/>
      <c r="AK489" s="78"/>
      <c r="AL489" s="78"/>
      <c r="AM489" s="78"/>
      <c r="AN489" s="78"/>
      <c r="AO489" s="78"/>
      <c r="AP489" s="78"/>
      <c r="AQ489" s="78"/>
      <c r="AR489" s="78"/>
      <c r="AS489" s="78"/>
      <c r="AT489" s="78"/>
      <c r="AU489" s="78"/>
      <c r="AV489" s="78"/>
      <c r="AW489" s="78"/>
      <c r="AX489" s="78"/>
      <c r="AY489" s="91"/>
      <c r="AZ489" s="78"/>
      <c r="BA489" s="78"/>
      <c r="BB489" s="78"/>
      <c r="BC489" s="78"/>
      <c r="BD489" s="78"/>
      <c r="BE489" s="78"/>
      <c r="BF489" s="78"/>
      <c r="BG489" s="78"/>
      <c r="BH489" s="78"/>
      <c r="BI489" s="78"/>
      <c r="BJ489" s="78"/>
      <c r="BK489" s="78"/>
      <c r="BL489" s="78"/>
      <c r="BM489" s="78"/>
      <c r="BN489" s="78"/>
      <c r="BO489" s="78"/>
      <c r="BP489" s="78"/>
      <c r="BQ489" s="78"/>
      <c r="BR489" s="78"/>
      <c r="BS489" s="78"/>
      <c r="BT489" s="78"/>
      <c r="BU489" s="78"/>
      <c r="BV489" s="78"/>
      <c r="BW489" s="78"/>
      <c r="BX489" s="78"/>
      <c r="BY489" s="78"/>
      <c r="BZ489" s="78"/>
      <c r="CA489" s="78"/>
      <c r="CB489" s="78"/>
      <c r="CC489" s="78"/>
      <c r="CD489" s="78"/>
      <c r="CE489" s="78"/>
      <c r="CF489" s="78"/>
      <c r="CG489" s="78"/>
      <c r="CH489" s="78"/>
      <c r="CI489" s="78"/>
      <c r="CJ489" s="78"/>
      <c r="CK489" s="78"/>
      <c r="CL489" s="78"/>
      <c r="CM489" s="78"/>
      <c r="CN489" s="78"/>
      <c r="CO489" s="78"/>
      <c r="CP489" s="78"/>
      <c r="CQ489" s="78"/>
      <c r="CR489" s="78"/>
      <c r="CS489" s="78"/>
      <c r="CT489" s="78"/>
      <c r="CU489" s="78"/>
      <c r="CV489" s="78"/>
      <c r="CW489" s="78"/>
      <c r="CX489" s="78"/>
      <c r="CY489" s="78"/>
      <c r="CZ489" s="78"/>
      <c r="DA489" s="78"/>
      <c r="DB489" s="78"/>
      <c r="DC489" s="78"/>
      <c r="DD489" s="78"/>
      <c r="DE489" s="78"/>
      <c r="DF489" s="78"/>
      <c r="DG489" s="78"/>
      <c r="DH489" s="78"/>
      <c r="DI489" s="78"/>
      <c r="DJ489" s="78"/>
      <c r="DK489" s="78"/>
      <c r="DL489" s="78"/>
      <c r="DM489" s="78"/>
      <c r="DN489" s="78"/>
      <c r="DO489" s="78"/>
      <c r="DP489" s="78"/>
      <c r="DQ489" s="78"/>
      <c r="DR489" s="78"/>
      <c r="DS489" s="78"/>
      <c r="DT489" s="78"/>
      <c r="DU489" s="78"/>
      <c r="DV489" s="78"/>
      <c r="DW489" s="78"/>
      <c r="DX489" s="78"/>
      <c r="DY489" s="78"/>
      <c r="DZ489" s="78"/>
      <c r="EA489" s="78"/>
      <c r="EB489" s="78"/>
      <c r="EC489" s="78"/>
      <c r="ED489" s="78"/>
      <c r="EE489" s="78"/>
      <c r="EF489" s="78"/>
      <c r="EG489" s="78"/>
      <c r="EH489" s="78"/>
      <c r="EI489" s="78"/>
      <c r="EJ489" s="78"/>
      <c r="EK489" s="78"/>
      <c r="EL489" s="78"/>
      <c r="EM489" s="78"/>
      <c r="EN489" s="91"/>
      <c r="EO489" s="91"/>
      <c r="EP489" s="91"/>
      <c r="EQ489" s="91"/>
      <c r="ER489" s="91"/>
      <c r="ES489" s="91"/>
    </row>
    <row r="490" spans="1:149" outlineLevel="1">
      <c r="A490" s="29" t="str">
        <f t="shared" si="333"/>
        <v>modesg_out_empr_info_nfinppc_capex_own_prfrmnce_algnd</v>
      </c>
      <c r="B490" s="67" t="s">
        <v>26</v>
      </c>
      <c r="C490" s="68" t="s">
        <v>310</v>
      </c>
      <c r="D490" s="64" t="s">
        <v>40</v>
      </c>
      <c r="E490" s="66" t="s">
        <v>325</v>
      </c>
      <c r="F490" s="64" t="s">
        <v>262</v>
      </c>
      <c r="G490" s="64" t="str">
        <f>INDEX(Auxiliar!$B$16:$B$24,MATCH(Plano_V3!H490,Auxiliar!$C$16:$C$24,0),1)</f>
        <v>1. Concluído</v>
      </c>
      <c r="H490" s="64">
        <f>VLOOKUP(A490,'Aux - pivots1'!$A:$B,2,0)</f>
        <v>1</v>
      </c>
      <c r="I490" s="180" t="e">
        <f>SUMIFS(Table1[Estimação (horas)],Table1[Tabela],Plano_V3!E490,Table1[Campo],Plano_V3!F490)</f>
        <v>#N/A</v>
      </c>
      <c r="J490" s="180" t="e">
        <f t="shared" si="334"/>
        <v>#N/A</v>
      </c>
      <c r="K490" s="180" t="e">
        <f>SUMIFS(Table1[Horas efetivas],Table1[Tabela],Plano_V3!E490,Table1[Campo],Plano_V3!F490)</f>
        <v>#N/A</v>
      </c>
      <c r="L490" s="180" t="e">
        <f t="shared" si="335"/>
        <v>#N/A</v>
      </c>
      <c r="M490" s="174"/>
      <c r="N490" s="174" t="e">
        <f t="shared" si="336"/>
        <v>#N/A</v>
      </c>
      <c r="O490" s="174" t="e">
        <f t="shared" si="337"/>
        <v>#N/A</v>
      </c>
      <c r="P490" s="87" t="s">
        <v>326</v>
      </c>
      <c r="Q490" s="90"/>
      <c r="R490" s="78"/>
      <c r="S490" s="78"/>
      <c r="T490" s="78"/>
      <c r="U490" s="78"/>
      <c r="V490" s="78"/>
      <c r="W490" s="78"/>
      <c r="X490" s="78"/>
      <c r="Y490" s="78"/>
      <c r="Z490" s="78"/>
      <c r="AA490" s="78"/>
      <c r="AB490" s="78"/>
      <c r="AC490" s="78"/>
      <c r="AD490" s="78"/>
      <c r="AE490" s="78"/>
      <c r="AF490" s="78"/>
      <c r="AG490" s="78"/>
      <c r="AH490" s="78"/>
      <c r="AI490" s="78"/>
      <c r="AJ490" s="78"/>
      <c r="AK490" s="78"/>
      <c r="AL490" s="78"/>
      <c r="AM490" s="78"/>
      <c r="AN490" s="78"/>
      <c r="AO490" s="78"/>
      <c r="AP490" s="78"/>
      <c r="AQ490" s="78"/>
      <c r="AR490" s="78"/>
      <c r="AS490" s="78"/>
      <c r="AT490" s="78"/>
      <c r="AU490" s="78"/>
      <c r="AV490" s="78"/>
      <c r="AW490" s="78"/>
      <c r="AX490" s="78"/>
      <c r="AY490" s="91"/>
      <c r="AZ490" s="78"/>
      <c r="BA490" s="78"/>
      <c r="BB490" s="78"/>
      <c r="BC490" s="78"/>
      <c r="BD490" s="78"/>
      <c r="BE490" s="78"/>
      <c r="BF490" s="78"/>
      <c r="BG490" s="78"/>
      <c r="BH490" s="78"/>
      <c r="BI490" s="78"/>
      <c r="BJ490" s="78"/>
      <c r="BK490" s="78"/>
      <c r="BL490" s="78"/>
      <c r="BM490" s="78"/>
      <c r="BN490" s="78"/>
      <c r="BO490" s="78"/>
      <c r="BP490" s="78"/>
      <c r="BQ490" s="78"/>
      <c r="BR490" s="78"/>
      <c r="BS490" s="78"/>
      <c r="BT490" s="78"/>
      <c r="BU490" s="78"/>
      <c r="BV490" s="78"/>
      <c r="BW490" s="78"/>
      <c r="BX490" s="78"/>
      <c r="BY490" s="78"/>
      <c r="BZ490" s="78"/>
      <c r="CA490" s="78"/>
      <c r="CB490" s="78"/>
      <c r="CC490" s="78"/>
      <c r="CD490" s="78"/>
      <c r="CE490" s="78"/>
      <c r="CF490" s="78"/>
      <c r="CG490" s="78"/>
      <c r="CH490" s="78"/>
      <c r="CI490" s="78"/>
      <c r="CJ490" s="78"/>
      <c r="CK490" s="78"/>
      <c r="CL490" s="78"/>
      <c r="CM490" s="78"/>
      <c r="CN490" s="78"/>
      <c r="CO490" s="78"/>
      <c r="CP490" s="78"/>
      <c r="CQ490" s="78"/>
      <c r="CR490" s="78"/>
      <c r="CS490" s="78"/>
      <c r="CT490" s="78"/>
      <c r="CU490" s="78"/>
      <c r="CV490" s="78"/>
      <c r="CW490" s="78"/>
      <c r="CX490" s="78"/>
      <c r="CY490" s="78"/>
      <c r="CZ490" s="78"/>
      <c r="DA490" s="78"/>
      <c r="DB490" s="78"/>
      <c r="DC490" s="78"/>
      <c r="DD490" s="78"/>
      <c r="DE490" s="78"/>
      <c r="DF490" s="78"/>
      <c r="DG490" s="78"/>
      <c r="DH490" s="78"/>
      <c r="DI490" s="78"/>
      <c r="DJ490" s="78"/>
      <c r="DK490" s="78"/>
      <c r="DL490" s="78"/>
      <c r="DM490" s="78"/>
      <c r="DN490" s="78"/>
      <c r="DO490" s="78"/>
      <c r="DP490" s="78"/>
      <c r="DQ490" s="78"/>
      <c r="DR490" s="78"/>
      <c r="DS490" s="78"/>
      <c r="DT490" s="78"/>
      <c r="DU490" s="78"/>
      <c r="DV490" s="78"/>
      <c r="DW490" s="78"/>
      <c r="DX490" s="78"/>
      <c r="DY490" s="78"/>
      <c r="DZ490" s="78"/>
      <c r="EA490" s="78"/>
      <c r="EB490" s="78"/>
      <c r="EC490" s="78"/>
      <c r="ED490" s="78"/>
      <c r="EE490" s="78"/>
      <c r="EF490" s="78"/>
      <c r="EG490" s="78"/>
      <c r="EH490" s="78"/>
      <c r="EI490" s="78"/>
      <c r="EJ490" s="78"/>
      <c r="EK490" s="78"/>
      <c r="EL490" s="78"/>
      <c r="EM490" s="78"/>
      <c r="EN490" s="91"/>
      <c r="EO490" s="91"/>
      <c r="EP490" s="91"/>
      <c r="EQ490" s="91"/>
      <c r="ER490" s="91"/>
      <c r="ES490" s="91"/>
    </row>
    <row r="491" spans="1:149" outlineLevel="1">
      <c r="A491" s="29" t="str">
        <f t="shared" si="333"/>
        <v>modesg_out_empr_info_nfinbio_trnvr_ttl_elgbl</v>
      </c>
      <c r="B491" s="67" t="s">
        <v>26</v>
      </c>
      <c r="C491" s="68" t="s">
        <v>310</v>
      </c>
      <c r="D491" s="64" t="s">
        <v>40</v>
      </c>
      <c r="E491" s="66" t="s">
        <v>325</v>
      </c>
      <c r="F491" s="64" t="s">
        <v>263</v>
      </c>
      <c r="G491" s="64" t="str">
        <f>INDEX(Auxiliar!$B$16:$B$24,MATCH(Plano_V3!H491,Auxiliar!$C$16:$C$24,0),1)</f>
        <v>1. Concluído</v>
      </c>
      <c r="H491" s="64">
        <f>VLOOKUP(A491,'Aux - pivots1'!$A:$B,2,0)</f>
        <v>1</v>
      </c>
      <c r="I491" s="180" t="e">
        <f>SUMIFS(Table1[Estimação (horas)],Table1[Tabela],Plano_V3!E491,Table1[Campo],Plano_V3!F491)</f>
        <v>#N/A</v>
      </c>
      <c r="J491" s="180" t="e">
        <f t="shared" si="334"/>
        <v>#N/A</v>
      </c>
      <c r="K491" s="180" t="e">
        <f>SUMIFS(Table1[Horas efetivas],Table1[Tabela],Plano_V3!E491,Table1[Campo],Plano_V3!F491)</f>
        <v>#N/A</v>
      </c>
      <c r="L491" s="180" t="e">
        <f t="shared" si="335"/>
        <v>#N/A</v>
      </c>
      <c r="M491" s="174"/>
      <c r="N491" s="174" t="e">
        <f t="shared" si="336"/>
        <v>#N/A</v>
      </c>
      <c r="O491" s="174" t="e">
        <f t="shared" si="337"/>
        <v>#N/A</v>
      </c>
      <c r="P491" s="87" t="s">
        <v>326</v>
      </c>
      <c r="Q491" s="90"/>
      <c r="R491" s="78"/>
      <c r="S491" s="78"/>
      <c r="T491" s="78"/>
      <c r="U491" s="78"/>
      <c r="V491" s="78"/>
      <c r="W491" s="78"/>
      <c r="X491" s="78"/>
      <c r="Y491" s="78"/>
      <c r="Z491" s="78"/>
      <c r="AA491" s="78"/>
      <c r="AB491" s="78"/>
      <c r="AC491" s="78"/>
      <c r="AD491" s="78"/>
      <c r="AE491" s="78"/>
      <c r="AF491" s="78"/>
      <c r="AG491" s="78"/>
      <c r="AH491" s="78"/>
      <c r="AI491" s="78"/>
      <c r="AJ491" s="78"/>
      <c r="AK491" s="78"/>
      <c r="AL491" s="78"/>
      <c r="AM491" s="78"/>
      <c r="AN491" s="78"/>
      <c r="AO491" s="78"/>
      <c r="AP491" s="78"/>
      <c r="AQ491" s="78"/>
      <c r="AR491" s="78"/>
      <c r="AS491" s="78"/>
      <c r="AT491" s="78"/>
      <c r="AU491" s="78"/>
      <c r="AV491" s="78"/>
      <c r="AW491" s="78"/>
      <c r="AX491" s="78"/>
      <c r="AY491" s="91"/>
      <c r="AZ491" s="78"/>
      <c r="BA491" s="78"/>
      <c r="BB491" s="78"/>
      <c r="BC491" s="78"/>
      <c r="BD491" s="78"/>
      <c r="BE491" s="78"/>
      <c r="BF491" s="78"/>
      <c r="BG491" s="78"/>
      <c r="BH491" s="78"/>
      <c r="BI491" s="78"/>
      <c r="BJ491" s="78"/>
      <c r="BK491" s="78"/>
      <c r="BL491" s="78"/>
      <c r="BM491" s="78"/>
      <c r="BN491" s="78"/>
      <c r="BO491" s="78"/>
      <c r="BP491" s="78"/>
      <c r="BQ491" s="78"/>
      <c r="BR491" s="78"/>
      <c r="BS491" s="78"/>
      <c r="BT491" s="78"/>
      <c r="BU491" s="78"/>
      <c r="BV491" s="78"/>
      <c r="BW491" s="78"/>
      <c r="BX491" s="78"/>
      <c r="BY491" s="78"/>
      <c r="BZ491" s="78"/>
      <c r="CA491" s="78"/>
      <c r="CB491" s="78"/>
      <c r="CC491" s="78"/>
      <c r="CD491" s="78"/>
      <c r="CE491" s="78"/>
      <c r="CF491" s="78"/>
      <c r="CG491" s="78"/>
      <c r="CH491" s="78"/>
      <c r="CI491" s="78"/>
      <c r="CJ491" s="78"/>
      <c r="CK491" s="78"/>
      <c r="CL491" s="78"/>
      <c r="CM491" s="78"/>
      <c r="CN491" s="78"/>
      <c r="CO491" s="78"/>
      <c r="CP491" s="78"/>
      <c r="CQ491" s="78"/>
      <c r="CR491" s="78"/>
      <c r="CS491" s="78"/>
      <c r="CT491" s="78"/>
      <c r="CU491" s="78"/>
      <c r="CV491" s="78"/>
      <c r="CW491" s="78"/>
      <c r="CX491" s="78"/>
      <c r="CY491" s="78"/>
      <c r="CZ491" s="78"/>
      <c r="DA491" s="78"/>
      <c r="DB491" s="78"/>
      <c r="DC491" s="78"/>
      <c r="DD491" s="78"/>
      <c r="DE491" s="78"/>
      <c r="DF491" s="78"/>
      <c r="DG491" s="78"/>
      <c r="DH491" s="78"/>
      <c r="DI491" s="78"/>
      <c r="DJ491" s="78"/>
      <c r="DK491" s="78"/>
      <c r="DL491" s="78"/>
      <c r="DM491" s="78"/>
      <c r="DN491" s="78"/>
      <c r="DO491" s="78"/>
      <c r="DP491" s="78"/>
      <c r="DQ491" s="78"/>
      <c r="DR491" s="78"/>
      <c r="DS491" s="78"/>
      <c r="DT491" s="78"/>
      <c r="DU491" s="78"/>
      <c r="DV491" s="78"/>
      <c r="DW491" s="78"/>
      <c r="DX491" s="78"/>
      <c r="DY491" s="78"/>
      <c r="DZ491" s="78"/>
      <c r="EA491" s="78"/>
      <c r="EB491" s="78"/>
      <c r="EC491" s="78"/>
      <c r="ED491" s="78"/>
      <c r="EE491" s="78"/>
      <c r="EF491" s="78"/>
      <c r="EG491" s="78"/>
      <c r="EH491" s="78"/>
      <c r="EI491" s="78"/>
      <c r="EJ491" s="78"/>
      <c r="EK491" s="78"/>
      <c r="EL491" s="78"/>
      <c r="EM491" s="78"/>
      <c r="EN491" s="91"/>
      <c r="EO491" s="91"/>
      <c r="EP491" s="91"/>
      <c r="EQ491" s="91"/>
      <c r="ER491" s="91"/>
      <c r="ES491" s="91"/>
    </row>
    <row r="492" spans="1:149" outlineLevel="1">
      <c r="A492" s="29" t="str">
        <f t="shared" si="333"/>
        <v>modesg_out_empr_info_nfinbio_turnover_own_prfrmnce_algnd</v>
      </c>
      <c r="B492" s="67" t="s">
        <v>26</v>
      </c>
      <c r="C492" s="68" t="s">
        <v>310</v>
      </c>
      <c r="D492" s="64" t="s">
        <v>40</v>
      </c>
      <c r="E492" s="66" t="s">
        <v>325</v>
      </c>
      <c r="F492" s="64" t="s">
        <v>264</v>
      </c>
      <c r="G492" s="64" t="str">
        <f>INDEX(Auxiliar!$B$16:$B$24,MATCH(Plano_V3!H492,Auxiliar!$C$16:$C$24,0),1)</f>
        <v>1. Concluído</v>
      </c>
      <c r="H492" s="64">
        <f>VLOOKUP(A492,'Aux - pivots1'!$A:$B,2,0)</f>
        <v>1</v>
      </c>
      <c r="I492" s="180" t="e">
        <f>SUMIFS(Table1[Estimação (horas)],Table1[Tabela],Plano_V3!E492,Table1[Campo],Plano_V3!F492)</f>
        <v>#N/A</v>
      </c>
      <c r="J492" s="180" t="e">
        <f t="shared" si="334"/>
        <v>#N/A</v>
      </c>
      <c r="K492" s="180" t="e">
        <f>SUMIFS(Table1[Horas efetivas],Table1[Tabela],Plano_V3!E492,Table1[Campo],Plano_V3!F492)</f>
        <v>#N/A</v>
      </c>
      <c r="L492" s="180" t="e">
        <f t="shared" si="335"/>
        <v>#N/A</v>
      </c>
      <c r="M492" s="174"/>
      <c r="N492" s="174" t="e">
        <f t="shared" si="336"/>
        <v>#N/A</v>
      </c>
      <c r="O492" s="174" t="e">
        <f t="shared" si="337"/>
        <v>#N/A</v>
      </c>
      <c r="P492" s="87" t="s">
        <v>326</v>
      </c>
      <c r="Q492" s="90"/>
      <c r="R492" s="78"/>
      <c r="S492" s="78"/>
      <c r="T492" s="78"/>
      <c r="U492" s="78"/>
      <c r="V492" s="78"/>
      <c r="W492" s="78"/>
      <c r="X492" s="78"/>
      <c r="Y492" s="78"/>
      <c r="Z492" s="78"/>
      <c r="AA492" s="78"/>
      <c r="AB492" s="78"/>
      <c r="AC492" s="78"/>
      <c r="AD492" s="78"/>
      <c r="AE492" s="78"/>
      <c r="AF492" s="78"/>
      <c r="AG492" s="78"/>
      <c r="AH492" s="78"/>
      <c r="AI492" s="78"/>
      <c r="AJ492" s="78"/>
      <c r="AK492" s="78"/>
      <c r="AL492" s="78"/>
      <c r="AM492" s="78"/>
      <c r="AN492" s="78"/>
      <c r="AO492" s="78"/>
      <c r="AP492" s="78"/>
      <c r="AQ492" s="78"/>
      <c r="AR492" s="78"/>
      <c r="AS492" s="78"/>
      <c r="AT492" s="78"/>
      <c r="AU492" s="78"/>
      <c r="AV492" s="78"/>
      <c r="AW492" s="78"/>
      <c r="AX492" s="78"/>
      <c r="AY492" s="91"/>
      <c r="AZ492" s="78"/>
      <c r="BA492" s="78"/>
      <c r="BB492" s="78"/>
      <c r="BC492" s="78"/>
      <c r="BD492" s="78"/>
      <c r="BE492" s="78"/>
      <c r="BF492" s="78"/>
      <c r="BG492" s="78"/>
      <c r="BH492" s="78"/>
      <c r="BI492" s="78"/>
      <c r="BJ492" s="78"/>
      <c r="BK492" s="78"/>
      <c r="BL492" s="78"/>
      <c r="BM492" s="78"/>
      <c r="BN492" s="78"/>
      <c r="BO492" s="78"/>
      <c r="BP492" s="78"/>
      <c r="BQ492" s="78"/>
      <c r="BR492" s="78"/>
      <c r="BS492" s="78"/>
      <c r="BT492" s="78"/>
      <c r="BU492" s="78"/>
      <c r="BV492" s="78"/>
      <c r="BW492" s="78"/>
      <c r="BX492" s="78"/>
      <c r="BY492" s="78"/>
      <c r="BZ492" s="78"/>
      <c r="CA492" s="78"/>
      <c r="CB492" s="78"/>
      <c r="CC492" s="78"/>
      <c r="CD492" s="78"/>
      <c r="CE492" s="78"/>
      <c r="CF492" s="78"/>
      <c r="CG492" s="78"/>
      <c r="CH492" s="78"/>
      <c r="CI492" s="78"/>
      <c r="CJ492" s="78"/>
      <c r="CK492" s="78"/>
      <c r="CL492" s="78"/>
      <c r="CM492" s="78"/>
      <c r="CN492" s="78"/>
      <c r="CO492" s="78"/>
      <c r="CP492" s="78"/>
      <c r="CQ492" s="78"/>
      <c r="CR492" s="78"/>
      <c r="CS492" s="78"/>
      <c r="CT492" s="78"/>
      <c r="CU492" s="78"/>
      <c r="CV492" s="78"/>
      <c r="CW492" s="78"/>
      <c r="CX492" s="78"/>
      <c r="CY492" s="78"/>
      <c r="CZ492" s="78"/>
      <c r="DA492" s="78"/>
      <c r="DB492" s="78"/>
      <c r="DC492" s="78"/>
      <c r="DD492" s="78"/>
      <c r="DE492" s="78"/>
      <c r="DF492" s="78"/>
      <c r="DG492" s="78"/>
      <c r="DH492" s="78"/>
      <c r="DI492" s="78"/>
      <c r="DJ492" s="78"/>
      <c r="DK492" s="78"/>
      <c r="DL492" s="78"/>
      <c r="DM492" s="78"/>
      <c r="DN492" s="78"/>
      <c r="DO492" s="78"/>
      <c r="DP492" s="78"/>
      <c r="DQ492" s="78"/>
      <c r="DR492" s="78"/>
      <c r="DS492" s="78"/>
      <c r="DT492" s="78"/>
      <c r="DU492" s="78"/>
      <c r="DV492" s="78"/>
      <c r="DW492" s="78"/>
      <c r="DX492" s="78"/>
      <c r="DY492" s="78"/>
      <c r="DZ492" s="78"/>
      <c r="EA492" s="78"/>
      <c r="EB492" s="78"/>
      <c r="EC492" s="78"/>
      <c r="ED492" s="78"/>
      <c r="EE492" s="78"/>
      <c r="EF492" s="78"/>
      <c r="EG492" s="78"/>
      <c r="EH492" s="78"/>
      <c r="EI492" s="78"/>
      <c r="EJ492" s="78"/>
      <c r="EK492" s="78"/>
      <c r="EL492" s="78"/>
      <c r="EM492" s="78"/>
      <c r="EN492" s="91"/>
      <c r="EO492" s="91"/>
      <c r="EP492" s="91"/>
      <c r="EQ492" s="91"/>
      <c r="ER492" s="91"/>
      <c r="ES492" s="91"/>
    </row>
    <row r="493" spans="1:149" outlineLevel="1">
      <c r="A493" s="29" t="str">
        <f t="shared" si="333"/>
        <v>modesg_out_empr_info_nfinbio_capex_ttl_elgbl</v>
      </c>
      <c r="B493" s="67" t="s">
        <v>26</v>
      </c>
      <c r="C493" s="68" t="s">
        <v>310</v>
      </c>
      <c r="D493" s="64" t="s">
        <v>40</v>
      </c>
      <c r="E493" s="66" t="s">
        <v>325</v>
      </c>
      <c r="F493" s="64" t="s">
        <v>265</v>
      </c>
      <c r="G493" s="64" t="str">
        <f>INDEX(Auxiliar!$B$16:$B$24,MATCH(Plano_V3!H493,Auxiliar!$C$16:$C$24,0),1)</f>
        <v>1. Concluído</v>
      </c>
      <c r="H493" s="64">
        <f>VLOOKUP(A493,'Aux - pivots1'!$A:$B,2,0)</f>
        <v>1</v>
      </c>
      <c r="I493" s="180" t="e">
        <f>SUMIFS(Table1[Estimação (horas)],Table1[Tabela],Plano_V3!E493,Table1[Campo],Plano_V3!F493)</f>
        <v>#N/A</v>
      </c>
      <c r="J493" s="180" t="e">
        <f t="shared" si="334"/>
        <v>#N/A</v>
      </c>
      <c r="K493" s="180" t="e">
        <f>SUMIFS(Table1[Horas efetivas],Table1[Tabela],Plano_V3!E493,Table1[Campo],Plano_V3!F493)</f>
        <v>#N/A</v>
      </c>
      <c r="L493" s="180" t="e">
        <f t="shared" si="335"/>
        <v>#N/A</v>
      </c>
      <c r="M493" s="174"/>
      <c r="N493" s="174" t="e">
        <f t="shared" si="336"/>
        <v>#N/A</v>
      </c>
      <c r="O493" s="174" t="e">
        <f t="shared" si="337"/>
        <v>#N/A</v>
      </c>
      <c r="P493" s="87" t="s">
        <v>326</v>
      </c>
      <c r="Q493" s="90"/>
      <c r="R493" s="78"/>
      <c r="S493" s="78"/>
      <c r="T493" s="78"/>
      <c r="U493" s="78"/>
      <c r="V493" s="78"/>
      <c r="W493" s="78"/>
      <c r="X493" s="78"/>
      <c r="Y493" s="78"/>
      <c r="Z493" s="78"/>
      <c r="AA493" s="78"/>
      <c r="AB493" s="78"/>
      <c r="AC493" s="78"/>
      <c r="AD493" s="78"/>
      <c r="AE493" s="78"/>
      <c r="AF493" s="78"/>
      <c r="AG493" s="78"/>
      <c r="AH493" s="78"/>
      <c r="AI493" s="78"/>
      <c r="AJ493" s="78"/>
      <c r="AK493" s="78"/>
      <c r="AL493" s="78"/>
      <c r="AM493" s="78"/>
      <c r="AN493" s="78"/>
      <c r="AO493" s="78"/>
      <c r="AP493" s="78"/>
      <c r="AQ493" s="78"/>
      <c r="AR493" s="78"/>
      <c r="AS493" s="78"/>
      <c r="AT493" s="78"/>
      <c r="AU493" s="78"/>
      <c r="AV493" s="78"/>
      <c r="AW493" s="78"/>
      <c r="AX493" s="78"/>
      <c r="AY493" s="91"/>
      <c r="AZ493" s="78"/>
      <c r="BA493" s="78"/>
      <c r="BB493" s="78"/>
      <c r="BC493" s="78"/>
      <c r="BD493" s="78"/>
      <c r="BE493" s="78"/>
      <c r="BF493" s="78"/>
      <c r="BG493" s="78"/>
      <c r="BH493" s="78"/>
      <c r="BI493" s="78"/>
      <c r="BJ493" s="78"/>
      <c r="BK493" s="78"/>
      <c r="BL493" s="78"/>
      <c r="BM493" s="78"/>
      <c r="BN493" s="78"/>
      <c r="BO493" s="78"/>
      <c r="BP493" s="78"/>
      <c r="BQ493" s="78"/>
      <c r="BR493" s="78"/>
      <c r="BS493" s="78"/>
      <c r="BT493" s="78"/>
      <c r="BU493" s="78"/>
      <c r="BV493" s="78"/>
      <c r="BW493" s="78"/>
      <c r="BX493" s="78"/>
      <c r="BY493" s="78"/>
      <c r="BZ493" s="78"/>
      <c r="CA493" s="78"/>
      <c r="CB493" s="78"/>
      <c r="CC493" s="78"/>
      <c r="CD493" s="78"/>
      <c r="CE493" s="78"/>
      <c r="CF493" s="78"/>
      <c r="CG493" s="78"/>
      <c r="CH493" s="78"/>
      <c r="CI493" s="78"/>
      <c r="CJ493" s="78"/>
      <c r="CK493" s="78"/>
      <c r="CL493" s="78"/>
      <c r="CM493" s="78"/>
      <c r="CN493" s="78"/>
      <c r="CO493" s="78"/>
      <c r="CP493" s="78"/>
      <c r="CQ493" s="78"/>
      <c r="CR493" s="78"/>
      <c r="CS493" s="78"/>
      <c r="CT493" s="78"/>
      <c r="CU493" s="78"/>
      <c r="CV493" s="78"/>
      <c r="CW493" s="78"/>
      <c r="CX493" s="78"/>
      <c r="CY493" s="78"/>
      <c r="CZ493" s="78"/>
      <c r="DA493" s="78"/>
      <c r="DB493" s="78"/>
      <c r="DC493" s="78"/>
      <c r="DD493" s="78"/>
      <c r="DE493" s="78"/>
      <c r="DF493" s="78"/>
      <c r="DG493" s="78"/>
      <c r="DH493" s="78"/>
      <c r="DI493" s="78"/>
      <c r="DJ493" s="78"/>
      <c r="DK493" s="78"/>
      <c r="DL493" s="78"/>
      <c r="DM493" s="78"/>
      <c r="DN493" s="78"/>
      <c r="DO493" s="78"/>
      <c r="DP493" s="78"/>
      <c r="DQ493" s="78"/>
      <c r="DR493" s="78"/>
      <c r="DS493" s="78"/>
      <c r="DT493" s="78"/>
      <c r="DU493" s="78"/>
      <c r="DV493" s="78"/>
      <c r="DW493" s="78"/>
      <c r="DX493" s="78"/>
      <c r="DY493" s="78"/>
      <c r="DZ493" s="78"/>
      <c r="EA493" s="78"/>
      <c r="EB493" s="78"/>
      <c r="EC493" s="78"/>
      <c r="ED493" s="78"/>
      <c r="EE493" s="78"/>
      <c r="EF493" s="78"/>
      <c r="EG493" s="78"/>
      <c r="EH493" s="78"/>
      <c r="EI493" s="78"/>
      <c r="EJ493" s="78"/>
      <c r="EK493" s="78"/>
      <c r="EL493" s="78"/>
      <c r="EM493" s="78"/>
      <c r="EN493" s="91"/>
      <c r="EO493" s="91"/>
      <c r="EP493" s="91"/>
      <c r="EQ493" s="91"/>
      <c r="ER493" s="91"/>
      <c r="ES493" s="91"/>
    </row>
    <row r="494" spans="1:149" outlineLevel="1">
      <c r="A494" s="29" t="str">
        <f t="shared" si="333"/>
        <v>modesg_out_empr_info_nfinbio_capex_own_prfrmnce_algnd</v>
      </c>
      <c r="B494" s="67" t="s">
        <v>26</v>
      </c>
      <c r="C494" s="68" t="s">
        <v>310</v>
      </c>
      <c r="D494" s="64" t="s">
        <v>40</v>
      </c>
      <c r="E494" s="66" t="s">
        <v>325</v>
      </c>
      <c r="F494" s="64" t="s">
        <v>266</v>
      </c>
      <c r="G494" s="64" t="str">
        <f>INDEX(Auxiliar!$B$16:$B$24,MATCH(Plano_V3!H494,Auxiliar!$C$16:$C$24,0),1)</f>
        <v>1. Concluído</v>
      </c>
      <c r="H494" s="64">
        <f>VLOOKUP(A494,'Aux - pivots1'!$A:$B,2,0)</f>
        <v>1</v>
      </c>
      <c r="I494" s="180" t="e">
        <f>SUMIFS(Table1[Estimação (horas)],Table1[Tabela],Plano_V3!E494,Table1[Campo],Plano_V3!F494)</f>
        <v>#N/A</v>
      </c>
      <c r="J494" s="180" t="e">
        <f t="shared" si="334"/>
        <v>#N/A</v>
      </c>
      <c r="K494" s="180" t="e">
        <f>SUMIFS(Table1[Horas efetivas],Table1[Tabela],Plano_V3!E494,Table1[Campo],Plano_V3!F494)</f>
        <v>#N/A</v>
      </c>
      <c r="L494" s="180" t="e">
        <f t="shared" si="335"/>
        <v>#N/A</v>
      </c>
      <c r="M494" s="174"/>
      <c r="N494" s="174" t="e">
        <f t="shared" si="336"/>
        <v>#N/A</v>
      </c>
      <c r="O494" s="174" t="e">
        <f t="shared" si="337"/>
        <v>#N/A</v>
      </c>
      <c r="P494" s="87" t="s">
        <v>326</v>
      </c>
      <c r="Q494" s="90"/>
      <c r="R494" s="78"/>
      <c r="S494" s="78"/>
      <c r="T494" s="78"/>
      <c r="U494" s="78"/>
      <c r="V494" s="78"/>
      <c r="W494" s="78"/>
      <c r="X494" s="78"/>
      <c r="Y494" s="78"/>
      <c r="Z494" s="78"/>
      <c r="AA494" s="78"/>
      <c r="AB494" s="78"/>
      <c r="AC494" s="78"/>
      <c r="AD494" s="78"/>
      <c r="AE494" s="78"/>
      <c r="AF494" s="78"/>
      <c r="AG494" s="78"/>
      <c r="AH494" s="78"/>
      <c r="AI494" s="78"/>
      <c r="AJ494" s="78"/>
      <c r="AK494" s="78"/>
      <c r="AL494" s="78"/>
      <c r="AM494" s="78"/>
      <c r="AN494" s="78"/>
      <c r="AO494" s="78"/>
      <c r="AP494" s="78"/>
      <c r="AQ494" s="78"/>
      <c r="AR494" s="78"/>
      <c r="AS494" s="78"/>
      <c r="AT494" s="78"/>
      <c r="AU494" s="78"/>
      <c r="AV494" s="78"/>
      <c r="AW494" s="78"/>
      <c r="AX494" s="78"/>
      <c r="AY494" s="91"/>
      <c r="AZ494" s="78"/>
      <c r="BA494" s="78"/>
      <c r="BB494" s="78"/>
      <c r="BC494" s="78"/>
      <c r="BD494" s="78"/>
      <c r="BE494" s="78"/>
      <c r="BF494" s="78"/>
      <c r="BG494" s="78"/>
      <c r="BH494" s="78"/>
      <c r="BI494" s="78"/>
      <c r="BJ494" s="78"/>
      <c r="BK494" s="78"/>
      <c r="BL494" s="78"/>
      <c r="BM494" s="78"/>
      <c r="BN494" s="78"/>
      <c r="BO494" s="78"/>
      <c r="BP494" s="78"/>
      <c r="BQ494" s="78"/>
      <c r="BR494" s="78"/>
      <c r="BS494" s="78"/>
      <c r="BT494" s="78"/>
      <c r="BU494" s="78"/>
      <c r="BV494" s="78"/>
      <c r="BW494" s="78"/>
      <c r="BX494" s="78"/>
      <c r="BY494" s="78"/>
      <c r="BZ494" s="78"/>
      <c r="CA494" s="78"/>
      <c r="CB494" s="78"/>
      <c r="CC494" s="78"/>
      <c r="CD494" s="78"/>
      <c r="CE494" s="78"/>
      <c r="CF494" s="78"/>
      <c r="CG494" s="78"/>
      <c r="CH494" s="78"/>
      <c r="CI494" s="78"/>
      <c r="CJ494" s="78"/>
      <c r="CK494" s="78"/>
      <c r="CL494" s="78"/>
      <c r="CM494" s="78"/>
      <c r="CN494" s="78"/>
      <c r="CO494" s="78"/>
      <c r="CP494" s="78"/>
      <c r="CQ494" s="78"/>
      <c r="CR494" s="78"/>
      <c r="CS494" s="78"/>
      <c r="CT494" s="78"/>
      <c r="CU494" s="78"/>
      <c r="CV494" s="78"/>
      <c r="CW494" s="78"/>
      <c r="CX494" s="78"/>
      <c r="CY494" s="78"/>
      <c r="CZ494" s="78"/>
      <c r="DA494" s="78"/>
      <c r="DB494" s="78"/>
      <c r="DC494" s="78"/>
      <c r="DD494" s="78"/>
      <c r="DE494" s="78"/>
      <c r="DF494" s="78"/>
      <c r="DG494" s="78"/>
      <c r="DH494" s="78"/>
      <c r="DI494" s="78"/>
      <c r="DJ494" s="78"/>
      <c r="DK494" s="78"/>
      <c r="DL494" s="78"/>
      <c r="DM494" s="78"/>
      <c r="DN494" s="78"/>
      <c r="DO494" s="78"/>
      <c r="DP494" s="78"/>
      <c r="DQ494" s="78"/>
      <c r="DR494" s="78"/>
      <c r="DS494" s="78"/>
      <c r="DT494" s="78"/>
      <c r="DU494" s="78"/>
      <c r="DV494" s="78"/>
      <c r="DW494" s="78"/>
      <c r="DX494" s="78"/>
      <c r="DY494" s="78"/>
      <c r="DZ494" s="78"/>
      <c r="EA494" s="78"/>
      <c r="EB494" s="78"/>
      <c r="EC494" s="78"/>
      <c r="ED494" s="78"/>
      <c r="EE494" s="78"/>
      <c r="EF494" s="78"/>
      <c r="EG494" s="78"/>
      <c r="EH494" s="78"/>
      <c r="EI494" s="78"/>
      <c r="EJ494" s="78"/>
      <c r="EK494" s="78"/>
      <c r="EL494" s="78"/>
      <c r="EM494" s="78"/>
      <c r="EN494" s="91"/>
      <c r="EO494" s="91"/>
      <c r="EP494" s="91"/>
      <c r="EQ494" s="91"/>
      <c r="ER494" s="91"/>
      <c r="ES494" s="91"/>
    </row>
    <row r="495" spans="1:149" outlineLevel="1">
      <c r="A495" s="29" t="str">
        <f t="shared" si="333"/>
        <v>modesg_out_empr_info_nfinwtr_trnvr_ttl_elgbl</v>
      </c>
      <c r="B495" s="67" t="s">
        <v>26</v>
      </c>
      <c r="C495" s="68" t="s">
        <v>310</v>
      </c>
      <c r="D495" s="64" t="s">
        <v>40</v>
      </c>
      <c r="E495" s="66" t="s">
        <v>325</v>
      </c>
      <c r="F495" s="64" t="s">
        <v>267</v>
      </c>
      <c r="G495" s="64" t="str">
        <f>INDEX(Auxiliar!$B$16:$B$24,MATCH(Plano_V3!H495,Auxiliar!$C$16:$C$24,0),1)</f>
        <v>1. Concluído</v>
      </c>
      <c r="H495" s="64">
        <f>VLOOKUP(A495,'Aux - pivots1'!$A:$B,2,0)</f>
        <v>1</v>
      </c>
      <c r="I495" s="180" t="e">
        <f>SUMIFS(Table1[Estimação (horas)],Table1[Tabela],Plano_V3!E495,Table1[Campo],Plano_V3!F495)</f>
        <v>#N/A</v>
      </c>
      <c r="J495" s="180" t="e">
        <f t="shared" si="334"/>
        <v>#N/A</v>
      </c>
      <c r="K495" s="180" t="e">
        <f>SUMIFS(Table1[Horas efetivas],Table1[Tabela],Plano_V3!E495,Table1[Campo],Plano_V3!F495)</f>
        <v>#N/A</v>
      </c>
      <c r="L495" s="180" t="e">
        <f t="shared" si="335"/>
        <v>#N/A</v>
      </c>
      <c r="M495" s="174"/>
      <c r="N495" s="174" t="e">
        <f t="shared" si="336"/>
        <v>#N/A</v>
      </c>
      <c r="O495" s="174" t="e">
        <f t="shared" si="337"/>
        <v>#N/A</v>
      </c>
      <c r="P495" s="87" t="s">
        <v>326</v>
      </c>
      <c r="Q495" s="90"/>
      <c r="R495" s="78"/>
      <c r="S495" s="78"/>
      <c r="T495" s="78"/>
      <c r="U495" s="78"/>
      <c r="V495" s="78"/>
      <c r="W495" s="78"/>
      <c r="X495" s="78"/>
      <c r="Y495" s="78"/>
      <c r="Z495" s="78"/>
      <c r="AA495" s="78"/>
      <c r="AB495" s="78"/>
      <c r="AC495" s="78"/>
      <c r="AD495" s="78"/>
      <c r="AE495" s="78"/>
      <c r="AF495" s="78"/>
      <c r="AG495" s="78"/>
      <c r="AH495" s="78"/>
      <c r="AI495" s="78"/>
      <c r="AJ495" s="78"/>
      <c r="AK495" s="78"/>
      <c r="AL495" s="78"/>
      <c r="AM495" s="78"/>
      <c r="AN495" s="78"/>
      <c r="AO495" s="78"/>
      <c r="AP495" s="78"/>
      <c r="AQ495" s="78"/>
      <c r="AR495" s="78"/>
      <c r="AS495" s="78"/>
      <c r="AT495" s="78"/>
      <c r="AU495" s="78"/>
      <c r="AV495" s="78"/>
      <c r="AW495" s="78"/>
      <c r="AX495" s="78"/>
      <c r="AY495" s="91"/>
      <c r="AZ495" s="78"/>
      <c r="BA495" s="78"/>
      <c r="BB495" s="78"/>
      <c r="BC495" s="78"/>
      <c r="BD495" s="78"/>
      <c r="BE495" s="78"/>
      <c r="BF495" s="78"/>
      <c r="BG495" s="78"/>
      <c r="BH495" s="78"/>
      <c r="BI495" s="78"/>
      <c r="BJ495" s="78"/>
      <c r="BK495" s="78"/>
      <c r="BL495" s="78"/>
      <c r="BM495" s="78"/>
      <c r="BN495" s="78"/>
      <c r="BO495" s="78"/>
      <c r="BP495" s="78"/>
      <c r="BQ495" s="78"/>
      <c r="BR495" s="78"/>
      <c r="BS495" s="78"/>
      <c r="BT495" s="78"/>
      <c r="BU495" s="78"/>
      <c r="BV495" s="78"/>
      <c r="BW495" s="78"/>
      <c r="BX495" s="78"/>
      <c r="BY495" s="78"/>
      <c r="BZ495" s="78"/>
      <c r="CA495" s="78"/>
      <c r="CB495" s="78"/>
      <c r="CC495" s="78"/>
      <c r="CD495" s="78"/>
      <c r="CE495" s="78"/>
      <c r="CF495" s="78"/>
      <c r="CG495" s="78"/>
      <c r="CH495" s="78"/>
      <c r="CI495" s="78"/>
      <c r="CJ495" s="78"/>
      <c r="CK495" s="78"/>
      <c r="CL495" s="78"/>
      <c r="CM495" s="78"/>
      <c r="CN495" s="78"/>
      <c r="CO495" s="78"/>
      <c r="CP495" s="78"/>
      <c r="CQ495" s="78"/>
      <c r="CR495" s="78"/>
      <c r="CS495" s="78"/>
      <c r="CT495" s="78"/>
      <c r="CU495" s="78"/>
      <c r="CV495" s="78"/>
      <c r="CW495" s="78"/>
      <c r="CX495" s="78"/>
      <c r="CY495" s="78"/>
      <c r="CZ495" s="78"/>
      <c r="DA495" s="78"/>
      <c r="DB495" s="78"/>
      <c r="DC495" s="78"/>
      <c r="DD495" s="78"/>
      <c r="DE495" s="78"/>
      <c r="DF495" s="78"/>
      <c r="DG495" s="78"/>
      <c r="DH495" s="78"/>
      <c r="DI495" s="78"/>
      <c r="DJ495" s="78"/>
      <c r="DK495" s="78"/>
      <c r="DL495" s="78"/>
      <c r="DM495" s="78"/>
      <c r="DN495" s="78"/>
      <c r="DO495" s="78"/>
      <c r="DP495" s="78"/>
      <c r="DQ495" s="78"/>
      <c r="DR495" s="78"/>
      <c r="DS495" s="78"/>
      <c r="DT495" s="78"/>
      <c r="DU495" s="78"/>
      <c r="DV495" s="78"/>
      <c r="DW495" s="78"/>
      <c r="DX495" s="78"/>
      <c r="DY495" s="78"/>
      <c r="DZ495" s="78"/>
      <c r="EA495" s="78"/>
      <c r="EB495" s="78"/>
      <c r="EC495" s="78"/>
      <c r="ED495" s="78"/>
      <c r="EE495" s="78"/>
      <c r="EF495" s="78"/>
      <c r="EG495" s="78"/>
      <c r="EH495" s="78"/>
      <c r="EI495" s="78"/>
      <c r="EJ495" s="78"/>
      <c r="EK495" s="78"/>
      <c r="EL495" s="78"/>
      <c r="EM495" s="78"/>
      <c r="EN495" s="91"/>
      <c r="EO495" s="91"/>
      <c r="EP495" s="91"/>
      <c r="EQ495" s="91"/>
      <c r="ER495" s="91"/>
      <c r="ES495" s="91"/>
    </row>
    <row r="496" spans="1:149" outlineLevel="1">
      <c r="A496" s="29" t="str">
        <f t="shared" si="333"/>
        <v>modesg_out_empr_info_nfinwtr_trnvr_enblng_alignd</v>
      </c>
      <c r="B496" s="67" t="s">
        <v>26</v>
      </c>
      <c r="C496" s="68" t="s">
        <v>310</v>
      </c>
      <c r="D496" s="64" t="s">
        <v>40</v>
      </c>
      <c r="E496" s="66" t="s">
        <v>325</v>
      </c>
      <c r="F496" s="64" t="s">
        <v>268</v>
      </c>
      <c r="G496" s="64" t="str">
        <f>INDEX(Auxiliar!$B$16:$B$24,MATCH(Plano_V3!H496,Auxiliar!$C$16:$C$24,0),1)</f>
        <v>1. Concluído</v>
      </c>
      <c r="H496" s="64">
        <f>VLOOKUP(A496,'Aux - pivots1'!$A:$B,2,0)</f>
        <v>1</v>
      </c>
      <c r="I496" s="180" t="e">
        <f>SUMIFS(Table1[Estimação (horas)],Table1[Tabela],Plano_V3!E496,Table1[Campo],Plano_V3!F496)</f>
        <v>#N/A</v>
      </c>
      <c r="J496" s="180" t="e">
        <f t="shared" si="334"/>
        <v>#N/A</v>
      </c>
      <c r="K496" s="180" t="e">
        <f>SUMIFS(Table1[Horas efetivas],Table1[Tabela],Plano_V3!E496,Table1[Campo],Plano_V3!F496)</f>
        <v>#N/A</v>
      </c>
      <c r="L496" s="180" t="e">
        <f t="shared" si="335"/>
        <v>#N/A</v>
      </c>
      <c r="M496" s="174"/>
      <c r="N496" s="174" t="e">
        <f t="shared" si="336"/>
        <v>#N/A</v>
      </c>
      <c r="O496" s="174" t="e">
        <f t="shared" si="337"/>
        <v>#N/A</v>
      </c>
      <c r="P496" s="87" t="s">
        <v>326</v>
      </c>
      <c r="Q496" s="90"/>
      <c r="R496" s="78"/>
      <c r="S496" s="78"/>
      <c r="T496" s="78"/>
      <c r="U496" s="78"/>
      <c r="V496" s="78"/>
      <c r="W496" s="78"/>
      <c r="X496" s="78"/>
      <c r="Y496" s="78"/>
      <c r="Z496" s="78"/>
      <c r="AA496" s="78"/>
      <c r="AB496" s="78"/>
      <c r="AC496" s="78"/>
      <c r="AD496" s="78"/>
      <c r="AE496" s="78"/>
      <c r="AF496" s="78"/>
      <c r="AG496" s="78"/>
      <c r="AH496" s="78"/>
      <c r="AI496" s="78"/>
      <c r="AJ496" s="78"/>
      <c r="AK496" s="78"/>
      <c r="AL496" s="78"/>
      <c r="AM496" s="78"/>
      <c r="AN496" s="78"/>
      <c r="AO496" s="78"/>
      <c r="AP496" s="78"/>
      <c r="AQ496" s="78"/>
      <c r="AR496" s="78"/>
      <c r="AS496" s="78"/>
      <c r="AT496" s="78"/>
      <c r="AU496" s="78"/>
      <c r="AV496" s="78"/>
      <c r="AW496" s="78"/>
      <c r="AX496" s="78"/>
      <c r="AY496" s="91"/>
      <c r="AZ496" s="78"/>
      <c r="BA496" s="78"/>
      <c r="BB496" s="78"/>
      <c r="BC496" s="78"/>
      <c r="BD496" s="78"/>
      <c r="BE496" s="78"/>
      <c r="BF496" s="78"/>
      <c r="BG496" s="78"/>
      <c r="BH496" s="78"/>
      <c r="BI496" s="78"/>
      <c r="BJ496" s="78"/>
      <c r="BK496" s="78"/>
      <c r="BL496" s="78"/>
      <c r="BM496" s="78"/>
      <c r="BN496" s="78"/>
      <c r="BO496" s="78"/>
      <c r="BP496" s="78"/>
      <c r="BQ496" s="78"/>
      <c r="BR496" s="78"/>
      <c r="BS496" s="78"/>
      <c r="BT496" s="78"/>
      <c r="BU496" s="78"/>
      <c r="BV496" s="78"/>
      <c r="BW496" s="78"/>
      <c r="BX496" s="78"/>
      <c r="BY496" s="78"/>
      <c r="BZ496" s="78"/>
      <c r="CA496" s="78"/>
      <c r="CB496" s="78"/>
      <c r="CC496" s="78"/>
      <c r="CD496" s="78"/>
      <c r="CE496" s="78"/>
      <c r="CF496" s="78"/>
      <c r="CG496" s="78"/>
      <c r="CH496" s="78"/>
      <c r="CI496" s="78"/>
      <c r="CJ496" s="78"/>
      <c r="CK496" s="78"/>
      <c r="CL496" s="78"/>
      <c r="CM496" s="78"/>
      <c r="CN496" s="78"/>
      <c r="CO496" s="78"/>
      <c r="CP496" s="78"/>
      <c r="CQ496" s="78"/>
      <c r="CR496" s="78"/>
      <c r="CS496" s="78"/>
      <c r="CT496" s="78"/>
      <c r="CU496" s="78"/>
      <c r="CV496" s="78"/>
      <c r="CW496" s="78"/>
      <c r="CX496" s="78"/>
      <c r="CY496" s="78"/>
      <c r="CZ496" s="78"/>
      <c r="DA496" s="78"/>
      <c r="DB496" s="78"/>
      <c r="DC496" s="78"/>
      <c r="DD496" s="78"/>
      <c r="DE496" s="78"/>
      <c r="DF496" s="78"/>
      <c r="DG496" s="78"/>
      <c r="DH496" s="78"/>
      <c r="DI496" s="78"/>
      <c r="DJ496" s="78"/>
      <c r="DK496" s="78"/>
      <c r="DL496" s="78"/>
      <c r="DM496" s="78"/>
      <c r="DN496" s="78"/>
      <c r="DO496" s="78"/>
      <c r="DP496" s="78"/>
      <c r="DQ496" s="78"/>
      <c r="DR496" s="78"/>
      <c r="DS496" s="78"/>
      <c r="DT496" s="78"/>
      <c r="DU496" s="78"/>
      <c r="DV496" s="78"/>
      <c r="DW496" s="78"/>
      <c r="DX496" s="78"/>
      <c r="DY496" s="78"/>
      <c r="DZ496" s="78"/>
      <c r="EA496" s="78"/>
      <c r="EB496" s="78"/>
      <c r="EC496" s="78"/>
      <c r="ED496" s="78"/>
      <c r="EE496" s="78"/>
      <c r="EF496" s="78"/>
      <c r="EG496" s="78"/>
      <c r="EH496" s="78"/>
      <c r="EI496" s="78"/>
      <c r="EJ496" s="78"/>
      <c r="EK496" s="78"/>
      <c r="EL496" s="78"/>
      <c r="EM496" s="78"/>
      <c r="EN496" s="91"/>
      <c r="EO496" s="91"/>
      <c r="EP496" s="91"/>
      <c r="EQ496" s="91"/>
      <c r="ER496" s="91"/>
      <c r="ES496" s="91"/>
    </row>
    <row r="497" spans="1:149" outlineLevel="1">
      <c r="A497" s="29" t="str">
        <f t="shared" si="333"/>
        <v>modesg_out_empr_info_nfinwtr_turnover_own_prfrmnce_algnd</v>
      </c>
      <c r="B497" s="67" t="s">
        <v>26</v>
      </c>
      <c r="C497" s="68" t="s">
        <v>310</v>
      </c>
      <c r="D497" s="64" t="s">
        <v>40</v>
      </c>
      <c r="E497" s="66" t="s">
        <v>325</v>
      </c>
      <c r="F497" s="64" t="s">
        <v>269</v>
      </c>
      <c r="G497" s="64" t="str">
        <f>INDEX(Auxiliar!$B$16:$B$24,MATCH(Plano_V3!H497,Auxiliar!$C$16:$C$24,0),1)</f>
        <v>1. Concluído</v>
      </c>
      <c r="H497" s="64">
        <f>VLOOKUP(A497,'Aux - pivots1'!$A:$B,2,0)</f>
        <v>1</v>
      </c>
      <c r="I497" s="180" t="e">
        <f>SUMIFS(Table1[Estimação (horas)],Table1[Tabela],Plano_V3!E497,Table1[Campo],Plano_V3!F497)</f>
        <v>#N/A</v>
      </c>
      <c r="J497" s="180" t="e">
        <f t="shared" si="334"/>
        <v>#N/A</v>
      </c>
      <c r="K497" s="180" t="e">
        <f>SUMIFS(Table1[Horas efetivas],Table1[Tabela],Plano_V3!E497,Table1[Campo],Plano_V3!F497)</f>
        <v>#N/A</v>
      </c>
      <c r="L497" s="180" t="e">
        <f t="shared" si="335"/>
        <v>#N/A</v>
      </c>
      <c r="M497" s="174"/>
      <c r="N497" s="174" t="e">
        <f t="shared" si="336"/>
        <v>#N/A</v>
      </c>
      <c r="O497" s="174" t="e">
        <f t="shared" si="337"/>
        <v>#N/A</v>
      </c>
      <c r="P497" s="87" t="s">
        <v>326</v>
      </c>
      <c r="Q497" s="90"/>
      <c r="R497" s="78"/>
      <c r="S497" s="78"/>
      <c r="T497" s="78"/>
      <c r="U497" s="78"/>
      <c r="V497" s="78"/>
      <c r="W497" s="78"/>
      <c r="X497" s="78"/>
      <c r="Y497" s="78"/>
      <c r="Z497" s="78"/>
      <c r="AA497" s="78"/>
      <c r="AB497" s="78"/>
      <c r="AC497" s="78"/>
      <c r="AD497" s="78"/>
      <c r="AE497" s="78"/>
      <c r="AF497" s="78"/>
      <c r="AG497" s="78"/>
      <c r="AH497" s="78"/>
      <c r="AI497" s="78"/>
      <c r="AJ497" s="78"/>
      <c r="AK497" s="78"/>
      <c r="AL497" s="78"/>
      <c r="AM497" s="78"/>
      <c r="AN497" s="78"/>
      <c r="AO497" s="78"/>
      <c r="AP497" s="78"/>
      <c r="AQ497" s="78"/>
      <c r="AR497" s="78"/>
      <c r="AS497" s="78"/>
      <c r="AT497" s="78"/>
      <c r="AU497" s="78"/>
      <c r="AV497" s="78"/>
      <c r="AW497" s="78"/>
      <c r="AX497" s="78"/>
      <c r="AY497" s="91"/>
      <c r="AZ497" s="78"/>
      <c r="BA497" s="78"/>
      <c r="BB497" s="78"/>
      <c r="BC497" s="78"/>
      <c r="BD497" s="78"/>
      <c r="BE497" s="78"/>
      <c r="BF497" s="78"/>
      <c r="BG497" s="78"/>
      <c r="BH497" s="78"/>
      <c r="BI497" s="78"/>
      <c r="BJ497" s="78"/>
      <c r="BK497" s="78"/>
      <c r="BL497" s="78"/>
      <c r="BM497" s="78"/>
      <c r="BN497" s="78"/>
      <c r="BO497" s="78"/>
      <c r="BP497" s="78"/>
      <c r="BQ497" s="78"/>
      <c r="BR497" s="78"/>
      <c r="BS497" s="78"/>
      <c r="BT497" s="78"/>
      <c r="BU497" s="78"/>
      <c r="BV497" s="78"/>
      <c r="BW497" s="78"/>
      <c r="BX497" s="78"/>
      <c r="BY497" s="78"/>
      <c r="BZ497" s="78"/>
      <c r="CA497" s="78"/>
      <c r="CB497" s="78"/>
      <c r="CC497" s="78"/>
      <c r="CD497" s="78"/>
      <c r="CE497" s="78"/>
      <c r="CF497" s="78"/>
      <c r="CG497" s="78"/>
      <c r="CH497" s="78"/>
      <c r="CI497" s="78"/>
      <c r="CJ497" s="78"/>
      <c r="CK497" s="78"/>
      <c r="CL497" s="78"/>
      <c r="CM497" s="78"/>
      <c r="CN497" s="78"/>
      <c r="CO497" s="78"/>
      <c r="CP497" s="78"/>
      <c r="CQ497" s="78"/>
      <c r="CR497" s="78"/>
      <c r="CS497" s="78"/>
      <c r="CT497" s="78"/>
      <c r="CU497" s="78"/>
      <c r="CV497" s="78"/>
      <c r="CW497" s="78"/>
      <c r="CX497" s="78"/>
      <c r="CY497" s="78"/>
      <c r="CZ497" s="78"/>
      <c r="DA497" s="78"/>
      <c r="DB497" s="78"/>
      <c r="DC497" s="78"/>
      <c r="DD497" s="78"/>
      <c r="DE497" s="78"/>
      <c r="DF497" s="78"/>
      <c r="DG497" s="78"/>
      <c r="DH497" s="78"/>
      <c r="DI497" s="78"/>
      <c r="DJ497" s="78"/>
      <c r="DK497" s="78"/>
      <c r="DL497" s="78"/>
      <c r="DM497" s="78"/>
      <c r="DN497" s="78"/>
      <c r="DO497" s="78"/>
      <c r="DP497" s="78"/>
      <c r="DQ497" s="78"/>
      <c r="DR497" s="78"/>
      <c r="DS497" s="78"/>
      <c r="DT497" s="78"/>
      <c r="DU497" s="78"/>
      <c r="DV497" s="78"/>
      <c r="DW497" s="78"/>
      <c r="DX497" s="78"/>
      <c r="DY497" s="78"/>
      <c r="DZ497" s="78"/>
      <c r="EA497" s="78"/>
      <c r="EB497" s="78"/>
      <c r="EC497" s="78"/>
      <c r="ED497" s="78"/>
      <c r="EE497" s="78"/>
      <c r="EF497" s="78"/>
      <c r="EG497" s="78"/>
      <c r="EH497" s="78"/>
      <c r="EI497" s="78"/>
      <c r="EJ497" s="78"/>
      <c r="EK497" s="78"/>
      <c r="EL497" s="78"/>
      <c r="EM497" s="78"/>
      <c r="EN497" s="91"/>
      <c r="EO497" s="91"/>
      <c r="EP497" s="91"/>
      <c r="EQ497" s="91"/>
      <c r="ER497" s="91"/>
      <c r="ES497" s="91"/>
    </row>
    <row r="498" spans="1:149" outlineLevel="1">
      <c r="A498" s="29" t="str">
        <f t="shared" si="333"/>
        <v>modesg_out_empr_info_nfinwtr_capex_ttl_elgbl</v>
      </c>
      <c r="B498" s="67" t="s">
        <v>26</v>
      </c>
      <c r="C498" s="68" t="s">
        <v>310</v>
      </c>
      <c r="D498" s="64" t="s">
        <v>40</v>
      </c>
      <c r="E498" s="66" t="s">
        <v>325</v>
      </c>
      <c r="F498" s="64" t="s">
        <v>270</v>
      </c>
      <c r="G498" s="64" t="str">
        <f>INDEX(Auxiliar!$B$16:$B$24,MATCH(Plano_V3!H498,Auxiliar!$C$16:$C$24,0),1)</f>
        <v>1. Concluído</v>
      </c>
      <c r="H498" s="64">
        <f>VLOOKUP(A498,'Aux - pivots1'!$A:$B,2,0)</f>
        <v>1</v>
      </c>
      <c r="I498" s="180" t="e">
        <f>SUMIFS(Table1[Estimação (horas)],Table1[Tabela],Plano_V3!E498,Table1[Campo],Plano_V3!F498)</f>
        <v>#N/A</v>
      </c>
      <c r="J498" s="180" t="e">
        <f t="shared" si="334"/>
        <v>#N/A</v>
      </c>
      <c r="K498" s="180" t="e">
        <f>SUMIFS(Table1[Horas efetivas],Table1[Tabela],Plano_V3!E498,Table1[Campo],Plano_V3!F498)</f>
        <v>#N/A</v>
      </c>
      <c r="L498" s="180" t="e">
        <f t="shared" si="335"/>
        <v>#N/A</v>
      </c>
      <c r="M498" s="174"/>
      <c r="N498" s="174" t="e">
        <f t="shared" si="336"/>
        <v>#N/A</v>
      </c>
      <c r="O498" s="174" t="e">
        <f t="shared" si="337"/>
        <v>#N/A</v>
      </c>
      <c r="P498" s="87" t="s">
        <v>326</v>
      </c>
      <c r="Q498" s="90"/>
      <c r="R498" s="78"/>
      <c r="S498" s="78"/>
      <c r="T498" s="78"/>
      <c r="U498" s="78"/>
      <c r="V498" s="78"/>
      <c r="W498" s="78"/>
      <c r="X498" s="78"/>
      <c r="Y498" s="78"/>
      <c r="Z498" s="78"/>
      <c r="AA498" s="78"/>
      <c r="AB498" s="78"/>
      <c r="AC498" s="78"/>
      <c r="AD498" s="78"/>
      <c r="AE498" s="78"/>
      <c r="AF498" s="78"/>
      <c r="AG498" s="78"/>
      <c r="AH498" s="78"/>
      <c r="AI498" s="78"/>
      <c r="AJ498" s="78"/>
      <c r="AK498" s="78"/>
      <c r="AL498" s="78"/>
      <c r="AM498" s="78"/>
      <c r="AN498" s="78"/>
      <c r="AO498" s="78"/>
      <c r="AP498" s="78"/>
      <c r="AQ498" s="78"/>
      <c r="AR498" s="78"/>
      <c r="AS498" s="78"/>
      <c r="AT498" s="78"/>
      <c r="AU498" s="78"/>
      <c r="AV498" s="78"/>
      <c r="AW498" s="78"/>
      <c r="AX498" s="78"/>
      <c r="AY498" s="91"/>
      <c r="AZ498" s="78"/>
      <c r="BA498" s="78"/>
      <c r="BB498" s="78"/>
      <c r="BC498" s="78"/>
      <c r="BD498" s="78"/>
      <c r="BE498" s="78"/>
      <c r="BF498" s="78"/>
      <c r="BG498" s="78"/>
      <c r="BH498" s="78"/>
      <c r="BI498" s="78"/>
      <c r="BJ498" s="78"/>
      <c r="BK498" s="78"/>
      <c r="BL498" s="78"/>
      <c r="BM498" s="78"/>
      <c r="BN498" s="78"/>
      <c r="BO498" s="78"/>
      <c r="BP498" s="78"/>
      <c r="BQ498" s="78"/>
      <c r="BR498" s="78"/>
      <c r="BS498" s="78"/>
      <c r="BT498" s="78"/>
      <c r="BU498" s="78"/>
      <c r="BV498" s="78"/>
      <c r="BW498" s="78"/>
      <c r="BX498" s="78"/>
      <c r="BY498" s="78"/>
      <c r="BZ498" s="78"/>
      <c r="CA498" s="78"/>
      <c r="CB498" s="78"/>
      <c r="CC498" s="78"/>
      <c r="CD498" s="78"/>
      <c r="CE498" s="78"/>
      <c r="CF498" s="78"/>
      <c r="CG498" s="78"/>
      <c r="CH498" s="78"/>
      <c r="CI498" s="78"/>
      <c r="CJ498" s="78"/>
      <c r="CK498" s="78"/>
      <c r="CL498" s="78"/>
      <c r="CM498" s="78"/>
      <c r="CN498" s="78"/>
      <c r="CO498" s="78"/>
      <c r="CP498" s="78"/>
      <c r="CQ498" s="78"/>
      <c r="CR498" s="78"/>
      <c r="CS498" s="78"/>
      <c r="CT498" s="78"/>
      <c r="CU498" s="78"/>
      <c r="CV498" s="78"/>
      <c r="CW498" s="78"/>
      <c r="CX498" s="78"/>
      <c r="CY498" s="78"/>
      <c r="CZ498" s="78"/>
      <c r="DA498" s="78"/>
      <c r="DB498" s="78"/>
      <c r="DC498" s="78"/>
      <c r="DD498" s="78"/>
      <c r="DE498" s="78"/>
      <c r="DF498" s="78"/>
      <c r="DG498" s="78"/>
      <c r="DH498" s="78"/>
      <c r="DI498" s="78"/>
      <c r="DJ498" s="78"/>
      <c r="DK498" s="78"/>
      <c r="DL498" s="78"/>
      <c r="DM498" s="78"/>
      <c r="DN498" s="78"/>
      <c r="DO498" s="78"/>
      <c r="DP498" s="78"/>
      <c r="DQ498" s="78"/>
      <c r="DR498" s="78"/>
      <c r="DS498" s="78"/>
      <c r="DT498" s="78"/>
      <c r="DU498" s="78"/>
      <c r="DV498" s="78"/>
      <c r="DW498" s="78"/>
      <c r="DX498" s="78"/>
      <c r="DY498" s="78"/>
      <c r="DZ498" s="78"/>
      <c r="EA498" s="78"/>
      <c r="EB498" s="78"/>
      <c r="EC498" s="78"/>
      <c r="ED498" s="78"/>
      <c r="EE498" s="78"/>
      <c r="EF498" s="78"/>
      <c r="EG498" s="78"/>
      <c r="EH498" s="78"/>
      <c r="EI498" s="78"/>
      <c r="EJ498" s="78"/>
      <c r="EK498" s="78"/>
      <c r="EL498" s="78"/>
      <c r="EM498" s="78"/>
      <c r="EN498" s="91"/>
      <c r="EO498" s="91"/>
      <c r="EP498" s="91"/>
      <c r="EQ498" s="91"/>
      <c r="ER498" s="91"/>
      <c r="ES498" s="91"/>
    </row>
    <row r="499" spans="1:149" outlineLevel="1">
      <c r="A499" s="29" t="str">
        <f t="shared" si="333"/>
        <v>modesg_out_empr_info_nfinwtr_capex_enblng_algnd</v>
      </c>
      <c r="B499" s="67" t="s">
        <v>26</v>
      </c>
      <c r="C499" s="68" t="s">
        <v>310</v>
      </c>
      <c r="D499" s="64" t="s">
        <v>40</v>
      </c>
      <c r="E499" s="66" t="s">
        <v>325</v>
      </c>
      <c r="F499" s="64" t="s">
        <v>271</v>
      </c>
      <c r="G499" s="64" t="str">
        <f>INDEX(Auxiliar!$B$16:$B$24,MATCH(Plano_V3!H499,Auxiliar!$C$16:$C$24,0),1)</f>
        <v>1. Concluído</v>
      </c>
      <c r="H499" s="64">
        <f>VLOOKUP(A499,'Aux - pivots1'!$A:$B,2,0)</f>
        <v>1</v>
      </c>
      <c r="I499" s="180" t="e">
        <f>SUMIFS(Table1[Estimação (horas)],Table1[Tabela],Plano_V3!E499,Table1[Campo],Plano_V3!F499)</f>
        <v>#N/A</v>
      </c>
      <c r="J499" s="180" t="e">
        <f t="shared" si="334"/>
        <v>#N/A</v>
      </c>
      <c r="K499" s="180" t="e">
        <f>SUMIFS(Table1[Horas efetivas],Table1[Tabela],Plano_V3!E499,Table1[Campo],Plano_V3!F499)</f>
        <v>#N/A</v>
      </c>
      <c r="L499" s="180" t="e">
        <f t="shared" si="335"/>
        <v>#N/A</v>
      </c>
      <c r="M499" s="174"/>
      <c r="N499" s="174" t="e">
        <f t="shared" si="336"/>
        <v>#N/A</v>
      </c>
      <c r="O499" s="174" t="e">
        <f t="shared" si="337"/>
        <v>#N/A</v>
      </c>
      <c r="P499" s="87" t="s">
        <v>326</v>
      </c>
      <c r="Q499" s="90"/>
      <c r="R499" s="78"/>
      <c r="S499" s="78"/>
      <c r="T499" s="78"/>
      <c r="U499" s="78"/>
      <c r="V499" s="78"/>
      <c r="W499" s="78"/>
      <c r="X499" s="78"/>
      <c r="Y499" s="78"/>
      <c r="Z499" s="78"/>
      <c r="AA499" s="78"/>
      <c r="AB499" s="78"/>
      <c r="AC499" s="78"/>
      <c r="AD499" s="78"/>
      <c r="AE499" s="78"/>
      <c r="AF499" s="78"/>
      <c r="AG499" s="78"/>
      <c r="AH499" s="78"/>
      <c r="AI499" s="78"/>
      <c r="AJ499" s="78"/>
      <c r="AK499" s="78"/>
      <c r="AL499" s="78"/>
      <c r="AM499" s="78"/>
      <c r="AN499" s="78"/>
      <c r="AO499" s="78"/>
      <c r="AP499" s="78"/>
      <c r="AQ499" s="78"/>
      <c r="AR499" s="78"/>
      <c r="AS499" s="78"/>
      <c r="AT499" s="78"/>
      <c r="AU499" s="78"/>
      <c r="AV499" s="78"/>
      <c r="AW499" s="78"/>
      <c r="AX499" s="78"/>
      <c r="AY499" s="91"/>
      <c r="AZ499" s="78"/>
      <c r="BA499" s="78"/>
      <c r="BB499" s="78"/>
      <c r="BC499" s="78"/>
      <c r="BD499" s="78"/>
      <c r="BE499" s="78"/>
      <c r="BF499" s="78"/>
      <c r="BG499" s="78"/>
      <c r="BH499" s="78"/>
      <c r="BI499" s="78"/>
      <c r="BJ499" s="78"/>
      <c r="BK499" s="78"/>
      <c r="BL499" s="78"/>
      <c r="BM499" s="78"/>
      <c r="BN499" s="78"/>
      <c r="BO499" s="78"/>
      <c r="BP499" s="78"/>
      <c r="BQ499" s="78"/>
      <c r="BR499" s="78"/>
      <c r="BS499" s="78"/>
      <c r="BT499" s="78"/>
      <c r="BU499" s="78"/>
      <c r="BV499" s="78"/>
      <c r="BW499" s="78"/>
      <c r="BX499" s="78"/>
      <c r="BY499" s="78"/>
      <c r="BZ499" s="78"/>
      <c r="CA499" s="78"/>
      <c r="CB499" s="78"/>
      <c r="CC499" s="78"/>
      <c r="CD499" s="78"/>
      <c r="CE499" s="78"/>
      <c r="CF499" s="78"/>
      <c r="CG499" s="78"/>
      <c r="CH499" s="78"/>
      <c r="CI499" s="78"/>
      <c r="CJ499" s="78"/>
      <c r="CK499" s="78"/>
      <c r="CL499" s="78"/>
      <c r="CM499" s="78"/>
      <c r="CN499" s="78"/>
      <c r="CO499" s="78"/>
      <c r="CP499" s="78"/>
      <c r="CQ499" s="78"/>
      <c r="CR499" s="78"/>
      <c r="CS499" s="78"/>
      <c r="CT499" s="78"/>
      <c r="CU499" s="78"/>
      <c r="CV499" s="78"/>
      <c r="CW499" s="78"/>
      <c r="CX499" s="78"/>
      <c r="CY499" s="78"/>
      <c r="CZ499" s="78"/>
      <c r="DA499" s="78"/>
      <c r="DB499" s="78"/>
      <c r="DC499" s="78"/>
      <c r="DD499" s="78"/>
      <c r="DE499" s="78"/>
      <c r="DF499" s="78"/>
      <c r="DG499" s="78"/>
      <c r="DH499" s="78"/>
      <c r="DI499" s="78"/>
      <c r="DJ499" s="78"/>
      <c r="DK499" s="78"/>
      <c r="DL499" s="78"/>
      <c r="DM499" s="78"/>
      <c r="DN499" s="78"/>
      <c r="DO499" s="78"/>
      <c r="DP499" s="78"/>
      <c r="DQ499" s="78"/>
      <c r="DR499" s="78"/>
      <c r="DS499" s="78"/>
      <c r="DT499" s="78"/>
      <c r="DU499" s="78"/>
      <c r="DV499" s="78"/>
      <c r="DW499" s="78"/>
      <c r="DX499" s="78"/>
      <c r="DY499" s="78"/>
      <c r="DZ499" s="78"/>
      <c r="EA499" s="78"/>
      <c r="EB499" s="78"/>
      <c r="EC499" s="78"/>
      <c r="ED499" s="78"/>
      <c r="EE499" s="78"/>
      <c r="EF499" s="78"/>
      <c r="EG499" s="78"/>
      <c r="EH499" s="78"/>
      <c r="EI499" s="78"/>
      <c r="EJ499" s="78"/>
      <c r="EK499" s="78"/>
      <c r="EL499" s="78"/>
      <c r="EM499" s="78"/>
      <c r="EN499" s="91"/>
      <c r="EO499" s="91"/>
      <c r="EP499" s="91"/>
      <c r="EQ499" s="91"/>
      <c r="ER499" s="91"/>
      <c r="ES499" s="91"/>
    </row>
    <row r="500" spans="1:149" outlineLevel="1">
      <c r="A500" s="29" t="str">
        <f t="shared" si="333"/>
        <v>modesg_out_empr_info_nfinwtr_capex_own_prfrmnce_algnd</v>
      </c>
      <c r="B500" s="67" t="s">
        <v>26</v>
      </c>
      <c r="C500" s="68" t="s">
        <v>310</v>
      </c>
      <c r="D500" s="64" t="s">
        <v>40</v>
      </c>
      <c r="E500" s="66" t="s">
        <v>325</v>
      </c>
      <c r="F500" s="64" t="s">
        <v>272</v>
      </c>
      <c r="G500" s="64" t="str">
        <f>INDEX(Auxiliar!$B$16:$B$24,MATCH(Plano_V3!H500,Auxiliar!$C$16:$C$24,0),1)</f>
        <v>1. Concluído</v>
      </c>
      <c r="H500" s="64">
        <f>VLOOKUP(A500,'Aux - pivots1'!$A:$B,2,0)</f>
        <v>1</v>
      </c>
      <c r="I500" s="180" t="e">
        <f>SUMIFS(Table1[Estimação (horas)],Table1[Tabela],Plano_V3!E500,Table1[Campo],Plano_V3!F500)</f>
        <v>#N/A</v>
      </c>
      <c r="J500" s="180" t="e">
        <f t="shared" si="334"/>
        <v>#N/A</v>
      </c>
      <c r="K500" s="180" t="e">
        <f>SUMIFS(Table1[Horas efetivas],Table1[Tabela],Plano_V3!E500,Table1[Campo],Plano_V3!F500)</f>
        <v>#N/A</v>
      </c>
      <c r="L500" s="180" t="e">
        <f t="shared" si="335"/>
        <v>#N/A</v>
      </c>
      <c r="M500" s="174"/>
      <c r="N500" s="174" t="e">
        <f t="shared" si="336"/>
        <v>#N/A</v>
      </c>
      <c r="O500" s="174" t="e">
        <f t="shared" si="337"/>
        <v>#N/A</v>
      </c>
      <c r="P500" s="87" t="s">
        <v>326</v>
      </c>
      <c r="Q500" s="90"/>
      <c r="R500" s="78"/>
      <c r="S500" s="78"/>
      <c r="T500" s="78"/>
      <c r="U500" s="78"/>
      <c r="V500" s="78"/>
      <c r="W500" s="78"/>
      <c r="X500" s="78"/>
      <c r="Y500" s="78"/>
      <c r="Z500" s="78"/>
      <c r="AA500" s="78"/>
      <c r="AB500" s="78"/>
      <c r="AC500" s="78"/>
      <c r="AD500" s="78"/>
      <c r="AE500" s="78"/>
      <c r="AF500" s="78"/>
      <c r="AG500" s="78"/>
      <c r="AH500" s="78"/>
      <c r="AI500" s="78"/>
      <c r="AJ500" s="78"/>
      <c r="AK500" s="78"/>
      <c r="AL500" s="78"/>
      <c r="AM500" s="78"/>
      <c r="AN500" s="78"/>
      <c r="AO500" s="78"/>
      <c r="AP500" s="78"/>
      <c r="AQ500" s="78"/>
      <c r="AR500" s="78"/>
      <c r="AS500" s="78"/>
      <c r="AT500" s="78"/>
      <c r="AU500" s="78"/>
      <c r="AV500" s="78"/>
      <c r="AW500" s="78"/>
      <c r="AX500" s="78"/>
      <c r="AY500" s="91"/>
      <c r="AZ500" s="78"/>
      <c r="BA500" s="78"/>
      <c r="BB500" s="78"/>
      <c r="BC500" s="78"/>
      <c r="BD500" s="78"/>
      <c r="BE500" s="78"/>
      <c r="BF500" s="78"/>
      <c r="BG500" s="78"/>
      <c r="BH500" s="78"/>
      <c r="BI500" s="78"/>
      <c r="BJ500" s="78"/>
      <c r="BK500" s="78"/>
      <c r="BL500" s="78"/>
      <c r="BM500" s="78"/>
      <c r="BN500" s="78"/>
      <c r="BO500" s="78"/>
      <c r="BP500" s="78"/>
      <c r="BQ500" s="78"/>
      <c r="BR500" s="78"/>
      <c r="BS500" s="78"/>
      <c r="BT500" s="78"/>
      <c r="BU500" s="78"/>
      <c r="BV500" s="78"/>
      <c r="BW500" s="78"/>
      <c r="BX500" s="78"/>
      <c r="BY500" s="78"/>
      <c r="BZ500" s="78"/>
      <c r="CA500" s="78"/>
      <c r="CB500" s="78"/>
      <c r="CC500" s="78"/>
      <c r="CD500" s="78"/>
      <c r="CE500" s="78"/>
      <c r="CF500" s="78"/>
      <c r="CG500" s="78"/>
      <c r="CH500" s="78"/>
      <c r="CI500" s="78"/>
      <c r="CJ500" s="78"/>
      <c r="CK500" s="78"/>
      <c r="CL500" s="78"/>
      <c r="CM500" s="78"/>
      <c r="CN500" s="78"/>
      <c r="CO500" s="78"/>
      <c r="CP500" s="78"/>
      <c r="CQ500" s="78"/>
      <c r="CR500" s="78"/>
      <c r="CS500" s="78"/>
      <c r="CT500" s="78"/>
      <c r="CU500" s="78"/>
      <c r="CV500" s="78"/>
      <c r="CW500" s="78"/>
      <c r="CX500" s="78"/>
      <c r="CY500" s="78"/>
      <c r="CZ500" s="78"/>
      <c r="DA500" s="78"/>
      <c r="DB500" s="78"/>
      <c r="DC500" s="78"/>
      <c r="DD500" s="78"/>
      <c r="DE500" s="78"/>
      <c r="DF500" s="78"/>
      <c r="DG500" s="78"/>
      <c r="DH500" s="78"/>
      <c r="DI500" s="78"/>
      <c r="DJ500" s="78"/>
      <c r="DK500" s="78"/>
      <c r="DL500" s="78"/>
      <c r="DM500" s="78"/>
      <c r="DN500" s="78"/>
      <c r="DO500" s="78"/>
      <c r="DP500" s="78"/>
      <c r="DQ500" s="78"/>
      <c r="DR500" s="78"/>
      <c r="DS500" s="78"/>
      <c r="DT500" s="78"/>
      <c r="DU500" s="78"/>
      <c r="DV500" s="78"/>
      <c r="DW500" s="78"/>
      <c r="DX500" s="78"/>
      <c r="DY500" s="78"/>
      <c r="DZ500" s="78"/>
      <c r="EA500" s="78"/>
      <c r="EB500" s="78"/>
      <c r="EC500" s="78"/>
      <c r="ED500" s="78"/>
      <c r="EE500" s="78"/>
      <c r="EF500" s="78"/>
      <c r="EG500" s="78"/>
      <c r="EH500" s="78"/>
      <c r="EI500" s="78"/>
      <c r="EJ500" s="78"/>
      <c r="EK500" s="78"/>
      <c r="EL500" s="78"/>
      <c r="EM500" s="78"/>
      <c r="EN500" s="91"/>
      <c r="EO500" s="91"/>
      <c r="EP500" s="91"/>
      <c r="EQ500" s="91"/>
      <c r="ER500" s="91"/>
      <c r="ES500" s="91"/>
    </row>
    <row r="501" spans="1:149" outlineLevel="1">
      <c r="A501" s="29" t="str">
        <f t="shared" si="333"/>
        <v>modesg_out_empr_info_nfince_trnvr_ttl_elgbl</v>
      </c>
      <c r="B501" s="67" t="s">
        <v>26</v>
      </c>
      <c r="C501" s="68" t="s">
        <v>310</v>
      </c>
      <c r="D501" s="64" t="s">
        <v>40</v>
      </c>
      <c r="E501" s="66" t="s">
        <v>325</v>
      </c>
      <c r="F501" s="64" t="s">
        <v>273</v>
      </c>
      <c r="G501" s="64" t="str">
        <f>INDEX(Auxiliar!$B$16:$B$24,MATCH(Plano_V3!H501,Auxiliar!$C$16:$C$24,0),1)</f>
        <v>1. Concluído</v>
      </c>
      <c r="H501" s="64">
        <f>VLOOKUP(A501,'Aux - pivots1'!$A:$B,2,0)</f>
        <v>1</v>
      </c>
      <c r="I501" s="180" t="e">
        <f>SUMIFS(Table1[Estimação (horas)],Table1[Tabela],Plano_V3!E501,Table1[Campo],Plano_V3!F501)</f>
        <v>#N/A</v>
      </c>
      <c r="J501" s="180" t="e">
        <f t="shared" si="334"/>
        <v>#N/A</v>
      </c>
      <c r="K501" s="180" t="e">
        <f>SUMIFS(Table1[Horas efetivas],Table1[Tabela],Plano_V3!E501,Table1[Campo],Plano_V3!F501)</f>
        <v>#N/A</v>
      </c>
      <c r="L501" s="180" t="e">
        <f t="shared" si="335"/>
        <v>#N/A</v>
      </c>
      <c r="M501" s="174"/>
      <c r="N501" s="174" t="e">
        <f t="shared" si="336"/>
        <v>#N/A</v>
      </c>
      <c r="O501" s="174" t="e">
        <f t="shared" si="337"/>
        <v>#N/A</v>
      </c>
      <c r="P501" s="87" t="s">
        <v>326</v>
      </c>
      <c r="Q501" s="90"/>
      <c r="R501" s="78"/>
      <c r="S501" s="78"/>
      <c r="T501" s="78"/>
      <c r="U501" s="78"/>
      <c r="V501" s="78"/>
      <c r="W501" s="78"/>
      <c r="X501" s="78"/>
      <c r="Y501" s="78"/>
      <c r="Z501" s="78"/>
      <c r="AA501" s="78"/>
      <c r="AB501" s="78"/>
      <c r="AC501" s="78"/>
      <c r="AD501" s="78"/>
      <c r="AE501" s="78"/>
      <c r="AF501" s="78"/>
      <c r="AG501" s="78"/>
      <c r="AH501" s="78"/>
      <c r="AI501" s="78"/>
      <c r="AJ501" s="78"/>
      <c r="AK501" s="78"/>
      <c r="AL501" s="78"/>
      <c r="AM501" s="78"/>
      <c r="AN501" s="78"/>
      <c r="AO501" s="78"/>
      <c r="AP501" s="78"/>
      <c r="AQ501" s="78"/>
      <c r="AR501" s="78"/>
      <c r="AS501" s="78"/>
      <c r="AT501" s="78"/>
      <c r="AU501" s="78"/>
      <c r="AV501" s="78"/>
      <c r="AW501" s="78"/>
      <c r="AX501" s="78"/>
      <c r="AY501" s="91"/>
      <c r="AZ501" s="78"/>
      <c r="BA501" s="78"/>
      <c r="BB501" s="78"/>
      <c r="BC501" s="78"/>
      <c r="BD501" s="78"/>
      <c r="BE501" s="78"/>
      <c r="BF501" s="78"/>
      <c r="BG501" s="78"/>
      <c r="BH501" s="78"/>
      <c r="BI501" s="78"/>
      <c r="BJ501" s="78"/>
      <c r="BK501" s="78"/>
      <c r="BL501" s="78"/>
      <c r="BM501" s="78"/>
      <c r="BN501" s="78"/>
      <c r="BO501" s="78"/>
      <c r="BP501" s="78"/>
      <c r="BQ501" s="78"/>
      <c r="BR501" s="78"/>
      <c r="BS501" s="78"/>
      <c r="BT501" s="78"/>
      <c r="BU501" s="78"/>
      <c r="BV501" s="78"/>
      <c r="BW501" s="78"/>
      <c r="BX501" s="78"/>
      <c r="BY501" s="78"/>
      <c r="BZ501" s="78"/>
      <c r="CA501" s="78"/>
      <c r="CB501" s="78"/>
      <c r="CC501" s="78"/>
      <c r="CD501" s="78"/>
      <c r="CE501" s="78"/>
      <c r="CF501" s="78"/>
      <c r="CG501" s="78"/>
      <c r="CH501" s="78"/>
      <c r="CI501" s="78"/>
      <c r="CJ501" s="78"/>
      <c r="CK501" s="78"/>
      <c r="CL501" s="78"/>
      <c r="CM501" s="78"/>
      <c r="CN501" s="78"/>
      <c r="CO501" s="78"/>
      <c r="CP501" s="78"/>
      <c r="CQ501" s="78"/>
      <c r="CR501" s="78"/>
      <c r="CS501" s="78"/>
      <c r="CT501" s="78"/>
      <c r="CU501" s="78"/>
      <c r="CV501" s="78"/>
      <c r="CW501" s="78"/>
      <c r="CX501" s="78"/>
      <c r="CY501" s="78"/>
      <c r="CZ501" s="78"/>
      <c r="DA501" s="78"/>
      <c r="DB501" s="78"/>
      <c r="DC501" s="78"/>
      <c r="DD501" s="78"/>
      <c r="DE501" s="78"/>
      <c r="DF501" s="78"/>
      <c r="DG501" s="78"/>
      <c r="DH501" s="78"/>
      <c r="DI501" s="78"/>
      <c r="DJ501" s="78"/>
      <c r="DK501" s="78"/>
      <c r="DL501" s="78"/>
      <c r="DM501" s="78"/>
      <c r="DN501" s="78"/>
      <c r="DO501" s="78"/>
      <c r="DP501" s="78"/>
      <c r="DQ501" s="78"/>
      <c r="DR501" s="78"/>
      <c r="DS501" s="78"/>
      <c r="DT501" s="78"/>
      <c r="DU501" s="78"/>
      <c r="DV501" s="78"/>
      <c r="DW501" s="78"/>
      <c r="DX501" s="78"/>
      <c r="DY501" s="78"/>
      <c r="DZ501" s="78"/>
      <c r="EA501" s="78"/>
      <c r="EB501" s="78"/>
      <c r="EC501" s="78"/>
      <c r="ED501" s="78"/>
      <c r="EE501" s="78"/>
      <c r="EF501" s="78"/>
      <c r="EG501" s="78"/>
      <c r="EH501" s="78"/>
      <c r="EI501" s="78"/>
      <c r="EJ501" s="78"/>
      <c r="EK501" s="78"/>
      <c r="EL501" s="78"/>
      <c r="EM501" s="78"/>
      <c r="EN501" s="91"/>
      <c r="EO501" s="91"/>
      <c r="EP501" s="91"/>
      <c r="EQ501" s="91"/>
      <c r="ER501" s="91"/>
      <c r="ES501" s="91"/>
    </row>
    <row r="502" spans="1:149" outlineLevel="1">
      <c r="A502" s="29" t="str">
        <f t="shared" si="333"/>
        <v>modesg_out_empr_info_nfince_trnvr_enblng_alignd</v>
      </c>
      <c r="B502" s="67" t="s">
        <v>26</v>
      </c>
      <c r="C502" s="68" t="s">
        <v>310</v>
      </c>
      <c r="D502" s="64" t="s">
        <v>40</v>
      </c>
      <c r="E502" s="66" t="s">
        <v>325</v>
      </c>
      <c r="F502" s="64" t="s">
        <v>274</v>
      </c>
      <c r="G502" s="64" t="str">
        <f>INDEX(Auxiliar!$B$16:$B$24,MATCH(Plano_V3!H502,Auxiliar!$C$16:$C$24,0),1)</f>
        <v>1. Concluído</v>
      </c>
      <c r="H502" s="64">
        <f>VLOOKUP(A502,'Aux - pivots1'!$A:$B,2,0)</f>
        <v>1</v>
      </c>
      <c r="I502" s="180" t="e">
        <f>SUMIFS(Table1[Estimação (horas)],Table1[Tabela],Plano_V3!E502,Table1[Campo],Plano_V3!F502)</f>
        <v>#N/A</v>
      </c>
      <c r="J502" s="180" t="e">
        <f t="shared" si="334"/>
        <v>#N/A</v>
      </c>
      <c r="K502" s="180" t="e">
        <f>SUMIFS(Table1[Horas efetivas],Table1[Tabela],Plano_V3!E502,Table1[Campo],Plano_V3!F502)</f>
        <v>#N/A</v>
      </c>
      <c r="L502" s="180" t="e">
        <f t="shared" si="335"/>
        <v>#N/A</v>
      </c>
      <c r="M502" s="174"/>
      <c r="N502" s="174" t="e">
        <f t="shared" si="336"/>
        <v>#N/A</v>
      </c>
      <c r="O502" s="174" t="e">
        <f t="shared" si="337"/>
        <v>#N/A</v>
      </c>
      <c r="P502" s="87" t="s">
        <v>326</v>
      </c>
      <c r="Q502" s="90"/>
      <c r="R502" s="78"/>
      <c r="S502" s="78"/>
      <c r="T502" s="78"/>
      <c r="U502" s="78"/>
      <c r="V502" s="78"/>
      <c r="W502" s="78"/>
      <c r="X502" s="78"/>
      <c r="Y502" s="78"/>
      <c r="Z502" s="78"/>
      <c r="AA502" s="78"/>
      <c r="AB502" s="78"/>
      <c r="AC502" s="78"/>
      <c r="AD502" s="78"/>
      <c r="AE502" s="78"/>
      <c r="AF502" s="78"/>
      <c r="AG502" s="78"/>
      <c r="AH502" s="78"/>
      <c r="AI502" s="78"/>
      <c r="AJ502" s="78"/>
      <c r="AK502" s="78"/>
      <c r="AL502" s="78"/>
      <c r="AM502" s="78"/>
      <c r="AN502" s="78"/>
      <c r="AO502" s="78"/>
      <c r="AP502" s="78"/>
      <c r="AQ502" s="78"/>
      <c r="AR502" s="78"/>
      <c r="AS502" s="78"/>
      <c r="AT502" s="78"/>
      <c r="AU502" s="78"/>
      <c r="AV502" s="78"/>
      <c r="AW502" s="78"/>
      <c r="AX502" s="78"/>
      <c r="AY502" s="91"/>
      <c r="AZ502" s="78"/>
      <c r="BA502" s="78"/>
      <c r="BB502" s="78"/>
      <c r="BC502" s="78"/>
      <c r="BD502" s="78"/>
      <c r="BE502" s="78"/>
      <c r="BF502" s="78"/>
      <c r="BG502" s="78"/>
      <c r="BH502" s="78"/>
      <c r="BI502" s="78"/>
      <c r="BJ502" s="78"/>
      <c r="BK502" s="78"/>
      <c r="BL502" s="78"/>
      <c r="BM502" s="78"/>
      <c r="BN502" s="78"/>
      <c r="BO502" s="78"/>
      <c r="BP502" s="78"/>
      <c r="BQ502" s="78"/>
      <c r="BR502" s="78"/>
      <c r="BS502" s="78"/>
      <c r="BT502" s="78"/>
      <c r="BU502" s="78"/>
      <c r="BV502" s="78"/>
      <c r="BW502" s="78"/>
      <c r="BX502" s="78"/>
      <c r="BY502" s="78"/>
      <c r="BZ502" s="78"/>
      <c r="CA502" s="78"/>
      <c r="CB502" s="78"/>
      <c r="CC502" s="78"/>
      <c r="CD502" s="78"/>
      <c r="CE502" s="78"/>
      <c r="CF502" s="78"/>
      <c r="CG502" s="78"/>
      <c r="CH502" s="78"/>
      <c r="CI502" s="78"/>
      <c r="CJ502" s="78"/>
      <c r="CK502" s="78"/>
      <c r="CL502" s="78"/>
      <c r="CM502" s="78"/>
      <c r="CN502" s="78"/>
      <c r="CO502" s="78"/>
      <c r="CP502" s="78"/>
      <c r="CQ502" s="78"/>
      <c r="CR502" s="78"/>
      <c r="CS502" s="78"/>
      <c r="CT502" s="78"/>
      <c r="CU502" s="78"/>
      <c r="CV502" s="78"/>
      <c r="CW502" s="78"/>
      <c r="CX502" s="78"/>
      <c r="CY502" s="78"/>
      <c r="CZ502" s="78"/>
      <c r="DA502" s="78"/>
      <c r="DB502" s="78"/>
      <c r="DC502" s="78"/>
      <c r="DD502" s="78"/>
      <c r="DE502" s="78"/>
      <c r="DF502" s="78"/>
      <c r="DG502" s="78"/>
      <c r="DH502" s="78"/>
      <c r="DI502" s="78"/>
      <c r="DJ502" s="78"/>
      <c r="DK502" s="78"/>
      <c r="DL502" s="78"/>
      <c r="DM502" s="78"/>
      <c r="DN502" s="78"/>
      <c r="DO502" s="78"/>
      <c r="DP502" s="78"/>
      <c r="DQ502" s="78"/>
      <c r="DR502" s="78"/>
      <c r="DS502" s="78"/>
      <c r="DT502" s="78"/>
      <c r="DU502" s="78"/>
      <c r="DV502" s="78"/>
      <c r="DW502" s="78"/>
      <c r="DX502" s="78"/>
      <c r="DY502" s="78"/>
      <c r="DZ502" s="78"/>
      <c r="EA502" s="78"/>
      <c r="EB502" s="78"/>
      <c r="EC502" s="78"/>
      <c r="ED502" s="78"/>
      <c r="EE502" s="78"/>
      <c r="EF502" s="78"/>
      <c r="EG502" s="78"/>
      <c r="EH502" s="78"/>
      <c r="EI502" s="78"/>
      <c r="EJ502" s="78"/>
      <c r="EK502" s="78"/>
      <c r="EL502" s="78"/>
      <c r="EM502" s="78"/>
      <c r="EN502" s="91"/>
      <c r="EO502" s="91"/>
      <c r="EP502" s="91"/>
      <c r="EQ502" s="91"/>
      <c r="ER502" s="91"/>
      <c r="ES502" s="91"/>
    </row>
    <row r="503" spans="1:149" outlineLevel="1">
      <c r="A503" s="29" t="str">
        <f t="shared" si="333"/>
        <v>modesg_out_empr_info_nfince_turnover_own_prfrmnce_algnd</v>
      </c>
      <c r="B503" s="67" t="s">
        <v>26</v>
      </c>
      <c r="C503" s="68" t="s">
        <v>310</v>
      </c>
      <c r="D503" s="64" t="s">
        <v>40</v>
      </c>
      <c r="E503" s="66" t="s">
        <v>325</v>
      </c>
      <c r="F503" s="64" t="s">
        <v>275</v>
      </c>
      <c r="G503" s="64" t="str">
        <f>INDEX(Auxiliar!$B$16:$B$24,MATCH(Plano_V3!H503,Auxiliar!$C$16:$C$24,0),1)</f>
        <v>1. Concluído</v>
      </c>
      <c r="H503" s="64">
        <f>VLOOKUP(A503,'Aux - pivots1'!$A:$B,2,0)</f>
        <v>1</v>
      </c>
      <c r="I503" s="180" t="e">
        <f>SUMIFS(Table1[Estimação (horas)],Table1[Tabela],Plano_V3!E503,Table1[Campo],Plano_V3!F503)</f>
        <v>#N/A</v>
      </c>
      <c r="J503" s="180" t="e">
        <f t="shared" si="334"/>
        <v>#N/A</v>
      </c>
      <c r="K503" s="180" t="e">
        <f>SUMIFS(Table1[Horas efetivas],Table1[Tabela],Plano_V3!E503,Table1[Campo],Plano_V3!F503)</f>
        <v>#N/A</v>
      </c>
      <c r="L503" s="180" t="e">
        <f t="shared" si="335"/>
        <v>#N/A</v>
      </c>
      <c r="M503" s="174"/>
      <c r="N503" s="174" t="e">
        <f t="shared" si="336"/>
        <v>#N/A</v>
      </c>
      <c r="O503" s="174" t="e">
        <f t="shared" si="337"/>
        <v>#N/A</v>
      </c>
      <c r="P503" s="87" t="s">
        <v>326</v>
      </c>
      <c r="Q503" s="90"/>
      <c r="R503" s="78"/>
      <c r="S503" s="78"/>
      <c r="T503" s="78"/>
      <c r="U503" s="78"/>
      <c r="V503" s="78"/>
      <c r="W503" s="78"/>
      <c r="X503" s="78"/>
      <c r="Y503" s="78"/>
      <c r="Z503" s="78"/>
      <c r="AA503" s="78"/>
      <c r="AB503" s="78"/>
      <c r="AC503" s="78"/>
      <c r="AD503" s="78"/>
      <c r="AE503" s="78"/>
      <c r="AF503" s="78"/>
      <c r="AG503" s="78"/>
      <c r="AH503" s="78"/>
      <c r="AI503" s="78"/>
      <c r="AJ503" s="78"/>
      <c r="AK503" s="78"/>
      <c r="AL503" s="78"/>
      <c r="AM503" s="78"/>
      <c r="AN503" s="78"/>
      <c r="AO503" s="78"/>
      <c r="AP503" s="78"/>
      <c r="AQ503" s="78"/>
      <c r="AR503" s="78"/>
      <c r="AS503" s="78"/>
      <c r="AT503" s="78"/>
      <c r="AU503" s="78"/>
      <c r="AV503" s="78"/>
      <c r="AW503" s="78"/>
      <c r="AX503" s="78"/>
      <c r="AY503" s="91"/>
      <c r="AZ503" s="78"/>
      <c r="BA503" s="78"/>
      <c r="BB503" s="78"/>
      <c r="BC503" s="78"/>
      <c r="BD503" s="78"/>
      <c r="BE503" s="78"/>
      <c r="BF503" s="78"/>
      <c r="BG503" s="78"/>
      <c r="BH503" s="78"/>
      <c r="BI503" s="78"/>
      <c r="BJ503" s="78"/>
      <c r="BK503" s="78"/>
      <c r="BL503" s="78"/>
      <c r="BM503" s="78"/>
      <c r="BN503" s="78"/>
      <c r="BO503" s="78"/>
      <c r="BP503" s="78"/>
      <c r="BQ503" s="78"/>
      <c r="BR503" s="78"/>
      <c r="BS503" s="78"/>
      <c r="BT503" s="78"/>
      <c r="BU503" s="78"/>
      <c r="BV503" s="78"/>
      <c r="BW503" s="78"/>
      <c r="BX503" s="78"/>
      <c r="BY503" s="78"/>
      <c r="BZ503" s="78"/>
      <c r="CA503" s="78"/>
      <c r="CB503" s="78"/>
      <c r="CC503" s="78"/>
      <c r="CD503" s="78"/>
      <c r="CE503" s="78"/>
      <c r="CF503" s="78"/>
      <c r="CG503" s="78"/>
      <c r="CH503" s="78"/>
      <c r="CI503" s="78"/>
      <c r="CJ503" s="78"/>
      <c r="CK503" s="78"/>
      <c r="CL503" s="78"/>
      <c r="CM503" s="78"/>
      <c r="CN503" s="78"/>
      <c r="CO503" s="78"/>
      <c r="CP503" s="78"/>
      <c r="CQ503" s="78"/>
      <c r="CR503" s="78"/>
      <c r="CS503" s="78"/>
      <c r="CT503" s="78"/>
      <c r="CU503" s="78"/>
      <c r="CV503" s="78"/>
      <c r="CW503" s="78"/>
      <c r="CX503" s="78"/>
      <c r="CY503" s="78"/>
      <c r="CZ503" s="78"/>
      <c r="DA503" s="78"/>
      <c r="DB503" s="78"/>
      <c r="DC503" s="78"/>
      <c r="DD503" s="78"/>
      <c r="DE503" s="78"/>
      <c r="DF503" s="78"/>
      <c r="DG503" s="78"/>
      <c r="DH503" s="78"/>
      <c r="DI503" s="78"/>
      <c r="DJ503" s="78"/>
      <c r="DK503" s="78"/>
      <c r="DL503" s="78"/>
      <c r="DM503" s="78"/>
      <c r="DN503" s="78"/>
      <c r="DO503" s="78"/>
      <c r="DP503" s="78"/>
      <c r="DQ503" s="78"/>
      <c r="DR503" s="78"/>
      <c r="DS503" s="78"/>
      <c r="DT503" s="78"/>
      <c r="DU503" s="78"/>
      <c r="DV503" s="78"/>
      <c r="DW503" s="78"/>
      <c r="DX503" s="78"/>
      <c r="DY503" s="78"/>
      <c r="DZ503" s="78"/>
      <c r="EA503" s="78"/>
      <c r="EB503" s="78"/>
      <c r="EC503" s="78"/>
      <c r="ED503" s="78"/>
      <c r="EE503" s="78"/>
      <c r="EF503" s="78"/>
      <c r="EG503" s="78"/>
      <c r="EH503" s="78"/>
      <c r="EI503" s="78"/>
      <c r="EJ503" s="78"/>
      <c r="EK503" s="78"/>
      <c r="EL503" s="78"/>
      <c r="EM503" s="78"/>
      <c r="EN503" s="91"/>
      <c r="EO503" s="91"/>
      <c r="EP503" s="91"/>
      <c r="EQ503" s="91"/>
      <c r="ER503" s="91"/>
      <c r="ES503" s="91"/>
    </row>
    <row r="504" spans="1:149" outlineLevel="1">
      <c r="A504" s="29" t="str">
        <f t="shared" si="333"/>
        <v>modesg_out_empr_info_nfince_capex_ttl_elgbl</v>
      </c>
      <c r="B504" s="67" t="s">
        <v>26</v>
      </c>
      <c r="C504" s="68" t="s">
        <v>310</v>
      </c>
      <c r="D504" s="64" t="s">
        <v>40</v>
      </c>
      <c r="E504" s="66" t="s">
        <v>325</v>
      </c>
      <c r="F504" s="64" t="s">
        <v>276</v>
      </c>
      <c r="G504" s="64" t="str">
        <f>INDEX(Auxiliar!$B$16:$B$24,MATCH(Plano_V3!H504,Auxiliar!$C$16:$C$24,0),1)</f>
        <v>1. Concluído</v>
      </c>
      <c r="H504" s="64">
        <f>VLOOKUP(A504,'Aux - pivots1'!$A:$B,2,0)</f>
        <v>1</v>
      </c>
      <c r="I504" s="180" t="e">
        <f>SUMIFS(Table1[Estimação (horas)],Table1[Tabela],Plano_V3!E504,Table1[Campo],Plano_V3!F504)</f>
        <v>#N/A</v>
      </c>
      <c r="J504" s="180" t="e">
        <f t="shared" si="334"/>
        <v>#N/A</v>
      </c>
      <c r="K504" s="180" t="e">
        <f>SUMIFS(Table1[Horas efetivas],Table1[Tabela],Plano_V3!E504,Table1[Campo],Plano_V3!F504)</f>
        <v>#N/A</v>
      </c>
      <c r="L504" s="180" t="e">
        <f t="shared" si="335"/>
        <v>#N/A</v>
      </c>
      <c r="M504" s="174"/>
      <c r="N504" s="174" t="e">
        <f t="shared" si="336"/>
        <v>#N/A</v>
      </c>
      <c r="O504" s="174" t="e">
        <f t="shared" si="337"/>
        <v>#N/A</v>
      </c>
      <c r="P504" s="87" t="s">
        <v>326</v>
      </c>
      <c r="Q504" s="90"/>
      <c r="R504" s="78"/>
      <c r="S504" s="78"/>
      <c r="T504" s="78"/>
      <c r="U504" s="78"/>
      <c r="V504" s="78"/>
      <c r="W504" s="78"/>
      <c r="X504" s="78"/>
      <c r="Y504" s="78"/>
      <c r="Z504" s="78"/>
      <c r="AA504" s="78"/>
      <c r="AB504" s="78"/>
      <c r="AC504" s="78"/>
      <c r="AD504" s="78"/>
      <c r="AE504" s="78"/>
      <c r="AF504" s="78"/>
      <c r="AG504" s="78"/>
      <c r="AH504" s="78"/>
      <c r="AI504" s="78"/>
      <c r="AJ504" s="78"/>
      <c r="AK504" s="78"/>
      <c r="AL504" s="78"/>
      <c r="AM504" s="78"/>
      <c r="AN504" s="78"/>
      <c r="AO504" s="78"/>
      <c r="AP504" s="78"/>
      <c r="AQ504" s="78"/>
      <c r="AR504" s="78"/>
      <c r="AS504" s="78"/>
      <c r="AT504" s="78"/>
      <c r="AU504" s="78"/>
      <c r="AV504" s="78"/>
      <c r="AW504" s="78"/>
      <c r="AX504" s="78"/>
      <c r="AY504" s="91"/>
      <c r="AZ504" s="78"/>
      <c r="BA504" s="78"/>
      <c r="BB504" s="78"/>
      <c r="BC504" s="78"/>
      <c r="BD504" s="78"/>
      <c r="BE504" s="78"/>
      <c r="BF504" s="78"/>
      <c r="BG504" s="78"/>
      <c r="BH504" s="78"/>
      <c r="BI504" s="78"/>
      <c r="BJ504" s="78"/>
      <c r="BK504" s="78"/>
      <c r="BL504" s="78"/>
      <c r="BM504" s="78"/>
      <c r="BN504" s="78"/>
      <c r="BO504" s="78"/>
      <c r="BP504" s="78"/>
      <c r="BQ504" s="78"/>
      <c r="BR504" s="78"/>
      <c r="BS504" s="78"/>
      <c r="BT504" s="78"/>
      <c r="BU504" s="78"/>
      <c r="BV504" s="78"/>
      <c r="BW504" s="78"/>
      <c r="BX504" s="78"/>
      <c r="BY504" s="78"/>
      <c r="BZ504" s="78"/>
      <c r="CA504" s="78"/>
      <c r="CB504" s="78"/>
      <c r="CC504" s="78"/>
      <c r="CD504" s="78"/>
      <c r="CE504" s="78"/>
      <c r="CF504" s="78"/>
      <c r="CG504" s="78"/>
      <c r="CH504" s="78"/>
      <c r="CI504" s="78"/>
      <c r="CJ504" s="78"/>
      <c r="CK504" s="78"/>
      <c r="CL504" s="78"/>
      <c r="CM504" s="78"/>
      <c r="CN504" s="78"/>
      <c r="CO504" s="78"/>
      <c r="CP504" s="78"/>
      <c r="CQ504" s="78"/>
      <c r="CR504" s="78"/>
      <c r="CS504" s="78"/>
      <c r="CT504" s="78"/>
      <c r="CU504" s="78"/>
      <c r="CV504" s="78"/>
      <c r="CW504" s="78"/>
      <c r="CX504" s="78"/>
      <c r="CY504" s="78"/>
      <c r="CZ504" s="78"/>
      <c r="DA504" s="78"/>
      <c r="DB504" s="78"/>
      <c r="DC504" s="78"/>
      <c r="DD504" s="78"/>
      <c r="DE504" s="78"/>
      <c r="DF504" s="78"/>
      <c r="DG504" s="78"/>
      <c r="DH504" s="78"/>
      <c r="DI504" s="78"/>
      <c r="DJ504" s="78"/>
      <c r="DK504" s="78"/>
      <c r="DL504" s="78"/>
      <c r="DM504" s="78"/>
      <c r="DN504" s="78"/>
      <c r="DO504" s="78"/>
      <c r="DP504" s="78"/>
      <c r="DQ504" s="78"/>
      <c r="DR504" s="78"/>
      <c r="DS504" s="78"/>
      <c r="DT504" s="78"/>
      <c r="DU504" s="78"/>
      <c r="DV504" s="78"/>
      <c r="DW504" s="78"/>
      <c r="DX504" s="78"/>
      <c r="DY504" s="78"/>
      <c r="DZ504" s="78"/>
      <c r="EA504" s="78"/>
      <c r="EB504" s="78"/>
      <c r="EC504" s="78"/>
      <c r="ED504" s="78"/>
      <c r="EE504" s="78"/>
      <c r="EF504" s="78"/>
      <c r="EG504" s="78"/>
      <c r="EH504" s="78"/>
      <c r="EI504" s="78"/>
      <c r="EJ504" s="78"/>
      <c r="EK504" s="78"/>
      <c r="EL504" s="78"/>
      <c r="EM504" s="78"/>
      <c r="EN504" s="91"/>
      <c r="EO504" s="91"/>
      <c r="EP504" s="91"/>
      <c r="EQ504" s="91"/>
      <c r="ER504" s="91"/>
      <c r="ES504" s="91"/>
    </row>
    <row r="505" spans="1:149" outlineLevel="1">
      <c r="A505" s="29" t="str">
        <f t="shared" si="333"/>
        <v>modesg_out_empr_info_nfince_capex_enblng_algnd</v>
      </c>
      <c r="B505" s="67" t="s">
        <v>26</v>
      </c>
      <c r="C505" s="68" t="s">
        <v>310</v>
      </c>
      <c r="D505" s="64" t="s">
        <v>40</v>
      </c>
      <c r="E505" s="66" t="s">
        <v>325</v>
      </c>
      <c r="F505" s="64" t="s">
        <v>277</v>
      </c>
      <c r="G505" s="64" t="str">
        <f>INDEX(Auxiliar!$B$16:$B$24,MATCH(Plano_V3!H505,Auxiliar!$C$16:$C$24,0),1)</f>
        <v>1. Concluído</v>
      </c>
      <c r="H505" s="64">
        <f>VLOOKUP(A505,'Aux - pivots1'!$A:$B,2,0)</f>
        <v>1</v>
      </c>
      <c r="I505" s="180" t="e">
        <f>SUMIFS(Table1[Estimação (horas)],Table1[Tabela],Plano_V3!E505,Table1[Campo],Plano_V3!F505)</f>
        <v>#N/A</v>
      </c>
      <c r="J505" s="180" t="e">
        <f t="shared" si="334"/>
        <v>#N/A</v>
      </c>
      <c r="K505" s="180" t="e">
        <f>SUMIFS(Table1[Horas efetivas],Table1[Tabela],Plano_V3!E505,Table1[Campo],Plano_V3!F505)</f>
        <v>#N/A</v>
      </c>
      <c r="L505" s="180" t="e">
        <f t="shared" si="335"/>
        <v>#N/A</v>
      </c>
      <c r="M505" s="174"/>
      <c r="N505" s="174" t="e">
        <f t="shared" si="336"/>
        <v>#N/A</v>
      </c>
      <c r="O505" s="174" t="e">
        <f t="shared" si="337"/>
        <v>#N/A</v>
      </c>
      <c r="P505" s="87" t="s">
        <v>326</v>
      </c>
      <c r="Q505" s="90"/>
      <c r="R505" s="78"/>
      <c r="S505" s="78"/>
      <c r="T505" s="78"/>
      <c r="U505" s="78"/>
      <c r="V505" s="78"/>
      <c r="W505" s="78"/>
      <c r="X505" s="78"/>
      <c r="Y505" s="78"/>
      <c r="Z505" s="78"/>
      <c r="AA505" s="78"/>
      <c r="AB505" s="78"/>
      <c r="AC505" s="78"/>
      <c r="AD505" s="78"/>
      <c r="AE505" s="78"/>
      <c r="AF505" s="78"/>
      <c r="AG505" s="78"/>
      <c r="AH505" s="78"/>
      <c r="AI505" s="78"/>
      <c r="AJ505" s="78"/>
      <c r="AK505" s="78"/>
      <c r="AL505" s="78"/>
      <c r="AM505" s="78"/>
      <c r="AN505" s="78"/>
      <c r="AO505" s="78"/>
      <c r="AP505" s="78"/>
      <c r="AQ505" s="78"/>
      <c r="AR505" s="78"/>
      <c r="AS505" s="78"/>
      <c r="AT505" s="78"/>
      <c r="AU505" s="78"/>
      <c r="AV505" s="78"/>
      <c r="AW505" s="78"/>
      <c r="AX505" s="78"/>
      <c r="AY505" s="91"/>
      <c r="AZ505" s="78"/>
      <c r="BA505" s="78"/>
      <c r="BB505" s="78"/>
      <c r="BC505" s="78"/>
      <c r="BD505" s="78"/>
      <c r="BE505" s="78"/>
      <c r="BF505" s="78"/>
      <c r="BG505" s="78"/>
      <c r="BH505" s="78"/>
      <c r="BI505" s="78"/>
      <c r="BJ505" s="78"/>
      <c r="BK505" s="78"/>
      <c r="BL505" s="78"/>
      <c r="BM505" s="78"/>
      <c r="BN505" s="78"/>
      <c r="BO505" s="78"/>
      <c r="BP505" s="78"/>
      <c r="BQ505" s="78"/>
      <c r="BR505" s="78"/>
      <c r="BS505" s="78"/>
      <c r="BT505" s="78"/>
      <c r="BU505" s="78"/>
      <c r="BV505" s="78"/>
      <c r="BW505" s="78"/>
      <c r="BX505" s="78"/>
      <c r="BY505" s="78"/>
      <c r="BZ505" s="78"/>
      <c r="CA505" s="78"/>
      <c r="CB505" s="78"/>
      <c r="CC505" s="78"/>
      <c r="CD505" s="78"/>
      <c r="CE505" s="78"/>
      <c r="CF505" s="78"/>
      <c r="CG505" s="78"/>
      <c r="CH505" s="78"/>
      <c r="CI505" s="78"/>
      <c r="CJ505" s="78"/>
      <c r="CK505" s="78"/>
      <c r="CL505" s="78"/>
      <c r="CM505" s="78"/>
      <c r="CN505" s="78"/>
      <c r="CO505" s="78"/>
      <c r="CP505" s="78"/>
      <c r="CQ505" s="78"/>
      <c r="CR505" s="78"/>
      <c r="CS505" s="78"/>
      <c r="CT505" s="78"/>
      <c r="CU505" s="78"/>
      <c r="CV505" s="78"/>
      <c r="CW505" s="78"/>
      <c r="CX505" s="78"/>
      <c r="CY505" s="78"/>
      <c r="CZ505" s="78"/>
      <c r="DA505" s="78"/>
      <c r="DB505" s="78"/>
      <c r="DC505" s="78"/>
      <c r="DD505" s="78"/>
      <c r="DE505" s="78"/>
      <c r="DF505" s="78"/>
      <c r="DG505" s="78"/>
      <c r="DH505" s="78"/>
      <c r="DI505" s="78"/>
      <c r="DJ505" s="78"/>
      <c r="DK505" s="78"/>
      <c r="DL505" s="78"/>
      <c r="DM505" s="78"/>
      <c r="DN505" s="78"/>
      <c r="DO505" s="78"/>
      <c r="DP505" s="78"/>
      <c r="DQ505" s="78"/>
      <c r="DR505" s="78"/>
      <c r="DS505" s="78"/>
      <c r="DT505" s="78"/>
      <c r="DU505" s="78"/>
      <c r="DV505" s="78"/>
      <c r="DW505" s="78"/>
      <c r="DX505" s="78"/>
      <c r="DY505" s="78"/>
      <c r="DZ505" s="78"/>
      <c r="EA505" s="78"/>
      <c r="EB505" s="78"/>
      <c r="EC505" s="78"/>
      <c r="ED505" s="78"/>
      <c r="EE505" s="78"/>
      <c r="EF505" s="78"/>
      <c r="EG505" s="78"/>
      <c r="EH505" s="78"/>
      <c r="EI505" s="78"/>
      <c r="EJ505" s="78"/>
      <c r="EK505" s="78"/>
      <c r="EL505" s="78"/>
      <c r="EM505" s="78"/>
      <c r="EN505" s="91"/>
      <c r="EO505" s="91"/>
      <c r="EP505" s="91"/>
      <c r="EQ505" s="91"/>
      <c r="ER505" s="91"/>
      <c r="ES505" s="91"/>
    </row>
    <row r="506" spans="1:149" outlineLevel="1">
      <c r="A506" s="29" t="str">
        <f t="shared" si="333"/>
        <v>modesg_out_empr_info_nfince_capex_own_prfrmnce_algnd</v>
      </c>
      <c r="B506" s="67" t="s">
        <v>26</v>
      </c>
      <c r="C506" s="68" t="s">
        <v>310</v>
      </c>
      <c r="D506" s="64" t="s">
        <v>40</v>
      </c>
      <c r="E506" s="66" t="s">
        <v>325</v>
      </c>
      <c r="F506" s="64" t="s">
        <v>278</v>
      </c>
      <c r="G506" s="64" t="str">
        <f>INDEX(Auxiliar!$B$16:$B$24,MATCH(Plano_V3!H506,Auxiliar!$C$16:$C$24,0),1)</f>
        <v>1. Concluído</v>
      </c>
      <c r="H506" s="64">
        <f>VLOOKUP(A506,'Aux - pivots1'!$A:$B,2,0)</f>
        <v>1</v>
      </c>
      <c r="I506" s="180" t="e">
        <f>SUMIFS(Table1[Estimação (horas)],Table1[Tabela],Plano_V3!E506,Table1[Campo],Plano_V3!F506)</f>
        <v>#N/A</v>
      </c>
      <c r="J506" s="180" t="e">
        <f t="shared" si="334"/>
        <v>#N/A</v>
      </c>
      <c r="K506" s="180" t="e">
        <f>SUMIFS(Table1[Horas efetivas],Table1[Tabela],Plano_V3!E506,Table1[Campo],Plano_V3!F506)</f>
        <v>#N/A</v>
      </c>
      <c r="L506" s="180" t="e">
        <f t="shared" si="335"/>
        <v>#N/A</v>
      </c>
      <c r="M506" s="174"/>
      <c r="N506" s="174" t="e">
        <f t="shared" si="336"/>
        <v>#N/A</v>
      </c>
      <c r="O506" s="174" t="e">
        <f t="shared" si="337"/>
        <v>#N/A</v>
      </c>
      <c r="P506" s="87" t="s">
        <v>326</v>
      </c>
      <c r="Q506" s="90"/>
      <c r="R506" s="78"/>
      <c r="S506" s="78"/>
      <c r="T506" s="78"/>
      <c r="U506" s="78"/>
      <c r="V506" s="78"/>
      <c r="W506" s="78"/>
      <c r="X506" s="78"/>
      <c r="Y506" s="78"/>
      <c r="Z506" s="78"/>
      <c r="AA506" s="78"/>
      <c r="AB506" s="78"/>
      <c r="AC506" s="78"/>
      <c r="AD506" s="78"/>
      <c r="AE506" s="78"/>
      <c r="AF506" s="78"/>
      <c r="AG506" s="78"/>
      <c r="AH506" s="78"/>
      <c r="AI506" s="78"/>
      <c r="AJ506" s="78"/>
      <c r="AK506" s="78"/>
      <c r="AL506" s="78"/>
      <c r="AM506" s="78"/>
      <c r="AN506" s="78"/>
      <c r="AO506" s="78"/>
      <c r="AP506" s="78"/>
      <c r="AQ506" s="78"/>
      <c r="AR506" s="78"/>
      <c r="AS506" s="78"/>
      <c r="AT506" s="78"/>
      <c r="AU506" s="78"/>
      <c r="AV506" s="78"/>
      <c r="AW506" s="78"/>
      <c r="AX506" s="78"/>
      <c r="AY506" s="91"/>
      <c r="AZ506" s="78"/>
      <c r="BA506" s="78"/>
      <c r="BB506" s="78"/>
      <c r="BC506" s="78"/>
      <c r="BD506" s="78"/>
      <c r="BE506" s="78"/>
      <c r="BF506" s="78"/>
      <c r="BG506" s="78"/>
      <c r="BH506" s="78"/>
      <c r="BI506" s="78"/>
      <c r="BJ506" s="78"/>
      <c r="BK506" s="78"/>
      <c r="BL506" s="78"/>
      <c r="BM506" s="78"/>
      <c r="BN506" s="78"/>
      <c r="BO506" s="78"/>
      <c r="BP506" s="78"/>
      <c r="BQ506" s="78"/>
      <c r="BR506" s="78"/>
      <c r="BS506" s="78"/>
      <c r="BT506" s="78"/>
      <c r="BU506" s="78"/>
      <c r="BV506" s="78"/>
      <c r="BW506" s="78"/>
      <c r="BX506" s="78"/>
      <c r="BY506" s="78"/>
      <c r="BZ506" s="78"/>
      <c r="CA506" s="78"/>
      <c r="CB506" s="78"/>
      <c r="CC506" s="78"/>
      <c r="CD506" s="78"/>
      <c r="CE506" s="78"/>
      <c r="CF506" s="78"/>
      <c r="CG506" s="78"/>
      <c r="CH506" s="78"/>
      <c r="CI506" s="78"/>
      <c r="CJ506" s="78"/>
      <c r="CK506" s="78"/>
      <c r="CL506" s="78"/>
      <c r="CM506" s="78"/>
      <c r="CN506" s="78"/>
      <c r="CO506" s="78"/>
      <c r="CP506" s="78"/>
      <c r="CQ506" s="78"/>
      <c r="CR506" s="78"/>
      <c r="CS506" s="78"/>
      <c r="CT506" s="78"/>
      <c r="CU506" s="78"/>
      <c r="CV506" s="78"/>
      <c r="CW506" s="78"/>
      <c r="CX506" s="78"/>
      <c r="CY506" s="78"/>
      <c r="CZ506" s="78"/>
      <c r="DA506" s="78"/>
      <c r="DB506" s="78"/>
      <c r="DC506" s="78"/>
      <c r="DD506" s="78"/>
      <c r="DE506" s="78"/>
      <c r="DF506" s="78"/>
      <c r="DG506" s="78"/>
      <c r="DH506" s="78"/>
      <c r="DI506" s="78"/>
      <c r="DJ506" s="78"/>
      <c r="DK506" s="78"/>
      <c r="DL506" s="78"/>
      <c r="DM506" s="78"/>
      <c r="DN506" s="78"/>
      <c r="DO506" s="78"/>
      <c r="DP506" s="78"/>
      <c r="DQ506" s="78"/>
      <c r="DR506" s="78"/>
      <c r="DS506" s="78"/>
      <c r="DT506" s="78"/>
      <c r="DU506" s="78"/>
      <c r="DV506" s="78"/>
      <c r="DW506" s="78"/>
      <c r="DX506" s="78"/>
      <c r="DY506" s="78"/>
      <c r="DZ506" s="78"/>
      <c r="EA506" s="78"/>
      <c r="EB506" s="78"/>
      <c r="EC506" s="78"/>
      <c r="ED506" s="78"/>
      <c r="EE506" s="78"/>
      <c r="EF506" s="78"/>
      <c r="EG506" s="78"/>
      <c r="EH506" s="78"/>
      <c r="EI506" s="78"/>
      <c r="EJ506" s="78"/>
      <c r="EK506" s="78"/>
      <c r="EL506" s="78"/>
      <c r="EM506" s="78"/>
      <c r="EN506" s="91"/>
      <c r="EO506" s="91"/>
      <c r="EP506" s="91"/>
      <c r="EQ506" s="91"/>
      <c r="ER506" s="91"/>
      <c r="ES506" s="91"/>
    </row>
    <row r="507" spans="1:149" outlineLevel="1">
      <c r="A507" s="29" t="str">
        <f t="shared" si="329"/>
        <v>modesg_out_empr_info_nfincod_nace_esg</v>
      </c>
      <c r="B507" s="67" t="s">
        <v>26</v>
      </c>
      <c r="C507" s="68" t="s">
        <v>310</v>
      </c>
      <c r="D507" s="64" t="s">
        <v>40</v>
      </c>
      <c r="E507" s="66" t="s">
        <v>325</v>
      </c>
      <c r="F507" s="64" t="s">
        <v>281</v>
      </c>
      <c r="G507" s="64" t="str">
        <f>INDEX(Auxiliar!$B$16:$B$24,MATCH(Plano_V3!H507,Auxiliar!$C$16:$C$24,0),1)</f>
        <v>1. Concluído</v>
      </c>
      <c r="H507" s="64">
        <f>VLOOKUP(A507,'Aux - pivots1'!$A:$B,2,0)</f>
        <v>1</v>
      </c>
      <c r="I507" s="180">
        <f>SUMIFS(Table1[Estimação (horas)],Table1[Tabela],Plano_V3!E507,Table1[Campo],Plano_V3!F507)</f>
        <v>16.100000000000001</v>
      </c>
      <c r="J507" s="180">
        <f t="shared" si="330"/>
        <v>2.0125000000000002</v>
      </c>
      <c r="K507" s="180">
        <f>SUMIFS(Table1[Horas efetivas],Table1[Tabela],Plano_V3!E507,Table1[Campo],Plano_V3!F507)</f>
        <v>16.100000000000001</v>
      </c>
      <c r="L507" s="180">
        <f t="shared" si="331"/>
        <v>2.0125000000000002</v>
      </c>
      <c r="M507" s="174"/>
      <c r="N507" s="174">
        <f t="shared" si="332"/>
        <v>1</v>
      </c>
      <c r="O507" s="174">
        <f t="shared" si="316"/>
        <v>1</v>
      </c>
      <c r="P507" s="87" t="s">
        <v>326</v>
      </c>
      <c r="Q507" s="90">
        <f t="shared" si="324"/>
        <v>2.0125000000000002</v>
      </c>
      <c r="R507" s="78"/>
      <c r="S507" s="78"/>
      <c r="T507" s="78"/>
      <c r="U507" s="78"/>
      <c r="V507" s="78"/>
      <c r="W507" s="78"/>
      <c r="X507" s="78"/>
      <c r="Y507" s="78"/>
      <c r="Z507" s="78"/>
      <c r="AA507" s="78"/>
      <c r="AB507" s="78"/>
      <c r="AC507" s="78"/>
      <c r="AD507" s="78"/>
      <c r="AE507" s="78"/>
      <c r="AF507" s="78"/>
      <c r="AG507" s="78"/>
      <c r="AH507" s="78"/>
      <c r="AI507" s="78"/>
      <c r="AJ507" s="78"/>
      <c r="AK507" s="78"/>
      <c r="AL507" s="78"/>
      <c r="AM507" s="78"/>
      <c r="AN507" s="78"/>
      <c r="AO507" s="78"/>
      <c r="AP507" s="78"/>
      <c r="AQ507" s="78"/>
      <c r="AR507" s="78"/>
      <c r="AS507" s="78"/>
      <c r="AT507" s="78"/>
      <c r="AU507" s="78"/>
      <c r="AV507" s="78"/>
      <c r="AW507" s="78"/>
      <c r="AX507" s="78"/>
      <c r="AY507" s="91"/>
      <c r="AZ507" s="78"/>
      <c r="BA507" s="78"/>
      <c r="BB507" s="78"/>
      <c r="BC507" s="78"/>
      <c r="BD507" s="78"/>
      <c r="BE507" s="78"/>
      <c r="BF507" s="78"/>
      <c r="BG507" s="78"/>
      <c r="BH507" s="78"/>
      <c r="BI507" s="78"/>
      <c r="BJ507" s="78"/>
      <c r="BK507" s="78"/>
      <c r="BL507" s="78"/>
      <c r="BM507" s="78"/>
      <c r="BN507" s="78"/>
      <c r="BO507" s="78"/>
      <c r="BP507" s="78"/>
      <c r="BQ507" s="78"/>
      <c r="BR507" s="78"/>
      <c r="BS507" s="78"/>
      <c r="BT507" s="78"/>
      <c r="BU507" s="78"/>
      <c r="BV507" s="78"/>
      <c r="BW507" s="78"/>
      <c r="BX507" s="78"/>
      <c r="BY507" s="78"/>
      <c r="BZ507" s="78"/>
      <c r="CA507" s="78"/>
      <c r="CB507" s="78"/>
      <c r="CC507" s="78"/>
      <c r="CD507" s="78"/>
      <c r="CE507" s="78"/>
      <c r="CF507" s="78"/>
      <c r="CG507" s="78"/>
      <c r="CH507" s="78"/>
      <c r="CI507" s="78"/>
      <c r="CJ507" s="78"/>
      <c r="CK507" s="78"/>
      <c r="CL507" s="78"/>
      <c r="CM507" s="78"/>
      <c r="CN507" s="78"/>
      <c r="CO507" s="78"/>
      <c r="CP507" s="78"/>
      <c r="CQ507" s="78"/>
      <c r="CR507" s="78"/>
      <c r="CS507" s="78"/>
      <c r="CT507" s="78"/>
      <c r="CU507" s="78"/>
      <c r="CV507" s="78"/>
      <c r="CW507" s="78"/>
      <c r="CX507" s="78"/>
      <c r="CY507" s="78"/>
      <c r="CZ507" s="78"/>
      <c r="DA507" s="78"/>
      <c r="DB507" s="78"/>
      <c r="DC507" s="78"/>
      <c r="DD507" s="78"/>
      <c r="DE507" s="78"/>
      <c r="DF507" s="78"/>
      <c r="DG507" s="78"/>
      <c r="DH507" s="78"/>
      <c r="DI507" s="78"/>
      <c r="DJ507" s="78"/>
      <c r="DK507" s="78"/>
      <c r="DL507" s="78"/>
      <c r="DM507" s="78"/>
      <c r="DN507" s="78"/>
      <c r="DO507" s="78"/>
      <c r="DP507" s="78"/>
      <c r="DQ507" s="78"/>
      <c r="DR507" s="78"/>
      <c r="DS507" s="78"/>
      <c r="DT507" s="78"/>
      <c r="DU507" s="78"/>
      <c r="DV507" s="78"/>
      <c r="DW507" s="78"/>
      <c r="DX507" s="78"/>
      <c r="DY507" s="78"/>
      <c r="DZ507" s="78"/>
      <c r="EA507" s="78"/>
      <c r="EB507" s="78"/>
      <c r="EC507" s="78"/>
      <c r="ED507" s="78"/>
      <c r="EE507" s="78"/>
      <c r="EF507" s="78"/>
      <c r="EG507" s="78"/>
      <c r="EH507" s="78"/>
      <c r="EI507" s="78"/>
      <c r="EJ507" s="78"/>
      <c r="EK507" s="78"/>
      <c r="EL507" s="78"/>
      <c r="EM507" s="78"/>
      <c r="EN507" s="91"/>
      <c r="EO507" s="91"/>
      <c r="EP507" s="91"/>
      <c r="EQ507" s="91"/>
      <c r="ER507" s="91"/>
      <c r="ES507" s="91"/>
    </row>
    <row r="508" spans="1:149" outlineLevel="1">
      <c r="A508" s="29" t="str">
        <f t="shared" si="329"/>
        <v>modesg_out_empr_info_nfinflg_emprs_excl_paris</v>
      </c>
      <c r="B508" s="67" t="s">
        <v>26</v>
      </c>
      <c r="C508" s="68" t="s">
        <v>310</v>
      </c>
      <c r="D508" s="64" t="s">
        <v>40</v>
      </c>
      <c r="E508" s="66" t="s">
        <v>325</v>
      </c>
      <c r="F508" s="64" t="s">
        <v>327</v>
      </c>
      <c r="G508" s="64" t="str">
        <f>INDEX(Auxiliar!$B$16:$B$24,MATCH(Plano_V3!H508,Auxiliar!$C$16:$C$24,0),1)</f>
        <v>1. Concluído</v>
      </c>
      <c r="H508" s="64">
        <f>VLOOKUP(A508,'Aux - pivots1'!$A:$B,2,0)</f>
        <v>1</v>
      </c>
      <c r="I508" s="180">
        <f>SUMIFS(Table1[Estimação (horas)],Table1[Tabela],Plano_V3!E508,Table1[Campo],Plano_V3!F508)</f>
        <v>8.1</v>
      </c>
      <c r="J508" s="180">
        <f t="shared" si="330"/>
        <v>1.0125</v>
      </c>
      <c r="K508" s="180">
        <f>SUMIFS(Table1[Horas efetivas],Table1[Tabela],Plano_V3!E508,Table1[Campo],Plano_V3!F508)</f>
        <v>8.1</v>
      </c>
      <c r="L508" s="180">
        <f t="shared" si="331"/>
        <v>1.0125</v>
      </c>
      <c r="M508" s="174"/>
      <c r="N508" s="174">
        <f t="shared" si="332"/>
        <v>1</v>
      </c>
      <c r="O508" s="174">
        <f t="shared" si="316"/>
        <v>1</v>
      </c>
      <c r="P508" s="87" t="s">
        <v>326</v>
      </c>
      <c r="Q508" s="90">
        <f t="shared" si="324"/>
        <v>1.0125</v>
      </c>
      <c r="R508" s="78"/>
      <c r="S508" s="78"/>
      <c r="T508" s="78"/>
      <c r="U508" s="78"/>
      <c r="V508" s="78"/>
      <c r="W508" s="78"/>
      <c r="X508" s="78"/>
      <c r="Y508" s="78"/>
      <c r="Z508" s="78"/>
      <c r="AA508" s="78"/>
      <c r="AB508" s="78"/>
      <c r="AC508" s="78"/>
      <c r="AD508" s="78"/>
      <c r="AE508" s="78"/>
      <c r="AF508" s="78"/>
      <c r="AG508" s="78"/>
      <c r="AH508" s="78"/>
      <c r="AI508" s="78"/>
      <c r="AJ508" s="78"/>
      <c r="AK508" s="78"/>
      <c r="AL508" s="78"/>
      <c r="AM508" s="78"/>
      <c r="AN508" s="78"/>
      <c r="AO508" s="78"/>
      <c r="AP508" s="78"/>
      <c r="AQ508" s="78"/>
      <c r="AR508" s="78"/>
      <c r="AS508" s="78"/>
      <c r="AT508" s="78"/>
      <c r="AU508" s="78"/>
      <c r="AV508" s="78"/>
      <c r="AW508" s="78"/>
      <c r="AX508" s="78"/>
      <c r="AY508" s="91"/>
      <c r="AZ508" s="78"/>
      <c r="BA508" s="78"/>
      <c r="BB508" s="78"/>
      <c r="BC508" s="78"/>
      <c r="BD508" s="78"/>
      <c r="BE508" s="78"/>
      <c r="BF508" s="78"/>
      <c r="BG508" s="78"/>
      <c r="BH508" s="78"/>
      <c r="BI508" s="78"/>
      <c r="BJ508" s="78"/>
      <c r="BK508" s="78"/>
      <c r="BL508" s="78"/>
      <c r="BM508" s="78"/>
      <c r="BN508" s="78"/>
      <c r="BO508" s="78"/>
      <c r="BP508" s="78"/>
      <c r="BQ508" s="78"/>
      <c r="BR508" s="78"/>
      <c r="BS508" s="78"/>
      <c r="BT508" s="78"/>
      <c r="BU508" s="78"/>
      <c r="BV508" s="78"/>
      <c r="BW508" s="78"/>
      <c r="BX508" s="78"/>
      <c r="BY508" s="78"/>
      <c r="BZ508" s="78"/>
      <c r="CA508" s="78"/>
      <c r="CB508" s="78"/>
      <c r="CC508" s="78"/>
      <c r="CD508" s="78"/>
      <c r="CE508" s="78"/>
      <c r="CF508" s="78"/>
      <c r="CG508" s="78"/>
      <c r="CH508" s="78"/>
      <c r="CI508" s="78"/>
      <c r="CJ508" s="78"/>
      <c r="CK508" s="78"/>
      <c r="CL508" s="78"/>
      <c r="CM508" s="78"/>
      <c r="CN508" s="78"/>
      <c r="CO508" s="78"/>
      <c r="CP508" s="78"/>
      <c r="CQ508" s="78"/>
      <c r="CR508" s="78"/>
      <c r="CS508" s="78"/>
      <c r="CT508" s="78"/>
      <c r="CU508" s="78"/>
      <c r="CV508" s="78"/>
      <c r="CW508" s="78"/>
      <c r="CX508" s="78"/>
      <c r="CY508" s="78"/>
      <c r="CZ508" s="78"/>
      <c r="DA508" s="78"/>
      <c r="DB508" s="78"/>
      <c r="DC508" s="78"/>
      <c r="DD508" s="78"/>
      <c r="DE508" s="78"/>
      <c r="DF508" s="78"/>
      <c r="DG508" s="78"/>
      <c r="DH508" s="78"/>
      <c r="DI508" s="78"/>
      <c r="DJ508" s="78"/>
      <c r="DK508" s="78"/>
      <c r="DL508" s="78"/>
      <c r="DM508" s="78"/>
      <c r="DN508" s="78"/>
      <c r="DO508" s="78"/>
      <c r="DP508" s="78"/>
      <c r="DQ508" s="78"/>
      <c r="DR508" s="78"/>
      <c r="DS508" s="78"/>
      <c r="DT508" s="78"/>
      <c r="DU508" s="78"/>
      <c r="DV508" s="78"/>
      <c r="DW508" s="78"/>
      <c r="DX508" s="78"/>
      <c r="DY508" s="78"/>
      <c r="DZ508" s="78"/>
      <c r="EA508" s="78"/>
      <c r="EB508" s="78"/>
      <c r="EC508" s="78"/>
      <c r="ED508" s="78"/>
      <c r="EE508" s="78"/>
      <c r="EF508" s="78"/>
      <c r="EG508" s="78"/>
      <c r="EH508" s="78"/>
      <c r="EI508" s="78"/>
      <c r="EJ508" s="78"/>
      <c r="EK508" s="78"/>
      <c r="EL508" s="78"/>
      <c r="EM508" s="78"/>
      <c r="EN508" s="91"/>
      <c r="EO508" s="91"/>
      <c r="EP508" s="91"/>
      <c r="EQ508" s="91"/>
      <c r="ER508" s="91"/>
      <c r="ES508" s="91"/>
    </row>
    <row r="509" spans="1:149" outlineLevel="1">
      <c r="A509" s="29" t="str">
        <f t="shared" si="329"/>
        <v>modesg_out_empr_info_nfinflg_nfrd</v>
      </c>
      <c r="B509" s="67" t="s">
        <v>26</v>
      </c>
      <c r="C509" s="68" t="s">
        <v>310</v>
      </c>
      <c r="D509" s="64" t="s">
        <v>40</v>
      </c>
      <c r="E509" s="66" t="s">
        <v>325</v>
      </c>
      <c r="F509" s="64" t="s">
        <v>244</v>
      </c>
      <c r="G509" s="64" t="str">
        <f>INDEX(Auxiliar!$B$16:$B$24,MATCH(Plano_V3!H509,Auxiliar!$C$16:$C$24,0),1)</f>
        <v>1. Concluído</v>
      </c>
      <c r="H509" s="64">
        <f>VLOOKUP(A509,'Aux - pivots1'!$A:$B,2,0)</f>
        <v>1</v>
      </c>
      <c r="I509" s="180">
        <f>SUMIFS(Table1[Estimação (horas)],Table1[Tabela],Plano_V3!E509,Table1[Campo],Plano_V3!F509)</f>
        <v>8.1</v>
      </c>
      <c r="J509" s="180">
        <f t="shared" si="330"/>
        <v>1.0125</v>
      </c>
      <c r="K509" s="180">
        <f>SUMIFS(Table1[Horas efetivas],Table1[Tabela],Plano_V3!E509,Table1[Campo],Plano_V3!F509)</f>
        <v>8.1</v>
      </c>
      <c r="L509" s="180">
        <f t="shared" si="331"/>
        <v>1.0125</v>
      </c>
      <c r="M509" s="174"/>
      <c r="N509" s="174">
        <f t="shared" si="332"/>
        <v>1</v>
      </c>
      <c r="O509" s="174">
        <f t="shared" si="316"/>
        <v>1</v>
      </c>
      <c r="P509" s="87" t="s">
        <v>326</v>
      </c>
      <c r="Q509" s="90">
        <f t="shared" si="324"/>
        <v>1.0125</v>
      </c>
      <c r="R509" s="78"/>
      <c r="S509" s="78"/>
      <c r="T509" s="78"/>
      <c r="U509" s="78"/>
      <c r="V509" s="78"/>
      <c r="W509" s="78"/>
      <c r="X509" s="78"/>
      <c r="Y509" s="78"/>
      <c r="Z509" s="78"/>
      <c r="AA509" s="78"/>
      <c r="AB509" s="78"/>
      <c r="AC509" s="78"/>
      <c r="AD509" s="78"/>
      <c r="AE509" s="78"/>
      <c r="AF509" s="78"/>
      <c r="AG509" s="78"/>
      <c r="AH509" s="78"/>
      <c r="AI509" s="78"/>
      <c r="AJ509" s="78"/>
      <c r="AK509" s="78"/>
      <c r="AL509" s="78"/>
      <c r="AM509" s="78"/>
      <c r="AN509" s="78"/>
      <c r="AO509" s="78"/>
      <c r="AP509" s="78"/>
      <c r="AQ509" s="78"/>
      <c r="AR509" s="78"/>
      <c r="AS509" s="78"/>
      <c r="AT509" s="78"/>
      <c r="AU509" s="78"/>
      <c r="AV509" s="78"/>
      <c r="AW509" s="78"/>
      <c r="AX509" s="78"/>
      <c r="AY509" s="91"/>
      <c r="AZ509" s="78"/>
      <c r="BA509" s="78"/>
      <c r="BB509" s="78"/>
      <c r="BC509" s="78"/>
      <c r="BD509" s="78"/>
      <c r="BE509" s="78"/>
      <c r="BF509" s="78"/>
      <c r="BG509" s="78"/>
      <c r="BH509" s="78"/>
      <c r="BI509" s="78"/>
      <c r="BJ509" s="78"/>
      <c r="BK509" s="78"/>
      <c r="BL509" s="78"/>
      <c r="BM509" s="78"/>
      <c r="BN509" s="78"/>
      <c r="BO509" s="78"/>
      <c r="BP509" s="78"/>
      <c r="BQ509" s="78"/>
      <c r="BR509" s="78"/>
      <c r="BS509" s="78"/>
      <c r="BT509" s="78"/>
      <c r="BU509" s="78"/>
      <c r="BV509" s="78"/>
      <c r="BW509" s="78"/>
      <c r="BX509" s="78"/>
      <c r="BY509" s="78"/>
      <c r="BZ509" s="78"/>
      <c r="CA509" s="78"/>
      <c r="CB509" s="78"/>
      <c r="CC509" s="78"/>
      <c r="CD509" s="78"/>
      <c r="CE509" s="78"/>
      <c r="CF509" s="78"/>
      <c r="CG509" s="78"/>
      <c r="CH509" s="78"/>
      <c r="CI509" s="78"/>
      <c r="CJ509" s="78"/>
      <c r="CK509" s="78"/>
      <c r="CL509" s="78"/>
      <c r="CM509" s="78"/>
      <c r="CN509" s="78"/>
      <c r="CO509" s="78"/>
      <c r="CP509" s="78"/>
      <c r="CQ509" s="78"/>
      <c r="CR509" s="78"/>
      <c r="CS509" s="78"/>
      <c r="CT509" s="78"/>
      <c r="CU509" s="78"/>
      <c r="CV509" s="78"/>
      <c r="CW509" s="78"/>
      <c r="CX509" s="78"/>
      <c r="CY509" s="78"/>
      <c r="CZ509" s="78"/>
      <c r="DA509" s="78"/>
      <c r="DB509" s="78"/>
      <c r="DC509" s="78"/>
      <c r="DD509" s="78"/>
      <c r="DE509" s="78"/>
      <c r="DF509" s="78"/>
      <c r="DG509" s="78"/>
      <c r="DH509" s="78"/>
      <c r="DI509" s="78"/>
      <c r="DJ509" s="78"/>
      <c r="DK509" s="78"/>
      <c r="DL509" s="78"/>
      <c r="DM509" s="78"/>
      <c r="DN509" s="78"/>
      <c r="DO509" s="78"/>
      <c r="DP509" s="78"/>
      <c r="DQ509" s="78"/>
      <c r="DR509" s="78"/>
      <c r="DS509" s="78"/>
      <c r="DT509" s="78"/>
      <c r="DU509" s="78"/>
      <c r="DV509" s="78"/>
      <c r="DW509" s="78"/>
      <c r="DX509" s="78"/>
      <c r="DY509" s="78"/>
      <c r="DZ509" s="78"/>
      <c r="EA509" s="78"/>
      <c r="EB509" s="78"/>
      <c r="EC509" s="78"/>
      <c r="ED509" s="78"/>
      <c r="EE509" s="78"/>
      <c r="EF509" s="78"/>
      <c r="EG509" s="78"/>
      <c r="EH509" s="78"/>
      <c r="EI509" s="78"/>
      <c r="EJ509" s="78"/>
      <c r="EK509" s="78"/>
      <c r="EL509" s="78"/>
      <c r="EM509" s="78"/>
      <c r="EN509" s="91"/>
      <c r="EO509" s="91"/>
      <c r="EP509" s="91"/>
      <c r="EQ509" s="91"/>
      <c r="ER509" s="91"/>
      <c r="ES509" s="91"/>
    </row>
    <row r="510" spans="1:149" outlineLevel="1">
      <c r="A510" s="29" t="str">
        <f t="shared" si="329"/>
        <v>modesg_out_empr_info_nfinflg_rsc_fsc_agd</v>
      </c>
      <c r="B510" s="67" t="s">
        <v>26</v>
      </c>
      <c r="C510" s="68" t="s">
        <v>310</v>
      </c>
      <c r="D510" s="64" t="s">
        <v>40</v>
      </c>
      <c r="E510" s="66" t="s">
        <v>325</v>
      </c>
      <c r="F510" s="64" t="s">
        <v>282</v>
      </c>
      <c r="G510" s="64" t="str">
        <f>INDEX(Auxiliar!$B$16:$B$24,MATCH(Plano_V3!H510,Auxiliar!$C$16:$C$24,0),1)</f>
        <v>1. Concluído</v>
      </c>
      <c r="H510" s="64">
        <f>VLOOKUP(A510,'Aux - pivots1'!$A:$B,2,0)</f>
        <v>1</v>
      </c>
      <c r="I510" s="180">
        <f>SUMIFS(Table1[Estimação (horas)],Table1[Tabela],Plano_V3!E510,Table1[Campo],Plano_V3!F510)</f>
        <v>16.100000000000001</v>
      </c>
      <c r="J510" s="180">
        <f t="shared" si="330"/>
        <v>2.0125000000000002</v>
      </c>
      <c r="K510" s="180">
        <f>SUMIFS(Table1[Horas efetivas],Table1[Tabela],Plano_V3!E510,Table1[Campo],Plano_V3!F510)</f>
        <v>16.100000000000001</v>
      </c>
      <c r="L510" s="180">
        <f t="shared" si="331"/>
        <v>2.0125000000000002</v>
      </c>
      <c r="M510" s="174"/>
      <c r="N510" s="174">
        <f t="shared" si="332"/>
        <v>1</v>
      </c>
      <c r="O510" s="174">
        <f t="shared" ref="O510:O562" si="338">N510-M510</f>
        <v>1</v>
      </c>
      <c r="P510" s="87" t="s">
        <v>326</v>
      </c>
      <c r="Q510" s="90">
        <f t="shared" si="324"/>
        <v>2.0125000000000002</v>
      </c>
      <c r="R510" s="78"/>
      <c r="S510" s="78"/>
      <c r="T510" s="78"/>
      <c r="U510" s="78"/>
      <c r="V510" s="78"/>
      <c r="W510" s="78"/>
      <c r="X510" s="78"/>
      <c r="Y510" s="78"/>
      <c r="Z510" s="78"/>
      <c r="AA510" s="78"/>
      <c r="AB510" s="78"/>
      <c r="AC510" s="78"/>
      <c r="AD510" s="78"/>
      <c r="AE510" s="78"/>
      <c r="AF510" s="78"/>
      <c r="AG510" s="78"/>
      <c r="AH510" s="78"/>
      <c r="AI510" s="78"/>
      <c r="AJ510" s="78"/>
      <c r="AK510" s="78"/>
      <c r="AL510" s="78"/>
      <c r="AM510" s="78"/>
      <c r="AN510" s="78"/>
      <c r="AO510" s="78"/>
      <c r="AP510" s="78"/>
      <c r="AQ510" s="78"/>
      <c r="AR510" s="78"/>
      <c r="AS510" s="78"/>
      <c r="AT510" s="78"/>
      <c r="AU510" s="78"/>
      <c r="AV510" s="78"/>
      <c r="AW510" s="78"/>
      <c r="AX510" s="78"/>
      <c r="AY510" s="91"/>
      <c r="AZ510" s="78"/>
      <c r="BA510" s="78"/>
      <c r="BB510" s="78"/>
      <c r="BC510" s="78"/>
      <c r="BD510" s="78"/>
      <c r="BE510" s="78"/>
      <c r="BF510" s="78"/>
      <c r="BG510" s="78"/>
      <c r="BH510" s="78"/>
      <c r="BI510" s="78"/>
      <c r="BJ510" s="78"/>
      <c r="BK510" s="78"/>
      <c r="BL510" s="78"/>
      <c r="BM510" s="78"/>
      <c r="BN510" s="78"/>
      <c r="BO510" s="78"/>
      <c r="BP510" s="78"/>
      <c r="BQ510" s="78"/>
      <c r="BR510" s="78"/>
      <c r="BS510" s="78"/>
      <c r="BT510" s="78"/>
      <c r="BU510" s="78"/>
      <c r="BV510" s="78"/>
      <c r="BW510" s="78"/>
      <c r="BX510" s="78"/>
      <c r="BY510" s="78"/>
      <c r="BZ510" s="78"/>
      <c r="CA510" s="78"/>
      <c r="CB510" s="78"/>
      <c r="CC510" s="78"/>
      <c r="CD510" s="78"/>
      <c r="CE510" s="78"/>
      <c r="CF510" s="78"/>
      <c r="CG510" s="78"/>
      <c r="CH510" s="78"/>
      <c r="CI510" s="78"/>
      <c r="CJ510" s="78"/>
      <c r="CK510" s="78"/>
      <c r="CL510" s="78"/>
      <c r="CM510" s="78"/>
      <c r="CN510" s="78"/>
      <c r="CO510" s="78"/>
      <c r="CP510" s="78"/>
      <c r="CQ510" s="78"/>
      <c r="CR510" s="78"/>
      <c r="CS510" s="78"/>
      <c r="CT510" s="78"/>
      <c r="CU510" s="78"/>
      <c r="CV510" s="78"/>
      <c r="CW510" s="78"/>
      <c r="CX510" s="78"/>
      <c r="CY510" s="78"/>
      <c r="CZ510" s="78"/>
      <c r="DA510" s="78"/>
      <c r="DB510" s="78"/>
      <c r="DC510" s="78"/>
      <c r="DD510" s="78"/>
      <c r="DE510" s="78"/>
      <c r="DF510" s="78"/>
      <c r="DG510" s="78"/>
      <c r="DH510" s="78"/>
      <c r="DI510" s="78"/>
      <c r="DJ510" s="78"/>
      <c r="DK510" s="78"/>
      <c r="DL510" s="78"/>
      <c r="DM510" s="78"/>
      <c r="DN510" s="78"/>
      <c r="DO510" s="78"/>
      <c r="DP510" s="78"/>
      <c r="DQ510" s="78"/>
      <c r="DR510" s="78"/>
      <c r="DS510" s="78"/>
      <c r="DT510" s="78"/>
      <c r="DU510" s="78"/>
      <c r="DV510" s="78"/>
      <c r="DW510" s="78"/>
      <c r="DX510" s="78"/>
      <c r="DY510" s="78"/>
      <c r="DZ510" s="78"/>
      <c r="EA510" s="78"/>
      <c r="EB510" s="78"/>
      <c r="EC510" s="78"/>
      <c r="ED510" s="78"/>
      <c r="EE510" s="78"/>
      <c r="EF510" s="78"/>
      <c r="EG510" s="78"/>
      <c r="EH510" s="78"/>
      <c r="EI510" s="78"/>
      <c r="EJ510" s="78"/>
      <c r="EK510" s="78"/>
      <c r="EL510" s="78"/>
      <c r="EM510" s="78"/>
      <c r="EN510" s="91"/>
      <c r="EO510" s="91"/>
      <c r="EP510" s="91"/>
      <c r="EQ510" s="91"/>
      <c r="ER510" s="91"/>
      <c r="ES510" s="91"/>
    </row>
    <row r="511" spans="1:149" outlineLevel="1">
      <c r="A511" s="29" t="str">
        <f t="shared" si="329"/>
        <v>modesg_out_empr_info_nfinflg_rsc_fsc_crnc</v>
      </c>
      <c r="B511" s="67" t="s">
        <v>26</v>
      </c>
      <c r="C511" s="68" t="s">
        <v>310</v>
      </c>
      <c r="D511" s="64" t="s">
        <v>40</v>
      </c>
      <c r="E511" s="66" t="s">
        <v>325</v>
      </c>
      <c r="F511" s="64" t="s">
        <v>283</v>
      </c>
      <c r="G511" s="64" t="str">
        <f>INDEX(Auxiliar!$B$16:$B$24,MATCH(Plano_V3!H511,Auxiliar!$C$16:$C$24,0),1)</f>
        <v>1. Concluído</v>
      </c>
      <c r="H511" s="64">
        <f>VLOOKUP(A511,'Aux - pivots1'!$A:$B,2,0)</f>
        <v>1</v>
      </c>
      <c r="I511" s="180">
        <f>SUMIFS(Table1[Estimação (horas)],Table1[Tabela],Plano_V3!E511,Table1[Campo],Plano_V3!F511)</f>
        <v>16.100000000000001</v>
      </c>
      <c r="J511" s="180">
        <f t="shared" si="330"/>
        <v>2.0125000000000002</v>
      </c>
      <c r="K511" s="180">
        <f>SUMIFS(Table1[Horas efetivas],Table1[Tabela],Plano_V3!E511,Table1[Campo],Plano_V3!F511)</f>
        <v>16.100000000000001</v>
      </c>
      <c r="L511" s="180">
        <f t="shared" si="331"/>
        <v>2.0125000000000002</v>
      </c>
      <c r="M511" s="174"/>
      <c r="N511" s="174">
        <f t="shared" si="332"/>
        <v>1</v>
      </c>
      <c r="O511" s="174">
        <f t="shared" si="338"/>
        <v>1</v>
      </c>
      <c r="P511" s="87" t="s">
        <v>326</v>
      </c>
      <c r="Q511" s="90">
        <f t="shared" si="324"/>
        <v>2.0125000000000002</v>
      </c>
      <c r="R511" s="78"/>
      <c r="S511" s="78"/>
      <c r="T511" s="78"/>
      <c r="U511" s="78"/>
      <c r="V511" s="78"/>
      <c r="W511" s="78"/>
      <c r="X511" s="78"/>
      <c r="Y511" s="78"/>
      <c r="Z511" s="78"/>
      <c r="AA511" s="78"/>
      <c r="AB511" s="78"/>
      <c r="AC511" s="78"/>
      <c r="AD511" s="78"/>
      <c r="AE511" s="78"/>
      <c r="AF511" s="78"/>
      <c r="AG511" s="78"/>
      <c r="AH511" s="78"/>
      <c r="AI511" s="78"/>
      <c r="AJ511" s="78"/>
      <c r="AK511" s="78"/>
      <c r="AL511" s="78"/>
      <c r="AM511" s="78"/>
      <c r="AN511" s="78"/>
      <c r="AO511" s="78"/>
      <c r="AP511" s="78"/>
      <c r="AQ511" s="78"/>
      <c r="AR511" s="78"/>
      <c r="AS511" s="78"/>
      <c r="AT511" s="78"/>
      <c r="AU511" s="78"/>
      <c r="AV511" s="78"/>
      <c r="AW511" s="78"/>
      <c r="AX511" s="78"/>
      <c r="AY511" s="91"/>
      <c r="AZ511" s="78"/>
      <c r="BA511" s="78"/>
      <c r="BB511" s="78"/>
      <c r="BC511" s="78"/>
      <c r="BD511" s="78"/>
      <c r="BE511" s="78"/>
      <c r="BF511" s="78"/>
      <c r="BG511" s="78"/>
      <c r="BH511" s="78"/>
      <c r="BI511" s="78"/>
      <c r="BJ511" s="78"/>
      <c r="BK511" s="78"/>
      <c r="BL511" s="78"/>
      <c r="BM511" s="78"/>
      <c r="BN511" s="78"/>
      <c r="BO511" s="78"/>
      <c r="BP511" s="78"/>
      <c r="BQ511" s="78"/>
      <c r="BR511" s="78"/>
      <c r="BS511" s="78"/>
      <c r="BT511" s="78"/>
      <c r="BU511" s="78"/>
      <c r="BV511" s="78"/>
      <c r="BW511" s="78"/>
      <c r="BX511" s="78"/>
      <c r="BY511" s="78"/>
      <c r="BZ511" s="78"/>
      <c r="CA511" s="78"/>
      <c r="CB511" s="78"/>
      <c r="CC511" s="78"/>
      <c r="CD511" s="78"/>
      <c r="CE511" s="78"/>
      <c r="CF511" s="78"/>
      <c r="CG511" s="78"/>
      <c r="CH511" s="78"/>
      <c r="CI511" s="78"/>
      <c r="CJ511" s="78"/>
      <c r="CK511" s="78"/>
      <c r="CL511" s="78"/>
      <c r="CM511" s="78"/>
      <c r="CN511" s="78"/>
      <c r="CO511" s="78"/>
      <c r="CP511" s="78"/>
      <c r="CQ511" s="78"/>
      <c r="CR511" s="78"/>
      <c r="CS511" s="78"/>
      <c r="CT511" s="78"/>
      <c r="CU511" s="78"/>
      <c r="CV511" s="78"/>
      <c r="CW511" s="78"/>
      <c r="CX511" s="78"/>
      <c r="CY511" s="78"/>
      <c r="CZ511" s="78"/>
      <c r="DA511" s="78"/>
      <c r="DB511" s="78"/>
      <c r="DC511" s="78"/>
      <c r="DD511" s="78"/>
      <c r="DE511" s="78"/>
      <c r="DF511" s="78"/>
      <c r="DG511" s="78"/>
      <c r="DH511" s="78"/>
      <c r="DI511" s="78"/>
      <c r="DJ511" s="78"/>
      <c r="DK511" s="78"/>
      <c r="DL511" s="78"/>
      <c r="DM511" s="78"/>
      <c r="DN511" s="78"/>
      <c r="DO511" s="78"/>
      <c r="DP511" s="78"/>
      <c r="DQ511" s="78"/>
      <c r="DR511" s="78"/>
      <c r="DS511" s="78"/>
      <c r="DT511" s="78"/>
      <c r="DU511" s="78"/>
      <c r="DV511" s="78"/>
      <c r="DW511" s="78"/>
      <c r="DX511" s="78"/>
      <c r="DY511" s="78"/>
      <c r="DZ511" s="78"/>
      <c r="EA511" s="78"/>
      <c r="EB511" s="78"/>
      <c r="EC511" s="78"/>
      <c r="ED511" s="78"/>
      <c r="EE511" s="78"/>
      <c r="EF511" s="78"/>
      <c r="EG511" s="78"/>
      <c r="EH511" s="78"/>
      <c r="EI511" s="78"/>
      <c r="EJ511" s="78"/>
      <c r="EK511" s="78"/>
      <c r="EL511" s="78"/>
      <c r="EM511" s="78"/>
      <c r="EN511" s="91"/>
      <c r="EO511" s="91"/>
      <c r="EP511" s="91"/>
      <c r="EQ511" s="91"/>
      <c r="ER511" s="91"/>
      <c r="ES511" s="91"/>
    </row>
    <row r="512" spans="1:149" outlineLevel="1">
      <c r="A512" s="29" t="str">
        <f t="shared" si="329"/>
        <v>modesg_out_empr_info_nfinorigem_alinhamentos</v>
      </c>
      <c r="B512" s="67" t="s">
        <v>26</v>
      </c>
      <c r="C512" s="68" t="s">
        <v>310</v>
      </c>
      <c r="D512" s="64" t="s">
        <v>40</v>
      </c>
      <c r="E512" s="66" t="s">
        <v>325</v>
      </c>
      <c r="F512" s="64" t="s">
        <v>328</v>
      </c>
      <c r="G512" s="64" t="str">
        <f>INDEX(Auxiliar!$B$16:$B$24,MATCH(Plano_V3!H512,Auxiliar!$C$16:$C$24,0),1)</f>
        <v>1. Concluído</v>
      </c>
      <c r="H512" s="64">
        <f>VLOOKUP(A512,'Aux - pivots1'!$A:$B,2,0)</f>
        <v>1</v>
      </c>
      <c r="I512" s="180">
        <f>SUMIFS(Table1[Estimação (horas)],Table1[Tabela],Plano_V3!E512,Table1[Campo],Plano_V3!F512)</f>
        <v>4.0999999999999996</v>
      </c>
      <c r="J512" s="180">
        <f t="shared" si="330"/>
        <v>0.51249999999999996</v>
      </c>
      <c r="K512" s="180">
        <f>SUMIFS(Table1[Horas efetivas],Table1[Tabela],Plano_V3!E512,Table1[Campo],Plano_V3!F512)</f>
        <v>4.0999999999999996</v>
      </c>
      <c r="L512" s="180">
        <f t="shared" si="331"/>
        <v>0.51249999999999996</v>
      </c>
      <c r="M512" s="174"/>
      <c r="N512" s="174">
        <f t="shared" si="332"/>
        <v>1</v>
      </c>
      <c r="O512" s="174">
        <f t="shared" si="338"/>
        <v>1</v>
      </c>
      <c r="P512" s="87" t="s">
        <v>326</v>
      </c>
      <c r="Q512" s="90">
        <f t="shared" si="324"/>
        <v>0.51249999999999996</v>
      </c>
      <c r="R512" s="78"/>
      <c r="S512" s="78"/>
      <c r="T512" s="78"/>
      <c r="U512" s="78"/>
      <c r="V512" s="78"/>
      <c r="W512" s="78"/>
      <c r="X512" s="78"/>
      <c r="Y512" s="78"/>
      <c r="Z512" s="78"/>
      <c r="AA512" s="78"/>
      <c r="AB512" s="78"/>
      <c r="AC512" s="78"/>
      <c r="AD512" s="78"/>
      <c r="AE512" s="78"/>
      <c r="AF512" s="78"/>
      <c r="AG512" s="78"/>
      <c r="AH512" s="78"/>
      <c r="AI512" s="78"/>
      <c r="AJ512" s="78"/>
      <c r="AK512" s="78"/>
      <c r="AL512" s="78"/>
      <c r="AM512" s="78"/>
      <c r="AN512" s="78"/>
      <c r="AO512" s="78"/>
      <c r="AP512" s="78"/>
      <c r="AQ512" s="78"/>
      <c r="AR512" s="78"/>
      <c r="AS512" s="78"/>
      <c r="AT512" s="78"/>
      <c r="AU512" s="78"/>
      <c r="AV512" s="78"/>
      <c r="AW512" s="78"/>
      <c r="AX512" s="78"/>
      <c r="AY512" s="91"/>
      <c r="AZ512" s="78"/>
      <c r="BA512" s="78"/>
      <c r="BB512" s="78"/>
      <c r="BC512" s="78"/>
      <c r="BD512" s="78"/>
      <c r="BE512" s="78"/>
      <c r="BF512" s="78"/>
      <c r="BG512" s="78"/>
      <c r="BH512" s="78"/>
      <c r="BI512" s="78"/>
      <c r="BJ512" s="78"/>
      <c r="BK512" s="78"/>
      <c r="BL512" s="78"/>
      <c r="BM512" s="78"/>
      <c r="BN512" s="78"/>
      <c r="BO512" s="78"/>
      <c r="BP512" s="78"/>
      <c r="BQ512" s="78"/>
      <c r="BR512" s="78"/>
      <c r="BS512" s="78"/>
      <c r="BT512" s="78"/>
      <c r="BU512" s="78"/>
      <c r="BV512" s="78"/>
      <c r="BW512" s="78"/>
      <c r="BX512" s="78"/>
      <c r="BY512" s="78"/>
      <c r="BZ512" s="78"/>
      <c r="CA512" s="78"/>
      <c r="CB512" s="78"/>
      <c r="CC512" s="78"/>
      <c r="CD512" s="78"/>
      <c r="CE512" s="78"/>
      <c r="CF512" s="78"/>
      <c r="CG512" s="78"/>
      <c r="CH512" s="78"/>
      <c r="CI512" s="78"/>
      <c r="CJ512" s="78"/>
      <c r="CK512" s="78"/>
      <c r="CL512" s="78"/>
      <c r="CM512" s="78"/>
      <c r="CN512" s="78"/>
      <c r="CO512" s="78"/>
      <c r="CP512" s="78"/>
      <c r="CQ512" s="78"/>
      <c r="CR512" s="78"/>
      <c r="CS512" s="78"/>
      <c r="CT512" s="78"/>
      <c r="CU512" s="78"/>
      <c r="CV512" s="78"/>
      <c r="CW512" s="78"/>
      <c r="CX512" s="78"/>
      <c r="CY512" s="78"/>
      <c r="CZ512" s="78"/>
      <c r="DA512" s="78"/>
      <c r="DB512" s="78"/>
      <c r="DC512" s="78"/>
      <c r="DD512" s="78"/>
      <c r="DE512" s="78"/>
      <c r="DF512" s="78"/>
      <c r="DG512" s="78"/>
      <c r="DH512" s="78"/>
      <c r="DI512" s="78"/>
      <c r="DJ512" s="78"/>
      <c r="DK512" s="78"/>
      <c r="DL512" s="78"/>
      <c r="DM512" s="78"/>
      <c r="DN512" s="78"/>
      <c r="DO512" s="78"/>
      <c r="DP512" s="78"/>
      <c r="DQ512" s="78"/>
      <c r="DR512" s="78"/>
      <c r="DS512" s="78"/>
      <c r="DT512" s="78"/>
      <c r="DU512" s="78"/>
      <c r="DV512" s="78"/>
      <c r="DW512" s="78"/>
      <c r="DX512" s="78"/>
      <c r="DY512" s="78"/>
      <c r="DZ512" s="78"/>
      <c r="EA512" s="78"/>
      <c r="EB512" s="78"/>
      <c r="EC512" s="78"/>
      <c r="ED512" s="78"/>
      <c r="EE512" s="78"/>
      <c r="EF512" s="78"/>
      <c r="EG512" s="78"/>
      <c r="EH512" s="78"/>
      <c r="EI512" s="78"/>
      <c r="EJ512" s="78"/>
      <c r="EK512" s="78"/>
      <c r="EL512" s="78"/>
      <c r="EM512" s="78"/>
      <c r="EN512" s="91"/>
      <c r="EO512" s="91"/>
      <c r="EP512" s="91"/>
      <c r="EQ512" s="91"/>
      <c r="ER512" s="91"/>
      <c r="ES512" s="91"/>
    </row>
    <row r="513" spans="1:149" outlineLevel="1">
      <c r="A513" s="29" t="str">
        <f t="shared" si="329"/>
        <v>modesg_out_empr_info_nfinorigem_flg_emprs_excl_paris</v>
      </c>
      <c r="B513" s="67" t="s">
        <v>26</v>
      </c>
      <c r="C513" s="68" t="s">
        <v>310</v>
      </c>
      <c r="D513" s="64" t="s">
        <v>40</v>
      </c>
      <c r="E513" s="66" t="s">
        <v>325</v>
      </c>
      <c r="F513" s="64" t="s">
        <v>329</v>
      </c>
      <c r="G513" s="64" t="str">
        <f>INDEX(Auxiliar!$B$16:$B$24,MATCH(Plano_V3!H513,Auxiliar!$C$16:$C$24,0),1)</f>
        <v>1. Concluído</v>
      </c>
      <c r="H513" s="64">
        <f>VLOOKUP(A513,'Aux - pivots1'!$A:$B,2,0)</f>
        <v>1</v>
      </c>
      <c r="I513" s="180">
        <f>SUMIFS(Table1[Estimação (horas)],Table1[Tabela],Plano_V3!E513,Table1[Campo],Plano_V3!F513)</f>
        <v>4.0999999999999996</v>
      </c>
      <c r="J513" s="180">
        <f t="shared" si="330"/>
        <v>0.51249999999999996</v>
      </c>
      <c r="K513" s="180">
        <f>SUMIFS(Table1[Horas efetivas],Table1[Tabela],Plano_V3!E513,Table1[Campo],Plano_V3!F513)</f>
        <v>4.0999999999999996</v>
      </c>
      <c r="L513" s="180">
        <f t="shared" si="331"/>
        <v>0.51249999999999996</v>
      </c>
      <c r="M513" s="174"/>
      <c r="N513" s="174">
        <f t="shared" si="332"/>
        <v>1</v>
      </c>
      <c r="O513" s="174">
        <f t="shared" si="338"/>
        <v>1</v>
      </c>
      <c r="P513" s="87" t="s">
        <v>326</v>
      </c>
      <c r="Q513" s="90">
        <f t="shared" si="324"/>
        <v>0.51249999999999996</v>
      </c>
      <c r="R513" s="78"/>
      <c r="S513" s="78"/>
      <c r="T513" s="78"/>
      <c r="U513" s="78"/>
      <c r="V513" s="78"/>
      <c r="W513" s="78"/>
      <c r="X513" s="78"/>
      <c r="Y513" s="78"/>
      <c r="Z513" s="78"/>
      <c r="AA513" s="78"/>
      <c r="AB513" s="78"/>
      <c r="AC513" s="78"/>
      <c r="AD513" s="78"/>
      <c r="AE513" s="78"/>
      <c r="AF513" s="78"/>
      <c r="AG513" s="78"/>
      <c r="AH513" s="78"/>
      <c r="AI513" s="78"/>
      <c r="AJ513" s="78"/>
      <c r="AK513" s="78"/>
      <c r="AL513" s="78"/>
      <c r="AM513" s="78"/>
      <c r="AN513" s="78"/>
      <c r="AO513" s="78"/>
      <c r="AP513" s="78"/>
      <c r="AQ513" s="78"/>
      <c r="AR513" s="78"/>
      <c r="AS513" s="78"/>
      <c r="AT513" s="78"/>
      <c r="AU513" s="78"/>
      <c r="AV513" s="78"/>
      <c r="AW513" s="78"/>
      <c r="AX513" s="78"/>
      <c r="AY513" s="91"/>
      <c r="AZ513" s="78"/>
      <c r="BA513" s="78"/>
      <c r="BB513" s="78"/>
      <c r="BC513" s="78"/>
      <c r="BD513" s="78"/>
      <c r="BE513" s="78"/>
      <c r="BF513" s="78"/>
      <c r="BG513" s="78"/>
      <c r="BH513" s="78"/>
      <c r="BI513" s="78"/>
      <c r="BJ513" s="78"/>
      <c r="BK513" s="78"/>
      <c r="BL513" s="78"/>
      <c r="BM513" s="78"/>
      <c r="BN513" s="78"/>
      <c r="BO513" s="78"/>
      <c r="BP513" s="78"/>
      <c r="BQ513" s="78"/>
      <c r="BR513" s="78"/>
      <c r="BS513" s="78"/>
      <c r="BT513" s="78"/>
      <c r="BU513" s="78"/>
      <c r="BV513" s="78"/>
      <c r="BW513" s="78"/>
      <c r="BX513" s="78"/>
      <c r="BY513" s="78"/>
      <c r="BZ513" s="78"/>
      <c r="CA513" s="78"/>
      <c r="CB513" s="78"/>
      <c r="CC513" s="78"/>
      <c r="CD513" s="78"/>
      <c r="CE513" s="78"/>
      <c r="CF513" s="78"/>
      <c r="CG513" s="78"/>
      <c r="CH513" s="78"/>
      <c r="CI513" s="78"/>
      <c r="CJ513" s="78"/>
      <c r="CK513" s="78"/>
      <c r="CL513" s="78"/>
      <c r="CM513" s="78"/>
      <c r="CN513" s="78"/>
      <c r="CO513" s="78"/>
      <c r="CP513" s="78"/>
      <c r="CQ513" s="78"/>
      <c r="CR513" s="78"/>
      <c r="CS513" s="78"/>
      <c r="CT513" s="78"/>
      <c r="CU513" s="78"/>
      <c r="CV513" s="78"/>
      <c r="CW513" s="78"/>
      <c r="CX513" s="78"/>
      <c r="CY513" s="78"/>
      <c r="CZ513" s="78"/>
      <c r="DA513" s="78"/>
      <c r="DB513" s="78"/>
      <c r="DC513" s="78"/>
      <c r="DD513" s="78"/>
      <c r="DE513" s="78"/>
      <c r="DF513" s="78"/>
      <c r="DG513" s="78"/>
      <c r="DH513" s="78"/>
      <c r="DI513" s="78"/>
      <c r="DJ513" s="78"/>
      <c r="DK513" s="78"/>
      <c r="DL513" s="78"/>
      <c r="DM513" s="78"/>
      <c r="DN513" s="78"/>
      <c r="DO513" s="78"/>
      <c r="DP513" s="78"/>
      <c r="DQ513" s="78"/>
      <c r="DR513" s="78"/>
      <c r="DS513" s="78"/>
      <c r="DT513" s="78"/>
      <c r="DU513" s="78"/>
      <c r="DV513" s="78"/>
      <c r="DW513" s="78"/>
      <c r="DX513" s="78"/>
      <c r="DY513" s="78"/>
      <c r="DZ513" s="78"/>
      <c r="EA513" s="78"/>
      <c r="EB513" s="78"/>
      <c r="EC513" s="78"/>
      <c r="ED513" s="78"/>
      <c r="EE513" s="78"/>
      <c r="EF513" s="78"/>
      <c r="EG513" s="78"/>
      <c r="EH513" s="78"/>
      <c r="EI513" s="78"/>
      <c r="EJ513" s="78"/>
      <c r="EK513" s="78"/>
      <c r="EL513" s="78"/>
      <c r="EM513" s="78"/>
      <c r="EN513" s="91"/>
      <c r="EO513" s="91"/>
      <c r="EP513" s="91"/>
      <c r="EQ513" s="91"/>
      <c r="ER513" s="91"/>
      <c r="ES513" s="91"/>
    </row>
    <row r="514" spans="1:149" outlineLevel="1">
      <c r="A514" s="29" t="str">
        <f t="shared" si="329"/>
        <v>modesg_out_empr_info_nfinorigem_flg_nfrd</v>
      </c>
      <c r="B514" s="67" t="s">
        <v>26</v>
      </c>
      <c r="C514" s="68" t="s">
        <v>310</v>
      </c>
      <c r="D514" s="64" t="s">
        <v>40</v>
      </c>
      <c r="E514" s="66" t="s">
        <v>325</v>
      </c>
      <c r="F514" s="64" t="s">
        <v>330</v>
      </c>
      <c r="G514" s="64" t="str">
        <f>INDEX(Auxiliar!$B$16:$B$24,MATCH(Plano_V3!H514,Auxiliar!$C$16:$C$24,0),1)</f>
        <v>1. Concluído</v>
      </c>
      <c r="H514" s="64">
        <f>VLOOKUP(A514,'Aux - pivots1'!$A:$B,2,0)</f>
        <v>1</v>
      </c>
      <c r="I514" s="180">
        <f>SUMIFS(Table1[Estimação (horas)],Table1[Tabela],Plano_V3!E514,Table1[Campo],Plano_V3!F514)</f>
        <v>4.0999999999999996</v>
      </c>
      <c r="J514" s="180">
        <f t="shared" si="330"/>
        <v>0.51249999999999996</v>
      </c>
      <c r="K514" s="180">
        <f>SUMIFS(Table1[Horas efetivas],Table1[Tabela],Plano_V3!E514,Table1[Campo],Plano_V3!F514)</f>
        <v>4.0999999999999996</v>
      </c>
      <c r="L514" s="180">
        <f t="shared" si="331"/>
        <v>0.51249999999999996</v>
      </c>
      <c r="M514" s="174"/>
      <c r="N514" s="174">
        <f t="shared" si="332"/>
        <v>1</v>
      </c>
      <c r="O514" s="174">
        <f t="shared" si="338"/>
        <v>1</v>
      </c>
      <c r="P514" s="87" t="s">
        <v>326</v>
      </c>
      <c r="Q514" s="90">
        <f t="shared" si="324"/>
        <v>0.51249999999999996</v>
      </c>
      <c r="R514" s="78"/>
      <c r="S514" s="78"/>
      <c r="T514" s="78"/>
      <c r="U514" s="78"/>
      <c r="V514" s="78"/>
      <c r="W514" s="78"/>
      <c r="X514" s="78"/>
      <c r="Y514" s="78"/>
      <c r="Z514" s="78"/>
      <c r="AA514" s="78"/>
      <c r="AB514" s="78"/>
      <c r="AC514" s="78"/>
      <c r="AD514" s="78"/>
      <c r="AE514" s="78"/>
      <c r="AF514" s="78"/>
      <c r="AG514" s="78"/>
      <c r="AH514" s="78"/>
      <c r="AI514" s="78"/>
      <c r="AJ514" s="78"/>
      <c r="AK514" s="78"/>
      <c r="AL514" s="78"/>
      <c r="AM514" s="78"/>
      <c r="AN514" s="78"/>
      <c r="AO514" s="78"/>
      <c r="AP514" s="78"/>
      <c r="AQ514" s="78"/>
      <c r="AR514" s="78"/>
      <c r="AS514" s="78"/>
      <c r="AT514" s="78"/>
      <c r="AU514" s="78"/>
      <c r="AV514" s="78"/>
      <c r="AW514" s="78"/>
      <c r="AX514" s="78"/>
      <c r="AY514" s="91"/>
      <c r="AZ514" s="78"/>
      <c r="BA514" s="78"/>
      <c r="BB514" s="78"/>
      <c r="BC514" s="78"/>
      <c r="BD514" s="78"/>
      <c r="BE514" s="78"/>
      <c r="BF514" s="78"/>
      <c r="BG514" s="78"/>
      <c r="BH514" s="78"/>
      <c r="BI514" s="78"/>
      <c r="BJ514" s="78"/>
      <c r="BK514" s="78"/>
      <c r="BL514" s="78"/>
      <c r="BM514" s="78"/>
      <c r="BN514" s="78"/>
      <c r="BO514" s="78"/>
      <c r="BP514" s="78"/>
      <c r="BQ514" s="78"/>
      <c r="BR514" s="78"/>
      <c r="BS514" s="78"/>
      <c r="BT514" s="78"/>
      <c r="BU514" s="78"/>
      <c r="BV514" s="78"/>
      <c r="BW514" s="78"/>
      <c r="BX514" s="78"/>
      <c r="BY514" s="78"/>
      <c r="BZ514" s="78"/>
      <c r="CA514" s="78"/>
      <c r="CB514" s="78"/>
      <c r="CC514" s="78"/>
      <c r="CD514" s="78"/>
      <c r="CE514" s="78"/>
      <c r="CF514" s="78"/>
      <c r="CG514" s="78"/>
      <c r="CH514" s="78"/>
      <c r="CI514" s="78"/>
      <c r="CJ514" s="78"/>
      <c r="CK514" s="78"/>
      <c r="CL514" s="78"/>
      <c r="CM514" s="78"/>
      <c r="CN514" s="78"/>
      <c r="CO514" s="78"/>
      <c r="CP514" s="78"/>
      <c r="CQ514" s="78"/>
      <c r="CR514" s="78"/>
      <c r="CS514" s="78"/>
      <c r="CT514" s="78"/>
      <c r="CU514" s="78"/>
      <c r="CV514" s="78"/>
      <c r="CW514" s="78"/>
      <c r="CX514" s="78"/>
      <c r="CY514" s="78"/>
      <c r="CZ514" s="78"/>
      <c r="DA514" s="78"/>
      <c r="DB514" s="78"/>
      <c r="DC514" s="78"/>
      <c r="DD514" s="78"/>
      <c r="DE514" s="78"/>
      <c r="DF514" s="78"/>
      <c r="DG514" s="78"/>
      <c r="DH514" s="78"/>
      <c r="DI514" s="78"/>
      <c r="DJ514" s="78"/>
      <c r="DK514" s="78"/>
      <c r="DL514" s="78"/>
      <c r="DM514" s="78"/>
      <c r="DN514" s="78"/>
      <c r="DO514" s="78"/>
      <c r="DP514" s="78"/>
      <c r="DQ514" s="78"/>
      <c r="DR514" s="78"/>
      <c r="DS514" s="78"/>
      <c r="DT514" s="78"/>
      <c r="DU514" s="78"/>
      <c r="DV514" s="78"/>
      <c r="DW514" s="78"/>
      <c r="DX514" s="78"/>
      <c r="DY514" s="78"/>
      <c r="DZ514" s="78"/>
      <c r="EA514" s="78"/>
      <c r="EB514" s="78"/>
      <c r="EC514" s="78"/>
      <c r="ED514" s="78"/>
      <c r="EE514" s="78"/>
      <c r="EF514" s="78"/>
      <c r="EG514" s="78"/>
      <c r="EH514" s="78"/>
      <c r="EI514" s="78"/>
      <c r="EJ514" s="78"/>
      <c r="EK514" s="78"/>
      <c r="EL514" s="78"/>
      <c r="EM514" s="78"/>
      <c r="EN514" s="91"/>
      <c r="EO514" s="91"/>
      <c r="EP514" s="91"/>
      <c r="EQ514" s="91"/>
      <c r="ER514" s="91"/>
      <c r="ES514" s="91"/>
    </row>
    <row r="515" spans="1:149" outlineLevel="1">
      <c r="A515" s="29" t="str">
        <f t="shared" si="329"/>
        <v>modesg_out_empr_info_nfinorigem_flg_rsc_fsc_agd</v>
      </c>
      <c r="B515" s="67" t="s">
        <v>26</v>
      </c>
      <c r="C515" s="68" t="s">
        <v>310</v>
      </c>
      <c r="D515" s="64" t="s">
        <v>40</v>
      </c>
      <c r="E515" s="66" t="s">
        <v>325</v>
      </c>
      <c r="F515" s="64" t="s">
        <v>317</v>
      </c>
      <c r="G515" s="64" t="str">
        <f>INDEX(Auxiliar!$B$16:$B$24,MATCH(Plano_V3!H515,Auxiliar!$C$16:$C$24,0),1)</f>
        <v>1. Concluído</v>
      </c>
      <c r="H515" s="64">
        <f>VLOOKUP(A515,'Aux - pivots1'!$A:$B,2,0)</f>
        <v>1</v>
      </c>
      <c r="I515" s="180">
        <f>SUMIFS(Table1[Estimação (horas)],Table1[Tabela],Plano_V3!E515,Table1[Campo],Plano_V3!F515)</f>
        <v>4.0999999999999996</v>
      </c>
      <c r="J515" s="180">
        <f t="shared" si="330"/>
        <v>0.51249999999999996</v>
      </c>
      <c r="K515" s="180">
        <f>SUMIFS(Table1[Horas efetivas],Table1[Tabela],Plano_V3!E515,Table1[Campo],Plano_V3!F515)</f>
        <v>4.0999999999999996</v>
      </c>
      <c r="L515" s="180">
        <f t="shared" si="331"/>
        <v>0.51249999999999996</v>
      </c>
      <c r="M515" s="174"/>
      <c r="N515" s="174">
        <f t="shared" si="332"/>
        <v>1</v>
      </c>
      <c r="O515" s="174">
        <f t="shared" si="338"/>
        <v>1</v>
      </c>
      <c r="P515" s="87" t="s">
        <v>326</v>
      </c>
      <c r="Q515" s="90">
        <f t="shared" si="324"/>
        <v>0.51249999999999996</v>
      </c>
      <c r="R515" s="78"/>
      <c r="S515" s="78"/>
      <c r="T515" s="78"/>
      <c r="U515" s="78"/>
      <c r="V515" s="78"/>
      <c r="W515" s="78"/>
      <c r="X515" s="78"/>
      <c r="Y515" s="78"/>
      <c r="Z515" s="78"/>
      <c r="AA515" s="78"/>
      <c r="AB515" s="78"/>
      <c r="AC515" s="78"/>
      <c r="AD515" s="78"/>
      <c r="AE515" s="78"/>
      <c r="AF515" s="78"/>
      <c r="AG515" s="78"/>
      <c r="AH515" s="78"/>
      <c r="AI515" s="78"/>
      <c r="AJ515" s="78"/>
      <c r="AK515" s="78"/>
      <c r="AL515" s="78"/>
      <c r="AM515" s="78"/>
      <c r="AN515" s="78"/>
      <c r="AO515" s="78"/>
      <c r="AP515" s="78"/>
      <c r="AQ515" s="78"/>
      <c r="AR515" s="78"/>
      <c r="AS515" s="78"/>
      <c r="AT515" s="78"/>
      <c r="AU515" s="78"/>
      <c r="AV515" s="78"/>
      <c r="AW515" s="78"/>
      <c r="AX515" s="78"/>
      <c r="AY515" s="91"/>
      <c r="AZ515" s="78"/>
      <c r="BA515" s="78"/>
      <c r="BB515" s="78"/>
      <c r="BC515" s="78"/>
      <c r="BD515" s="78"/>
      <c r="BE515" s="78"/>
      <c r="BF515" s="78"/>
      <c r="BG515" s="78"/>
      <c r="BH515" s="78"/>
      <c r="BI515" s="78"/>
      <c r="BJ515" s="78"/>
      <c r="BK515" s="78"/>
      <c r="BL515" s="78"/>
      <c r="BM515" s="78"/>
      <c r="BN515" s="78"/>
      <c r="BO515" s="78"/>
      <c r="BP515" s="78"/>
      <c r="BQ515" s="78"/>
      <c r="BR515" s="78"/>
      <c r="BS515" s="78"/>
      <c r="BT515" s="78"/>
      <c r="BU515" s="78"/>
      <c r="BV515" s="78"/>
      <c r="BW515" s="78"/>
      <c r="BX515" s="78"/>
      <c r="BY515" s="78"/>
      <c r="BZ515" s="78"/>
      <c r="CA515" s="78"/>
      <c r="CB515" s="78"/>
      <c r="CC515" s="78"/>
      <c r="CD515" s="78"/>
      <c r="CE515" s="78"/>
      <c r="CF515" s="78"/>
      <c r="CG515" s="78"/>
      <c r="CH515" s="78"/>
      <c r="CI515" s="78"/>
      <c r="CJ515" s="78"/>
      <c r="CK515" s="78"/>
      <c r="CL515" s="78"/>
      <c r="CM515" s="78"/>
      <c r="CN515" s="78"/>
      <c r="CO515" s="78"/>
      <c r="CP515" s="78"/>
      <c r="CQ515" s="78"/>
      <c r="CR515" s="78"/>
      <c r="CS515" s="78"/>
      <c r="CT515" s="78"/>
      <c r="CU515" s="78"/>
      <c r="CV515" s="78"/>
      <c r="CW515" s="78"/>
      <c r="CX515" s="78"/>
      <c r="CY515" s="78"/>
      <c r="CZ515" s="78"/>
      <c r="DA515" s="78"/>
      <c r="DB515" s="78"/>
      <c r="DC515" s="78"/>
      <c r="DD515" s="78"/>
      <c r="DE515" s="78"/>
      <c r="DF515" s="78"/>
      <c r="DG515" s="78"/>
      <c r="DH515" s="78"/>
      <c r="DI515" s="78"/>
      <c r="DJ515" s="78"/>
      <c r="DK515" s="78"/>
      <c r="DL515" s="78"/>
      <c r="DM515" s="78"/>
      <c r="DN515" s="78"/>
      <c r="DO515" s="78"/>
      <c r="DP515" s="78"/>
      <c r="DQ515" s="78"/>
      <c r="DR515" s="78"/>
      <c r="DS515" s="78"/>
      <c r="DT515" s="78"/>
      <c r="DU515" s="78"/>
      <c r="DV515" s="78"/>
      <c r="DW515" s="78"/>
      <c r="DX515" s="78"/>
      <c r="DY515" s="78"/>
      <c r="DZ515" s="78"/>
      <c r="EA515" s="78"/>
      <c r="EB515" s="78"/>
      <c r="EC515" s="78"/>
      <c r="ED515" s="78"/>
      <c r="EE515" s="78"/>
      <c r="EF515" s="78"/>
      <c r="EG515" s="78"/>
      <c r="EH515" s="78"/>
      <c r="EI515" s="78"/>
      <c r="EJ515" s="78"/>
      <c r="EK515" s="78"/>
      <c r="EL515" s="78"/>
      <c r="EM515" s="78"/>
      <c r="EN515" s="91"/>
      <c r="EO515" s="91"/>
      <c r="EP515" s="91"/>
      <c r="EQ515" s="91"/>
      <c r="ER515" s="91"/>
      <c r="ES515" s="91"/>
    </row>
    <row r="516" spans="1:149" outlineLevel="1">
      <c r="A516" s="29" t="str">
        <f t="shared" si="329"/>
        <v>modesg_out_empr_info_nfinorigem_flg_rsc_fsc_crnc</v>
      </c>
      <c r="B516" s="67" t="s">
        <v>26</v>
      </c>
      <c r="C516" s="68" t="s">
        <v>310</v>
      </c>
      <c r="D516" s="64" t="s">
        <v>40</v>
      </c>
      <c r="E516" s="66" t="s">
        <v>325</v>
      </c>
      <c r="F516" s="64" t="s">
        <v>318</v>
      </c>
      <c r="G516" s="64" t="str">
        <f>INDEX(Auxiliar!$B$16:$B$24,MATCH(Plano_V3!H516,Auxiliar!$C$16:$C$24,0),1)</f>
        <v>1. Concluído</v>
      </c>
      <c r="H516" s="64">
        <f>VLOOKUP(A516,'Aux - pivots1'!$A:$B,2,0)</f>
        <v>1</v>
      </c>
      <c r="I516" s="180">
        <f>SUMIFS(Table1[Estimação (horas)],Table1[Tabela],Plano_V3!E516,Table1[Campo],Plano_V3!F516)</f>
        <v>4.0999999999999996</v>
      </c>
      <c r="J516" s="180">
        <f t="shared" si="330"/>
        <v>0.51249999999999996</v>
      </c>
      <c r="K516" s="180">
        <f>SUMIFS(Table1[Horas efetivas],Table1[Tabela],Plano_V3!E516,Table1[Campo],Plano_V3!F516)</f>
        <v>4.0999999999999996</v>
      </c>
      <c r="L516" s="180">
        <f t="shared" si="331"/>
        <v>0.51249999999999996</v>
      </c>
      <c r="M516" s="174"/>
      <c r="N516" s="174">
        <f t="shared" si="332"/>
        <v>1</v>
      </c>
      <c r="O516" s="174">
        <f t="shared" si="338"/>
        <v>1</v>
      </c>
      <c r="P516" s="87" t="s">
        <v>326</v>
      </c>
      <c r="Q516" s="90">
        <f t="shared" si="324"/>
        <v>0.51249999999999996</v>
      </c>
      <c r="R516" s="78"/>
      <c r="S516" s="78"/>
      <c r="T516" s="78"/>
      <c r="U516" s="78"/>
      <c r="V516" s="78"/>
      <c r="W516" s="78"/>
      <c r="X516" s="78"/>
      <c r="Y516" s="78"/>
      <c r="Z516" s="78"/>
      <c r="AA516" s="78"/>
      <c r="AB516" s="78"/>
      <c r="AC516" s="78"/>
      <c r="AD516" s="78"/>
      <c r="AE516" s="78"/>
      <c r="AF516" s="78"/>
      <c r="AG516" s="78"/>
      <c r="AH516" s="78"/>
      <c r="AI516" s="78"/>
      <c r="AJ516" s="78"/>
      <c r="AK516" s="78"/>
      <c r="AL516" s="78"/>
      <c r="AM516" s="78"/>
      <c r="AN516" s="78"/>
      <c r="AO516" s="78"/>
      <c r="AP516" s="78"/>
      <c r="AQ516" s="78"/>
      <c r="AR516" s="78"/>
      <c r="AS516" s="78"/>
      <c r="AT516" s="78"/>
      <c r="AU516" s="78"/>
      <c r="AV516" s="78"/>
      <c r="AW516" s="78"/>
      <c r="AX516" s="78"/>
      <c r="AY516" s="91"/>
      <c r="AZ516" s="78"/>
      <c r="BA516" s="78"/>
      <c r="BB516" s="78"/>
      <c r="BC516" s="78"/>
      <c r="BD516" s="78"/>
      <c r="BE516" s="78"/>
      <c r="BF516" s="78"/>
      <c r="BG516" s="78"/>
      <c r="BH516" s="78"/>
      <c r="BI516" s="78"/>
      <c r="BJ516" s="78"/>
      <c r="BK516" s="78"/>
      <c r="BL516" s="78"/>
      <c r="BM516" s="78"/>
      <c r="BN516" s="78"/>
      <c r="BO516" s="78"/>
      <c r="BP516" s="78"/>
      <c r="BQ516" s="78"/>
      <c r="BR516" s="78"/>
      <c r="BS516" s="78"/>
      <c r="BT516" s="78"/>
      <c r="BU516" s="78"/>
      <c r="BV516" s="78"/>
      <c r="BW516" s="78"/>
      <c r="BX516" s="78"/>
      <c r="BY516" s="78"/>
      <c r="BZ516" s="78"/>
      <c r="CA516" s="78"/>
      <c r="CB516" s="78"/>
      <c r="CC516" s="78"/>
      <c r="CD516" s="78"/>
      <c r="CE516" s="78"/>
      <c r="CF516" s="78"/>
      <c r="CG516" s="78"/>
      <c r="CH516" s="78"/>
      <c r="CI516" s="78"/>
      <c r="CJ516" s="78"/>
      <c r="CK516" s="78"/>
      <c r="CL516" s="78"/>
      <c r="CM516" s="78"/>
      <c r="CN516" s="78"/>
      <c r="CO516" s="78"/>
      <c r="CP516" s="78"/>
      <c r="CQ516" s="78"/>
      <c r="CR516" s="78"/>
      <c r="CS516" s="78"/>
      <c r="CT516" s="78"/>
      <c r="CU516" s="78"/>
      <c r="CV516" s="78"/>
      <c r="CW516" s="78"/>
      <c r="CX516" s="78"/>
      <c r="CY516" s="78"/>
      <c r="CZ516" s="78"/>
      <c r="DA516" s="78"/>
      <c r="DB516" s="78"/>
      <c r="DC516" s="78"/>
      <c r="DD516" s="78"/>
      <c r="DE516" s="78"/>
      <c r="DF516" s="78"/>
      <c r="DG516" s="78"/>
      <c r="DH516" s="78"/>
      <c r="DI516" s="78"/>
      <c r="DJ516" s="78"/>
      <c r="DK516" s="78"/>
      <c r="DL516" s="78"/>
      <c r="DM516" s="78"/>
      <c r="DN516" s="78"/>
      <c r="DO516" s="78"/>
      <c r="DP516" s="78"/>
      <c r="DQ516" s="78"/>
      <c r="DR516" s="78"/>
      <c r="DS516" s="78"/>
      <c r="DT516" s="78"/>
      <c r="DU516" s="78"/>
      <c r="DV516" s="78"/>
      <c r="DW516" s="78"/>
      <c r="DX516" s="78"/>
      <c r="DY516" s="78"/>
      <c r="DZ516" s="78"/>
      <c r="EA516" s="78"/>
      <c r="EB516" s="78"/>
      <c r="EC516" s="78"/>
      <c r="ED516" s="78"/>
      <c r="EE516" s="78"/>
      <c r="EF516" s="78"/>
      <c r="EG516" s="78"/>
      <c r="EH516" s="78"/>
      <c r="EI516" s="78"/>
      <c r="EJ516" s="78"/>
      <c r="EK516" s="78"/>
      <c r="EL516" s="78"/>
      <c r="EM516" s="78"/>
      <c r="EN516" s="91"/>
      <c r="EO516" s="91"/>
      <c r="EP516" s="91"/>
      <c r="EQ516" s="91"/>
      <c r="ER516" s="91"/>
      <c r="ES516" s="91"/>
    </row>
    <row r="517" spans="1:149" outlineLevel="1">
      <c r="A517" s="29" t="str">
        <f t="shared" si="329"/>
        <v>modesg_out_empr_info_nfinorigem_scp1_emss</v>
      </c>
      <c r="B517" s="67" t="s">
        <v>26</v>
      </c>
      <c r="C517" s="68" t="s">
        <v>310</v>
      </c>
      <c r="D517" s="64" t="s">
        <v>40</v>
      </c>
      <c r="E517" s="66" t="s">
        <v>325</v>
      </c>
      <c r="F517" s="64" t="s">
        <v>319</v>
      </c>
      <c r="G517" s="64" t="str">
        <f>INDEX(Auxiliar!$B$16:$B$24,MATCH(Plano_V3!H517,Auxiliar!$C$16:$C$24,0),1)</f>
        <v>1. Concluído</v>
      </c>
      <c r="H517" s="64">
        <f>VLOOKUP(A517,'Aux - pivots1'!$A:$B,2,0)</f>
        <v>1</v>
      </c>
      <c r="I517" s="180">
        <f>SUMIFS(Table1[Estimação (horas)],Table1[Tabela],Plano_V3!E517,Table1[Campo],Plano_V3!F517)</f>
        <v>4.0999999999999996</v>
      </c>
      <c r="J517" s="180">
        <f t="shared" si="330"/>
        <v>0.51249999999999996</v>
      </c>
      <c r="K517" s="180">
        <f>SUMIFS(Table1[Horas efetivas],Table1[Tabela],Plano_V3!E517,Table1[Campo],Plano_V3!F517)</f>
        <v>4.0999999999999996</v>
      </c>
      <c r="L517" s="180">
        <f t="shared" si="331"/>
        <v>0.51249999999999996</v>
      </c>
      <c r="M517" s="174"/>
      <c r="N517" s="174">
        <f t="shared" si="332"/>
        <v>1</v>
      </c>
      <c r="O517" s="174">
        <f t="shared" si="338"/>
        <v>1</v>
      </c>
      <c r="P517" s="87" t="s">
        <v>326</v>
      </c>
      <c r="Q517" s="90">
        <f t="shared" si="324"/>
        <v>0.51249999999999996</v>
      </c>
      <c r="R517" s="78"/>
      <c r="S517" s="78"/>
      <c r="T517" s="78"/>
      <c r="U517" s="78"/>
      <c r="V517" s="78"/>
      <c r="W517" s="78"/>
      <c r="X517" s="78"/>
      <c r="Y517" s="78"/>
      <c r="Z517" s="78"/>
      <c r="AA517" s="78"/>
      <c r="AB517" s="78"/>
      <c r="AC517" s="78"/>
      <c r="AD517" s="78"/>
      <c r="AE517" s="78"/>
      <c r="AF517" s="78"/>
      <c r="AG517" s="78"/>
      <c r="AH517" s="78"/>
      <c r="AI517" s="78"/>
      <c r="AJ517" s="78"/>
      <c r="AK517" s="78"/>
      <c r="AL517" s="78"/>
      <c r="AM517" s="78"/>
      <c r="AN517" s="78"/>
      <c r="AO517" s="78"/>
      <c r="AP517" s="78"/>
      <c r="AQ517" s="78"/>
      <c r="AR517" s="78"/>
      <c r="AS517" s="78"/>
      <c r="AT517" s="78"/>
      <c r="AU517" s="78"/>
      <c r="AV517" s="78"/>
      <c r="AW517" s="78"/>
      <c r="AX517" s="78"/>
      <c r="AY517" s="91"/>
      <c r="AZ517" s="78"/>
      <c r="BA517" s="78"/>
      <c r="BB517" s="78"/>
      <c r="BC517" s="78"/>
      <c r="BD517" s="78"/>
      <c r="BE517" s="78"/>
      <c r="BF517" s="78"/>
      <c r="BG517" s="78"/>
      <c r="BH517" s="78"/>
      <c r="BI517" s="78"/>
      <c r="BJ517" s="78"/>
      <c r="BK517" s="78"/>
      <c r="BL517" s="78"/>
      <c r="BM517" s="78"/>
      <c r="BN517" s="78"/>
      <c r="BO517" s="78"/>
      <c r="BP517" s="78"/>
      <c r="BQ517" s="78"/>
      <c r="BR517" s="78"/>
      <c r="BS517" s="78"/>
      <c r="BT517" s="78"/>
      <c r="BU517" s="78"/>
      <c r="BV517" s="78"/>
      <c r="BW517" s="78"/>
      <c r="BX517" s="78"/>
      <c r="BY517" s="78"/>
      <c r="BZ517" s="78"/>
      <c r="CA517" s="78"/>
      <c r="CB517" s="78"/>
      <c r="CC517" s="78"/>
      <c r="CD517" s="78"/>
      <c r="CE517" s="78"/>
      <c r="CF517" s="78"/>
      <c r="CG517" s="78"/>
      <c r="CH517" s="78"/>
      <c r="CI517" s="78"/>
      <c r="CJ517" s="78"/>
      <c r="CK517" s="78"/>
      <c r="CL517" s="78"/>
      <c r="CM517" s="78"/>
      <c r="CN517" s="78"/>
      <c r="CO517" s="78"/>
      <c r="CP517" s="78"/>
      <c r="CQ517" s="78"/>
      <c r="CR517" s="78"/>
      <c r="CS517" s="78"/>
      <c r="CT517" s="78"/>
      <c r="CU517" s="78"/>
      <c r="CV517" s="78"/>
      <c r="CW517" s="78"/>
      <c r="CX517" s="78"/>
      <c r="CY517" s="78"/>
      <c r="CZ517" s="78"/>
      <c r="DA517" s="78"/>
      <c r="DB517" s="78"/>
      <c r="DC517" s="78"/>
      <c r="DD517" s="78"/>
      <c r="DE517" s="78"/>
      <c r="DF517" s="78"/>
      <c r="DG517" s="78"/>
      <c r="DH517" s="78"/>
      <c r="DI517" s="78"/>
      <c r="DJ517" s="78"/>
      <c r="DK517" s="78"/>
      <c r="DL517" s="78"/>
      <c r="DM517" s="78"/>
      <c r="DN517" s="78"/>
      <c r="DO517" s="78"/>
      <c r="DP517" s="78"/>
      <c r="DQ517" s="78"/>
      <c r="DR517" s="78"/>
      <c r="DS517" s="78"/>
      <c r="DT517" s="78"/>
      <c r="DU517" s="78"/>
      <c r="DV517" s="78"/>
      <c r="DW517" s="78"/>
      <c r="DX517" s="78"/>
      <c r="DY517" s="78"/>
      <c r="DZ517" s="78"/>
      <c r="EA517" s="78"/>
      <c r="EB517" s="78"/>
      <c r="EC517" s="78"/>
      <c r="ED517" s="78"/>
      <c r="EE517" s="78"/>
      <c r="EF517" s="78"/>
      <c r="EG517" s="78"/>
      <c r="EH517" s="78"/>
      <c r="EI517" s="78"/>
      <c r="EJ517" s="78"/>
      <c r="EK517" s="78"/>
      <c r="EL517" s="78"/>
      <c r="EM517" s="78"/>
      <c r="EN517" s="91"/>
      <c r="EO517" s="91"/>
      <c r="EP517" s="91"/>
      <c r="EQ517" s="91"/>
      <c r="ER517" s="91"/>
      <c r="ES517" s="91"/>
    </row>
    <row r="518" spans="1:149" outlineLevel="1">
      <c r="A518" s="29" t="str">
        <f t="shared" si="329"/>
        <v>modesg_out_empr_info_nfinorigem_scp2_emss</v>
      </c>
      <c r="B518" s="67" t="s">
        <v>26</v>
      </c>
      <c r="C518" s="68" t="s">
        <v>310</v>
      </c>
      <c r="D518" s="64" t="s">
        <v>40</v>
      </c>
      <c r="E518" s="66" t="s">
        <v>325</v>
      </c>
      <c r="F518" s="64" t="s">
        <v>320</v>
      </c>
      <c r="G518" s="64" t="str">
        <f>INDEX(Auxiliar!$B$16:$B$24,MATCH(Plano_V3!H518,Auxiliar!$C$16:$C$24,0),1)</f>
        <v>1. Concluído</v>
      </c>
      <c r="H518" s="64">
        <f>VLOOKUP(A518,'Aux - pivots1'!$A:$B,2,0)</f>
        <v>1</v>
      </c>
      <c r="I518" s="180">
        <f>SUMIFS(Table1[Estimação (horas)],Table1[Tabela],Plano_V3!E518,Table1[Campo],Plano_V3!F518)</f>
        <v>4.0999999999999996</v>
      </c>
      <c r="J518" s="180">
        <f t="shared" si="330"/>
        <v>0.51249999999999996</v>
      </c>
      <c r="K518" s="180">
        <f>SUMIFS(Table1[Horas efetivas],Table1[Tabela],Plano_V3!E518,Table1[Campo],Plano_V3!F518)</f>
        <v>4.0999999999999996</v>
      </c>
      <c r="L518" s="180">
        <f t="shared" si="331"/>
        <v>0.51249999999999996</v>
      </c>
      <c r="M518" s="174"/>
      <c r="N518" s="174">
        <f t="shared" si="332"/>
        <v>1</v>
      </c>
      <c r="O518" s="174">
        <f t="shared" si="338"/>
        <v>1</v>
      </c>
      <c r="P518" s="87" t="s">
        <v>326</v>
      </c>
      <c r="Q518" s="90">
        <f t="shared" si="324"/>
        <v>0.51249999999999996</v>
      </c>
      <c r="R518" s="78"/>
      <c r="S518" s="78"/>
      <c r="T518" s="78"/>
      <c r="U518" s="78"/>
      <c r="V518" s="78"/>
      <c r="W518" s="78"/>
      <c r="X518" s="78"/>
      <c r="Y518" s="78"/>
      <c r="Z518" s="78"/>
      <c r="AA518" s="78"/>
      <c r="AB518" s="78"/>
      <c r="AC518" s="78"/>
      <c r="AD518" s="78"/>
      <c r="AE518" s="78"/>
      <c r="AF518" s="78"/>
      <c r="AG518" s="78"/>
      <c r="AH518" s="78"/>
      <c r="AI518" s="78"/>
      <c r="AJ518" s="78"/>
      <c r="AK518" s="78"/>
      <c r="AL518" s="78"/>
      <c r="AM518" s="78"/>
      <c r="AN518" s="78"/>
      <c r="AO518" s="78"/>
      <c r="AP518" s="78"/>
      <c r="AQ518" s="78"/>
      <c r="AR518" s="78"/>
      <c r="AS518" s="78"/>
      <c r="AT518" s="78"/>
      <c r="AU518" s="78"/>
      <c r="AV518" s="78"/>
      <c r="AW518" s="78"/>
      <c r="AX518" s="78"/>
      <c r="AY518" s="91"/>
      <c r="AZ518" s="78"/>
      <c r="BA518" s="78"/>
      <c r="BB518" s="78"/>
      <c r="BC518" s="78"/>
      <c r="BD518" s="78"/>
      <c r="BE518" s="78"/>
      <c r="BF518" s="78"/>
      <c r="BG518" s="78"/>
      <c r="BH518" s="78"/>
      <c r="BI518" s="78"/>
      <c r="BJ518" s="78"/>
      <c r="BK518" s="78"/>
      <c r="BL518" s="78"/>
      <c r="BM518" s="78"/>
      <c r="BN518" s="78"/>
      <c r="BO518" s="78"/>
      <c r="BP518" s="78"/>
      <c r="BQ518" s="78"/>
      <c r="BR518" s="78"/>
      <c r="BS518" s="78"/>
      <c r="BT518" s="78"/>
      <c r="BU518" s="78"/>
      <c r="BV518" s="78"/>
      <c r="BW518" s="78"/>
      <c r="BX518" s="78"/>
      <c r="BY518" s="78"/>
      <c r="BZ518" s="78"/>
      <c r="CA518" s="78"/>
      <c r="CB518" s="78"/>
      <c r="CC518" s="78"/>
      <c r="CD518" s="78"/>
      <c r="CE518" s="78"/>
      <c r="CF518" s="78"/>
      <c r="CG518" s="78"/>
      <c r="CH518" s="78"/>
      <c r="CI518" s="78"/>
      <c r="CJ518" s="78"/>
      <c r="CK518" s="78"/>
      <c r="CL518" s="78"/>
      <c r="CM518" s="78"/>
      <c r="CN518" s="78"/>
      <c r="CO518" s="78"/>
      <c r="CP518" s="78"/>
      <c r="CQ518" s="78"/>
      <c r="CR518" s="78"/>
      <c r="CS518" s="78"/>
      <c r="CT518" s="78"/>
      <c r="CU518" s="78"/>
      <c r="CV518" s="78"/>
      <c r="CW518" s="78"/>
      <c r="CX518" s="78"/>
      <c r="CY518" s="78"/>
      <c r="CZ518" s="78"/>
      <c r="DA518" s="78"/>
      <c r="DB518" s="78"/>
      <c r="DC518" s="78"/>
      <c r="DD518" s="78"/>
      <c r="DE518" s="78"/>
      <c r="DF518" s="78"/>
      <c r="DG518" s="78"/>
      <c r="DH518" s="78"/>
      <c r="DI518" s="78"/>
      <c r="DJ518" s="78"/>
      <c r="DK518" s="78"/>
      <c r="DL518" s="78"/>
      <c r="DM518" s="78"/>
      <c r="DN518" s="78"/>
      <c r="DO518" s="78"/>
      <c r="DP518" s="78"/>
      <c r="DQ518" s="78"/>
      <c r="DR518" s="78"/>
      <c r="DS518" s="78"/>
      <c r="DT518" s="78"/>
      <c r="DU518" s="78"/>
      <c r="DV518" s="78"/>
      <c r="DW518" s="78"/>
      <c r="DX518" s="78"/>
      <c r="DY518" s="78"/>
      <c r="DZ518" s="78"/>
      <c r="EA518" s="78"/>
      <c r="EB518" s="78"/>
      <c r="EC518" s="78"/>
      <c r="ED518" s="78"/>
      <c r="EE518" s="78"/>
      <c r="EF518" s="78"/>
      <c r="EG518" s="78"/>
      <c r="EH518" s="78"/>
      <c r="EI518" s="78"/>
      <c r="EJ518" s="78"/>
      <c r="EK518" s="78"/>
      <c r="EL518" s="78"/>
      <c r="EM518" s="78"/>
      <c r="EN518" s="91"/>
      <c r="EO518" s="91"/>
      <c r="EP518" s="91"/>
      <c r="EQ518" s="91"/>
      <c r="ER518" s="91"/>
      <c r="ES518" s="91"/>
    </row>
    <row r="519" spans="1:149" outlineLevel="1">
      <c r="A519" s="29" t="str">
        <f t="shared" si="329"/>
        <v>modesg_out_empr_info_nfinorigem_scp3_emss</v>
      </c>
      <c r="B519" s="67" t="s">
        <v>26</v>
      </c>
      <c r="C519" s="68" t="s">
        <v>310</v>
      </c>
      <c r="D519" s="64" t="s">
        <v>40</v>
      </c>
      <c r="E519" s="66" t="s">
        <v>325</v>
      </c>
      <c r="F519" s="64" t="s">
        <v>321</v>
      </c>
      <c r="G519" s="64" t="str">
        <f>INDEX(Auxiliar!$B$16:$B$24,MATCH(Plano_V3!H519,Auxiliar!$C$16:$C$24,0),1)</f>
        <v>1. Concluído</v>
      </c>
      <c r="H519" s="64">
        <f>VLOOKUP(A519,'Aux - pivots1'!$A:$B,2,0)</f>
        <v>1</v>
      </c>
      <c r="I519" s="180">
        <f>SUMIFS(Table1[Estimação (horas)],Table1[Tabela],Plano_V3!E519,Table1[Campo],Plano_V3!F519)</f>
        <v>4.0999999999999996</v>
      </c>
      <c r="J519" s="180">
        <f t="shared" si="330"/>
        <v>0.51249999999999996</v>
      </c>
      <c r="K519" s="180">
        <f>SUMIFS(Table1[Horas efetivas],Table1[Tabela],Plano_V3!E519,Table1[Campo],Plano_V3!F519)</f>
        <v>4.0999999999999996</v>
      </c>
      <c r="L519" s="180">
        <f t="shared" si="331"/>
        <v>0.51249999999999996</v>
      </c>
      <c r="M519" s="174"/>
      <c r="N519" s="174">
        <f t="shared" si="332"/>
        <v>1</v>
      </c>
      <c r="O519" s="174">
        <f t="shared" si="338"/>
        <v>1</v>
      </c>
      <c r="P519" s="87" t="s">
        <v>326</v>
      </c>
      <c r="Q519" s="90">
        <f t="shared" si="324"/>
        <v>0.51249999999999996</v>
      </c>
      <c r="R519" s="78"/>
      <c r="S519" s="78"/>
      <c r="T519" s="78"/>
      <c r="U519" s="78"/>
      <c r="V519" s="78"/>
      <c r="W519" s="78"/>
      <c r="X519" s="78"/>
      <c r="Y519" s="78"/>
      <c r="Z519" s="78"/>
      <c r="AA519" s="78"/>
      <c r="AB519" s="78"/>
      <c r="AC519" s="78"/>
      <c r="AD519" s="78"/>
      <c r="AE519" s="78"/>
      <c r="AF519" s="78"/>
      <c r="AG519" s="78"/>
      <c r="AH519" s="78"/>
      <c r="AI519" s="78"/>
      <c r="AJ519" s="78"/>
      <c r="AK519" s="78"/>
      <c r="AL519" s="78"/>
      <c r="AM519" s="78"/>
      <c r="AN519" s="78"/>
      <c r="AO519" s="78"/>
      <c r="AP519" s="78"/>
      <c r="AQ519" s="78"/>
      <c r="AR519" s="78"/>
      <c r="AS519" s="78"/>
      <c r="AT519" s="78"/>
      <c r="AU519" s="78"/>
      <c r="AV519" s="78"/>
      <c r="AW519" s="78"/>
      <c r="AX519" s="78"/>
      <c r="AY519" s="91"/>
      <c r="AZ519" s="78"/>
      <c r="BA519" s="78"/>
      <c r="BB519" s="78"/>
      <c r="BC519" s="78"/>
      <c r="BD519" s="78"/>
      <c r="BE519" s="78"/>
      <c r="BF519" s="78"/>
      <c r="BG519" s="78"/>
      <c r="BH519" s="78"/>
      <c r="BI519" s="78"/>
      <c r="BJ519" s="78"/>
      <c r="BK519" s="78"/>
      <c r="BL519" s="78"/>
      <c r="BM519" s="78"/>
      <c r="BN519" s="78"/>
      <c r="BO519" s="78"/>
      <c r="BP519" s="78"/>
      <c r="BQ519" s="78"/>
      <c r="BR519" s="78"/>
      <c r="BS519" s="78"/>
      <c r="BT519" s="78"/>
      <c r="BU519" s="78"/>
      <c r="BV519" s="78"/>
      <c r="BW519" s="78"/>
      <c r="BX519" s="78"/>
      <c r="BY519" s="78"/>
      <c r="BZ519" s="78"/>
      <c r="CA519" s="78"/>
      <c r="CB519" s="78"/>
      <c r="CC519" s="78"/>
      <c r="CD519" s="78"/>
      <c r="CE519" s="78"/>
      <c r="CF519" s="78"/>
      <c r="CG519" s="78"/>
      <c r="CH519" s="78"/>
      <c r="CI519" s="78"/>
      <c r="CJ519" s="78"/>
      <c r="CK519" s="78"/>
      <c r="CL519" s="78"/>
      <c r="CM519" s="78"/>
      <c r="CN519" s="78"/>
      <c r="CO519" s="78"/>
      <c r="CP519" s="78"/>
      <c r="CQ519" s="78"/>
      <c r="CR519" s="78"/>
      <c r="CS519" s="78"/>
      <c r="CT519" s="78"/>
      <c r="CU519" s="78"/>
      <c r="CV519" s="78"/>
      <c r="CW519" s="78"/>
      <c r="CX519" s="78"/>
      <c r="CY519" s="78"/>
      <c r="CZ519" s="78"/>
      <c r="DA519" s="78"/>
      <c r="DB519" s="78"/>
      <c r="DC519" s="78"/>
      <c r="DD519" s="78"/>
      <c r="DE519" s="78"/>
      <c r="DF519" s="78"/>
      <c r="DG519" s="78"/>
      <c r="DH519" s="78"/>
      <c r="DI519" s="78"/>
      <c r="DJ519" s="78"/>
      <c r="DK519" s="78"/>
      <c r="DL519" s="78"/>
      <c r="DM519" s="78"/>
      <c r="DN519" s="78"/>
      <c r="DO519" s="78"/>
      <c r="DP519" s="78"/>
      <c r="DQ519" s="78"/>
      <c r="DR519" s="78"/>
      <c r="DS519" s="78"/>
      <c r="DT519" s="78"/>
      <c r="DU519" s="78"/>
      <c r="DV519" s="78"/>
      <c r="DW519" s="78"/>
      <c r="DX519" s="78"/>
      <c r="DY519" s="78"/>
      <c r="DZ519" s="78"/>
      <c r="EA519" s="78"/>
      <c r="EB519" s="78"/>
      <c r="EC519" s="78"/>
      <c r="ED519" s="78"/>
      <c r="EE519" s="78"/>
      <c r="EF519" s="78"/>
      <c r="EG519" s="78"/>
      <c r="EH519" s="78"/>
      <c r="EI519" s="78"/>
      <c r="EJ519" s="78"/>
      <c r="EK519" s="78"/>
      <c r="EL519" s="78"/>
      <c r="EM519" s="78"/>
      <c r="EN519" s="91"/>
      <c r="EO519" s="91"/>
      <c r="EP519" s="91"/>
      <c r="EQ519" s="91"/>
      <c r="ER519" s="91"/>
      <c r="ES519" s="91"/>
    </row>
    <row r="520" spans="1:149" outlineLevel="1">
      <c r="A520" s="29" t="str">
        <f t="shared" si="329"/>
        <v>modesg_out_empr_info_nfinref_date</v>
      </c>
      <c r="B520" s="67" t="s">
        <v>26</v>
      </c>
      <c r="C520" s="68" t="s">
        <v>310</v>
      </c>
      <c r="D520" s="64" t="s">
        <v>40</v>
      </c>
      <c r="E520" s="66" t="s">
        <v>325</v>
      </c>
      <c r="F520" s="64" t="s">
        <v>208</v>
      </c>
      <c r="G520" s="64" t="str">
        <f>INDEX(Auxiliar!$B$16:$B$24,MATCH(Plano_V3!H520,Auxiliar!$C$16:$C$24,0),1)</f>
        <v>1. Concluído</v>
      </c>
      <c r="H520" s="64">
        <f>VLOOKUP(A520,'Aux - pivots1'!$A:$B,2,0)</f>
        <v>1</v>
      </c>
      <c r="I520" s="180">
        <f>SUMIFS(Table1[Estimação (horas)],Table1[Tabela],Plano_V3!E520,Table1[Campo],Plano_V3!F520)</f>
        <v>4.0999999999999996</v>
      </c>
      <c r="J520" s="180">
        <f t="shared" si="330"/>
        <v>0.51249999999999996</v>
      </c>
      <c r="K520" s="180">
        <f>SUMIFS(Table1[Horas efetivas],Table1[Tabela],Plano_V3!E520,Table1[Campo],Plano_V3!F520)</f>
        <v>4.0999999999999996</v>
      </c>
      <c r="L520" s="180">
        <f t="shared" si="331"/>
        <v>0.51249999999999996</v>
      </c>
      <c r="M520" s="174"/>
      <c r="N520" s="174">
        <f t="shared" si="332"/>
        <v>1</v>
      </c>
      <c r="O520" s="174">
        <f t="shared" si="338"/>
        <v>1</v>
      </c>
      <c r="P520" s="87" t="s">
        <v>326</v>
      </c>
      <c r="Q520" s="90">
        <f t="shared" si="324"/>
        <v>0.51249999999999996</v>
      </c>
      <c r="R520" s="78"/>
      <c r="S520" s="78"/>
      <c r="T520" s="78"/>
      <c r="U520" s="78"/>
      <c r="V520" s="78"/>
      <c r="W520" s="78"/>
      <c r="X520" s="78"/>
      <c r="Y520" s="78"/>
      <c r="Z520" s="78"/>
      <c r="AA520" s="78"/>
      <c r="AB520" s="78"/>
      <c r="AC520" s="78"/>
      <c r="AD520" s="78"/>
      <c r="AE520" s="78"/>
      <c r="AF520" s="78"/>
      <c r="AG520" s="78"/>
      <c r="AH520" s="78"/>
      <c r="AI520" s="78"/>
      <c r="AJ520" s="78"/>
      <c r="AK520" s="78"/>
      <c r="AL520" s="78"/>
      <c r="AM520" s="78"/>
      <c r="AN520" s="78"/>
      <c r="AO520" s="78"/>
      <c r="AP520" s="78"/>
      <c r="AQ520" s="78"/>
      <c r="AR520" s="78"/>
      <c r="AS520" s="78"/>
      <c r="AT520" s="78"/>
      <c r="AU520" s="78"/>
      <c r="AV520" s="78"/>
      <c r="AW520" s="78"/>
      <c r="AX520" s="78"/>
      <c r="AY520" s="91"/>
      <c r="AZ520" s="78"/>
      <c r="BA520" s="78"/>
      <c r="BB520" s="78"/>
      <c r="BC520" s="78"/>
      <c r="BD520" s="78"/>
      <c r="BE520" s="78"/>
      <c r="BF520" s="78"/>
      <c r="BG520" s="78"/>
      <c r="BH520" s="78"/>
      <c r="BI520" s="78"/>
      <c r="BJ520" s="78"/>
      <c r="BK520" s="78"/>
      <c r="BL520" s="78"/>
      <c r="BM520" s="78"/>
      <c r="BN520" s="78"/>
      <c r="BO520" s="78"/>
      <c r="BP520" s="78"/>
      <c r="BQ520" s="78"/>
      <c r="BR520" s="78"/>
      <c r="BS520" s="78"/>
      <c r="BT520" s="78"/>
      <c r="BU520" s="78"/>
      <c r="BV520" s="78"/>
      <c r="BW520" s="78"/>
      <c r="BX520" s="78"/>
      <c r="BY520" s="78"/>
      <c r="BZ520" s="78"/>
      <c r="CA520" s="78"/>
      <c r="CB520" s="78"/>
      <c r="CC520" s="78"/>
      <c r="CD520" s="78"/>
      <c r="CE520" s="78"/>
      <c r="CF520" s="78"/>
      <c r="CG520" s="78"/>
      <c r="CH520" s="78"/>
      <c r="CI520" s="78"/>
      <c r="CJ520" s="78"/>
      <c r="CK520" s="78"/>
      <c r="CL520" s="78"/>
      <c r="CM520" s="78"/>
      <c r="CN520" s="78"/>
      <c r="CO520" s="78"/>
      <c r="CP520" s="78"/>
      <c r="CQ520" s="78"/>
      <c r="CR520" s="78"/>
      <c r="CS520" s="78"/>
      <c r="CT520" s="78"/>
      <c r="CU520" s="78"/>
      <c r="CV520" s="78"/>
      <c r="CW520" s="78"/>
      <c r="CX520" s="78"/>
      <c r="CY520" s="78"/>
      <c r="CZ520" s="78"/>
      <c r="DA520" s="78"/>
      <c r="DB520" s="78"/>
      <c r="DC520" s="78"/>
      <c r="DD520" s="78"/>
      <c r="DE520" s="78"/>
      <c r="DF520" s="78"/>
      <c r="DG520" s="78"/>
      <c r="DH520" s="78"/>
      <c r="DI520" s="78"/>
      <c r="DJ520" s="78"/>
      <c r="DK520" s="78"/>
      <c r="DL520" s="78"/>
      <c r="DM520" s="78"/>
      <c r="DN520" s="78"/>
      <c r="DO520" s="78"/>
      <c r="DP520" s="78"/>
      <c r="DQ520" s="78"/>
      <c r="DR520" s="78"/>
      <c r="DS520" s="78"/>
      <c r="DT520" s="78"/>
      <c r="DU520" s="78"/>
      <c r="DV520" s="78"/>
      <c r="DW520" s="78"/>
      <c r="DX520" s="78"/>
      <c r="DY520" s="78"/>
      <c r="DZ520" s="78"/>
      <c r="EA520" s="78"/>
      <c r="EB520" s="78"/>
      <c r="EC520" s="78"/>
      <c r="ED520" s="78"/>
      <c r="EE520" s="78"/>
      <c r="EF520" s="78"/>
      <c r="EG520" s="78"/>
      <c r="EH520" s="78"/>
      <c r="EI520" s="78"/>
      <c r="EJ520" s="78"/>
      <c r="EK520" s="78"/>
      <c r="EL520" s="78"/>
      <c r="EM520" s="78"/>
      <c r="EN520" s="91"/>
      <c r="EO520" s="91"/>
      <c r="EP520" s="91"/>
      <c r="EQ520" s="91"/>
      <c r="ER520" s="91"/>
      <c r="ES520" s="91"/>
    </row>
    <row r="521" spans="1:149" outlineLevel="1">
      <c r="A521" s="29" t="str">
        <f t="shared" si="329"/>
        <v>modesg_out_empr_info_nfinscp1_emss</v>
      </c>
      <c r="B521" s="67" t="s">
        <v>26</v>
      </c>
      <c r="C521" s="68" t="s">
        <v>310</v>
      </c>
      <c r="D521" s="64" t="s">
        <v>40</v>
      </c>
      <c r="E521" s="66" t="s">
        <v>325</v>
      </c>
      <c r="F521" s="64" t="s">
        <v>285</v>
      </c>
      <c r="G521" s="64" t="str">
        <f>INDEX(Auxiliar!$B$16:$B$24,MATCH(Plano_V3!H521,Auxiliar!$C$16:$C$24,0),1)</f>
        <v>1. Concluído</v>
      </c>
      <c r="H521" s="64">
        <f>VLOOKUP(A521,'Aux - pivots1'!$A:$B,2,0)</f>
        <v>1</v>
      </c>
      <c r="I521" s="180">
        <f>SUMIFS(Table1[Estimação (horas)],Table1[Tabela],Plano_V3!E521,Table1[Campo],Plano_V3!F521)</f>
        <v>8.1</v>
      </c>
      <c r="J521" s="180">
        <f t="shared" si="330"/>
        <v>1.0125</v>
      </c>
      <c r="K521" s="180">
        <f>SUMIFS(Table1[Horas efetivas],Table1[Tabela],Plano_V3!E521,Table1[Campo],Plano_V3!F521)</f>
        <v>8.1</v>
      </c>
      <c r="L521" s="180">
        <f t="shared" si="331"/>
        <v>1.0125</v>
      </c>
      <c r="M521" s="174"/>
      <c r="N521" s="174">
        <f t="shared" si="332"/>
        <v>1</v>
      </c>
      <c r="O521" s="174">
        <f t="shared" si="338"/>
        <v>1</v>
      </c>
      <c r="P521" s="87" t="s">
        <v>326</v>
      </c>
      <c r="Q521" s="90">
        <f t="shared" ref="Q521:Q562" si="339">J521-SUM(R521:ES521)</f>
        <v>1.0125</v>
      </c>
      <c r="R521" s="78"/>
      <c r="S521" s="78"/>
      <c r="T521" s="78"/>
      <c r="U521" s="78"/>
      <c r="V521" s="78"/>
      <c r="W521" s="78"/>
      <c r="X521" s="78"/>
      <c r="Y521" s="78"/>
      <c r="Z521" s="78"/>
      <c r="AA521" s="78"/>
      <c r="AB521" s="78"/>
      <c r="AC521" s="78"/>
      <c r="AD521" s="78"/>
      <c r="AE521" s="78"/>
      <c r="AF521" s="78"/>
      <c r="AG521" s="78"/>
      <c r="AH521" s="78"/>
      <c r="AI521" s="78"/>
      <c r="AJ521" s="78"/>
      <c r="AK521" s="78"/>
      <c r="AL521" s="78"/>
      <c r="AM521" s="78"/>
      <c r="AN521" s="78"/>
      <c r="AO521" s="78"/>
      <c r="AP521" s="78"/>
      <c r="AQ521" s="78"/>
      <c r="AR521" s="78"/>
      <c r="AS521" s="78"/>
      <c r="AT521" s="78"/>
      <c r="AU521" s="78"/>
      <c r="AV521" s="78"/>
      <c r="AW521" s="78"/>
      <c r="AX521" s="78"/>
      <c r="AY521" s="91"/>
      <c r="AZ521" s="78"/>
      <c r="BA521" s="78"/>
      <c r="BB521" s="78"/>
      <c r="BC521" s="78"/>
      <c r="BD521" s="78"/>
      <c r="BE521" s="78"/>
      <c r="BF521" s="78"/>
      <c r="BG521" s="78"/>
      <c r="BH521" s="78"/>
      <c r="BI521" s="78"/>
      <c r="BJ521" s="78"/>
      <c r="BK521" s="78"/>
      <c r="BL521" s="78"/>
      <c r="BM521" s="78"/>
      <c r="BN521" s="78"/>
      <c r="BO521" s="78"/>
      <c r="BP521" s="78"/>
      <c r="BQ521" s="78"/>
      <c r="BR521" s="78"/>
      <c r="BS521" s="78"/>
      <c r="BT521" s="78"/>
      <c r="BU521" s="78"/>
      <c r="BV521" s="78"/>
      <c r="BW521" s="78"/>
      <c r="BX521" s="78"/>
      <c r="BY521" s="78"/>
      <c r="BZ521" s="78"/>
      <c r="CA521" s="78"/>
      <c r="CB521" s="78"/>
      <c r="CC521" s="78"/>
      <c r="CD521" s="78"/>
      <c r="CE521" s="78"/>
      <c r="CF521" s="78"/>
      <c r="CG521" s="78"/>
      <c r="CH521" s="78"/>
      <c r="CI521" s="78"/>
      <c r="CJ521" s="78"/>
      <c r="CK521" s="78"/>
      <c r="CL521" s="78"/>
      <c r="CM521" s="78"/>
      <c r="CN521" s="78"/>
      <c r="CO521" s="78"/>
      <c r="CP521" s="78"/>
      <c r="CQ521" s="78"/>
      <c r="CR521" s="78"/>
      <c r="CS521" s="78"/>
      <c r="CT521" s="78"/>
      <c r="CU521" s="78"/>
      <c r="CV521" s="78"/>
      <c r="CW521" s="78"/>
      <c r="CX521" s="78"/>
      <c r="CY521" s="78"/>
      <c r="CZ521" s="78"/>
      <c r="DA521" s="78"/>
      <c r="DB521" s="78"/>
      <c r="DC521" s="78"/>
      <c r="DD521" s="78"/>
      <c r="DE521" s="78"/>
      <c r="DF521" s="78"/>
      <c r="DG521" s="78"/>
      <c r="DH521" s="78"/>
      <c r="DI521" s="78"/>
      <c r="DJ521" s="78"/>
      <c r="DK521" s="78"/>
      <c r="DL521" s="78"/>
      <c r="DM521" s="78"/>
      <c r="DN521" s="78"/>
      <c r="DO521" s="78"/>
      <c r="DP521" s="78"/>
      <c r="DQ521" s="78"/>
      <c r="DR521" s="78"/>
      <c r="DS521" s="78"/>
      <c r="DT521" s="78"/>
      <c r="DU521" s="78"/>
      <c r="DV521" s="78"/>
      <c r="DW521" s="78"/>
      <c r="DX521" s="78"/>
      <c r="DY521" s="78"/>
      <c r="DZ521" s="78"/>
      <c r="EA521" s="78"/>
      <c r="EB521" s="78"/>
      <c r="EC521" s="78"/>
      <c r="ED521" s="78"/>
      <c r="EE521" s="78"/>
      <c r="EF521" s="78"/>
      <c r="EG521" s="78"/>
      <c r="EH521" s="78"/>
      <c r="EI521" s="78"/>
      <c r="EJ521" s="78"/>
      <c r="EK521" s="78"/>
      <c r="EL521" s="78"/>
      <c r="EM521" s="78"/>
      <c r="EN521" s="91"/>
      <c r="EO521" s="91"/>
      <c r="EP521" s="91"/>
      <c r="EQ521" s="91"/>
      <c r="ER521" s="91"/>
      <c r="ES521" s="91"/>
    </row>
    <row r="522" spans="1:149" outlineLevel="1">
      <c r="A522" s="29" t="str">
        <f t="shared" si="329"/>
        <v>modesg_out_empr_info_nfinscp2_emss</v>
      </c>
      <c r="B522" s="67" t="s">
        <v>26</v>
      </c>
      <c r="C522" s="68" t="s">
        <v>310</v>
      </c>
      <c r="D522" s="64" t="s">
        <v>40</v>
      </c>
      <c r="E522" s="66" t="s">
        <v>325</v>
      </c>
      <c r="F522" s="64" t="s">
        <v>286</v>
      </c>
      <c r="G522" s="64" t="str">
        <f>INDEX(Auxiliar!$B$16:$B$24,MATCH(Plano_V3!H522,Auxiliar!$C$16:$C$24,0),1)</f>
        <v>1. Concluído</v>
      </c>
      <c r="H522" s="64">
        <f>VLOOKUP(A522,'Aux - pivots1'!$A:$B,2,0)</f>
        <v>1</v>
      </c>
      <c r="I522" s="180">
        <f>SUMIFS(Table1[Estimação (horas)],Table1[Tabela],Plano_V3!E522,Table1[Campo],Plano_V3!F522)</f>
        <v>8.1</v>
      </c>
      <c r="J522" s="180">
        <f t="shared" si="330"/>
        <v>1.0125</v>
      </c>
      <c r="K522" s="180">
        <f>SUMIFS(Table1[Horas efetivas],Table1[Tabela],Plano_V3!E522,Table1[Campo],Plano_V3!F522)</f>
        <v>8.1</v>
      </c>
      <c r="L522" s="180">
        <f t="shared" si="331"/>
        <v>1.0125</v>
      </c>
      <c r="M522" s="174"/>
      <c r="N522" s="174">
        <f t="shared" si="332"/>
        <v>1</v>
      </c>
      <c r="O522" s="174">
        <f t="shared" si="338"/>
        <v>1</v>
      </c>
      <c r="P522" s="87" t="s">
        <v>326</v>
      </c>
      <c r="Q522" s="90">
        <f t="shared" si="339"/>
        <v>1.0125</v>
      </c>
      <c r="R522" s="78"/>
      <c r="S522" s="78"/>
      <c r="T522" s="78"/>
      <c r="U522" s="78"/>
      <c r="V522" s="78"/>
      <c r="W522" s="78"/>
      <c r="X522" s="78"/>
      <c r="Y522" s="78"/>
      <c r="Z522" s="78"/>
      <c r="AA522" s="78"/>
      <c r="AB522" s="78"/>
      <c r="AC522" s="78"/>
      <c r="AD522" s="78"/>
      <c r="AE522" s="78"/>
      <c r="AF522" s="78"/>
      <c r="AG522" s="78"/>
      <c r="AH522" s="78"/>
      <c r="AI522" s="78"/>
      <c r="AJ522" s="78"/>
      <c r="AK522" s="78"/>
      <c r="AL522" s="78"/>
      <c r="AM522" s="78"/>
      <c r="AN522" s="78"/>
      <c r="AO522" s="78"/>
      <c r="AP522" s="78"/>
      <c r="AQ522" s="78"/>
      <c r="AR522" s="78"/>
      <c r="AS522" s="78"/>
      <c r="AT522" s="78"/>
      <c r="AU522" s="78"/>
      <c r="AV522" s="78"/>
      <c r="AW522" s="78"/>
      <c r="AX522" s="78"/>
      <c r="AY522" s="91"/>
      <c r="AZ522" s="78"/>
      <c r="BA522" s="78"/>
      <c r="BB522" s="78"/>
      <c r="BC522" s="78"/>
      <c r="BD522" s="78"/>
      <c r="BE522" s="78"/>
      <c r="BF522" s="78"/>
      <c r="BG522" s="78"/>
      <c r="BH522" s="78"/>
      <c r="BI522" s="78"/>
      <c r="BJ522" s="78"/>
      <c r="BK522" s="78"/>
      <c r="BL522" s="78"/>
      <c r="BM522" s="78"/>
      <c r="BN522" s="78"/>
      <c r="BO522" s="78"/>
      <c r="BP522" s="78"/>
      <c r="BQ522" s="78"/>
      <c r="BR522" s="78"/>
      <c r="BS522" s="78"/>
      <c r="BT522" s="78"/>
      <c r="BU522" s="78"/>
      <c r="BV522" s="78"/>
      <c r="BW522" s="78"/>
      <c r="BX522" s="78"/>
      <c r="BY522" s="78"/>
      <c r="BZ522" s="78"/>
      <c r="CA522" s="78"/>
      <c r="CB522" s="78"/>
      <c r="CC522" s="78"/>
      <c r="CD522" s="78"/>
      <c r="CE522" s="78"/>
      <c r="CF522" s="78"/>
      <c r="CG522" s="78"/>
      <c r="CH522" s="78"/>
      <c r="CI522" s="78"/>
      <c r="CJ522" s="78"/>
      <c r="CK522" s="78"/>
      <c r="CL522" s="78"/>
      <c r="CM522" s="78"/>
      <c r="CN522" s="78"/>
      <c r="CO522" s="78"/>
      <c r="CP522" s="78"/>
      <c r="CQ522" s="78"/>
      <c r="CR522" s="78"/>
      <c r="CS522" s="78"/>
      <c r="CT522" s="78"/>
      <c r="CU522" s="78"/>
      <c r="CV522" s="78"/>
      <c r="CW522" s="78"/>
      <c r="CX522" s="78"/>
      <c r="CY522" s="78"/>
      <c r="CZ522" s="78"/>
      <c r="DA522" s="78"/>
      <c r="DB522" s="78"/>
      <c r="DC522" s="78"/>
      <c r="DD522" s="78"/>
      <c r="DE522" s="78"/>
      <c r="DF522" s="78"/>
      <c r="DG522" s="78"/>
      <c r="DH522" s="78"/>
      <c r="DI522" s="78"/>
      <c r="DJ522" s="78"/>
      <c r="DK522" s="78"/>
      <c r="DL522" s="78"/>
      <c r="DM522" s="78"/>
      <c r="DN522" s="78"/>
      <c r="DO522" s="78"/>
      <c r="DP522" s="78"/>
      <c r="DQ522" s="78"/>
      <c r="DR522" s="78"/>
      <c r="DS522" s="78"/>
      <c r="DT522" s="78"/>
      <c r="DU522" s="78"/>
      <c r="DV522" s="78"/>
      <c r="DW522" s="78"/>
      <c r="DX522" s="78"/>
      <c r="DY522" s="78"/>
      <c r="DZ522" s="78"/>
      <c r="EA522" s="78"/>
      <c r="EB522" s="78"/>
      <c r="EC522" s="78"/>
      <c r="ED522" s="78"/>
      <c r="EE522" s="78"/>
      <c r="EF522" s="78"/>
      <c r="EG522" s="78"/>
      <c r="EH522" s="78"/>
      <c r="EI522" s="78"/>
      <c r="EJ522" s="78"/>
      <c r="EK522" s="78"/>
      <c r="EL522" s="78"/>
      <c r="EM522" s="78"/>
      <c r="EN522" s="91"/>
      <c r="EO522" s="91"/>
      <c r="EP522" s="91"/>
      <c r="EQ522" s="91"/>
      <c r="ER522" s="91"/>
      <c r="ES522" s="91"/>
    </row>
    <row r="523" spans="1:149" outlineLevel="1">
      <c r="A523" s="29" t="str">
        <f t="shared" si="329"/>
        <v>modesg_out_empr_info_nfinscp3_emss</v>
      </c>
      <c r="B523" s="67" t="s">
        <v>26</v>
      </c>
      <c r="C523" s="68" t="s">
        <v>310</v>
      </c>
      <c r="D523" s="64" t="s">
        <v>40</v>
      </c>
      <c r="E523" s="66" t="s">
        <v>325</v>
      </c>
      <c r="F523" s="64" t="s">
        <v>287</v>
      </c>
      <c r="G523" s="64" t="str">
        <f>INDEX(Auxiliar!$B$16:$B$24,MATCH(Plano_V3!H523,Auxiliar!$C$16:$C$24,0),1)</f>
        <v>1. Concluído</v>
      </c>
      <c r="H523" s="64">
        <f>VLOOKUP(A523,'Aux - pivots1'!$A:$B,2,0)</f>
        <v>1</v>
      </c>
      <c r="I523" s="180">
        <f>SUMIFS(Table1[Estimação (horas)],Table1[Tabela],Plano_V3!E523,Table1[Campo],Plano_V3!F523)</f>
        <v>8.1</v>
      </c>
      <c r="J523" s="180">
        <f t="shared" si="330"/>
        <v>1.0125</v>
      </c>
      <c r="K523" s="180">
        <f>SUMIFS(Table1[Horas efetivas],Table1[Tabela],Plano_V3!E523,Table1[Campo],Plano_V3!F523)</f>
        <v>8.1</v>
      </c>
      <c r="L523" s="180">
        <f t="shared" si="331"/>
        <v>1.0125</v>
      </c>
      <c r="M523" s="174"/>
      <c r="N523" s="174">
        <f t="shared" si="332"/>
        <v>1</v>
      </c>
      <c r="O523" s="174">
        <f t="shared" si="338"/>
        <v>1</v>
      </c>
      <c r="P523" s="87" t="s">
        <v>326</v>
      </c>
      <c r="Q523" s="90">
        <f t="shared" si="339"/>
        <v>1.0125</v>
      </c>
      <c r="R523" s="78"/>
      <c r="S523" s="78"/>
      <c r="T523" s="78"/>
      <c r="U523" s="78"/>
      <c r="V523" s="78"/>
      <c r="W523" s="78"/>
      <c r="X523" s="78"/>
      <c r="Y523" s="78"/>
      <c r="Z523" s="78"/>
      <c r="AA523" s="78"/>
      <c r="AB523" s="78"/>
      <c r="AC523" s="78"/>
      <c r="AD523" s="78"/>
      <c r="AE523" s="78"/>
      <c r="AF523" s="78"/>
      <c r="AG523" s="78"/>
      <c r="AH523" s="78"/>
      <c r="AI523" s="78"/>
      <c r="AJ523" s="78"/>
      <c r="AK523" s="78"/>
      <c r="AL523" s="78"/>
      <c r="AM523" s="78"/>
      <c r="AN523" s="78"/>
      <c r="AO523" s="78"/>
      <c r="AP523" s="78"/>
      <c r="AQ523" s="78"/>
      <c r="AR523" s="78"/>
      <c r="AS523" s="78"/>
      <c r="AT523" s="78"/>
      <c r="AU523" s="78"/>
      <c r="AV523" s="78"/>
      <c r="AW523" s="78"/>
      <c r="AX523" s="78"/>
      <c r="AY523" s="91"/>
      <c r="AZ523" s="78"/>
      <c r="BA523" s="78"/>
      <c r="BB523" s="78"/>
      <c r="BC523" s="78"/>
      <c r="BD523" s="78"/>
      <c r="BE523" s="78"/>
      <c r="BF523" s="78"/>
      <c r="BG523" s="78"/>
      <c r="BH523" s="78"/>
      <c r="BI523" s="78"/>
      <c r="BJ523" s="78"/>
      <c r="BK523" s="78"/>
      <c r="BL523" s="78"/>
      <c r="BM523" s="78"/>
      <c r="BN523" s="78"/>
      <c r="BO523" s="78"/>
      <c r="BP523" s="78"/>
      <c r="BQ523" s="78"/>
      <c r="BR523" s="78"/>
      <c r="BS523" s="78"/>
      <c r="BT523" s="78"/>
      <c r="BU523" s="78"/>
      <c r="BV523" s="78"/>
      <c r="BW523" s="78"/>
      <c r="BX523" s="78"/>
      <c r="BY523" s="78"/>
      <c r="BZ523" s="78"/>
      <c r="CA523" s="78"/>
      <c r="CB523" s="78"/>
      <c r="CC523" s="78"/>
      <c r="CD523" s="78"/>
      <c r="CE523" s="78"/>
      <c r="CF523" s="78"/>
      <c r="CG523" s="78"/>
      <c r="CH523" s="78"/>
      <c r="CI523" s="78"/>
      <c r="CJ523" s="78"/>
      <c r="CK523" s="78"/>
      <c r="CL523" s="78"/>
      <c r="CM523" s="78"/>
      <c r="CN523" s="78"/>
      <c r="CO523" s="78"/>
      <c r="CP523" s="78"/>
      <c r="CQ523" s="78"/>
      <c r="CR523" s="78"/>
      <c r="CS523" s="78"/>
      <c r="CT523" s="78"/>
      <c r="CU523" s="78"/>
      <c r="CV523" s="78"/>
      <c r="CW523" s="78"/>
      <c r="CX523" s="78"/>
      <c r="CY523" s="78"/>
      <c r="CZ523" s="78"/>
      <c r="DA523" s="78"/>
      <c r="DB523" s="78"/>
      <c r="DC523" s="78"/>
      <c r="DD523" s="78"/>
      <c r="DE523" s="78"/>
      <c r="DF523" s="78"/>
      <c r="DG523" s="78"/>
      <c r="DH523" s="78"/>
      <c r="DI523" s="78"/>
      <c r="DJ523" s="78"/>
      <c r="DK523" s="78"/>
      <c r="DL523" s="78"/>
      <c r="DM523" s="78"/>
      <c r="DN523" s="78"/>
      <c r="DO523" s="78"/>
      <c r="DP523" s="78"/>
      <c r="DQ523" s="78"/>
      <c r="DR523" s="78"/>
      <c r="DS523" s="78"/>
      <c r="DT523" s="78"/>
      <c r="DU523" s="78"/>
      <c r="DV523" s="78"/>
      <c r="DW523" s="78"/>
      <c r="DX523" s="78"/>
      <c r="DY523" s="78"/>
      <c r="DZ523" s="78"/>
      <c r="EA523" s="78"/>
      <c r="EB523" s="78"/>
      <c r="EC523" s="78"/>
      <c r="ED523" s="78"/>
      <c r="EE523" s="78"/>
      <c r="EF523" s="78"/>
      <c r="EG523" s="78"/>
      <c r="EH523" s="78"/>
      <c r="EI523" s="78"/>
      <c r="EJ523" s="78"/>
      <c r="EK523" s="78"/>
      <c r="EL523" s="78"/>
      <c r="EM523" s="78"/>
      <c r="EN523" s="91"/>
      <c r="EO523" s="91"/>
      <c r="EP523" s="91"/>
      <c r="EQ523" s="91"/>
      <c r="ER523" s="91"/>
      <c r="ES523" s="91"/>
    </row>
    <row r="524" spans="1:149" outlineLevel="1">
      <c r="A524" s="29" t="str">
        <f t="shared" si="329"/>
        <v>modesg_out_empr_info_nfinzcliente</v>
      </c>
      <c r="B524" s="67" t="s">
        <v>26</v>
      </c>
      <c r="C524" s="68" t="s">
        <v>310</v>
      </c>
      <c r="D524" s="64" t="s">
        <v>40</v>
      </c>
      <c r="E524" s="66" t="s">
        <v>325</v>
      </c>
      <c r="F524" s="64" t="s">
        <v>209</v>
      </c>
      <c r="G524" s="64" t="str">
        <f>INDEX(Auxiliar!$B$16:$B$24,MATCH(Plano_V3!H524,Auxiliar!$C$16:$C$24,0),1)</f>
        <v>1. Concluído</v>
      </c>
      <c r="H524" s="64">
        <f>VLOOKUP(A524,'Aux - pivots1'!$A:$B,2,0)</f>
        <v>1</v>
      </c>
      <c r="I524" s="180">
        <f>SUMIFS(Table1[Estimação (horas)],Table1[Tabela],Plano_V3!E524,Table1[Campo],Plano_V3!F524)</f>
        <v>4.0999999999999996</v>
      </c>
      <c r="J524" s="180">
        <f t="shared" si="330"/>
        <v>0.51249999999999996</v>
      </c>
      <c r="K524" s="180">
        <f>SUMIFS(Table1[Horas efetivas],Table1[Tabela],Plano_V3!E524,Table1[Campo],Plano_V3!F524)</f>
        <v>4.0999999999999996</v>
      </c>
      <c r="L524" s="180">
        <f t="shared" si="331"/>
        <v>0.51249999999999996</v>
      </c>
      <c r="M524" s="174"/>
      <c r="N524" s="174">
        <f t="shared" si="332"/>
        <v>1</v>
      </c>
      <c r="O524" s="174">
        <f t="shared" si="338"/>
        <v>1</v>
      </c>
      <c r="P524" s="87" t="s">
        <v>326</v>
      </c>
      <c r="Q524" s="90">
        <f t="shared" si="339"/>
        <v>0.51249999999999996</v>
      </c>
      <c r="R524" s="78"/>
      <c r="S524" s="78"/>
      <c r="T524" s="78"/>
      <c r="U524" s="78"/>
      <c r="V524" s="78"/>
      <c r="W524" s="78"/>
      <c r="X524" s="78"/>
      <c r="Y524" s="78"/>
      <c r="Z524" s="78"/>
      <c r="AA524" s="78"/>
      <c r="AB524" s="78"/>
      <c r="AC524" s="78"/>
      <c r="AD524" s="78"/>
      <c r="AE524" s="78"/>
      <c r="AF524" s="78"/>
      <c r="AG524" s="78"/>
      <c r="AH524" s="78"/>
      <c r="AI524" s="78"/>
      <c r="AJ524" s="78"/>
      <c r="AK524" s="78"/>
      <c r="AL524" s="78"/>
      <c r="AM524" s="78"/>
      <c r="AN524" s="78"/>
      <c r="AO524" s="78"/>
      <c r="AP524" s="78"/>
      <c r="AQ524" s="78"/>
      <c r="AR524" s="78"/>
      <c r="AS524" s="78"/>
      <c r="AT524" s="78"/>
      <c r="AU524" s="78"/>
      <c r="AV524" s="78"/>
      <c r="AW524" s="78"/>
      <c r="AX524" s="78"/>
      <c r="AY524" s="91"/>
      <c r="AZ524" s="78"/>
      <c r="BA524" s="78"/>
      <c r="BB524" s="78"/>
      <c r="BC524" s="78"/>
      <c r="BD524" s="78"/>
      <c r="BE524" s="78"/>
      <c r="BF524" s="78"/>
      <c r="BG524" s="78"/>
      <c r="BH524" s="78"/>
      <c r="BI524" s="78"/>
      <c r="BJ524" s="78"/>
      <c r="BK524" s="78"/>
      <c r="BL524" s="78"/>
      <c r="BM524" s="78"/>
      <c r="BN524" s="78"/>
      <c r="BO524" s="78"/>
      <c r="BP524" s="78"/>
      <c r="BQ524" s="78"/>
      <c r="BR524" s="78"/>
      <c r="BS524" s="78"/>
      <c r="BT524" s="78"/>
      <c r="BU524" s="78"/>
      <c r="BV524" s="78"/>
      <c r="BW524" s="78"/>
      <c r="BX524" s="78"/>
      <c r="BY524" s="78"/>
      <c r="BZ524" s="78"/>
      <c r="CA524" s="78"/>
      <c r="CB524" s="78"/>
      <c r="CC524" s="78"/>
      <c r="CD524" s="78"/>
      <c r="CE524" s="78"/>
      <c r="CF524" s="78"/>
      <c r="CG524" s="78"/>
      <c r="CH524" s="78"/>
      <c r="CI524" s="78"/>
      <c r="CJ524" s="78"/>
      <c r="CK524" s="78"/>
      <c r="CL524" s="78"/>
      <c r="CM524" s="78"/>
      <c r="CN524" s="78"/>
      <c r="CO524" s="78"/>
      <c r="CP524" s="78"/>
      <c r="CQ524" s="78"/>
      <c r="CR524" s="78"/>
      <c r="CS524" s="78"/>
      <c r="CT524" s="78"/>
      <c r="CU524" s="78"/>
      <c r="CV524" s="78"/>
      <c r="CW524" s="78"/>
      <c r="CX524" s="78"/>
      <c r="CY524" s="78"/>
      <c r="CZ524" s="78"/>
      <c r="DA524" s="78"/>
      <c r="DB524" s="78"/>
      <c r="DC524" s="78"/>
      <c r="DD524" s="78"/>
      <c r="DE524" s="78"/>
      <c r="DF524" s="78"/>
      <c r="DG524" s="78"/>
      <c r="DH524" s="78"/>
      <c r="DI524" s="78"/>
      <c r="DJ524" s="78"/>
      <c r="DK524" s="78"/>
      <c r="DL524" s="78"/>
      <c r="DM524" s="78"/>
      <c r="DN524" s="78"/>
      <c r="DO524" s="78"/>
      <c r="DP524" s="78"/>
      <c r="DQ524" s="78"/>
      <c r="DR524" s="78"/>
      <c r="DS524" s="78"/>
      <c r="DT524" s="78"/>
      <c r="DU524" s="78"/>
      <c r="DV524" s="78"/>
      <c r="DW524" s="78"/>
      <c r="DX524" s="78"/>
      <c r="DY524" s="78"/>
      <c r="DZ524" s="78"/>
      <c r="EA524" s="78"/>
      <c r="EB524" s="78"/>
      <c r="EC524" s="78"/>
      <c r="ED524" s="78"/>
      <c r="EE524" s="78"/>
      <c r="EF524" s="78"/>
      <c r="EG524" s="78"/>
      <c r="EH524" s="78"/>
      <c r="EI524" s="78"/>
      <c r="EJ524" s="78"/>
      <c r="EK524" s="78"/>
      <c r="EL524" s="78"/>
      <c r="EM524" s="78"/>
      <c r="EN524" s="91"/>
      <c r="EO524" s="91"/>
      <c r="EP524" s="91"/>
      <c r="EQ524" s="91"/>
      <c r="ER524" s="91"/>
      <c r="ES524" s="91"/>
    </row>
    <row r="525" spans="1:149" outlineLevel="1">
      <c r="A525" s="29" t="str">
        <f t="shared" si="329"/>
        <v>modesg_out_empr_info_nfindivida_total</v>
      </c>
      <c r="B525" s="67"/>
      <c r="C525" s="68"/>
      <c r="D525" s="64" t="s">
        <v>40</v>
      </c>
      <c r="E525" s="66" t="s">
        <v>325</v>
      </c>
      <c r="F525" s="64" t="s">
        <v>295</v>
      </c>
      <c r="G525" s="64" t="str">
        <f>INDEX(Auxiliar!$B$16:$B$24,MATCH(Plano_V3!H525,Auxiliar!$C$16:$C$24,0),1)</f>
        <v>1. Concluído</v>
      </c>
      <c r="H525" s="64">
        <f>VLOOKUP(A525,'Aux - pivots1'!$A:$B,2,0)</f>
        <v>1</v>
      </c>
      <c r="I525" s="180">
        <f>SUMIFS(Table1[Estimação (horas)],Table1[Tabela],Plano_V3!E525,Table1[Campo],Plano_V3!F525)</f>
        <v>4</v>
      </c>
      <c r="J525" s="180">
        <f>I525/8</f>
        <v>0.5</v>
      </c>
      <c r="K525" s="180">
        <f>SUMIFS(Table1[Horas efetivas],Table1[Tabela],Plano_V3!E525,Table1[Campo],Plano_V3!F525)</f>
        <v>4</v>
      </c>
      <c r="L525" s="180">
        <f>K525/8</f>
        <v>0.5</v>
      </c>
      <c r="M525" s="174"/>
      <c r="N525" s="174"/>
      <c r="O525" s="174"/>
      <c r="P525" s="87"/>
      <c r="Q525" s="90"/>
      <c r="R525" s="78"/>
      <c r="S525" s="78"/>
      <c r="T525" s="78"/>
      <c r="U525" s="78"/>
      <c r="V525" s="78"/>
      <c r="W525" s="78"/>
      <c r="X525" s="78"/>
      <c r="Y525" s="78"/>
      <c r="Z525" s="78"/>
      <c r="AA525" s="78"/>
      <c r="AB525" s="78"/>
      <c r="AC525" s="78"/>
      <c r="AD525" s="78"/>
      <c r="AE525" s="78"/>
      <c r="AF525" s="78"/>
      <c r="AG525" s="78"/>
      <c r="AH525" s="78"/>
      <c r="AI525" s="78"/>
      <c r="AJ525" s="78"/>
      <c r="AK525" s="78"/>
      <c r="AL525" s="78"/>
      <c r="AM525" s="78"/>
      <c r="AN525" s="78"/>
      <c r="AO525" s="78"/>
      <c r="AP525" s="78"/>
      <c r="AQ525" s="78"/>
      <c r="AR525" s="78"/>
      <c r="AS525" s="78"/>
      <c r="AT525" s="78"/>
      <c r="AU525" s="78"/>
      <c r="AV525" s="78"/>
      <c r="AW525" s="78"/>
      <c r="AX525" s="78"/>
      <c r="AY525" s="91"/>
      <c r="AZ525" s="78"/>
      <c r="BA525" s="78"/>
      <c r="BB525" s="78"/>
      <c r="BC525" s="78"/>
      <c r="BD525" s="78"/>
      <c r="BE525" s="78"/>
      <c r="BF525" s="78"/>
      <c r="BG525" s="78"/>
      <c r="BH525" s="78"/>
      <c r="BI525" s="78"/>
      <c r="BJ525" s="78"/>
      <c r="BK525" s="78"/>
      <c r="BL525" s="78"/>
      <c r="BM525" s="78"/>
      <c r="BN525" s="78"/>
      <c r="BO525" s="78"/>
      <c r="BP525" s="78"/>
      <c r="BQ525" s="78"/>
      <c r="BR525" s="78"/>
      <c r="BS525" s="78"/>
      <c r="BT525" s="78"/>
      <c r="BU525" s="78"/>
      <c r="BV525" s="78"/>
      <c r="BW525" s="78"/>
      <c r="BX525" s="78"/>
      <c r="BY525" s="78"/>
      <c r="BZ525" s="78"/>
      <c r="CA525" s="78"/>
      <c r="CB525" s="78"/>
      <c r="CC525" s="78"/>
      <c r="CD525" s="78"/>
      <c r="CE525" s="78"/>
      <c r="CF525" s="78"/>
      <c r="CG525" s="78"/>
      <c r="CH525" s="78"/>
      <c r="CI525" s="78"/>
      <c r="CJ525" s="78"/>
      <c r="CK525" s="78"/>
      <c r="CL525" s="78"/>
      <c r="CM525" s="78"/>
      <c r="CN525" s="78"/>
      <c r="CO525" s="78"/>
      <c r="CP525" s="78"/>
      <c r="CQ525" s="78"/>
      <c r="CR525" s="78"/>
      <c r="CS525" s="78"/>
      <c r="CT525" s="78"/>
      <c r="CU525" s="78"/>
      <c r="CV525" s="78"/>
      <c r="CW525" s="78"/>
      <c r="CX525" s="78"/>
      <c r="CY525" s="78"/>
      <c r="CZ525" s="78"/>
      <c r="DA525" s="78"/>
      <c r="DB525" s="78"/>
      <c r="DC525" s="78"/>
      <c r="DD525" s="78"/>
      <c r="DE525" s="78"/>
      <c r="DF525" s="78"/>
      <c r="DG525" s="78"/>
      <c r="DH525" s="78"/>
      <c r="DI525" s="78"/>
      <c r="DJ525" s="78"/>
      <c r="DK525" s="78"/>
      <c r="DL525" s="78"/>
      <c r="DM525" s="78"/>
      <c r="DN525" s="78"/>
      <c r="DO525" s="78"/>
      <c r="DP525" s="78"/>
      <c r="DQ525" s="78"/>
      <c r="DR525" s="78"/>
      <c r="DS525" s="78"/>
      <c r="DT525" s="78"/>
      <c r="DU525" s="78"/>
      <c r="DV525" s="78"/>
      <c r="DW525" s="78"/>
      <c r="DX525" s="78"/>
      <c r="DY525" s="78"/>
      <c r="DZ525" s="78"/>
      <c r="EA525" s="78"/>
      <c r="EB525" s="78"/>
      <c r="EC525" s="78"/>
      <c r="ED525" s="78"/>
      <c r="EE525" s="78"/>
      <c r="EF525" s="78"/>
      <c r="EG525" s="78"/>
      <c r="EH525" s="78"/>
      <c r="EI525" s="78"/>
      <c r="EJ525" s="78"/>
      <c r="EK525" s="78"/>
      <c r="EL525" s="78"/>
      <c r="EM525" s="78"/>
      <c r="EN525" s="91"/>
      <c r="EO525" s="91"/>
      <c r="EP525" s="91"/>
      <c r="EQ525" s="91"/>
      <c r="ER525" s="91"/>
      <c r="ES525" s="91"/>
    </row>
    <row r="526" spans="1:149" outlineLevel="1">
      <c r="A526" s="29" t="str">
        <f t="shared" si="329"/>
        <v>modesg_out_empr_info_nfincapital_proprio</v>
      </c>
      <c r="B526" s="67"/>
      <c r="C526" s="68"/>
      <c r="D526" s="64" t="s">
        <v>40</v>
      </c>
      <c r="E526" s="66" t="s">
        <v>325</v>
      </c>
      <c r="F526" s="64" t="s">
        <v>296</v>
      </c>
      <c r="G526" s="64" t="str">
        <f>INDEX(Auxiliar!$B$16:$B$24,MATCH(Plano_V3!H526,Auxiliar!$C$16:$C$24,0),1)</f>
        <v>1. Concluído</v>
      </c>
      <c r="H526" s="64">
        <f>VLOOKUP(A526,'Aux - pivots1'!$A:$B,2,0)</f>
        <v>1</v>
      </c>
      <c r="I526" s="180">
        <f>SUMIFS(Table1[Estimação (horas)],Table1[Tabela],Plano_V3!E526,Table1[Campo],Plano_V3!F526)</f>
        <v>4</v>
      </c>
      <c r="J526" s="180">
        <f>I526/8</f>
        <v>0.5</v>
      </c>
      <c r="K526" s="180">
        <f>SUMIFS(Table1[Horas efetivas],Table1[Tabela],Plano_V3!E526,Table1[Campo],Plano_V3!F526)</f>
        <v>4</v>
      </c>
      <c r="L526" s="180">
        <f>K526/8</f>
        <v>0.5</v>
      </c>
      <c r="M526" s="174"/>
      <c r="N526" s="174"/>
      <c r="O526" s="174"/>
      <c r="P526" s="87"/>
      <c r="Q526" s="90"/>
      <c r="R526" s="78"/>
      <c r="S526" s="78"/>
      <c r="T526" s="78"/>
      <c r="U526" s="78"/>
      <c r="V526" s="78"/>
      <c r="W526" s="78"/>
      <c r="X526" s="78"/>
      <c r="Y526" s="78"/>
      <c r="Z526" s="78"/>
      <c r="AA526" s="78"/>
      <c r="AB526" s="78"/>
      <c r="AC526" s="78"/>
      <c r="AD526" s="78"/>
      <c r="AE526" s="78"/>
      <c r="AF526" s="78"/>
      <c r="AG526" s="78"/>
      <c r="AH526" s="78"/>
      <c r="AI526" s="78"/>
      <c r="AJ526" s="78"/>
      <c r="AK526" s="78"/>
      <c r="AL526" s="78"/>
      <c r="AM526" s="78"/>
      <c r="AN526" s="78"/>
      <c r="AO526" s="78"/>
      <c r="AP526" s="78"/>
      <c r="AQ526" s="78"/>
      <c r="AR526" s="78"/>
      <c r="AS526" s="78"/>
      <c r="AT526" s="78"/>
      <c r="AU526" s="78"/>
      <c r="AV526" s="78"/>
      <c r="AW526" s="78"/>
      <c r="AX526" s="78"/>
      <c r="AY526" s="91"/>
      <c r="AZ526" s="78"/>
      <c r="BA526" s="78"/>
      <c r="BB526" s="78"/>
      <c r="BC526" s="78"/>
      <c r="BD526" s="78"/>
      <c r="BE526" s="78"/>
      <c r="BF526" s="78"/>
      <c r="BG526" s="78"/>
      <c r="BH526" s="78"/>
      <c r="BI526" s="78"/>
      <c r="BJ526" s="78"/>
      <c r="BK526" s="78"/>
      <c r="BL526" s="78"/>
      <c r="BM526" s="78"/>
      <c r="BN526" s="78"/>
      <c r="BO526" s="78"/>
      <c r="BP526" s="78"/>
      <c r="BQ526" s="78"/>
      <c r="BR526" s="78"/>
      <c r="BS526" s="78"/>
      <c r="BT526" s="78"/>
      <c r="BU526" s="78"/>
      <c r="BV526" s="78"/>
      <c r="BW526" s="78"/>
      <c r="BX526" s="78"/>
      <c r="BY526" s="78"/>
      <c r="BZ526" s="78"/>
      <c r="CA526" s="78"/>
      <c r="CB526" s="78"/>
      <c r="CC526" s="78"/>
      <c r="CD526" s="78"/>
      <c r="CE526" s="78"/>
      <c r="CF526" s="78"/>
      <c r="CG526" s="78"/>
      <c r="CH526" s="78"/>
      <c r="CI526" s="78"/>
      <c r="CJ526" s="78"/>
      <c r="CK526" s="78"/>
      <c r="CL526" s="78"/>
      <c r="CM526" s="78"/>
      <c r="CN526" s="78"/>
      <c r="CO526" s="78"/>
      <c r="CP526" s="78"/>
      <c r="CQ526" s="78"/>
      <c r="CR526" s="78"/>
      <c r="CS526" s="78"/>
      <c r="CT526" s="78"/>
      <c r="CU526" s="78"/>
      <c r="CV526" s="78"/>
      <c r="CW526" s="78"/>
      <c r="CX526" s="78"/>
      <c r="CY526" s="78"/>
      <c r="CZ526" s="78"/>
      <c r="DA526" s="78"/>
      <c r="DB526" s="78"/>
      <c r="DC526" s="78"/>
      <c r="DD526" s="78"/>
      <c r="DE526" s="78"/>
      <c r="DF526" s="78"/>
      <c r="DG526" s="78"/>
      <c r="DH526" s="78"/>
      <c r="DI526" s="78"/>
      <c r="DJ526" s="78"/>
      <c r="DK526" s="78"/>
      <c r="DL526" s="78"/>
      <c r="DM526" s="78"/>
      <c r="DN526" s="78"/>
      <c r="DO526" s="78"/>
      <c r="DP526" s="78"/>
      <c r="DQ526" s="78"/>
      <c r="DR526" s="78"/>
      <c r="DS526" s="78"/>
      <c r="DT526" s="78"/>
      <c r="DU526" s="78"/>
      <c r="DV526" s="78"/>
      <c r="DW526" s="78"/>
      <c r="DX526" s="78"/>
      <c r="DY526" s="78"/>
      <c r="DZ526" s="78"/>
      <c r="EA526" s="78"/>
      <c r="EB526" s="78"/>
      <c r="EC526" s="78"/>
      <c r="ED526" s="78"/>
      <c r="EE526" s="78"/>
      <c r="EF526" s="78"/>
      <c r="EG526" s="78"/>
      <c r="EH526" s="78"/>
      <c r="EI526" s="78"/>
      <c r="EJ526" s="78"/>
      <c r="EK526" s="78"/>
      <c r="EL526" s="78"/>
      <c r="EM526" s="78"/>
      <c r="EN526" s="91"/>
      <c r="EO526" s="91"/>
      <c r="EP526" s="91"/>
      <c r="EQ526" s="91"/>
      <c r="ER526" s="91"/>
      <c r="ES526" s="91"/>
    </row>
    <row r="527" spans="1:149" outlineLevel="1">
      <c r="A527" s="29" t="str">
        <f t="shared" ref="A527:A561" si="340">E527&amp;F527</f>
        <v>modesg_out_emss_vclsn.a.</v>
      </c>
      <c r="B527" s="67" t="s">
        <v>26</v>
      </c>
      <c r="C527" s="68" t="s">
        <v>310</v>
      </c>
      <c r="D527" s="64" t="s">
        <v>36</v>
      </c>
      <c r="E527" s="66" t="s">
        <v>331</v>
      </c>
      <c r="F527" s="64" t="s">
        <v>38</v>
      </c>
      <c r="G527" s="64" t="str">
        <f>INDEX(Auxiliar!$B$16:$B$24,MATCH(Plano_V3!H527,Auxiliar!$C$16:$C$24,0),1)</f>
        <v>1. Concluído</v>
      </c>
      <c r="H527" s="64">
        <f>VLOOKUP(A527,'Aux - pivots1'!$A:$B,2,0)</f>
        <v>1</v>
      </c>
      <c r="I527" s="180">
        <f>SUMIFS(Table1[Estimação (horas)],Table1[Tabela],Plano_V3!E527,Table1[Campo],Plano_V3!F527)</f>
        <v>8</v>
      </c>
      <c r="J527" s="180">
        <f t="shared" si="330"/>
        <v>1</v>
      </c>
      <c r="K527" s="180">
        <f>SUMIFS(Table1[Horas efetivas],Table1[Tabela],Plano_V3!E527,Table1[Campo],Plano_V3!F527)</f>
        <v>8</v>
      </c>
      <c r="L527" s="180">
        <f t="shared" si="331"/>
        <v>1</v>
      </c>
      <c r="M527" s="174"/>
      <c r="N527" s="174">
        <f t="shared" si="332"/>
        <v>1</v>
      </c>
      <c r="O527" s="174">
        <f t="shared" si="338"/>
        <v>1</v>
      </c>
      <c r="P527" s="87" t="s">
        <v>332</v>
      </c>
      <c r="Q527" s="90">
        <f t="shared" si="339"/>
        <v>1</v>
      </c>
      <c r="R527" s="78"/>
      <c r="S527" s="78"/>
      <c r="T527" s="78"/>
      <c r="U527" s="78"/>
      <c r="V527" s="78"/>
      <c r="W527" s="78"/>
      <c r="X527" s="78"/>
      <c r="Y527" s="78"/>
      <c r="Z527" s="78"/>
      <c r="AA527" s="78"/>
      <c r="AB527" s="78"/>
      <c r="AC527" s="78"/>
      <c r="AD527" s="78"/>
      <c r="AE527" s="78"/>
      <c r="AF527" s="78"/>
      <c r="AG527" s="78"/>
      <c r="AH527" s="78"/>
      <c r="AI527" s="78"/>
      <c r="AJ527" s="78"/>
      <c r="AK527" s="78"/>
      <c r="AL527" s="78"/>
      <c r="AM527" s="78"/>
      <c r="AN527" s="78"/>
      <c r="AO527" s="78"/>
      <c r="AP527" s="78"/>
      <c r="AQ527" s="78"/>
      <c r="AR527" s="78"/>
      <c r="AS527" s="78"/>
      <c r="AT527" s="78"/>
      <c r="AU527" s="78"/>
      <c r="AV527" s="78"/>
      <c r="AW527" s="78"/>
      <c r="AX527" s="78"/>
      <c r="AY527" s="91"/>
      <c r="AZ527" s="78"/>
      <c r="BA527" s="78"/>
      <c r="BB527" s="78"/>
      <c r="BC527" s="78"/>
      <c r="BD527" s="78"/>
      <c r="BE527" s="78"/>
      <c r="BF527" s="78"/>
      <c r="BG527" s="78"/>
      <c r="BH527" s="78"/>
      <c r="BI527" s="78"/>
      <c r="BJ527" s="78"/>
      <c r="BK527" s="78"/>
      <c r="BL527" s="78"/>
      <c r="BM527" s="78"/>
      <c r="BN527" s="78"/>
      <c r="BO527" s="78"/>
      <c r="BP527" s="78"/>
      <c r="BQ527" s="78"/>
      <c r="BR527" s="78"/>
      <c r="BS527" s="78"/>
      <c r="BT527" s="78"/>
      <c r="BU527" s="78"/>
      <c r="BV527" s="78"/>
      <c r="BW527" s="78"/>
      <c r="BX527" s="78"/>
      <c r="BY527" s="78"/>
      <c r="BZ527" s="78"/>
      <c r="CA527" s="78"/>
      <c r="CB527" s="78"/>
      <c r="CC527" s="78"/>
      <c r="CD527" s="78"/>
      <c r="CE527" s="78"/>
      <c r="CF527" s="78"/>
      <c r="CG527" s="78"/>
      <c r="CH527" s="78"/>
      <c r="CI527" s="78"/>
      <c r="CJ527" s="78"/>
      <c r="CK527" s="78"/>
      <c r="CL527" s="78"/>
      <c r="CM527" s="78"/>
      <c r="CN527" s="78"/>
      <c r="CO527" s="78"/>
      <c r="CP527" s="78"/>
      <c r="CQ527" s="78"/>
      <c r="CR527" s="78"/>
      <c r="CS527" s="78"/>
      <c r="CT527" s="78"/>
      <c r="CU527" s="78"/>
      <c r="CV527" s="78"/>
      <c r="CW527" s="78"/>
      <c r="CX527" s="78"/>
      <c r="CY527" s="78"/>
      <c r="CZ527" s="78"/>
      <c r="DA527" s="78"/>
      <c r="DB527" s="78"/>
      <c r="DC527" s="78"/>
      <c r="DD527" s="78"/>
      <c r="DE527" s="78"/>
      <c r="DF527" s="78"/>
      <c r="DG527" s="78"/>
      <c r="DH527" s="78"/>
      <c r="DI527" s="78"/>
      <c r="DJ527" s="78"/>
      <c r="DK527" s="78"/>
      <c r="DL527" s="78"/>
      <c r="DM527" s="78"/>
      <c r="DN527" s="78"/>
      <c r="DO527" s="78"/>
      <c r="DP527" s="78"/>
      <c r="DQ527" s="78"/>
      <c r="DR527" s="78"/>
      <c r="DS527" s="78"/>
      <c r="DT527" s="78"/>
      <c r="DU527" s="78"/>
      <c r="DV527" s="78"/>
      <c r="DW527" s="78"/>
      <c r="DX527" s="78"/>
      <c r="DY527" s="78"/>
      <c r="DZ527" s="78"/>
      <c r="EA527" s="78"/>
      <c r="EB527" s="78"/>
      <c r="EC527" s="78"/>
      <c r="ED527" s="78"/>
      <c r="EE527" s="78"/>
      <c r="EF527" s="78"/>
      <c r="EG527" s="78"/>
      <c r="EH527" s="78"/>
      <c r="EI527" s="78"/>
      <c r="EJ527" s="78"/>
      <c r="EK527" s="78"/>
      <c r="EL527" s="78"/>
      <c r="EM527" s="78"/>
      <c r="EN527" s="91"/>
      <c r="EO527" s="91"/>
      <c r="EP527" s="91"/>
      <c r="EQ527" s="91"/>
      <c r="ER527" s="91"/>
      <c r="ES527" s="91"/>
    </row>
    <row r="528" spans="1:149" outlineLevel="1">
      <c r="A528" s="29" t="str">
        <f t="shared" si="340"/>
        <v>modesg_out_emss_vclscempbem</v>
      </c>
      <c r="B528" s="67" t="s">
        <v>26</v>
      </c>
      <c r="C528" s="68" t="s">
        <v>310</v>
      </c>
      <c r="D528" s="64" t="s">
        <v>40</v>
      </c>
      <c r="E528" s="66" t="s">
        <v>331</v>
      </c>
      <c r="F528" s="64" t="s">
        <v>313</v>
      </c>
      <c r="G528" s="64" t="str">
        <f>INDEX(Auxiliar!$B$16:$B$24,MATCH(Plano_V3!H528,Auxiliar!$C$16:$C$24,0),1)</f>
        <v>1. Concluído</v>
      </c>
      <c r="H528" s="64">
        <f>VLOOKUP(A528,'Aux - pivots1'!$A:$B,2,0)</f>
        <v>1</v>
      </c>
      <c r="I528" s="180">
        <f>SUMIFS(Table1[Estimação (horas)],Table1[Tabela],Plano_V3!E528,Table1[Campo],Plano_V3!F528)</f>
        <v>4.0999999999999996</v>
      </c>
      <c r="J528" s="180">
        <f t="shared" si="330"/>
        <v>0.51249999999999996</v>
      </c>
      <c r="K528" s="180">
        <f>SUMIFS(Table1[Horas efetivas],Table1[Tabela],Plano_V3!E528,Table1[Campo],Plano_V3!F528)</f>
        <v>4.0999999999999996</v>
      </c>
      <c r="L528" s="180">
        <f t="shared" si="331"/>
        <v>0.51249999999999996</v>
      </c>
      <c r="M528" s="174"/>
      <c r="N528" s="174">
        <f t="shared" si="332"/>
        <v>1</v>
      </c>
      <c r="O528" s="174">
        <f t="shared" si="338"/>
        <v>1</v>
      </c>
      <c r="P528" s="87" t="s">
        <v>332</v>
      </c>
      <c r="Q528" s="90">
        <f t="shared" si="339"/>
        <v>0.51249999999999996</v>
      </c>
      <c r="R528" s="78"/>
      <c r="S528" s="78"/>
      <c r="T528" s="78"/>
      <c r="U528" s="78"/>
      <c r="V528" s="78"/>
      <c r="W528" s="78"/>
      <c r="X528" s="78"/>
      <c r="Y528" s="78"/>
      <c r="Z528" s="78"/>
      <c r="AA528" s="78"/>
      <c r="AB528" s="78"/>
      <c r="AC528" s="78"/>
      <c r="AD528" s="78"/>
      <c r="AE528" s="78"/>
      <c r="AF528" s="78"/>
      <c r="AG528" s="78"/>
      <c r="AH528" s="78"/>
      <c r="AI528" s="78"/>
      <c r="AJ528" s="78"/>
      <c r="AK528" s="78"/>
      <c r="AL528" s="78"/>
      <c r="AM528" s="78"/>
      <c r="AN528" s="78"/>
      <c r="AO528" s="78"/>
      <c r="AP528" s="78"/>
      <c r="AQ528" s="78"/>
      <c r="AR528" s="78"/>
      <c r="AS528" s="78"/>
      <c r="AT528" s="78"/>
      <c r="AU528" s="78"/>
      <c r="AV528" s="78"/>
      <c r="AW528" s="78"/>
      <c r="AX528" s="78"/>
      <c r="AY528" s="91"/>
      <c r="AZ528" s="78"/>
      <c r="BA528" s="78"/>
      <c r="BB528" s="78"/>
      <c r="BC528" s="78"/>
      <c r="BD528" s="78"/>
      <c r="BE528" s="78"/>
      <c r="BF528" s="78"/>
      <c r="BG528" s="78"/>
      <c r="BH528" s="78"/>
      <c r="BI528" s="78"/>
      <c r="BJ528" s="78"/>
      <c r="BK528" s="78"/>
      <c r="BL528" s="78"/>
      <c r="BM528" s="78"/>
      <c r="BN528" s="78"/>
      <c r="BO528" s="78"/>
      <c r="BP528" s="78"/>
      <c r="BQ528" s="78"/>
      <c r="BR528" s="78"/>
      <c r="BS528" s="78"/>
      <c r="BT528" s="78"/>
      <c r="BU528" s="78"/>
      <c r="BV528" s="78"/>
      <c r="BW528" s="78"/>
      <c r="BX528" s="78"/>
      <c r="BY528" s="78"/>
      <c r="BZ528" s="78"/>
      <c r="CA528" s="78"/>
      <c r="CB528" s="78"/>
      <c r="CC528" s="78"/>
      <c r="CD528" s="78"/>
      <c r="CE528" s="78"/>
      <c r="CF528" s="78"/>
      <c r="CG528" s="78"/>
      <c r="CH528" s="78"/>
      <c r="CI528" s="78"/>
      <c r="CJ528" s="78"/>
      <c r="CK528" s="78"/>
      <c r="CL528" s="78"/>
      <c r="CM528" s="78"/>
      <c r="CN528" s="78"/>
      <c r="CO528" s="78"/>
      <c r="CP528" s="78"/>
      <c r="CQ528" s="78"/>
      <c r="CR528" s="78"/>
      <c r="CS528" s="78"/>
      <c r="CT528" s="78"/>
      <c r="CU528" s="78"/>
      <c r="CV528" s="78"/>
      <c r="CW528" s="78"/>
      <c r="CX528" s="78"/>
      <c r="CY528" s="78"/>
      <c r="CZ528" s="78"/>
      <c r="DA528" s="78"/>
      <c r="DB528" s="78"/>
      <c r="DC528" s="78"/>
      <c r="DD528" s="78"/>
      <c r="DE528" s="78"/>
      <c r="DF528" s="78"/>
      <c r="DG528" s="78"/>
      <c r="DH528" s="78"/>
      <c r="DI528" s="78"/>
      <c r="DJ528" s="78"/>
      <c r="DK528" s="78"/>
      <c r="DL528" s="78"/>
      <c r="DM528" s="78"/>
      <c r="DN528" s="78"/>
      <c r="DO528" s="78"/>
      <c r="DP528" s="78"/>
      <c r="DQ528" s="78"/>
      <c r="DR528" s="78"/>
      <c r="DS528" s="78"/>
      <c r="DT528" s="78"/>
      <c r="DU528" s="78"/>
      <c r="DV528" s="78"/>
      <c r="DW528" s="78"/>
      <c r="DX528" s="78"/>
      <c r="DY528" s="78"/>
      <c r="DZ528" s="78"/>
      <c r="EA528" s="78"/>
      <c r="EB528" s="78"/>
      <c r="EC528" s="78"/>
      <c r="ED528" s="78"/>
      <c r="EE528" s="78"/>
      <c r="EF528" s="78"/>
      <c r="EG528" s="78"/>
      <c r="EH528" s="78"/>
      <c r="EI528" s="78"/>
      <c r="EJ528" s="78"/>
      <c r="EK528" s="78"/>
      <c r="EL528" s="78"/>
      <c r="EM528" s="78"/>
      <c r="EN528" s="91"/>
      <c r="EO528" s="91"/>
      <c r="EP528" s="91"/>
      <c r="EQ528" s="91"/>
      <c r="ER528" s="91"/>
      <c r="ES528" s="91"/>
    </row>
    <row r="529" spans="1:149" outlineLevel="1">
      <c r="A529" s="29" t="str">
        <f t="shared" si="340"/>
        <v>modesg_out_emss_vclsckbalbem</v>
      </c>
      <c r="B529" s="67" t="s">
        <v>26</v>
      </c>
      <c r="C529" s="68" t="s">
        <v>310</v>
      </c>
      <c r="D529" s="64" t="s">
        <v>40</v>
      </c>
      <c r="E529" s="66" t="s">
        <v>331</v>
      </c>
      <c r="F529" s="64" t="s">
        <v>314</v>
      </c>
      <c r="G529" s="64" t="str">
        <f>INDEX(Auxiliar!$B$16:$B$24,MATCH(Plano_V3!H529,Auxiliar!$C$16:$C$24,0),1)</f>
        <v>1. Concluído</v>
      </c>
      <c r="H529" s="64">
        <f>VLOOKUP(A529,'Aux - pivots1'!$A:$B,2,0)</f>
        <v>1</v>
      </c>
      <c r="I529" s="180">
        <f>SUMIFS(Table1[Estimação (horas)],Table1[Tabela],Plano_V3!E529,Table1[Campo],Plano_V3!F529)</f>
        <v>4.0999999999999996</v>
      </c>
      <c r="J529" s="180">
        <f t="shared" si="330"/>
        <v>0.51249999999999996</v>
      </c>
      <c r="K529" s="180">
        <f>SUMIFS(Table1[Horas efetivas],Table1[Tabela],Plano_V3!E529,Table1[Campo],Plano_V3!F529)</f>
        <v>4.0999999999999996</v>
      </c>
      <c r="L529" s="180">
        <f t="shared" si="331"/>
        <v>0.51249999999999996</v>
      </c>
      <c r="M529" s="174"/>
      <c r="N529" s="174">
        <f t="shared" si="332"/>
        <v>1</v>
      </c>
      <c r="O529" s="174">
        <f t="shared" si="338"/>
        <v>1</v>
      </c>
      <c r="P529" s="87" t="s">
        <v>332</v>
      </c>
      <c r="Q529" s="90">
        <f t="shared" si="339"/>
        <v>0.51249999999999996</v>
      </c>
      <c r="R529" s="78"/>
      <c r="S529" s="78"/>
      <c r="T529" s="78"/>
      <c r="U529" s="78"/>
      <c r="V529" s="78"/>
      <c r="W529" s="78"/>
      <c r="X529" s="78"/>
      <c r="Y529" s="78"/>
      <c r="Z529" s="78"/>
      <c r="AA529" s="78"/>
      <c r="AB529" s="78"/>
      <c r="AC529" s="78"/>
      <c r="AD529" s="78"/>
      <c r="AE529" s="78"/>
      <c r="AF529" s="78"/>
      <c r="AG529" s="78"/>
      <c r="AH529" s="78"/>
      <c r="AI529" s="78"/>
      <c r="AJ529" s="78"/>
      <c r="AK529" s="78"/>
      <c r="AL529" s="78"/>
      <c r="AM529" s="78"/>
      <c r="AN529" s="78"/>
      <c r="AO529" s="78"/>
      <c r="AP529" s="78"/>
      <c r="AQ529" s="78"/>
      <c r="AR529" s="78"/>
      <c r="AS529" s="78"/>
      <c r="AT529" s="78"/>
      <c r="AU529" s="78"/>
      <c r="AV529" s="78"/>
      <c r="AW529" s="78"/>
      <c r="AX529" s="78"/>
      <c r="AY529" s="91"/>
      <c r="AZ529" s="78"/>
      <c r="BA529" s="78"/>
      <c r="BB529" s="78"/>
      <c r="BC529" s="78"/>
      <c r="BD529" s="78"/>
      <c r="BE529" s="78"/>
      <c r="BF529" s="78"/>
      <c r="BG529" s="78"/>
      <c r="BH529" s="78"/>
      <c r="BI529" s="78"/>
      <c r="BJ529" s="78"/>
      <c r="BK529" s="78"/>
      <c r="BL529" s="78"/>
      <c r="BM529" s="78"/>
      <c r="BN529" s="78"/>
      <c r="BO529" s="78"/>
      <c r="BP529" s="78"/>
      <c r="BQ529" s="78"/>
      <c r="BR529" s="78"/>
      <c r="BS529" s="78"/>
      <c r="BT529" s="78"/>
      <c r="BU529" s="78"/>
      <c r="BV529" s="78"/>
      <c r="BW529" s="78"/>
      <c r="BX529" s="78"/>
      <c r="BY529" s="78"/>
      <c r="BZ529" s="78"/>
      <c r="CA529" s="78"/>
      <c r="CB529" s="78"/>
      <c r="CC529" s="78"/>
      <c r="CD529" s="78"/>
      <c r="CE529" s="78"/>
      <c r="CF529" s="78"/>
      <c r="CG529" s="78"/>
      <c r="CH529" s="78"/>
      <c r="CI529" s="78"/>
      <c r="CJ529" s="78"/>
      <c r="CK529" s="78"/>
      <c r="CL529" s="78"/>
      <c r="CM529" s="78"/>
      <c r="CN529" s="78"/>
      <c r="CO529" s="78"/>
      <c r="CP529" s="78"/>
      <c r="CQ529" s="78"/>
      <c r="CR529" s="78"/>
      <c r="CS529" s="78"/>
      <c r="CT529" s="78"/>
      <c r="CU529" s="78"/>
      <c r="CV529" s="78"/>
      <c r="CW529" s="78"/>
      <c r="CX529" s="78"/>
      <c r="CY529" s="78"/>
      <c r="CZ529" s="78"/>
      <c r="DA529" s="78"/>
      <c r="DB529" s="78"/>
      <c r="DC529" s="78"/>
      <c r="DD529" s="78"/>
      <c r="DE529" s="78"/>
      <c r="DF529" s="78"/>
      <c r="DG529" s="78"/>
      <c r="DH529" s="78"/>
      <c r="DI529" s="78"/>
      <c r="DJ529" s="78"/>
      <c r="DK529" s="78"/>
      <c r="DL529" s="78"/>
      <c r="DM529" s="78"/>
      <c r="DN529" s="78"/>
      <c r="DO529" s="78"/>
      <c r="DP529" s="78"/>
      <c r="DQ529" s="78"/>
      <c r="DR529" s="78"/>
      <c r="DS529" s="78"/>
      <c r="DT529" s="78"/>
      <c r="DU529" s="78"/>
      <c r="DV529" s="78"/>
      <c r="DW529" s="78"/>
      <c r="DX529" s="78"/>
      <c r="DY529" s="78"/>
      <c r="DZ529" s="78"/>
      <c r="EA529" s="78"/>
      <c r="EB529" s="78"/>
      <c r="EC529" s="78"/>
      <c r="ED529" s="78"/>
      <c r="EE529" s="78"/>
      <c r="EF529" s="78"/>
      <c r="EG529" s="78"/>
      <c r="EH529" s="78"/>
      <c r="EI529" s="78"/>
      <c r="EJ529" s="78"/>
      <c r="EK529" s="78"/>
      <c r="EL529" s="78"/>
      <c r="EM529" s="78"/>
      <c r="EN529" s="91"/>
      <c r="EO529" s="91"/>
      <c r="EP529" s="91"/>
      <c r="EQ529" s="91"/>
      <c r="ER529" s="91"/>
      <c r="ES529" s="91"/>
    </row>
    <row r="530" spans="1:149" outlineLevel="1">
      <c r="A530" s="29" t="str">
        <f t="shared" si="340"/>
        <v>modesg_out_emss_vclsckctabem</v>
      </c>
      <c r="B530" s="67" t="s">
        <v>26</v>
      </c>
      <c r="C530" s="68" t="s">
        <v>310</v>
      </c>
      <c r="D530" s="64" t="s">
        <v>40</v>
      </c>
      <c r="E530" s="66" t="s">
        <v>331</v>
      </c>
      <c r="F530" s="64" t="s">
        <v>315</v>
      </c>
      <c r="G530" s="64" t="str">
        <f>INDEX(Auxiliar!$B$16:$B$24,MATCH(Plano_V3!H530,Auxiliar!$C$16:$C$24,0),1)</f>
        <v>1. Concluído</v>
      </c>
      <c r="H530" s="64">
        <f>VLOOKUP(A530,'Aux - pivots1'!$A:$B,2,0)</f>
        <v>1</v>
      </c>
      <c r="I530" s="180">
        <f>SUMIFS(Table1[Estimação (horas)],Table1[Tabela],Plano_V3!E530,Table1[Campo],Plano_V3!F530)</f>
        <v>4.0999999999999996</v>
      </c>
      <c r="J530" s="180">
        <f t="shared" si="330"/>
        <v>0.51249999999999996</v>
      </c>
      <c r="K530" s="180">
        <f>SUMIFS(Table1[Horas efetivas],Table1[Tabela],Plano_V3!E530,Table1[Campo],Plano_V3!F530)</f>
        <v>4.0999999999999996</v>
      </c>
      <c r="L530" s="180">
        <f t="shared" si="331"/>
        <v>0.51249999999999996</v>
      </c>
      <c r="M530" s="174"/>
      <c r="N530" s="174">
        <f t="shared" si="332"/>
        <v>1</v>
      </c>
      <c r="O530" s="174">
        <f t="shared" si="338"/>
        <v>1</v>
      </c>
      <c r="P530" s="87" t="s">
        <v>332</v>
      </c>
      <c r="Q530" s="90">
        <f t="shared" si="339"/>
        <v>0.51249999999999996</v>
      </c>
      <c r="R530" s="78"/>
      <c r="S530" s="78"/>
      <c r="T530" s="78"/>
      <c r="U530" s="78"/>
      <c r="V530" s="78"/>
      <c r="W530" s="78"/>
      <c r="X530" s="78"/>
      <c r="Y530" s="78"/>
      <c r="Z530" s="78"/>
      <c r="AA530" s="78"/>
      <c r="AB530" s="78"/>
      <c r="AC530" s="78"/>
      <c r="AD530" s="78"/>
      <c r="AE530" s="78"/>
      <c r="AF530" s="78"/>
      <c r="AG530" s="78"/>
      <c r="AH530" s="78"/>
      <c r="AI530" s="78"/>
      <c r="AJ530" s="78"/>
      <c r="AK530" s="78"/>
      <c r="AL530" s="78"/>
      <c r="AM530" s="78"/>
      <c r="AN530" s="78"/>
      <c r="AO530" s="78"/>
      <c r="AP530" s="78"/>
      <c r="AQ530" s="78"/>
      <c r="AR530" s="78"/>
      <c r="AS530" s="78"/>
      <c r="AT530" s="78"/>
      <c r="AU530" s="78"/>
      <c r="AV530" s="78"/>
      <c r="AW530" s="78"/>
      <c r="AX530" s="78"/>
      <c r="AY530" s="91"/>
      <c r="AZ530" s="78"/>
      <c r="BA530" s="78"/>
      <c r="BB530" s="78"/>
      <c r="BC530" s="78"/>
      <c r="BD530" s="78"/>
      <c r="BE530" s="78"/>
      <c r="BF530" s="78"/>
      <c r="BG530" s="78"/>
      <c r="BH530" s="78"/>
      <c r="BI530" s="78"/>
      <c r="BJ530" s="78"/>
      <c r="BK530" s="78"/>
      <c r="BL530" s="78"/>
      <c r="BM530" s="78"/>
      <c r="BN530" s="78"/>
      <c r="BO530" s="78"/>
      <c r="BP530" s="78"/>
      <c r="BQ530" s="78"/>
      <c r="BR530" s="78"/>
      <c r="BS530" s="78"/>
      <c r="BT530" s="78"/>
      <c r="BU530" s="78"/>
      <c r="BV530" s="78"/>
      <c r="BW530" s="78"/>
      <c r="BX530" s="78"/>
      <c r="BY530" s="78"/>
      <c r="BZ530" s="78"/>
      <c r="CA530" s="78"/>
      <c r="CB530" s="78"/>
      <c r="CC530" s="78"/>
      <c r="CD530" s="78"/>
      <c r="CE530" s="78"/>
      <c r="CF530" s="78"/>
      <c r="CG530" s="78"/>
      <c r="CH530" s="78"/>
      <c r="CI530" s="78"/>
      <c r="CJ530" s="78"/>
      <c r="CK530" s="78"/>
      <c r="CL530" s="78"/>
      <c r="CM530" s="78"/>
      <c r="CN530" s="78"/>
      <c r="CO530" s="78"/>
      <c r="CP530" s="78"/>
      <c r="CQ530" s="78"/>
      <c r="CR530" s="78"/>
      <c r="CS530" s="78"/>
      <c r="CT530" s="78"/>
      <c r="CU530" s="78"/>
      <c r="CV530" s="78"/>
      <c r="CW530" s="78"/>
      <c r="CX530" s="78"/>
      <c r="CY530" s="78"/>
      <c r="CZ530" s="78"/>
      <c r="DA530" s="78"/>
      <c r="DB530" s="78"/>
      <c r="DC530" s="78"/>
      <c r="DD530" s="78"/>
      <c r="DE530" s="78"/>
      <c r="DF530" s="78"/>
      <c r="DG530" s="78"/>
      <c r="DH530" s="78"/>
      <c r="DI530" s="78"/>
      <c r="DJ530" s="78"/>
      <c r="DK530" s="78"/>
      <c r="DL530" s="78"/>
      <c r="DM530" s="78"/>
      <c r="DN530" s="78"/>
      <c r="DO530" s="78"/>
      <c r="DP530" s="78"/>
      <c r="DQ530" s="78"/>
      <c r="DR530" s="78"/>
      <c r="DS530" s="78"/>
      <c r="DT530" s="78"/>
      <c r="DU530" s="78"/>
      <c r="DV530" s="78"/>
      <c r="DW530" s="78"/>
      <c r="DX530" s="78"/>
      <c r="DY530" s="78"/>
      <c r="DZ530" s="78"/>
      <c r="EA530" s="78"/>
      <c r="EB530" s="78"/>
      <c r="EC530" s="78"/>
      <c r="ED530" s="78"/>
      <c r="EE530" s="78"/>
      <c r="EF530" s="78"/>
      <c r="EG530" s="78"/>
      <c r="EH530" s="78"/>
      <c r="EI530" s="78"/>
      <c r="EJ530" s="78"/>
      <c r="EK530" s="78"/>
      <c r="EL530" s="78"/>
      <c r="EM530" s="78"/>
      <c r="EN530" s="91"/>
      <c r="EO530" s="91"/>
      <c r="EP530" s="91"/>
      <c r="EQ530" s="91"/>
      <c r="ER530" s="91"/>
      <c r="ES530" s="91"/>
    </row>
    <row r="531" spans="1:149" outlineLevel="1">
      <c r="A531" s="29" t="str">
        <f t="shared" si="340"/>
        <v>modesg_out_emss_vclsckrefbem</v>
      </c>
      <c r="B531" s="67" t="s">
        <v>26</v>
      </c>
      <c r="C531" s="68" t="s">
        <v>310</v>
      </c>
      <c r="D531" s="64" t="s">
        <v>40</v>
      </c>
      <c r="E531" s="66" t="s">
        <v>331</v>
      </c>
      <c r="F531" s="64" t="s">
        <v>316</v>
      </c>
      <c r="G531" s="64" t="str">
        <f>INDEX(Auxiliar!$B$16:$B$24,MATCH(Plano_V3!H531,Auxiliar!$C$16:$C$24,0),1)</f>
        <v>1. Concluído</v>
      </c>
      <c r="H531" s="64">
        <f>VLOOKUP(A531,'Aux - pivots1'!$A:$B,2,0)</f>
        <v>1</v>
      </c>
      <c r="I531" s="180">
        <f>SUMIFS(Table1[Estimação (horas)],Table1[Tabela],Plano_V3!E531,Table1[Campo],Plano_V3!F531)</f>
        <v>4.0999999999999996</v>
      </c>
      <c r="J531" s="180">
        <f t="shared" si="330"/>
        <v>0.51249999999999996</v>
      </c>
      <c r="K531" s="180">
        <f>SUMIFS(Table1[Horas efetivas],Table1[Tabela],Plano_V3!E531,Table1[Campo],Plano_V3!F531)</f>
        <v>4.0999999999999996</v>
      </c>
      <c r="L531" s="180">
        <f t="shared" si="331"/>
        <v>0.51249999999999996</v>
      </c>
      <c r="M531" s="174"/>
      <c r="N531" s="174">
        <f t="shared" si="332"/>
        <v>1</v>
      </c>
      <c r="O531" s="174">
        <f t="shared" si="338"/>
        <v>1</v>
      </c>
      <c r="P531" s="87" t="s">
        <v>332</v>
      </c>
      <c r="Q531" s="90">
        <f t="shared" si="339"/>
        <v>0.51249999999999996</v>
      </c>
      <c r="R531" s="78"/>
      <c r="S531" s="78"/>
      <c r="T531" s="78"/>
      <c r="U531" s="78"/>
      <c r="V531" s="78"/>
      <c r="W531" s="78"/>
      <c r="X531" s="78"/>
      <c r="Y531" s="78"/>
      <c r="Z531" s="78"/>
      <c r="AA531" s="78"/>
      <c r="AB531" s="78"/>
      <c r="AC531" s="78"/>
      <c r="AD531" s="78"/>
      <c r="AE531" s="78"/>
      <c r="AF531" s="78"/>
      <c r="AG531" s="78"/>
      <c r="AH531" s="78"/>
      <c r="AI531" s="78"/>
      <c r="AJ531" s="78"/>
      <c r="AK531" s="78"/>
      <c r="AL531" s="78"/>
      <c r="AM531" s="78"/>
      <c r="AN531" s="78"/>
      <c r="AO531" s="78"/>
      <c r="AP531" s="78"/>
      <c r="AQ531" s="78"/>
      <c r="AR531" s="78"/>
      <c r="AS531" s="78"/>
      <c r="AT531" s="78"/>
      <c r="AU531" s="78"/>
      <c r="AV531" s="78"/>
      <c r="AW531" s="78"/>
      <c r="AX531" s="78"/>
      <c r="AY531" s="91"/>
      <c r="AZ531" s="78"/>
      <c r="BA531" s="78"/>
      <c r="BB531" s="78"/>
      <c r="BC531" s="78"/>
      <c r="BD531" s="78"/>
      <c r="BE531" s="78"/>
      <c r="BF531" s="78"/>
      <c r="BG531" s="78"/>
      <c r="BH531" s="78"/>
      <c r="BI531" s="78"/>
      <c r="BJ531" s="78"/>
      <c r="BK531" s="78"/>
      <c r="BL531" s="78"/>
      <c r="BM531" s="78"/>
      <c r="BN531" s="78"/>
      <c r="BO531" s="78"/>
      <c r="BP531" s="78"/>
      <c r="BQ531" s="78"/>
      <c r="BR531" s="78"/>
      <c r="BS531" s="78"/>
      <c r="BT531" s="78"/>
      <c r="BU531" s="78"/>
      <c r="BV531" s="78"/>
      <c r="BW531" s="78"/>
      <c r="BX531" s="78"/>
      <c r="BY531" s="78"/>
      <c r="BZ531" s="78"/>
      <c r="CA531" s="78"/>
      <c r="CB531" s="78"/>
      <c r="CC531" s="78"/>
      <c r="CD531" s="78"/>
      <c r="CE531" s="78"/>
      <c r="CF531" s="78"/>
      <c r="CG531" s="78"/>
      <c r="CH531" s="78"/>
      <c r="CI531" s="78"/>
      <c r="CJ531" s="78"/>
      <c r="CK531" s="78"/>
      <c r="CL531" s="78"/>
      <c r="CM531" s="78"/>
      <c r="CN531" s="78"/>
      <c r="CO531" s="78"/>
      <c r="CP531" s="78"/>
      <c r="CQ531" s="78"/>
      <c r="CR531" s="78"/>
      <c r="CS531" s="78"/>
      <c r="CT531" s="78"/>
      <c r="CU531" s="78"/>
      <c r="CV531" s="78"/>
      <c r="CW531" s="78"/>
      <c r="CX531" s="78"/>
      <c r="CY531" s="78"/>
      <c r="CZ531" s="78"/>
      <c r="DA531" s="78"/>
      <c r="DB531" s="78"/>
      <c r="DC531" s="78"/>
      <c r="DD531" s="78"/>
      <c r="DE531" s="78"/>
      <c r="DF531" s="78"/>
      <c r="DG531" s="78"/>
      <c r="DH531" s="78"/>
      <c r="DI531" s="78"/>
      <c r="DJ531" s="78"/>
      <c r="DK531" s="78"/>
      <c r="DL531" s="78"/>
      <c r="DM531" s="78"/>
      <c r="DN531" s="78"/>
      <c r="DO531" s="78"/>
      <c r="DP531" s="78"/>
      <c r="DQ531" s="78"/>
      <c r="DR531" s="78"/>
      <c r="DS531" s="78"/>
      <c r="DT531" s="78"/>
      <c r="DU531" s="78"/>
      <c r="DV531" s="78"/>
      <c r="DW531" s="78"/>
      <c r="DX531" s="78"/>
      <c r="DY531" s="78"/>
      <c r="DZ531" s="78"/>
      <c r="EA531" s="78"/>
      <c r="EB531" s="78"/>
      <c r="EC531" s="78"/>
      <c r="ED531" s="78"/>
      <c r="EE531" s="78"/>
      <c r="EF531" s="78"/>
      <c r="EG531" s="78"/>
      <c r="EH531" s="78"/>
      <c r="EI531" s="78"/>
      <c r="EJ531" s="78"/>
      <c r="EK531" s="78"/>
      <c r="EL531" s="78"/>
      <c r="EM531" s="78"/>
      <c r="EN531" s="91"/>
      <c r="EO531" s="91"/>
      <c r="EP531" s="91"/>
      <c r="EQ531" s="91"/>
      <c r="ER531" s="91"/>
      <c r="ES531" s="91"/>
    </row>
    <row r="532" spans="1:149" outlineLevel="1">
      <c r="A532" s="29" t="str">
        <f t="shared" si="340"/>
        <v>modesg_out_emss_vclscnsm_co2</v>
      </c>
      <c r="B532" s="67" t="s">
        <v>26</v>
      </c>
      <c r="C532" s="68" t="s">
        <v>310</v>
      </c>
      <c r="D532" s="64" t="s">
        <v>40</v>
      </c>
      <c r="E532" s="66" t="s">
        <v>331</v>
      </c>
      <c r="F532" s="64" t="s">
        <v>188</v>
      </c>
      <c r="G532" s="64" t="str">
        <f>INDEX(Auxiliar!$B$16:$B$24,MATCH(Plano_V3!H532,Auxiliar!$C$16:$C$24,0),1)</f>
        <v>1. Concluído</v>
      </c>
      <c r="H532" s="64">
        <f>VLOOKUP(A532,'Aux - pivots1'!$A:$B,2,0)</f>
        <v>1</v>
      </c>
      <c r="I532" s="180">
        <f>SUMIFS(Table1[Estimação (horas)],Table1[Tabela],Plano_V3!E532,Table1[Campo],Plano_V3!F532)</f>
        <v>8.1</v>
      </c>
      <c r="J532" s="180">
        <f t="shared" si="330"/>
        <v>1.0125</v>
      </c>
      <c r="K532" s="180">
        <f>SUMIFS(Table1[Horas efetivas],Table1[Tabela],Plano_V3!E532,Table1[Campo],Plano_V3!F532)</f>
        <v>8.1</v>
      </c>
      <c r="L532" s="180">
        <f t="shared" si="331"/>
        <v>1.0125</v>
      </c>
      <c r="M532" s="174"/>
      <c r="N532" s="174">
        <f t="shared" si="332"/>
        <v>1</v>
      </c>
      <c r="O532" s="174">
        <f t="shared" si="338"/>
        <v>1</v>
      </c>
      <c r="P532" s="87" t="s">
        <v>332</v>
      </c>
      <c r="Q532" s="90">
        <f t="shared" si="339"/>
        <v>1.0125</v>
      </c>
      <c r="R532" s="78"/>
      <c r="S532" s="78"/>
      <c r="T532" s="78"/>
      <c r="U532" s="78"/>
      <c r="V532" s="78"/>
      <c r="W532" s="78"/>
      <c r="X532" s="78"/>
      <c r="Y532" s="78"/>
      <c r="Z532" s="78"/>
      <c r="AA532" s="78"/>
      <c r="AB532" s="78"/>
      <c r="AC532" s="78"/>
      <c r="AD532" s="78"/>
      <c r="AE532" s="78"/>
      <c r="AF532" s="78"/>
      <c r="AG532" s="78"/>
      <c r="AH532" s="78"/>
      <c r="AI532" s="78"/>
      <c r="AJ532" s="78"/>
      <c r="AK532" s="78"/>
      <c r="AL532" s="78"/>
      <c r="AM532" s="78"/>
      <c r="AN532" s="78"/>
      <c r="AO532" s="78"/>
      <c r="AP532" s="78"/>
      <c r="AQ532" s="78"/>
      <c r="AR532" s="78"/>
      <c r="AS532" s="78"/>
      <c r="AT532" s="78"/>
      <c r="AU532" s="78"/>
      <c r="AV532" s="78"/>
      <c r="AW532" s="78"/>
      <c r="AX532" s="78"/>
      <c r="AY532" s="91"/>
      <c r="AZ532" s="78"/>
      <c r="BA532" s="78"/>
      <c r="BB532" s="78"/>
      <c r="BC532" s="78"/>
      <c r="BD532" s="78"/>
      <c r="BE532" s="78"/>
      <c r="BF532" s="78"/>
      <c r="BG532" s="78"/>
      <c r="BH532" s="78"/>
      <c r="BI532" s="78"/>
      <c r="BJ532" s="78"/>
      <c r="BK532" s="78"/>
      <c r="BL532" s="78"/>
      <c r="BM532" s="78"/>
      <c r="BN532" s="78"/>
      <c r="BO532" s="78"/>
      <c r="BP532" s="78"/>
      <c r="BQ532" s="78"/>
      <c r="BR532" s="78"/>
      <c r="BS532" s="78"/>
      <c r="BT532" s="78"/>
      <c r="BU532" s="78"/>
      <c r="BV532" s="78"/>
      <c r="BW532" s="78"/>
      <c r="BX532" s="78"/>
      <c r="BY532" s="78"/>
      <c r="BZ532" s="78"/>
      <c r="CA532" s="78"/>
      <c r="CB532" s="78"/>
      <c r="CC532" s="78"/>
      <c r="CD532" s="78"/>
      <c r="CE532" s="78"/>
      <c r="CF532" s="78"/>
      <c r="CG532" s="78"/>
      <c r="CH532" s="78"/>
      <c r="CI532" s="78"/>
      <c r="CJ532" s="78"/>
      <c r="CK532" s="78"/>
      <c r="CL532" s="78"/>
      <c r="CM532" s="78"/>
      <c r="CN532" s="78"/>
      <c r="CO532" s="78"/>
      <c r="CP532" s="78"/>
      <c r="CQ532" s="78"/>
      <c r="CR532" s="78"/>
      <c r="CS532" s="78"/>
      <c r="CT532" s="78"/>
      <c r="CU532" s="78"/>
      <c r="CV532" s="78"/>
      <c r="CW532" s="78"/>
      <c r="CX532" s="78"/>
      <c r="CY532" s="78"/>
      <c r="CZ532" s="78"/>
      <c r="DA532" s="78"/>
      <c r="DB532" s="78"/>
      <c r="DC532" s="78"/>
      <c r="DD532" s="78"/>
      <c r="DE532" s="78"/>
      <c r="DF532" s="78"/>
      <c r="DG532" s="78"/>
      <c r="DH532" s="78"/>
      <c r="DI532" s="78"/>
      <c r="DJ532" s="78"/>
      <c r="DK532" s="78"/>
      <c r="DL532" s="78"/>
      <c r="DM532" s="78"/>
      <c r="DN532" s="78"/>
      <c r="DO532" s="78"/>
      <c r="DP532" s="78"/>
      <c r="DQ532" s="78"/>
      <c r="DR532" s="78"/>
      <c r="DS532" s="78"/>
      <c r="DT532" s="78"/>
      <c r="DU532" s="78"/>
      <c r="DV532" s="78"/>
      <c r="DW532" s="78"/>
      <c r="DX532" s="78"/>
      <c r="DY532" s="78"/>
      <c r="DZ532" s="78"/>
      <c r="EA532" s="78"/>
      <c r="EB532" s="78"/>
      <c r="EC532" s="78"/>
      <c r="ED532" s="78"/>
      <c r="EE532" s="78"/>
      <c r="EF532" s="78"/>
      <c r="EG532" s="78"/>
      <c r="EH532" s="78"/>
      <c r="EI532" s="78"/>
      <c r="EJ532" s="78"/>
      <c r="EK532" s="78"/>
      <c r="EL532" s="78"/>
      <c r="EM532" s="78"/>
      <c r="EN532" s="91"/>
      <c r="EO532" s="91"/>
      <c r="EP532" s="91"/>
      <c r="EQ532" s="91"/>
      <c r="ER532" s="91"/>
      <c r="ES532" s="91"/>
    </row>
    <row r="533" spans="1:149" outlineLevel="1">
      <c r="A533" s="29" t="str">
        <f t="shared" si="340"/>
        <v>modesg_out_emss_vclsorigem_scp1_emss</v>
      </c>
      <c r="B533" s="67" t="s">
        <v>26</v>
      </c>
      <c r="C533" s="68" t="s">
        <v>310</v>
      </c>
      <c r="D533" s="64" t="s">
        <v>40</v>
      </c>
      <c r="E533" s="66" t="s">
        <v>331</v>
      </c>
      <c r="F533" s="64" t="s">
        <v>319</v>
      </c>
      <c r="G533" s="64" t="str">
        <f>INDEX(Auxiliar!$B$16:$B$24,MATCH(Plano_V3!H533,Auxiliar!$C$16:$C$24,0),1)</f>
        <v>1. Concluído</v>
      </c>
      <c r="H533" s="64">
        <f>VLOOKUP(A533,'Aux - pivots1'!$A:$B,2,0)</f>
        <v>1</v>
      </c>
      <c r="I533" s="180">
        <f>SUMIFS(Table1[Estimação (horas)],Table1[Tabela],Plano_V3!E533,Table1[Campo],Plano_V3!F533)</f>
        <v>8.1</v>
      </c>
      <c r="J533" s="180">
        <f t="shared" si="330"/>
        <v>1.0125</v>
      </c>
      <c r="K533" s="180">
        <f>SUMIFS(Table1[Horas efetivas],Table1[Tabela],Plano_V3!E533,Table1[Campo],Plano_V3!F533)</f>
        <v>8.1</v>
      </c>
      <c r="L533" s="180">
        <f t="shared" si="331"/>
        <v>1.0125</v>
      </c>
      <c r="M533" s="174"/>
      <c r="N533" s="174">
        <f t="shared" si="332"/>
        <v>1</v>
      </c>
      <c r="O533" s="174">
        <f t="shared" si="338"/>
        <v>1</v>
      </c>
      <c r="P533" s="87" t="s">
        <v>332</v>
      </c>
      <c r="Q533" s="90">
        <f t="shared" si="339"/>
        <v>1.0125</v>
      </c>
      <c r="R533" s="78"/>
      <c r="S533" s="78"/>
      <c r="T533" s="78"/>
      <c r="U533" s="78"/>
      <c r="V533" s="78"/>
      <c r="W533" s="78"/>
      <c r="X533" s="78"/>
      <c r="Y533" s="78"/>
      <c r="Z533" s="78"/>
      <c r="AA533" s="78"/>
      <c r="AB533" s="78"/>
      <c r="AC533" s="78"/>
      <c r="AD533" s="78"/>
      <c r="AE533" s="78"/>
      <c r="AF533" s="78"/>
      <c r="AG533" s="78"/>
      <c r="AH533" s="78"/>
      <c r="AI533" s="78"/>
      <c r="AJ533" s="78"/>
      <c r="AK533" s="78"/>
      <c r="AL533" s="78"/>
      <c r="AM533" s="78"/>
      <c r="AN533" s="78"/>
      <c r="AO533" s="78"/>
      <c r="AP533" s="78"/>
      <c r="AQ533" s="78"/>
      <c r="AR533" s="78"/>
      <c r="AS533" s="78"/>
      <c r="AT533" s="78"/>
      <c r="AU533" s="78"/>
      <c r="AV533" s="78"/>
      <c r="AW533" s="78"/>
      <c r="AX533" s="78"/>
      <c r="AY533" s="91"/>
      <c r="AZ533" s="78"/>
      <c r="BA533" s="78"/>
      <c r="BB533" s="78"/>
      <c r="BC533" s="78"/>
      <c r="BD533" s="78"/>
      <c r="BE533" s="78"/>
      <c r="BF533" s="78"/>
      <c r="BG533" s="78"/>
      <c r="BH533" s="78"/>
      <c r="BI533" s="78"/>
      <c r="BJ533" s="78"/>
      <c r="BK533" s="78"/>
      <c r="BL533" s="78"/>
      <c r="BM533" s="78"/>
      <c r="BN533" s="78"/>
      <c r="BO533" s="78"/>
      <c r="BP533" s="78"/>
      <c r="BQ533" s="78"/>
      <c r="BR533" s="78"/>
      <c r="BS533" s="78"/>
      <c r="BT533" s="78"/>
      <c r="BU533" s="78"/>
      <c r="BV533" s="78"/>
      <c r="BW533" s="78"/>
      <c r="BX533" s="78"/>
      <c r="BY533" s="78"/>
      <c r="BZ533" s="78"/>
      <c r="CA533" s="78"/>
      <c r="CB533" s="78"/>
      <c r="CC533" s="78"/>
      <c r="CD533" s="78"/>
      <c r="CE533" s="78"/>
      <c r="CF533" s="78"/>
      <c r="CG533" s="78"/>
      <c r="CH533" s="78"/>
      <c r="CI533" s="78"/>
      <c r="CJ533" s="78"/>
      <c r="CK533" s="78"/>
      <c r="CL533" s="78"/>
      <c r="CM533" s="78"/>
      <c r="CN533" s="78"/>
      <c r="CO533" s="78"/>
      <c r="CP533" s="78"/>
      <c r="CQ533" s="78"/>
      <c r="CR533" s="78"/>
      <c r="CS533" s="78"/>
      <c r="CT533" s="78"/>
      <c r="CU533" s="78"/>
      <c r="CV533" s="78"/>
      <c r="CW533" s="78"/>
      <c r="CX533" s="78"/>
      <c r="CY533" s="78"/>
      <c r="CZ533" s="78"/>
      <c r="DA533" s="78"/>
      <c r="DB533" s="78"/>
      <c r="DC533" s="78"/>
      <c r="DD533" s="78"/>
      <c r="DE533" s="78"/>
      <c r="DF533" s="78"/>
      <c r="DG533" s="78"/>
      <c r="DH533" s="78"/>
      <c r="DI533" s="78"/>
      <c r="DJ533" s="78"/>
      <c r="DK533" s="78"/>
      <c r="DL533" s="78"/>
      <c r="DM533" s="78"/>
      <c r="DN533" s="78"/>
      <c r="DO533" s="78"/>
      <c r="DP533" s="78"/>
      <c r="DQ533" s="78"/>
      <c r="DR533" s="78"/>
      <c r="DS533" s="78"/>
      <c r="DT533" s="78"/>
      <c r="DU533" s="78"/>
      <c r="DV533" s="78"/>
      <c r="DW533" s="78"/>
      <c r="DX533" s="78"/>
      <c r="DY533" s="78"/>
      <c r="DZ533" s="78"/>
      <c r="EA533" s="78"/>
      <c r="EB533" s="78"/>
      <c r="EC533" s="78"/>
      <c r="ED533" s="78"/>
      <c r="EE533" s="78"/>
      <c r="EF533" s="78"/>
      <c r="EG533" s="78"/>
      <c r="EH533" s="78"/>
      <c r="EI533" s="78"/>
      <c r="EJ533" s="78"/>
      <c r="EK533" s="78"/>
      <c r="EL533" s="78"/>
      <c r="EM533" s="78"/>
      <c r="EN533" s="91"/>
      <c r="EO533" s="91"/>
      <c r="EP533" s="91"/>
      <c r="EQ533" s="91"/>
      <c r="ER533" s="91"/>
      <c r="ES533" s="91"/>
    </row>
    <row r="534" spans="1:149" outlineLevel="1">
      <c r="A534" s="29" t="str">
        <f t="shared" si="340"/>
        <v>modesg_out_emss_vclsorigem_scp2_emss</v>
      </c>
      <c r="B534" s="67" t="s">
        <v>26</v>
      </c>
      <c r="C534" s="68" t="s">
        <v>310</v>
      </c>
      <c r="D534" s="64" t="s">
        <v>40</v>
      </c>
      <c r="E534" s="66" t="s">
        <v>331</v>
      </c>
      <c r="F534" s="64" t="s">
        <v>320</v>
      </c>
      <c r="G534" s="64" t="str">
        <f>INDEX(Auxiliar!$B$16:$B$24,MATCH(Plano_V3!H534,Auxiliar!$C$16:$C$24,0),1)</f>
        <v>1. Concluído</v>
      </c>
      <c r="H534" s="64">
        <f>VLOOKUP(A534,'Aux - pivots1'!$A:$B,2,0)</f>
        <v>1</v>
      </c>
      <c r="I534" s="180">
        <f>SUMIFS(Table1[Estimação (horas)],Table1[Tabela],Plano_V3!E534,Table1[Campo],Plano_V3!F534)</f>
        <v>8.1</v>
      </c>
      <c r="J534" s="180">
        <f t="shared" si="330"/>
        <v>1.0125</v>
      </c>
      <c r="K534" s="180">
        <f>SUMIFS(Table1[Horas efetivas],Table1[Tabela],Plano_V3!E534,Table1[Campo],Plano_V3!F534)</f>
        <v>8.1</v>
      </c>
      <c r="L534" s="180">
        <f t="shared" si="331"/>
        <v>1.0125</v>
      </c>
      <c r="M534" s="174"/>
      <c r="N534" s="174">
        <f t="shared" si="332"/>
        <v>1</v>
      </c>
      <c r="O534" s="174">
        <f t="shared" si="338"/>
        <v>1</v>
      </c>
      <c r="P534" s="87" t="s">
        <v>332</v>
      </c>
      <c r="Q534" s="90">
        <f t="shared" si="339"/>
        <v>1.0125</v>
      </c>
      <c r="R534" s="78"/>
      <c r="S534" s="78"/>
      <c r="T534" s="78"/>
      <c r="U534" s="78"/>
      <c r="V534" s="78"/>
      <c r="W534" s="78"/>
      <c r="X534" s="78"/>
      <c r="Y534" s="78"/>
      <c r="Z534" s="78"/>
      <c r="AA534" s="78"/>
      <c r="AB534" s="78"/>
      <c r="AC534" s="78"/>
      <c r="AD534" s="78"/>
      <c r="AE534" s="78"/>
      <c r="AF534" s="78"/>
      <c r="AG534" s="78"/>
      <c r="AH534" s="78"/>
      <c r="AI534" s="78"/>
      <c r="AJ534" s="78"/>
      <c r="AK534" s="78"/>
      <c r="AL534" s="78"/>
      <c r="AM534" s="78"/>
      <c r="AN534" s="78"/>
      <c r="AO534" s="78"/>
      <c r="AP534" s="78"/>
      <c r="AQ534" s="78"/>
      <c r="AR534" s="78"/>
      <c r="AS534" s="78"/>
      <c r="AT534" s="78"/>
      <c r="AU534" s="78"/>
      <c r="AV534" s="78"/>
      <c r="AW534" s="78"/>
      <c r="AX534" s="78"/>
      <c r="AY534" s="91"/>
      <c r="AZ534" s="78"/>
      <c r="BA534" s="78"/>
      <c r="BB534" s="78"/>
      <c r="BC534" s="78"/>
      <c r="BD534" s="78"/>
      <c r="BE534" s="78"/>
      <c r="BF534" s="78"/>
      <c r="BG534" s="78"/>
      <c r="BH534" s="78"/>
      <c r="BI534" s="78"/>
      <c r="BJ534" s="78"/>
      <c r="BK534" s="78"/>
      <c r="BL534" s="78"/>
      <c r="BM534" s="78"/>
      <c r="BN534" s="78"/>
      <c r="BO534" s="78"/>
      <c r="BP534" s="78"/>
      <c r="BQ534" s="78"/>
      <c r="BR534" s="78"/>
      <c r="BS534" s="78"/>
      <c r="BT534" s="78"/>
      <c r="BU534" s="78"/>
      <c r="BV534" s="78"/>
      <c r="BW534" s="78"/>
      <c r="BX534" s="78"/>
      <c r="BY534" s="78"/>
      <c r="BZ534" s="78"/>
      <c r="CA534" s="78"/>
      <c r="CB534" s="78"/>
      <c r="CC534" s="78"/>
      <c r="CD534" s="78"/>
      <c r="CE534" s="78"/>
      <c r="CF534" s="78"/>
      <c r="CG534" s="78"/>
      <c r="CH534" s="78"/>
      <c r="CI534" s="78"/>
      <c r="CJ534" s="78"/>
      <c r="CK534" s="78"/>
      <c r="CL534" s="78"/>
      <c r="CM534" s="78"/>
      <c r="CN534" s="78"/>
      <c r="CO534" s="78"/>
      <c r="CP534" s="78"/>
      <c r="CQ534" s="78"/>
      <c r="CR534" s="78"/>
      <c r="CS534" s="78"/>
      <c r="CT534" s="78"/>
      <c r="CU534" s="78"/>
      <c r="CV534" s="78"/>
      <c r="CW534" s="78"/>
      <c r="CX534" s="78"/>
      <c r="CY534" s="78"/>
      <c r="CZ534" s="78"/>
      <c r="DA534" s="78"/>
      <c r="DB534" s="78"/>
      <c r="DC534" s="78"/>
      <c r="DD534" s="78"/>
      <c r="DE534" s="78"/>
      <c r="DF534" s="78"/>
      <c r="DG534" s="78"/>
      <c r="DH534" s="78"/>
      <c r="DI534" s="78"/>
      <c r="DJ534" s="78"/>
      <c r="DK534" s="78"/>
      <c r="DL534" s="78"/>
      <c r="DM534" s="78"/>
      <c r="DN534" s="78"/>
      <c r="DO534" s="78"/>
      <c r="DP534" s="78"/>
      <c r="DQ534" s="78"/>
      <c r="DR534" s="78"/>
      <c r="DS534" s="78"/>
      <c r="DT534" s="78"/>
      <c r="DU534" s="78"/>
      <c r="DV534" s="78"/>
      <c r="DW534" s="78"/>
      <c r="DX534" s="78"/>
      <c r="DY534" s="78"/>
      <c r="DZ534" s="78"/>
      <c r="EA534" s="78"/>
      <c r="EB534" s="78"/>
      <c r="EC534" s="78"/>
      <c r="ED534" s="78"/>
      <c r="EE534" s="78"/>
      <c r="EF534" s="78"/>
      <c r="EG534" s="78"/>
      <c r="EH534" s="78"/>
      <c r="EI534" s="78"/>
      <c r="EJ534" s="78"/>
      <c r="EK534" s="78"/>
      <c r="EL534" s="78"/>
      <c r="EM534" s="78"/>
      <c r="EN534" s="91"/>
      <c r="EO534" s="91"/>
      <c r="EP534" s="91"/>
      <c r="EQ534" s="91"/>
      <c r="ER534" s="91"/>
      <c r="ES534" s="91"/>
    </row>
    <row r="535" spans="1:149" outlineLevel="1">
      <c r="A535" s="29" t="str">
        <f t="shared" si="340"/>
        <v>modesg_out_emss_vclsorigem_scp3_emss</v>
      </c>
      <c r="B535" s="67" t="s">
        <v>26</v>
      </c>
      <c r="C535" s="68" t="s">
        <v>310</v>
      </c>
      <c r="D535" s="64" t="s">
        <v>40</v>
      </c>
      <c r="E535" s="66" t="s">
        <v>331</v>
      </c>
      <c r="F535" s="64" t="s">
        <v>321</v>
      </c>
      <c r="G535" s="64" t="str">
        <f>INDEX(Auxiliar!$B$16:$B$24,MATCH(Plano_V3!H535,Auxiliar!$C$16:$C$24,0),1)</f>
        <v>1. Concluído</v>
      </c>
      <c r="H535" s="64">
        <f>VLOOKUP(A535,'Aux - pivots1'!$A:$B,2,0)</f>
        <v>1</v>
      </c>
      <c r="I535" s="180">
        <f>SUMIFS(Table1[Estimação (horas)],Table1[Tabela],Plano_V3!E535,Table1[Campo],Plano_V3!F535)</f>
        <v>8.1</v>
      </c>
      <c r="J535" s="180">
        <f t="shared" si="330"/>
        <v>1.0125</v>
      </c>
      <c r="K535" s="180">
        <f>SUMIFS(Table1[Horas efetivas],Table1[Tabela],Plano_V3!E535,Table1[Campo],Plano_V3!F535)</f>
        <v>8.1</v>
      </c>
      <c r="L535" s="180">
        <f t="shared" si="331"/>
        <v>1.0125</v>
      </c>
      <c r="M535" s="174"/>
      <c r="N535" s="174">
        <f t="shared" si="332"/>
        <v>1</v>
      </c>
      <c r="O535" s="174">
        <f t="shared" si="338"/>
        <v>1</v>
      </c>
      <c r="P535" s="87" t="s">
        <v>332</v>
      </c>
      <c r="Q535" s="90">
        <f t="shared" si="339"/>
        <v>1.0125</v>
      </c>
      <c r="R535" s="78"/>
      <c r="S535" s="78"/>
      <c r="T535" s="78"/>
      <c r="U535" s="78"/>
      <c r="V535" s="78"/>
      <c r="W535" s="78"/>
      <c r="X535" s="78"/>
      <c r="Y535" s="78"/>
      <c r="Z535" s="78"/>
      <c r="AA535" s="78"/>
      <c r="AB535" s="78"/>
      <c r="AC535" s="78"/>
      <c r="AD535" s="78"/>
      <c r="AE535" s="78"/>
      <c r="AF535" s="78"/>
      <c r="AG535" s="78"/>
      <c r="AH535" s="78"/>
      <c r="AI535" s="78"/>
      <c r="AJ535" s="78"/>
      <c r="AK535" s="78"/>
      <c r="AL535" s="78"/>
      <c r="AM535" s="78"/>
      <c r="AN535" s="78"/>
      <c r="AO535" s="78"/>
      <c r="AP535" s="78"/>
      <c r="AQ535" s="78"/>
      <c r="AR535" s="78"/>
      <c r="AS535" s="78"/>
      <c r="AT535" s="78"/>
      <c r="AU535" s="78"/>
      <c r="AV535" s="78"/>
      <c r="AW535" s="78"/>
      <c r="AX535" s="78"/>
      <c r="AY535" s="91"/>
      <c r="AZ535" s="78"/>
      <c r="BA535" s="78"/>
      <c r="BB535" s="78"/>
      <c r="BC535" s="78"/>
      <c r="BD535" s="78"/>
      <c r="BE535" s="78"/>
      <c r="BF535" s="78"/>
      <c r="BG535" s="78"/>
      <c r="BH535" s="78"/>
      <c r="BI535" s="78"/>
      <c r="BJ535" s="78"/>
      <c r="BK535" s="78"/>
      <c r="BL535" s="78"/>
      <c r="BM535" s="78"/>
      <c r="BN535" s="78"/>
      <c r="BO535" s="78"/>
      <c r="BP535" s="78"/>
      <c r="BQ535" s="78"/>
      <c r="BR535" s="78"/>
      <c r="BS535" s="78"/>
      <c r="BT535" s="78"/>
      <c r="BU535" s="78"/>
      <c r="BV535" s="78"/>
      <c r="BW535" s="78"/>
      <c r="BX535" s="78"/>
      <c r="BY535" s="78"/>
      <c r="BZ535" s="78"/>
      <c r="CA535" s="78"/>
      <c r="CB535" s="78"/>
      <c r="CC535" s="78"/>
      <c r="CD535" s="78"/>
      <c r="CE535" s="78"/>
      <c r="CF535" s="78"/>
      <c r="CG535" s="78"/>
      <c r="CH535" s="78"/>
      <c r="CI535" s="78"/>
      <c r="CJ535" s="78"/>
      <c r="CK535" s="78"/>
      <c r="CL535" s="78"/>
      <c r="CM535" s="78"/>
      <c r="CN535" s="78"/>
      <c r="CO535" s="78"/>
      <c r="CP535" s="78"/>
      <c r="CQ535" s="78"/>
      <c r="CR535" s="78"/>
      <c r="CS535" s="78"/>
      <c r="CT535" s="78"/>
      <c r="CU535" s="78"/>
      <c r="CV535" s="78"/>
      <c r="CW535" s="78"/>
      <c r="CX535" s="78"/>
      <c r="CY535" s="78"/>
      <c r="CZ535" s="78"/>
      <c r="DA535" s="78"/>
      <c r="DB535" s="78"/>
      <c r="DC535" s="78"/>
      <c r="DD535" s="78"/>
      <c r="DE535" s="78"/>
      <c r="DF535" s="78"/>
      <c r="DG535" s="78"/>
      <c r="DH535" s="78"/>
      <c r="DI535" s="78"/>
      <c r="DJ535" s="78"/>
      <c r="DK535" s="78"/>
      <c r="DL535" s="78"/>
      <c r="DM535" s="78"/>
      <c r="DN535" s="78"/>
      <c r="DO535" s="78"/>
      <c r="DP535" s="78"/>
      <c r="DQ535" s="78"/>
      <c r="DR535" s="78"/>
      <c r="DS535" s="78"/>
      <c r="DT535" s="78"/>
      <c r="DU535" s="78"/>
      <c r="DV535" s="78"/>
      <c r="DW535" s="78"/>
      <c r="DX535" s="78"/>
      <c r="DY535" s="78"/>
      <c r="DZ535" s="78"/>
      <c r="EA535" s="78"/>
      <c r="EB535" s="78"/>
      <c r="EC535" s="78"/>
      <c r="ED535" s="78"/>
      <c r="EE535" s="78"/>
      <c r="EF535" s="78"/>
      <c r="EG535" s="78"/>
      <c r="EH535" s="78"/>
      <c r="EI535" s="78"/>
      <c r="EJ535" s="78"/>
      <c r="EK535" s="78"/>
      <c r="EL535" s="78"/>
      <c r="EM535" s="78"/>
      <c r="EN535" s="91"/>
      <c r="EO535" s="91"/>
      <c r="EP535" s="91"/>
      <c r="EQ535" s="91"/>
      <c r="ER535" s="91"/>
      <c r="ES535" s="91"/>
    </row>
    <row r="536" spans="1:149" outlineLevel="1">
      <c r="A536" s="29" t="str">
        <f t="shared" si="340"/>
        <v>modesg_out_emss_vclsref_date</v>
      </c>
      <c r="B536" s="67" t="s">
        <v>26</v>
      </c>
      <c r="C536" s="68" t="s">
        <v>310</v>
      </c>
      <c r="D536" s="64" t="s">
        <v>40</v>
      </c>
      <c r="E536" s="66" t="s">
        <v>331</v>
      </c>
      <c r="F536" s="64" t="s">
        <v>208</v>
      </c>
      <c r="G536" s="64" t="str">
        <f>INDEX(Auxiliar!$B$16:$B$24,MATCH(Plano_V3!H536,Auxiliar!$C$16:$C$24,0),1)</f>
        <v>1. Concluído</v>
      </c>
      <c r="H536" s="64">
        <f>VLOOKUP(A536,'Aux - pivots1'!$A:$B,2,0)</f>
        <v>1</v>
      </c>
      <c r="I536" s="180">
        <f>SUMIFS(Table1[Estimação (horas)],Table1[Tabela],Plano_V3!E536,Table1[Campo],Plano_V3!F536)</f>
        <v>4.0999999999999996</v>
      </c>
      <c r="J536" s="180">
        <f t="shared" si="330"/>
        <v>0.51249999999999996</v>
      </c>
      <c r="K536" s="180">
        <f>SUMIFS(Table1[Horas efetivas],Table1[Tabela],Plano_V3!E536,Table1[Campo],Plano_V3!F536)</f>
        <v>4.0999999999999996</v>
      </c>
      <c r="L536" s="180">
        <f t="shared" si="331"/>
        <v>0.51249999999999996</v>
      </c>
      <c r="M536" s="174"/>
      <c r="N536" s="174">
        <f t="shared" si="332"/>
        <v>1</v>
      </c>
      <c r="O536" s="174">
        <f t="shared" si="338"/>
        <v>1</v>
      </c>
      <c r="P536" s="87" t="s">
        <v>332</v>
      </c>
      <c r="Q536" s="90">
        <f t="shared" si="339"/>
        <v>0.51249999999999996</v>
      </c>
      <c r="R536" s="78"/>
      <c r="S536" s="78"/>
      <c r="T536" s="78"/>
      <c r="U536" s="78"/>
      <c r="V536" s="78"/>
      <c r="W536" s="78"/>
      <c r="X536" s="78"/>
      <c r="Y536" s="78"/>
      <c r="Z536" s="78"/>
      <c r="AA536" s="78"/>
      <c r="AB536" s="78"/>
      <c r="AC536" s="78"/>
      <c r="AD536" s="78"/>
      <c r="AE536" s="78"/>
      <c r="AF536" s="78"/>
      <c r="AG536" s="78"/>
      <c r="AH536" s="78"/>
      <c r="AI536" s="78"/>
      <c r="AJ536" s="78"/>
      <c r="AK536" s="78"/>
      <c r="AL536" s="78"/>
      <c r="AM536" s="78"/>
      <c r="AN536" s="78"/>
      <c r="AO536" s="78"/>
      <c r="AP536" s="78"/>
      <c r="AQ536" s="78"/>
      <c r="AR536" s="78"/>
      <c r="AS536" s="78"/>
      <c r="AT536" s="78"/>
      <c r="AU536" s="78"/>
      <c r="AV536" s="78"/>
      <c r="AW536" s="78"/>
      <c r="AX536" s="78"/>
      <c r="AY536" s="91"/>
      <c r="AZ536" s="78"/>
      <c r="BA536" s="78"/>
      <c r="BB536" s="78"/>
      <c r="BC536" s="78"/>
      <c r="BD536" s="78"/>
      <c r="BE536" s="78"/>
      <c r="BF536" s="78"/>
      <c r="BG536" s="78"/>
      <c r="BH536" s="78"/>
      <c r="BI536" s="78"/>
      <c r="BJ536" s="78"/>
      <c r="BK536" s="78"/>
      <c r="BL536" s="78"/>
      <c r="BM536" s="78"/>
      <c r="BN536" s="78"/>
      <c r="BO536" s="78"/>
      <c r="BP536" s="78"/>
      <c r="BQ536" s="78"/>
      <c r="BR536" s="78"/>
      <c r="BS536" s="78"/>
      <c r="BT536" s="78"/>
      <c r="BU536" s="78"/>
      <c r="BV536" s="78"/>
      <c r="BW536" s="78"/>
      <c r="BX536" s="78"/>
      <c r="BY536" s="78"/>
      <c r="BZ536" s="78"/>
      <c r="CA536" s="78"/>
      <c r="CB536" s="78"/>
      <c r="CC536" s="78"/>
      <c r="CD536" s="78"/>
      <c r="CE536" s="78"/>
      <c r="CF536" s="78"/>
      <c r="CG536" s="78"/>
      <c r="CH536" s="78"/>
      <c r="CI536" s="78"/>
      <c r="CJ536" s="78"/>
      <c r="CK536" s="78"/>
      <c r="CL536" s="78"/>
      <c r="CM536" s="78"/>
      <c r="CN536" s="78"/>
      <c r="CO536" s="78"/>
      <c r="CP536" s="78"/>
      <c r="CQ536" s="78"/>
      <c r="CR536" s="78"/>
      <c r="CS536" s="78"/>
      <c r="CT536" s="78"/>
      <c r="CU536" s="78"/>
      <c r="CV536" s="78"/>
      <c r="CW536" s="78"/>
      <c r="CX536" s="78"/>
      <c r="CY536" s="78"/>
      <c r="CZ536" s="78"/>
      <c r="DA536" s="78"/>
      <c r="DB536" s="78"/>
      <c r="DC536" s="78"/>
      <c r="DD536" s="78"/>
      <c r="DE536" s="78"/>
      <c r="DF536" s="78"/>
      <c r="DG536" s="78"/>
      <c r="DH536" s="78"/>
      <c r="DI536" s="78"/>
      <c r="DJ536" s="78"/>
      <c r="DK536" s="78"/>
      <c r="DL536" s="78"/>
      <c r="DM536" s="78"/>
      <c r="DN536" s="78"/>
      <c r="DO536" s="78"/>
      <c r="DP536" s="78"/>
      <c r="DQ536" s="78"/>
      <c r="DR536" s="78"/>
      <c r="DS536" s="78"/>
      <c r="DT536" s="78"/>
      <c r="DU536" s="78"/>
      <c r="DV536" s="78"/>
      <c r="DW536" s="78"/>
      <c r="DX536" s="78"/>
      <c r="DY536" s="78"/>
      <c r="DZ536" s="78"/>
      <c r="EA536" s="78"/>
      <c r="EB536" s="78"/>
      <c r="EC536" s="78"/>
      <c r="ED536" s="78"/>
      <c r="EE536" s="78"/>
      <c r="EF536" s="78"/>
      <c r="EG536" s="78"/>
      <c r="EH536" s="78"/>
      <c r="EI536" s="78"/>
      <c r="EJ536" s="78"/>
      <c r="EK536" s="78"/>
      <c r="EL536" s="78"/>
      <c r="EM536" s="78"/>
      <c r="EN536" s="91"/>
      <c r="EO536" s="91"/>
      <c r="EP536" s="91"/>
      <c r="EQ536" s="91"/>
      <c r="ER536" s="91"/>
      <c r="ES536" s="91"/>
    </row>
    <row r="537" spans="1:149" outlineLevel="1">
      <c r="A537" s="29" t="str">
        <f t="shared" si="340"/>
        <v>modesg_out_emss_vclsscp1_emss</v>
      </c>
      <c r="B537" s="67" t="s">
        <v>26</v>
      </c>
      <c r="C537" s="68" t="s">
        <v>310</v>
      </c>
      <c r="D537" s="64" t="s">
        <v>40</v>
      </c>
      <c r="E537" s="66" t="s">
        <v>331</v>
      </c>
      <c r="F537" s="64" t="s">
        <v>285</v>
      </c>
      <c r="G537" s="64" t="str">
        <f>INDEX(Auxiliar!$B$16:$B$24,MATCH(Plano_V3!H537,Auxiliar!$C$16:$C$24,0),1)</f>
        <v>1. Concluído</v>
      </c>
      <c r="H537" s="64">
        <f>VLOOKUP(A537,'Aux - pivots1'!$A:$B,2,0)</f>
        <v>1</v>
      </c>
      <c r="I537" s="180">
        <f>SUMIFS(Table1[Estimação (horas)],Table1[Tabela],Plano_V3!E537,Table1[Campo],Plano_V3!F537)</f>
        <v>16.100000000000001</v>
      </c>
      <c r="J537" s="180">
        <f t="shared" si="330"/>
        <v>2.0125000000000002</v>
      </c>
      <c r="K537" s="180">
        <f>SUMIFS(Table1[Horas efetivas],Table1[Tabela],Plano_V3!E537,Table1[Campo],Plano_V3!F537)</f>
        <v>16.100000000000001</v>
      </c>
      <c r="L537" s="180">
        <f t="shared" si="331"/>
        <v>2.0125000000000002</v>
      </c>
      <c r="M537" s="174"/>
      <c r="N537" s="174">
        <f t="shared" si="332"/>
        <v>1</v>
      </c>
      <c r="O537" s="174">
        <f t="shared" si="338"/>
        <v>1</v>
      </c>
      <c r="P537" s="87" t="s">
        <v>332</v>
      </c>
      <c r="Q537" s="90">
        <f t="shared" si="339"/>
        <v>2.0125000000000002</v>
      </c>
      <c r="R537" s="78"/>
      <c r="S537" s="78"/>
      <c r="T537" s="78"/>
      <c r="U537" s="78"/>
      <c r="V537" s="78"/>
      <c r="W537" s="78"/>
      <c r="X537" s="78"/>
      <c r="Y537" s="78"/>
      <c r="Z537" s="78"/>
      <c r="AA537" s="78"/>
      <c r="AB537" s="78"/>
      <c r="AC537" s="78"/>
      <c r="AD537" s="78"/>
      <c r="AE537" s="78"/>
      <c r="AF537" s="78"/>
      <c r="AG537" s="78"/>
      <c r="AH537" s="78"/>
      <c r="AI537" s="78"/>
      <c r="AJ537" s="78"/>
      <c r="AK537" s="78"/>
      <c r="AL537" s="78"/>
      <c r="AM537" s="78"/>
      <c r="AN537" s="78"/>
      <c r="AO537" s="78"/>
      <c r="AP537" s="78"/>
      <c r="AQ537" s="78"/>
      <c r="AR537" s="78"/>
      <c r="AS537" s="78"/>
      <c r="AT537" s="78"/>
      <c r="AU537" s="78"/>
      <c r="AV537" s="78"/>
      <c r="AW537" s="78"/>
      <c r="AX537" s="78"/>
      <c r="AY537" s="91"/>
      <c r="AZ537" s="78"/>
      <c r="BA537" s="78"/>
      <c r="BB537" s="78"/>
      <c r="BC537" s="78"/>
      <c r="BD537" s="78"/>
      <c r="BE537" s="78"/>
      <c r="BF537" s="78"/>
      <c r="BG537" s="78"/>
      <c r="BH537" s="78"/>
      <c r="BI537" s="78"/>
      <c r="BJ537" s="78"/>
      <c r="BK537" s="78"/>
      <c r="BL537" s="78"/>
      <c r="BM537" s="78"/>
      <c r="BN537" s="78"/>
      <c r="BO537" s="78"/>
      <c r="BP537" s="78"/>
      <c r="BQ537" s="78"/>
      <c r="BR537" s="78"/>
      <c r="BS537" s="78"/>
      <c r="BT537" s="78"/>
      <c r="BU537" s="78"/>
      <c r="BV537" s="78"/>
      <c r="BW537" s="78"/>
      <c r="BX537" s="78"/>
      <c r="BY537" s="78"/>
      <c r="BZ537" s="78"/>
      <c r="CA537" s="78"/>
      <c r="CB537" s="78"/>
      <c r="CC537" s="78"/>
      <c r="CD537" s="78"/>
      <c r="CE537" s="78"/>
      <c r="CF537" s="78"/>
      <c r="CG537" s="78"/>
      <c r="CH537" s="78"/>
      <c r="CI537" s="78"/>
      <c r="CJ537" s="78"/>
      <c r="CK537" s="78"/>
      <c r="CL537" s="78"/>
      <c r="CM537" s="78"/>
      <c r="CN537" s="78"/>
      <c r="CO537" s="78"/>
      <c r="CP537" s="78"/>
      <c r="CQ537" s="78"/>
      <c r="CR537" s="78"/>
      <c r="CS537" s="78"/>
      <c r="CT537" s="78"/>
      <c r="CU537" s="78"/>
      <c r="CV537" s="78"/>
      <c r="CW537" s="78"/>
      <c r="CX537" s="78"/>
      <c r="CY537" s="78"/>
      <c r="CZ537" s="78"/>
      <c r="DA537" s="78"/>
      <c r="DB537" s="78"/>
      <c r="DC537" s="78"/>
      <c r="DD537" s="78"/>
      <c r="DE537" s="78"/>
      <c r="DF537" s="78"/>
      <c r="DG537" s="78"/>
      <c r="DH537" s="78"/>
      <c r="DI537" s="78"/>
      <c r="DJ537" s="78"/>
      <c r="DK537" s="78"/>
      <c r="DL537" s="78"/>
      <c r="DM537" s="78"/>
      <c r="DN537" s="78"/>
      <c r="DO537" s="78"/>
      <c r="DP537" s="78"/>
      <c r="DQ537" s="78"/>
      <c r="DR537" s="78"/>
      <c r="DS537" s="78"/>
      <c r="DT537" s="78"/>
      <c r="DU537" s="78"/>
      <c r="DV537" s="78"/>
      <c r="DW537" s="78"/>
      <c r="DX537" s="78"/>
      <c r="DY537" s="78"/>
      <c r="DZ537" s="78"/>
      <c r="EA537" s="78"/>
      <c r="EB537" s="78"/>
      <c r="EC537" s="78"/>
      <c r="ED537" s="78"/>
      <c r="EE537" s="78"/>
      <c r="EF537" s="78"/>
      <c r="EG537" s="78"/>
      <c r="EH537" s="78"/>
      <c r="EI537" s="78"/>
      <c r="EJ537" s="78"/>
      <c r="EK537" s="78"/>
      <c r="EL537" s="78"/>
      <c r="EM537" s="78"/>
      <c r="EN537" s="91"/>
      <c r="EO537" s="91"/>
      <c r="EP537" s="91"/>
      <c r="EQ537" s="91"/>
      <c r="ER537" s="91"/>
      <c r="ES537" s="91"/>
    </row>
    <row r="538" spans="1:149" outlineLevel="1">
      <c r="A538" s="29" t="str">
        <f t="shared" si="340"/>
        <v>modesg_out_emss_vclsscp2_emss</v>
      </c>
      <c r="B538" s="67" t="s">
        <v>26</v>
      </c>
      <c r="C538" s="68" t="s">
        <v>310</v>
      </c>
      <c r="D538" s="64" t="s">
        <v>40</v>
      </c>
      <c r="E538" s="66" t="s">
        <v>331</v>
      </c>
      <c r="F538" s="64" t="s">
        <v>286</v>
      </c>
      <c r="G538" s="64" t="str">
        <f>INDEX(Auxiliar!$B$16:$B$24,MATCH(Plano_V3!H538,Auxiliar!$C$16:$C$24,0),1)</f>
        <v>1. Concluído</v>
      </c>
      <c r="H538" s="64">
        <f>VLOOKUP(A538,'Aux - pivots1'!$A:$B,2,0)</f>
        <v>1</v>
      </c>
      <c r="I538" s="180">
        <f>SUMIFS(Table1[Estimação (horas)],Table1[Tabela],Plano_V3!E538,Table1[Campo],Plano_V3!F538)</f>
        <v>16.100000000000001</v>
      </c>
      <c r="J538" s="180">
        <f t="shared" si="330"/>
        <v>2.0125000000000002</v>
      </c>
      <c r="K538" s="180">
        <f>SUMIFS(Table1[Horas efetivas],Table1[Tabela],Plano_V3!E538,Table1[Campo],Plano_V3!F538)</f>
        <v>16.100000000000001</v>
      </c>
      <c r="L538" s="180">
        <f t="shared" si="331"/>
        <v>2.0125000000000002</v>
      </c>
      <c r="M538" s="174"/>
      <c r="N538" s="174">
        <f t="shared" si="332"/>
        <v>1</v>
      </c>
      <c r="O538" s="174">
        <f t="shared" si="338"/>
        <v>1</v>
      </c>
      <c r="P538" s="87" t="s">
        <v>332</v>
      </c>
      <c r="Q538" s="90">
        <f t="shared" si="339"/>
        <v>2.0125000000000002</v>
      </c>
      <c r="R538" s="78"/>
      <c r="S538" s="78"/>
      <c r="T538" s="78"/>
      <c r="U538" s="78"/>
      <c r="V538" s="78"/>
      <c r="W538" s="78"/>
      <c r="X538" s="78"/>
      <c r="Y538" s="78"/>
      <c r="Z538" s="78"/>
      <c r="AA538" s="78"/>
      <c r="AB538" s="78"/>
      <c r="AC538" s="78"/>
      <c r="AD538" s="78"/>
      <c r="AE538" s="78"/>
      <c r="AF538" s="78"/>
      <c r="AG538" s="78"/>
      <c r="AH538" s="78"/>
      <c r="AI538" s="78"/>
      <c r="AJ538" s="78"/>
      <c r="AK538" s="78"/>
      <c r="AL538" s="78"/>
      <c r="AM538" s="78"/>
      <c r="AN538" s="78"/>
      <c r="AO538" s="78"/>
      <c r="AP538" s="78"/>
      <c r="AQ538" s="78"/>
      <c r="AR538" s="78"/>
      <c r="AS538" s="78"/>
      <c r="AT538" s="78"/>
      <c r="AU538" s="78"/>
      <c r="AV538" s="78"/>
      <c r="AW538" s="78"/>
      <c r="AX538" s="78"/>
      <c r="AY538" s="91"/>
      <c r="AZ538" s="78"/>
      <c r="BA538" s="78"/>
      <c r="BB538" s="78"/>
      <c r="BC538" s="78"/>
      <c r="BD538" s="78"/>
      <c r="BE538" s="78"/>
      <c r="BF538" s="78"/>
      <c r="BG538" s="78"/>
      <c r="BH538" s="78"/>
      <c r="BI538" s="78"/>
      <c r="BJ538" s="78"/>
      <c r="BK538" s="78"/>
      <c r="BL538" s="78"/>
      <c r="BM538" s="78"/>
      <c r="BN538" s="78"/>
      <c r="BO538" s="78"/>
      <c r="BP538" s="78"/>
      <c r="BQ538" s="78"/>
      <c r="BR538" s="78"/>
      <c r="BS538" s="78"/>
      <c r="BT538" s="78"/>
      <c r="BU538" s="78"/>
      <c r="BV538" s="78"/>
      <c r="BW538" s="78"/>
      <c r="BX538" s="78"/>
      <c r="BY538" s="78"/>
      <c r="BZ538" s="78"/>
      <c r="CA538" s="78"/>
      <c r="CB538" s="78"/>
      <c r="CC538" s="78"/>
      <c r="CD538" s="78"/>
      <c r="CE538" s="78"/>
      <c r="CF538" s="78"/>
      <c r="CG538" s="78"/>
      <c r="CH538" s="78"/>
      <c r="CI538" s="78"/>
      <c r="CJ538" s="78"/>
      <c r="CK538" s="78"/>
      <c r="CL538" s="78"/>
      <c r="CM538" s="78"/>
      <c r="CN538" s="78"/>
      <c r="CO538" s="78"/>
      <c r="CP538" s="78"/>
      <c r="CQ538" s="78"/>
      <c r="CR538" s="78"/>
      <c r="CS538" s="78"/>
      <c r="CT538" s="78"/>
      <c r="CU538" s="78"/>
      <c r="CV538" s="78"/>
      <c r="CW538" s="78"/>
      <c r="CX538" s="78"/>
      <c r="CY538" s="78"/>
      <c r="CZ538" s="78"/>
      <c r="DA538" s="78"/>
      <c r="DB538" s="78"/>
      <c r="DC538" s="78"/>
      <c r="DD538" s="78"/>
      <c r="DE538" s="78"/>
      <c r="DF538" s="78"/>
      <c r="DG538" s="78"/>
      <c r="DH538" s="78"/>
      <c r="DI538" s="78"/>
      <c r="DJ538" s="78"/>
      <c r="DK538" s="78"/>
      <c r="DL538" s="78"/>
      <c r="DM538" s="78"/>
      <c r="DN538" s="78"/>
      <c r="DO538" s="78"/>
      <c r="DP538" s="78"/>
      <c r="DQ538" s="78"/>
      <c r="DR538" s="78"/>
      <c r="DS538" s="78"/>
      <c r="DT538" s="78"/>
      <c r="DU538" s="78"/>
      <c r="DV538" s="78"/>
      <c r="DW538" s="78"/>
      <c r="DX538" s="78"/>
      <c r="DY538" s="78"/>
      <c r="DZ538" s="78"/>
      <c r="EA538" s="78"/>
      <c r="EB538" s="78"/>
      <c r="EC538" s="78"/>
      <c r="ED538" s="78"/>
      <c r="EE538" s="78"/>
      <c r="EF538" s="78"/>
      <c r="EG538" s="78"/>
      <c r="EH538" s="78"/>
      <c r="EI538" s="78"/>
      <c r="EJ538" s="78"/>
      <c r="EK538" s="78"/>
      <c r="EL538" s="78"/>
      <c r="EM538" s="78"/>
      <c r="EN538" s="91"/>
      <c r="EO538" s="91"/>
      <c r="EP538" s="91"/>
      <c r="EQ538" s="91"/>
      <c r="ER538" s="91"/>
      <c r="ES538" s="91"/>
    </row>
    <row r="539" spans="1:149" outlineLevel="1">
      <c r="A539" s="29" t="str">
        <f t="shared" si="340"/>
        <v>modesg_out_emss_vclsscp3_emss</v>
      </c>
      <c r="B539" s="67" t="s">
        <v>26</v>
      </c>
      <c r="C539" s="68" t="s">
        <v>310</v>
      </c>
      <c r="D539" s="64" t="s">
        <v>40</v>
      </c>
      <c r="E539" s="66" t="s">
        <v>331</v>
      </c>
      <c r="F539" s="64" t="s">
        <v>287</v>
      </c>
      <c r="G539" s="64" t="str">
        <f>INDEX(Auxiliar!$B$16:$B$24,MATCH(Plano_V3!H539,Auxiliar!$C$16:$C$24,0),1)</f>
        <v>1. Concluído</v>
      </c>
      <c r="H539" s="64">
        <f>VLOOKUP(A539,'Aux - pivots1'!$A:$B,2,0)</f>
        <v>1</v>
      </c>
      <c r="I539" s="180">
        <f>SUMIFS(Table1[Estimação (horas)],Table1[Tabela],Plano_V3!E539,Table1[Campo],Plano_V3!F539)</f>
        <v>16.100000000000001</v>
      </c>
      <c r="J539" s="180">
        <f t="shared" ref="J539:J560" si="341">I539/8</f>
        <v>2.0125000000000002</v>
      </c>
      <c r="K539" s="180">
        <f>SUMIFS(Table1[Horas efetivas],Table1[Tabela],Plano_V3!E539,Table1[Campo],Plano_V3!F539)</f>
        <v>16.100000000000001</v>
      </c>
      <c r="L539" s="180">
        <f t="shared" ref="L539:L560" si="342">K539/8</f>
        <v>2.0125000000000002</v>
      </c>
      <c r="M539" s="174"/>
      <c r="N539" s="174">
        <f t="shared" ref="N539:N561" si="343">L539/J539</f>
        <v>1</v>
      </c>
      <c r="O539" s="174">
        <f t="shared" si="338"/>
        <v>1</v>
      </c>
      <c r="P539" s="87" t="s">
        <v>332</v>
      </c>
      <c r="Q539" s="90">
        <f t="shared" si="339"/>
        <v>2.0125000000000002</v>
      </c>
      <c r="R539" s="78"/>
      <c r="S539" s="78"/>
      <c r="T539" s="78"/>
      <c r="U539" s="78"/>
      <c r="V539" s="78"/>
      <c r="W539" s="78"/>
      <c r="X539" s="78"/>
      <c r="Y539" s="78"/>
      <c r="Z539" s="78"/>
      <c r="AA539" s="78"/>
      <c r="AB539" s="78"/>
      <c r="AC539" s="78"/>
      <c r="AD539" s="78"/>
      <c r="AE539" s="78"/>
      <c r="AF539" s="78"/>
      <c r="AG539" s="78"/>
      <c r="AH539" s="78"/>
      <c r="AI539" s="78"/>
      <c r="AJ539" s="78"/>
      <c r="AK539" s="78"/>
      <c r="AL539" s="78"/>
      <c r="AM539" s="78"/>
      <c r="AN539" s="78"/>
      <c r="AO539" s="78"/>
      <c r="AP539" s="78"/>
      <c r="AQ539" s="78"/>
      <c r="AR539" s="78"/>
      <c r="AS539" s="78"/>
      <c r="AT539" s="78"/>
      <c r="AU539" s="78"/>
      <c r="AV539" s="78"/>
      <c r="AW539" s="78"/>
      <c r="AX539" s="78"/>
      <c r="AY539" s="91"/>
      <c r="AZ539" s="78"/>
      <c r="BA539" s="78"/>
      <c r="BB539" s="78"/>
      <c r="BC539" s="78"/>
      <c r="BD539" s="78"/>
      <c r="BE539" s="78"/>
      <c r="BF539" s="78"/>
      <c r="BG539" s="78"/>
      <c r="BH539" s="78"/>
      <c r="BI539" s="78"/>
      <c r="BJ539" s="78"/>
      <c r="BK539" s="78"/>
      <c r="BL539" s="78"/>
      <c r="BM539" s="78"/>
      <c r="BN539" s="78"/>
      <c r="BO539" s="78"/>
      <c r="BP539" s="78"/>
      <c r="BQ539" s="78"/>
      <c r="BR539" s="78"/>
      <c r="BS539" s="78"/>
      <c r="BT539" s="78"/>
      <c r="BU539" s="78"/>
      <c r="BV539" s="78"/>
      <c r="BW539" s="78"/>
      <c r="BX539" s="78"/>
      <c r="BY539" s="78"/>
      <c r="BZ539" s="78"/>
      <c r="CA539" s="78"/>
      <c r="CB539" s="78"/>
      <c r="CC539" s="78"/>
      <c r="CD539" s="78"/>
      <c r="CE539" s="78"/>
      <c r="CF539" s="78"/>
      <c r="CG539" s="78"/>
      <c r="CH539" s="78"/>
      <c r="CI539" s="78"/>
      <c r="CJ539" s="78"/>
      <c r="CK539" s="78"/>
      <c r="CL539" s="78"/>
      <c r="CM539" s="78"/>
      <c r="CN539" s="78"/>
      <c r="CO539" s="78"/>
      <c r="CP539" s="78"/>
      <c r="CQ539" s="78"/>
      <c r="CR539" s="78"/>
      <c r="CS539" s="78"/>
      <c r="CT539" s="78"/>
      <c r="CU539" s="78"/>
      <c r="CV539" s="78"/>
      <c r="CW539" s="78"/>
      <c r="CX539" s="78"/>
      <c r="CY539" s="78"/>
      <c r="CZ539" s="78"/>
      <c r="DA539" s="78"/>
      <c r="DB539" s="78"/>
      <c r="DC539" s="78"/>
      <c r="DD539" s="78"/>
      <c r="DE539" s="78"/>
      <c r="DF539" s="78"/>
      <c r="DG539" s="78"/>
      <c r="DH539" s="78"/>
      <c r="DI539" s="78"/>
      <c r="DJ539" s="78"/>
      <c r="DK539" s="78"/>
      <c r="DL539" s="78"/>
      <c r="DM539" s="78"/>
      <c r="DN539" s="78"/>
      <c r="DO539" s="78"/>
      <c r="DP539" s="78"/>
      <c r="DQ539" s="78"/>
      <c r="DR539" s="78"/>
      <c r="DS539" s="78"/>
      <c r="DT539" s="78"/>
      <c r="DU539" s="78"/>
      <c r="DV539" s="78"/>
      <c r="DW539" s="78"/>
      <c r="DX539" s="78"/>
      <c r="DY539" s="78"/>
      <c r="DZ539" s="78"/>
      <c r="EA539" s="78"/>
      <c r="EB539" s="78"/>
      <c r="EC539" s="78"/>
      <c r="ED539" s="78"/>
      <c r="EE539" s="78"/>
      <c r="EF539" s="78"/>
      <c r="EG539" s="78"/>
      <c r="EH539" s="78"/>
      <c r="EI539" s="78"/>
      <c r="EJ539" s="78"/>
      <c r="EK539" s="78"/>
      <c r="EL539" s="78"/>
      <c r="EM539" s="78"/>
      <c r="EN539" s="91"/>
      <c r="EO539" s="91"/>
      <c r="EP539" s="91"/>
      <c r="EQ539" s="91"/>
      <c r="ER539" s="91"/>
      <c r="ES539" s="91"/>
    </row>
    <row r="540" spans="1:149" outlineLevel="1">
      <c r="A540" s="29" t="str">
        <f t="shared" si="340"/>
        <v>modesg_out_emss_vclsunidade_funcional_scp1_emss</v>
      </c>
      <c r="B540" s="67" t="s">
        <v>26</v>
      </c>
      <c r="C540" s="68" t="s">
        <v>310</v>
      </c>
      <c r="D540" s="64" t="s">
        <v>40</v>
      </c>
      <c r="E540" s="66" t="s">
        <v>331</v>
      </c>
      <c r="F540" s="64" t="s">
        <v>322</v>
      </c>
      <c r="G540" s="64" t="str">
        <f>INDEX(Auxiliar!$B$16:$B$24,MATCH(Plano_V3!H540,Auxiliar!$C$16:$C$24,0),1)</f>
        <v>1. Concluído</v>
      </c>
      <c r="H540" s="64">
        <f>VLOOKUP(A540,'Aux - pivots1'!$A:$B,2,0)</f>
        <v>1</v>
      </c>
      <c r="I540" s="180">
        <f>SUMIFS(Table1[Estimação (horas)],Table1[Tabela],Plano_V3!E540,Table1[Campo],Plano_V3!F540)</f>
        <v>4.0999999999999996</v>
      </c>
      <c r="J540" s="180">
        <f t="shared" si="341"/>
        <v>0.51249999999999996</v>
      </c>
      <c r="K540" s="180">
        <f>SUMIFS(Table1[Horas efetivas],Table1[Tabela],Plano_V3!E540,Table1[Campo],Plano_V3!F540)</f>
        <v>4.0999999999999996</v>
      </c>
      <c r="L540" s="180">
        <f t="shared" si="342"/>
        <v>0.51249999999999996</v>
      </c>
      <c r="M540" s="174"/>
      <c r="N540" s="174">
        <f t="shared" si="343"/>
        <v>1</v>
      </c>
      <c r="O540" s="174">
        <f t="shared" si="338"/>
        <v>1</v>
      </c>
      <c r="P540" s="87" t="s">
        <v>332</v>
      </c>
      <c r="Q540" s="90">
        <f t="shared" si="339"/>
        <v>0.51249999999999996</v>
      </c>
      <c r="R540" s="78"/>
      <c r="S540" s="78"/>
      <c r="T540" s="78"/>
      <c r="U540" s="78"/>
      <c r="V540" s="78"/>
      <c r="W540" s="78"/>
      <c r="X540" s="78"/>
      <c r="Y540" s="78"/>
      <c r="Z540" s="78"/>
      <c r="AA540" s="78"/>
      <c r="AB540" s="78"/>
      <c r="AC540" s="78"/>
      <c r="AD540" s="78"/>
      <c r="AE540" s="78"/>
      <c r="AF540" s="78"/>
      <c r="AG540" s="78"/>
      <c r="AH540" s="78"/>
      <c r="AI540" s="78"/>
      <c r="AJ540" s="78"/>
      <c r="AK540" s="78"/>
      <c r="AL540" s="78"/>
      <c r="AM540" s="78"/>
      <c r="AN540" s="78"/>
      <c r="AO540" s="78"/>
      <c r="AP540" s="78"/>
      <c r="AQ540" s="78"/>
      <c r="AR540" s="78"/>
      <c r="AS540" s="78"/>
      <c r="AT540" s="78"/>
      <c r="AU540" s="78"/>
      <c r="AV540" s="78"/>
      <c r="AW540" s="78"/>
      <c r="AX540" s="78"/>
      <c r="AY540" s="91"/>
      <c r="AZ540" s="78"/>
      <c r="BA540" s="78"/>
      <c r="BB540" s="78"/>
      <c r="BC540" s="78"/>
      <c r="BD540" s="78"/>
      <c r="BE540" s="78"/>
      <c r="BF540" s="78"/>
      <c r="BG540" s="78"/>
      <c r="BH540" s="78"/>
      <c r="BI540" s="78"/>
      <c r="BJ540" s="78"/>
      <c r="BK540" s="78"/>
      <c r="BL540" s="78"/>
      <c r="BM540" s="78"/>
      <c r="BN540" s="78"/>
      <c r="BO540" s="78"/>
      <c r="BP540" s="78"/>
      <c r="BQ540" s="78"/>
      <c r="BR540" s="78"/>
      <c r="BS540" s="78"/>
      <c r="BT540" s="78"/>
      <c r="BU540" s="78"/>
      <c r="BV540" s="78"/>
      <c r="BW540" s="78"/>
      <c r="BX540" s="78"/>
      <c r="BY540" s="78"/>
      <c r="BZ540" s="78"/>
      <c r="CA540" s="78"/>
      <c r="CB540" s="78"/>
      <c r="CC540" s="78"/>
      <c r="CD540" s="78"/>
      <c r="CE540" s="78"/>
      <c r="CF540" s="78"/>
      <c r="CG540" s="78"/>
      <c r="CH540" s="78"/>
      <c r="CI540" s="78"/>
      <c r="CJ540" s="78"/>
      <c r="CK540" s="78"/>
      <c r="CL540" s="78"/>
      <c r="CM540" s="78"/>
      <c r="CN540" s="78"/>
      <c r="CO540" s="78"/>
      <c r="CP540" s="78"/>
      <c r="CQ540" s="78"/>
      <c r="CR540" s="78"/>
      <c r="CS540" s="78"/>
      <c r="CT540" s="78"/>
      <c r="CU540" s="78"/>
      <c r="CV540" s="78"/>
      <c r="CW540" s="78"/>
      <c r="CX540" s="78"/>
      <c r="CY540" s="78"/>
      <c r="CZ540" s="78"/>
      <c r="DA540" s="78"/>
      <c r="DB540" s="78"/>
      <c r="DC540" s="78"/>
      <c r="DD540" s="78"/>
      <c r="DE540" s="78"/>
      <c r="DF540" s="78"/>
      <c r="DG540" s="78"/>
      <c r="DH540" s="78"/>
      <c r="DI540" s="78"/>
      <c r="DJ540" s="78"/>
      <c r="DK540" s="78"/>
      <c r="DL540" s="78"/>
      <c r="DM540" s="78"/>
      <c r="DN540" s="78"/>
      <c r="DO540" s="78"/>
      <c r="DP540" s="78"/>
      <c r="DQ540" s="78"/>
      <c r="DR540" s="78"/>
      <c r="DS540" s="78"/>
      <c r="DT540" s="78"/>
      <c r="DU540" s="78"/>
      <c r="DV540" s="78"/>
      <c r="DW540" s="78"/>
      <c r="DX540" s="78"/>
      <c r="DY540" s="78"/>
      <c r="DZ540" s="78"/>
      <c r="EA540" s="78"/>
      <c r="EB540" s="78"/>
      <c r="EC540" s="78"/>
      <c r="ED540" s="78"/>
      <c r="EE540" s="78"/>
      <c r="EF540" s="78"/>
      <c r="EG540" s="78"/>
      <c r="EH540" s="78"/>
      <c r="EI540" s="78"/>
      <c r="EJ540" s="78"/>
      <c r="EK540" s="78"/>
      <c r="EL540" s="78"/>
      <c r="EM540" s="78"/>
      <c r="EN540" s="91"/>
      <c r="EO540" s="91"/>
      <c r="EP540" s="91"/>
      <c r="EQ540" s="91"/>
      <c r="ER540" s="91"/>
      <c r="ES540" s="91"/>
    </row>
    <row r="541" spans="1:149" outlineLevel="1">
      <c r="A541" s="29" t="str">
        <f t="shared" si="340"/>
        <v>modesg_out_emss_vclsunidade_funcional_scp2_emss</v>
      </c>
      <c r="B541" s="67" t="s">
        <v>26</v>
      </c>
      <c r="C541" s="68" t="s">
        <v>310</v>
      </c>
      <c r="D541" s="64" t="s">
        <v>40</v>
      </c>
      <c r="E541" s="66" t="s">
        <v>331</v>
      </c>
      <c r="F541" s="64" t="s">
        <v>323</v>
      </c>
      <c r="G541" s="64" t="str">
        <f>INDEX(Auxiliar!$B$16:$B$24,MATCH(Plano_V3!H541,Auxiliar!$C$16:$C$24,0),1)</f>
        <v>1. Concluído</v>
      </c>
      <c r="H541" s="64">
        <f>VLOOKUP(A541,'Aux - pivots1'!$A:$B,2,0)</f>
        <v>1</v>
      </c>
      <c r="I541" s="180">
        <f>SUMIFS(Table1[Estimação (horas)],Table1[Tabela],Plano_V3!E541,Table1[Campo],Plano_V3!F541)</f>
        <v>4.0999999999999996</v>
      </c>
      <c r="J541" s="180">
        <f t="shared" si="341"/>
        <v>0.51249999999999996</v>
      </c>
      <c r="K541" s="180">
        <f>SUMIFS(Table1[Horas efetivas],Table1[Tabela],Plano_V3!E541,Table1[Campo],Plano_V3!F541)</f>
        <v>4.0999999999999996</v>
      </c>
      <c r="L541" s="180">
        <f t="shared" si="342"/>
        <v>0.51249999999999996</v>
      </c>
      <c r="M541" s="174"/>
      <c r="N541" s="174">
        <f t="shared" si="343"/>
        <v>1</v>
      </c>
      <c r="O541" s="174">
        <f t="shared" si="338"/>
        <v>1</v>
      </c>
      <c r="P541" s="87" t="s">
        <v>332</v>
      </c>
      <c r="Q541" s="90">
        <f t="shared" si="339"/>
        <v>0.51249999999999996</v>
      </c>
      <c r="R541" s="78"/>
      <c r="S541" s="78"/>
      <c r="T541" s="78"/>
      <c r="U541" s="78"/>
      <c r="V541" s="78"/>
      <c r="W541" s="78"/>
      <c r="X541" s="78"/>
      <c r="Y541" s="78"/>
      <c r="Z541" s="78"/>
      <c r="AA541" s="78"/>
      <c r="AB541" s="78"/>
      <c r="AC541" s="78"/>
      <c r="AD541" s="78"/>
      <c r="AE541" s="78"/>
      <c r="AF541" s="78"/>
      <c r="AG541" s="78"/>
      <c r="AH541" s="78"/>
      <c r="AI541" s="78"/>
      <c r="AJ541" s="78"/>
      <c r="AK541" s="78"/>
      <c r="AL541" s="78"/>
      <c r="AM541" s="78"/>
      <c r="AN541" s="78"/>
      <c r="AO541" s="78"/>
      <c r="AP541" s="78"/>
      <c r="AQ541" s="78"/>
      <c r="AR541" s="78"/>
      <c r="AS541" s="78"/>
      <c r="AT541" s="78"/>
      <c r="AU541" s="78"/>
      <c r="AV541" s="78"/>
      <c r="AW541" s="78"/>
      <c r="AX541" s="78"/>
      <c r="AY541" s="91"/>
      <c r="AZ541" s="78"/>
      <c r="BA541" s="78"/>
      <c r="BB541" s="78"/>
      <c r="BC541" s="78"/>
      <c r="BD541" s="78"/>
      <c r="BE541" s="78"/>
      <c r="BF541" s="78"/>
      <c r="BG541" s="78"/>
      <c r="BH541" s="78"/>
      <c r="BI541" s="78"/>
      <c r="BJ541" s="78"/>
      <c r="BK541" s="78"/>
      <c r="BL541" s="78"/>
      <c r="BM541" s="78"/>
      <c r="BN541" s="78"/>
      <c r="BO541" s="78"/>
      <c r="BP541" s="78"/>
      <c r="BQ541" s="78"/>
      <c r="BR541" s="78"/>
      <c r="BS541" s="78"/>
      <c r="BT541" s="78"/>
      <c r="BU541" s="78"/>
      <c r="BV541" s="78"/>
      <c r="BW541" s="78"/>
      <c r="BX541" s="78"/>
      <c r="BY541" s="78"/>
      <c r="BZ541" s="78"/>
      <c r="CA541" s="78"/>
      <c r="CB541" s="78"/>
      <c r="CC541" s="78"/>
      <c r="CD541" s="78"/>
      <c r="CE541" s="78"/>
      <c r="CF541" s="78"/>
      <c r="CG541" s="78"/>
      <c r="CH541" s="78"/>
      <c r="CI541" s="78"/>
      <c r="CJ541" s="78"/>
      <c r="CK541" s="78"/>
      <c r="CL541" s="78"/>
      <c r="CM541" s="78"/>
      <c r="CN541" s="78"/>
      <c r="CO541" s="78"/>
      <c r="CP541" s="78"/>
      <c r="CQ541" s="78"/>
      <c r="CR541" s="78"/>
      <c r="CS541" s="78"/>
      <c r="CT541" s="78"/>
      <c r="CU541" s="78"/>
      <c r="CV541" s="78"/>
      <c r="CW541" s="78"/>
      <c r="CX541" s="78"/>
      <c r="CY541" s="78"/>
      <c r="CZ541" s="78"/>
      <c r="DA541" s="78"/>
      <c r="DB541" s="78"/>
      <c r="DC541" s="78"/>
      <c r="DD541" s="78"/>
      <c r="DE541" s="78"/>
      <c r="DF541" s="78"/>
      <c r="DG541" s="78"/>
      <c r="DH541" s="78"/>
      <c r="DI541" s="78"/>
      <c r="DJ541" s="78"/>
      <c r="DK541" s="78"/>
      <c r="DL541" s="78"/>
      <c r="DM541" s="78"/>
      <c r="DN541" s="78"/>
      <c r="DO541" s="78"/>
      <c r="DP541" s="78"/>
      <c r="DQ541" s="78"/>
      <c r="DR541" s="78"/>
      <c r="DS541" s="78"/>
      <c r="DT541" s="78"/>
      <c r="DU541" s="78"/>
      <c r="DV541" s="78"/>
      <c r="DW541" s="78"/>
      <c r="DX541" s="78"/>
      <c r="DY541" s="78"/>
      <c r="DZ541" s="78"/>
      <c r="EA541" s="78"/>
      <c r="EB541" s="78"/>
      <c r="EC541" s="78"/>
      <c r="ED541" s="78"/>
      <c r="EE541" s="78"/>
      <c r="EF541" s="78"/>
      <c r="EG541" s="78"/>
      <c r="EH541" s="78"/>
      <c r="EI541" s="78"/>
      <c r="EJ541" s="78"/>
      <c r="EK541" s="78"/>
      <c r="EL541" s="78"/>
      <c r="EM541" s="78"/>
      <c r="EN541" s="91"/>
      <c r="EO541" s="91"/>
      <c r="EP541" s="91"/>
      <c r="EQ541" s="91"/>
      <c r="ER541" s="91"/>
      <c r="ES541" s="91"/>
    </row>
    <row r="542" spans="1:149" outlineLevel="1">
      <c r="A542" s="29" t="str">
        <f t="shared" si="340"/>
        <v>modesg_out_emss_vclsunidade_funcional_scp3_emss</v>
      </c>
      <c r="B542" s="67" t="s">
        <v>26</v>
      </c>
      <c r="C542" s="68" t="s">
        <v>310</v>
      </c>
      <c r="D542" s="64" t="s">
        <v>40</v>
      </c>
      <c r="E542" s="66" t="s">
        <v>331</v>
      </c>
      <c r="F542" s="64" t="s">
        <v>324</v>
      </c>
      <c r="G542" s="64" t="str">
        <f>INDEX(Auxiliar!$B$16:$B$24,MATCH(Plano_V3!H542,Auxiliar!$C$16:$C$24,0),1)</f>
        <v>1. Concluído</v>
      </c>
      <c r="H542" s="64">
        <f>VLOOKUP(A542,'Aux - pivots1'!$A:$B,2,0)</f>
        <v>1</v>
      </c>
      <c r="I542" s="180">
        <f>SUMIFS(Table1[Estimação (horas)],Table1[Tabela],Plano_V3!E542,Table1[Campo],Plano_V3!F542)</f>
        <v>4.0999999999999996</v>
      </c>
      <c r="J542" s="180">
        <f t="shared" si="341"/>
        <v>0.51249999999999996</v>
      </c>
      <c r="K542" s="180">
        <f>SUMIFS(Table1[Horas efetivas],Table1[Tabela],Plano_V3!E542,Table1[Campo],Plano_V3!F542)</f>
        <v>4.0999999999999996</v>
      </c>
      <c r="L542" s="180">
        <f t="shared" si="342"/>
        <v>0.51249999999999996</v>
      </c>
      <c r="M542" s="174"/>
      <c r="N542" s="174">
        <f t="shared" si="343"/>
        <v>1</v>
      </c>
      <c r="O542" s="174">
        <f t="shared" si="338"/>
        <v>1</v>
      </c>
      <c r="P542" s="87" t="s">
        <v>332</v>
      </c>
      <c r="Q542" s="90">
        <f t="shared" si="339"/>
        <v>0.51249999999999996</v>
      </c>
      <c r="R542" s="78"/>
      <c r="S542" s="78"/>
      <c r="T542" s="78"/>
      <c r="U542" s="78"/>
      <c r="V542" s="78"/>
      <c r="W542" s="78"/>
      <c r="X542" s="78"/>
      <c r="Y542" s="78"/>
      <c r="Z542" s="78"/>
      <c r="AA542" s="78"/>
      <c r="AB542" s="78"/>
      <c r="AC542" s="78"/>
      <c r="AD542" s="78"/>
      <c r="AE542" s="78"/>
      <c r="AF542" s="78"/>
      <c r="AG542" s="78"/>
      <c r="AH542" s="78"/>
      <c r="AI542" s="78"/>
      <c r="AJ542" s="78"/>
      <c r="AK542" s="78"/>
      <c r="AL542" s="78"/>
      <c r="AM542" s="78"/>
      <c r="AN542" s="78"/>
      <c r="AO542" s="78"/>
      <c r="AP542" s="78"/>
      <c r="AQ542" s="78"/>
      <c r="AR542" s="78"/>
      <c r="AS542" s="78"/>
      <c r="AT542" s="78"/>
      <c r="AU542" s="78"/>
      <c r="AV542" s="78"/>
      <c r="AW542" s="78"/>
      <c r="AX542" s="78"/>
      <c r="AY542" s="91"/>
      <c r="AZ542" s="78"/>
      <c r="BA542" s="78"/>
      <c r="BB542" s="78"/>
      <c r="BC542" s="78"/>
      <c r="BD542" s="78"/>
      <c r="BE542" s="78"/>
      <c r="BF542" s="78"/>
      <c r="BG542" s="78"/>
      <c r="BH542" s="78"/>
      <c r="BI542" s="78"/>
      <c r="BJ542" s="78"/>
      <c r="BK542" s="78"/>
      <c r="BL542" s="78"/>
      <c r="BM542" s="78"/>
      <c r="BN542" s="78"/>
      <c r="BO542" s="78"/>
      <c r="BP542" s="78"/>
      <c r="BQ542" s="78"/>
      <c r="BR542" s="78"/>
      <c r="BS542" s="78"/>
      <c r="BT542" s="78"/>
      <c r="BU542" s="78"/>
      <c r="BV542" s="78"/>
      <c r="BW542" s="78"/>
      <c r="BX542" s="78"/>
      <c r="BY542" s="78"/>
      <c r="BZ542" s="78"/>
      <c r="CA542" s="78"/>
      <c r="CB542" s="78"/>
      <c r="CC542" s="78"/>
      <c r="CD542" s="78"/>
      <c r="CE542" s="78"/>
      <c r="CF542" s="78"/>
      <c r="CG542" s="78"/>
      <c r="CH542" s="78"/>
      <c r="CI542" s="78"/>
      <c r="CJ542" s="78"/>
      <c r="CK542" s="78"/>
      <c r="CL542" s="78"/>
      <c r="CM542" s="78"/>
      <c r="CN542" s="78"/>
      <c r="CO542" s="78"/>
      <c r="CP542" s="78"/>
      <c r="CQ542" s="78"/>
      <c r="CR542" s="78"/>
      <c r="CS542" s="78"/>
      <c r="CT542" s="78"/>
      <c r="CU542" s="78"/>
      <c r="CV542" s="78"/>
      <c r="CW542" s="78"/>
      <c r="CX542" s="78"/>
      <c r="CY542" s="78"/>
      <c r="CZ542" s="78"/>
      <c r="DA542" s="78"/>
      <c r="DB542" s="78"/>
      <c r="DC542" s="78"/>
      <c r="DD542" s="78"/>
      <c r="DE542" s="78"/>
      <c r="DF542" s="78"/>
      <c r="DG542" s="78"/>
      <c r="DH542" s="78"/>
      <c r="DI542" s="78"/>
      <c r="DJ542" s="78"/>
      <c r="DK542" s="78"/>
      <c r="DL542" s="78"/>
      <c r="DM542" s="78"/>
      <c r="DN542" s="78"/>
      <c r="DO542" s="78"/>
      <c r="DP542" s="78"/>
      <c r="DQ542" s="78"/>
      <c r="DR542" s="78"/>
      <c r="DS542" s="78"/>
      <c r="DT542" s="78"/>
      <c r="DU542" s="78"/>
      <c r="DV542" s="78"/>
      <c r="DW542" s="78"/>
      <c r="DX542" s="78"/>
      <c r="DY542" s="78"/>
      <c r="DZ542" s="78"/>
      <c r="EA542" s="78"/>
      <c r="EB542" s="78"/>
      <c r="EC542" s="78"/>
      <c r="ED542" s="78"/>
      <c r="EE542" s="78"/>
      <c r="EF542" s="78"/>
      <c r="EG542" s="78"/>
      <c r="EH542" s="78"/>
      <c r="EI542" s="78"/>
      <c r="EJ542" s="78"/>
      <c r="EK542" s="78"/>
      <c r="EL542" s="78"/>
      <c r="EM542" s="78"/>
      <c r="EN542" s="91"/>
      <c r="EO542" s="91"/>
      <c r="EP542" s="91"/>
      <c r="EQ542" s="91"/>
      <c r="ER542" s="91"/>
      <c r="ES542" s="91"/>
    </row>
    <row r="543" spans="1:149" outlineLevel="1">
      <c r="A543" s="29" t="str">
        <f t="shared" si="340"/>
        <v>modesg_out_sfics_taxon_europeian.a.</v>
      </c>
      <c r="B543" s="67" t="s">
        <v>26</v>
      </c>
      <c r="C543" s="68" t="s">
        <v>310</v>
      </c>
      <c r="D543" s="64" t="s">
        <v>36</v>
      </c>
      <c r="E543" s="66" t="s">
        <v>2079</v>
      </c>
      <c r="F543" s="64" t="s">
        <v>38</v>
      </c>
      <c r="G543" s="64" t="str">
        <f>INDEX(Auxiliar!$B$16:$B$24,MATCH(Plano_V3!H543,Auxiliar!$C$16:$C$24,0),1)</f>
        <v>1. Concluído</v>
      </c>
      <c r="H543" s="64">
        <f>VLOOKUP(A543,'Aux - pivots1'!$A:$B,2,0)</f>
        <v>1</v>
      </c>
      <c r="I543" s="180">
        <f>SUMIFS(Table1[Estimação (horas)],Table1[Tabela],Plano_V3!E543,Table1[Campo],Plano_V3!F543)</f>
        <v>8</v>
      </c>
      <c r="J543" s="180">
        <f t="shared" si="341"/>
        <v>1</v>
      </c>
      <c r="K543" s="180">
        <f>SUMIFS(Table1[Horas efetivas],Table1[Tabela],Plano_V3!E543,Table1[Campo],Plano_V3!F543)</f>
        <v>8</v>
      </c>
      <c r="L543" s="180">
        <f t="shared" si="342"/>
        <v>1</v>
      </c>
      <c r="M543" s="174"/>
      <c r="N543" s="174">
        <f t="shared" si="343"/>
        <v>1</v>
      </c>
      <c r="O543" s="174">
        <f t="shared" si="338"/>
        <v>1</v>
      </c>
      <c r="P543" s="87" t="s">
        <v>334</v>
      </c>
      <c r="Q543" s="90">
        <f t="shared" si="339"/>
        <v>1</v>
      </c>
      <c r="R543" s="78"/>
      <c r="S543" s="78"/>
      <c r="T543" s="78"/>
      <c r="U543" s="78"/>
      <c r="V543" s="78"/>
      <c r="W543" s="78"/>
      <c r="X543" s="78"/>
      <c r="Y543" s="78"/>
      <c r="Z543" s="78"/>
      <c r="AA543" s="78"/>
      <c r="AB543" s="78"/>
      <c r="AC543" s="78"/>
      <c r="AD543" s="78"/>
      <c r="AE543" s="78"/>
      <c r="AF543" s="78"/>
      <c r="AG543" s="78"/>
      <c r="AH543" s="78"/>
      <c r="AI543" s="78"/>
      <c r="AJ543" s="78"/>
      <c r="AK543" s="78"/>
      <c r="AL543" s="78"/>
      <c r="AM543" s="78"/>
      <c r="AN543" s="78"/>
      <c r="AO543" s="78"/>
      <c r="AP543" s="78"/>
      <c r="AQ543" s="78"/>
      <c r="AR543" s="78"/>
      <c r="AS543" s="78"/>
      <c r="AT543" s="78"/>
      <c r="AU543" s="78"/>
      <c r="AV543" s="78"/>
      <c r="AW543" s="78"/>
      <c r="AX543" s="78"/>
      <c r="AY543" s="91"/>
      <c r="AZ543" s="78"/>
      <c r="BA543" s="78"/>
      <c r="BB543" s="78"/>
      <c r="BC543" s="78"/>
      <c r="BD543" s="78"/>
      <c r="BE543" s="78"/>
      <c r="BF543" s="78"/>
      <c r="BG543" s="78"/>
      <c r="BH543" s="78"/>
      <c r="BI543" s="78"/>
      <c r="BJ543" s="78"/>
      <c r="BK543" s="78"/>
      <c r="BL543" s="78"/>
      <c r="BM543" s="78"/>
      <c r="BN543" s="78"/>
      <c r="BO543" s="78"/>
      <c r="BP543" s="78"/>
      <c r="BQ543" s="78"/>
      <c r="BR543" s="78"/>
      <c r="BS543" s="78"/>
      <c r="BT543" s="78"/>
      <c r="BU543" s="78"/>
      <c r="BV543" s="78"/>
      <c r="BW543" s="78"/>
      <c r="BX543" s="78"/>
      <c r="BY543" s="78"/>
      <c r="BZ543" s="78"/>
      <c r="CA543" s="78"/>
      <c r="CB543" s="78"/>
      <c r="CC543" s="78"/>
      <c r="CD543" s="78"/>
      <c r="CE543" s="78"/>
      <c r="CF543" s="78"/>
      <c r="CG543" s="78"/>
      <c r="CH543" s="78"/>
      <c r="CI543" s="78"/>
      <c r="CJ543" s="78"/>
      <c r="CK543" s="78"/>
      <c r="CL543" s="78"/>
      <c r="CM543" s="78"/>
      <c r="CN543" s="78"/>
      <c r="CO543" s="78"/>
      <c r="CP543" s="78"/>
      <c r="CQ543" s="78"/>
      <c r="CR543" s="78"/>
      <c r="CS543" s="78"/>
      <c r="CT543" s="78"/>
      <c r="CU543" s="78"/>
      <c r="CV543" s="78"/>
      <c r="CW543" s="78"/>
      <c r="CX543" s="78"/>
      <c r="CY543" s="78"/>
      <c r="CZ543" s="78"/>
      <c r="DA543" s="78"/>
      <c r="DB543" s="78"/>
      <c r="DC543" s="78"/>
      <c r="DD543" s="78"/>
      <c r="DE543" s="78"/>
      <c r="DF543" s="78"/>
      <c r="DG543" s="78"/>
      <c r="DH543" s="78"/>
      <c r="DI543" s="78"/>
      <c r="DJ543" s="78"/>
      <c r="DK543" s="78"/>
      <c r="DL543" s="78"/>
      <c r="DM543" s="78"/>
      <c r="DN543" s="78"/>
      <c r="DO543" s="78"/>
      <c r="DP543" s="78"/>
      <c r="DQ543" s="78"/>
      <c r="DR543" s="78"/>
      <c r="DS543" s="78"/>
      <c r="DT543" s="78"/>
      <c r="DU543" s="78"/>
      <c r="DV543" s="78"/>
      <c r="DW543" s="78"/>
      <c r="DX543" s="78"/>
      <c r="DY543" s="78"/>
      <c r="DZ543" s="78"/>
      <c r="EA543" s="78"/>
      <c r="EB543" s="78"/>
      <c r="EC543" s="78"/>
      <c r="ED543" s="78"/>
      <c r="EE543" s="78"/>
      <c r="EF543" s="78"/>
      <c r="EG543" s="78"/>
      <c r="EH543" s="78"/>
      <c r="EI543" s="78"/>
      <c r="EJ543" s="78"/>
      <c r="EK543" s="78"/>
      <c r="EL543" s="78"/>
      <c r="EM543" s="78"/>
      <c r="EN543" s="91"/>
      <c r="EO543" s="91"/>
      <c r="EP543" s="91"/>
      <c r="EQ543" s="91"/>
      <c r="ER543" s="91"/>
      <c r="ES543" s="91"/>
    </row>
    <row r="544" spans="1:149" outlineLevel="1">
      <c r="A544" s="29" t="str">
        <f t="shared" si="340"/>
        <v>modesg_out_sfics_taxon_europeiacbalcao</v>
      </c>
      <c r="B544" s="67" t="s">
        <v>26</v>
      </c>
      <c r="C544" s="68" t="s">
        <v>310</v>
      </c>
      <c r="D544" s="64" t="s">
        <v>40</v>
      </c>
      <c r="E544" s="66" t="s">
        <v>2079</v>
      </c>
      <c r="F544" s="64" t="s">
        <v>183</v>
      </c>
      <c r="G544" s="64" t="str">
        <f>INDEX(Auxiliar!$B$16:$B$24,MATCH(Plano_V3!H544,Auxiliar!$C$16:$C$24,0),1)</f>
        <v>1. Concluído</v>
      </c>
      <c r="H544" s="64">
        <f>VLOOKUP(A544,'Aux - pivots1'!$A:$B,2,0)</f>
        <v>1</v>
      </c>
      <c r="I544" s="180">
        <f>SUMIFS(Table1[Estimação (horas)],Table1[Tabela],Plano_V3!E544,Table1[Campo],Plano_V3!F544)</f>
        <v>4.0999999999999996</v>
      </c>
      <c r="J544" s="180">
        <f t="shared" si="341"/>
        <v>0.51249999999999996</v>
      </c>
      <c r="K544" s="180">
        <f>SUMIFS(Table1[Horas efetivas],Table1[Tabela],Plano_V3!E544,Table1[Campo],Plano_V3!F544)</f>
        <v>4.0999999999999996</v>
      </c>
      <c r="L544" s="180">
        <f t="shared" si="342"/>
        <v>0.51249999999999996</v>
      </c>
      <c r="M544" s="174"/>
      <c r="N544" s="174">
        <f t="shared" si="343"/>
        <v>1</v>
      </c>
      <c r="O544" s="174">
        <f t="shared" si="338"/>
        <v>1</v>
      </c>
      <c r="P544" s="87" t="s">
        <v>334</v>
      </c>
      <c r="Q544" s="90">
        <f t="shared" si="339"/>
        <v>0.51249999999999996</v>
      </c>
      <c r="R544" s="78"/>
      <c r="S544" s="78"/>
      <c r="T544" s="78"/>
      <c r="U544" s="78"/>
      <c r="V544" s="78"/>
      <c r="W544" s="78"/>
      <c r="X544" s="78"/>
      <c r="Y544" s="78"/>
      <c r="Z544" s="78"/>
      <c r="AA544" s="78"/>
      <c r="AB544" s="78"/>
      <c r="AC544" s="78"/>
      <c r="AD544" s="78"/>
      <c r="AE544" s="78"/>
      <c r="AF544" s="78"/>
      <c r="AG544" s="78"/>
      <c r="AH544" s="78"/>
      <c r="AI544" s="78"/>
      <c r="AJ544" s="78"/>
      <c r="AK544" s="78"/>
      <c r="AL544" s="78"/>
      <c r="AM544" s="78"/>
      <c r="AN544" s="78"/>
      <c r="AO544" s="78"/>
      <c r="AP544" s="78"/>
      <c r="AQ544" s="78"/>
      <c r="AR544" s="78"/>
      <c r="AS544" s="78"/>
      <c r="AT544" s="78"/>
      <c r="AU544" s="78"/>
      <c r="AV544" s="78"/>
      <c r="AW544" s="78"/>
      <c r="AX544" s="78"/>
      <c r="AY544" s="91"/>
      <c r="AZ544" s="78"/>
      <c r="BA544" s="78"/>
      <c r="BB544" s="78"/>
      <c r="BC544" s="78"/>
      <c r="BD544" s="78"/>
      <c r="BE544" s="78"/>
      <c r="BF544" s="78"/>
      <c r="BG544" s="78"/>
      <c r="BH544" s="78"/>
      <c r="BI544" s="78"/>
      <c r="BJ544" s="78"/>
      <c r="BK544" s="78"/>
      <c r="BL544" s="78"/>
      <c r="BM544" s="78"/>
      <c r="BN544" s="78"/>
      <c r="BO544" s="78"/>
      <c r="BP544" s="78"/>
      <c r="BQ544" s="78"/>
      <c r="BR544" s="78"/>
      <c r="BS544" s="78"/>
      <c r="BT544" s="78"/>
      <c r="BU544" s="78"/>
      <c r="BV544" s="78"/>
      <c r="BW544" s="78"/>
      <c r="BX544" s="78"/>
      <c r="BY544" s="78"/>
      <c r="BZ544" s="78"/>
      <c r="CA544" s="78"/>
      <c r="CB544" s="78"/>
      <c r="CC544" s="78"/>
      <c r="CD544" s="78"/>
      <c r="CE544" s="78"/>
      <c r="CF544" s="78"/>
      <c r="CG544" s="78"/>
      <c r="CH544" s="78"/>
      <c r="CI544" s="78"/>
      <c r="CJ544" s="78"/>
      <c r="CK544" s="78"/>
      <c r="CL544" s="78"/>
      <c r="CM544" s="78"/>
      <c r="CN544" s="78"/>
      <c r="CO544" s="78"/>
      <c r="CP544" s="78"/>
      <c r="CQ544" s="78"/>
      <c r="CR544" s="78"/>
      <c r="CS544" s="78"/>
      <c r="CT544" s="78"/>
      <c r="CU544" s="78"/>
      <c r="CV544" s="78"/>
      <c r="CW544" s="78"/>
      <c r="CX544" s="78"/>
      <c r="CY544" s="78"/>
      <c r="CZ544" s="78"/>
      <c r="DA544" s="78"/>
      <c r="DB544" s="78"/>
      <c r="DC544" s="78"/>
      <c r="DD544" s="78"/>
      <c r="DE544" s="78"/>
      <c r="DF544" s="78"/>
      <c r="DG544" s="78"/>
      <c r="DH544" s="78"/>
      <c r="DI544" s="78"/>
      <c r="DJ544" s="78"/>
      <c r="DK544" s="78"/>
      <c r="DL544" s="78"/>
      <c r="DM544" s="78"/>
      <c r="DN544" s="78"/>
      <c r="DO544" s="78"/>
      <c r="DP544" s="78"/>
      <c r="DQ544" s="78"/>
      <c r="DR544" s="78"/>
      <c r="DS544" s="78"/>
      <c r="DT544" s="78"/>
      <c r="DU544" s="78"/>
      <c r="DV544" s="78"/>
      <c r="DW544" s="78"/>
      <c r="DX544" s="78"/>
      <c r="DY544" s="78"/>
      <c r="DZ544" s="78"/>
      <c r="EA544" s="78"/>
      <c r="EB544" s="78"/>
      <c r="EC544" s="78"/>
      <c r="ED544" s="78"/>
      <c r="EE544" s="78"/>
      <c r="EF544" s="78"/>
      <c r="EG544" s="78"/>
      <c r="EH544" s="78"/>
      <c r="EI544" s="78"/>
      <c r="EJ544" s="78"/>
      <c r="EK544" s="78"/>
      <c r="EL544" s="78"/>
      <c r="EM544" s="78"/>
      <c r="EN544" s="91"/>
      <c r="EO544" s="91"/>
      <c r="EP544" s="91"/>
      <c r="EQ544" s="91"/>
      <c r="ER544" s="91"/>
      <c r="ES544" s="91"/>
    </row>
    <row r="545" spans="1:149" outlineLevel="1">
      <c r="A545" s="29" t="str">
        <f t="shared" si="340"/>
        <v>modesg_out_sfics_taxon_europeiacempresa</v>
      </c>
      <c r="B545" s="67" t="s">
        <v>26</v>
      </c>
      <c r="C545" s="68" t="s">
        <v>310</v>
      </c>
      <c r="D545" s="64" t="s">
        <v>40</v>
      </c>
      <c r="E545" s="66" t="s">
        <v>2079</v>
      </c>
      <c r="F545" s="64" t="s">
        <v>184</v>
      </c>
      <c r="G545" s="64" t="str">
        <f>INDEX(Auxiliar!$B$16:$B$24,MATCH(Plano_V3!H545,Auxiliar!$C$16:$C$24,0),1)</f>
        <v>1. Concluído</v>
      </c>
      <c r="H545" s="64">
        <f>VLOOKUP(A545,'Aux - pivots1'!$A:$B,2,0)</f>
        <v>1</v>
      </c>
      <c r="I545" s="180">
        <f>SUMIFS(Table1[Estimação (horas)],Table1[Tabela],Plano_V3!E545,Table1[Campo],Plano_V3!F545)</f>
        <v>4.0999999999999996</v>
      </c>
      <c r="J545" s="180">
        <f t="shared" si="341"/>
        <v>0.51249999999999996</v>
      </c>
      <c r="K545" s="180">
        <f>SUMIFS(Table1[Horas efetivas],Table1[Tabela],Plano_V3!E545,Table1[Campo],Plano_V3!F545)</f>
        <v>4.0999999999999996</v>
      </c>
      <c r="L545" s="180">
        <f t="shared" si="342"/>
        <v>0.51249999999999996</v>
      </c>
      <c r="M545" s="174"/>
      <c r="N545" s="174">
        <f t="shared" si="343"/>
        <v>1</v>
      </c>
      <c r="O545" s="174">
        <f t="shared" si="338"/>
        <v>1</v>
      </c>
      <c r="P545" s="87" t="s">
        <v>334</v>
      </c>
      <c r="Q545" s="90">
        <f t="shared" si="339"/>
        <v>0.51249999999999996</v>
      </c>
      <c r="R545" s="78"/>
      <c r="S545" s="78"/>
      <c r="T545" s="78"/>
      <c r="U545" s="78"/>
      <c r="V545" s="78"/>
      <c r="W545" s="78"/>
      <c r="X545" s="78"/>
      <c r="Y545" s="78"/>
      <c r="Z545" s="78"/>
      <c r="AA545" s="78"/>
      <c r="AB545" s="78"/>
      <c r="AC545" s="78"/>
      <c r="AD545" s="78"/>
      <c r="AE545" s="78"/>
      <c r="AF545" s="78"/>
      <c r="AG545" s="78"/>
      <c r="AH545" s="78"/>
      <c r="AI545" s="78"/>
      <c r="AJ545" s="78"/>
      <c r="AK545" s="78"/>
      <c r="AL545" s="78"/>
      <c r="AM545" s="78"/>
      <c r="AN545" s="78"/>
      <c r="AO545" s="78"/>
      <c r="AP545" s="78"/>
      <c r="AQ545" s="78"/>
      <c r="AR545" s="78"/>
      <c r="AS545" s="78"/>
      <c r="AT545" s="78"/>
      <c r="AU545" s="78"/>
      <c r="AV545" s="78"/>
      <c r="AW545" s="78"/>
      <c r="AX545" s="78"/>
      <c r="AY545" s="91"/>
      <c r="AZ545" s="78"/>
      <c r="BA545" s="78"/>
      <c r="BB545" s="78"/>
      <c r="BC545" s="78"/>
      <c r="BD545" s="78"/>
      <c r="BE545" s="78"/>
      <c r="BF545" s="78"/>
      <c r="BG545" s="78"/>
      <c r="BH545" s="78"/>
      <c r="BI545" s="78"/>
      <c r="BJ545" s="78"/>
      <c r="BK545" s="78"/>
      <c r="BL545" s="78"/>
      <c r="BM545" s="78"/>
      <c r="BN545" s="78"/>
      <c r="BO545" s="78"/>
      <c r="BP545" s="78"/>
      <c r="BQ545" s="78"/>
      <c r="BR545" s="78"/>
      <c r="BS545" s="78"/>
      <c r="BT545" s="78"/>
      <c r="BU545" s="78"/>
      <c r="BV545" s="78"/>
      <c r="BW545" s="78"/>
      <c r="BX545" s="78"/>
      <c r="BY545" s="78"/>
      <c r="BZ545" s="78"/>
      <c r="CA545" s="78"/>
      <c r="CB545" s="78"/>
      <c r="CC545" s="78"/>
      <c r="CD545" s="78"/>
      <c r="CE545" s="78"/>
      <c r="CF545" s="78"/>
      <c r="CG545" s="78"/>
      <c r="CH545" s="78"/>
      <c r="CI545" s="78"/>
      <c r="CJ545" s="78"/>
      <c r="CK545" s="78"/>
      <c r="CL545" s="78"/>
      <c r="CM545" s="78"/>
      <c r="CN545" s="78"/>
      <c r="CO545" s="78"/>
      <c r="CP545" s="78"/>
      <c r="CQ545" s="78"/>
      <c r="CR545" s="78"/>
      <c r="CS545" s="78"/>
      <c r="CT545" s="78"/>
      <c r="CU545" s="78"/>
      <c r="CV545" s="78"/>
      <c r="CW545" s="78"/>
      <c r="CX545" s="78"/>
      <c r="CY545" s="78"/>
      <c r="CZ545" s="78"/>
      <c r="DA545" s="78"/>
      <c r="DB545" s="78"/>
      <c r="DC545" s="78"/>
      <c r="DD545" s="78"/>
      <c r="DE545" s="78"/>
      <c r="DF545" s="78"/>
      <c r="DG545" s="78"/>
      <c r="DH545" s="78"/>
      <c r="DI545" s="78"/>
      <c r="DJ545" s="78"/>
      <c r="DK545" s="78"/>
      <c r="DL545" s="78"/>
      <c r="DM545" s="78"/>
      <c r="DN545" s="78"/>
      <c r="DO545" s="78"/>
      <c r="DP545" s="78"/>
      <c r="DQ545" s="78"/>
      <c r="DR545" s="78"/>
      <c r="DS545" s="78"/>
      <c r="DT545" s="78"/>
      <c r="DU545" s="78"/>
      <c r="DV545" s="78"/>
      <c r="DW545" s="78"/>
      <c r="DX545" s="78"/>
      <c r="DY545" s="78"/>
      <c r="DZ545" s="78"/>
      <c r="EA545" s="78"/>
      <c r="EB545" s="78"/>
      <c r="EC545" s="78"/>
      <c r="ED545" s="78"/>
      <c r="EE545" s="78"/>
      <c r="EF545" s="78"/>
      <c r="EG545" s="78"/>
      <c r="EH545" s="78"/>
      <c r="EI545" s="78"/>
      <c r="EJ545" s="78"/>
      <c r="EK545" s="78"/>
      <c r="EL545" s="78"/>
      <c r="EM545" s="78"/>
      <c r="EN545" s="91"/>
      <c r="EO545" s="91"/>
      <c r="EP545" s="91"/>
      <c r="EQ545" s="91"/>
      <c r="ER545" s="91"/>
      <c r="ES545" s="91"/>
    </row>
    <row r="546" spans="1:149" outlineLevel="1">
      <c r="A546" s="29" t="str">
        <f t="shared" si="340"/>
        <v>modesg_out_sfics_taxon_europeiacnumecta</v>
      </c>
      <c r="B546" s="67" t="s">
        <v>26</v>
      </c>
      <c r="C546" s="68" t="s">
        <v>310</v>
      </c>
      <c r="D546" s="64" t="s">
        <v>40</v>
      </c>
      <c r="E546" s="66" t="s">
        <v>2079</v>
      </c>
      <c r="F546" s="64" t="s">
        <v>189</v>
      </c>
      <c r="G546" s="64" t="str">
        <f>INDEX(Auxiliar!$B$16:$B$24,MATCH(Plano_V3!H546,Auxiliar!$C$16:$C$24,0),1)</f>
        <v>1. Concluído</v>
      </c>
      <c r="H546" s="64">
        <f>VLOOKUP(A546,'Aux - pivots1'!$A:$B,2,0)</f>
        <v>1</v>
      </c>
      <c r="I546" s="180">
        <f>SUMIFS(Table1[Estimação (horas)],Table1[Tabela],Plano_V3!E546,Table1[Campo],Plano_V3!F546)</f>
        <v>4.0999999999999996</v>
      </c>
      <c r="J546" s="180">
        <f t="shared" si="341"/>
        <v>0.51249999999999996</v>
      </c>
      <c r="K546" s="180">
        <f>SUMIFS(Table1[Horas efetivas],Table1[Tabela],Plano_V3!E546,Table1[Campo],Plano_V3!F546)</f>
        <v>4.0999999999999996</v>
      </c>
      <c r="L546" s="180">
        <f t="shared" si="342"/>
        <v>0.51249999999999996</v>
      </c>
      <c r="M546" s="174"/>
      <c r="N546" s="174">
        <f t="shared" si="343"/>
        <v>1</v>
      </c>
      <c r="O546" s="174">
        <f t="shared" si="338"/>
        <v>1</v>
      </c>
      <c r="P546" s="87" t="s">
        <v>334</v>
      </c>
      <c r="Q546" s="90">
        <f t="shared" si="339"/>
        <v>0.51249999999999996</v>
      </c>
      <c r="R546" s="78"/>
      <c r="S546" s="78"/>
      <c r="T546" s="78"/>
      <c r="U546" s="78"/>
      <c r="V546" s="78"/>
      <c r="W546" s="78"/>
      <c r="X546" s="78"/>
      <c r="Y546" s="78"/>
      <c r="Z546" s="78"/>
      <c r="AA546" s="78"/>
      <c r="AB546" s="78"/>
      <c r="AC546" s="78"/>
      <c r="AD546" s="78"/>
      <c r="AE546" s="78"/>
      <c r="AF546" s="78"/>
      <c r="AG546" s="78"/>
      <c r="AH546" s="78"/>
      <c r="AI546" s="78"/>
      <c r="AJ546" s="78"/>
      <c r="AK546" s="78"/>
      <c r="AL546" s="78"/>
      <c r="AM546" s="78"/>
      <c r="AN546" s="78"/>
      <c r="AO546" s="78"/>
      <c r="AP546" s="78"/>
      <c r="AQ546" s="78"/>
      <c r="AR546" s="78"/>
      <c r="AS546" s="78"/>
      <c r="AT546" s="78"/>
      <c r="AU546" s="78"/>
      <c r="AV546" s="78"/>
      <c r="AW546" s="78"/>
      <c r="AX546" s="78"/>
      <c r="AY546" s="91"/>
      <c r="AZ546" s="78"/>
      <c r="BA546" s="78"/>
      <c r="BB546" s="78"/>
      <c r="BC546" s="78"/>
      <c r="BD546" s="78"/>
      <c r="BE546" s="78"/>
      <c r="BF546" s="78"/>
      <c r="BG546" s="78"/>
      <c r="BH546" s="78"/>
      <c r="BI546" s="78"/>
      <c r="BJ546" s="78"/>
      <c r="BK546" s="78"/>
      <c r="BL546" s="78"/>
      <c r="BM546" s="78"/>
      <c r="BN546" s="78"/>
      <c r="BO546" s="78"/>
      <c r="BP546" s="78"/>
      <c r="BQ546" s="78"/>
      <c r="BR546" s="78"/>
      <c r="BS546" s="78"/>
      <c r="BT546" s="78"/>
      <c r="BU546" s="78"/>
      <c r="BV546" s="78"/>
      <c r="BW546" s="78"/>
      <c r="BX546" s="78"/>
      <c r="BY546" s="78"/>
      <c r="BZ546" s="78"/>
      <c r="CA546" s="78"/>
      <c r="CB546" s="78"/>
      <c r="CC546" s="78"/>
      <c r="CD546" s="78"/>
      <c r="CE546" s="78"/>
      <c r="CF546" s="78"/>
      <c r="CG546" s="78"/>
      <c r="CH546" s="78"/>
      <c r="CI546" s="78"/>
      <c r="CJ546" s="78"/>
      <c r="CK546" s="78"/>
      <c r="CL546" s="78"/>
      <c r="CM546" s="78"/>
      <c r="CN546" s="78"/>
      <c r="CO546" s="78"/>
      <c r="CP546" s="78"/>
      <c r="CQ546" s="78"/>
      <c r="CR546" s="78"/>
      <c r="CS546" s="78"/>
      <c r="CT546" s="78"/>
      <c r="CU546" s="78"/>
      <c r="CV546" s="78"/>
      <c r="CW546" s="78"/>
      <c r="CX546" s="78"/>
      <c r="CY546" s="78"/>
      <c r="CZ546" s="78"/>
      <c r="DA546" s="78"/>
      <c r="DB546" s="78"/>
      <c r="DC546" s="78"/>
      <c r="DD546" s="78"/>
      <c r="DE546" s="78"/>
      <c r="DF546" s="78"/>
      <c r="DG546" s="78"/>
      <c r="DH546" s="78"/>
      <c r="DI546" s="78"/>
      <c r="DJ546" s="78"/>
      <c r="DK546" s="78"/>
      <c r="DL546" s="78"/>
      <c r="DM546" s="78"/>
      <c r="DN546" s="78"/>
      <c r="DO546" s="78"/>
      <c r="DP546" s="78"/>
      <c r="DQ546" s="78"/>
      <c r="DR546" s="78"/>
      <c r="DS546" s="78"/>
      <c r="DT546" s="78"/>
      <c r="DU546" s="78"/>
      <c r="DV546" s="78"/>
      <c r="DW546" s="78"/>
      <c r="DX546" s="78"/>
      <c r="DY546" s="78"/>
      <c r="DZ546" s="78"/>
      <c r="EA546" s="78"/>
      <c r="EB546" s="78"/>
      <c r="EC546" s="78"/>
      <c r="ED546" s="78"/>
      <c r="EE546" s="78"/>
      <c r="EF546" s="78"/>
      <c r="EG546" s="78"/>
      <c r="EH546" s="78"/>
      <c r="EI546" s="78"/>
      <c r="EJ546" s="78"/>
      <c r="EK546" s="78"/>
      <c r="EL546" s="78"/>
      <c r="EM546" s="78"/>
      <c r="EN546" s="91"/>
      <c r="EO546" s="91"/>
      <c r="EP546" s="91"/>
      <c r="EQ546" s="91"/>
      <c r="ER546" s="91"/>
      <c r="ES546" s="91"/>
    </row>
    <row r="547" spans="1:149" outlineLevel="1">
      <c r="A547" s="29" t="str">
        <f t="shared" si="340"/>
        <v>modesg_out_sfics_taxon_europeiacod_regra</v>
      </c>
      <c r="B547" s="67" t="s">
        <v>26</v>
      </c>
      <c r="C547" s="68" t="s">
        <v>310</v>
      </c>
      <c r="D547" s="64" t="s">
        <v>40</v>
      </c>
      <c r="E547" s="66" t="s">
        <v>2079</v>
      </c>
      <c r="F547" s="64" t="s">
        <v>191</v>
      </c>
      <c r="G547" s="64" t="str">
        <f>INDEX(Auxiliar!$B$16:$B$24,MATCH(Plano_V3!H547,Auxiliar!$C$16:$C$24,0),1)</f>
        <v>0. Cancelado</v>
      </c>
      <c r="H547" s="64">
        <f>VLOOKUP(A547,'Aux - pivots1'!$A:$B,2,0)</f>
        <v>0</v>
      </c>
      <c r="I547" s="180">
        <f>SUMIFS(Table1[Estimação (horas)],Table1[Tabela],Plano_V3!E547,Table1[Campo],Plano_V3!F547)</f>
        <v>4.0999999999999996</v>
      </c>
      <c r="J547" s="180">
        <f t="shared" si="341"/>
        <v>0.51249999999999996</v>
      </c>
      <c r="K547" s="180">
        <f>SUMIFS(Table1[Horas efetivas],Table1[Tabela],Plano_V3!E547,Table1[Campo],Plano_V3!F547)</f>
        <v>0</v>
      </c>
      <c r="L547" s="180">
        <f t="shared" si="342"/>
        <v>0</v>
      </c>
      <c r="M547" s="174"/>
      <c r="N547" s="174">
        <f t="shared" si="343"/>
        <v>0</v>
      </c>
      <c r="O547" s="174">
        <f t="shared" si="338"/>
        <v>0</v>
      </c>
      <c r="P547" s="87" t="s">
        <v>334</v>
      </c>
      <c r="Q547" s="90">
        <f t="shared" si="339"/>
        <v>0.51249999999999996</v>
      </c>
      <c r="R547" s="78"/>
      <c r="S547" s="78"/>
      <c r="T547" s="78"/>
      <c r="U547" s="78"/>
      <c r="V547" s="78"/>
      <c r="W547" s="78"/>
      <c r="X547" s="78"/>
      <c r="Y547" s="78"/>
      <c r="Z547" s="78"/>
      <c r="AA547" s="78"/>
      <c r="AB547" s="78"/>
      <c r="AC547" s="78"/>
      <c r="AD547" s="78"/>
      <c r="AE547" s="78"/>
      <c r="AF547" s="78"/>
      <c r="AG547" s="78"/>
      <c r="AH547" s="78"/>
      <c r="AI547" s="78"/>
      <c r="AJ547" s="78"/>
      <c r="AK547" s="78"/>
      <c r="AL547" s="78"/>
      <c r="AM547" s="78"/>
      <c r="AN547" s="78"/>
      <c r="AO547" s="78"/>
      <c r="AP547" s="78"/>
      <c r="AQ547" s="78"/>
      <c r="AR547" s="78"/>
      <c r="AS547" s="78"/>
      <c r="AT547" s="78"/>
      <c r="AU547" s="78"/>
      <c r="AV547" s="78"/>
      <c r="AW547" s="78"/>
      <c r="AX547" s="78"/>
      <c r="AY547" s="91"/>
      <c r="AZ547" s="78"/>
      <c r="BA547" s="78"/>
      <c r="BB547" s="78"/>
      <c r="BC547" s="78"/>
      <c r="BD547" s="78"/>
      <c r="BE547" s="78"/>
      <c r="BF547" s="78"/>
      <c r="BG547" s="78"/>
      <c r="BH547" s="78"/>
      <c r="BI547" s="78"/>
      <c r="BJ547" s="78"/>
      <c r="BK547" s="78"/>
      <c r="BL547" s="78"/>
      <c r="BM547" s="78"/>
      <c r="BN547" s="78"/>
      <c r="BO547" s="78"/>
      <c r="BP547" s="78"/>
      <c r="BQ547" s="78"/>
      <c r="BR547" s="78"/>
      <c r="BS547" s="78"/>
      <c r="BT547" s="78"/>
      <c r="BU547" s="78"/>
      <c r="BV547" s="78"/>
      <c r="BW547" s="78"/>
      <c r="BX547" s="78"/>
      <c r="BY547" s="78"/>
      <c r="BZ547" s="78"/>
      <c r="CA547" s="78"/>
      <c r="CB547" s="78"/>
      <c r="CC547" s="78"/>
      <c r="CD547" s="78"/>
      <c r="CE547" s="78"/>
      <c r="CF547" s="78"/>
      <c r="CG547" s="78"/>
      <c r="CH547" s="78"/>
      <c r="CI547" s="78"/>
      <c r="CJ547" s="78"/>
      <c r="CK547" s="78"/>
      <c r="CL547" s="78"/>
      <c r="CM547" s="78"/>
      <c r="CN547" s="78"/>
      <c r="CO547" s="78"/>
      <c r="CP547" s="78"/>
      <c r="CQ547" s="78"/>
      <c r="CR547" s="78"/>
      <c r="CS547" s="78"/>
      <c r="CT547" s="78"/>
      <c r="CU547" s="78"/>
      <c r="CV547" s="78"/>
      <c r="CW547" s="78"/>
      <c r="CX547" s="78"/>
      <c r="CY547" s="78"/>
      <c r="CZ547" s="78"/>
      <c r="DA547" s="78"/>
      <c r="DB547" s="78"/>
      <c r="DC547" s="78"/>
      <c r="DD547" s="78"/>
      <c r="DE547" s="78"/>
      <c r="DF547" s="78"/>
      <c r="DG547" s="78"/>
      <c r="DH547" s="78"/>
      <c r="DI547" s="78"/>
      <c r="DJ547" s="78"/>
      <c r="DK547" s="78"/>
      <c r="DL547" s="78"/>
      <c r="DM547" s="78"/>
      <c r="DN547" s="78"/>
      <c r="DO547" s="78"/>
      <c r="DP547" s="78"/>
      <c r="DQ547" s="78"/>
      <c r="DR547" s="78"/>
      <c r="DS547" s="78"/>
      <c r="DT547" s="78"/>
      <c r="DU547" s="78"/>
      <c r="DV547" s="78"/>
      <c r="DW547" s="78"/>
      <c r="DX547" s="78"/>
      <c r="DY547" s="78"/>
      <c r="DZ547" s="78"/>
      <c r="EA547" s="78"/>
      <c r="EB547" s="78"/>
      <c r="EC547" s="78"/>
      <c r="ED547" s="78"/>
      <c r="EE547" s="78"/>
      <c r="EF547" s="78"/>
      <c r="EG547" s="78"/>
      <c r="EH547" s="78"/>
      <c r="EI547" s="78"/>
      <c r="EJ547" s="78"/>
      <c r="EK547" s="78"/>
      <c r="EL547" s="78"/>
      <c r="EM547" s="78"/>
      <c r="EN547" s="91"/>
      <c r="EO547" s="91"/>
      <c r="EP547" s="91"/>
      <c r="EQ547" s="91"/>
      <c r="ER547" s="91"/>
      <c r="ES547" s="91"/>
    </row>
    <row r="548" spans="1:149" outlineLevel="1">
      <c r="A548" s="29" t="str">
        <f t="shared" si="340"/>
        <v>modesg_out_sfics_taxon_europeiaordem</v>
      </c>
      <c r="B548" s="67" t="s">
        <v>26</v>
      </c>
      <c r="C548" s="68" t="s">
        <v>310</v>
      </c>
      <c r="D548" s="64" t="s">
        <v>40</v>
      </c>
      <c r="E548" s="66" t="s">
        <v>2079</v>
      </c>
      <c r="F548" s="64" t="s">
        <v>211</v>
      </c>
      <c r="G548" s="64" t="str">
        <f>INDEX(Auxiliar!$B$16:$B$24,MATCH(Plano_V3!H548,Auxiliar!$C$16:$C$24,0),1)</f>
        <v>0. Cancelado</v>
      </c>
      <c r="H548" s="64">
        <f>VLOOKUP(A548,'Aux - pivots1'!$A:$B,2,0)</f>
        <v>0</v>
      </c>
      <c r="I548" s="180">
        <f>SUMIFS(Table1[Estimação (horas)],Table1[Tabela],Plano_V3!E548,Table1[Campo],Plano_V3!F548)</f>
        <v>4.0999999999999996</v>
      </c>
      <c r="J548" s="180">
        <f t="shared" si="341"/>
        <v>0.51249999999999996</v>
      </c>
      <c r="K548" s="180">
        <f>SUMIFS(Table1[Horas efetivas],Table1[Tabela],Plano_V3!E548,Table1[Campo],Plano_V3!F548)</f>
        <v>0</v>
      </c>
      <c r="L548" s="180">
        <f t="shared" si="342"/>
        <v>0</v>
      </c>
      <c r="M548" s="174"/>
      <c r="N548" s="174">
        <f t="shared" si="343"/>
        <v>0</v>
      </c>
      <c r="O548" s="174">
        <f t="shared" si="338"/>
        <v>0</v>
      </c>
      <c r="P548" s="87" t="s">
        <v>334</v>
      </c>
      <c r="Q548" s="90">
        <f t="shared" si="339"/>
        <v>0.51249999999999996</v>
      </c>
      <c r="R548" s="78"/>
      <c r="S548" s="78"/>
      <c r="T548" s="78"/>
      <c r="U548" s="78"/>
      <c r="V548" s="78"/>
      <c r="W548" s="78"/>
      <c r="X548" s="78"/>
      <c r="Y548" s="78"/>
      <c r="Z548" s="78"/>
      <c r="AA548" s="78"/>
      <c r="AB548" s="78"/>
      <c r="AC548" s="78"/>
      <c r="AD548" s="78"/>
      <c r="AE548" s="78"/>
      <c r="AF548" s="78"/>
      <c r="AG548" s="78"/>
      <c r="AH548" s="78"/>
      <c r="AI548" s="78"/>
      <c r="AJ548" s="78"/>
      <c r="AK548" s="78"/>
      <c r="AL548" s="78"/>
      <c r="AM548" s="78"/>
      <c r="AN548" s="78"/>
      <c r="AO548" s="78"/>
      <c r="AP548" s="78"/>
      <c r="AQ548" s="78"/>
      <c r="AR548" s="78"/>
      <c r="AS548" s="78"/>
      <c r="AT548" s="78"/>
      <c r="AU548" s="78"/>
      <c r="AV548" s="78"/>
      <c r="AW548" s="78"/>
      <c r="AX548" s="78"/>
      <c r="AY548" s="91"/>
      <c r="AZ548" s="78"/>
      <c r="BA548" s="78"/>
      <c r="BB548" s="78"/>
      <c r="BC548" s="78"/>
      <c r="BD548" s="78"/>
      <c r="BE548" s="78"/>
      <c r="BF548" s="78"/>
      <c r="BG548" s="78"/>
      <c r="BH548" s="78"/>
      <c r="BI548" s="78"/>
      <c r="BJ548" s="78"/>
      <c r="BK548" s="78"/>
      <c r="BL548" s="78"/>
      <c r="BM548" s="78"/>
      <c r="BN548" s="78"/>
      <c r="BO548" s="78"/>
      <c r="BP548" s="78"/>
      <c r="BQ548" s="78"/>
      <c r="BR548" s="78"/>
      <c r="BS548" s="78"/>
      <c r="BT548" s="78"/>
      <c r="BU548" s="78"/>
      <c r="BV548" s="78"/>
      <c r="BW548" s="78"/>
      <c r="BX548" s="78"/>
      <c r="BY548" s="78"/>
      <c r="BZ548" s="78"/>
      <c r="CA548" s="78"/>
      <c r="CB548" s="78"/>
      <c r="CC548" s="78"/>
      <c r="CD548" s="78"/>
      <c r="CE548" s="78"/>
      <c r="CF548" s="78"/>
      <c r="CG548" s="78"/>
      <c r="CH548" s="78"/>
      <c r="CI548" s="78"/>
      <c r="CJ548" s="78"/>
      <c r="CK548" s="78"/>
      <c r="CL548" s="78"/>
      <c r="CM548" s="78"/>
      <c r="CN548" s="78"/>
      <c r="CO548" s="78"/>
      <c r="CP548" s="78"/>
      <c r="CQ548" s="78"/>
      <c r="CR548" s="78"/>
      <c r="CS548" s="78"/>
      <c r="CT548" s="78"/>
      <c r="CU548" s="78"/>
      <c r="CV548" s="78"/>
      <c r="CW548" s="78"/>
      <c r="CX548" s="78"/>
      <c r="CY548" s="78"/>
      <c r="CZ548" s="78"/>
      <c r="DA548" s="78"/>
      <c r="DB548" s="78"/>
      <c r="DC548" s="78"/>
      <c r="DD548" s="78"/>
      <c r="DE548" s="78"/>
      <c r="DF548" s="78"/>
      <c r="DG548" s="78"/>
      <c r="DH548" s="78"/>
      <c r="DI548" s="78"/>
      <c r="DJ548" s="78"/>
      <c r="DK548" s="78"/>
      <c r="DL548" s="78"/>
      <c r="DM548" s="78"/>
      <c r="DN548" s="78"/>
      <c r="DO548" s="78"/>
      <c r="DP548" s="78"/>
      <c r="DQ548" s="78"/>
      <c r="DR548" s="78"/>
      <c r="DS548" s="78"/>
      <c r="DT548" s="78"/>
      <c r="DU548" s="78"/>
      <c r="DV548" s="78"/>
      <c r="DW548" s="78"/>
      <c r="DX548" s="78"/>
      <c r="DY548" s="78"/>
      <c r="DZ548" s="78"/>
      <c r="EA548" s="78"/>
      <c r="EB548" s="78"/>
      <c r="EC548" s="78"/>
      <c r="ED548" s="78"/>
      <c r="EE548" s="78"/>
      <c r="EF548" s="78"/>
      <c r="EG548" s="78"/>
      <c r="EH548" s="78"/>
      <c r="EI548" s="78"/>
      <c r="EJ548" s="78"/>
      <c r="EK548" s="78"/>
      <c r="EL548" s="78"/>
      <c r="EM548" s="78"/>
      <c r="EN548" s="91"/>
      <c r="EO548" s="91"/>
      <c r="EP548" s="91"/>
      <c r="EQ548" s="91"/>
      <c r="ER548" s="91"/>
      <c r="ES548" s="91"/>
    </row>
    <row r="549" spans="1:149" outlineLevel="1">
      <c r="A549" s="29" t="str">
        <f>E549&amp;F549</f>
        <v>modesg_out_sfics_taxon_europeianivel</v>
      </c>
      <c r="B549" s="67" t="s">
        <v>26</v>
      </c>
      <c r="C549" s="68" t="s">
        <v>310</v>
      </c>
      <c r="D549" s="64" t="s">
        <v>40</v>
      </c>
      <c r="E549" s="66" t="s">
        <v>2079</v>
      </c>
      <c r="F549" s="64" t="s">
        <v>2407</v>
      </c>
      <c r="G549" s="64" t="str">
        <f>INDEX(Auxiliar!$B$16:$B$24,MATCH(Plano_V3!H549,Auxiliar!$C$16:$C$24,0),1)</f>
        <v>0. Cancelado</v>
      </c>
      <c r="H549" s="64">
        <f>VLOOKUP(A549,'Aux - pivots1'!$A:$B,2,0)</f>
        <v>0</v>
      </c>
      <c r="I549" s="180">
        <f>SUMIFS(Table1[Estimação (horas)],Table1[Tabela],Plano_V3!E549,Table1[Campo],Plano_V3!F549)</f>
        <v>0.1</v>
      </c>
      <c r="J549" s="180">
        <f>I549/8</f>
        <v>1.2500000000000001E-2</v>
      </c>
      <c r="K549" s="180">
        <f>SUMIFS(Table1[Horas efetivas],Table1[Tabela],Plano_V3!E549,Table1[Campo],Plano_V3!F549)</f>
        <v>0</v>
      </c>
      <c r="L549" s="180">
        <f>K549/8</f>
        <v>0</v>
      </c>
      <c r="M549" s="174"/>
      <c r="N549" s="174">
        <f>L549/J549</f>
        <v>0</v>
      </c>
      <c r="O549" s="174">
        <f>N549-M549</f>
        <v>0</v>
      </c>
      <c r="P549" s="87" t="s">
        <v>334</v>
      </c>
      <c r="Q549" s="90">
        <f>J549-SUM(R549:ES549)</f>
        <v>1.2500000000000001E-2</v>
      </c>
      <c r="R549" s="78"/>
      <c r="S549" s="78"/>
      <c r="T549" s="78"/>
      <c r="U549" s="78"/>
      <c r="V549" s="78"/>
      <c r="W549" s="78"/>
      <c r="X549" s="78"/>
      <c r="Y549" s="78"/>
      <c r="Z549" s="78"/>
      <c r="AA549" s="78"/>
      <c r="AB549" s="78"/>
      <c r="AC549" s="78"/>
      <c r="AD549" s="78"/>
      <c r="AE549" s="78"/>
      <c r="AF549" s="78"/>
      <c r="AG549" s="78"/>
      <c r="AH549" s="78"/>
      <c r="AI549" s="78"/>
      <c r="AJ549" s="78"/>
      <c r="AK549" s="78"/>
      <c r="AL549" s="78"/>
      <c r="AM549" s="78"/>
      <c r="AN549" s="78"/>
      <c r="AO549" s="78"/>
      <c r="AP549" s="78"/>
      <c r="AQ549" s="78"/>
      <c r="AR549" s="78"/>
      <c r="AS549" s="78"/>
      <c r="AT549" s="78"/>
      <c r="AU549" s="78"/>
      <c r="AV549" s="78"/>
      <c r="AW549" s="78"/>
      <c r="AX549" s="78"/>
      <c r="AY549" s="91"/>
      <c r="AZ549" s="78"/>
      <c r="BA549" s="78"/>
      <c r="BB549" s="78"/>
      <c r="BC549" s="78"/>
      <c r="BD549" s="78"/>
      <c r="BE549" s="78"/>
      <c r="BF549" s="78"/>
      <c r="BG549" s="78"/>
      <c r="BH549" s="78"/>
      <c r="BI549" s="78"/>
      <c r="BJ549" s="78"/>
      <c r="BK549" s="78"/>
      <c r="BL549" s="78"/>
      <c r="BM549" s="78"/>
      <c r="BN549" s="78"/>
      <c r="BO549" s="78"/>
      <c r="BP549" s="78"/>
      <c r="BQ549" s="78"/>
      <c r="BR549" s="78"/>
      <c r="BS549" s="78"/>
      <c r="BT549" s="78"/>
      <c r="BU549" s="78"/>
      <c r="BV549" s="78"/>
      <c r="BW549" s="78"/>
      <c r="BX549" s="78"/>
      <c r="BY549" s="78"/>
      <c r="BZ549" s="78"/>
      <c r="CA549" s="78"/>
      <c r="CB549" s="78"/>
      <c r="CC549" s="78"/>
      <c r="CD549" s="78"/>
      <c r="CE549" s="78"/>
      <c r="CF549" s="78"/>
      <c r="CG549" s="78"/>
      <c r="CH549" s="78"/>
      <c r="CI549" s="78"/>
      <c r="CJ549" s="78"/>
      <c r="CK549" s="78"/>
      <c r="CL549" s="78"/>
      <c r="CM549" s="78"/>
      <c r="CN549" s="78"/>
      <c r="CO549" s="78"/>
      <c r="CP549" s="78"/>
      <c r="CQ549" s="78"/>
      <c r="CR549" s="78"/>
      <c r="CS549" s="78"/>
      <c r="CT549" s="78"/>
      <c r="CU549" s="78"/>
      <c r="CV549" s="78"/>
      <c r="CW549" s="78"/>
      <c r="CX549" s="78"/>
      <c r="CY549" s="78"/>
      <c r="CZ549" s="78"/>
      <c r="DA549" s="78"/>
      <c r="DB549" s="78"/>
      <c r="DC549" s="78"/>
      <c r="DD549" s="78"/>
      <c r="DE549" s="78"/>
      <c r="DF549" s="78"/>
      <c r="DG549" s="78"/>
      <c r="DH549" s="78"/>
      <c r="DI549" s="78"/>
      <c r="DJ549" s="78"/>
      <c r="DK549" s="78"/>
      <c r="DL549" s="78"/>
      <c r="DM549" s="78"/>
      <c r="DN549" s="78"/>
      <c r="DO549" s="78"/>
      <c r="DP549" s="78"/>
      <c r="DQ549" s="78"/>
      <c r="DR549" s="78"/>
      <c r="DS549" s="78"/>
      <c r="DT549" s="78"/>
      <c r="DU549" s="78"/>
      <c r="DV549" s="78"/>
      <c r="DW549" s="78"/>
      <c r="DX549" s="78"/>
      <c r="DY549" s="78"/>
      <c r="DZ549" s="78"/>
      <c r="EA549" s="78"/>
      <c r="EB549" s="78"/>
      <c r="EC549" s="78"/>
      <c r="ED549" s="78"/>
      <c r="EE549" s="78"/>
      <c r="EF549" s="78"/>
      <c r="EG549" s="78"/>
      <c r="EH549" s="78"/>
      <c r="EI549" s="78"/>
      <c r="EJ549" s="78"/>
      <c r="EK549" s="78"/>
      <c r="EL549" s="78"/>
      <c r="EM549" s="78"/>
      <c r="EN549" s="91"/>
      <c r="EO549" s="91"/>
      <c r="EP549" s="91"/>
      <c r="EQ549" s="91"/>
      <c r="ER549" s="91"/>
      <c r="ES549" s="91"/>
    </row>
    <row r="550" spans="1:149" outlineLevel="1">
      <c r="A550" s="29" t="str">
        <f t="shared" si="340"/>
        <v>modesg_out_sfics_taxon_europeiamontante_pndrc</v>
      </c>
      <c r="B550" s="67" t="s">
        <v>26</v>
      </c>
      <c r="C550" s="68" t="s">
        <v>310</v>
      </c>
      <c r="D550" s="64" t="s">
        <v>40</v>
      </c>
      <c r="E550" s="66" t="s">
        <v>2079</v>
      </c>
      <c r="F550" s="64" t="s">
        <v>202</v>
      </c>
      <c r="G550" s="64" t="str">
        <f>INDEX(Auxiliar!$B$16:$B$24,MATCH(Plano_V3!H550,Auxiliar!$C$16:$C$24,0),1)</f>
        <v>1. Concluído</v>
      </c>
      <c r="H550" s="64">
        <f>VLOOKUP(A550,'Aux - pivots1'!$A:$B,2,0)</f>
        <v>1</v>
      </c>
      <c r="I550" s="180">
        <f>SUMIFS(Table1[Estimação (horas)],Table1[Tabela],Plano_V3!E550,Table1[Campo],Plano_V3!F550)</f>
        <v>16.100000000000001</v>
      </c>
      <c r="J550" s="180">
        <f t="shared" si="341"/>
        <v>2.0125000000000002</v>
      </c>
      <c r="K550" s="180">
        <f>SUMIFS(Table1[Horas efetivas],Table1[Tabela],Plano_V3!E550,Table1[Campo],Plano_V3!F550)</f>
        <v>16.100000000000001</v>
      </c>
      <c r="L550" s="180">
        <f t="shared" si="342"/>
        <v>2.0125000000000002</v>
      </c>
      <c r="M550" s="174"/>
      <c r="N550" s="174">
        <f t="shared" si="343"/>
        <v>1</v>
      </c>
      <c r="O550" s="174">
        <f t="shared" si="338"/>
        <v>1</v>
      </c>
      <c r="P550" s="87" t="s">
        <v>334</v>
      </c>
      <c r="Q550" s="90">
        <f t="shared" si="339"/>
        <v>2.0125000000000002</v>
      </c>
      <c r="R550" s="78"/>
      <c r="S550" s="78"/>
      <c r="T550" s="78"/>
      <c r="U550" s="78"/>
      <c r="V550" s="78"/>
      <c r="W550" s="78"/>
      <c r="X550" s="78"/>
      <c r="Y550" s="78"/>
      <c r="Z550" s="78"/>
      <c r="AA550" s="78"/>
      <c r="AB550" s="78"/>
      <c r="AC550" s="78"/>
      <c r="AD550" s="78"/>
      <c r="AE550" s="78"/>
      <c r="AF550" s="78"/>
      <c r="AG550" s="78"/>
      <c r="AH550" s="78"/>
      <c r="AI550" s="78"/>
      <c r="AJ550" s="78"/>
      <c r="AK550" s="78"/>
      <c r="AL550" s="78"/>
      <c r="AM550" s="78"/>
      <c r="AN550" s="78"/>
      <c r="AO550" s="78"/>
      <c r="AP550" s="78"/>
      <c r="AQ550" s="78"/>
      <c r="AR550" s="78"/>
      <c r="AS550" s="78"/>
      <c r="AT550" s="78"/>
      <c r="AU550" s="78"/>
      <c r="AV550" s="78"/>
      <c r="AW550" s="78"/>
      <c r="AX550" s="78"/>
      <c r="AY550" s="91"/>
      <c r="AZ550" s="78"/>
      <c r="BA550" s="78"/>
      <c r="BB550" s="78"/>
      <c r="BC550" s="78"/>
      <c r="BD550" s="78"/>
      <c r="BE550" s="78"/>
      <c r="BF550" s="78"/>
      <c r="BG550" s="78"/>
      <c r="BH550" s="78"/>
      <c r="BI550" s="78"/>
      <c r="BJ550" s="78"/>
      <c r="BK550" s="78"/>
      <c r="BL550" s="78"/>
      <c r="BM550" s="78"/>
      <c r="BN550" s="78"/>
      <c r="BO550" s="78"/>
      <c r="BP550" s="78"/>
      <c r="BQ550" s="78"/>
      <c r="BR550" s="78"/>
      <c r="BS550" s="78"/>
      <c r="BT550" s="78"/>
      <c r="BU550" s="78"/>
      <c r="BV550" s="78"/>
      <c r="BW550" s="78"/>
      <c r="BX550" s="78"/>
      <c r="BY550" s="78"/>
      <c r="BZ550" s="78"/>
      <c r="CA550" s="78"/>
      <c r="CB550" s="78"/>
      <c r="CC550" s="78"/>
      <c r="CD550" s="78"/>
      <c r="CE550" s="78"/>
      <c r="CF550" s="78"/>
      <c r="CG550" s="78"/>
      <c r="CH550" s="78"/>
      <c r="CI550" s="78"/>
      <c r="CJ550" s="78"/>
      <c r="CK550" s="78"/>
      <c r="CL550" s="78"/>
      <c r="CM550" s="78"/>
      <c r="CN550" s="78"/>
      <c r="CO550" s="78"/>
      <c r="CP550" s="78"/>
      <c r="CQ550" s="78"/>
      <c r="CR550" s="78"/>
      <c r="CS550" s="78"/>
      <c r="CT550" s="78"/>
      <c r="CU550" s="78"/>
      <c r="CV550" s="78"/>
      <c r="CW550" s="78"/>
      <c r="CX550" s="78"/>
      <c r="CY550" s="78"/>
      <c r="CZ550" s="78"/>
      <c r="DA550" s="78"/>
      <c r="DB550" s="78"/>
      <c r="DC550" s="78"/>
      <c r="DD550" s="78"/>
      <c r="DE550" s="78"/>
      <c r="DF550" s="78"/>
      <c r="DG550" s="78"/>
      <c r="DH550" s="78"/>
      <c r="DI550" s="78"/>
      <c r="DJ550" s="78"/>
      <c r="DK550" s="78"/>
      <c r="DL550" s="78"/>
      <c r="DM550" s="78"/>
      <c r="DN550" s="78"/>
      <c r="DO550" s="78"/>
      <c r="DP550" s="78"/>
      <c r="DQ550" s="78"/>
      <c r="DR550" s="78"/>
      <c r="DS550" s="78"/>
      <c r="DT550" s="78"/>
      <c r="DU550" s="78"/>
      <c r="DV550" s="78"/>
      <c r="DW550" s="78"/>
      <c r="DX550" s="78"/>
      <c r="DY550" s="78"/>
      <c r="DZ550" s="78"/>
      <c r="EA550" s="78"/>
      <c r="EB550" s="78"/>
      <c r="EC550" s="78"/>
      <c r="ED550" s="78"/>
      <c r="EE550" s="78"/>
      <c r="EF550" s="78"/>
      <c r="EG550" s="78"/>
      <c r="EH550" s="78"/>
      <c r="EI550" s="78"/>
      <c r="EJ550" s="78"/>
      <c r="EK550" s="78"/>
      <c r="EL550" s="78"/>
      <c r="EM550" s="78"/>
      <c r="EN550" s="91"/>
      <c r="EO550" s="91"/>
      <c r="EP550" s="91"/>
      <c r="EQ550" s="91"/>
      <c r="ER550" s="91"/>
      <c r="ES550" s="91"/>
    </row>
    <row r="551" spans="1:149" outlineLevel="1">
      <c r="A551" s="29" t="str">
        <f t="shared" si="340"/>
        <v>modesg_out_sfics_taxon_europeianome_ctgr_sfics</v>
      </c>
      <c r="B551" s="67" t="s">
        <v>26</v>
      </c>
      <c r="C551" s="68" t="s">
        <v>310</v>
      </c>
      <c r="D551" s="64" t="s">
        <v>40</v>
      </c>
      <c r="E551" s="66" t="s">
        <v>2079</v>
      </c>
      <c r="F551" s="64" t="s">
        <v>2047</v>
      </c>
      <c r="G551" s="64" t="str">
        <f>INDEX(Auxiliar!$B$16:$B$24,MATCH(Plano_V3!H551,Auxiliar!$C$16:$C$24,0),1)</f>
        <v>1. Concluído</v>
      </c>
      <c r="H551" s="64">
        <f>VLOOKUP(A551,'Aux - pivots1'!$A:$B,2,0)</f>
        <v>1</v>
      </c>
      <c r="I551" s="180">
        <f>SUMIFS(Table1[Estimação (horas)],Table1[Tabela],Plano_V3!E551,Table1[Campo],Plano_V3!F551)</f>
        <v>16.100000000000001</v>
      </c>
      <c r="J551" s="180">
        <f t="shared" si="341"/>
        <v>2.0125000000000002</v>
      </c>
      <c r="K551" s="180">
        <f>SUMIFS(Table1[Horas efetivas],Table1[Tabela],Plano_V3!E551,Table1[Campo],Plano_V3!F551)</f>
        <v>16.100000000000001</v>
      </c>
      <c r="L551" s="180">
        <f t="shared" si="342"/>
        <v>2.0125000000000002</v>
      </c>
      <c r="M551" s="174"/>
      <c r="N551" s="174">
        <f t="shared" si="343"/>
        <v>1</v>
      </c>
      <c r="O551" s="174">
        <f t="shared" si="338"/>
        <v>1</v>
      </c>
      <c r="P551" s="87" t="s">
        <v>334</v>
      </c>
      <c r="Q551" s="90">
        <f t="shared" si="339"/>
        <v>2.0125000000000002</v>
      </c>
      <c r="R551" s="78"/>
      <c r="S551" s="78"/>
      <c r="T551" s="78"/>
      <c r="U551" s="78"/>
      <c r="V551" s="78"/>
      <c r="W551" s="78"/>
      <c r="X551" s="78"/>
      <c r="Y551" s="78"/>
      <c r="Z551" s="78"/>
      <c r="AA551" s="78"/>
      <c r="AB551" s="78"/>
      <c r="AC551" s="78"/>
      <c r="AD551" s="78"/>
      <c r="AE551" s="78"/>
      <c r="AF551" s="78"/>
      <c r="AG551" s="78"/>
      <c r="AH551" s="78"/>
      <c r="AI551" s="78"/>
      <c r="AJ551" s="78"/>
      <c r="AK551" s="78"/>
      <c r="AL551" s="78"/>
      <c r="AM551" s="78"/>
      <c r="AN551" s="78"/>
      <c r="AO551" s="78"/>
      <c r="AP551" s="78"/>
      <c r="AQ551" s="78"/>
      <c r="AR551" s="78"/>
      <c r="AS551" s="78"/>
      <c r="AT551" s="78"/>
      <c r="AU551" s="78"/>
      <c r="AV551" s="78"/>
      <c r="AW551" s="78"/>
      <c r="AX551" s="78"/>
      <c r="AY551" s="91"/>
      <c r="AZ551" s="78"/>
      <c r="BA551" s="78"/>
      <c r="BB551" s="78"/>
      <c r="BC551" s="78"/>
      <c r="BD551" s="78"/>
      <c r="BE551" s="78"/>
      <c r="BF551" s="78"/>
      <c r="BG551" s="78"/>
      <c r="BH551" s="78"/>
      <c r="BI551" s="78"/>
      <c r="BJ551" s="78"/>
      <c r="BK551" s="78"/>
      <c r="BL551" s="78"/>
      <c r="BM551" s="78"/>
      <c r="BN551" s="78"/>
      <c r="BO551" s="78"/>
      <c r="BP551" s="78"/>
      <c r="BQ551" s="78"/>
      <c r="BR551" s="78"/>
      <c r="BS551" s="78"/>
      <c r="BT551" s="78"/>
      <c r="BU551" s="78"/>
      <c r="BV551" s="78"/>
      <c r="BW551" s="78"/>
      <c r="BX551" s="78"/>
      <c r="BY551" s="78"/>
      <c r="BZ551" s="78"/>
      <c r="CA551" s="78"/>
      <c r="CB551" s="78"/>
      <c r="CC551" s="78"/>
      <c r="CD551" s="78"/>
      <c r="CE551" s="78"/>
      <c r="CF551" s="78"/>
      <c r="CG551" s="78"/>
      <c r="CH551" s="78"/>
      <c r="CI551" s="78"/>
      <c r="CJ551" s="78"/>
      <c r="CK551" s="78"/>
      <c r="CL551" s="78"/>
      <c r="CM551" s="78"/>
      <c r="CN551" s="78"/>
      <c r="CO551" s="78"/>
      <c r="CP551" s="78"/>
      <c r="CQ551" s="78"/>
      <c r="CR551" s="78"/>
      <c r="CS551" s="78"/>
      <c r="CT551" s="78"/>
      <c r="CU551" s="78"/>
      <c r="CV551" s="78"/>
      <c r="CW551" s="78"/>
      <c r="CX551" s="78"/>
      <c r="CY551" s="78"/>
      <c r="CZ551" s="78"/>
      <c r="DA551" s="78"/>
      <c r="DB551" s="78"/>
      <c r="DC551" s="78"/>
      <c r="DD551" s="78"/>
      <c r="DE551" s="78"/>
      <c r="DF551" s="78"/>
      <c r="DG551" s="78"/>
      <c r="DH551" s="78"/>
      <c r="DI551" s="78"/>
      <c r="DJ551" s="78"/>
      <c r="DK551" s="78"/>
      <c r="DL551" s="78"/>
      <c r="DM551" s="78"/>
      <c r="DN551" s="78"/>
      <c r="DO551" s="78"/>
      <c r="DP551" s="78"/>
      <c r="DQ551" s="78"/>
      <c r="DR551" s="78"/>
      <c r="DS551" s="78"/>
      <c r="DT551" s="78"/>
      <c r="DU551" s="78"/>
      <c r="DV551" s="78"/>
      <c r="DW551" s="78"/>
      <c r="DX551" s="78"/>
      <c r="DY551" s="78"/>
      <c r="DZ551" s="78"/>
      <c r="EA551" s="78"/>
      <c r="EB551" s="78"/>
      <c r="EC551" s="78"/>
      <c r="ED551" s="78"/>
      <c r="EE551" s="78"/>
      <c r="EF551" s="78"/>
      <c r="EG551" s="78"/>
      <c r="EH551" s="78"/>
      <c r="EI551" s="78"/>
      <c r="EJ551" s="78"/>
      <c r="EK551" s="78"/>
      <c r="EL551" s="78"/>
      <c r="EM551" s="78"/>
      <c r="EN551" s="91"/>
      <c r="EO551" s="91"/>
      <c r="EP551" s="91"/>
      <c r="EQ551" s="91"/>
      <c r="ER551" s="91"/>
      <c r="ES551" s="91"/>
    </row>
    <row r="552" spans="1:149" outlineLevel="1">
      <c r="A552" s="29" t="str">
        <f t="shared" si="340"/>
        <v>modesg_out_sfics_taxon_europeianome_general_specific_purpose</v>
      </c>
      <c r="B552" s="67" t="s">
        <v>26</v>
      </c>
      <c r="C552" s="68" t="s">
        <v>310</v>
      </c>
      <c r="D552" s="64" t="s">
        <v>40</v>
      </c>
      <c r="E552" s="66" t="s">
        <v>2079</v>
      </c>
      <c r="F552" s="64" t="s">
        <v>204</v>
      </c>
      <c r="G552" s="64" t="str">
        <f>INDEX(Auxiliar!$B$16:$B$24,MATCH(Plano_V3!H552,Auxiliar!$C$16:$C$24,0),1)</f>
        <v>5. Em Correção</v>
      </c>
      <c r="H552" s="64">
        <f>VLOOKUP(A552,'Aux - pivots1'!$A:$B,2,0)</f>
        <v>6</v>
      </c>
      <c r="I552" s="180">
        <f>SUMIFS(Table1[Estimação (horas)],Table1[Tabela],Plano_V3!E552,Table1[Campo],Plano_V3!F552)</f>
        <v>8.1</v>
      </c>
      <c r="J552" s="180">
        <f t="shared" si="341"/>
        <v>1.0125</v>
      </c>
      <c r="K552" s="180">
        <f>SUMIFS(Table1[Horas efetivas],Table1[Tabela],Plano_V3!E552,Table1[Campo],Plano_V3!F552)</f>
        <v>2.0249999999999999</v>
      </c>
      <c r="L552" s="180">
        <f t="shared" si="342"/>
        <v>0.25312499999999999</v>
      </c>
      <c r="M552" s="174"/>
      <c r="N552" s="174">
        <f t="shared" si="343"/>
        <v>0.25</v>
      </c>
      <c r="O552" s="174">
        <f t="shared" si="338"/>
        <v>0.25</v>
      </c>
      <c r="P552" s="87" t="s">
        <v>334</v>
      </c>
      <c r="Q552" s="90">
        <f t="shared" si="339"/>
        <v>1.0125</v>
      </c>
      <c r="R552" s="78"/>
      <c r="S552" s="78"/>
      <c r="T552" s="78"/>
      <c r="U552" s="78"/>
      <c r="V552" s="78"/>
      <c r="W552" s="78"/>
      <c r="X552" s="78"/>
      <c r="Y552" s="78"/>
      <c r="Z552" s="78"/>
      <c r="AA552" s="78"/>
      <c r="AB552" s="78"/>
      <c r="AC552" s="78"/>
      <c r="AD552" s="78"/>
      <c r="AE552" s="78"/>
      <c r="AF552" s="78"/>
      <c r="AG552" s="78"/>
      <c r="AH552" s="78"/>
      <c r="AI552" s="78"/>
      <c r="AJ552" s="78"/>
      <c r="AK552" s="78"/>
      <c r="AL552" s="78"/>
      <c r="AM552" s="78"/>
      <c r="AN552" s="78"/>
      <c r="AO552" s="78"/>
      <c r="AP552" s="78"/>
      <c r="AQ552" s="78"/>
      <c r="AR552" s="78"/>
      <c r="AS552" s="78"/>
      <c r="AT552" s="78"/>
      <c r="AU552" s="78"/>
      <c r="AV552" s="78"/>
      <c r="AW552" s="78"/>
      <c r="AX552" s="78"/>
      <c r="AY552" s="91"/>
      <c r="AZ552" s="78"/>
      <c r="BA552" s="78"/>
      <c r="BB552" s="78"/>
      <c r="BC552" s="78"/>
      <c r="BD552" s="78"/>
      <c r="BE552" s="78"/>
      <c r="BF552" s="78"/>
      <c r="BG552" s="78"/>
      <c r="BH552" s="78"/>
      <c r="BI552" s="78"/>
      <c r="BJ552" s="78"/>
      <c r="BK552" s="78"/>
      <c r="BL552" s="78"/>
      <c r="BM552" s="78"/>
      <c r="BN552" s="78"/>
      <c r="BO552" s="78"/>
      <c r="BP552" s="78"/>
      <c r="BQ552" s="78"/>
      <c r="BR552" s="78"/>
      <c r="BS552" s="78"/>
      <c r="BT552" s="78"/>
      <c r="BU552" s="78"/>
      <c r="BV552" s="78"/>
      <c r="BW552" s="78"/>
      <c r="BX552" s="78"/>
      <c r="BY552" s="78"/>
      <c r="BZ552" s="78"/>
      <c r="CA552" s="78"/>
      <c r="CB552" s="78"/>
      <c r="CC552" s="78"/>
      <c r="CD552" s="78"/>
      <c r="CE552" s="78"/>
      <c r="CF552" s="78"/>
      <c r="CG552" s="78"/>
      <c r="CH552" s="78"/>
      <c r="CI552" s="78"/>
      <c r="CJ552" s="78"/>
      <c r="CK552" s="78"/>
      <c r="CL552" s="78"/>
      <c r="CM552" s="78"/>
      <c r="CN552" s="78"/>
      <c r="CO552" s="78"/>
      <c r="CP552" s="78"/>
      <c r="CQ552" s="78"/>
      <c r="CR552" s="78"/>
      <c r="CS552" s="78"/>
      <c r="CT552" s="78"/>
      <c r="CU552" s="78"/>
      <c r="CV552" s="78"/>
      <c r="CW552" s="78"/>
      <c r="CX552" s="78"/>
      <c r="CY552" s="78"/>
      <c r="CZ552" s="78"/>
      <c r="DA552" s="78"/>
      <c r="DB552" s="78"/>
      <c r="DC552" s="78"/>
      <c r="DD552" s="78"/>
      <c r="DE552" s="78"/>
      <c r="DF552" s="78"/>
      <c r="DG552" s="78"/>
      <c r="DH552" s="78"/>
      <c r="DI552" s="78"/>
      <c r="DJ552" s="78"/>
      <c r="DK552" s="78"/>
      <c r="DL552" s="78"/>
      <c r="DM552" s="78"/>
      <c r="DN552" s="78"/>
      <c r="DO552" s="78"/>
      <c r="DP552" s="78"/>
      <c r="DQ552" s="78"/>
      <c r="DR552" s="78"/>
      <c r="DS552" s="78"/>
      <c r="DT552" s="78"/>
      <c r="DU552" s="78"/>
      <c r="DV552" s="78"/>
      <c r="DW552" s="78"/>
      <c r="DX552" s="78"/>
      <c r="DY552" s="78"/>
      <c r="DZ552" s="78"/>
      <c r="EA552" s="78"/>
      <c r="EB552" s="78"/>
      <c r="EC552" s="78"/>
      <c r="ED552" s="78"/>
      <c r="EE552" s="78"/>
      <c r="EF552" s="78"/>
      <c r="EG552" s="78"/>
      <c r="EH552" s="78"/>
      <c r="EI552" s="78"/>
      <c r="EJ552" s="78"/>
      <c r="EK552" s="78"/>
      <c r="EL552" s="78"/>
      <c r="EM552" s="78"/>
      <c r="EN552" s="91"/>
      <c r="EO552" s="91"/>
      <c r="EP552" s="91"/>
      <c r="EQ552" s="91"/>
      <c r="ER552" s="91"/>
      <c r="ES552" s="91"/>
    </row>
    <row r="553" spans="1:149" outlineLevel="1">
      <c r="A553" s="29" t="str">
        <f t="shared" si="340"/>
        <v>modesg_out_sfics_taxon_europeianome_purpose_esg_alinh_tax</v>
      </c>
      <c r="B553" s="67" t="s">
        <v>26</v>
      </c>
      <c r="C553" s="68" t="s">
        <v>310</v>
      </c>
      <c r="D553" s="64" t="s">
        <v>40</v>
      </c>
      <c r="E553" s="66" t="s">
        <v>2079</v>
      </c>
      <c r="F553" s="64" t="s">
        <v>2058</v>
      </c>
      <c r="G553" s="64" t="str">
        <f>INDEX(Auxiliar!$B$16:$B$24,MATCH(Plano_V3!H553,Auxiliar!$C$16:$C$24,0),1)</f>
        <v>5. Em Correção</v>
      </c>
      <c r="H553" s="64">
        <f>VLOOKUP(A553,'Aux - pivots1'!$A:$B,2,0)</f>
        <v>6</v>
      </c>
      <c r="I553" s="180">
        <f>SUMIFS(Table1[Estimação (horas)],Table1[Tabela],Plano_V3!E553,Table1[Campo],Plano_V3!F553)</f>
        <v>8.1</v>
      </c>
      <c r="J553" s="180">
        <f>I553/8</f>
        <v>1.0125</v>
      </c>
      <c r="K553" s="180">
        <f>SUMIFS(Table1[Horas efetivas],Table1[Tabela],Plano_V3!E553,Table1[Campo],Plano_V3!F553)</f>
        <v>2.0249999999999999</v>
      </c>
      <c r="L553" s="180">
        <f>K553/8</f>
        <v>0.25312499999999999</v>
      </c>
      <c r="M553" s="174"/>
      <c r="N553" s="174">
        <f>L553/J553</f>
        <v>0.25</v>
      </c>
      <c r="O553" s="174">
        <f>N553-M553</f>
        <v>0.25</v>
      </c>
      <c r="P553" s="87" t="s">
        <v>334</v>
      </c>
      <c r="Q553" s="90">
        <f>J553-SUM(R553:ES553)</f>
        <v>1.0125</v>
      </c>
      <c r="R553" s="78"/>
      <c r="S553" s="78"/>
      <c r="T553" s="78"/>
      <c r="U553" s="78"/>
      <c r="V553" s="78"/>
      <c r="W553" s="78"/>
      <c r="X553" s="78"/>
      <c r="Y553" s="78"/>
      <c r="Z553" s="78"/>
      <c r="AA553" s="78"/>
      <c r="AB553" s="78"/>
      <c r="AC553" s="78"/>
      <c r="AD553" s="78"/>
      <c r="AE553" s="78"/>
      <c r="AF553" s="78"/>
      <c r="AG553" s="78"/>
      <c r="AH553" s="78"/>
      <c r="AI553" s="78"/>
      <c r="AJ553" s="78"/>
      <c r="AK553" s="78"/>
      <c r="AL553" s="78"/>
      <c r="AM553" s="78"/>
      <c r="AN553" s="78"/>
      <c r="AO553" s="78"/>
      <c r="AP553" s="78"/>
      <c r="AQ553" s="78"/>
      <c r="AR553" s="78"/>
      <c r="AS553" s="78"/>
      <c r="AT553" s="78"/>
      <c r="AU553" s="78"/>
      <c r="AV553" s="78"/>
      <c r="AW553" s="78"/>
      <c r="AX553" s="78"/>
      <c r="AY553" s="91"/>
      <c r="AZ553" s="78"/>
      <c r="BA553" s="78"/>
      <c r="BB553" s="78"/>
      <c r="BC553" s="78"/>
      <c r="BD553" s="78"/>
      <c r="BE553" s="78"/>
      <c r="BF553" s="78"/>
      <c r="BG553" s="78"/>
      <c r="BH553" s="78"/>
      <c r="BI553" s="78"/>
      <c r="BJ553" s="78"/>
      <c r="BK553" s="78"/>
      <c r="BL553" s="78"/>
      <c r="BM553" s="78"/>
      <c r="BN553" s="78"/>
      <c r="BO553" s="78"/>
      <c r="BP553" s="78"/>
      <c r="BQ553" s="78"/>
      <c r="BR553" s="78"/>
      <c r="BS553" s="78"/>
      <c r="BT553" s="78"/>
      <c r="BU553" s="78"/>
      <c r="BV553" s="78"/>
      <c r="BW553" s="78"/>
      <c r="BX553" s="78"/>
      <c r="BY553" s="78"/>
      <c r="BZ553" s="78"/>
      <c r="CA553" s="78"/>
      <c r="CB553" s="78"/>
      <c r="CC553" s="78"/>
      <c r="CD553" s="78"/>
      <c r="CE553" s="78"/>
      <c r="CF553" s="78"/>
      <c r="CG553" s="78"/>
      <c r="CH553" s="78"/>
      <c r="CI553" s="78"/>
      <c r="CJ553" s="78"/>
      <c r="CK553" s="78"/>
      <c r="CL553" s="78"/>
      <c r="CM553" s="78"/>
      <c r="CN553" s="78"/>
      <c r="CO553" s="78"/>
      <c r="CP553" s="78"/>
      <c r="CQ553" s="78"/>
      <c r="CR553" s="78"/>
      <c r="CS553" s="78"/>
      <c r="CT553" s="78"/>
      <c r="CU553" s="78"/>
      <c r="CV553" s="78"/>
      <c r="CW553" s="78"/>
      <c r="CX553" s="78"/>
      <c r="CY553" s="78"/>
      <c r="CZ553" s="78"/>
      <c r="DA553" s="78"/>
      <c r="DB553" s="78"/>
      <c r="DC553" s="78"/>
      <c r="DD553" s="78"/>
      <c r="DE553" s="78"/>
      <c r="DF553" s="78"/>
      <c r="DG553" s="78"/>
      <c r="DH553" s="78"/>
      <c r="DI553" s="78"/>
      <c r="DJ553" s="78"/>
      <c r="DK553" s="78"/>
      <c r="DL553" s="78"/>
      <c r="DM553" s="78"/>
      <c r="DN553" s="78"/>
      <c r="DO553" s="78"/>
      <c r="DP553" s="78"/>
      <c r="DQ553" s="78"/>
      <c r="DR553" s="78"/>
      <c r="DS553" s="78"/>
      <c r="DT553" s="78"/>
      <c r="DU553" s="78"/>
      <c r="DV553" s="78"/>
      <c r="DW553" s="78"/>
      <c r="DX553" s="78"/>
      <c r="DY553" s="78"/>
      <c r="DZ553" s="78"/>
      <c r="EA553" s="78"/>
      <c r="EB553" s="78"/>
      <c r="EC553" s="78"/>
      <c r="ED553" s="78"/>
      <c r="EE553" s="78"/>
      <c r="EF553" s="78"/>
      <c r="EG553" s="78"/>
      <c r="EH553" s="78"/>
      <c r="EI553" s="78"/>
      <c r="EJ553" s="78"/>
      <c r="EK553" s="78"/>
      <c r="EL553" s="78"/>
      <c r="EM553" s="78"/>
      <c r="EN553" s="91"/>
      <c r="EO553" s="91"/>
      <c r="EP553" s="91"/>
      <c r="EQ553" s="91"/>
      <c r="ER553" s="91"/>
      <c r="ES553" s="91"/>
    </row>
    <row r="554" spans="1:149" outlineLevel="1">
      <c r="A554" s="29" t="str">
        <f t="shared" si="340"/>
        <v>modesg_out_sfics_taxon_europeianome_purpose_esg_nalinh_tax</v>
      </c>
      <c r="B554" s="67" t="s">
        <v>26</v>
      </c>
      <c r="C554" s="68" t="s">
        <v>310</v>
      </c>
      <c r="D554" s="64" t="s">
        <v>40</v>
      </c>
      <c r="E554" s="66" t="s">
        <v>2079</v>
      </c>
      <c r="F554" s="64" t="s">
        <v>2059</v>
      </c>
      <c r="G554" s="64" t="str">
        <f>INDEX(Auxiliar!$B$16:$B$24,MATCH(Plano_V3!H554,Auxiliar!$C$16:$C$24,0),1)</f>
        <v>5. Em Correção</v>
      </c>
      <c r="H554" s="64">
        <f>VLOOKUP(A554,'Aux - pivots1'!$A:$B,2,0)</f>
        <v>6</v>
      </c>
      <c r="I554" s="180">
        <f>SUMIFS(Table1[Estimação (horas)],Table1[Tabela],Plano_V3!E554,Table1[Campo],Plano_V3!F554)</f>
        <v>8.1</v>
      </c>
      <c r="J554" s="180">
        <f t="shared" si="341"/>
        <v>1.0125</v>
      </c>
      <c r="K554" s="180">
        <f>SUMIFS(Table1[Horas efetivas],Table1[Tabela],Plano_V3!E554,Table1[Campo],Plano_V3!F554)</f>
        <v>2.0249999999999999</v>
      </c>
      <c r="L554" s="180">
        <f t="shared" si="342"/>
        <v>0.25312499999999999</v>
      </c>
      <c r="M554" s="174"/>
      <c r="N554" s="174">
        <f t="shared" si="343"/>
        <v>0.25</v>
      </c>
      <c r="O554" s="174">
        <f t="shared" si="338"/>
        <v>0.25</v>
      </c>
      <c r="P554" s="87" t="s">
        <v>334</v>
      </c>
      <c r="Q554" s="90">
        <f t="shared" si="339"/>
        <v>1.0125</v>
      </c>
      <c r="R554" s="78"/>
      <c r="S554" s="78"/>
      <c r="T554" s="78"/>
      <c r="U554" s="78"/>
      <c r="V554" s="78"/>
      <c r="W554" s="78"/>
      <c r="X554" s="78"/>
      <c r="Y554" s="78"/>
      <c r="Z554" s="78"/>
      <c r="AA554" s="78"/>
      <c r="AB554" s="78"/>
      <c r="AC554" s="78"/>
      <c r="AD554" s="78"/>
      <c r="AE554" s="78"/>
      <c r="AF554" s="78"/>
      <c r="AG554" s="78"/>
      <c r="AH554" s="78"/>
      <c r="AI554" s="78"/>
      <c r="AJ554" s="78"/>
      <c r="AK554" s="78"/>
      <c r="AL554" s="78"/>
      <c r="AM554" s="78"/>
      <c r="AN554" s="78"/>
      <c r="AO554" s="78"/>
      <c r="AP554" s="78"/>
      <c r="AQ554" s="78"/>
      <c r="AR554" s="78"/>
      <c r="AS554" s="78"/>
      <c r="AT554" s="78"/>
      <c r="AU554" s="78"/>
      <c r="AV554" s="78"/>
      <c r="AW554" s="78"/>
      <c r="AX554" s="78"/>
      <c r="AY554" s="91"/>
      <c r="AZ554" s="78"/>
      <c r="BA554" s="78"/>
      <c r="BB554" s="78"/>
      <c r="BC554" s="78"/>
      <c r="BD554" s="78"/>
      <c r="BE554" s="78"/>
      <c r="BF554" s="78"/>
      <c r="BG554" s="78"/>
      <c r="BH554" s="78"/>
      <c r="BI554" s="78"/>
      <c r="BJ554" s="78"/>
      <c r="BK554" s="78"/>
      <c r="BL554" s="78"/>
      <c r="BM554" s="78"/>
      <c r="BN554" s="78"/>
      <c r="BO554" s="78"/>
      <c r="BP554" s="78"/>
      <c r="BQ554" s="78"/>
      <c r="BR554" s="78"/>
      <c r="BS554" s="78"/>
      <c r="BT554" s="78"/>
      <c r="BU554" s="78"/>
      <c r="BV554" s="78"/>
      <c r="BW554" s="78"/>
      <c r="BX554" s="78"/>
      <c r="BY554" s="78"/>
      <c r="BZ554" s="78"/>
      <c r="CA554" s="78"/>
      <c r="CB554" s="78"/>
      <c r="CC554" s="78"/>
      <c r="CD554" s="78"/>
      <c r="CE554" s="78"/>
      <c r="CF554" s="78"/>
      <c r="CG554" s="78"/>
      <c r="CH554" s="78"/>
      <c r="CI554" s="78"/>
      <c r="CJ554" s="78"/>
      <c r="CK554" s="78"/>
      <c r="CL554" s="78"/>
      <c r="CM554" s="78"/>
      <c r="CN554" s="78"/>
      <c r="CO554" s="78"/>
      <c r="CP554" s="78"/>
      <c r="CQ554" s="78"/>
      <c r="CR554" s="78"/>
      <c r="CS554" s="78"/>
      <c r="CT554" s="78"/>
      <c r="CU554" s="78"/>
      <c r="CV554" s="78"/>
      <c r="CW554" s="78"/>
      <c r="CX554" s="78"/>
      <c r="CY554" s="78"/>
      <c r="CZ554" s="78"/>
      <c r="DA554" s="78"/>
      <c r="DB554" s="78"/>
      <c r="DC554" s="78"/>
      <c r="DD554" s="78"/>
      <c r="DE554" s="78"/>
      <c r="DF554" s="78"/>
      <c r="DG554" s="78"/>
      <c r="DH554" s="78"/>
      <c r="DI554" s="78"/>
      <c r="DJ554" s="78"/>
      <c r="DK554" s="78"/>
      <c r="DL554" s="78"/>
      <c r="DM554" s="78"/>
      <c r="DN554" s="78"/>
      <c r="DO554" s="78"/>
      <c r="DP554" s="78"/>
      <c r="DQ554" s="78"/>
      <c r="DR554" s="78"/>
      <c r="DS554" s="78"/>
      <c r="DT554" s="78"/>
      <c r="DU554" s="78"/>
      <c r="DV554" s="78"/>
      <c r="DW554" s="78"/>
      <c r="DX554" s="78"/>
      <c r="DY554" s="78"/>
      <c r="DZ554" s="78"/>
      <c r="EA554" s="78"/>
      <c r="EB554" s="78"/>
      <c r="EC554" s="78"/>
      <c r="ED554" s="78"/>
      <c r="EE554" s="78"/>
      <c r="EF554" s="78"/>
      <c r="EG554" s="78"/>
      <c r="EH554" s="78"/>
      <c r="EI554" s="78"/>
      <c r="EJ554" s="78"/>
      <c r="EK554" s="78"/>
      <c r="EL554" s="78"/>
      <c r="EM554" s="78"/>
      <c r="EN554" s="91"/>
      <c r="EO554" s="91"/>
      <c r="EP554" s="91"/>
      <c r="EQ554" s="91"/>
      <c r="ER554" s="91"/>
      <c r="ES554" s="91"/>
    </row>
    <row r="555" spans="1:149" outlineLevel="1">
      <c r="A555" s="29" t="str">
        <f t="shared" si="340"/>
        <v>modesg_out_sfics_taxon_europeianome_specific_eligible</v>
      </c>
      <c r="B555" s="67" t="s">
        <v>26</v>
      </c>
      <c r="C555" s="68" t="s">
        <v>310</v>
      </c>
      <c r="D555" s="64" t="s">
        <v>40</v>
      </c>
      <c r="E555" s="66" t="s">
        <v>2079</v>
      </c>
      <c r="F555" s="64" t="s">
        <v>206</v>
      </c>
      <c r="G555" s="64" t="str">
        <f>INDEX(Auxiliar!$B$16:$B$24,MATCH(Plano_V3!H555,Auxiliar!$C$16:$C$24,0),1)</f>
        <v>5. Em Correção</v>
      </c>
      <c r="H555" s="64">
        <f>VLOOKUP(A555,'Aux - pivots1'!$A:$B,2,0)</f>
        <v>6</v>
      </c>
      <c r="I555" s="180">
        <f>SUMIFS(Table1[Estimação (horas)],Table1[Tabela],Plano_V3!E555,Table1[Campo],Plano_V3!F555)</f>
        <v>8.1</v>
      </c>
      <c r="J555" s="180">
        <f t="shared" si="341"/>
        <v>1.0125</v>
      </c>
      <c r="K555" s="180">
        <f>SUMIFS(Table1[Horas efetivas],Table1[Tabela],Plano_V3!E555,Table1[Campo],Plano_V3!F555)</f>
        <v>2.0249999999999999</v>
      </c>
      <c r="L555" s="180">
        <f t="shared" si="342"/>
        <v>0.25312499999999999</v>
      </c>
      <c r="M555" s="174"/>
      <c r="N555" s="174">
        <f t="shared" si="343"/>
        <v>0.25</v>
      </c>
      <c r="O555" s="174">
        <f t="shared" si="338"/>
        <v>0.25</v>
      </c>
      <c r="P555" s="87" t="s">
        <v>334</v>
      </c>
      <c r="Q555" s="90">
        <f t="shared" si="339"/>
        <v>1.0125</v>
      </c>
      <c r="R555" s="78"/>
      <c r="S555" s="78"/>
      <c r="T555" s="78"/>
      <c r="U555" s="78"/>
      <c r="V555" s="78"/>
      <c r="W555" s="78"/>
      <c r="X555" s="78"/>
      <c r="Y555" s="78"/>
      <c r="Z555" s="78"/>
      <c r="AA555" s="78"/>
      <c r="AB555" s="78"/>
      <c r="AC555" s="78"/>
      <c r="AD555" s="78"/>
      <c r="AE555" s="78"/>
      <c r="AF555" s="78"/>
      <c r="AG555" s="78"/>
      <c r="AH555" s="78"/>
      <c r="AI555" s="78"/>
      <c r="AJ555" s="78"/>
      <c r="AK555" s="78"/>
      <c r="AL555" s="78"/>
      <c r="AM555" s="78"/>
      <c r="AN555" s="78"/>
      <c r="AO555" s="78"/>
      <c r="AP555" s="78"/>
      <c r="AQ555" s="78"/>
      <c r="AR555" s="78"/>
      <c r="AS555" s="78"/>
      <c r="AT555" s="78"/>
      <c r="AU555" s="78"/>
      <c r="AV555" s="78"/>
      <c r="AW555" s="78"/>
      <c r="AX555" s="78"/>
      <c r="AY555" s="91"/>
      <c r="AZ555" s="78"/>
      <c r="BA555" s="78"/>
      <c r="BB555" s="78"/>
      <c r="BC555" s="78"/>
      <c r="BD555" s="78"/>
      <c r="BE555" s="78"/>
      <c r="BF555" s="78"/>
      <c r="BG555" s="78"/>
      <c r="BH555" s="78"/>
      <c r="BI555" s="78"/>
      <c r="BJ555" s="78"/>
      <c r="BK555" s="78"/>
      <c r="BL555" s="78"/>
      <c r="BM555" s="78"/>
      <c r="BN555" s="78"/>
      <c r="BO555" s="78"/>
      <c r="BP555" s="78"/>
      <c r="BQ555" s="78"/>
      <c r="BR555" s="78"/>
      <c r="BS555" s="78"/>
      <c r="BT555" s="78"/>
      <c r="BU555" s="78"/>
      <c r="BV555" s="78"/>
      <c r="BW555" s="78"/>
      <c r="BX555" s="78"/>
      <c r="BY555" s="78"/>
      <c r="BZ555" s="78"/>
      <c r="CA555" s="78"/>
      <c r="CB555" s="78"/>
      <c r="CC555" s="78"/>
      <c r="CD555" s="78"/>
      <c r="CE555" s="78"/>
      <c r="CF555" s="78"/>
      <c r="CG555" s="78"/>
      <c r="CH555" s="78"/>
      <c r="CI555" s="78"/>
      <c r="CJ555" s="78"/>
      <c r="CK555" s="78"/>
      <c r="CL555" s="78"/>
      <c r="CM555" s="78"/>
      <c r="CN555" s="78"/>
      <c r="CO555" s="78"/>
      <c r="CP555" s="78"/>
      <c r="CQ555" s="78"/>
      <c r="CR555" s="78"/>
      <c r="CS555" s="78"/>
      <c r="CT555" s="78"/>
      <c r="CU555" s="78"/>
      <c r="CV555" s="78"/>
      <c r="CW555" s="78"/>
      <c r="CX555" s="78"/>
      <c r="CY555" s="78"/>
      <c r="CZ555" s="78"/>
      <c r="DA555" s="78"/>
      <c r="DB555" s="78"/>
      <c r="DC555" s="78"/>
      <c r="DD555" s="78"/>
      <c r="DE555" s="78"/>
      <c r="DF555" s="78"/>
      <c r="DG555" s="78"/>
      <c r="DH555" s="78"/>
      <c r="DI555" s="78"/>
      <c r="DJ555" s="78"/>
      <c r="DK555" s="78"/>
      <c r="DL555" s="78"/>
      <c r="DM555" s="78"/>
      <c r="DN555" s="78"/>
      <c r="DO555" s="78"/>
      <c r="DP555" s="78"/>
      <c r="DQ555" s="78"/>
      <c r="DR555" s="78"/>
      <c r="DS555" s="78"/>
      <c r="DT555" s="78"/>
      <c r="DU555" s="78"/>
      <c r="DV555" s="78"/>
      <c r="DW555" s="78"/>
      <c r="DX555" s="78"/>
      <c r="DY555" s="78"/>
      <c r="DZ555" s="78"/>
      <c r="EA555" s="78"/>
      <c r="EB555" s="78"/>
      <c r="EC555" s="78"/>
      <c r="ED555" s="78"/>
      <c r="EE555" s="78"/>
      <c r="EF555" s="78"/>
      <c r="EG555" s="78"/>
      <c r="EH555" s="78"/>
      <c r="EI555" s="78"/>
      <c r="EJ555" s="78"/>
      <c r="EK555" s="78"/>
      <c r="EL555" s="78"/>
      <c r="EM555" s="78"/>
      <c r="EN555" s="91"/>
      <c r="EO555" s="91"/>
      <c r="EP555" s="91"/>
      <c r="EQ555" s="91"/>
      <c r="ER555" s="91"/>
      <c r="ES555" s="91"/>
    </row>
    <row r="556" spans="1:149" outlineLevel="1">
      <c r="A556" s="29" t="str">
        <f t="shared" si="340"/>
        <v>modesg_out_sfics_taxon_europeianome_specific_sustainable</v>
      </c>
      <c r="B556" s="67" t="s">
        <v>26</v>
      </c>
      <c r="C556" s="68" t="s">
        <v>310</v>
      </c>
      <c r="D556" s="64" t="s">
        <v>40</v>
      </c>
      <c r="E556" s="66" t="s">
        <v>2079</v>
      </c>
      <c r="F556" s="64" t="s">
        <v>207</v>
      </c>
      <c r="G556" s="64" t="str">
        <f>INDEX(Auxiliar!$B$16:$B$24,MATCH(Plano_V3!H556,Auxiliar!$C$16:$C$24,0),1)</f>
        <v>5. Em Correção</v>
      </c>
      <c r="H556" s="64">
        <f>VLOOKUP(A556,'Aux - pivots1'!$A:$B,2,0)</f>
        <v>6</v>
      </c>
      <c r="I556" s="180">
        <f>SUMIFS(Table1[Estimação (horas)],Table1[Tabela],Plano_V3!E556,Table1[Campo],Plano_V3!F556)</f>
        <v>8.1</v>
      </c>
      <c r="J556" s="180">
        <f t="shared" si="341"/>
        <v>1.0125</v>
      </c>
      <c r="K556" s="180">
        <f>SUMIFS(Table1[Horas efetivas],Table1[Tabela],Plano_V3!E556,Table1[Campo],Plano_V3!F556)</f>
        <v>2.0249999999999999</v>
      </c>
      <c r="L556" s="180">
        <f t="shared" si="342"/>
        <v>0.25312499999999999</v>
      </c>
      <c r="M556" s="174"/>
      <c r="N556" s="174">
        <f t="shared" si="343"/>
        <v>0.25</v>
      </c>
      <c r="O556" s="174">
        <f t="shared" si="338"/>
        <v>0.25</v>
      </c>
      <c r="P556" s="87" t="s">
        <v>334</v>
      </c>
      <c r="Q556" s="90">
        <f t="shared" si="339"/>
        <v>1.0125</v>
      </c>
      <c r="R556" s="78"/>
      <c r="S556" s="78"/>
      <c r="T556" s="78"/>
      <c r="U556" s="78"/>
      <c r="V556" s="78"/>
      <c r="W556" s="78"/>
      <c r="X556" s="78"/>
      <c r="Y556" s="78"/>
      <c r="Z556" s="78"/>
      <c r="AA556" s="78"/>
      <c r="AB556" s="78"/>
      <c r="AC556" s="78"/>
      <c r="AD556" s="78"/>
      <c r="AE556" s="78"/>
      <c r="AF556" s="78"/>
      <c r="AG556" s="78"/>
      <c r="AH556" s="78"/>
      <c r="AI556" s="78"/>
      <c r="AJ556" s="78"/>
      <c r="AK556" s="78"/>
      <c r="AL556" s="78"/>
      <c r="AM556" s="78"/>
      <c r="AN556" s="78"/>
      <c r="AO556" s="78"/>
      <c r="AP556" s="78"/>
      <c r="AQ556" s="78"/>
      <c r="AR556" s="78"/>
      <c r="AS556" s="78"/>
      <c r="AT556" s="78"/>
      <c r="AU556" s="78"/>
      <c r="AV556" s="78"/>
      <c r="AW556" s="78"/>
      <c r="AX556" s="78"/>
      <c r="AY556" s="91"/>
      <c r="AZ556" s="78"/>
      <c r="BA556" s="78"/>
      <c r="BB556" s="78"/>
      <c r="BC556" s="78"/>
      <c r="BD556" s="78"/>
      <c r="BE556" s="78"/>
      <c r="BF556" s="78"/>
      <c r="BG556" s="78"/>
      <c r="BH556" s="78"/>
      <c r="BI556" s="78"/>
      <c r="BJ556" s="78"/>
      <c r="BK556" s="78"/>
      <c r="BL556" s="78"/>
      <c r="BM556" s="78"/>
      <c r="BN556" s="78"/>
      <c r="BO556" s="78"/>
      <c r="BP556" s="78"/>
      <c r="BQ556" s="78"/>
      <c r="BR556" s="78"/>
      <c r="BS556" s="78"/>
      <c r="BT556" s="78"/>
      <c r="BU556" s="78"/>
      <c r="BV556" s="78"/>
      <c r="BW556" s="78"/>
      <c r="BX556" s="78"/>
      <c r="BY556" s="78"/>
      <c r="BZ556" s="78"/>
      <c r="CA556" s="78"/>
      <c r="CB556" s="78"/>
      <c r="CC556" s="78"/>
      <c r="CD556" s="78"/>
      <c r="CE556" s="78"/>
      <c r="CF556" s="78"/>
      <c r="CG556" s="78"/>
      <c r="CH556" s="78"/>
      <c r="CI556" s="78"/>
      <c r="CJ556" s="78"/>
      <c r="CK556" s="78"/>
      <c r="CL556" s="78"/>
      <c r="CM556" s="78"/>
      <c r="CN556" s="78"/>
      <c r="CO556" s="78"/>
      <c r="CP556" s="78"/>
      <c r="CQ556" s="78"/>
      <c r="CR556" s="78"/>
      <c r="CS556" s="78"/>
      <c r="CT556" s="78"/>
      <c r="CU556" s="78"/>
      <c r="CV556" s="78"/>
      <c r="CW556" s="78"/>
      <c r="CX556" s="78"/>
      <c r="CY556" s="78"/>
      <c r="CZ556" s="78"/>
      <c r="DA556" s="78"/>
      <c r="DB556" s="78"/>
      <c r="DC556" s="78"/>
      <c r="DD556" s="78"/>
      <c r="DE556" s="78"/>
      <c r="DF556" s="78"/>
      <c r="DG556" s="78"/>
      <c r="DH556" s="78"/>
      <c r="DI556" s="78"/>
      <c r="DJ556" s="78"/>
      <c r="DK556" s="78"/>
      <c r="DL556" s="78"/>
      <c r="DM556" s="78"/>
      <c r="DN556" s="78"/>
      <c r="DO556" s="78"/>
      <c r="DP556" s="78"/>
      <c r="DQ556" s="78"/>
      <c r="DR556" s="78"/>
      <c r="DS556" s="78"/>
      <c r="DT556" s="78"/>
      <c r="DU556" s="78"/>
      <c r="DV556" s="78"/>
      <c r="DW556" s="78"/>
      <c r="DX556" s="78"/>
      <c r="DY556" s="78"/>
      <c r="DZ556" s="78"/>
      <c r="EA556" s="78"/>
      <c r="EB556" s="78"/>
      <c r="EC556" s="78"/>
      <c r="ED556" s="78"/>
      <c r="EE556" s="78"/>
      <c r="EF556" s="78"/>
      <c r="EG556" s="78"/>
      <c r="EH556" s="78"/>
      <c r="EI556" s="78"/>
      <c r="EJ556" s="78"/>
      <c r="EK556" s="78"/>
      <c r="EL556" s="78"/>
      <c r="EM556" s="78"/>
      <c r="EN556" s="91"/>
      <c r="EO556" s="91"/>
      <c r="EP556" s="91"/>
      <c r="EQ556" s="91"/>
      <c r="ER556" s="91"/>
      <c r="ES556" s="91"/>
    </row>
    <row r="557" spans="1:149" outlineLevel="1">
      <c r="A557" s="29" t="str">
        <f t="shared" si="340"/>
        <v>modesg_out_sfics_taxon_europeiasstnbl_indctr</v>
      </c>
      <c r="B557" s="67" t="s">
        <v>26</v>
      </c>
      <c r="C557" s="68" t="s">
        <v>310</v>
      </c>
      <c r="D557" s="64" t="s">
        <v>40</v>
      </c>
      <c r="E557" s="66" t="s">
        <v>2079</v>
      </c>
      <c r="F557" s="64" t="s">
        <v>418</v>
      </c>
      <c r="G557" s="64" t="str">
        <f>INDEX(Auxiliar!$B$16:$B$24,MATCH(Plano_V3!H557,Auxiliar!$C$16:$C$24,0),1)</f>
        <v>1. Concluído</v>
      </c>
      <c r="H557" s="64">
        <f>VLOOKUP(A557,'Aux - pivots1'!$A:$B,2,0)</f>
        <v>1</v>
      </c>
      <c r="I557" s="180" t="e">
        <f>SUMIFS(Table1[Estimação (horas)],Table1[Tabela],Plano_V3!E557,Table1[Campo],Plano_V3!F557)</f>
        <v>#N/A</v>
      </c>
      <c r="J557" s="180" t="e">
        <f>I557/8</f>
        <v>#N/A</v>
      </c>
      <c r="K557" s="180" t="e">
        <f>SUMIFS(Table1[Horas efetivas],Table1[Tabela],Plano_V3!E557,Table1[Campo],Plano_V3!F557)</f>
        <v>#N/A</v>
      </c>
      <c r="L557" s="180" t="e">
        <f>K557/8</f>
        <v>#N/A</v>
      </c>
      <c r="M557" s="174"/>
      <c r="N557" s="174"/>
      <c r="O557" s="174"/>
      <c r="P557" s="87"/>
      <c r="Q557" s="90"/>
      <c r="R557" s="78"/>
      <c r="S557" s="78"/>
      <c r="T557" s="78"/>
      <c r="U557" s="78"/>
      <c r="V557" s="78"/>
      <c r="W557" s="78"/>
      <c r="X557" s="78"/>
      <c r="Y557" s="78"/>
      <c r="Z557" s="78"/>
      <c r="AA557" s="78"/>
      <c r="AB557" s="78"/>
      <c r="AC557" s="78"/>
      <c r="AD557" s="78"/>
      <c r="AE557" s="78"/>
      <c r="AF557" s="78"/>
      <c r="AG557" s="78"/>
      <c r="AH557" s="78"/>
      <c r="AI557" s="78"/>
      <c r="AJ557" s="78"/>
      <c r="AK557" s="78"/>
      <c r="AL557" s="78"/>
      <c r="AM557" s="78"/>
      <c r="AN557" s="78"/>
      <c r="AO557" s="78"/>
      <c r="AP557" s="78"/>
      <c r="AQ557" s="78"/>
      <c r="AR557" s="78"/>
      <c r="AS557" s="78"/>
      <c r="AT557" s="78"/>
      <c r="AU557" s="78"/>
      <c r="AV557" s="78"/>
      <c r="AW557" s="78"/>
      <c r="AX557" s="78"/>
      <c r="AY557" s="91"/>
      <c r="AZ557" s="78"/>
      <c r="BA557" s="78"/>
      <c r="BB557" s="78"/>
      <c r="BC557" s="78"/>
      <c r="BD557" s="78"/>
      <c r="BE557" s="78"/>
      <c r="BF557" s="78"/>
      <c r="BG557" s="78"/>
      <c r="BH557" s="78"/>
      <c r="BI557" s="78"/>
      <c r="BJ557" s="78"/>
      <c r="BK557" s="78"/>
      <c r="BL557" s="78"/>
      <c r="BM557" s="78"/>
      <c r="BN557" s="78"/>
      <c r="BO557" s="78"/>
      <c r="BP557" s="78"/>
      <c r="BQ557" s="78"/>
      <c r="BR557" s="78"/>
      <c r="BS557" s="78"/>
      <c r="BT557" s="78"/>
      <c r="BU557" s="78"/>
      <c r="BV557" s="78"/>
      <c r="BW557" s="78"/>
      <c r="BX557" s="78"/>
      <c r="BY557" s="78"/>
      <c r="BZ557" s="78"/>
      <c r="CA557" s="78"/>
      <c r="CB557" s="78"/>
      <c r="CC557" s="78"/>
      <c r="CD557" s="78"/>
      <c r="CE557" s="78"/>
      <c r="CF557" s="78"/>
      <c r="CG557" s="78"/>
      <c r="CH557" s="78"/>
      <c r="CI557" s="78"/>
      <c r="CJ557" s="78"/>
      <c r="CK557" s="78"/>
      <c r="CL557" s="78"/>
      <c r="CM557" s="78"/>
      <c r="CN557" s="78"/>
      <c r="CO557" s="78"/>
      <c r="CP557" s="78"/>
      <c r="CQ557" s="78"/>
      <c r="CR557" s="78"/>
      <c r="CS557" s="78"/>
      <c r="CT557" s="78"/>
      <c r="CU557" s="78"/>
      <c r="CV557" s="78"/>
      <c r="CW557" s="78"/>
      <c r="CX557" s="78"/>
      <c r="CY557" s="78"/>
      <c r="CZ557" s="78"/>
      <c r="DA557" s="78"/>
      <c r="DB557" s="78"/>
      <c r="DC557" s="78"/>
      <c r="DD557" s="78"/>
      <c r="DE557" s="78"/>
      <c r="DF557" s="78"/>
      <c r="DG557" s="78"/>
      <c r="DH557" s="78"/>
      <c r="DI557" s="78"/>
      <c r="DJ557" s="78"/>
      <c r="DK557" s="78"/>
      <c r="DL557" s="78"/>
      <c r="DM557" s="78"/>
      <c r="DN557" s="78"/>
      <c r="DO557" s="78"/>
      <c r="DP557" s="78"/>
      <c r="DQ557" s="78"/>
      <c r="DR557" s="78"/>
      <c r="DS557" s="78"/>
      <c r="DT557" s="78"/>
      <c r="DU557" s="78"/>
      <c r="DV557" s="78"/>
      <c r="DW557" s="78"/>
      <c r="DX557" s="78"/>
      <c r="DY557" s="78"/>
      <c r="DZ557" s="78"/>
      <c r="EA557" s="78"/>
      <c r="EB557" s="78"/>
      <c r="EC557" s="78"/>
      <c r="ED557" s="78"/>
      <c r="EE557" s="78"/>
      <c r="EF557" s="78"/>
      <c r="EG557" s="78"/>
      <c r="EH557" s="78"/>
      <c r="EI557" s="78"/>
      <c r="EJ557" s="78"/>
      <c r="EK557" s="78"/>
      <c r="EL557" s="78"/>
      <c r="EM557" s="78"/>
      <c r="EN557" s="91"/>
      <c r="EO557" s="91"/>
      <c r="EP557" s="91"/>
      <c r="EQ557" s="91"/>
      <c r="ER557" s="91"/>
      <c r="ES557" s="91"/>
    </row>
    <row r="558" spans="1:149" outlineLevel="1">
      <c r="A558" s="29" t="str">
        <f t="shared" si="340"/>
        <v>modesg_out_sfics_taxon_europeiaorigem</v>
      </c>
      <c r="B558" s="67" t="s">
        <v>26</v>
      </c>
      <c r="C558" s="68" t="s">
        <v>310</v>
      </c>
      <c r="D558" s="64" t="s">
        <v>40</v>
      </c>
      <c r="E558" s="66" t="s">
        <v>2079</v>
      </c>
      <c r="F558" s="64" t="s">
        <v>72</v>
      </c>
      <c r="G558" s="64" t="str">
        <f>INDEX(Auxiliar!$B$16:$B$24,MATCH(Plano_V3!H558,Auxiliar!$C$16:$C$24,0),1)</f>
        <v>0. Cancelado</v>
      </c>
      <c r="H558" s="64">
        <f>VLOOKUP(A558,'Aux - pivots1'!$A:$B,2,0)</f>
        <v>0</v>
      </c>
      <c r="I558" s="180">
        <f>SUMIFS(Table1[Estimação (horas)],Table1[Tabela],Plano_V3!E558,Table1[Campo],Plano_V3!F558)</f>
        <v>4.0999999999999996</v>
      </c>
      <c r="J558" s="180">
        <f t="shared" si="341"/>
        <v>0.51249999999999996</v>
      </c>
      <c r="K558" s="180">
        <f>SUMIFS(Table1[Horas efetivas],Table1[Tabela],Plano_V3!E558,Table1[Campo],Plano_V3!F558)</f>
        <v>0</v>
      </c>
      <c r="L558" s="180">
        <f t="shared" si="342"/>
        <v>0</v>
      </c>
      <c r="M558" s="174"/>
      <c r="N558" s="174">
        <f t="shared" si="343"/>
        <v>0</v>
      </c>
      <c r="O558" s="174">
        <f t="shared" si="338"/>
        <v>0</v>
      </c>
      <c r="P558" s="87" t="s">
        <v>334</v>
      </c>
      <c r="Q558" s="90">
        <f t="shared" si="339"/>
        <v>0.51249999999999996</v>
      </c>
      <c r="R558" s="78"/>
      <c r="S558" s="78"/>
      <c r="T558" s="78"/>
      <c r="U558" s="78"/>
      <c r="V558" s="78"/>
      <c r="W558" s="78"/>
      <c r="X558" s="78"/>
      <c r="Y558" s="78"/>
      <c r="Z558" s="78"/>
      <c r="AA558" s="78"/>
      <c r="AB558" s="78"/>
      <c r="AC558" s="78"/>
      <c r="AD558" s="78"/>
      <c r="AE558" s="78"/>
      <c r="AF558" s="78"/>
      <c r="AG558" s="78"/>
      <c r="AH558" s="78"/>
      <c r="AI558" s="78"/>
      <c r="AJ558" s="78"/>
      <c r="AK558" s="78"/>
      <c r="AL558" s="78"/>
      <c r="AM558" s="78"/>
      <c r="AN558" s="78"/>
      <c r="AO558" s="78"/>
      <c r="AP558" s="78"/>
      <c r="AQ558" s="78"/>
      <c r="AR558" s="78"/>
      <c r="AS558" s="78"/>
      <c r="AT558" s="78"/>
      <c r="AU558" s="78"/>
      <c r="AV558" s="78"/>
      <c r="AW558" s="78"/>
      <c r="AX558" s="78"/>
      <c r="AY558" s="91"/>
      <c r="AZ558" s="78"/>
      <c r="BA558" s="78"/>
      <c r="BB558" s="78"/>
      <c r="BC558" s="78"/>
      <c r="BD558" s="78"/>
      <c r="BE558" s="78"/>
      <c r="BF558" s="78"/>
      <c r="BG558" s="78"/>
      <c r="BH558" s="78"/>
      <c r="BI558" s="78"/>
      <c r="BJ558" s="78"/>
      <c r="BK558" s="78"/>
      <c r="BL558" s="78"/>
      <c r="BM558" s="78"/>
      <c r="BN558" s="78"/>
      <c r="BO558" s="78"/>
      <c r="BP558" s="78"/>
      <c r="BQ558" s="78"/>
      <c r="BR558" s="78"/>
      <c r="BS558" s="78"/>
      <c r="BT558" s="78"/>
      <c r="BU558" s="78"/>
      <c r="BV558" s="78"/>
      <c r="BW558" s="78"/>
      <c r="BX558" s="78"/>
      <c r="BY558" s="78"/>
      <c r="BZ558" s="78"/>
      <c r="CA558" s="78"/>
      <c r="CB558" s="78"/>
      <c r="CC558" s="78"/>
      <c r="CD558" s="78"/>
      <c r="CE558" s="78"/>
      <c r="CF558" s="78"/>
      <c r="CG558" s="78"/>
      <c r="CH558" s="78"/>
      <c r="CI558" s="78"/>
      <c r="CJ558" s="78"/>
      <c r="CK558" s="78"/>
      <c r="CL558" s="78"/>
      <c r="CM558" s="78"/>
      <c r="CN558" s="78"/>
      <c r="CO558" s="78"/>
      <c r="CP558" s="78"/>
      <c r="CQ558" s="78"/>
      <c r="CR558" s="78"/>
      <c r="CS558" s="78"/>
      <c r="CT558" s="78"/>
      <c r="CU558" s="78"/>
      <c r="CV558" s="78"/>
      <c r="CW558" s="78"/>
      <c r="CX558" s="78"/>
      <c r="CY558" s="78"/>
      <c r="CZ558" s="78"/>
      <c r="DA558" s="78"/>
      <c r="DB558" s="78"/>
      <c r="DC558" s="78"/>
      <c r="DD558" s="78"/>
      <c r="DE558" s="78"/>
      <c r="DF558" s="78"/>
      <c r="DG558" s="78"/>
      <c r="DH558" s="78"/>
      <c r="DI558" s="78"/>
      <c r="DJ558" s="78"/>
      <c r="DK558" s="78"/>
      <c r="DL558" s="78"/>
      <c r="DM558" s="78"/>
      <c r="DN558" s="78"/>
      <c r="DO558" s="78"/>
      <c r="DP558" s="78"/>
      <c r="DQ558" s="78"/>
      <c r="DR558" s="78"/>
      <c r="DS558" s="78"/>
      <c r="DT558" s="78"/>
      <c r="DU558" s="78"/>
      <c r="DV558" s="78"/>
      <c r="DW558" s="78"/>
      <c r="DX558" s="78"/>
      <c r="DY558" s="78"/>
      <c r="DZ558" s="78"/>
      <c r="EA558" s="78"/>
      <c r="EB558" s="78"/>
      <c r="EC558" s="78"/>
      <c r="ED558" s="78"/>
      <c r="EE558" s="78"/>
      <c r="EF558" s="78"/>
      <c r="EG558" s="78"/>
      <c r="EH558" s="78"/>
      <c r="EI558" s="78"/>
      <c r="EJ558" s="78"/>
      <c r="EK558" s="78"/>
      <c r="EL558" s="78"/>
      <c r="EM558" s="78"/>
      <c r="EN558" s="91"/>
      <c r="EO558" s="91"/>
      <c r="EP558" s="91"/>
      <c r="EQ558" s="91"/>
      <c r="ER558" s="91"/>
      <c r="ES558" s="91"/>
    </row>
    <row r="559" spans="1:149" outlineLevel="1">
      <c r="A559" s="29" t="str">
        <f t="shared" si="340"/>
        <v>modesg_out_sfics_taxon_europeiaref_date</v>
      </c>
      <c r="B559" s="67" t="s">
        <v>26</v>
      </c>
      <c r="C559" s="68" t="s">
        <v>310</v>
      </c>
      <c r="D559" s="64" t="s">
        <v>40</v>
      </c>
      <c r="E559" s="66" t="s">
        <v>2079</v>
      </c>
      <c r="F559" s="64" t="s">
        <v>208</v>
      </c>
      <c r="G559" s="64" t="str">
        <f>INDEX(Auxiliar!$B$16:$B$24,MATCH(Plano_V3!H559,Auxiliar!$C$16:$C$24,0),1)</f>
        <v>1. Concluído</v>
      </c>
      <c r="H559" s="64">
        <f>VLOOKUP(A559,'Aux - pivots1'!$A:$B,2,0)</f>
        <v>1</v>
      </c>
      <c r="I559" s="180">
        <f>SUMIFS(Table1[Estimação (horas)],Table1[Tabela],Plano_V3!E559,Table1[Campo],Plano_V3!F559)</f>
        <v>4.0999999999999996</v>
      </c>
      <c r="J559" s="180">
        <f t="shared" si="341"/>
        <v>0.51249999999999996</v>
      </c>
      <c r="K559" s="180">
        <f>SUMIFS(Table1[Horas efetivas],Table1[Tabela],Plano_V3!E559,Table1[Campo],Plano_V3!F559)</f>
        <v>4.0999999999999996</v>
      </c>
      <c r="L559" s="180">
        <f t="shared" si="342"/>
        <v>0.51249999999999996</v>
      </c>
      <c r="M559" s="174"/>
      <c r="N559" s="174">
        <f t="shared" si="343"/>
        <v>1</v>
      </c>
      <c r="O559" s="174">
        <f t="shared" si="338"/>
        <v>1</v>
      </c>
      <c r="P559" s="87" t="s">
        <v>334</v>
      </c>
      <c r="Q559" s="90">
        <f t="shared" si="339"/>
        <v>0.51249999999999996</v>
      </c>
      <c r="R559" s="78"/>
      <c r="S559" s="78"/>
      <c r="T559" s="78"/>
      <c r="U559" s="78"/>
      <c r="V559" s="78"/>
      <c r="W559" s="78"/>
      <c r="X559" s="78"/>
      <c r="Y559" s="78"/>
      <c r="Z559" s="78"/>
      <c r="AA559" s="78"/>
      <c r="AB559" s="78"/>
      <c r="AC559" s="78"/>
      <c r="AD559" s="78"/>
      <c r="AE559" s="78"/>
      <c r="AF559" s="78"/>
      <c r="AG559" s="78"/>
      <c r="AH559" s="78"/>
      <c r="AI559" s="78"/>
      <c r="AJ559" s="78"/>
      <c r="AK559" s="78"/>
      <c r="AL559" s="78"/>
      <c r="AM559" s="78"/>
      <c r="AN559" s="78"/>
      <c r="AO559" s="78"/>
      <c r="AP559" s="78"/>
      <c r="AQ559" s="78"/>
      <c r="AR559" s="78"/>
      <c r="AS559" s="78"/>
      <c r="AT559" s="78"/>
      <c r="AU559" s="78"/>
      <c r="AV559" s="78"/>
      <c r="AW559" s="78"/>
      <c r="AX559" s="78"/>
      <c r="AY559" s="91"/>
      <c r="AZ559" s="78"/>
      <c r="BA559" s="78"/>
      <c r="BB559" s="78"/>
      <c r="BC559" s="78"/>
      <c r="BD559" s="78"/>
      <c r="BE559" s="78"/>
      <c r="BF559" s="78"/>
      <c r="BG559" s="78"/>
      <c r="BH559" s="78"/>
      <c r="BI559" s="78"/>
      <c r="BJ559" s="78"/>
      <c r="BK559" s="78"/>
      <c r="BL559" s="78"/>
      <c r="BM559" s="78"/>
      <c r="BN559" s="78"/>
      <c r="BO559" s="78"/>
      <c r="BP559" s="78"/>
      <c r="BQ559" s="78"/>
      <c r="BR559" s="78"/>
      <c r="BS559" s="78"/>
      <c r="BT559" s="78"/>
      <c r="BU559" s="78"/>
      <c r="BV559" s="78"/>
      <c r="BW559" s="78"/>
      <c r="BX559" s="78"/>
      <c r="BY559" s="78"/>
      <c r="BZ559" s="78"/>
      <c r="CA559" s="78"/>
      <c r="CB559" s="78"/>
      <c r="CC559" s="78"/>
      <c r="CD559" s="78"/>
      <c r="CE559" s="78"/>
      <c r="CF559" s="78"/>
      <c r="CG559" s="78"/>
      <c r="CH559" s="78"/>
      <c r="CI559" s="78"/>
      <c r="CJ559" s="78"/>
      <c r="CK559" s="78"/>
      <c r="CL559" s="78"/>
      <c r="CM559" s="78"/>
      <c r="CN559" s="78"/>
      <c r="CO559" s="78"/>
      <c r="CP559" s="78"/>
      <c r="CQ559" s="78"/>
      <c r="CR559" s="78"/>
      <c r="CS559" s="78"/>
      <c r="CT559" s="78"/>
      <c r="CU559" s="78"/>
      <c r="CV559" s="78"/>
      <c r="CW559" s="78"/>
      <c r="CX559" s="78"/>
      <c r="CY559" s="78"/>
      <c r="CZ559" s="78"/>
      <c r="DA559" s="78"/>
      <c r="DB559" s="78"/>
      <c r="DC559" s="78"/>
      <c r="DD559" s="78"/>
      <c r="DE559" s="78"/>
      <c r="DF559" s="78"/>
      <c r="DG559" s="78"/>
      <c r="DH559" s="78"/>
      <c r="DI559" s="78"/>
      <c r="DJ559" s="78"/>
      <c r="DK559" s="78"/>
      <c r="DL559" s="78"/>
      <c r="DM559" s="78"/>
      <c r="DN559" s="78"/>
      <c r="DO559" s="78"/>
      <c r="DP559" s="78"/>
      <c r="DQ559" s="78"/>
      <c r="DR559" s="78"/>
      <c r="DS559" s="78"/>
      <c r="DT559" s="78"/>
      <c r="DU559" s="78"/>
      <c r="DV559" s="78"/>
      <c r="DW559" s="78"/>
      <c r="DX559" s="78"/>
      <c r="DY559" s="78"/>
      <c r="DZ559" s="78"/>
      <c r="EA559" s="78"/>
      <c r="EB559" s="78"/>
      <c r="EC559" s="78"/>
      <c r="ED559" s="78"/>
      <c r="EE559" s="78"/>
      <c r="EF559" s="78"/>
      <c r="EG559" s="78"/>
      <c r="EH559" s="78"/>
      <c r="EI559" s="78"/>
      <c r="EJ559" s="78"/>
      <c r="EK559" s="78"/>
      <c r="EL559" s="78"/>
      <c r="EM559" s="78"/>
      <c r="EN559" s="91"/>
      <c r="EO559" s="91"/>
      <c r="EP559" s="91"/>
      <c r="EQ559" s="91"/>
      <c r="ER559" s="91"/>
      <c r="ES559" s="91"/>
    </row>
    <row r="560" spans="1:149" outlineLevel="1">
      <c r="A560" s="29" t="str">
        <f t="shared" si="340"/>
        <v>modesg_out_sfics_taxon_europeiazdeposit</v>
      </c>
      <c r="B560" s="67" t="s">
        <v>26</v>
      </c>
      <c r="C560" s="68" t="s">
        <v>310</v>
      </c>
      <c r="D560" s="64" t="s">
        <v>40</v>
      </c>
      <c r="E560" s="66" t="s">
        <v>2079</v>
      </c>
      <c r="F560" s="64" t="s">
        <v>210</v>
      </c>
      <c r="G560" s="64" t="str">
        <f>INDEX(Auxiliar!$B$16:$B$24,MATCH(Plano_V3!H560,Auxiliar!$C$16:$C$24,0),1)</f>
        <v>1. Concluído</v>
      </c>
      <c r="H560" s="64">
        <f>VLOOKUP(A560,'Aux - pivots1'!$A:$B,2,0)</f>
        <v>1</v>
      </c>
      <c r="I560" s="180">
        <f>SUMIFS(Table1[Estimação (horas)],Table1[Tabela],Plano_V3!E560,Table1[Campo],Plano_V3!F560)</f>
        <v>8.1</v>
      </c>
      <c r="J560" s="180">
        <f t="shared" si="341"/>
        <v>1.0125</v>
      </c>
      <c r="K560" s="180">
        <f>SUMIFS(Table1[Horas efetivas],Table1[Tabela],Plano_V3!E560,Table1[Campo],Plano_V3!F560)</f>
        <v>8.1</v>
      </c>
      <c r="L560" s="180">
        <f t="shared" si="342"/>
        <v>1.0125</v>
      </c>
      <c r="M560" s="174"/>
      <c r="N560" s="174">
        <f t="shared" si="343"/>
        <v>1</v>
      </c>
      <c r="O560" s="174">
        <f t="shared" si="338"/>
        <v>1</v>
      </c>
      <c r="P560" s="87" t="s">
        <v>334</v>
      </c>
      <c r="Q560" s="90">
        <f t="shared" si="339"/>
        <v>1.0125</v>
      </c>
      <c r="R560" s="78"/>
      <c r="S560" s="78"/>
      <c r="T560" s="78"/>
      <c r="U560" s="78"/>
      <c r="V560" s="78"/>
      <c r="W560" s="78"/>
      <c r="X560" s="78"/>
      <c r="Y560" s="78"/>
      <c r="Z560" s="78"/>
      <c r="AA560" s="78"/>
      <c r="AB560" s="78"/>
      <c r="AC560" s="78"/>
      <c r="AD560" s="78"/>
      <c r="AE560" s="78"/>
      <c r="AF560" s="78"/>
      <c r="AG560" s="78"/>
      <c r="AH560" s="78"/>
      <c r="AI560" s="78"/>
      <c r="AJ560" s="78"/>
      <c r="AK560" s="78"/>
      <c r="AL560" s="78"/>
      <c r="AM560" s="78"/>
      <c r="AN560" s="78"/>
      <c r="AO560" s="78"/>
      <c r="AP560" s="78"/>
      <c r="AQ560" s="78"/>
      <c r="AR560" s="78"/>
      <c r="AS560" s="78"/>
      <c r="AT560" s="78"/>
      <c r="AU560" s="78"/>
      <c r="AV560" s="78"/>
      <c r="AW560" s="78"/>
      <c r="AX560" s="78"/>
      <c r="AY560" s="91"/>
      <c r="AZ560" s="78"/>
      <c r="BA560" s="78"/>
      <c r="BB560" s="78"/>
      <c r="BC560" s="78"/>
      <c r="BD560" s="78"/>
      <c r="BE560" s="78"/>
      <c r="BF560" s="78"/>
      <c r="BG560" s="78"/>
      <c r="BH560" s="78"/>
      <c r="BI560" s="78"/>
      <c r="BJ560" s="78"/>
      <c r="BK560" s="78"/>
      <c r="BL560" s="78"/>
      <c r="BM560" s="78"/>
      <c r="BN560" s="78"/>
      <c r="BO560" s="78"/>
      <c r="BP560" s="78"/>
      <c r="BQ560" s="78"/>
      <c r="BR560" s="78"/>
      <c r="BS560" s="78"/>
      <c r="BT560" s="78"/>
      <c r="BU560" s="78"/>
      <c r="BV560" s="78"/>
      <c r="BW560" s="78"/>
      <c r="BX560" s="78"/>
      <c r="BY560" s="78"/>
      <c r="BZ560" s="78"/>
      <c r="CA560" s="78"/>
      <c r="CB560" s="78"/>
      <c r="CC560" s="78"/>
      <c r="CD560" s="78"/>
      <c r="CE560" s="78"/>
      <c r="CF560" s="78"/>
      <c r="CG560" s="78"/>
      <c r="CH560" s="78"/>
      <c r="CI560" s="78"/>
      <c r="CJ560" s="78"/>
      <c r="CK560" s="78"/>
      <c r="CL560" s="78"/>
      <c r="CM560" s="78"/>
      <c r="CN560" s="78"/>
      <c r="CO560" s="78"/>
      <c r="CP560" s="78"/>
      <c r="CQ560" s="78"/>
      <c r="CR560" s="78"/>
      <c r="CS560" s="78"/>
      <c r="CT560" s="78"/>
      <c r="CU560" s="78"/>
      <c r="CV560" s="78"/>
      <c r="CW560" s="78"/>
      <c r="CX560" s="78"/>
      <c r="CY560" s="78"/>
      <c r="CZ560" s="78"/>
      <c r="DA560" s="78"/>
      <c r="DB560" s="78"/>
      <c r="DC560" s="78"/>
      <c r="DD560" s="78"/>
      <c r="DE560" s="78"/>
      <c r="DF560" s="78"/>
      <c r="DG560" s="78"/>
      <c r="DH560" s="78"/>
      <c r="DI560" s="78"/>
      <c r="DJ560" s="78"/>
      <c r="DK560" s="78"/>
      <c r="DL560" s="78"/>
      <c r="DM560" s="78"/>
      <c r="DN560" s="78"/>
      <c r="DO560" s="78"/>
      <c r="DP560" s="78"/>
      <c r="DQ560" s="78"/>
      <c r="DR560" s="78"/>
      <c r="DS560" s="78"/>
      <c r="DT560" s="78"/>
      <c r="DU560" s="78"/>
      <c r="DV560" s="78"/>
      <c r="DW560" s="78"/>
      <c r="DX560" s="78"/>
      <c r="DY560" s="78"/>
      <c r="DZ560" s="78"/>
      <c r="EA560" s="78"/>
      <c r="EB560" s="78"/>
      <c r="EC560" s="78"/>
      <c r="ED560" s="78"/>
      <c r="EE560" s="78"/>
      <c r="EF560" s="78"/>
      <c r="EG560" s="78"/>
      <c r="EH560" s="78"/>
      <c r="EI560" s="78"/>
      <c r="EJ560" s="78"/>
      <c r="EK560" s="78"/>
      <c r="EL560" s="78"/>
      <c r="EM560" s="78"/>
      <c r="EN560" s="91"/>
      <c r="EO560" s="91"/>
      <c r="EP560" s="91"/>
      <c r="EQ560" s="91"/>
      <c r="ER560" s="91"/>
      <c r="ES560" s="91"/>
    </row>
    <row r="561" spans="1:149" outlineLevel="1">
      <c r="A561" s="29" t="str">
        <f t="shared" si="340"/>
        <v>Re-testesn.a.</v>
      </c>
      <c r="B561" s="67" t="s">
        <v>26</v>
      </c>
      <c r="C561" s="68" t="s">
        <v>310</v>
      </c>
      <c r="D561" s="64" t="s">
        <v>40</v>
      </c>
      <c r="E561" s="66" t="s">
        <v>53</v>
      </c>
      <c r="F561" s="64" t="s">
        <v>38</v>
      </c>
      <c r="G561" s="64"/>
      <c r="H561" s="64"/>
      <c r="I561" s="180" t="e">
        <f>SUM(I453:I560)*$D$7</f>
        <v>#N/A</v>
      </c>
      <c r="J561" s="180" t="e">
        <f>I561/8</f>
        <v>#N/A</v>
      </c>
      <c r="K561" s="180" t="e">
        <f>SUM(K453:K560)*$D$7</f>
        <v>#N/A</v>
      </c>
      <c r="L561" s="180" t="e">
        <f>K561/8</f>
        <v>#N/A</v>
      </c>
      <c r="M561" s="174"/>
      <c r="N561" s="174" t="e">
        <f t="shared" si="343"/>
        <v>#N/A</v>
      </c>
      <c r="O561" s="174" t="e">
        <f t="shared" si="338"/>
        <v>#N/A</v>
      </c>
      <c r="P561" s="87"/>
      <c r="Q561" s="90" t="e">
        <f t="shared" si="339"/>
        <v>#N/A</v>
      </c>
      <c r="R561" s="78"/>
      <c r="S561" s="78"/>
      <c r="T561" s="78"/>
      <c r="U561" s="78"/>
      <c r="V561" s="78"/>
      <c r="W561" s="78"/>
      <c r="X561" s="78"/>
      <c r="Y561" s="78"/>
      <c r="Z561" s="78"/>
      <c r="AA561" s="78"/>
      <c r="AB561" s="78"/>
      <c r="AC561" s="78"/>
      <c r="AD561" s="78"/>
      <c r="AE561" s="78"/>
      <c r="AF561" s="78"/>
      <c r="AG561" s="78"/>
      <c r="AH561" s="78"/>
      <c r="AI561" s="78"/>
      <c r="AJ561" s="78"/>
      <c r="AK561" s="78"/>
      <c r="AL561" s="78"/>
      <c r="AM561" s="78"/>
      <c r="AN561" s="78"/>
      <c r="AO561" s="78"/>
      <c r="AP561" s="78"/>
      <c r="AQ561" s="78"/>
      <c r="AR561" s="78"/>
      <c r="AS561" s="78"/>
      <c r="AT561" s="78"/>
      <c r="AU561" s="78"/>
      <c r="AV561" s="78"/>
      <c r="AW561" s="78"/>
      <c r="AX561" s="78"/>
      <c r="AY561" s="91"/>
      <c r="AZ561" s="78"/>
      <c r="BA561" s="78"/>
      <c r="BB561" s="78"/>
      <c r="BC561" s="78"/>
      <c r="BD561" s="78"/>
      <c r="BE561" s="78"/>
      <c r="BF561" s="78"/>
      <c r="BG561" s="78"/>
      <c r="BH561" s="78"/>
      <c r="BI561" s="78"/>
      <c r="BJ561" s="78"/>
      <c r="BK561" s="78"/>
      <c r="BL561" s="78"/>
      <c r="BM561" s="78"/>
      <c r="BN561" s="78"/>
      <c r="BO561" s="78"/>
      <c r="BP561" s="78"/>
      <c r="BQ561" s="78"/>
      <c r="BR561" s="78"/>
      <c r="BS561" s="78"/>
      <c r="BT561" s="78"/>
      <c r="BU561" s="78"/>
      <c r="BV561" s="78"/>
      <c r="BW561" s="78"/>
      <c r="BX561" s="78"/>
      <c r="BY561" s="78"/>
      <c r="BZ561" s="78"/>
      <c r="CA561" s="78"/>
      <c r="CB561" s="78"/>
      <c r="CC561" s="78"/>
      <c r="CD561" s="78"/>
      <c r="CE561" s="78"/>
      <c r="CF561" s="78"/>
      <c r="CG561" s="78"/>
      <c r="CH561" s="78"/>
      <c r="CI561" s="78"/>
      <c r="CJ561" s="78"/>
      <c r="CK561" s="78"/>
      <c r="CL561" s="78"/>
      <c r="CM561" s="78"/>
      <c r="CN561" s="78"/>
      <c r="CO561" s="78"/>
      <c r="CP561" s="78"/>
      <c r="CQ561" s="78"/>
      <c r="CR561" s="78"/>
      <c r="CS561" s="78"/>
      <c r="CT561" s="78"/>
      <c r="CU561" s="78"/>
      <c r="CV561" s="78"/>
      <c r="CW561" s="78"/>
      <c r="CX561" s="78"/>
      <c r="CY561" s="78"/>
      <c r="CZ561" s="78"/>
      <c r="DA561" s="78"/>
      <c r="DB561" s="78"/>
      <c r="DC561" s="78"/>
      <c r="DD561" s="78"/>
      <c r="DE561" s="78"/>
      <c r="DF561" s="78"/>
      <c r="DG561" s="78"/>
      <c r="DH561" s="78"/>
      <c r="DI561" s="78"/>
      <c r="DJ561" s="78"/>
      <c r="DK561" s="78"/>
      <c r="DL561" s="78"/>
      <c r="DM561" s="78"/>
      <c r="DN561" s="78"/>
      <c r="DO561" s="78"/>
      <c r="DP561" s="78"/>
      <c r="DQ561" s="78"/>
      <c r="DR561" s="78"/>
      <c r="DS561" s="78"/>
      <c r="DT561" s="78"/>
      <c r="DU561" s="78"/>
      <c r="DV561" s="78"/>
      <c r="DW561" s="78"/>
      <c r="DX561" s="78"/>
      <c r="DY561" s="78"/>
      <c r="DZ561" s="78"/>
      <c r="EA561" s="78"/>
      <c r="EB561" s="78"/>
      <c r="EC561" s="78"/>
      <c r="ED561" s="78"/>
      <c r="EE561" s="78"/>
      <c r="EF561" s="78"/>
      <c r="EG561" s="78"/>
      <c r="EH561" s="78"/>
      <c r="EI561" s="78"/>
      <c r="EJ561" s="78"/>
      <c r="EK561" s="78"/>
      <c r="EL561" s="78"/>
      <c r="EM561" s="78"/>
      <c r="EN561" s="91"/>
      <c r="EO561" s="91"/>
      <c r="EP561" s="91"/>
      <c r="EQ561" s="91"/>
      <c r="ER561" s="91"/>
      <c r="ES561" s="91"/>
    </row>
    <row r="562" spans="1:149">
      <c r="A562" s="29" t="str">
        <f t="shared" ref="A562:A592" si="344">E562&amp;F562</f>
        <v/>
      </c>
      <c r="B562" s="101" t="s">
        <v>26</v>
      </c>
      <c r="C562" s="102" t="s">
        <v>30</v>
      </c>
      <c r="D562" s="96"/>
      <c r="E562" s="103"/>
      <c r="F562" s="96"/>
      <c r="G562" s="96"/>
      <c r="H562" s="96"/>
      <c r="I562" s="179" t="e">
        <f>SUM(I563:I768)</f>
        <v>#N/A</v>
      </c>
      <c r="J562" s="179" t="e">
        <f>ROUNDUP(I562/8,0)</f>
        <v>#N/A</v>
      </c>
      <c r="K562" s="179" t="e">
        <f>SUM(K563:K768)</f>
        <v>#N/A</v>
      </c>
      <c r="L562" s="179" t="e">
        <f>ROUNDUP(K562/8,0)</f>
        <v>#N/A</v>
      </c>
      <c r="M562" s="178" t="e">
        <f>SUMIFS(R562:ES562,$R$9:$ES$9,"S")/J562</f>
        <v>#N/A</v>
      </c>
      <c r="N562" s="178">
        <f>IFERROR(L562/J562,0)</f>
        <v>0</v>
      </c>
      <c r="O562" s="178" t="e">
        <f t="shared" si="338"/>
        <v>#N/A</v>
      </c>
      <c r="P562" s="186" t="s">
        <v>1845</v>
      </c>
      <c r="Q562" s="90" t="e">
        <f t="shared" si="339"/>
        <v>#N/A</v>
      </c>
      <c r="R562" s="78"/>
      <c r="S562" s="78"/>
      <c r="T562" s="78"/>
      <c r="U562" s="78"/>
      <c r="V562" s="78"/>
      <c r="W562" s="78"/>
      <c r="X562" s="78"/>
      <c r="Y562" s="78"/>
      <c r="Z562" s="78"/>
      <c r="AA562" s="78"/>
      <c r="AB562" s="78"/>
      <c r="AC562" s="78"/>
      <c r="AD562" s="78"/>
      <c r="AE562" s="78"/>
      <c r="AF562" s="78"/>
      <c r="AG562" s="78"/>
      <c r="AH562" s="78"/>
      <c r="AI562" s="78"/>
      <c r="AJ562" s="78"/>
      <c r="AK562" s="78"/>
      <c r="AL562" s="78"/>
      <c r="AM562" s="78"/>
      <c r="AN562" s="78"/>
      <c r="AO562" s="78"/>
      <c r="AP562" s="78"/>
      <c r="AQ562" s="78"/>
      <c r="AR562" s="78"/>
      <c r="AS562" s="78"/>
      <c r="AT562" s="78"/>
      <c r="AU562" s="78"/>
      <c r="AV562" s="78"/>
      <c r="AW562" s="78"/>
      <c r="AX562" s="78"/>
      <c r="AY562" s="91"/>
      <c r="AZ562" s="78"/>
      <c r="BA562" s="78"/>
      <c r="BB562" s="78"/>
      <c r="BC562" s="78"/>
      <c r="BD562" s="78"/>
      <c r="BE562" s="78"/>
      <c r="BF562" s="78"/>
      <c r="BG562" s="78"/>
      <c r="BH562" s="78"/>
      <c r="BI562" s="78"/>
      <c r="BJ562" s="78"/>
      <c r="BK562" s="78"/>
      <c r="BL562" s="78"/>
      <c r="BM562" s="78"/>
      <c r="BN562" s="78"/>
      <c r="BO562" s="78"/>
      <c r="BP562" s="78"/>
      <c r="BQ562" s="78"/>
      <c r="BR562" s="78"/>
      <c r="BS562" s="78"/>
      <c r="BT562" s="78"/>
      <c r="BU562" s="78"/>
      <c r="BV562" s="78"/>
      <c r="BW562" s="78"/>
      <c r="BX562" s="78"/>
      <c r="BY562" s="78"/>
      <c r="BZ562" s="78"/>
      <c r="CA562" s="78"/>
      <c r="CB562" s="78"/>
      <c r="CC562" s="78"/>
      <c r="CD562" s="78"/>
      <c r="CE562" s="78"/>
      <c r="CF562" s="78"/>
      <c r="CG562" s="78"/>
      <c r="CH562" s="78"/>
      <c r="CI562" s="78"/>
      <c r="CJ562" s="78"/>
      <c r="CK562" s="78"/>
      <c r="CL562" s="78"/>
      <c r="CM562" s="78"/>
      <c r="CN562" s="78"/>
      <c r="CO562" s="78"/>
      <c r="CP562" s="78"/>
      <c r="CQ562" s="78"/>
      <c r="CR562" s="78"/>
      <c r="CS562" s="78"/>
      <c r="CT562" s="78"/>
      <c r="CU562" s="78"/>
      <c r="CV562" s="78"/>
      <c r="CW562" s="78"/>
      <c r="CX562" s="78">
        <v>0.5</v>
      </c>
      <c r="CY562" s="78">
        <v>0.5</v>
      </c>
      <c r="CZ562" s="78">
        <v>1</v>
      </c>
      <c r="DA562" s="78">
        <v>1</v>
      </c>
      <c r="DB562" s="78">
        <v>1</v>
      </c>
      <c r="DC562" s="78">
        <v>1</v>
      </c>
      <c r="DD562" s="78">
        <v>0.5</v>
      </c>
      <c r="DE562" s="78">
        <v>1</v>
      </c>
      <c r="DF562" s="78">
        <v>1</v>
      </c>
      <c r="DG562" s="78">
        <v>1</v>
      </c>
      <c r="DH562" s="78">
        <v>1</v>
      </c>
      <c r="DI562" s="78">
        <v>1</v>
      </c>
      <c r="DJ562" s="78">
        <v>1</v>
      </c>
      <c r="DK562" s="78">
        <v>1</v>
      </c>
      <c r="DL562" s="78">
        <v>1</v>
      </c>
      <c r="DM562" s="78">
        <v>1</v>
      </c>
      <c r="DN562" s="78">
        <v>1</v>
      </c>
      <c r="DO562" s="78">
        <v>1</v>
      </c>
      <c r="DP562" s="78">
        <v>1</v>
      </c>
      <c r="DQ562" s="78">
        <v>1</v>
      </c>
      <c r="DR562" s="78">
        <v>1</v>
      </c>
      <c r="DS562" s="189"/>
      <c r="DT562" s="78">
        <v>1</v>
      </c>
      <c r="DU562" s="78">
        <v>1</v>
      </c>
      <c r="DV562" s="78">
        <v>1</v>
      </c>
      <c r="DW562" s="78">
        <v>1</v>
      </c>
      <c r="DX562" s="78">
        <v>1</v>
      </c>
      <c r="DY562" s="78">
        <v>1</v>
      </c>
      <c r="DZ562" s="78">
        <v>1</v>
      </c>
      <c r="EA562" s="78">
        <v>1</v>
      </c>
      <c r="EB562" s="78">
        <v>1</v>
      </c>
      <c r="EC562" s="78">
        <v>1</v>
      </c>
      <c r="ED562" s="78">
        <v>1</v>
      </c>
      <c r="EE562" s="78">
        <v>1</v>
      </c>
      <c r="EF562" s="78">
        <v>1</v>
      </c>
      <c r="EG562" s="78">
        <v>1</v>
      </c>
      <c r="EH562" s="78">
        <v>1</v>
      </c>
      <c r="EI562" s="78">
        <v>1.5</v>
      </c>
      <c r="EJ562" s="78">
        <v>3</v>
      </c>
      <c r="EK562" s="78">
        <v>3</v>
      </c>
      <c r="EL562" s="78">
        <v>3</v>
      </c>
      <c r="EM562" s="78">
        <v>3</v>
      </c>
      <c r="EN562" s="91"/>
      <c r="EO562" s="91"/>
      <c r="EP562" s="91"/>
      <c r="EQ562" s="91"/>
      <c r="ER562" s="91"/>
      <c r="ES562" s="91"/>
    </row>
    <row r="563" spans="1:149" outlineLevel="1">
      <c r="A563" s="29" t="str">
        <f t="shared" si="344"/>
        <v>lt003_entitynace_esg</v>
      </c>
      <c r="B563" s="67" t="s">
        <v>26</v>
      </c>
      <c r="C563" s="68" t="s">
        <v>26</v>
      </c>
      <c r="D563" s="64" t="s">
        <v>40</v>
      </c>
      <c r="E563" s="70" t="s">
        <v>335</v>
      </c>
      <c r="F563" s="71" t="s">
        <v>336</v>
      </c>
      <c r="G563" s="64" t="str">
        <f>INDEX(Auxiliar!$B$16:$B$24,MATCH(Plano_V3!H563,Auxiliar!$C$16:$C$24,0),1)</f>
        <v>1. Concluído</v>
      </c>
      <c r="H563" s="64">
        <f>VLOOKUP(A563,'Aux - pivots1'!$A:$B,2,0)</f>
        <v>1</v>
      </c>
      <c r="I563" s="172">
        <f>SUMIFS(Table1[Estimação (horas)],Table1[Tabela],Plano_V3!E563,Table1[Campo],Plano_V3!F563)</f>
        <v>4.0999999999999996</v>
      </c>
      <c r="J563" s="172">
        <f t="shared" ref="J563:J594" si="345">I563/8</f>
        <v>0.51249999999999996</v>
      </c>
      <c r="K563" s="172">
        <f>SUMIFS(Table1[Horas efetivas],Table1[Tabela],Plano_V3!E563,Table1[Campo],Plano_V3!F563)</f>
        <v>4.0999999999999996</v>
      </c>
      <c r="L563" s="172">
        <f t="shared" ref="L563:L594" si="346">K563/8</f>
        <v>0.51249999999999996</v>
      </c>
      <c r="M563" s="174"/>
      <c r="N563" s="174">
        <f t="shared" ref="N563:N594" si="347">L563/J563</f>
        <v>1</v>
      </c>
      <c r="O563" s="174"/>
      <c r="P563" s="87" t="s">
        <v>337</v>
      </c>
      <c r="R563" s="78"/>
      <c r="S563" s="78"/>
      <c r="T563" s="78"/>
      <c r="U563" s="78"/>
      <c r="V563" s="78"/>
      <c r="W563" s="78"/>
      <c r="X563" s="78"/>
      <c r="Y563" s="78"/>
      <c r="Z563" s="78"/>
      <c r="AA563" s="78"/>
      <c r="AB563" s="78"/>
      <c r="AC563" s="78"/>
      <c r="AD563" s="78"/>
      <c r="AE563" s="78"/>
      <c r="AF563" s="78"/>
      <c r="AG563" s="78"/>
      <c r="AH563" s="78"/>
      <c r="AI563" s="78"/>
      <c r="AJ563" s="78"/>
      <c r="AK563" s="78"/>
      <c r="AL563" s="78"/>
      <c r="AM563" s="78"/>
      <c r="AN563" s="78"/>
      <c r="AO563" s="78"/>
      <c r="AP563" s="78"/>
      <c r="AQ563" s="78"/>
      <c r="AR563" s="78"/>
      <c r="AS563" s="78"/>
      <c r="AT563" s="78"/>
      <c r="AU563" s="78"/>
      <c r="AV563" s="78"/>
      <c r="AW563" s="78"/>
      <c r="AX563" s="78"/>
      <c r="AY563" s="91"/>
      <c r="AZ563" s="78"/>
      <c r="BA563" s="78"/>
      <c r="BB563" s="78"/>
      <c r="BC563" s="78"/>
      <c r="BD563" s="78"/>
      <c r="BE563" s="78"/>
      <c r="BF563" s="78"/>
      <c r="BG563" s="78"/>
      <c r="BH563" s="78"/>
      <c r="BI563" s="78"/>
      <c r="BJ563" s="78"/>
      <c r="BK563" s="78"/>
      <c r="BL563" s="78"/>
      <c r="BM563" s="78"/>
      <c r="BN563" s="78"/>
      <c r="BO563" s="78"/>
      <c r="BP563" s="78"/>
      <c r="BQ563" s="78"/>
      <c r="BR563" s="78"/>
      <c r="BS563" s="78"/>
      <c r="BT563" s="78"/>
      <c r="BU563" s="78"/>
      <c r="BV563" s="78"/>
      <c r="BW563" s="78"/>
      <c r="BX563" s="78"/>
      <c r="BY563" s="78"/>
      <c r="BZ563" s="78"/>
      <c r="CA563" s="78"/>
      <c r="CB563" s="78"/>
      <c r="CC563" s="78"/>
      <c r="CD563" s="78"/>
      <c r="CE563" s="78"/>
      <c r="CF563" s="78"/>
      <c r="CG563" s="78"/>
      <c r="CH563" s="78"/>
      <c r="CI563" s="78"/>
      <c r="CJ563" s="78"/>
      <c r="CK563" s="78"/>
      <c r="CL563" s="78"/>
      <c r="CM563" s="78"/>
      <c r="CN563" s="78"/>
      <c r="CO563" s="78"/>
      <c r="CP563" s="78"/>
      <c r="CQ563" s="78"/>
      <c r="CR563" s="78"/>
      <c r="CS563" s="78"/>
      <c r="CT563" s="78"/>
      <c r="CU563" s="78"/>
      <c r="CV563" s="78"/>
      <c r="CW563" s="78"/>
      <c r="CX563" s="78"/>
      <c r="CY563" s="78"/>
      <c r="CZ563" s="78"/>
      <c r="DA563" s="78"/>
      <c r="DB563" s="78"/>
      <c r="DC563" s="78"/>
      <c r="DD563" s="78"/>
      <c r="DE563" s="78"/>
      <c r="DF563" s="78"/>
      <c r="DG563" s="78"/>
      <c r="DH563" s="78"/>
      <c r="DI563" s="78"/>
      <c r="DJ563" s="78"/>
      <c r="DK563" s="78"/>
      <c r="DL563" s="78"/>
      <c r="DM563" s="78"/>
      <c r="DN563" s="78"/>
      <c r="DO563" s="78"/>
      <c r="DP563" s="78"/>
      <c r="DQ563" s="78"/>
      <c r="DR563" s="78"/>
      <c r="DS563" s="78"/>
      <c r="DT563" s="78"/>
      <c r="DU563" s="78"/>
      <c r="DV563" s="78"/>
      <c r="DW563" s="78"/>
      <c r="DX563" s="78"/>
      <c r="DY563" s="78"/>
      <c r="DZ563" s="78"/>
      <c r="EA563" s="78"/>
      <c r="EB563" s="78"/>
      <c r="EC563" s="78"/>
      <c r="ED563" s="78"/>
      <c r="EE563" s="78"/>
      <c r="EF563" s="78"/>
      <c r="EG563" s="78"/>
      <c r="EH563" s="78"/>
      <c r="EI563" s="78"/>
      <c r="EJ563" s="78"/>
      <c r="EK563" s="78"/>
      <c r="EL563" s="78"/>
      <c r="EM563" s="78"/>
      <c r="EN563" s="91"/>
      <c r="EO563" s="91"/>
      <c r="EP563" s="91"/>
      <c r="EQ563" s="91"/>
      <c r="ER563" s="91"/>
      <c r="ES563" s="91"/>
    </row>
    <row r="564" spans="1:149" outlineLevel="1">
      <c r="A564" s="29" t="str">
        <f t="shared" si="344"/>
        <v>lt003_entitytxnmy_elgbl_capex_ccm</v>
      </c>
      <c r="B564" s="67" t="s">
        <v>26</v>
      </c>
      <c r="C564" s="68" t="s">
        <v>26</v>
      </c>
      <c r="D564" s="64" t="s">
        <v>40</v>
      </c>
      <c r="E564" s="70" t="s">
        <v>335</v>
      </c>
      <c r="F564" s="71" t="s">
        <v>338</v>
      </c>
      <c r="G564" s="64" t="str">
        <f>INDEX(Auxiliar!$B$16:$B$24,MATCH(Plano_V3!H564,Auxiliar!$C$16:$C$24,0),1)</f>
        <v>1. Concluído</v>
      </c>
      <c r="H564" s="64">
        <f>VLOOKUP(A564,'Aux - pivots1'!$A:$B,2,0)</f>
        <v>1</v>
      </c>
      <c r="I564" s="172">
        <f>SUMIFS(Table1[Estimação (horas)],Table1[Tabela],Plano_V3!E564,Table1[Campo],Plano_V3!F564)</f>
        <v>4.0999999999999996</v>
      </c>
      <c r="J564" s="172">
        <f t="shared" si="345"/>
        <v>0.51249999999999996</v>
      </c>
      <c r="K564" s="172">
        <f>SUMIFS(Table1[Horas efetivas],Table1[Tabela],Plano_V3!E564,Table1[Campo],Plano_V3!F564)</f>
        <v>4.0999999999999996</v>
      </c>
      <c r="L564" s="172">
        <f t="shared" si="346"/>
        <v>0.51249999999999996</v>
      </c>
      <c r="M564" s="174"/>
      <c r="N564" s="174">
        <f t="shared" si="347"/>
        <v>1</v>
      </c>
      <c r="O564" s="174"/>
      <c r="P564" s="87" t="s">
        <v>337</v>
      </c>
      <c r="R564" s="78"/>
      <c r="S564" s="78"/>
      <c r="T564" s="78"/>
      <c r="U564" s="78"/>
      <c r="V564" s="78"/>
      <c r="W564" s="78"/>
      <c r="X564" s="78"/>
      <c r="Y564" s="78"/>
      <c r="Z564" s="78"/>
      <c r="AA564" s="78"/>
      <c r="AB564" s="78"/>
      <c r="AC564" s="78"/>
      <c r="AD564" s="78"/>
      <c r="AE564" s="78"/>
      <c r="AF564" s="78"/>
      <c r="AG564" s="78"/>
      <c r="AH564" s="78"/>
      <c r="AI564" s="78"/>
      <c r="AJ564" s="78"/>
      <c r="AK564" s="78"/>
      <c r="AL564" s="78"/>
      <c r="AM564" s="78"/>
      <c r="AN564" s="78"/>
      <c r="AO564" s="78"/>
      <c r="AP564" s="78"/>
      <c r="AQ564" s="78"/>
      <c r="AR564" s="78"/>
      <c r="AS564" s="78"/>
      <c r="AT564" s="78"/>
      <c r="AU564" s="78"/>
      <c r="AV564" s="78"/>
      <c r="AW564" s="78"/>
      <c r="AX564" s="78"/>
      <c r="AY564" s="91"/>
      <c r="AZ564" s="78"/>
      <c r="BA564" s="78"/>
      <c r="BB564" s="78"/>
      <c r="BC564" s="78"/>
      <c r="BD564" s="78"/>
      <c r="BE564" s="78"/>
      <c r="BF564" s="78"/>
      <c r="BG564" s="78"/>
      <c r="BH564" s="78"/>
      <c r="BI564" s="78"/>
      <c r="BJ564" s="78"/>
      <c r="BK564" s="78"/>
      <c r="BL564" s="78"/>
      <c r="BM564" s="78"/>
      <c r="BN564" s="78"/>
      <c r="BO564" s="78"/>
      <c r="BP564" s="78"/>
      <c r="BQ564" s="78"/>
      <c r="BR564" s="78"/>
      <c r="BS564" s="78"/>
      <c r="BT564" s="78"/>
      <c r="BU564" s="78"/>
      <c r="BV564" s="78"/>
      <c r="BW564" s="78"/>
      <c r="BX564" s="78"/>
      <c r="BY564" s="78"/>
      <c r="BZ564" s="78"/>
      <c r="CA564" s="78"/>
      <c r="CB564" s="78"/>
      <c r="CC564" s="78"/>
      <c r="CD564" s="78"/>
      <c r="CE564" s="78"/>
      <c r="CF564" s="78"/>
      <c r="CG564" s="78"/>
      <c r="CH564" s="78"/>
      <c r="CI564" s="78"/>
      <c r="CJ564" s="78"/>
      <c r="CK564" s="78"/>
      <c r="CL564" s="78"/>
      <c r="CM564" s="78"/>
      <c r="CN564" s="78"/>
      <c r="CO564" s="78"/>
      <c r="CP564" s="78"/>
      <c r="CQ564" s="78"/>
      <c r="CR564" s="78"/>
      <c r="CS564" s="78"/>
      <c r="CT564" s="78"/>
      <c r="CU564" s="78"/>
      <c r="CV564" s="78"/>
      <c r="CW564" s="78"/>
      <c r="CX564" s="78"/>
      <c r="CY564" s="78"/>
      <c r="CZ564" s="78"/>
      <c r="DA564" s="78"/>
      <c r="DB564" s="78"/>
      <c r="DC564" s="78"/>
      <c r="DD564" s="78"/>
      <c r="DE564" s="78"/>
      <c r="DF564" s="78"/>
      <c r="DG564" s="78"/>
      <c r="DH564" s="78"/>
      <c r="DI564" s="78"/>
      <c r="DJ564" s="78"/>
      <c r="DK564" s="78"/>
      <c r="DL564" s="78"/>
      <c r="DM564" s="78"/>
      <c r="DN564" s="78"/>
      <c r="DO564" s="78"/>
      <c r="DP564" s="78"/>
      <c r="DQ564" s="78"/>
      <c r="DR564" s="78"/>
      <c r="DS564" s="78"/>
      <c r="DT564" s="78"/>
      <c r="DU564" s="78"/>
      <c r="DV564" s="78"/>
      <c r="DW564" s="78"/>
      <c r="DX564" s="78"/>
      <c r="DY564" s="78"/>
      <c r="DZ564" s="78"/>
      <c r="EA564" s="78"/>
      <c r="EB564" s="78"/>
      <c r="EC564" s="78"/>
      <c r="ED564" s="78"/>
      <c r="EE564" s="78"/>
      <c r="EF564" s="78"/>
      <c r="EG564" s="78"/>
      <c r="EH564" s="78"/>
      <c r="EI564" s="78"/>
      <c r="EJ564" s="78"/>
      <c r="EK564" s="78"/>
      <c r="EL564" s="78"/>
      <c r="EM564" s="78"/>
      <c r="EN564" s="91"/>
      <c r="EO564" s="91"/>
      <c r="EP564" s="91"/>
      <c r="EQ564" s="91"/>
      <c r="ER564" s="91"/>
      <c r="ES564" s="91"/>
    </row>
    <row r="565" spans="1:149" outlineLevel="1">
      <c r="A565" s="29" t="str">
        <f t="shared" si="344"/>
        <v>lt003_entitytxnmy_elgbl_trnvr_ccm</v>
      </c>
      <c r="B565" s="67" t="s">
        <v>26</v>
      </c>
      <c r="C565" s="68" t="s">
        <v>26</v>
      </c>
      <c r="D565" s="64" t="s">
        <v>40</v>
      </c>
      <c r="E565" s="70" t="s">
        <v>335</v>
      </c>
      <c r="F565" s="71" t="s">
        <v>339</v>
      </c>
      <c r="G565" s="64" t="str">
        <f>INDEX(Auxiliar!$B$16:$B$24,MATCH(Plano_V3!H565,Auxiliar!$C$16:$C$24,0),1)</f>
        <v>1. Concluído</v>
      </c>
      <c r="H565" s="64">
        <f>VLOOKUP(A565,'Aux - pivots1'!$A:$B,2,0)</f>
        <v>1</v>
      </c>
      <c r="I565" s="172">
        <f>SUMIFS(Table1[Estimação (horas)],Table1[Tabela],Plano_V3!E565,Table1[Campo],Plano_V3!F565)</f>
        <v>4.0999999999999996</v>
      </c>
      <c r="J565" s="172">
        <f t="shared" si="345"/>
        <v>0.51249999999999996</v>
      </c>
      <c r="K565" s="172">
        <f>SUMIFS(Table1[Horas efetivas],Table1[Tabela],Plano_V3!E565,Table1[Campo],Plano_V3!F565)</f>
        <v>4.0999999999999996</v>
      </c>
      <c r="L565" s="172">
        <f t="shared" si="346"/>
        <v>0.51249999999999996</v>
      </c>
      <c r="M565" s="174"/>
      <c r="N565" s="174">
        <f t="shared" si="347"/>
        <v>1</v>
      </c>
      <c r="O565" s="174"/>
      <c r="P565" s="87" t="s">
        <v>337</v>
      </c>
      <c r="R565" s="78"/>
      <c r="S565" s="78"/>
      <c r="T565" s="78"/>
      <c r="U565" s="78"/>
      <c r="V565" s="78"/>
      <c r="W565" s="78"/>
      <c r="X565" s="78"/>
      <c r="Y565" s="78"/>
      <c r="Z565" s="78"/>
      <c r="AA565" s="78"/>
      <c r="AB565" s="78"/>
      <c r="AC565" s="78"/>
      <c r="AD565" s="78"/>
      <c r="AE565" s="78"/>
      <c r="AF565" s="78"/>
      <c r="AG565" s="78"/>
      <c r="AH565" s="78"/>
      <c r="AI565" s="78"/>
      <c r="AJ565" s="78"/>
      <c r="AK565" s="78"/>
      <c r="AL565" s="78"/>
      <c r="AM565" s="78"/>
      <c r="AN565" s="78"/>
      <c r="AO565" s="78"/>
      <c r="AP565" s="78"/>
      <c r="AQ565" s="78"/>
      <c r="AR565" s="78"/>
      <c r="AS565" s="78"/>
      <c r="AT565" s="78"/>
      <c r="AU565" s="78"/>
      <c r="AV565" s="78"/>
      <c r="AW565" s="78"/>
      <c r="AX565" s="78"/>
      <c r="AY565" s="91"/>
      <c r="AZ565" s="78"/>
      <c r="BA565" s="78"/>
      <c r="BB565" s="78"/>
      <c r="BC565" s="78"/>
      <c r="BD565" s="78"/>
      <c r="BE565" s="78"/>
      <c r="BF565" s="78"/>
      <c r="BG565" s="78"/>
      <c r="BH565" s="78"/>
      <c r="BI565" s="78"/>
      <c r="BJ565" s="78"/>
      <c r="BK565" s="78"/>
      <c r="BL565" s="78"/>
      <c r="BM565" s="78"/>
      <c r="BN565" s="78"/>
      <c r="BO565" s="78"/>
      <c r="BP565" s="78"/>
      <c r="BQ565" s="78"/>
      <c r="BR565" s="78"/>
      <c r="BS565" s="78"/>
      <c r="BT565" s="78"/>
      <c r="BU565" s="78"/>
      <c r="BV565" s="78"/>
      <c r="BW565" s="78"/>
      <c r="BX565" s="78"/>
      <c r="BY565" s="78"/>
      <c r="BZ565" s="78"/>
      <c r="CA565" s="78"/>
      <c r="CB565" s="78"/>
      <c r="CC565" s="78"/>
      <c r="CD565" s="78"/>
      <c r="CE565" s="78"/>
      <c r="CF565" s="78"/>
      <c r="CG565" s="78"/>
      <c r="CH565" s="78"/>
      <c r="CI565" s="78"/>
      <c r="CJ565" s="78"/>
      <c r="CK565" s="78"/>
      <c r="CL565" s="78"/>
      <c r="CM565" s="78"/>
      <c r="CN565" s="78"/>
      <c r="CO565" s="78"/>
      <c r="CP565" s="78"/>
      <c r="CQ565" s="78"/>
      <c r="CR565" s="78"/>
      <c r="CS565" s="78"/>
      <c r="CT565" s="78"/>
      <c r="CU565" s="78"/>
      <c r="CV565" s="78"/>
      <c r="CW565" s="78"/>
      <c r="CX565" s="78"/>
      <c r="CY565" s="78"/>
      <c r="CZ565" s="78"/>
      <c r="DA565" s="78"/>
      <c r="DB565" s="78"/>
      <c r="DC565" s="78"/>
      <c r="DD565" s="78"/>
      <c r="DE565" s="78"/>
      <c r="DF565" s="78"/>
      <c r="DG565" s="78"/>
      <c r="DH565" s="78"/>
      <c r="DI565" s="78"/>
      <c r="DJ565" s="78"/>
      <c r="DK565" s="78"/>
      <c r="DL565" s="78"/>
      <c r="DM565" s="78"/>
      <c r="DN565" s="78"/>
      <c r="DO565" s="78"/>
      <c r="DP565" s="78"/>
      <c r="DQ565" s="78"/>
      <c r="DR565" s="78"/>
      <c r="DS565" s="78"/>
      <c r="DT565" s="78"/>
      <c r="DU565" s="78"/>
      <c r="DV565" s="78"/>
      <c r="DW565" s="78"/>
      <c r="DX565" s="78"/>
      <c r="DY565" s="78"/>
      <c r="DZ565" s="78"/>
      <c r="EA565" s="78"/>
      <c r="EB565" s="78"/>
      <c r="EC565" s="78"/>
      <c r="ED565" s="78"/>
      <c r="EE565" s="78"/>
      <c r="EF565" s="78"/>
      <c r="EG565" s="78"/>
      <c r="EH565" s="78"/>
      <c r="EI565" s="78"/>
      <c r="EJ565" s="78"/>
      <c r="EK565" s="78"/>
      <c r="EL565" s="78"/>
      <c r="EM565" s="78"/>
      <c r="EN565" s="91"/>
      <c r="EO565" s="91"/>
      <c r="EP565" s="91"/>
      <c r="EQ565" s="91"/>
      <c r="ER565" s="91"/>
      <c r="ES565" s="91"/>
    </row>
    <row r="566" spans="1:149" outlineLevel="1">
      <c r="A566" s="29" t="str">
        <f t="shared" si="344"/>
        <v>lt003_entitytxnmy_elgbl_capex_cca</v>
      </c>
      <c r="B566" s="67" t="s">
        <v>26</v>
      </c>
      <c r="C566" s="68" t="s">
        <v>26</v>
      </c>
      <c r="D566" s="64" t="s">
        <v>40</v>
      </c>
      <c r="E566" s="70" t="s">
        <v>335</v>
      </c>
      <c r="F566" s="71" t="s">
        <v>340</v>
      </c>
      <c r="G566" s="64" t="str">
        <f>INDEX(Auxiliar!$B$16:$B$24,MATCH(Plano_V3!H566,Auxiliar!$C$16:$C$24,0),1)</f>
        <v>1. Concluído</v>
      </c>
      <c r="H566" s="64">
        <f>VLOOKUP(A566,'Aux - pivots1'!$A:$B,2,0)</f>
        <v>1</v>
      </c>
      <c r="I566" s="172">
        <f>SUMIFS(Table1[Estimação (horas)],Table1[Tabela],Plano_V3!E566,Table1[Campo],Plano_V3!F566)</f>
        <v>4.0999999999999996</v>
      </c>
      <c r="J566" s="172">
        <f t="shared" si="345"/>
        <v>0.51249999999999996</v>
      </c>
      <c r="K566" s="172">
        <f>SUMIFS(Table1[Horas efetivas],Table1[Tabela],Plano_V3!E566,Table1[Campo],Plano_V3!F566)</f>
        <v>4.0999999999999996</v>
      </c>
      <c r="L566" s="172">
        <f t="shared" si="346"/>
        <v>0.51249999999999996</v>
      </c>
      <c r="M566" s="174"/>
      <c r="N566" s="174">
        <f t="shared" si="347"/>
        <v>1</v>
      </c>
      <c r="O566" s="174"/>
      <c r="P566" s="87" t="s">
        <v>337</v>
      </c>
      <c r="R566" s="78"/>
      <c r="S566" s="78"/>
      <c r="T566" s="78"/>
      <c r="U566" s="78"/>
      <c r="V566" s="78"/>
      <c r="W566" s="78"/>
      <c r="X566" s="78"/>
      <c r="Y566" s="78"/>
      <c r="Z566" s="78"/>
      <c r="AA566" s="78"/>
      <c r="AB566" s="78"/>
      <c r="AC566" s="78"/>
      <c r="AD566" s="78"/>
      <c r="AE566" s="78"/>
      <c r="AF566" s="78"/>
      <c r="AG566" s="78"/>
      <c r="AH566" s="78"/>
      <c r="AI566" s="78"/>
      <c r="AJ566" s="78"/>
      <c r="AK566" s="78"/>
      <c r="AL566" s="78"/>
      <c r="AM566" s="78"/>
      <c r="AN566" s="78"/>
      <c r="AO566" s="78"/>
      <c r="AP566" s="78"/>
      <c r="AQ566" s="78"/>
      <c r="AR566" s="78"/>
      <c r="AS566" s="78"/>
      <c r="AT566" s="78"/>
      <c r="AU566" s="78"/>
      <c r="AV566" s="78"/>
      <c r="AW566" s="78"/>
      <c r="AX566" s="78"/>
      <c r="AY566" s="91"/>
      <c r="AZ566" s="78"/>
      <c r="BA566" s="78"/>
      <c r="BB566" s="78"/>
      <c r="BC566" s="78"/>
      <c r="BD566" s="78"/>
      <c r="BE566" s="78"/>
      <c r="BF566" s="78"/>
      <c r="BG566" s="78"/>
      <c r="BH566" s="78"/>
      <c r="BI566" s="78"/>
      <c r="BJ566" s="78"/>
      <c r="BK566" s="78"/>
      <c r="BL566" s="78"/>
      <c r="BM566" s="78"/>
      <c r="BN566" s="78"/>
      <c r="BO566" s="78"/>
      <c r="BP566" s="78"/>
      <c r="BQ566" s="78"/>
      <c r="BR566" s="78"/>
      <c r="BS566" s="78"/>
      <c r="BT566" s="78"/>
      <c r="BU566" s="78"/>
      <c r="BV566" s="78"/>
      <c r="BW566" s="78"/>
      <c r="BX566" s="78"/>
      <c r="BY566" s="78"/>
      <c r="BZ566" s="78"/>
      <c r="CA566" s="78"/>
      <c r="CB566" s="78"/>
      <c r="CC566" s="78"/>
      <c r="CD566" s="78"/>
      <c r="CE566" s="78"/>
      <c r="CF566" s="78"/>
      <c r="CG566" s="78"/>
      <c r="CH566" s="78"/>
      <c r="CI566" s="78"/>
      <c r="CJ566" s="78"/>
      <c r="CK566" s="78"/>
      <c r="CL566" s="78"/>
      <c r="CM566" s="78"/>
      <c r="CN566" s="78"/>
      <c r="CO566" s="78"/>
      <c r="CP566" s="78"/>
      <c r="CQ566" s="78"/>
      <c r="CR566" s="78"/>
      <c r="CS566" s="78"/>
      <c r="CT566" s="78"/>
      <c r="CU566" s="78"/>
      <c r="CV566" s="78"/>
      <c r="CW566" s="78"/>
      <c r="CX566" s="78"/>
      <c r="CY566" s="78"/>
      <c r="CZ566" s="78"/>
      <c r="DA566" s="78"/>
      <c r="DB566" s="78"/>
      <c r="DC566" s="78"/>
      <c r="DD566" s="78"/>
      <c r="DE566" s="78"/>
      <c r="DF566" s="78"/>
      <c r="DG566" s="78"/>
      <c r="DH566" s="78"/>
      <c r="DI566" s="78"/>
      <c r="DJ566" s="78"/>
      <c r="DK566" s="78"/>
      <c r="DL566" s="78"/>
      <c r="DM566" s="78"/>
      <c r="DN566" s="78"/>
      <c r="DO566" s="78"/>
      <c r="DP566" s="78"/>
      <c r="DQ566" s="78"/>
      <c r="DR566" s="78"/>
      <c r="DS566" s="78"/>
      <c r="DT566" s="78"/>
      <c r="DU566" s="78"/>
      <c r="DV566" s="78"/>
      <c r="DW566" s="78"/>
      <c r="DX566" s="78"/>
      <c r="DY566" s="78"/>
      <c r="DZ566" s="78"/>
      <c r="EA566" s="78"/>
      <c r="EB566" s="78"/>
      <c r="EC566" s="78"/>
      <c r="ED566" s="78"/>
      <c r="EE566" s="78"/>
      <c r="EF566" s="78"/>
      <c r="EG566" s="78"/>
      <c r="EH566" s="78"/>
      <c r="EI566" s="78"/>
      <c r="EJ566" s="78"/>
      <c r="EK566" s="78"/>
      <c r="EL566" s="78"/>
      <c r="EM566" s="78"/>
      <c r="EN566" s="91"/>
      <c r="EO566" s="91"/>
      <c r="EP566" s="91"/>
      <c r="EQ566" s="91"/>
      <c r="ER566" s="91"/>
      <c r="ES566" s="91"/>
    </row>
    <row r="567" spans="1:149" outlineLevel="1">
      <c r="A567" s="29" t="str">
        <f t="shared" si="344"/>
        <v>lt003_entitytxnmy_elgbl_trnvr_cca</v>
      </c>
      <c r="B567" s="67" t="s">
        <v>26</v>
      </c>
      <c r="C567" s="68" t="s">
        <v>26</v>
      </c>
      <c r="D567" s="64" t="s">
        <v>40</v>
      </c>
      <c r="E567" s="70" t="s">
        <v>335</v>
      </c>
      <c r="F567" s="71" t="s">
        <v>341</v>
      </c>
      <c r="G567" s="64" t="str">
        <f>INDEX(Auxiliar!$B$16:$B$24,MATCH(Plano_V3!H567,Auxiliar!$C$16:$C$24,0),1)</f>
        <v>1. Concluído</v>
      </c>
      <c r="H567" s="64">
        <f>VLOOKUP(A567,'Aux - pivots1'!$A:$B,2,0)</f>
        <v>1</v>
      </c>
      <c r="I567" s="172">
        <f>SUMIFS(Table1[Estimação (horas)],Table1[Tabela],Plano_V3!E567,Table1[Campo],Plano_V3!F567)</f>
        <v>4.0999999999999996</v>
      </c>
      <c r="J567" s="172">
        <f t="shared" si="345"/>
        <v>0.51249999999999996</v>
      </c>
      <c r="K567" s="172">
        <f>SUMIFS(Table1[Horas efetivas],Table1[Tabela],Plano_V3!E567,Table1[Campo],Plano_V3!F567)</f>
        <v>4.0999999999999996</v>
      </c>
      <c r="L567" s="172">
        <f t="shared" si="346"/>
        <v>0.51249999999999996</v>
      </c>
      <c r="M567" s="174"/>
      <c r="N567" s="174">
        <f t="shared" si="347"/>
        <v>1</v>
      </c>
      <c r="O567" s="174"/>
      <c r="P567" s="87" t="s">
        <v>337</v>
      </c>
      <c r="R567" s="78"/>
      <c r="S567" s="78"/>
      <c r="T567" s="78"/>
      <c r="U567" s="78"/>
      <c r="V567" s="78"/>
      <c r="W567" s="78"/>
      <c r="X567" s="78"/>
      <c r="Y567" s="78"/>
      <c r="Z567" s="78"/>
      <c r="AA567" s="78"/>
      <c r="AB567" s="78"/>
      <c r="AC567" s="78"/>
      <c r="AD567" s="78"/>
      <c r="AE567" s="78"/>
      <c r="AF567" s="78"/>
      <c r="AG567" s="78"/>
      <c r="AH567" s="78"/>
      <c r="AI567" s="78"/>
      <c r="AJ567" s="78"/>
      <c r="AK567" s="78"/>
      <c r="AL567" s="78"/>
      <c r="AM567" s="78"/>
      <c r="AN567" s="78"/>
      <c r="AO567" s="78"/>
      <c r="AP567" s="78"/>
      <c r="AQ567" s="78"/>
      <c r="AR567" s="78"/>
      <c r="AS567" s="78"/>
      <c r="AT567" s="78"/>
      <c r="AU567" s="78"/>
      <c r="AV567" s="78"/>
      <c r="AW567" s="78"/>
      <c r="AX567" s="78"/>
      <c r="AY567" s="91"/>
      <c r="AZ567" s="78"/>
      <c r="BA567" s="78"/>
      <c r="BB567" s="78"/>
      <c r="BC567" s="78"/>
      <c r="BD567" s="78"/>
      <c r="BE567" s="78"/>
      <c r="BF567" s="78"/>
      <c r="BG567" s="78"/>
      <c r="BH567" s="78"/>
      <c r="BI567" s="78"/>
      <c r="BJ567" s="78"/>
      <c r="BK567" s="78"/>
      <c r="BL567" s="78"/>
      <c r="BM567" s="78"/>
      <c r="BN567" s="78"/>
      <c r="BO567" s="78"/>
      <c r="BP567" s="78"/>
      <c r="BQ567" s="78"/>
      <c r="BR567" s="78"/>
      <c r="BS567" s="78"/>
      <c r="BT567" s="78"/>
      <c r="BU567" s="78"/>
      <c r="BV567" s="78"/>
      <c r="BW567" s="78"/>
      <c r="BX567" s="78"/>
      <c r="BY567" s="78"/>
      <c r="BZ567" s="78"/>
      <c r="CA567" s="78"/>
      <c r="CB567" s="78"/>
      <c r="CC567" s="78"/>
      <c r="CD567" s="78"/>
      <c r="CE567" s="78"/>
      <c r="CF567" s="78"/>
      <c r="CG567" s="78"/>
      <c r="CH567" s="78"/>
      <c r="CI567" s="78"/>
      <c r="CJ567" s="78"/>
      <c r="CK567" s="78"/>
      <c r="CL567" s="78"/>
      <c r="CM567" s="78"/>
      <c r="CN567" s="78"/>
      <c r="CO567" s="78"/>
      <c r="CP567" s="78"/>
      <c r="CQ567" s="78"/>
      <c r="CR567" s="78"/>
      <c r="CS567" s="78"/>
      <c r="CT567" s="78"/>
      <c r="CU567" s="78"/>
      <c r="CV567" s="78"/>
      <c r="CW567" s="78"/>
      <c r="CX567" s="78"/>
      <c r="CY567" s="78"/>
      <c r="CZ567" s="78"/>
      <c r="DA567" s="78"/>
      <c r="DB567" s="78"/>
      <c r="DC567" s="78"/>
      <c r="DD567" s="78"/>
      <c r="DE567" s="78"/>
      <c r="DF567" s="78"/>
      <c r="DG567" s="78"/>
      <c r="DH567" s="78"/>
      <c r="DI567" s="78"/>
      <c r="DJ567" s="78"/>
      <c r="DK567" s="78"/>
      <c r="DL567" s="78"/>
      <c r="DM567" s="78"/>
      <c r="DN567" s="78"/>
      <c r="DO567" s="78"/>
      <c r="DP567" s="78"/>
      <c r="DQ567" s="78"/>
      <c r="DR567" s="78"/>
      <c r="DS567" s="78"/>
      <c r="DT567" s="78"/>
      <c r="DU567" s="78"/>
      <c r="DV567" s="78"/>
      <c r="DW567" s="78"/>
      <c r="DX567" s="78"/>
      <c r="DY567" s="78"/>
      <c r="DZ567" s="78"/>
      <c r="EA567" s="78"/>
      <c r="EB567" s="78"/>
      <c r="EC567" s="78"/>
      <c r="ED567" s="78"/>
      <c r="EE567" s="78"/>
      <c r="EF567" s="78"/>
      <c r="EG567" s="78"/>
      <c r="EH567" s="78"/>
      <c r="EI567" s="78"/>
      <c r="EJ567" s="78"/>
      <c r="EK567" s="78"/>
      <c r="EL567" s="78"/>
      <c r="EM567" s="78"/>
      <c r="EN567" s="91"/>
      <c r="EO567" s="91"/>
      <c r="EP567" s="91"/>
      <c r="EQ567" s="91"/>
      <c r="ER567" s="91"/>
      <c r="ES567" s="91"/>
    </row>
    <row r="568" spans="1:149" outlineLevel="1">
      <c r="A568" s="29" t="str">
        <f t="shared" si="344"/>
        <v>lt003_entityenblng_capex_ccm</v>
      </c>
      <c r="B568" s="67" t="s">
        <v>26</v>
      </c>
      <c r="C568" s="68" t="s">
        <v>26</v>
      </c>
      <c r="D568" s="64" t="s">
        <v>40</v>
      </c>
      <c r="E568" s="70" t="s">
        <v>335</v>
      </c>
      <c r="F568" s="71" t="s">
        <v>342</v>
      </c>
      <c r="G568" s="64" t="str">
        <f>INDEX(Auxiliar!$B$16:$B$24,MATCH(Plano_V3!H568,Auxiliar!$C$16:$C$24,0),1)</f>
        <v>1. Concluído</v>
      </c>
      <c r="H568" s="64">
        <f>VLOOKUP(A568,'Aux - pivots1'!$A:$B,2,0)</f>
        <v>1</v>
      </c>
      <c r="I568" s="172">
        <f>SUMIFS(Table1[Estimação (horas)],Table1[Tabela],Plano_V3!E568,Table1[Campo],Plano_V3!F568)</f>
        <v>4.0999999999999996</v>
      </c>
      <c r="J568" s="172">
        <f t="shared" si="345"/>
        <v>0.51249999999999996</v>
      </c>
      <c r="K568" s="172">
        <f>SUMIFS(Table1[Horas efetivas],Table1[Tabela],Plano_V3!E568,Table1[Campo],Plano_V3!F568)</f>
        <v>4.0999999999999996</v>
      </c>
      <c r="L568" s="172">
        <f t="shared" si="346"/>
        <v>0.51249999999999996</v>
      </c>
      <c r="M568" s="174"/>
      <c r="N568" s="174">
        <f t="shared" si="347"/>
        <v>1</v>
      </c>
      <c r="O568" s="174"/>
      <c r="P568" s="87" t="s">
        <v>337</v>
      </c>
      <c r="R568" s="78"/>
      <c r="S568" s="78"/>
      <c r="T568" s="78"/>
      <c r="U568" s="78"/>
      <c r="V568" s="78"/>
      <c r="W568" s="78"/>
      <c r="X568" s="78"/>
      <c r="Y568" s="78"/>
      <c r="Z568" s="78"/>
      <c r="AA568" s="78"/>
      <c r="AB568" s="78"/>
      <c r="AC568" s="78"/>
      <c r="AD568" s="78"/>
      <c r="AE568" s="78"/>
      <c r="AF568" s="78"/>
      <c r="AG568" s="78"/>
      <c r="AH568" s="78"/>
      <c r="AI568" s="78"/>
      <c r="AJ568" s="78"/>
      <c r="AK568" s="78"/>
      <c r="AL568" s="78"/>
      <c r="AM568" s="78"/>
      <c r="AN568" s="78"/>
      <c r="AO568" s="78"/>
      <c r="AP568" s="78"/>
      <c r="AQ568" s="78"/>
      <c r="AR568" s="78"/>
      <c r="AS568" s="78"/>
      <c r="AT568" s="78"/>
      <c r="AU568" s="78"/>
      <c r="AV568" s="78"/>
      <c r="AW568" s="78"/>
      <c r="AX568" s="78"/>
      <c r="AY568" s="91"/>
      <c r="AZ568" s="78"/>
      <c r="BA568" s="78"/>
      <c r="BB568" s="78"/>
      <c r="BC568" s="78"/>
      <c r="BD568" s="78"/>
      <c r="BE568" s="78"/>
      <c r="BF568" s="78"/>
      <c r="BG568" s="78"/>
      <c r="BH568" s="78"/>
      <c r="BI568" s="78"/>
      <c r="BJ568" s="78"/>
      <c r="BK568" s="78"/>
      <c r="BL568" s="78"/>
      <c r="BM568" s="78"/>
      <c r="BN568" s="78"/>
      <c r="BO568" s="78"/>
      <c r="BP568" s="78"/>
      <c r="BQ568" s="78"/>
      <c r="BR568" s="78"/>
      <c r="BS568" s="78"/>
      <c r="BT568" s="78"/>
      <c r="BU568" s="78"/>
      <c r="BV568" s="78"/>
      <c r="BW568" s="78"/>
      <c r="BX568" s="78"/>
      <c r="BY568" s="78"/>
      <c r="BZ568" s="78"/>
      <c r="CA568" s="78"/>
      <c r="CB568" s="78"/>
      <c r="CC568" s="78"/>
      <c r="CD568" s="78"/>
      <c r="CE568" s="78"/>
      <c r="CF568" s="78"/>
      <c r="CG568" s="78"/>
      <c r="CH568" s="78"/>
      <c r="CI568" s="78"/>
      <c r="CJ568" s="78"/>
      <c r="CK568" s="78"/>
      <c r="CL568" s="78"/>
      <c r="CM568" s="78"/>
      <c r="CN568" s="78"/>
      <c r="CO568" s="78"/>
      <c r="CP568" s="78"/>
      <c r="CQ568" s="78"/>
      <c r="CR568" s="78"/>
      <c r="CS568" s="78"/>
      <c r="CT568" s="78"/>
      <c r="CU568" s="78"/>
      <c r="CV568" s="78"/>
      <c r="CW568" s="78"/>
      <c r="CX568" s="78"/>
      <c r="CY568" s="78"/>
      <c r="CZ568" s="78"/>
      <c r="DA568" s="78"/>
      <c r="DB568" s="78"/>
      <c r="DC568" s="78"/>
      <c r="DD568" s="78"/>
      <c r="DE568" s="78"/>
      <c r="DF568" s="78"/>
      <c r="DG568" s="78"/>
      <c r="DH568" s="78"/>
      <c r="DI568" s="78"/>
      <c r="DJ568" s="78"/>
      <c r="DK568" s="78"/>
      <c r="DL568" s="78"/>
      <c r="DM568" s="78"/>
      <c r="DN568" s="78"/>
      <c r="DO568" s="78"/>
      <c r="DP568" s="78"/>
      <c r="DQ568" s="78"/>
      <c r="DR568" s="78"/>
      <c r="DS568" s="78"/>
      <c r="DT568" s="78"/>
      <c r="DU568" s="78"/>
      <c r="DV568" s="78"/>
      <c r="DW568" s="78"/>
      <c r="DX568" s="78"/>
      <c r="DY568" s="78"/>
      <c r="DZ568" s="78"/>
      <c r="EA568" s="78"/>
      <c r="EB568" s="78"/>
      <c r="EC568" s="78"/>
      <c r="ED568" s="78"/>
      <c r="EE568" s="78"/>
      <c r="EF568" s="78"/>
      <c r="EG568" s="78"/>
      <c r="EH568" s="78"/>
      <c r="EI568" s="78"/>
      <c r="EJ568" s="78"/>
      <c r="EK568" s="78"/>
      <c r="EL568" s="78"/>
      <c r="EM568" s="78"/>
      <c r="EN568" s="91"/>
      <c r="EO568" s="91"/>
      <c r="EP568" s="91"/>
      <c r="EQ568" s="91"/>
      <c r="ER568" s="91"/>
      <c r="ES568" s="91"/>
    </row>
    <row r="569" spans="1:149" outlineLevel="1">
      <c r="A569" s="29" t="str">
        <f t="shared" si="344"/>
        <v>lt003_entityenblng_capex_cca</v>
      </c>
      <c r="B569" s="67" t="s">
        <v>26</v>
      </c>
      <c r="C569" s="68" t="s">
        <v>26</v>
      </c>
      <c r="D569" s="64" t="s">
        <v>40</v>
      </c>
      <c r="E569" s="70" t="s">
        <v>335</v>
      </c>
      <c r="F569" s="71" t="s">
        <v>343</v>
      </c>
      <c r="G569" s="64" t="str">
        <f>INDEX(Auxiliar!$B$16:$B$24,MATCH(Plano_V3!H569,Auxiliar!$C$16:$C$24,0),1)</f>
        <v>1. Concluído</v>
      </c>
      <c r="H569" s="64">
        <f>VLOOKUP(A569,'Aux - pivots1'!$A:$B,2,0)</f>
        <v>1</v>
      </c>
      <c r="I569" s="172">
        <f>SUMIFS(Table1[Estimação (horas)],Table1[Tabela],Plano_V3!E569,Table1[Campo],Plano_V3!F569)</f>
        <v>4.0999999999999996</v>
      </c>
      <c r="J569" s="172">
        <f t="shared" si="345"/>
        <v>0.51249999999999996</v>
      </c>
      <c r="K569" s="172">
        <f>SUMIFS(Table1[Horas efetivas],Table1[Tabela],Plano_V3!E569,Table1[Campo],Plano_V3!F569)</f>
        <v>4.0999999999999996</v>
      </c>
      <c r="L569" s="172">
        <f t="shared" si="346"/>
        <v>0.51249999999999996</v>
      </c>
      <c r="M569" s="174"/>
      <c r="N569" s="174">
        <f t="shared" si="347"/>
        <v>1</v>
      </c>
      <c r="O569" s="174"/>
      <c r="P569" s="87" t="s">
        <v>337</v>
      </c>
      <c r="R569" s="78"/>
      <c r="S569" s="78"/>
      <c r="T569" s="78"/>
      <c r="U569" s="78"/>
      <c r="V569" s="78"/>
      <c r="W569" s="78"/>
      <c r="X569" s="78"/>
      <c r="Y569" s="78"/>
      <c r="Z569" s="78"/>
      <c r="AA569" s="78"/>
      <c r="AB569" s="78"/>
      <c r="AC569" s="78"/>
      <c r="AD569" s="78"/>
      <c r="AE569" s="78"/>
      <c r="AF569" s="78"/>
      <c r="AG569" s="78"/>
      <c r="AH569" s="78"/>
      <c r="AI569" s="78"/>
      <c r="AJ569" s="78"/>
      <c r="AK569" s="78"/>
      <c r="AL569" s="78"/>
      <c r="AM569" s="78"/>
      <c r="AN569" s="78"/>
      <c r="AO569" s="78"/>
      <c r="AP569" s="78"/>
      <c r="AQ569" s="78"/>
      <c r="AR569" s="78"/>
      <c r="AS569" s="78"/>
      <c r="AT569" s="78"/>
      <c r="AU569" s="78"/>
      <c r="AV569" s="78"/>
      <c r="AW569" s="78"/>
      <c r="AX569" s="78"/>
      <c r="AY569" s="91"/>
      <c r="AZ569" s="78"/>
      <c r="BA569" s="78"/>
      <c r="BB569" s="78"/>
      <c r="BC569" s="78"/>
      <c r="BD569" s="78"/>
      <c r="BE569" s="78"/>
      <c r="BF569" s="78"/>
      <c r="BG569" s="78"/>
      <c r="BH569" s="78"/>
      <c r="BI569" s="78"/>
      <c r="BJ569" s="78"/>
      <c r="BK569" s="78"/>
      <c r="BL569" s="78"/>
      <c r="BM569" s="78"/>
      <c r="BN569" s="78"/>
      <c r="BO569" s="78"/>
      <c r="BP569" s="78"/>
      <c r="BQ569" s="78"/>
      <c r="BR569" s="78"/>
      <c r="BS569" s="78"/>
      <c r="BT569" s="78"/>
      <c r="BU569" s="78"/>
      <c r="BV569" s="78"/>
      <c r="BW569" s="78"/>
      <c r="BX569" s="78"/>
      <c r="BY569" s="78"/>
      <c r="BZ569" s="78"/>
      <c r="CA569" s="78"/>
      <c r="CB569" s="78"/>
      <c r="CC569" s="78"/>
      <c r="CD569" s="78"/>
      <c r="CE569" s="78"/>
      <c r="CF569" s="78"/>
      <c r="CG569" s="78"/>
      <c r="CH569" s="78"/>
      <c r="CI569" s="78"/>
      <c r="CJ569" s="78"/>
      <c r="CK569" s="78"/>
      <c r="CL569" s="78"/>
      <c r="CM569" s="78"/>
      <c r="CN569" s="78"/>
      <c r="CO569" s="78"/>
      <c r="CP569" s="78"/>
      <c r="CQ569" s="78"/>
      <c r="CR569" s="78"/>
      <c r="CS569" s="78"/>
      <c r="CT569" s="78"/>
      <c r="CU569" s="78"/>
      <c r="CV569" s="78"/>
      <c r="CW569" s="78"/>
      <c r="CX569" s="78"/>
      <c r="CY569" s="78"/>
      <c r="CZ569" s="78"/>
      <c r="DA569" s="78"/>
      <c r="DB569" s="78"/>
      <c r="DC569" s="78"/>
      <c r="DD569" s="78"/>
      <c r="DE569" s="78"/>
      <c r="DF569" s="78"/>
      <c r="DG569" s="78"/>
      <c r="DH569" s="78"/>
      <c r="DI569" s="78"/>
      <c r="DJ569" s="78"/>
      <c r="DK569" s="78"/>
      <c r="DL569" s="78"/>
      <c r="DM569" s="78"/>
      <c r="DN569" s="78"/>
      <c r="DO569" s="78"/>
      <c r="DP569" s="78"/>
      <c r="DQ569" s="78"/>
      <c r="DR569" s="78"/>
      <c r="DS569" s="78"/>
      <c r="DT569" s="78"/>
      <c r="DU569" s="78"/>
      <c r="DV569" s="78"/>
      <c r="DW569" s="78"/>
      <c r="DX569" s="78"/>
      <c r="DY569" s="78"/>
      <c r="DZ569" s="78"/>
      <c r="EA569" s="78"/>
      <c r="EB569" s="78"/>
      <c r="EC569" s="78"/>
      <c r="ED569" s="78"/>
      <c r="EE569" s="78"/>
      <c r="EF569" s="78"/>
      <c r="EG569" s="78"/>
      <c r="EH569" s="78"/>
      <c r="EI569" s="78"/>
      <c r="EJ569" s="78"/>
      <c r="EK569" s="78"/>
      <c r="EL569" s="78"/>
      <c r="EM569" s="78"/>
      <c r="EN569" s="91"/>
      <c r="EO569" s="91"/>
      <c r="EP569" s="91"/>
      <c r="EQ569" s="91"/>
      <c r="ER569" s="91"/>
      <c r="ES569" s="91"/>
    </row>
    <row r="570" spans="1:149" outlineLevel="1">
      <c r="A570" s="29" t="str">
        <f t="shared" si="344"/>
        <v>lt003_entitytrnstnl_capex</v>
      </c>
      <c r="B570" s="67" t="s">
        <v>26</v>
      </c>
      <c r="C570" s="68" t="s">
        <v>26</v>
      </c>
      <c r="D570" s="64" t="s">
        <v>40</v>
      </c>
      <c r="E570" s="70" t="s">
        <v>335</v>
      </c>
      <c r="F570" s="71" t="s">
        <v>344</v>
      </c>
      <c r="G570" s="64" t="str">
        <f>INDEX(Auxiliar!$B$16:$B$24,MATCH(Plano_V3!H570,Auxiliar!$C$16:$C$24,0),1)</f>
        <v>1. Concluído</v>
      </c>
      <c r="H570" s="64">
        <f>VLOOKUP(A570,'Aux - pivots1'!$A:$B,2,0)</f>
        <v>1</v>
      </c>
      <c r="I570" s="172">
        <f>SUMIFS(Table1[Estimação (horas)],Table1[Tabela],Plano_V3!E570,Table1[Campo],Plano_V3!F570)</f>
        <v>4.0999999999999996</v>
      </c>
      <c r="J570" s="172">
        <f t="shared" si="345"/>
        <v>0.51249999999999996</v>
      </c>
      <c r="K570" s="172">
        <f>SUMIFS(Table1[Horas efetivas],Table1[Tabela],Plano_V3!E570,Table1[Campo],Plano_V3!F570)</f>
        <v>4.0999999999999996</v>
      </c>
      <c r="L570" s="172">
        <f t="shared" si="346"/>
        <v>0.51249999999999996</v>
      </c>
      <c r="M570" s="174"/>
      <c r="N570" s="174">
        <f t="shared" si="347"/>
        <v>1</v>
      </c>
      <c r="O570" s="174"/>
      <c r="P570" s="87" t="s">
        <v>337</v>
      </c>
      <c r="R570" s="78"/>
      <c r="S570" s="78"/>
      <c r="T570" s="78"/>
      <c r="U570" s="78"/>
      <c r="V570" s="78"/>
      <c r="W570" s="78"/>
      <c r="X570" s="78"/>
      <c r="Y570" s="78"/>
      <c r="Z570" s="78"/>
      <c r="AA570" s="78"/>
      <c r="AB570" s="78"/>
      <c r="AC570" s="78"/>
      <c r="AD570" s="78"/>
      <c r="AE570" s="78"/>
      <c r="AF570" s="78"/>
      <c r="AG570" s="78"/>
      <c r="AH570" s="78"/>
      <c r="AI570" s="78"/>
      <c r="AJ570" s="78"/>
      <c r="AK570" s="78"/>
      <c r="AL570" s="78"/>
      <c r="AM570" s="78"/>
      <c r="AN570" s="78"/>
      <c r="AO570" s="78"/>
      <c r="AP570" s="78"/>
      <c r="AQ570" s="78"/>
      <c r="AR570" s="78"/>
      <c r="AS570" s="78"/>
      <c r="AT570" s="78"/>
      <c r="AU570" s="78"/>
      <c r="AV570" s="78"/>
      <c r="AW570" s="78"/>
      <c r="AX570" s="78"/>
      <c r="AY570" s="91"/>
      <c r="AZ570" s="78"/>
      <c r="BA570" s="78"/>
      <c r="BB570" s="78"/>
      <c r="BC570" s="78"/>
      <c r="BD570" s="78"/>
      <c r="BE570" s="78"/>
      <c r="BF570" s="78"/>
      <c r="BG570" s="78"/>
      <c r="BH570" s="78"/>
      <c r="BI570" s="78"/>
      <c r="BJ570" s="78"/>
      <c r="BK570" s="78"/>
      <c r="BL570" s="78"/>
      <c r="BM570" s="78"/>
      <c r="BN570" s="78"/>
      <c r="BO570" s="78"/>
      <c r="BP570" s="78"/>
      <c r="BQ570" s="78"/>
      <c r="BR570" s="78"/>
      <c r="BS570" s="78"/>
      <c r="BT570" s="78"/>
      <c r="BU570" s="78"/>
      <c r="BV570" s="78"/>
      <c r="BW570" s="78"/>
      <c r="BX570" s="78"/>
      <c r="BY570" s="78"/>
      <c r="BZ570" s="78"/>
      <c r="CA570" s="78"/>
      <c r="CB570" s="78"/>
      <c r="CC570" s="78"/>
      <c r="CD570" s="78"/>
      <c r="CE570" s="78"/>
      <c r="CF570" s="78"/>
      <c r="CG570" s="78"/>
      <c r="CH570" s="78"/>
      <c r="CI570" s="78"/>
      <c r="CJ570" s="78"/>
      <c r="CK570" s="78"/>
      <c r="CL570" s="78"/>
      <c r="CM570" s="78"/>
      <c r="CN570" s="78"/>
      <c r="CO570" s="78"/>
      <c r="CP570" s="78"/>
      <c r="CQ570" s="78"/>
      <c r="CR570" s="78"/>
      <c r="CS570" s="78"/>
      <c r="CT570" s="78"/>
      <c r="CU570" s="78"/>
      <c r="CV570" s="78"/>
      <c r="CW570" s="78"/>
      <c r="CX570" s="78"/>
      <c r="CY570" s="78"/>
      <c r="CZ570" s="78"/>
      <c r="DA570" s="78"/>
      <c r="DB570" s="78"/>
      <c r="DC570" s="78"/>
      <c r="DD570" s="78"/>
      <c r="DE570" s="78"/>
      <c r="DF570" s="78"/>
      <c r="DG570" s="78"/>
      <c r="DH570" s="78"/>
      <c r="DI570" s="78"/>
      <c r="DJ570" s="78"/>
      <c r="DK570" s="78"/>
      <c r="DL570" s="78"/>
      <c r="DM570" s="78"/>
      <c r="DN570" s="78"/>
      <c r="DO570" s="78"/>
      <c r="DP570" s="78"/>
      <c r="DQ570" s="78"/>
      <c r="DR570" s="78"/>
      <c r="DS570" s="78"/>
      <c r="DT570" s="78"/>
      <c r="DU570" s="78"/>
      <c r="DV570" s="78"/>
      <c r="DW570" s="78"/>
      <c r="DX570" s="78"/>
      <c r="DY570" s="78"/>
      <c r="DZ570" s="78"/>
      <c r="EA570" s="78"/>
      <c r="EB570" s="78"/>
      <c r="EC570" s="78"/>
      <c r="ED570" s="78"/>
      <c r="EE570" s="78"/>
      <c r="EF570" s="78"/>
      <c r="EG570" s="78"/>
      <c r="EH570" s="78"/>
      <c r="EI570" s="78"/>
      <c r="EJ570" s="78"/>
      <c r="EK570" s="78"/>
      <c r="EL570" s="78"/>
      <c r="EM570" s="78"/>
      <c r="EN570" s="91"/>
      <c r="EO570" s="91"/>
      <c r="EP570" s="91"/>
      <c r="EQ570" s="91"/>
      <c r="ER570" s="91"/>
      <c r="ES570" s="91"/>
    </row>
    <row r="571" spans="1:149" outlineLevel="1">
      <c r="A571" s="29" t="str">
        <f t="shared" si="344"/>
        <v>lt003_entitypure_capex_ccm</v>
      </c>
      <c r="B571" s="67" t="s">
        <v>26</v>
      </c>
      <c r="C571" s="68" t="s">
        <v>26</v>
      </c>
      <c r="D571" s="64" t="s">
        <v>40</v>
      </c>
      <c r="E571" s="70" t="s">
        <v>335</v>
      </c>
      <c r="F571" s="71" t="s">
        <v>345</v>
      </c>
      <c r="G571" s="64" t="str">
        <f>INDEX(Auxiliar!$B$16:$B$24,MATCH(Plano_V3!H571,Auxiliar!$C$16:$C$24,0),1)</f>
        <v>1. Concluído</v>
      </c>
      <c r="H571" s="64">
        <f>VLOOKUP(A571,'Aux - pivots1'!$A:$B,2,0)</f>
        <v>1</v>
      </c>
      <c r="I571" s="172">
        <f>SUMIFS(Table1[Estimação (horas)],Table1[Tabela],Plano_V3!E571,Table1[Campo],Plano_V3!F571)</f>
        <v>4.0999999999999996</v>
      </c>
      <c r="J571" s="172">
        <f t="shared" si="345"/>
        <v>0.51249999999999996</v>
      </c>
      <c r="K571" s="172">
        <f>SUMIFS(Table1[Horas efetivas],Table1[Tabela],Plano_V3!E571,Table1[Campo],Plano_V3!F571)</f>
        <v>4.0999999999999996</v>
      </c>
      <c r="L571" s="172">
        <f t="shared" si="346"/>
        <v>0.51249999999999996</v>
      </c>
      <c r="M571" s="174"/>
      <c r="N571" s="174">
        <f t="shared" si="347"/>
        <v>1</v>
      </c>
      <c r="O571" s="174"/>
      <c r="P571" s="87" t="s">
        <v>337</v>
      </c>
      <c r="R571" s="78"/>
      <c r="S571" s="78"/>
      <c r="T571" s="78"/>
      <c r="U571" s="78"/>
      <c r="V571" s="78"/>
      <c r="W571" s="78"/>
      <c r="X571" s="78"/>
      <c r="Y571" s="78"/>
      <c r="Z571" s="78"/>
      <c r="AA571" s="78"/>
      <c r="AB571" s="78"/>
      <c r="AC571" s="78"/>
      <c r="AD571" s="78"/>
      <c r="AE571" s="78"/>
      <c r="AF571" s="78"/>
      <c r="AG571" s="78"/>
      <c r="AH571" s="78"/>
      <c r="AI571" s="78"/>
      <c r="AJ571" s="78"/>
      <c r="AK571" s="78"/>
      <c r="AL571" s="78"/>
      <c r="AM571" s="78"/>
      <c r="AN571" s="78"/>
      <c r="AO571" s="78"/>
      <c r="AP571" s="78"/>
      <c r="AQ571" s="78"/>
      <c r="AR571" s="78"/>
      <c r="AS571" s="78"/>
      <c r="AT571" s="78"/>
      <c r="AU571" s="78"/>
      <c r="AV571" s="78"/>
      <c r="AW571" s="78"/>
      <c r="AX571" s="78"/>
      <c r="AY571" s="91"/>
      <c r="AZ571" s="78"/>
      <c r="BA571" s="78"/>
      <c r="BB571" s="78"/>
      <c r="BC571" s="78"/>
      <c r="BD571" s="78"/>
      <c r="BE571" s="78"/>
      <c r="BF571" s="78"/>
      <c r="BG571" s="78"/>
      <c r="BH571" s="78"/>
      <c r="BI571" s="78"/>
      <c r="BJ571" s="78"/>
      <c r="BK571" s="78"/>
      <c r="BL571" s="78"/>
      <c r="BM571" s="78"/>
      <c r="BN571" s="78"/>
      <c r="BO571" s="78"/>
      <c r="BP571" s="78"/>
      <c r="BQ571" s="78"/>
      <c r="BR571" s="78"/>
      <c r="BS571" s="78"/>
      <c r="BT571" s="78"/>
      <c r="BU571" s="78"/>
      <c r="BV571" s="78"/>
      <c r="BW571" s="78"/>
      <c r="BX571" s="78"/>
      <c r="BY571" s="78"/>
      <c r="BZ571" s="78"/>
      <c r="CA571" s="78"/>
      <c r="CB571" s="78"/>
      <c r="CC571" s="78"/>
      <c r="CD571" s="78"/>
      <c r="CE571" s="78"/>
      <c r="CF571" s="78"/>
      <c r="CG571" s="78"/>
      <c r="CH571" s="78"/>
      <c r="CI571" s="78"/>
      <c r="CJ571" s="78"/>
      <c r="CK571" s="78"/>
      <c r="CL571" s="78"/>
      <c r="CM571" s="78"/>
      <c r="CN571" s="78"/>
      <c r="CO571" s="78"/>
      <c r="CP571" s="78"/>
      <c r="CQ571" s="78"/>
      <c r="CR571" s="78"/>
      <c r="CS571" s="78"/>
      <c r="CT571" s="78"/>
      <c r="CU571" s="78"/>
      <c r="CV571" s="78"/>
      <c r="CW571" s="78"/>
      <c r="CX571" s="78"/>
      <c r="CY571" s="78"/>
      <c r="CZ571" s="78"/>
      <c r="DA571" s="78"/>
      <c r="DB571" s="78"/>
      <c r="DC571" s="78"/>
      <c r="DD571" s="78"/>
      <c r="DE571" s="78"/>
      <c r="DF571" s="78"/>
      <c r="DG571" s="78"/>
      <c r="DH571" s="78"/>
      <c r="DI571" s="78"/>
      <c r="DJ571" s="78"/>
      <c r="DK571" s="78"/>
      <c r="DL571" s="78"/>
      <c r="DM571" s="78"/>
      <c r="DN571" s="78"/>
      <c r="DO571" s="78"/>
      <c r="DP571" s="78"/>
      <c r="DQ571" s="78"/>
      <c r="DR571" s="78"/>
      <c r="DS571" s="78"/>
      <c r="DT571" s="78"/>
      <c r="DU571" s="78"/>
      <c r="DV571" s="78"/>
      <c r="DW571" s="78"/>
      <c r="DX571" s="78"/>
      <c r="DY571" s="78"/>
      <c r="DZ571" s="78"/>
      <c r="EA571" s="78"/>
      <c r="EB571" s="78"/>
      <c r="EC571" s="78"/>
      <c r="ED571" s="78"/>
      <c r="EE571" s="78"/>
      <c r="EF571" s="78"/>
      <c r="EG571" s="78"/>
      <c r="EH571" s="78"/>
      <c r="EI571" s="78"/>
      <c r="EJ571" s="78"/>
      <c r="EK571" s="78"/>
      <c r="EL571" s="78"/>
      <c r="EM571" s="78"/>
      <c r="EN571" s="91"/>
      <c r="EO571" s="91"/>
      <c r="EP571" s="91"/>
      <c r="EQ571" s="91"/>
      <c r="ER571" s="91"/>
      <c r="ES571" s="91"/>
    </row>
    <row r="572" spans="1:149" outlineLevel="1">
      <c r="A572" s="29" t="str">
        <f t="shared" si="344"/>
        <v>lt003_entitypure_capex_cca</v>
      </c>
      <c r="B572" s="67" t="s">
        <v>26</v>
      </c>
      <c r="C572" s="68" t="s">
        <v>26</v>
      </c>
      <c r="D572" s="64" t="s">
        <v>40</v>
      </c>
      <c r="E572" s="70" t="s">
        <v>335</v>
      </c>
      <c r="F572" s="71" t="s">
        <v>346</v>
      </c>
      <c r="G572" s="64" t="str">
        <f>INDEX(Auxiliar!$B$16:$B$24,MATCH(Plano_V3!H572,Auxiliar!$C$16:$C$24,0),1)</f>
        <v>1. Concluído</v>
      </c>
      <c r="H572" s="64">
        <f>VLOOKUP(A572,'Aux - pivots1'!$A:$B,2,0)</f>
        <v>1</v>
      </c>
      <c r="I572" s="172">
        <f>SUMIFS(Table1[Estimação (horas)],Table1[Tabela],Plano_V3!E572,Table1[Campo],Plano_V3!F572)</f>
        <v>4.0999999999999996</v>
      </c>
      <c r="J572" s="172">
        <f t="shared" si="345"/>
        <v>0.51249999999999996</v>
      </c>
      <c r="K572" s="172">
        <f>SUMIFS(Table1[Horas efetivas],Table1[Tabela],Plano_V3!E572,Table1[Campo],Plano_V3!F572)</f>
        <v>4.0999999999999996</v>
      </c>
      <c r="L572" s="172">
        <f t="shared" si="346"/>
        <v>0.51249999999999996</v>
      </c>
      <c r="M572" s="174"/>
      <c r="N572" s="174">
        <f t="shared" si="347"/>
        <v>1</v>
      </c>
      <c r="O572" s="174"/>
      <c r="P572" s="87" t="s">
        <v>337</v>
      </c>
      <c r="R572" s="78"/>
      <c r="S572" s="78"/>
      <c r="T572" s="78"/>
      <c r="U572" s="78"/>
      <c r="V572" s="78"/>
      <c r="W572" s="78"/>
      <c r="X572" s="78"/>
      <c r="Y572" s="78"/>
      <c r="Z572" s="78"/>
      <c r="AA572" s="78"/>
      <c r="AB572" s="78"/>
      <c r="AC572" s="78"/>
      <c r="AD572" s="78"/>
      <c r="AE572" s="78"/>
      <c r="AF572" s="78"/>
      <c r="AG572" s="78"/>
      <c r="AH572" s="78"/>
      <c r="AI572" s="78"/>
      <c r="AJ572" s="78"/>
      <c r="AK572" s="78"/>
      <c r="AL572" s="78"/>
      <c r="AM572" s="78"/>
      <c r="AN572" s="78"/>
      <c r="AO572" s="78"/>
      <c r="AP572" s="78"/>
      <c r="AQ572" s="78"/>
      <c r="AR572" s="78"/>
      <c r="AS572" s="78"/>
      <c r="AT572" s="78"/>
      <c r="AU572" s="78"/>
      <c r="AV572" s="78"/>
      <c r="AW572" s="78"/>
      <c r="AX572" s="78"/>
      <c r="AY572" s="91"/>
      <c r="AZ572" s="78"/>
      <c r="BA572" s="78"/>
      <c r="BB572" s="78"/>
      <c r="BC572" s="78"/>
      <c r="BD572" s="78"/>
      <c r="BE572" s="78"/>
      <c r="BF572" s="78"/>
      <c r="BG572" s="78"/>
      <c r="BH572" s="78"/>
      <c r="BI572" s="78"/>
      <c r="BJ572" s="78"/>
      <c r="BK572" s="78"/>
      <c r="BL572" s="78"/>
      <c r="BM572" s="78"/>
      <c r="BN572" s="78"/>
      <c r="BO572" s="78"/>
      <c r="BP572" s="78"/>
      <c r="BQ572" s="78"/>
      <c r="BR572" s="78"/>
      <c r="BS572" s="78"/>
      <c r="BT572" s="78"/>
      <c r="BU572" s="78"/>
      <c r="BV572" s="78"/>
      <c r="BW572" s="78"/>
      <c r="BX572" s="78"/>
      <c r="BY572" s="78"/>
      <c r="BZ572" s="78"/>
      <c r="CA572" s="78"/>
      <c r="CB572" s="78"/>
      <c r="CC572" s="78"/>
      <c r="CD572" s="78"/>
      <c r="CE572" s="78"/>
      <c r="CF572" s="78"/>
      <c r="CG572" s="78"/>
      <c r="CH572" s="78"/>
      <c r="CI572" s="78"/>
      <c r="CJ572" s="78"/>
      <c r="CK572" s="78"/>
      <c r="CL572" s="78"/>
      <c r="CM572" s="78"/>
      <c r="CN572" s="78"/>
      <c r="CO572" s="78"/>
      <c r="CP572" s="78"/>
      <c r="CQ572" s="78"/>
      <c r="CR572" s="78"/>
      <c r="CS572" s="78"/>
      <c r="CT572" s="78"/>
      <c r="CU572" s="78"/>
      <c r="CV572" s="78"/>
      <c r="CW572" s="78"/>
      <c r="CX572" s="78"/>
      <c r="CY572" s="78"/>
      <c r="CZ572" s="78"/>
      <c r="DA572" s="78"/>
      <c r="DB572" s="78"/>
      <c r="DC572" s="78"/>
      <c r="DD572" s="78"/>
      <c r="DE572" s="78"/>
      <c r="DF572" s="78"/>
      <c r="DG572" s="78"/>
      <c r="DH572" s="78"/>
      <c r="DI572" s="78"/>
      <c r="DJ572" s="78"/>
      <c r="DK572" s="78"/>
      <c r="DL572" s="78"/>
      <c r="DM572" s="78"/>
      <c r="DN572" s="78"/>
      <c r="DO572" s="78"/>
      <c r="DP572" s="78"/>
      <c r="DQ572" s="78"/>
      <c r="DR572" s="78"/>
      <c r="DS572" s="78"/>
      <c r="DT572" s="78"/>
      <c r="DU572" s="78"/>
      <c r="DV572" s="78"/>
      <c r="DW572" s="78"/>
      <c r="DX572" s="78"/>
      <c r="DY572" s="78"/>
      <c r="DZ572" s="78"/>
      <c r="EA572" s="78"/>
      <c r="EB572" s="78"/>
      <c r="EC572" s="78"/>
      <c r="ED572" s="78"/>
      <c r="EE572" s="78"/>
      <c r="EF572" s="78"/>
      <c r="EG572" s="78"/>
      <c r="EH572" s="78"/>
      <c r="EI572" s="78"/>
      <c r="EJ572" s="78"/>
      <c r="EK572" s="78"/>
      <c r="EL572" s="78"/>
      <c r="EM572" s="78"/>
      <c r="EN572" s="91"/>
      <c r="EO572" s="91"/>
      <c r="EP572" s="91"/>
      <c r="EQ572" s="91"/>
      <c r="ER572" s="91"/>
      <c r="ES572" s="91"/>
    </row>
    <row r="573" spans="1:149" outlineLevel="1">
      <c r="A573" s="29" t="str">
        <f t="shared" si="344"/>
        <v>lt003_entityenblng_trnvr_ccm</v>
      </c>
      <c r="B573" s="67" t="s">
        <v>26</v>
      </c>
      <c r="C573" s="68" t="s">
        <v>26</v>
      </c>
      <c r="D573" s="64" t="s">
        <v>40</v>
      </c>
      <c r="E573" s="70" t="s">
        <v>335</v>
      </c>
      <c r="F573" s="71" t="s">
        <v>347</v>
      </c>
      <c r="G573" s="64" t="str">
        <f>INDEX(Auxiliar!$B$16:$B$24,MATCH(Plano_V3!H573,Auxiliar!$C$16:$C$24,0),1)</f>
        <v>1. Concluído</v>
      </c>
      <c r="H573" s="64">
        <f>VLOOKUP(A573,'Aux - pivots1'!$A:$B,2,0)</f>
        <v>1</v>
      </c>
      <c r="I573" s="172">
        <f>SUMIFS(Table1[Estimação (horas)],Table1[Tabela],Plano_V3!E573,Table1[Campo],Plano_V3!F573)</f>
        <v>4.0999999999999996</v>
      </c>
      <c r="J573" s="172">
        <f t="shared" si="345"/>
        <v>0.51249999999999996</v>
      </c>
      <c r="K573" s="172">
        <f>SUMIFS(Table1[Horas efetivas],Table1[Tabela],Plano_V3!E573,Table1[Campo],Plano_V3!F573)</f>
        <v>4.0999999999999996</v>
      </c>
      <c r="L573" s="172">
        <f t="shared" si="346"/>
        <v>0.51249999999999996</v>
      </c>
      <c r="M573" s="174"/>
      <c r="N573" s="174">
        <f t="shared" si="347"/>
        <v>1</v>
      </c>
      <c r="O573" s="174"/>
      <c r="P573" s="87" t="s">
        <v>337</v>
      </c>
      <c r="R573" s="78"/>
      <c r="S573" s="78"/>
      <c r="T573" s="78"/>
      <c r="U573" s="78"/>
      <c r="V573" s="78"/>
      <c r="W573" s="78"/>
      <c r="X573" s="78"/>
      <c r="Y573" s="78"/>
      <c r="Z573" s="78"/>
      <c r="AA573" s="78"/>
      <c r="AB573" s="78"/>
      <c r="AC573" s="78"/>
      <c r="AD573" s="78"/>
      <c r="AE573" s="78"/>
      <c r="AF573" s="78"/>
      <c r="AG573" s="78"/>
      <c r="AH573" s="78"/>
      <c r="AI573" s="78"/>
      <c r="AJ573" s="78"/>
      <c r="AK573" s="78"/>
      <c r="AL573" s="78"/>
      <c r="AM573" s="78"/>
      <c r="AN573" s="78"/>
      <c r="AO573" s="78"/>
      <c r="AP573" s="78"/>
      <c r="AQ573" s="78"/>
      <c r="AR573" s="78"/>
      <c r="AS573" s="78"/>
      <c r="AT573" s="78"/>
      <c r="AU573" s="78"/>
      <c r="AV573" s="78"/>
      <c r="AW573" s="78"/>
      <c r="AX573" s="78"/>
      <c r="AY573" s="91"/>
      <c r="AZ573" s="78"/>
      <c r="BA573" s="78"/>
      <c r="BB573" s="78"/>
      <c r="BC573" s="78"/>
      <c r="BD573" s="78"/>
      <c r="BE573" s="78"/>
      <c r="BF573" s="78"/>
      <c r="BG573" s="78"/>
      <c r="BH573" s="78"/>
      <c r="BI573" s="78"/>
      <c r="BJ573" s="78"/>
      <c r="BK573" s="78"/>
      <c r="BL573" s="78"/>
      <c r="BM573" s="78"/>
      <c r="BN573" s="78"/>
      <c r="BO573" s="78"/>
      <c r="BP573" s="78"/>
      <c r="BQ573" s="78"/>
      <c r="BR573" s="78"/>
      <c r="BS573" s="78"/>
      <c r="BT573" s="78"/>
      <c r="BU573" s="78"/>
      <c r="BV573" s="78"/>
      <c r="BW573" s="78"/>
      <c r="BX573" s="78"/>
      <c r="BY573" s="78"/>
      <c r="BZ573" s="78"/>
      <c r="CA573" s="78"/>
      <c r="CB573" s="78"/>
      <c r="CC573" s="78"/>
      <c r="CD573" s="78"/>
      <c r="CE573" s="78"/>
      <c r="CF573" s="78"/>
      <c r="CG573" s="78"/>
      <c r="CH573" s="78"/>
      <c r="CI573" s="78"/>
      <c r="CJ573" s="78"/>
      <c r="CK573" s="78"/>
      <c r="CL573" s="78"/>
      <c r="CM573" s="78"/>
      <c r="CN573" s="78"/>
      <c r="CO573" s="78"/>
      <c r="CP573" s="78"/>
      <c r="CQ573" s="78"/>
      <c r="CR573" s="78"/>
      <c r="CS573" s="78"/>
      <c r="CT573" s="78"/>
      <c r="CU573" s="78"/>
      <c r="CV573" s="78"/>
      <c r="CW573" s="78"/>
      <c r="CX573" s="78"/>
      <c r="CY573" s="78"/>
      <c r="CZ573" s="78"/>
      <c r="DA573" s="78"/>
      <c r="DB573" s="78"/>
      <c r="DC573" s="78"/>
      <c r="DD573" s="78"/>
      <c r="DE573" s="78"/>
      <c r="DF573" s="78"/>
      <c r="DG573" s="78"/>
      <c r="DH573" s="78"/>
      <c r="DI573" s="78"/>
      <c r="DJ573" s="78"/>
      <c r="DK573" s="78"/>
      <c r="DL573" s="78"/>
      <c r="DM573" s="78"/>
      <c r="DN573" s="78"/>
      <c r="DO573" s="78"/>
      <c r="DP573" s="78"/>
      <c r="DQ573" s="78"/>
      <c r="DR573" s="78"/>
      <c r="DS573" s="78"/>
      <c r="DT573" s="78"/>
      <c r="DU573" s="78"/>
      <c r="DV573" s="78"/>
      <c r="DW573" s="78"/>
      <c r="DX573" s="78"/>
      <c r="DY573" s="78"/>
      <c r="DZ573" s="78"/>
      <c r="EA573" s="78"/>
      <c r="EB573" s="78"/>
      <c r="EC573" s="78"/>
      <c r="ED573" s="78"/>
      <c r="EE573" s="78"/>
      <c r="EF573" s="78"/>
      <c r="EG573" s="78"/>
      <c r="EH573" s="78"/>
      <c r="EI573" s="78"/>
      <c r="EJ573" s="78"/>
      <c r="EK573" s="78"/>
      <c r="EL573" s="78"/>
      <c r="EM573" s="78"/>
      <c r="EN573" s="91"/>
      <c r="EO573" s="91"/>
      <c r="EP573" s="91"/>
      <c r="EQ573" s="91"/>
      <c r="ER573" s="91"/>
      <c r="ES573" s="91"/>
    </row>
    <row r="574" spans="1:149" outlineLevel="1">
      <c r="A574" s="29" t="str">
        <f t="shared" si="344"/>
        <v>lt003_entityenblng_trnvr_cca</v>
      </c>
      <c r="B574" s="67" t="s">
        <v>26</v>
      </c>
      <c r="C574" s="68" t="s">
        <v>26</v>
      </c>
      <c r="D574" s="64" t="s">
        <v>40</v>
      </c>
      <c r="E574" s="70" t="s">
        <v>335</v>
      </c>
      <c r="F574" s="71" t="s">
        <v>348</v>
      </c>
      <c r="G574" s="64" t="str">
        <f>INDEX(Auxiliar!$B$16:$B$24,MATCH(Plano_V3!H574,Auxiliar!$C$16:$C$24,0),1)</f>
        <v>1. Concluído</v>
      </c>
      <c r="H574" s="64">
        <f>VLOOKUP(A574,'Aux - pivots1'!$A:$B,2,0)</f>
        <v>1</v>
      </c>
      <c r="I574" s="172">
        <f>SUMIFS(Table1[Estimação (horas)],Table1[Tabela],Plano_V3!E574,Table1[Campo],Plano_V3!F574)</f>
        <v>4.0999999999999996</v>
      </c>
      <c r="J574" s="172">
        <f t="shared" si="345"/>
        <v>0.51249999999999996</v>
      </c>
      <c r="K574" s="172">
        <f>SUMIFS(Table1[Horas efetivas],Table1[Tabela],Plano_V3!E574,Table1[Campo],Plano_V3!F574)</f>
        <v>4.0999999999999996</v>
      </c>
      <c r="L574" s="172">
        <f t="shared" si="346"/>
        <v>0.51249999999999996</v>
      </c>
      <c r="M574" s="174"/>
      <c r="N574" s="174">
        <f t="shared" si="347"/>
        <v>1</v>
      </c>
      <c r="O574" s="174"/>
      <c r="P574" s="87" t="s">
        <v>337</v>
      </c>
      <c r="R574" s="78"/>
      <c r="S574" s="78"/>
      <c r="T574" s="78"/>
      <c r="U574" s="78"/>
      <c r="V574" s="78"/>
      <c r="W574" s="78"/>
      <c r="X574" s="78"/>
      <c r="Y574" s="78"/>
      <c r="Z574" s="78"/>
      <c r="AA574" s="78"/>
      <c r="AB574" s="78"/>
      <c r="AC574" s="78"/>
      <c r="AD574" s="78"/>
      <c r="AE574" s="78"/>
      <c r="AF574" s="78"/>
      <c r="AG574" s="78"/>
      <c r="AH574" s="78"/>
      <c r="AI574" s="78"/>
      <c r="AJ574" s="78"/>
      <c r="AK574" s="78"/>
      <c r="AL574" s="78"/>
      <c r="AM574" s="78"/>
      <c r="AN574" s="78"/>
      <c r="AO574" s="78"/>
      <c r="AP574" s="78"/>
      <c r="AQ574" s="78"/>
      <c r="AR574" s="78"/>
      <c r="AS574" s="78"/>
      <c r="AT574" s="78"/>
      <c r="AU574" s="78"/>
      <c r="AV574" s="78"/>
      <c r="AW574" s="78"/>
      <c r="AX574" s="78"/>
      <c r="AY574" s="91"/>
      <c r="AZ574" s="78"/>
      <c r="BA574" s="78"/>
      <c r="BB574" s="78"/>
      <c r="BC574" s="78"/>
      <c r="BD574" s="78"/>
      <c r="BE574" s="78"/>
      <c r="BF574" s="78"/>
      <c r="BG574" s="78"/>
      <c r="BH574" s="78"/>
      <c r="BI574" s="78"/>
      <c r="BJ574" s="78"/>
      <c r="BK574" s="78"/>
      <c r="BL574" s="78"/>
      <c r="BM574" s="78"/>
      <c r="BN574" s="78"/>
      <c r="BO574" s="78"/>
      <c r="BP574" s="78"/>
      <c r="BQ574" s="78"/>
      <c r="BR574" s="78"/>
      <c r="BS574" s="78"/>
      <c r="BT574" s="78"/>
      <c r="BU574" s="78"/>
      <c r="BV574" s="78"/>
      <c r="BW574" s="78"/>
      <c r="BX574" s="78"/>
      <c r="BY574" s="78"/>
      <c r="BZ574" s="78"/>
      <c r="CA574" s="78"/>
      <c r="CB574" s="78"/>
      <c r="CC574" s="78"/>
      <c r="CD574" s="78"/>
      <c r="CE574" s="78"/>
      <c r="CF574" s="78"/>
      <c r="CG574" s="78"/>
      <c r="CH574" s="78"/>
      <c r="CI574" s="78"/>
      <c r="CJ574" s="78"/>
      <c r="CK574" s="78"/>
      <c r="CL574" s="78"/>
      <c r="CM574" s="78"/>
      <c r="CN574" s="78"/>
      <c r="CO574" s="78"/>
      <c r="CP574" s="78"/>
      <c r="CQ574" s="78"/>
      <c r="CR574" s="78"/>
      <c r="CS574" s="78"/>
      <c r="CT574" s="78"/>
      <c r="CU574" s="78"/>
      <c r="CV574" s="78"/>
      <c r="CW574" s="78"/>
      <c r="CX574" s="78"/>
      <c r="CY574" s="78"/>
      <c r="CZ574" s="78"/>
      <c r="DA574" s="78"/>
      <c r="DB574" s="78"/>
      <c r="DC574" s="78"/>
      <c r="DD574" s="78"/>
      <c r="DE574" s="78"/>
      <c r="DF574" s="78"/>
      <c r="DG574" s="78"/>
      <c r="DH574" s="78"/>
      <c r="DI574" s="78"/>
      <c r="DJ574" s="78"/>
      <c r="DK574" s="78"/>
      <c r="DL574" s="78"/>
      <c r="DM574" s="78"/>
      <c r="DN574" s="78"/>
      <c r="DO574" s="78"/>
      <c r="DP574" s="78"/>
      <c r="DQ574" s="78"/>
      <c r="DR574" s="78"/>
      <c r="DS574" s="78"/>
      <c r="DT574" s="78"/>
      <c r="DU574" s="78"/>
      <c r="DV574" s="78"/>
      <c r="DW574" s="78"/>
      <c r="DX574" s="78"/>
      <c r="DY574" s="78"/>
      <c r="DZ574" s="78"/>
      <c r="EA574" s="78"/>
      <c r="EB574" s="78"/>
      <c r="EC574" s="78"/>
      <c r="ED574" s="78"/>
      <c r="EE574" s="78"/>
      <c r="EF574" s="78"/>
      <c r="EG574" s="78"/>
      <c r="EH574" s="78"/>
      <c r="EI574" s="78"/>
      <c r="EJ574" s="78"/>
      <c r="EK574" s="78"/>
      <c r="EL574" s="78"/>
      <c r="EM574" s="78"/>
      <c r="EN574" s="91"/>
      <c r="EO574" s="91"/>
      <c r="EP574" s="91"/>
      <c r="EQ574" s="91"/>
      <c r="ER574" s="91"/>
      <c r="ES574" s="91"/>
    </row>
    <row r="575" spans="1:149" outlineLevel="1">
      <c r="A575" s="29" t="str">
        <f t="shared" si="344"/>
        <v>lt003_entitytrnstnl_trnvr</v>
      </c>
      <c r="B575" s="67" t="s">
        <v>26</v>
      </c>
      <c r="C575" s="68" t="s">
        <v>26</v>
      </c>
      <c r="D575" s="64" t="s">
        <v>40</v>
      </c>
      <c r="E575" s="70" t="s">
        <v>335</v>
      </c>
      <c r="F575" s="71" t="s">
        <v>349</v>
      </c>
      <c r="G575" s="64" t="str">
        <f>INDEX(Auxiliar!$B$16:$B$24,MATCH(Plano_V3!H575,Auxiliar!$C$16:$C$24,0),1)</f>
        <v>1. Concluído</v>
      </c>
      <c r="H575" s="64">
        <f>VLOOKUP(A575,'Aux - pivots1'!$A:$B,2,0)</f>
        <v>1</v>
      </c>
      <c r="I575" s="172">
        <f>SUMIFS(Table1[Estimação (horas)],Table1[Tabela],Plano_V3!E575,Table1[Campo],Plano_V3!F575)</f>
        <v>4.0999999999999996</v>
      </c>
      <c r="J575" s="172">
        <f t="shared" si="345"/>
        <v>0.51249999999999996</v>
      </c>
      <c r="K575" s="172">
        <f>SUMIFS(Table1[Horas efetivas],Table1[Tabela],Plano_V3!E575,Table1[Campo],Plano_V3!F575)</f>
        <v>4.0999999999999996</v>
      </c>
      <c r="L575" s="172">
        <f t="shared" si="346"/>
        <v>0.51249999999999996</v>
      </c>
      <c r="M575" s="174"/>
      <c r="N575" s="174">
        <f t="shared" si="347"/>
        <v>1</v>
      </c>
      <c r="O575" s="174"/>
      <c r="P575" s="87" t="s">
        <v>337</v>
      </c>
      <c r="R575" s="78"/>
      <c r="S575" s="78"/>
      <c r="T575" s="78"/>
      <c r="U575" s="78"/>
      <c r="V575" s="78"/>
      <c r="W575" s="78"/>
      <c r="X575" s="78"/>
      <c r="Y575" s="78"/>
      <c r="Z575" s="78"/>
      <c r="AA575" s="78"/>
      <c r="AB575" s="78"/>
      <c r="AC575" s="78"/>
      <c r="AD575" s="78"/>
      <c r="AE575" s="78"/>
      <c r="AF575" s="78"/>
      <c r="AG575" s="78"/>
      <c r="AH575" s="78"/>
      <c r="AI575" s="78"/>
      <c r="AJ575" s="78"/>
      <c r="AK575" s="78"/>
      <c r="AL575" s="78"/>
      <c r="AM575" s="78"/>
      <c r="AN575" s="78"/>
      <c r="AO575" s="78"/>
      <c r="AP575" s="78"/>
      <c r="AQ575" s="78"/>
      <c r="AR575" s="78"/>
      <c r="AS575" s="78"/>
      <c r="AT575" s="78"/>
      <c r="AU575" s="78"/>
      <c r="AV575" s="78"/>
      <c r="AW575" s="78"/>
      <c r="AX575" s="78"/>
      <c r="AY575" s="91"/>
      <c r="AZ575" s="78"/>
      <c r="BA575" s="78"/>
      <c r="BB575" s="78"/>
      <c r="BC575" s="78"/>
      <c r="BD575" s="78"/>
      <c r="BE575" s="78"/>
      <c r="BF575" s="78"/>
      <c r="BG575" s="78"/>
      <c r="BH575" s="78"/>
      <c r="BI575" s="78"/>
      <c r="BJ575" s="78"/>
      <c r="BK575" s="78"/>
      <c r="BL575" s="78"/>
      <c r="BM575" s="78"/>
      <c r="BN575" s="78"/>
      <c r="BO575" s="78"/>
      <c r="BP575" s="78"/>
      <c r="BQ575" s="78"/>
      <c r="BR575" s="78"/>
      <c r="BS575" s="78"/>
      <c r="BT575" s="78"/>
      <c r="BU575" s="78"/>
      <c r="BV575" s="78"/>
      <c r="BW575" s="78"/>
      <c r="BX575" s="78"/>
      <c r="BY575" s="78"/>
      <c r="BZ575" s="78"/>
      <c r="CA575" s="78"/>
      <c r="CB575" s="78"/>
      <c r="CC575" s="78"/>
      <c r="CD575" s="78"/>
      <c r="CE575" s="78"/>
      <c r="CF575" s="78"/>
      <c r="CG575" s="78"/>
      <c r="CH575" s="78"/>
      <c r="CI575" s="78"/>
      <c r="CJ575" s="78"/>
      <c r="CK575" s="78"/>
      <c r="CL575" s="78"/>
      <c r="CM575" s="78"/>
      <c r="CN575" s="78"/>
      <c r="CO575" s="78"/>
      <c r="CP575" s="78"/>
      <c r="CQ575" s="78"/>
      <c r="CR575" s="78"/>
      <c r="CS575" s="78"/>
      <c r="CT575" s="78"/>
      <c r="CU575" s="78"/>
      <c r="CV575" s="78"/>
      <c r="CW575" s="78"/>
      <c r="CX575" s="78"/>
      <c r="CY575" s="78"/>
      <c r="CZ575" s="78"/>
      <c r="DA575" s="78"/>
      <c r="DB575" s="78"/>
      <c r="DC575" s="78"/>
      <c r="DD575" s="78"/>
      <c r="DE575" s="78"/>
      <c r="DF575" s="78"/>
      <c r="DG575" s="78"/>
      <c r="DH575" s="78"/>
      <c r="DI575" s="78"/>
      <c r="DJ575" s="78"/>
      <c r="DK575" s="78"/>
      <c r="DL575" s="78"/>
      <c r="DM575" s="78"/>
      <c r="DN575" s="78"/>
      <c r="DO575" s="78"/>
      <c r="DP575" s="78"/>
      <c r="DQ575" s="78"/>
      <c r="DR575" s="78"/>
      <c r="DS575" s="78"/>
      <c r="DT575" s="78"/>
      <c r="DU575" s="78"/>
      <c r="DV575" s="78"/>
      <c r="DW575" s="78"/>
      <c r="DX575" s="78"/>
      <c r="DY575" s="78"/>
      <c r="DZ575" s="78"/>
      <c r="EA575" s="78"/>
      <c r="EB575" s="78"/>
      <c r="EC575" s="78"/>
      <c r="ED575" s="78"/>
      <c r="EE575" s="78"/>
      <c r="EF575" s="78"/>
      <c r="EG575" s="78"/>
      <c r="EH575" s="78"/>
      <c r="EI575" s="78"/>
      <c r="EJ575" s="78"/>
      <c r="EK575" s="78"/>
      <c r="EL575" s="78"/>
      <c r="EM575" s="78"/>
      <c r="EN575" s="91"/>
      <c r="EO575" s="91"/>
      <c r="EP575" s="91"/>
      <c r="EQ575" s="91"/>
      <c r="ER575" s="91"/>
      <c r="ES575" s="91"/>
    </row>
    <row r="576" spans="1:149" outlineLevel="1">
      <c r="A576" s="29" t="str">
        <f t="shared" si="344"/>
        <v>lt003_entitypure_trnvr_ccm</v>
      </c>
      <c r="B576" s="67" t="s">
        <v>26</v>
      </c>
      <c r="C576" s="68" t="s">
        <v>26</v>
      </c>
      <c r="D576" s="64" t="s">
        <v>40</v>
      </c>
      <c r="E576" s="70" t="s">
        <v>335</v>
      </c>
      <c r="F576" s="71" t="s">
        <v>350</v>
      </c>
      <c r="G576" s="64" t="str">
        <f>INDEX(Auxiliar!$B$16:$B$24,MATCH(Plano_V3!H576,Auxiliar!$C$16:$C$24,0),1)</f>
        <v>1. Concluído</v>
      </c>
      <c r="H576" s="64">
        <f>VLOOKUP(A576,'Aux - pivots1'!$A:$B,2,0)</f>
        <v>1</v>
      </c>
      <c r="I576" s="172">
        <f>SUMIFS(Table1[Estimação (horas)],Table1[Tabela],Plano_V3!E576,Table1[Campo],Plano_V3!F576)</f>
        <v>4.0999999999999996</v>
      </c>
      <c r="J576" s="172">
        <f t="shared" si="345"/>
        <v>0.51249999999999996</v>
      </c>
      <c r="K576" s="172">
        <f>SUMIFS(Table1[Horas efetivas],Table1[Tabela],Plano_V3!E576,Table1[Campo],Plano_V3!F576)</f>
        <v>4.0999999999999996</v>
      </c>
      <c r="L576" s="172">
        <f t="shared" si="346"/>
        <v>0.51249999999999996</v>
      </c>
      <c r="M576" s="174"/>
      <c r="N576" s="174">
        <f t="shared" si="347"/>
        <v>1</v>
      </c>
      <c r="O576" s="174"/>
      <c r="P576" s="87" t="s">
        <v>337</v>
      </c>
      <c r="R576" s="78"/>
      <c r="S576" s="78"/>
      <c r="T576" s="78"/>
      <c r="U576" s="78"/>
      <c r="V576" s="78"/>
      <c r="W576" s="78"/>
      <c r="X576" s="78"/>
      <c r="Y576" s="78"/>
      <c r="Z576" s="78"/>
      <c r="AA576" s="78"/>
      <c r="AB576" s="78"/>
      <c r="AC576" s="78"/>
      <c r="AD576" s="78"/>
      <c r="AE576" s="78"/>
      <c r="AF576" s="78"/>
      <c r="AG576" s="78"/>
      <c r="AH576" s="78"/>
      <c r="AI576" s="78"/>
      <c r="AJ576" s="78"/>
      <c r="AK576" s="78"/>
      <c r="AL576" s="78"/>
      <c r="AM576" s="78"/>
      <c r="AN576" s="78"/>
      <c r="AO576" s="78"/>
      <c r="AP576" s="78"/>
      <c r="AQ576" s="78"/>
      <c r="AR576" s="78"/>
      <c r="AS576" s="78"/>
      <c r="AT576" s="78"/>
      <c r="AU576" s="78"/>
      <c r="AV576" s="78"/>
      <c r="AW576" s="78"/>
      <c r="AX576" s="78"/>
      <c r="AY576" s="91"/>
      <c r="AZ576" s="78"/>
      <c r="BA576" s="78"/>
      <c r="BB576" s="78"/>
      <c r="BC576" s="78"/>
      <c r="BD576" s="78"/>
      <c r="BE576" s="78"/>
      <c r="BF576" s="78"/>
      <c r="BG576" s="78"/>
      <c r="BH576" s="78"/>
      <c r="BI576" s="78"/>
      <c r="BJ576" s="78"/>
      <c r="BK576" s="78"/>
      <c r="BL576" s="78"/>
      <c r="BM576" s="78"/>
      <c r="BN576" s="78"/>
      <c r="BO576" s="78"/>
      <c r="BP576" s="78"/>
      <c r="BQ576" s="78"/>
      <c r="BR576" s="78"/>
      <c r="BS576" s="78"/>
      <c r="BT576" s="78"/>
      <c r="BU576" s="78"/>
      <c r="BV576" s="78"/>
      <c r="BW576" s="78"/>
      <c r="BX576" s="78"/>
      <c r="BY576" s="78"/>
      <c r="BZ576" s="78"/>
      <c r="CA576" s="78"/>
      <c r="CB576" s="78"/>
      <c r="CC576" s="78"/>
      <c r="CD576" s="78"/>
      <c r="CE576" s="78"/>
      <c r="CF576" s="78"/>
      <c r="CG576" s="78"/>
      <c r="CH576" s="78"/>
      <c r="CI576" s="78"/>
      <c r="CJ576" s="78"/>
      <c r="CK576" s="78"/>
      <c r="CL576" s="78"/>
      <c r="CM576" s="78"/>
      <c r="CN576" s="78"/>
      <c r="CO576" s="78"/>
      <c r="CP576" s="78"/>
      <c r="CQ576" s="78"/>
      <c r="CR576" s="78"/>
      <c r="CS576" s="78"/>
      <c r="CT576" s="78"/>
      <c r="CU576" s="78"/>
      <c r="CV576" s="78"/>
      <c r="CW576" s="78"/>
      <c r="CX576" s="78"/>
      <c r="CY576" s="78"/>
      <c r="CZ576" s="78"/>
      <c r="DA576" s="78"/>
      <c r="DB576" s="78"/>
      <c r="DC576" s="78"/>
      <c r="DD576" s="78"/>
      <c r="DE576" s="78"/>
      <c r="DF576" s="78"/>
      <c r="DG576" s="78"/>
      <c r="DH576" s="78"/>
      <c r="DI576" s="78"/>
      <c r="DJ576" s="78"/>
      <c r="DK576" s="78"/>
      <c r="DL576" s="78"/>
      <c r="DM576" s="78"/>
      <c r="DN576" s="78"/>
      <c r="DO576" s="78"/>
      <c r="DP576" s="78"/>
      <c r="DQ576" s="78"/>
      <c r="DR576" s="78"/>
      <c r="DS576" s="78"/>
      <c r="DT576" s="78"/>
      <c r="DU576" s="78"/>
      <c r="DV576" s="78"/>
      <c r="DW576" s="78"/>
      <c r="DX576" s="78"/>
      <c r="DY576" s="78"/>
      <c r="DZ576" s="78"/>
      <c r="EA576" s="78"/>
      <c r="EB576" s="78"/>
      <c r="EC576" s="78"/>
      <c r="ED576" s="78"/>
      <c r="EE576" s="78"/>
      <c r="EF576" s="78"/>
      <c r="EG576" s="78"/>
      <c r="EH576" s="78"/>
      <c r="EI576" s="78"/>
      <c r="EJ576" s="78"/>
      <c r="EK576" s="78"/>
      <c r="EL576" s="78"/>
      <c r="EM576" s="78"/>
      <c r="EN576" s="91"/>
      <c r="EO576" s="91"/>
      <c r="EP576" s="91"/>
      <c r="EQ576" s="91"/>
      <c r="ER576" s="91"/>
      <c r="ES576" s="91"/>
    </row>
    <row r="577" spans="1:149" outlineLevel="1">
      <c r="A577" s="29" t="str">
        <f t="shared" si="344"/>
        <v>lt003_entitypure_trnvr_cca</v>
      </c>
      <c r="B577" s="67" t="s">
        <v>26</v>
      </c>
      <c r="C577" s="68" t="s">
        <v>26</v>
      </c>
      <c r="D577" s="64" t="s">
        <v>40</v>
      </c>
      <c r="E577" s="70" t="s">
        <v>335</v>
      </c>
      <c r="F577" s="71" t="s">
        <v>351</v>
      </c>
      <c r="G577" s="64" t="str">
        <f>INDEX(Auxiliar!$B$16:$B$24,MATCH(Plano_V3!H577,Auxiliar!$C$16:$C$24,0),1)</f>
        <v>1. Concluído</v>
      </c>
      <c r="H577" s="64">
        <f>VLOOKUP(A577,'Aux - pivots1'!$A:$B,2,0)</f>
        <v>1</v>
      </c>
      <c r="I577" s="172">
        <f>SUMIFS(Table1[Estimação (horas)],Table1[Tabela],Plano_V3!E577,Table1[Campo],Plano_V3!F577)</f>
        <v>4.0999999999999996</v>
      </c>
      <c r="J577" s="172">
        <f t="shared" si="345"/>
        <v>0.51249999999999996</v>
      </c>
      <c r="K577" s="172">
        <f>SUMIFS(Table1[Horas efetivas],Table1[Tabela],Plano_V3!E577,Table1[Campo],Plano_V3!F577)</f>
        <v>4.0999999999999996</v>
      </c>
      <c r="L577" s="172">
        <f t="shared" si="346"/>
        <v>0.51249999999999996</v>
      </c>
      <c r="M577" s="174"/>
      <c r="N577" s="174">
        <f t="shared" si="347"/>
        <v>1</v>
      </c>
      <c r="O577" s="174"/>
      <c r="P577" s="87" t="s">
        <v>337</v>
      </c>
      <c r="R577" s="78"/>
      <c r="S577" s="78"/>
      <c r="T577" s="78"/>
      <c r="U577" s="78"/>
      <c r="V577" s="78"/>
      <c r="W577" s="78"/>
      <c r="X577" s="78"/>
      <c r="Y577" s="78"/>
      <c r="Z577" s="78"/>
      <c r="AA577" s="78"/>
      <c r="AB577" s="78"/>
      <c r="AC577" s="78"/>
      <c r="AD577" s="78"/>
      <c r="AE577" s="78"/>
      <c r="AF577" s="78"/>
      <c r="AG577" s="78"/>
      <c r="AH577" s="78"/>
      <c r="AI577" s="78"/>
      <c r="AJ577" s="78"/>
      <c r="AK577" s="78"/>
      <c r="AL577" s="78"/>
      <c r="AM577" s="78"/>
      <c r="AN577" s="78"/>
      <c r="AO577" s="78"/>
      <c r="AP577" s="78"/>
      <c r="AQ577" s="78"/>
      <c r="AR577" s="78"/>
      <c r="AS577" s="78"/>
      <c r="AT577" s="78"/>
      <c r="AU577" s="78"/>
      <c r="AV577" s="78"/>
      <c r="AW577" s="78"/>
      <c r="AX577" s="78"/>
      <c r="AY577" s="91"/>
      <c r="AZ577" s="78"/>
      <c r="BA577" s="78"/>
      <c r="BB577" s="78"/>
      <c r="BC577" s="78"/>
      <c r="BD577" s="78"/>
      <c r="BE577" s="78"/>
      <c r="BF577" s="78"/>
      <c r="BG577" s="78"/>
      <c r="BH577" s="78"/>
      <c r="BI577" s="78"/>
      <c r="BJ577" s="78"/>
      <c r="BK577" s="78"/>
      <c r="BL577" s="78"/>
      <c r="BM577" s="78"/>
      <c r="BN577" s="78"/>
      <c r="BO577" s="78"/>
      <c r="BP577" s="78"/>
      <c r="BQ577" s="78"/>
      <c r="BR577" s="78"/>
      <c r="BS577" s="78"/>
      <c r="BT577" s="78"/>
      <c r="BU577" s="78"/>
      <c r="BV577" s="78"/>
      <c r="BW577" s="78"/>
      <c r="BX577" s="78"/>
      <c r="BY577" s="78"/>
      <c r="BZ577" s="78"/>
      <c r="CA577" s="78"/>
      <c r="CB577" s="78"/>
      <c r="CC577" s="78"/>
      <c r="CD577" s="78"/>
      <c r="CE577" s="78"/>
      <c r="CF577" s="78"/>
      <c r="CG577" s="78"/>
      <c r="CH577" s="78"/>
      <c r="CI577" s="78"/>
      <c r="CJ577" s="78"/>
      <c r="CK577" s="78"/>
      <c r="CL577" s="78"/>
      <c r="CM577" s="78"/>
      <c r="CN577" s="78"/>
      <c r="CO577" s="78"/>
      <c r="CP577" s="78"/>
      <c r="CQ577" s="78"/>
      <c r="CR577" s="78"/>
      <c r="CS577" s="78"/>
      <c r="CT577" s="78"/>
      <c r="CU577" s="78"/>
      <c r="CV577" s="78"/>
      <c r="CW577" s="78"/>
      <c r="CX577" s="78"/>
      <c r="CY577" s="78"/>
      <c r="CZ577" s="78"/>
      <c r="DA577" s="78"/>
      <c r="DB577" s="78"/>
      <c r="DC577" s="78"/>
      <c r="DD577" s="78"/>
      <c r="DE577" s="78"/>
      <c r="DF577" s="78"/>
      <c r="DG577" s="78"/>
      <c r="DH577" s="78"/>
      <c r="DI577" s="78"/>
      <c r="DJ577" s="78"/>
      <c r="DK577" s="78"/>
      <c r="DL577" s="78"/>
      <c r="DM577" s="78"/>
      <c r="DN577" s="78"/>
      <c r="DO577" s="78"/>
      <c r="DP577" s="78"/>
      <c r="DQ577" s="78"/>
      <c r="DR577" s="78"/>
      <c r="DS577" s="78"/>
      <c r="DT577" s="78"/>
      <c r="DU577" s="78"/>
      <c r="DV577" s="78"/>
      <c r="DW577" s="78"/>
      <c r="DX577" s="78"/>
      <c r="DY577" s="78"/>
      <c r="DZ577" s="78"/>
      <c r="EA577" s="78"/>
      <c r="EB577" s="78"/>
      <c r="EC577" s="78"/>
      <c r="ED577" s="78"/>
      <c r="EE577" s="78"/>
      <c r="EF577" s="78"/>
      <c r="EG577" s="78"/>
      <c r="EH577" s="78"/>
      <c r="EI577" s="78"/>
      <c r="EJ577" s="78"/>
      <c r="EK577" s="78"/>
      <c r="EL577" s="78"/>
      <c r="EM577" s="78"/>
      <c r="EN577" s="91"/>
      <c r="EO577" s="91"/>
      <c r="EP577" s="91"/>
      <c r="EQ577" s="91"/>
      <c r="ER577" s="91"/>
      <c r="ES577" s="91"/>
    </row>
    <row r="578" spans="1:149" outlineLevel="1">
      <c r="A578" s="29" t="str">
        <f t="shared" si="344"/>
        <v>lt003_entityflg_nfrd_applcblty</v>
      </c>
      <c r="B578" s="67" t="s">
        <v>26</v>
      </c>
      <c r="C578" s="68" t="s">
        <v>26</v>
      </c>
      <c r="D578" s="64" t="s">
        <v>40</v>
      </c>
      <c r="E578" s="70" t="s">
        <v>335</v>
      </c>
      <c r="F578" s="71" t="s">
        <v>352</v>
      </c>
      <c r="G578" s="64" t="str">
        <f>INDEX(Auxiliar!$B$16:$B$24,MATCH(Plano_V3!H578,Auxiliar!$C$16:$C$24,0),1)</f>
        <v>1. Concluído</v>
      </c>
      <c r="H578" s="64">
        <f>VLOOKUP(A578,'Aux - pivots1'!$A:$B,2,0)</f>
        <v>1</v>
      </c>
      <c r="I578" s="172">
        <f>SUMIFS(Table1[Estimação (horas)],Table1[Tabela],Plano_V3!E578,Table1[Campo],Plano_V3!F578)</f>
        <v>4.0999999999999996</v>
      </c>
      <c r="J578" s="172">
        <f t="shared" si="345"/>
        <v>0.51249999999999996</v>
      </c>
      <c r="K578" s="172">
        <f>SUMIFS(Table1[Horas efetivas],Table1[Tabela],Plano_V3!E578,Table1[Campo],Plano_V3!F578)</f>
        <v>4.0999999999999996</v>
      </c>
      <c r="L578" s="172">
        <f t="shared" si="346"/>
        <v>0.51249999999999996</v>
      </c>
      <c r="M578" s="174"/>
      <c r="N578" s="174">
        <f t="shared" si="347"/>
        <v>1</v>
      </c>
      <c r="O578" s="174"/>
      <c r="P578" s="87" t="s">
        <v>337</v>
      </c>
      <c r="R578" s="78"/>
      <c r="S578" s="78"/>
      <c r="T578" s="78"/>
      <c r="U578" s="78"/>
      <c r="V578" s="78"/>
      <c r="W578" s="78"/>
      <c r="X578" s="78"/>
      <c r="Y578" s="78"/>
      <c r="Z578" s="78"/>
      <c r="AA578" s="78"/>
      <c r="AB578" s="78"/>
      <c r="AC578" s="78"/>
      <c r="AD578" s="78"/>
      <c r="AE578" s="78"/>
      <c r="AF578" s="78"/>
      <c r="AG578" s="78"/>
      <c r="AH578" s="78"/>
      <c r="AI578" s="78"/>
      <c r="AJ578" s="78"/>
      <c r="AK578" s="78"/>
      <c r="AL578" s="78"/>
      <c r="AM578" s="78"/>
      <c r="AN578" s="78"/>
      <c r="AO578" s="78"/>
      <c r="AP578" s="78"/>
      <c r="AQ578" s="78"/>
      <c r="AR578" s="78"/>
      <c r="AS578" s="78"/>
      <c r="AT578" s="78"/>
      <c r="AU578" s="78"/>
      <c r="AV578" s="78"/>
      <c r="AW578" s="78"/>
      <c r="AX578" s="78"/>
      <c r="AY578" s="91"/>
      <c r="AZ578" s="78"/>
      <c r="BA578" s="78"/>
      <c r="BB578" s="78"/>
      <c r="BC578" s="78"/>
      <c r="BD578" s="78"/>
      <c r="BE578" s="78"/>
      <c r="BF578" s="78"/>
      <c r="BG578" s="78"/>
      <c r="BH578" s="78"/>
      <c r="BI578" s="78"/>
      <c r="BJ578" s="78"/>
      <c r="BK578" s="78"/>
      <c r="BL578" s="78"/>
      <c r="BM578" s="78"/>
      <c r="BN578" s="78"/>
      <c r="BO578" s="78"/>
      <c r="BP578" s="78"/>
      <c r="BQ578" s="78"/>
      <c r="BR578" s="78"/>
      <c r="BS578" s="78"/>
      <c r="BT578" s="78"/>
      <c r="BU578" s="78"/>
      <c r="BV578" s="78"/>
      <c r="BW578" s="78"/>
      <c r="BX578" s="78"/>
      <c r="BY578" s="78"/>
      <c r="BZ578" s="78"/>
      <c r="CA578" s="78"/>
      <c r="CB578" s="78"/>
      <c r="CC578" s="78"/>
      <c r="CD578" s="78"/>
      <c r="CE578" s="78"/>
      <c r="CF578" s="78"/>
      <c r="CG578" s="78"/>
      <c r="CH578" s="78"/>
      <c r="CI578" s="78"/>
      <c r="CJ578" s="78"/>
      <c r="CK578" s="78"/>
      <c r="CL578" s="78"/>
      <c r="CM578" s="78"/>
      <c r="CN578" s="78"/>
      <c r="CO578" s="78"/>
      <c r="CP578" s="78"/>
      <c r="CQ578" s="78"/>
      <c r="CR578" s="78"/>
      <c r="CS578" s="78"/>
      <c r="CT578" s="78"/>
      <c r="CU578" s="78"/>
      <c r="CV578" s="78"/>
      <c r="CW578" s="78"/>
      <c r="CX578" s="78"/>
      <c r="CY578" s="78"/>
      <c r="CZ578" s="78"/>
      <c r="DA578" s="78"/>
      <c r="DB578" s="78"/>
      <c r="DC578" s="78"/>
      <c r="DD578" s="78"/>
      <c r="DE578" s="78"/>
      <c r="DF578" s="78"/>
      <c r="DG578" s="78"/>
      <c r="DH578" s="78"/>
      <c r="DI578" s="78"/>
      <c r="DJ578" s="78"/>
      <c r="DK578" s="78"/>
      <c r="DL578" s="78"/>
      <c r="DM578" s="78"/>
      <c r="DN578" s="78"/>
      <c r="DO578" s="78"/>
      <c r="DP578" s="78"/>
      <c r="DQ578" s="78"/>
      <c r="DR578" s="78"/>
      <c r="DS578" s="78"/>
      <c r="DT578" s="78"/>
      <c r="DU578" s="78"/>
      <c r="DV578" s="78"/>
      <c r="DW578" s="78"/>
      <c r="DX578" s="78"/>
      <c r="DY578" s="78"/>
      <c r="DZ578" s="78"/>
      <c r="EA578" s="78"/>
      <c r="EB578" s="78"/>
      <c r="EC578" s="78"/>
      <c r="ED578" s="78"/>
      <c r="EE578" s="78"/>
      <c r="EF578" s="78"/>
      <c r="EG578" s="78"/>
      <c r="EH578" s="78"/>
      <c r="EI578" s="78"/>
      <c r="EJ578" s="78"/>
      <c r="EK578" s="78"/>
      <c r="EL578" s="78"/>
      <c r="EM578" s="78"/>
      <c r="EN578" s="91"/>
      <c r="EO578" s="91"/>
      <c r="EP578" s="91"/>
      <c r="EQ578" s="91"/>
      <c r="ER578" s="91"/>
      <c r="ES578" s="91"/>
    </row>
    <row r="579" spans="1:149" outlineLevel="1">
      <c r="A579" s="29" t="str">
        <f t="shared" si="344"/>
        <v>lt003_entitycntrprty_emssns_scp1</v>
      </c>
      <c r="B579" s="67" t="s">
        <v>26</v>
      </c>
      <c r="C579" s="68" t="s">
        <v>26</v>
      </c>
      <c r="D579" s="64" t="s">
        <v>40</v>
      </c>
      <c r="E579" s="70" t="s">
        <v>335</v>
      </c>
      <c r="F579" s="71" t="s">
        <v>353</v>
      </c>
      <c r="G579" s="64" t="str">
        <f>INDEX(Auxiliar!$B$16:$B$24,MATCH(Plano_V3!H579,Auxiliar!$C$16:$C$24,0),1)</f>
        <v>1. Concluído</v>
      </c>
      <c r="H579" s="64">
        <f>VLOOKUP(A579,'Aux - pivots1'!$A:$B,2,0)</f>
        <v>1</v>
      </c>
      <c r="I579" s="172">
        <f>SUMIFS(Table1[Estimação (horas)],Table1[Tabela],Plano_V3!E579,Table1[Campo],Plano_V3!F579)</f>
        <v>4.0999999999999996</v>
      </c>
      <c r="J579" s="172">
        <f t="shared" si="345"/>
        <v>0.51249999999999996</v>
      </c>
      <c r="K579" s="172">
        <f>SUMIFS(Table1[Horas efetivas],Table1[Tabela],Plano_V3!E579,Table1[Campo],Plano_V3!F579)</f>
        <v>4.0999999999999996</v>
      </c>
      <c r="L579" s="172">
        <f t="shared" si="346"/>
        <v>0.51249999999999996</v>
      </c>
      <c r="M579" s="174"/>
      <c r="N579" s="174">
        <f t="shared" si="347"/>
        <v>1</v>
      </c>
      <c r="O579" s="174"/>
      <c r="P579" s="87" t="s">
        <v>337</v>
      </c>
      <c r="R579" s="78"/>
      <c r="S579" s="78"/>
      <c r="T579" s="78"/>
      <c r="U579" s="78"/>
      <c r="V579" s="78"/>
      <c r="W579" s="78"/>
      <c r="X579" s="78"/>
      <c r="Y579" s="78"/>
      <c r="Z579" s="78"/>
      <c r="AA579" s="78"/>
      <c r="AB579" s="78"/>
      <c r="AC579" s="78"/>
      <c r="AD579" s="78"/>
      <c r="AE579" s="78"/>
      <c r="AF579" s="78"/>
      <c r="AG579" s="78"/>
      <c r="AH579" s="78"/>
      <c r="AI579" s="78"/>
      <c r="AJ579" s="78"/>
      <c r="AK579" s="78"/>
      <c r="AL579" s="78"/>
      <c r="AM579" s="78"/>
      <c r="AN579" s="78"/>
      <c r="AO579" s="78"/>
      <c r="AP579" s="78"/>
      <c r="AQ579" s="78"/>
      <c r="AR579" s="78"/>
      <c r="AS579" s="78"/>
      <c r="AT579" s="78"/>
      <c r="AU579" s="78"/>
      <c r="AV579" s="78"/>
      <c r="AW579" s="78"/>
      <c r="AX579" s="78"/>
      <c r="AY579" s="91"/>
      <c r="AZ579" s="78"/>
      <c r="BA579" s="78"/>
      <c r="BB579" s="78"/>
      <c r="BC579" s="78"/>
      <c r="BD579" s="78"/>
      <c r="BE579" s="78"/>
      <c r="BF579" s="78"/>
      <c r="BG579" s="78"/>
      <c r="BH579" s="78"/>
      <c r="BI579" s="78"/>
      <c r="BJ579" s="78"/>
      <c r="BK579" s="78"/>
      <c r="BL579" s="78"/>
      <c r="BM579" s="78"/>
      <c r="BN579" s="78"/>
      <c r="BO579" s="78"/>
      <c r="BP579" s="78"/>
      <c r="BQ579" s="78"/>
      <c r="BR579" s="78"/>
      <c r="BS579" s="78"/>
      <c r="BT579" s="78"/>
      <c r="BU579" s="78"/>
      <c r="BV579" s="78"/>
      <c r="BW579" s="78"/>
      <c r="BX579" s="78"/>
      <c r="BY579" s="78"/>
      <c r="BZ579" s="78"/>
      <c r="CA579" s="78"/>
      <c r="CB579" s="78"/>
      <c r="CC579" s="78"/>
      <c r="CD579" s="78"/>
      <c r="CE579" s="78"/>
      <c r="CF579" s="78"/>
      <c r="CG579" s="78"/>
      <c r="CH579" s="78"/>
      <c r="CI579" s="78"/>
      <c r="CJ579" s="78"/>
      <c r="CK579" s="78"/>
      <c r="CL579" s="78"/>
      <c r="CM579" s="78"/>
      <c r="CN579" s="78"/>
      <c r="CO579" s="78"/>
      <c r="CP579" s="78"/>
      <c r="CQ579" s="78"/>
      <c r="CR579" s="78"/>
      <c r="CS579" s="78"/>
      <c r="CT579" s="78"/>
      <c r="CU579" s="78"/>
      <c r="CV579" s="78"/>
      <c r="CW579" s="78"/>
      <c r="CX579" s="78"/>
      <c r="CY579" s="78"/>
      <c r="CZ579" s="78"/>
      <c r="DA579" s="78"/>
      <c r="DB579" s="78"/>
      <c r="DC579" s="78"/>
      <c r="DD579" s="78"/>
      <c r="DE579" s="78"/>
      <c r="DF579" s="78"/>
      <c r="DG579" s="78"/>
      <c r="DH579" s="78"/>
      <c r="DI579" s="78"/>
      <c r="DJ579" s="78"/>
      <c r="DK579" s="78"/>
      <c r="DL579" s="78"/>
      <c r="DM579" s="78"/>
      <c r="DN579" s="78"/>
      <c r="DO579" s="78"/>
      <c r="DP579" s="78"/>
      <c r="DQ579" s="78"/>
      <c r="DR579" s="78"/>
      <c r="DS579" s="78"/>
      <c r="DT579" s="78"/>
      <c r="DU579" s="78"/>
      <c r="DV579" s="78"/>
      <c r="DW579" s="78"/>
      <c r="DX579" s="78"/>
      <c r="DY579" s="78"/>
      <c r="DZ579" s="78"/>
      <c r="EA579" s="78"/>
      <c r="EB579" s="78"/>
      <c r="EC579" s="78"/>
      <c r="ED579" s="78"/>
      <c r="EE579" s="78"/>
      <c r="EF579" s="78"/>
      <c r="EG579" s="78"/>
      <c r="EH579" s="78"/>
      <c r="EI579" s="78"/>
      <c r="EJ579" s="78"/>
      <c r="EK579" s="78"/>
      <c r="EL579" s="78"/>
      <c r="EM579" s="78"/>
      <c r="EN579" s="91"/>
      <c r="EO579" s="91"/>
      <c r="EP579" s="91"/>
      <c r="EQ579" s="91"/>
      <c r="ER579" s="91"/>
      <c r="ES579" s="91"/>
    </row>
    <row r="580" spans="1:149" outlineLevel="1">
      <c r="A580" s="29" t="str">
        <f t="shared" si="344"/>
        <v>lt003_entitycntrprty_emssns_scp2</v>
      </c>
      <c r="B580" s="67" t="s">
        <v>26</v>
      </c>
      <c r="C580" s="68" t="s">
        <v>26</v>
      </c>
      <c r="D580" s="64" t="s">
        <v>40</v>
      </c>
      <c r="E580" s="70" t="s">
        <v>335</v>
      </c>
      <c r="F580" s="71" t="s">
        <v>354</v>
      </c>
      <c r="G580" s="64" t="str">
        <f>INDEX(Auxiliar!$B$16:$B$24,MATCH(Plano_V3!H580,Auxiliar!$C$16:$C$24,0),1)</f>
        <v>1. Concluído</v>
      </c>
      <c r="H580" s="64">
        <f>VLOOKUP(A580,'Aux - pivots1'!$A:$B,2,0)</f>
        <v>1</v>
      </c>
      <c r="I580" s="172">
        <f>SUMIFS(Table1[Estimação (horas)],Table1[Tabela],Plano_V3!E580,Table1[Campo],Plano_V3!F580)</f>
        <v>4.0999999999999996</v>
      </c>
      <c r="J580" s="172">
        <f t="shared" si="345"/>
        <v>0.51249999999999996</v>
      </c>
      <c r="K580" s="172">
        <f>SUMIFS(Table1[Horas efetivas],Table1[Tabela],Plano_V3!E580,Table1[Campo],Plano_V3!F580)</f>
        <v>4.0999999999999996</v>
      </c>
      <c r="L580" s="172">
        <f t="shared" si="346"/>
        <v>0.51249999999999996</v>
      </c>
      <c r="M580" s="174"/>
      <c r="N580" s="174">
        <f t="shared" si="347"/>
        <v>1</v>
      </c>
      <c r="O580" s="174"/>
      <c r="P580" s="87" t="s">
        <v>337</v>
      </c>
      <c r="R580" s="78"/>
      <c r="S580" s="78"/>
      <c r="T580" s="78"/>
      <c r="U580" s="78"/>
      <c r="V580" s="78"/>
      <c r="W580" s="78"/>
      <c r="X580" s="78"/>
      <c r="Y580" s="78"/>
      <c r="Z580" s="78"/>
      <c r="AA580" s="78"/>
      <c r="AB580" s="78"/>
      <c r="AC580" s="78"/>
      <c r="AD580" s="78"/>
      <c r="AE580" s="78"/>
      <c r="AF580" s="78"/>
      <c r="AG580" s="78"/>
      <c r="AH580" s="78"/>
      <c r="AI580" s="78"/>
      <c r="AJ580" s="78"/>
      <c r="AK580" s="78"/>
      <c r="AL580" s="78"/>
      <c r="AM580" s="78"/>
      <c r="AN580" s="78"/>
      <c r="AO580" s="78"/>
      <c r="AP580" s="78"/>
      <c r="AQ580" s="78"/>
      <c r="AR580" s="78"/>
      <c r="AS580" s="78"/>
      <c r="AT580" s="78"/>
      <c r="AU580" s="78"/>
      <c r="AV580" s="78"/>
      <c r="AW580" s="78"/>
      <c r="AX580" s="78"/>
      <c r="AY580" s="91"/>
      <c r="AZ580" s="78"/>
      <c r="BA580" s="78"/>
      <c r="BB580" s="78"/>
      <c r="BC580" s="78"/>
      <c r="BD580" s="78"/>
      <c r="BE580" s="78"/>
      <c r="BF580" s="78"/>
      <c r="BG580" s="78"/>
      <c r="BH580" s="78"/>
      <c r="BI580" s="78"/>
      <c r="BJ580" s="78"/>
      <c r="BK580" s="78"/>
      <c r="BL580" s="78"/>
      <c r="BM580" s="78"/>
      <c r="BN580" s="78"/>
      <c r="BO580" s="78"/>
      <c r="BP580" s="78"/>
      <c r="BQ580" s="78"/>
      <c r="BR580" s="78"/>
      <c r="BS580" s="78"/>
      <c r="BT580" s="78"/>
      <c r="BU580" s="78"/>
      <c r="BV580" s="78"/>
      <c r="BW580" s="78"/>
      <c r="BX580" s="78"/>
      <c r="BY580" s="78"/>
      <c r="BZ580" s="78"/>
      <c r="CA580" s="78"/>
      <c r="CB580" s="78"/>
      <c r="CC580" s="78"/>
      <c r="CD580" s="78"/>
      <c r="CE580" s="78"/>
      <c r="CF580" s="78"/>
      <c r="CG580" s="78"/>
      <c r="CH580" s="78"/>
      <c r="CI580" s="78"/>
      <c r="CJ580" s="78"/>
      <c r="CK580" s="78"/>
      <c r="CL580" s="78"/>
      <c r="CM580" s="78"/>
      <c r="CN580" s="78"/>
      <c r="CO580" s="78"/>
      <c r="CP580" s="78"/>
      <c r="CQ580" s="78"/>
      <c r="CR580" s="78"/>
      <c r="CS580" s="78"/>
      <c r="CT580" s="78"/>
      <c r="CU580" s="78"/>
      <c r="CV580" s="78"/>
      <c r="CW580" s="78"/>
      <c r="CX580" s="78"/>
      <c r="CY580" s="78"/>
      <c r="CZ580" s="78"/>
      <c r="DA580" s="78"/>
      <c r="DB580" s="78"/>
      <c r="DC580" s="78"/>
      <c r="DD580" s="78"/>
      <c r="DE580" s="78"/>
      <c r="DF580" s="78"/>
      <c r="DG580" s="78"/>
      <c r="DH580" s="78"/>
      <c r="DI580" s="78"/>
      <c r="DJ580" s="78"/>
      <c r="DK580" s="78"/>
      <c r="DL580" s="78"/>
      <c r="DM580" s="78"/>
      <c r="DN580" s="78"/>
      <c r="DO580" s="78"/>
      <c r="DP580" s="78"/>
      <c r="DQ580" s="78"/>
      <c r="DR580" s="78"/>
      <c r="DS580" s="78"/>
      <c r="DT580" s="78"/>
      <c r="DU580" s="78"/>
      <c r="DV580" s="78"/>
      <c r="DW580" s="78"/>
      <c r="DX580" s="78"/>
      <c r="DY580" s="78"/>
      <c r="DZ580" s="78"/>
      <c r="EA580" s="78"/>
      <c r="EB580" s="78"/>
      <c r="EC580" s="78"/>
      <c r="ED580" s="78"/>
      <c r="EE580" s="78"/>
      <c r="EF580" s="78"/>
      <c r="EG580" s="78"/>
      <c r="EH580" s="78"/>
      <c r="EI580" s="78"/>
      <c r="EJ580" s="78"/>
      <c r="EK580" s="78"/>
      <c r="EL580" s="78"/>
      <c r="EM580" s="78"/>
      <c r="EN580" s="91"/>
      <c r="EO580" s="91"/>
      <c r="EP580" s="91"/>
      <c r="EQ580" s="91"/>
      <c r="ER580" s="91"/>
      <c r="ES580" s="91"/>
    </row>
    <row r="581" spans="1:149" outlineLevel="1">
      <c r="A581" s="29" t="str">
        <f t="shared" si="344"/>
        <v>lt003_entitycntrprty_emssns_scp3</v>
      </c>
      <c r="B581" s="67" t="s">
        <v>26</v>
      </c>
      <c r="C581" s="68" t="s">
        <v>26</v>
      </c>
      <c r="D581" s="64" t="s">
        <v>40</v>
      </c>
      <c r="E581" s="70" t="s">
        <v>335</v>
      </c>
      <c r="F581" s="71" t="s">
        <v>355</v>
      </c>
      <c r="G581" s="64" t="str">
        <f>INDEX(Auxiliar!$B$16:$B$24,MATCH(Plano_V3!H581,Auxiliar!$C$16:$C$24,0),1)</f>
        <v>1. Concluído</v>
      </c>
      <c r="H581" s="64">
        <f>VLOOKUP(A581,'Aux - pivots1'!$A:$B,2,0)</f>
        <v>1</v>
      </c>
      <c r="I581" s="172">
        <f>SUMIFS(Table1[Estimação (horas)],Table1[Tabela],Plano_V3!E581,Table1[Campo],Plano_V3!F581)</f>
        <v>4.0999999999999996</v>
      </c>
      <c r="J581" s="172">
        <f t="shared" si="345"/>
        <v>0.51249999999999996</v>
      </c>
      <c r="K581" s="172">
        <f>SUMIFS(Table1[Horas efetivas],Table1[Tabela],Plano_V3!E581,Table1[Campo],Plano_V3!F581)</f>
        <v>4.0999999999999996</v>
      </c>
      <c r="L581" s="172">
        <f t="shared" si="346"/>
        <v>0.51249999999999996</v>
      </c>
      <c r="M581" s="174"/>
      <c r="N581" s="174">
        <f t="shared" si="347"/>
        <v>1</v>
      </c>
      <c r="O581" s="174"/>
      <c r="P581" s="87" t="s">
        <v>337</v>
      </c>
      <c r="R581" s="78"/>
      <c r="S581" s="78"/>
      <c r="T581" s="78"/>
      <c r="U581" s="78"/>
      <c r="V581" s="78"/>
      <c r="W581" s="78"/>
      <c r="X581" s="78"/>
      <c r="Y581" s="78"/>
      <c r="Z581" s="78"/>
      <c r="AA581" s="78"/>
      <c r="AB581" s="78"/>
      <c r="AC581" s="78"/>
      <c r="AD581" s="78"/>
      <c r="AE581" s="78"/>
      <c r="AF581" s="78"/>
      <c r="AG581" s="78"/>
      <c r="AH581" s="78"/>
      <c r="AI581" s="78"/>
      <c r="AJ581" s="78"/>
      <c r="AK581" s="78"/>
      <c r="AL581" s="78"/>
      <c r="AM581" s="78"/>
      <c r="AN581" s="78"/>
      <c r="AO581" s="78"/>
      <c r="AP581" s="78"/>
      <c r="AQ581" s="78"/>
      <c r="AR581" s="78"/>
      <c r="AS581" s="78"/>
      <c r="AT581" s="78"/>
      <c r="AU581" s="78"/>
      <c r="AV581" s="78"/>
      <c r="AW581" s="78"/>
      <c r="AX581" s="78"/>
      <c r="AY581" s="91"/>
      <c r="AZ581" s="78"/>
      <c r="BA581" s="78"/>
      <c r="BB581" s="78"/>
      <c r="BC581" s="78"/>
      <c r="BD581" s="78"/>
      <c r="BE581" s="78"/>
      <c r="BF581" s="78"/>
      <c r="BG581" s="78"/>
      <c r="BH581" s="78"/>
      <c r="BI581" s="78"/>
      <c r="BJ581" s="78"/>
      <c r="BK581" s="78"/>
      <c r="BL581" s="78"/>
      <c r="BM581" s="78"/>
      <c r="BN581" s="78"/>
      <c r="BO581" s="78"/>
      <c r="BP581" s="78"/>
      <c r="BQ581" s="78"/>
      <c r="BR581" s="78"/>
      <c r="BS581" s="78"/>
      <c r="BT581" s="78"/>
      <c r="BU581" s="78"/>
      <c r="BV581" s="78"/>
      <c r="BW581" s="78"/>
      <c r="BX581" s="78"/>
      <c r="BY581" s="78"/>
      <c r="BZ581" s="78"/>
      <c r="CA581" s="78"/>
      <c r="CB581" s="78"/>
      <c r="CC581" s="78"/>
      <c r="CD581" s="78"/>
      <c r="CE581" s="78"/>
      <c r="CF581" s="78"/>
      <c r="CG581" s="78"/>
      <c r="CH581" s="78"/>
      <c r="CI581" s="78"/>
      <c r="CJ581" s="78"/>
      <c r="CK581" s="78"/>
      <c r="CL581" s="78"/>
      <c r="CM581" s="78"/>
      <c r="CN581" s="78"/>
      <c r="CO581" s="78"/>
      <c r="CP581" s="78"/>
      <c r="CQ581" s="78"/>
      <c r="CR581" s="78"/>
      <c r="CS581" s="78"/>
      <c r="CT581" s="78"/>
      <c r="CU581" s="78"/>
      <c r="CV581" s="78"/>
      <c r="CW581" s="78"/>
      <c r="CX581" s="78"/>
      <c r="CY581" s="78"/>
      <c r="CZ581" s="78"/>
      <c r="DA581" s="78"/>
      <c r="DB581" s="78"/>
      <c r="DC581" s="78"/>
      <c r="DD581" s="78"/>
      <c r="DE581" s="78"/>
      <c r="DF581" s="78"/>
      <c r="DG581" s="78"/>
      <c r="DH581" s="78"/>
      <c r="DI581" s="78"/>
      <c r="DJ581" s="78"/>
      <c r="DK581" s="78"/>
      <c r="DL581" s="78"/>
      <c r="DM581" s="78"/>
      <c r="DN581" s="78"/>
      <c r="DO581" s="78"/>
      <c r="DP581" s="78"/>
      <c r="DQ581" s="78"/>
      <c r="DR581" s="78"/>
      <c r="DS581" s="78"/>
      <c r="DT581" s="78"/>
      <c r="DU581" s="78"/>
      <c r="DV581" s="78"/>
      <c r="DW581" s="78"/>
      <c r="DX581" s="78"/>
      <c r="DY581" s="78"/>
      <c r="DZ581" s="78"/>
      <c r="EA581" s="78"/>
      <c r="EB581" s="78"/>
      <c r="EC581" s="78"/>
      <c r="ED581" s="78"/>
      <c r="EE581" s="78"/>
      <c r="EF581" s="78"/>
      <c r="EG581" s="78"/>
      <c r="EH581" s="78"/>
      <c r="EI581" s="78"/>
      <c r="EJ581" s="78"/>
      <c r="EK581" s="78"/>
      <c r="EL581" s="78"/>
      <c r="EM581" s="78"/>
      <c r="EN581" s="91"/>
      <c r="EO581" s="91"/>
      <c r="EP581" s="91"/>
      <c r="EQ581" s="91"/>
      <c r="ER581" s="91"/>
      <c r="ES581" s="91"/>
    </row>
    <row r="582" spans="1:149" outlineLevel="1">
      <c r="A582" s="29" t="str">
        <f t="shared" si="344"/>
        <v>lt003_entityflg_excldd_eu_prs_algnd_bnchmrk</v>
      </c>
      <c r="B582" s="67" t="s">
        <v>26</v>
      </c>
      <c r="C582" s="68" t="s">
        <v>26</v>
      </c>
      <c r="D582" s="64" t="s">
        <v>40</v>
      </c>
      <c r="E582" s="70" t="s">
        <v>335</v>
      </c>
      <c r="F582" s="71" t="s">
        <v>356</v>
      </c>
      <c r="G582" s="64" t="str">
        <f>INDEX(Auxiliar!$B$16:$B$24,MATCH(Plano_V3!H582,Auxiliar!$C$16:$C$24,0),1)</f>
        <v>1. Concluído</v>
      </c>
      <c r="H582" s="64">
        <f>VLOOKUP(A582,'Aux - pivots1'!$A:$B,2,0)</f>
        <v>1</v>
      </c>
      <c r="I582" s="172">
        <f>SUMIFS(Table1[Estimação (horas)],Table1[Tabela],Plano_V3!E582,Table1[Campo],Plano_V3!F582)</f>
        <v>4.0999999999999996</v>
      </c>
      <c r="J582" s="172">
        <f t="shared" si="345"/>
        <v>0.51249999999999996</v>
      </c>
      <c r="K582" s="172">
        <f>SUMIFS(Table1[Horas efetivas],Table1[Tabela],Plano_V3!E582,Table1[Campo],Plano_V3!F582)</f>
        <v>4.0999999999999996</v>
      </c>
      <c r="L582" s="172">
        <f t="shared" si="346"/>
        <v>0.51249999999999996</v>
      </c>
      <c r="M582" s="174"/>
      <c r="N582" s="174">
        <f t="shared" si="347"/>
        <v>1</v>
      </c>
      <c r="O582" s="174"/>
      <c r="P582" s="87" t="s">
        <v>337</v>
      </c>
      <c r="R582" s="78"/>
      <c r="S582" s="78"/>
      <c r="T582" s="78"/>
      <c r="U582" s="78"/>
      <c r="V582" s="78"/>
      <c r="W582" s="78"/>
      <c r="X582" s="78"/>
      <c r="Y582" s="78"/>
      <c r="Z582" s="78"/>
      <c r="AA582" s="78"/>
      <c r="AB582" s="78"/>
      <c r="AC582" s="78"/>
      <c r="AD582" s="78"/>
      <c r="AE582" s="78"/>
      <c r="AF582" s="78"/>
      <c r="AG582" s="78"/>
      <c r="AH582" s="78"/>
      <c r="AI582" s="78"/>
      <c r="AJ582" s="78"/>
      <c r="AK582" s="78"/>
      <c r="AL582" s="78"/>
      <c r="AM582" s="78"/>
      <c r="AN582" s="78"/>
      <c r="AO582" s="78"/>
      <c r="AP582" s="78"/>
      <c r="AQ582" s="78"/>
      <c r="AR582" s="78"/>
      <c r="AS582" s="78"/>
      <c r="AT582" s="78"/>
      <c r="AU582" s="78"/>
      <c r="AV582" s="78"/>
      <c r="AW582" s="78"/>
      <c r="AX582" s="78"/>
      <c r="AY582" s="91"/>
      <c r="AZ582" s="78"/>
      <c r="BA582" s="78"/>
      <c r="BB582" s="78"/>
      <c r="BC582" s="78"/>
      <c r="BD582" s="78"/>
      <c r="BE582" s="78"/>
      <c r="BF582" s="78"/>
      <c r="BG582" s="78"/>
      <c r="BH582" s="78"/>
      <c r="BI582" s="78"/>
      <c r="BJ582" s="78"/>
      <c r="BK582" s="78"/>
      <c r="BL582" s="78"/>
      <c r="BM582" s="78"/>
      <c r="BN582" s="78"/>
      <c r="BO582" s="78"/>
      <c r="BP582" s="78"/>
      <c r="BQ582" s="78"/>
      <c r="BR582" s="78"/>
      <c r="BS582" s="78"/>
      <c r="BT582" s="78"/>
      <c r="BU582" s="78"/>
      <c r="BV582" s="78"/>
      <c r="BW582" s="78"/>
      <c r="BX582" s="78"/>
      <c r="BY582" s="78"/>
      <c r="BZ582" s="78"/>
      <c r="CA582" s="78"/>
      <c r="CB582" s="78"/>
      <c r="CC582" s="78"/>
      <c r="CD582" s="78"/>
      <c r="CE582" s="78"/>
      <c r="CF582" s="78"/>
      <c r="CG582" s="78"/>
      <c r="CH582" s="78"/>
      <c r="CI582" s="78"/>
      <c r="CJ582" s="78"/>
      <c r="CK582" s="78"/>
      <c r="CL582" s="78"/>
      <c r="CM582" s="78"/>
      <c r="CN582" s="78"/>
      <c r="CO582" s="78"/>
      <c r="CP582" s="78"/>
      <c r="CQ582" s="78"/>
      <c r="CR582" s="78"/>
      <c r="CS582" s="78"/>
      <c r="CT582" s="78"/>
      <c r="CU582" s="78"/>
      <c r="CV582" s="78"/>
      <c r="CW582" s="78"/>
      <c r="CX582" s="78"/>
      <c r="CY582" s="78"/>
      <c r="CZ582" s="78"/>
      <c r="DA582" s="78"/>
      <c r="DB582" s="78"/>
      <c r="DC582" s="78"/>
      <c r="DD582" s="78"/>
      <c r="DE582" s="78"/>
      <c r="DF582" s="78"/>
      <c r="DG582" s="78"/>
      <c r="DH582" s="78"/>
      <c r="DI582" s="78"/>
      <c r="DJ582" s="78"/>
      <c r="DK582" s="78"/>
      <c r="DL582" s="78"/>
      <c r="DM582" s="78"/>
      <c r="DN582" s="78"/>
      <c r="DO582" s="78"/>
      <c r="DP582" s="78"/>
      <c r="DQ582" s="78"/>
      <c r="DR582" s="78"/>
      <c r="DS582" s="78"/>
      <c r="DT582" s="78"/>
      <c r="DU582" s="78"/>
      <c r="DV582" s="78"/>
      <c r="DW582" s="78"/>
      <c r="DX582" s="78"/>
      <c r="DY582" s="78"/>
      <c r="DZ582" s="78"/>
      <c r="EA582" s="78"/>
      <c r="EB582" s="78"/>
      <c r="EC582" s="78"/>
      <c r="ED582" s="78"/>
      <c r="EE582" s="78"/>
      <c r="EF582" s="78"/>
      <c r="EG582" s="78"/>
      <c r="EH582" s="78"/>
      <c r="EI582" s="78"/>
      <c r="EJ582" s="78"/>
      <c r="EK582" s="78"/>
      <c r="EL582" s="78"/>
      <c r="EM582" s="78"/>
      <c r="EN582" s="91"/>
      <c r="EO582" s="91"/>
      <c r="EP582" s="91"/>
      <c r="EQ582" s="91"/>
      <c r="ER582" s="91"/>
      <c r="ES582" s="91"/>
    </row>
    <row r="583" spans="1:149" outlineLevel="1">
      <c r="A583" s="29" t="str">
        <f t="shared" si="344"/>
        <v>lt003_entityflg_act_physcl_rsk</v>
      </c>
      <c r="B583" s="67" t="s">
        <v>26</v>
      </c>
      <c r="C583" s="68" t="s">
        <v>26</v>
      </c>
      <c r="D583" s="64" t="s">
        <v>40</v>
      </c>
      <c r="E583" s="70" t="s">
        <v>335</v>
      </c>
      <c r="F583" s="71" t="s">
        <v>357</v>
      </c>
      <c r="G583" s="64" t="str">
        <f>INDEX(Auxiliar!$B$16:$B$24,MATCH(Plano_V3!H583,Auxiliar!$C$16:$C$24,0),1)</f>
        <v>1. Concluído</v>
      </c>
      <c r="H583" s="64">
        <f>VLOOKUP(A583,'Aux - pivots1'!$A:$B,2,0)</f>
        <v>1</v>
      </c>
      <c r="I583" s="172">
        <f>SUMIFS(Table1[Estimação (horas)],Table1[Tabela],Plano_V3!E583,Table1[Campo],Plano_V3!F583)</f>
        <v>4.0999999999999996</v>
      </c>
      <c r="J583" s="172">
        <f t="shared" si="345"/>
        <v>0.51249999999999996</v>
      </c>
      <c r="K583" s="172">
        <f>SUMIFS(Table1[Horas efetivas],Table1[Tabela],Plano_V3!E583,Table1[Campo],Plano_V3!F583)</f>
        <v>4.0999999999999996</v>
      </c>
      <c r="L583" s="172">
        <f t="shared" si="346"/>
        <v>0.51249999999999996</v>
      </c>
      <c r="M583" s="174"/>
      <c r="N583" s="174">
        <f t="shared" si="347"/>
        <v>1</v>
      </c>
      <c r="O583" s="174"/>
      <c r="P583" s="87" t="s">
        <v>337</v>
      </c>
      <c r="R583" s="78"/>
      <c r="S583" s="78"/>
      <c r="T583" s="78"/>
      <c r="U583" s="78"/>
      <c r="V583" s="78"/>
      <c r="W583" s="78"/>
      <c r="X583" s="78"/>
      <c r="Y583" s="78"/>
      <c r="Z583" s="78"/>
      <c r="AA583" s="78"/>
      <c r="AB583" s="78"/>
      <c r="AC583" s="78"/>
      <c r="AD583" s="78"/>
      <c r="AE583" s="78"/>
      <c r="AF583" s="78"/>
      <c r="AG583" s="78"/>
      <c r="AH583" s="78"/>
      <c r="AI583" s="78"/>
      <c r="AJ583" s="78"/>
      <c r="AK583" s="78"/>
      <c r="AL583" s="78"/>
      <c r="AM583" s="78"/>
      <c r="AN583" s="78"/>
      <c r="AO583" s="78"/>
      <c r="AP583" s="78"/>
      <c r="AQ583" s="78"/>
      <c r="AR583" s="78"/>
      <c r="AS583" s="78"/>
      <c r="AT583" s="78"/>
      <c r="AU583" s="78"/>
      <c r="AV583" s="78"/>
      <c r="AW583" s="78"/>
      <c r="AX583" s="78"/>
      <c r="AY583" s="91"/>
      <c r="AZ583" s="78"/>
      <c r="BA583" s="78"/>
      <c r="BB583" s="78"/>
      <c r="BC583" s="78"/>
      <c r="BD583" s="78"/>
      <c r="BE583" s="78"/>
      <c r="BF583" s="78"/>
      <c r="BG583" s="78"/>
      <c r="BH583" s="78"/>
      <c r="BI583" s="78"/>
      <c r="BJ583" s="78"/>
      <c r="BK583" s="78"/>
      <c r="BL583" s="78"/>
      <c r="BM583" s="78"/>
      <c r="BN583" s="78"/>
      <c r="BO583" s="78"/>
      <c r="BP583" s="78"/>
      <c r="BQ583" s="78"/>
      <c r="BR583" s="78"/>
      <c r="BS583" s="78"/>
      <c r="BT583" s="78"/>
      <c r="BU583" s="78"/>
      <c r="BV583" s="78"/>
      <c r="BW583" s="78"/>
      <c r="BX583" s="78"/>
      <c r="BY583" s="78"/>
      <c r="BZ583" s="78"/>
      <c r="CA583" s="78"/>
      <c r="CB583" s="78"/>
      <c r="CC583" s="78"/>
      <c r="CD583" s="78"/>
      <c r="CE583" s="78"/>
      <c r="CF583" s="78"/>
      <c r="CG583" s="78"/>
      <c r="CH583" s="78"/>
      <c r="CI583" s="78"/>
      <c r="CJ583" s="78"/>
      <c r="CK583" s="78"/>
      <c r="CL583" s="78"/>
      <c r="CM583" s="78"/>
      <c r="CN583" s="78"/>
      <c r="CO583" s="78"/>
      <c r="CP583" s="78"/>
      <c r="CQ583" s="78"/>
      <c r="CR583" s="78"/>
      <c r="CS583" s="78"/>
      <c r="CT583" s="78"/>
      <c r="CU583" s="78"/>
      <c r="CV583" s="78"/>
      <c r="CW583" s="78"/>
      <c r="CX583" s="78"/>
      <c r="CY583" s="78"/>
      <c r="CZ583" s="78"/>
      <c r="DA583" s="78"/>
      <c r="DB583" s="78"/>
      <c r="DC583" s="78"/>
      <c r="DD583" s="78"/>
      <c r="DE583" s="78"/>
      <c r="DF583" s="78"/>
      <c r="DG583" s="78"/>
      <c r="DH583" s="78"/>
      <c r="DI583" s="78"/>
      <c r="DJ583" s="78"/>
      <c r="DK583" s="78"/>
      <c r="DL583" s="78"/>
      <c r="DM583" s="78"/>
      <c r="DN583" s="78"/>
      <c r="DO583" s="78"/>
      <c r="DP583" s="78"/>
      <c r="DQ583" s="78"/>
      <c r="DR583" s="78"/>
      <c r="DS583" s="78"/>
      <c r="DT583" s="78"/>
      <c r="DU583" s="78"/>
      <c r="DV583" s="78"/>
      <c r="DW583" s="78"/>
      <c r="DX583" s="78"/>
      <c r="DY583" s="78"/>
      <c r="DZ583" s="78"/>
      <c r="EA583" s="78"/>
      <c r="EB583" s="78"/>
      <c r="EC583" s="78"/>
      <c r="ED583" s="78"/>
      <c r="EE583" s="78"/>
      <c r="EF583" s="78"/>
      <c r="EG583" s="78"/>
      <c r="EH583" s="78"/>
      <c r="EI583" s="78"/>
      <c r="EJ583" s="78"/>
      <c r="EK583" s="78"/>
      <c r="EL583" s="78"/>
      <c r="EM583" s="78"/>
      <c r="EN583" s="91"/>
      <c r="EO583" s="91"/>
      <c r="EP583" s="91"/>
      <c r="EQ583" s="91"/>
      <c r="ER583" s="91"/>
      <c r="ES583" s="91"/>
    </row>
    <row r="584" spans="1:149" outlineLevel="1">
      <c r="A584" s="29" t="str">
        <f t="shared" si="344"/>
        <v>lt003_entityflg_chrnc_physcl_rsk</v>
      </c>
      <c r="B584" s="67" t="s">
        <v>26</v>
      </c>
      <c r="C584" s="68" t="s">
        <v>26</v>
      </c>
      <c r="D584" s="64" t="s">
        <v>40</v>
      </c>
      <c r="E584" s="70" t="s">
        <v>335</v>
      </c>
      <c r="F584" s="71" t="s">
        <v>358</v>
      </c>
      <c r="G584" s="64" t="str">
        <f>INDEX(Auxiliar!$B$16:$B$24,MATCH(Plano_V3!H584,Auxiliar!$C$16:$C$24,0),1)</f>
        <v>1. Concluído</v>
      </c>
      <c r="H584" s="64">
        <f>VLOOKUP(A584,'Aux - pivots1'!$A:$B,2,0)</f>
        <v>1</v>
      </c>
      <c r="I584" s="172">
        <f>SUMIFS(Table1[Estimação (horas)],Table1[Tabela],Plano_V3!E584,Table1[Campo],Plano_V3!F584)</f>
        <v>4.0999999999999996</v>
      </c>
      <c r="J584" s="172">
        <f t="shared" si="345"/>
        <v>0.51249999999999996</v>
      </c>
      <c r="K584" s="172">
        <f>SUMIFS(Table1[Horas efetivas],Table1[Tabela],Plano_V3!E584,Table1[Campo],Plano_V3!F584)</f>
        <v>4.0999999999999996</v>
      </c>
      <c r="L584" s="172">
        <f t="shared" si="346"/>
        <v>0.51249999999999996</v>
      </c>
      <c r="M584" s="174"/>
      <c r="N584" s="174">
        <f t="shared" si="347"/>
        <v>1</v>
      </c>
      <c r="O584" s="174"/>
      <c r="P584" s="87" t="s">
        <v>337</v>
      </c>
      <c r="R584" s="78"/>
      <c r="S584" s="78"/>
      <c r="T584" s="78"/>
      <c r="U584" s="78"/>
      <c r="V584" s="78"/>
      <c r="W584" s="78"/>
      <c r="X584" s="78"/>
      <c r="Y584" s="78"/>
      <c r="Z584" s="78"/>
      <c r="AA584" s="78"/>
      <c r="AB584" s="78"/>
      <c r="AC584" s="78"/>
      <c r="AD584" s="78"/>
      <c r="AE584" s="78"/>
      <c r="AF584" s="78"/>
      <c r="AG584" s="78"/>
      <c r="AH584" s="78"/>
      <c r="AI584" s="78"/>
      <c r="AJ584" s="78"/>
      <c r="AK584" s="78"/>
      <c r="AL584" s="78"/>
      <c r="AM584" s="78"/>
      <c r="AN584" s="78"/>
      <c r="AO584" s="78"/>
      <c r="AP584" s="78"/>
      <c r="AQ584" s="78"/>
      <c r="AR584" s="78"/>
      <c r="AS584" s="78"/>
      <c r="AT584" s="78"/>
      <c r="AU584" s="78"/>
      <c r="AV584" s="78"/>
      <c r="AW584" s="78"/>
      <c r="AX584" s="78"/>
      <c r="AY584" s="91"/>
      <c r="AZ584" s="78"/>
      <c r="BA584" s="78"/>
      <c r="BB584" s="78"/>
      <c r="BC584" s="78"/>
      <c r="BD584" s="78"/>
      <c r="BE584" s="78"/>
      <c r="BF584" s="78"/>
      <c r="BG584" s="78"/>
      <c r="BH584" s="78"/>
      <c r="BI584" s="78"/>
      <c r="BJ584" s="78"/>
      <c r="BK584" s="78"/>
      <c r="BL584" s="78"/>
      <c r="BM584" s="78"/>
      <c r="BN584" s="78"/>
      <c r="BO584" s="78"/>
      <c r="BP584" s="78"/>
      <c r="BQ584" s="78"/>
      <c r="BR584" s="78"/>
      <c r="BS584" s="78"/>
      <c r="BT584" s="78"/>
      <c r="BU584" s="78"/>
      <c r="BV584" s="78"/>
      <c r="BW584" s="78"/>
      <c r="BX584" s="78"/>
      <c r="BY584" s="78"/>
      <c r="BZ584" s="78"/>
      <c r="CA584" s="78"/>
      <c r="CB584" s="78"/>
      <c r="CC584" s="78"/>
      <c r="CD584" s="78"/>
      <c r="CE584" s="78"/>
      <c r="CF584" s="78"/>
      <c r="CG584" s="78"/>
      <c r="CH584" s="78"/>
      <c r="CI584" s="78"/>
      <c r="CJ584" s="78"/>
      <c r="CK584" s="78"/>
      <c r="CL584" s="78"/>
      <c r="CM584" s="78"/>
      <c r="CN584" s="78"/>
      <c r="CO584" s="78"/>
      <c r="CP584" s="78"/>
      <c r="CQ584" s="78"/>
      <c r="CR584" s="78"/>
      <c r="CS584" s="78"/>
      <c r="CT584" s="78"/>
      <c r="CU584" s="78"/>
      <c r="CV584" s="78"/>
      <c r="CW584" s="78"/>
      <c r="CX584" s="78"/>
      <c r="CY584" s="78"/>
      <c r="CZ584" s="78"/>
      <c r="DA584" s="78"/>
      <c r="DB584" s="78"/>
      <c r="DC584" s="78"/>
      <c r="DD584" s="78"/>
      <c r="DE584" s="78"/>
      <c r="DF584" s="78"/>
      <c r="DG584" s="78"/>
      <c r="DH584" s="78"/>
      <c r="DI584" s="78"/>
      <c r="DJ584" s="78"/>
      <c r="DK584" s="78"/>
      <c r="DL584" s="78"/>
      <c r="DM584" s="78"/>
      <c r="DN584" s="78"/>
      <c r="DO584" s="78"/>
      <c r="DP584" s="78"/>
      <c r="DQ584" s="78"/>
      <c r="DR584" s="78"/>
      <c r="DS584" s="78"/>
      <c r="DT584" s="78"/>
      <c r="DU584" s="78"/>
      <c r="DV584" s="78"/>
      <c r="DW584" s="78"/>
      <c r="DX584" s="78"/>
      <c r="DY584" s="78"/>
      <c r="DZ584" s="78"/>
      <c r="EA584" s="78"/>
      <c r="EB584" s="78"/>
      <c r="EC584" s="78"/>
      <c r="ED584" s="78"/>
      <c r="EE584" s="78"/>
      <c r="EF584" s="78"/>
      <c r="EG584" s="78"/>
      <c r="EH584" s="78"/>
      <c r="EI584" s="78"/>
      <c r="EJ584" s="78"/>
      <c r="EK584" s="78"/>
      <c r="EL584" s="78"/>
      <c r="EM584" s="78"/>
      <c r="EN584" s="91"/>
      <c r="EO584" s="91"/>
      <c r="EP584" s="91"/>
      <c r="EQ584" s="91"/>
      <c r="ER584" s="91"/>
      <c r="ES584" s="91"/>
    </row>
    <row r="585" spans="1:149" outlineLevel="1">
      <c r="A585" s="29" t="str">
        <f t="shared" si="344"/>
        <v>lt003_entitypst_cd</v>
      </c>
      <c r="B585" s="67" t="s">
        <v>26</v>
      </c>
      <c r="C585" s="68" t="s">
        <v>26</v>
      </c>
      <c r="D585" s="64" t="s">
        <v>40</v>
      </c>
      <c r="E585" s="70" t="s">
        <v>335</v>
      </c>
      <c r="F585" s="71" t="s">
        <v>359</v>
      </c>
      <c r="G585" s="64" t="str">
        <f>INDEX(Auxiliar!$B$16:$B$24,MATCH(Plano_V3!H585,Auxiliar!$C$16:$C$24,0),1)</f>
        <v>1. Concluído</v>
      </c>
      <c r="H585" s="64">
        <f>VLOOKUP(A585,'Aux - pivots1'!$A:$B,2,0)</f>
        <v>1</v>
      </c>
      <c r="I585" s="172">
        <f>SUMIFS(Table1[Estimação (horas)],Table1[Tabela],Plano_V3!E585,Table1[Campo],Plano_V3!F585)</f>
        <v>4.0999999999999996</v>
      </c>
      <c r="J585" s="172">
        <f t="shared" si="345"/>
        <v>0.51249999999999996</v>
      </c>
      <c r="K585" s="172">
        <f>SUMIFS(Table1[Horas efetivas],Table1[Tabela],Plano_V3!E585,Table1[Campo],Plano_V3!F585)</f>
        <v>4.0999999999999996</v>
      </c>
      <c r="L585" s="172">
        <f t="shared" si="346"/>
        <v>0.51249999999999996</v>
      </c>
      <c r="M585" s="174"/>
      <c r="N585" s="174">
        <f t="shared" si="347"/>
        <v>1</v>
      </c>
      <c r="O585" s="174"/>
      <c r="P585" s="87" t="s">
        <v>337</v>
      </c>
      <c r="R585" s="78"/>
      <c r="S585" s="78"/>
      <c r="T585" s="78"/>
      <c r="U585" s="78"/>
      <c r="V585" s="78"/>
      <c r="W585" s="78"/>
      <c r="X585" s="78"/>
      <c r="Y585" s="78"/>
      <c r="Z585" s="78"/>
      <c r="AA585" s="78"/>
      <c r="AB585" s="78"/>
      <c r="AC585" s="78"/>
      <c r="AD585" s="78"/>
      <c r="AE585" s="78"/>
      <c r="AF585" s="78"/>
      <c r="AG585" s="78"/>
      <c r="AH585" s="78"/>
      <c r="AI585" s="78"/>
      <c r="AJ585" s="78"/>
      <c r="AK585" s="78"/>
      <c r="AL585" s="78"/>
      <c r="AM585" s="78"/>
      <c r="AN585" s="78"/>
      <c r="AO585" s="78"/>
      <c r="AP585" s="78"/>
      <c r="AQ585" s="78"/>
      <c r="AR585" s="78"/>
      <c r="AS585" s="78"/>
      <c r="AT585" s="78"/>
      <c r="AU585" s="78"/>
      <c r="AV585" s="78"/>
      <c r="AW585" s="78"/>
      <c r="AX585" s="78"/>
      <c r="AY585" s="91"/>
      <c r="AZ585" s="78"/>
      <c r="BA585" s="78"/>
      <c r="BB585" s="78"/>
      <c r="BC585" s="78"/>
      <c r="BD585" s="78"/>
      <c r="BE585" s="78"/>
      <c r="BF585" s="78"/>
      <c r="BG585" s="78"/>
      <c r="BH585" s="78"/>
      <c r="BI585" s="78"/>
      <c r="BJ585" s="78"/>
      <c r="BK585" s="78"/>
      <c r="BL585" s="78"/>
      <c r="BM585" s="78"/>
      <c r="BN585" s="78"/>
      <c r="BO585" s="78"/>
      <c r="BP585" s="78"/>
      <c r="BQ585" s="78"/>
      <c r="BR585" s="78"/>
      <c r="BS585" s="78"/>
      <c r="BT585" s="78"/>
      <c r="BU585" s="78"/>
      <c r="BV585" s="78"/>
      <c r="BW585" s="78"/>
      <c r="BX585" s="78"/>
      <c r="BY585" s="78"/>
      <c r="BZ585" s="78"/>
      <c r="CA585" s="78"/>
      <c r="CB585" s="78"/>
      <c r="CC585" s="78"/>
      <c r="CD585" s="78"/>
      <c r="CE585" s="78"/>
      <c r="CF585" s="78"/>
      <c r="CG585" s="78"/>
      <c r="CH585" s="78"/>
      <c r="CI585" s="78"/>
      <c r="CJ585" s="78"/>
      <c r="CK585" s="78"/>
      <c r="CL585" s="78"/>
      <c r="CM585" s="78"/>
      <c r="CN585" s="78"/>
      <c r="CO585" s="78"/>
      <c r="CP585" s="78"/>
      <c r="CQ585" s="78"/>
      <c r="CR585" s="78"/>
      <c r="CS585" s="78"/>
      <c r="CT585" s="78"/>
      <c r="CU585" s="78"/>
      <c r="CV585" s="78"/>
      <c r="CW585" s="78"/>
      <c r="CX585" s="78"/>
      <c r="CY585" s="78"/>
      <c r="CZ585" s="78"/>
      <c r="DA585" s="78"/>
      <c r="DB585" s="78"/>
      <c r="DC585" s="78"/>
      <c r="DD585" s="78"/>
      <c r="DE585" s="78"/>
      <c r="DF585" s="78"/>
      <c r="DG585" s="78"/>
      <c r="DH585" s="78"/>
      <c r="DI585" s="78"/>
      <c r="DJ585" s="78"/>
      <c r="DK585" s="78"/>
      <c r="DL585" s="78"/>
      <c r="DM585" s="78"/>
      <c r="DN585" s="78"/>
      <c r="DO585" s="78"/>
      <c r="DP585" s="78"/>
      <c r="DQ585" s="78"/>
      <c r="DR585" s="78"/>
      <c r="DS585" s="78"/>
      <c r="DT585" s="78"/>
      <c r="DU585" s="78"/>
      <c r="DV585" s="78"/>
      <c r="DW585" s="78"/>
      <c r="DX585" s="78"/>
      <c r="DY585" s="78"/>
      <c r="DZ585" s="78"/>
      <c r="EA585" s="78"/>
      <c r="EB585" s="78"/>
      <c r="EC585" s="78"/>
      <c r="ED585" s="78"/>
      <c r="EE585" s="78"/>
      <c r="EF585" s="78"/>
      <c r="EG585" s="78"/>
      <c r="EH585" s="78"/>
      <c r="EI585" s="78"/>
      <c r="EJ585" s="78"/>
      <c r="EK585" s="78"/>
      <c r="EL585" s="78"/>
      <c r="EM585" s="78"/>
      <c r="EN585" s="91"/>
      <c r="EO585" s="91"/>
      <c r="EP585" s="91"/>
      <c r="EQ585" s="91"/>
      <c r="ER585" s="91"/>
      <c r="ES585" s="91"/>
    </row>
    <row r="586" spans="1:149" outlineLevel="1">
      <c r="A586" s="29" t="str">
        <f t="shared" si="344"/>
        <v>lt003_entityesg_sbsctr</v>
      </c>
      <c r="B586" s="67" t="s">
        <v>26</v>
      </c>
      <c r="C586" s="68" t="s">
        <v>26</v>
      </c>
      <c r="D586" s="64" t="s">
        <v>40</v>
      </c>
      <c r="E586" s="70" t="s">
        <v>335</v>
      </c>
      <c r="F586" s="71" t="s">
        <v>360</v>
      </c>
      <c r="G586" s="64" t="str">
        <f>INDEX(Auxiliar!$B$16:$B$24,MATCH(Plano_V3!H586,Auxiliar!$C$16:$C$24,0),1)</f>
        <v>1. Concluído</v>
      </c>
      <c r="H586" s="64">
        <f>VLOOKUP(A586,'Aux - pivots1'!$A:$B,2,0)</f>
        <v>1</v>
      </c>
      <c r="I586" s="172">
        <f>SUMIFS(Table1[Estimação (horas)],Table1[Tabela],Plano_V3!E586,Table1[Campo],Plano_V3!F586)</f>
        <v>4.0999999999999996</v>
      </c>
      <c r="J586" s="172">
        <f t="shared" si="345"/>
        <v>0.51249999999999996</v>
      </c>
      <c r="K586" s="172">
        <f>SUMIFS(Table1[Horas efetivas],Table1[Tabela],Plano_V3!E586,Table1[Campo],Plano_V3!F586)</f>
        <v>4.0999999999999996</v>
      </c>
      <c r="L586" s="172">
        <f t="shared" si="346"/>
        <v>0.51249999999999996</v>
      </c>
      <c r="M586" s="174"/>
      <c r="N586" s="174">
        <f t="shared" si="347"/>
        <v>1</v>
      </c>
      <c r="O586" s="174"/>
      <c r="P586" s="87" t="s">
        <v>337</v>
      </c>
      <c r="R586" s="78"/>
      <c r="S586" s="78"/>
      <c r="T586" s="78"/>
      <c r="U586" s="78"/>
      <c r="V586" s="78"/>
      <c r="W586" s="78"/>
      <c r="X586" s="78"/>
      <c r="Y586" s="78"/>
      <c r="Z586" s="78"/>
      <c r="AA586" s="78"/>
      <c r="AB586" s="78"/>
      <c r="AC586" s="78"/>
      <c r="AD586" s="78"/>
      <c r="AE586" s="78"/>
      <c r="AF586" s="78"/>
      <c r="AG586" s="78"/>
      <c r="AH586" s="78"/>
      <c r="AI586" s="78"/>
      <c r="AJ586" s="78"/>
      <c r="AK586" s="78"/>
      <c r="AL586" s="78"/>
      <c r="AM586" s="78"/>
      <c r="AN586" s="78"/>
      <c r="AO586" s="78"/>
      <c r="AP586" s="78"/>
      <c r="AQ586" s="78"/>
      <c r="AR586" s="78"/>
      <c r="AS586" s="78"/>
      <c r="AT586" s="78"/>
      <c r="AU586" s="78"/>
      <c r="AV586" s="78"/>
      <c r="AW586" s="78"/>
      <c r="AX586" s="78"/>
      <c r="AY586" s="91"/>
      <c r="AZ586" s="78"/>
      <c r="BA586" s="78"/>
      <c r="BB586" s="78"/>
      <c r="BC586" s="78"/>
      <c r="BD586" s="78"/>
      <c r="BE586" s="78"/>
      <c r="BF586" s="78"/>
      <c r="BG586" s="78"/>
      <c r="BH586" s="78"/>
      <c r="BI586" s="78"/>
      <c r="BJ586" s="78"/>
      <c r="BK586" s="78"/>
      <c r="BL586" s="78"/>
      <c r="BM586" s="78"/>
      <c r="BN586" s="78"/>
      <c r="BO586" s="78"/>
      <c r="BP586" s="78"/>
      <c r="BQ586" s="78"/>
      <c r="BR586" s="78"/>
      <c r="BS586" s="78"/>
      <c r="BT586" s="78"/>
      <c r="BU586" s="78"/>
      <c r="BV586" s="78"/>
      <c r="BW586" s="78"/>
      <c r="BX586" s="78"/>
      <c r="BY586" s="78"/>
      <c r="BZ586" s="78"/>
      <c r="CA586" s="78"/>
      <c r="CB586" s="78"/>
      <c r="CC586" s="78"/>
      <c r="CD586" s="78"/>
      <c r="CE586" s="78"/>
      <c r="CF586" s="78"/>
      <c r="CG586" s="78"/>
      <c r="CH586" s="78"/>
      <c r="CI586" s="78"/>
      <c r="CJ586" s="78"/>
      <c r="CK586" s="78"/>
      <c r="CL586" s="78"/>
      <c r="CM586" s="78"/>
      <c r="CN586" s="78"/>
      <c r="CO586" s="78"/>
      <c r="CP586" s="78"/>
      <c r="CQ586" s="78"/>
      <c r="CR586" s="78"/>
      <c r="CS586" s="78"/>
      <c r="CT586" s="78"/>
      <c r="CU586" s="78"/>
      <c r="CV586" s="78"/>
      <c r="CW586" s="78"/>
      <c r="CX586" s="78"/>
      <c r="CY586" s="78"/>
      <c r="CZ586" s="78"/>
      <c r="DA586" s="78"/>
      <c r="DB586" s="78"/>
      <c r="DC586" s="78"/>
      <c r="DD586" s="78"/>
      <c r="DE586" s="78"/>
      <c r="DF586" s="78"/>
      <c r="DG586" s="78"/>
      <c r="DH586" s="78"/>
      <c r="DI586" s="78"/>
      <c r="DJ586" s="78"/>
      <c r="DK586" s="78"/>
      <c r="DL586" s="78"/>
      <c r="DM586" s="78"/>
      <c r="DN586" s="78"/>
      <c r="DO586" s="78"/>
      <c r="DP586" s="78"/>
      <c r="DQ586" s="78"/>
      <c r="DR586" s="78"/>
      <c r="DS586" s="78"/>
      <c r="DT586" s="78"/>
      <c r="DU586" s="78"/>
      <c r="DV586" s="78"/>
      <c r="DW586" s="78"/>
      <c r="DX586" s="78"/>
      <c r="DY586" s="78"/>
      <c r="DZ586" s="78"/>
      <c r="EA586" s="78"/>
      <c r="EB586" s="78"/>
      <c r="EC586" s="78"/>
      <c r="ED586" s="78"/>
      <c r="EE586" s="78"/>
      <c r="EF586" s="78"/>
      <c r="EG586" s="78"/>
      <c r="EH586" s="78"/>
      <c r="EI586" s="78"/>
      <c r="EJ586" s="78"/>
      <c r="EK586" s="78"/>
      <c r="EL586" s="78"/>
      <c r="EM586" s="78"/>
      <c r="EN586" s="91"/>
      <c r="EO586" s="91"/>
      <c r="EP586" s="91"/>
      <c r="EQ586" s="91"/>
      <c r="ER586" s="91"/>
      <c r="ES586" s="91"/>
    </row>
    <row r="587" spans="1:149" outlineLevel="1">
      <c r="A587" s="29" t="str">
        <f t="shared" si="344"/>
        <v>lt003_entityttl_lblty</v>
      </c>
      <c r="B587" s="67" t="s">
        <v>26</v>
      </c>
      <c r="C587" s="68" t="s">
        <v>26</v>
      </c>
      <c r="D587" s="64" t="s">
        <v>40</v>
      </c>
      <c r="E587" s="70" t="s">
        <v>335</v>
      </c>
      <c r="F587" s="71" t="s">
        <v>361</v>
      </c>
      <c r="G587" s="64" t="str">
        <f>INDEX(Auxiliar!$B$16:$B$24,MATCH(Plano_V3!H587,Auxiliar!$C$16:$C$24,0),1)</f>
        <v>1. Concluído</v>
      </c>
      <c r="H587" s="64">
        <f>VLOOKUP(A587,'Aux - pivots1'!$A:$B,2,0)</f>
        <v>1</v>
      </c>
      <c r="I587" s="172">
        <f>SUMIFS(Table1[Estimação (horas)],Table1[Tabela],Plano_V3!E587,Table1[Campo],Plano_V3!F587)</f>
        <v>4.0999999999999996</v>
      </c>
      <c r="J587" s="172">
        <f t="shared" si="345"/>
        <v>0.51249999999999996</v>
      </c>
      <c r="K587" s="172">
        <f>SUMIFS(Table1[Horas efetivas],Table1[Tabela],Plano_V3!E587,Table1[Campo],Plano_V3!F587)</f>
        <v>4.0999999999999996</v>
      </c>
      <c r="L587" s="172">
        <f t="shared" si="346"/>
        <v>0.51249999999999996</v>
      </c>
      <c r="M587" s="174"/>
      <c r="N587" s="174">
        <f t="shared" si="347"/>
        <v>1</v>
      </c>
      <c r="O587" s="174"/>
      <c r="P587" s="87" t="s">
        <v>337</v>
      </c>
      <c r="R587" s="78"/>
      <c r="S587" s="78"/>
      <c r="T587" s="78"/>
      <c r="U587" s="78"/>
      <c r="V587" s="78"/>
      <c r="W587" s="78"/>
      <c r="X587" s="78"/>
      <c r="Y587" s="78"/>
      <c r="Z587" s="78"/>
      <c r="AA587" s="78"/>
      <c r="AB587" s="78"/>
      <c r="AC587" s="78"/>
      <c r="AD587" s="78"/>
      <c r="AE587" s="78"/>
      <c r="AF587" s="78"/>
      <c r="AG587" s="78"/>
      <c r="AH587" s="78"/>
      <c r="AI587" s="78"/>
      <c r="AJ587" s="78"/>
      <c r="AK587" s="78"/>
      <c r="AL587" s="78"/>
      <c r="AM587" s="78"/>
      <c r="AN587" s="78"/>
      <c r="AO587" s="78"/>
      <c r="AP587" s="78"/>
      <c r="AQ587" s="78"/>
      <c r="AR587" s="78"/>
      <c r="AS587" s="78"/>
      <c r="AT587" s="78"/>
      <c r="AU587" s="78"/>
      <c r="AV587" s="78"/>
      <c r="AW587" s="78"/>
      <c r="AX587" s="78"/>
      <c r="AY587" s="91"/>
      <c r="AZ587" s="78"/>
      <c r="BA587" s="78"/>
      <c r="BB587" s="78"/>
      <c r="BC587" s="78"/>
      <c r="BD587" s="78"/>
      <c r="BE587" s="78"/>
      <c r="BF587" s="78"/>
      <c r="BG587" s="78"/>
      <c r="BH587" s="78"/>
      <c r="BI587" s="78"/>
      <c r="BJ587" s="78"/>
      <c r="BK587" s="78"/>
      <c r="BL587" s="78"/>
      <c r="BM587" s="78"/>
      <c r="BN587" s="78"/>
      <c r="BO587" s="78"/>
      <c r="BP587" s="78"/>
      <c r="BQ587" s="78"/>
      <c r="BR587" s="78"/>
      <c r="BS587" s="78"/>
      <c r="BT587" s="78"/>
      <c r="BU587" s="78"/>
      <c r="BV587" s="78"/>
      <c r="BW587" s="78"/>
      <c r="BX587" s="78"/>
      <c r="BY587" s="78"/>
      <c r="BZ587" s="78"/>
      <c r="CA587" s="78"/>
      <c r="CB587" s="78"/>
      <c r="CC587" s="78"/>
      <c r="CD587" s="78"/>
      <c r="CE587" s="78"/>
      <c r="CF587" s="78"/>
      <c r="CG587" s="78"/>
      <c r="CH587" s="78"/>
      <c r="CI587" s="78"/>
      <c r="CJ587" s="78"/>
      <c r="CK587" s="78"/>
      <c r="CL587" s="78"/>
      <c r="CM587" s="78"/>
      <c r="CN587" s="78"/>
      <c r="CO587" s="78"/>
      <c r="CP587" s="78"/>
      <c r="CQ587" s="78"/>
      <c r="CR587" s="78"/>
      <c r="CS587" s="78"/>
      <c r="CT587" s="78"/>
      <c r="CU587" s="78"/>
      <c r="CV587" s="78"/>
      <c r="CW587" s="78"/>
      <c r="CX587" s="78"/>
      <c r="CY587" s="78"/>
      <c r="CZ587" s="78"/>
      <c r="DA587" s="78"/>
      <c r="DB587" s="78"/>
      <c r="DC587" s="78"/>
      <c r="DD587" s="78"/>
      <c r="DE587" s="78"/>
      <c r="DF587" s="78"/>
      <c r="DG587" s="78"/>
      <c r="DH587" s="78"/>
      <c r="DI587" s="78"/>
      <c r="DJ587" s="78"/>
      <c r="DK587" s="78"/>
      <c r="DL587" s="78"/>
      <c r="DM587" s="78"/>
      <c r="DN587" s="78"/>
      <c r="DO587" s="78"/>
      <c r="DP587" s="78"/>
      <c r="DQ587" s="78"/>
      <c r="DR587" s="78"/>
      <c r="DS587" s="78"/>
      <c r="DT587" s="78"/>
      <c r="DU587" s="78"/>
      <c r="DV587" s="78"/>
      <c r="DW587" s="78"/>
      <c r="DX587" s="78"/>
      <c r="DY587" s="78"/>
      <c r="DZ587" s="78"/>
      <c r="EA587" s="78"/>
      <c r="EB587" s="78"/>
      <c r="EC587" s="78"/>
      <c r="ED587" s="78"/>
      <c r="EE587" s="78"/>
      <c r="EF587" s="78"/>
      <c r="EG587" s="78"/>
      <c r="EH587" s="78"/>
      <c r="EI587" s="78"/>
      <c r="EJ587" s="78"/>
      <c r="EK587" s="78"/>
      <c r="EL587" s="78"/>
      <c r="EM587" s="78"/>
      <c r="EN587" s="91"/>
      <c r="EO587" s="91"/>
      <c r="EP587" s="91"/>
      <c r="EQ587" s="91"/>
      <c r="ER587" s="91"/>
      <c r="ES587" s="91"/>
    </row>
    <row r="588" spans="1:149" outlineLevel="1">
      <c r="A588" s="29" t="str">
        <f t="shared" si="344"/>
        <v>lt003_entityisin</v>
      </c>
      <c r="B588" s="67" t="s">
        <v>26</v>
      </c>
      <c r="C588" s="68" t="s">
        <v>26</v>
      </c>
      <c r="D588" s="64" t="s">
        <v>40</v>
      </c>
      <c r="E588" s="70" t="s">
        <v>335</v>
      </c>
      <c r="F588" s="71" t="s">
        <v>238</v>
      </c>
      <c r="G588" s="64" t="str">
        <f>INDEX(Auxiliar!$B$16:$B$24,MATCH(Plano_V3!H588,Auxiliar!$C$16:$C$24,0),1)</f>
        <v>1. Concluído</v>
      </c>
      <c r="H588" s="64">
        <f>VLOOKUP(A588,'Aux - pivots1'!$A:$B,2,0)</f>
        <v>1</v>
      </c>
      <c r="I588" s="172">
        <f>SUMIFS(Table1[Estimação (horas)],Table1[Tabela],Plano_V3!E588,Table1[Campo],Plano_V3!F588)</f>
        <v>4.0999999999999996</v>
      </c>
      <c r="J588" s="172">
        <f t="shared" si="345"/>
        <v>0.51249999999999996</v>
      </c>
      <c r="K588" s="172">
        <f>SUMIFS(Table1[Horas efetivas],Table1[Tabela],Plano_V3!E588,Table1[Campo],Plano_V3!F588)</f>
        <v>4.0999999999999996</v>
      </c>
      <c r="L588" s="172">
        <f t="shared" si="346"/>
        <v>0.51249999999999996</v>
      </c>
      <c r="M588" s="174"/>
      <c r="N588" s="174">
        <f t="shared" si="347"/>
        <v>1</v>
      </c>
      <c r="O588" s="174"/>
      <c r="P588" s="87" t="s">
        <v>337</v>
      </c>
      <c r="R588" s="78"/>
      <c r="S588" s="78"/>
      <c r="T588" s="78"/>
      <c r="U588" s="78"/>
      <c r="V588" s="78"/>
      <c r="W588" s="78"/>
      <c r="X588" s="78"/>
      <c r="Y588" s="78"/>
      <c r="Z588" s="78"/>
      <c r="AA588" s="78"/>
      <c r="AB588" s="78"/>
      <c r="AC588" s="78"/>
      <c r="AD588" s="78"/>
      <c r="AE588" s="78"/>
      <c r="AF588" s="78"/>
      <c r="AG588" s="78"/>
      <c r="AH588" s="78"/>
      <c r="AI588" s="78"/>
      <c r="AJ588" s="78"/>
      <c r="AK588" s="78"/>
      <c r="AL588" s="78"/>
      <c r="AM588" s="78"/>
      <c r="AN588" s="78"/>
      <c r="AO588" s="78"/>
      <c r="AP588" s="78"/>
      <c r="AQ588" s="78"/>
      <c r="AR588" s="78"/>
      <c r="AS588" s="78"/>
      <c r="AT588" s="78"/>
      <c r="AU588" s="78"/>
      <c r="AV588" s="78"/>
      <c r="AW588" s="78"/>
      <c r="AX588" s="78"/>
      <c r="AY588" s="91"/>
      <c r="AZ588" s="78"/>
      <c r="BA588" s="78"/>
      <c r="BB588" s="78"/>
      <c r="BC588" s="78"/>
      <c r="BD588" s="78"/>
      <c r="BE588" s="78"/>
      <c r="BF588" s="78"/>
      <c r="BG588" s="78"/>
      <c r="BH588" s="78"/>
      <c r="BI588" s="78"/>
      <c r="BJ588" s="78"/>
      <c r="BK588" s="78"/>
      <c r="BL588" s="78"/>
      <c r="BM588" s="78"/>
      <c r="BN588" s="78"/>
      <c r="BO588" s="78"/>
      <c r="BP588" s="78"/>
      <c r="BQ588" s="78"/>
      <c r="BR588" s="78"/>
      <c r="BS588" s="78"/>
      <c r="BT588" s="78"/>
      <c r="BU588" s="78"/>
      <c r="BV588" s="78"/>
      <c r="BW588" s="78"/>
      <c r="BX588" s="78"/>
      <c r="BY588" s="78"/>
      <c r="BZ588" s="78"/>
      <c r="CA588" s="78"/>
      <c r="CB588" s="78"/>
      <c r="CC588" s="78"/>
      <c r="CD588" s="78"/>
      <c r="CE588" s="78"/>
      <c r="CF588" s="78"/>
      <c r="CG588" s="78"/>
      <c r="CH588" s="78"/>
      <c r="CI588" s="78"/>
      <c r="CJ588" s="78"/>
      <c r="CK588" s="78"/>
      <c r="CL588" s="78"/>
      <c r="CM588" s="78"/>
      <c r="CN588" s="78"/>
      <c r="CO588" s="78"/>
      <c r="CP588" s="78"/>
      <c r="CQ588" s="78"/>
      <c r="CR588" s="78"/>
      <c r="CS588" s="78"/>
      <c r="CT588" s="78"/>
      <c r="CU588" s="78"/>
      <c r="CV588" s="78"/>
      <c r="CW588" s="78"/>
      <c r="CX588" s="78"/>
      <c r="CY588" s="78"/>
      <c r="CZ588" s="78"/>
      <c r="DA588" s="78"/>
      <c r="DB588" s="78"/>
      <c r="DC588" s="78"/>
      <c r="DD588" s="78"/>
      <c r="DE588" s="78"/>
      <c r="DF588" s="78"/>
      <c r="DG588" s="78"/>
      <c r="DH588" s="78"/>
      <c r="DI588" s="78"/>
      <c r="DJ588" s="78"/>
      <c r="DK588" s="78"/>
      <c r="DL588" s="78"/>
      <c r="DM588" s="78"/>
      <c r="DN588" s="78"/>
      <c r="DO588" s="78"/>
      <c r="DP588" s="78"/>
      <c r="DQ588" s="78"/>
      <c r="DR588" s="78"/>
      <c r="DS588" s="78"/>
      <c r="DT588" s="78"/>
      <c r="DU588" s="78"/>
      <c r="DV588" s="78"/>
      <c r="DW588" s="78"/>
      <c r="DX588" s="78"/>
      <c r="DY588" s="78"/>
      <c r="DZ588" s="78"/>
      <c r="EA588" s="78"/>
      <c r="EB588" s="78"/>
      <c r="EC588" s="78"/>
      <c r="ED588" s="78"/>
      <c r="EE588" s="78"/>
      <c r="EF588" s="78"/>
      <c r="EG588" s="78"/>
      <c r="EH588" s="78"/>
      <c r="EI588" s="78"/>
      <c r="EJ588" s="78"/>
      <c r="EK588" s="78"/>
      <c r="EL588" s="78"/>
      <c r="EM588" s="78"/>
      <c r="EN588" s="91"/>
      <c r="EO588" s="91"/>
      <c r="EP588" s="91"/>
      <c r="EQ588" s="91"/>
      <c r="ER588" s="91"/>
      <c r="ES588" s="91"/>
    </row>
    <row r="589" spans="1:149" outlineLevel="1">
      <c r="A589" s="29" t="str">
        <f t="shared" si="344"/>
        <v>lt003_entitygrp_annl_trnvr_le</v>
      </c>
      <c r="B589" s="67" t="s">
        <v>26</v>
      </c>
      <c r="C589" s="68" t="s">
        <v>26</v>
      </c>
      <c r="D589" s="64" t="s">
        <v>40</v>
      </c>
      <c r="E589" s="70" t="s">
        <v>335</v>
      </c>
      <c r="F589" s="71" t="s">
        <v>362</v>
      </c>
      <c r="G589" s="64" t="str">
        <f>INDEX(Auxiliar!$B$16:$B$24,MATCH(Plano_V3!H589,Auxiliar!$C$16:$C$24,0),1)</f>
        <v>1. Concluído</v>
      </c>
      <c r="H589" s="64">
        <f>VLOOKUP(A589,'Aux - pivots1'!$A:$B,2,0)</f>
        <v>1</v>
      </c>
      <c r="I589" s="172">
        <f>SUMIFS(Table1[Estimação (horas)],Table1[Tabela],Plano_V3!E589,Table1[Campo],Plano_V3!F589)</f>
        <v>4.0999999999999996</v>
      </c>
      <c r="J589" s="172">
        <f t="shared" si="345"/>
        <v>0.51249999999999996</v>
      </c>
      <c r="K589" s="172">
        <f>SUMIFS(Table1[Horas efetivas],Table1[Tabela],Plano_V3!E589,Table1[Campo],Plano_V3!F589)</f>
        <v>4.0999999999999996</v>
      </c>
      <c r="L589" s="172">
        <f t="shared" si="346"/>
        <v>0.51249999999999996</v>
      </c>
      <c r="M589" s="174"/>
      <c r="N589" s="174">
        <f t="shared" si="347"/>
        <v>1</v>
      </c>
      <c r="O589" s="174"/>
      <c r="P589" s="87" t="s">
        <v>337</v>
      </c>
      <c r="R589" s="78"/>
      <c r="S589" s="78"/>
      <c r="T589" s="78"/>
      <c r="U589" s="78"/>
      <c r="V589" s="78"/>
      <c r="W589" s="78"/>
      <c r="X589" s="78"/>
      <c r="Y589" s="78"/>
      <c r="Z589" s="78"/>
      <c r="AA589" s="78"/>
      <c r="AB589" s="78"/>
      <c r="AC589" s="78"/>
      <c r="AD589" s="78"/>
      <c r="AE589" s="78"/>
      <c r="AF589" s="78"/>
      <c r="AG589" s="78"/>
      <c r="AH589" s="78"/>
      <c r="AI589" s="78"/>
      <c r="AJ589" s="78"/>
      <c r="AK589" s="78"/>
      <c r="AL589" s="78"/>
      <c r="AM589" s="78"/>
      <c r="AN589" s="78"/>
      <c r="AO589" s="78"/>
      <c r="AP589" s="78"/>
      <c r="AQ589" s="78"/>
      <c r="AR589" s="78"/>
      <c r="AS589" s="78"/>
      <c r="AT589" s="78"/>
      <c r="AU589" s="78"/>
      <c r="AV589" s="78"/>
      <c r="AW589" s="78"/>
      <c r="AX589" s="78"/>
      <c r="AY589" s="91"/>
      <c r="AZ589" s="78"/>
      <c r="BA589" s="78"/>
      <c r="BB589" s="78"/>
      <c r="BC589" s="78"/>
      <c r="BD589" s="78"/>
      <c r="BE589" s="78"/>
      <c r="BF589" s="78"/>
      <c r="BG589" s="78"/>
      <c r="BH589" s="78"/>
      <c r="BI589" s="78"/>
      <c r="BJ589" s="78"/>
      <c r="BK589" s="78"/>
      <c r="BL589" s="78"/>
      <c r="BM589" s="78"/>
      <c r="BN589" s="78"/>
      <c r="BO589" s="78"/>
      <c r="BP589" s="78"/>
      <c r="BQ589" s="78"/>
      <c r="BR589" s="78"/>
      <c r="BS589" s="78"/>
      <c r="BT589" s="78"/>
      <c r="BU589" s="78"/>
      <c r="BV589" s="78"/>
      <c r="BW589" s="78"/>
      <c r="BX589" s="78"/>
      <c r="BY589" s="78"/>
      <c r="BZ589" s="78"/>
      <c r="CA589" s="78"/>
      <c r="CB589" s="78"/>
      <c r="CC589" s="78"/>
      <c r="CD589" s="78"/>
      <c r="CE589" s="78"/>
      <c r="CF589" s="78"/>
      <c r="CG589" s="78"/>
      <c r="CH589" s="78"/>
      <c r="CI589" s="78"/>
      <c r="CJ589" s="78"/>
      <c r="CK589" s="78"/>
      <c r="CL589" s="78"/>
      <c r="CM589" s="78"/>
      <c r="CN589" s="78"/>
      <c r="CO589" s="78"/>
      <c r="CP589" s="78"/>
      <c r="CQ589" s="78"/>
      <c r="CR589" s="78"/>
      <c r="CS589" s="78"/>
      <c r="CT589" s="78"/>
      <c r="CU589" s="78"/>
      <c r="CV589" s="78"/>
      <c r="CW589" s="78"/>
      <c r="CX589" s="78"/>
      <c r="CY589" s="78"/>
      <c r="CZ589" s="78"/>
      <c r="DA589" s="78"/>
      <c r="DB589" s="78"/>
      <c r="DC589" s="78"/>
      <c r="DD589" s="78"/>
      <c r="DE589" s="78"/>
      <c r="DF589" s="78"/>
      <c r="DG589" s="78"/>
      <c r="DH589" s="78"/>
      <c r="DI589" s="78"/>
      <c r="DJ589" s="78"/>
      <c r="DK589" s="78"/>
      <c r="DL589" s="78"/>
      <c r="DM589" s="78"/>
      <c r="DN589" s="78"/>
      <c r="DO589" s="78"/>
      <c r="DP589" s="78"/>
      <c r="DQ589" s="78"/>
      <c r="DR589" s="78"/>
      <c r="DS589" s="78"/>
      <c r="DT589" s="78"/>
      <c r="DU589" s="78"/>
      <c r="DV589" s="78"/>
      <c r="DW589" s="78"/>
      <c r="DX589" s="78"/>
      <c r="DY589" s="78"/>
      <c r="DZ589" s="78"/>
      <c r="EA589" s="78"/>
      <c r="EB589" s="78"/>
      <c r="EC589" s="78"/>
      <c r="ED589" s="78"/>
      <c r="EE589" s="78"/>
      <c r="EF589" s="78"/>
      <c r="EG589" s="78"/>
      <c r="EH589" s="78"/>
      <c r="EI589" s="78"/>
      <c r="EJ589" s="78"/>
      <c r="EK589" s="78"/>
      <c r="EL589" s="78"/>
      <c r="EM589" s="78"/>
      <c r="EN589" s="91"/>
      <c r="EO589" s="91"/>
      <c r="EP589" s="91"/>
      <c r="EQ589" s="91"/>
      <c r="ER589" s="91"/>
      <c r="ES589" s="91"/>
    </row>
    <row r="590" spans="1:149" outlineLevel="1">
      <c r="A590" s="29" t="str">
        <f t="shared" si="344"/>
        <v>lt003_entitygrp_ttl_lblty</v>
      </c>
      <c r="B590" s="67" t="s">
        <v>26</v>
      </c>
      <c r="C590" s="68" t="s">
        <v>26</v>
      </c>
      <c r="D590" s="64" t="s">
        <v>40</v>
      </c>
      <c r="E590" s="70" t="s">
        <v>335</v>
      </c>
      <c r="F590" s="71" t="s">
        <v>363</v>
      </c>
      <c r="G590" s="64" t="str">
        <f>INDEX(Auxiliar!$B$16:$B$24,MATCH(Plano_V3!H590,Auxiliar!$C$16:$C$24,0),1)</f>
        <v>1. Concluído</v>
      </c>
      <c r="H590" s="64">
        <f>VLOOKUP(A590,'Aux - pivots1'!$A:$B,2,0)</f>
        <v>1</v>
      </c>
      <c r="I590" s="172">
        <f>SUMIFS(Table1[Estimação (horas)],Table1[Tabela],Plano_V3!E590,Table1[Campo],Plano_V3!F590)</f>
        <v>4.0999999999999996</v>
      </c>
      <c r="J590" s="172">
        <f t="shared" si="345"/>
        <v>0.51249999999999996</v>
      </c>
      <c r="K590" s="172">
        <f>SUMIFS(Table1[Horas efetivas],Table1[Tabela],Plano_V3!E590,Table1[Campo],Plano_V3!F590)</f>
        <v>4.0999999999999996</v>
      </c>
      <c r="L590" s="172">
        <f t="shared" si="346"/>
        <v>0.51249999999999996</v>
      </c>
      <c r="M590" s="174"/>
      <c r="N590" s="174">
        <f t="shared" si="347"/>
        <v>1</v>
      </c>
      <c r="O590" s="174"/>
      <c r="P590" s="87" t="s">
        <v>337</v>
      </c>
      <c r="R590" s="78"/>
      <c r="S590" s="78"/>
      <c r="T590" s="78"/>
      <c r="U590" s="78"/>
      <c r="V590" s="78"/>
      <c r="W590" s="78"/>
      <c r="X590" s="78"/>
      <c r="Y590" s="78"/>
      <c r="Z590" s="78"/>
      <c r="AA590" s="78"/>
      <c r="AB590" s="78"/>
      <c r="AC590" s="78"/>
      <c r="AD590" s="78"/>
      <c r="AE590" s="78"/>
      <c r="AF590" s="78"/>
      <c r="AG590" s="78"/>
      <c r="AH590" s="78"/>
      <c r="AI590" s="78"/>
      <c r="AJ590" s="78"/>
      <c r="AK590" s="78"/>
      <c r="AL590" s="78"/>
      <c r="AM590" s="78"/>
      <c r="AN590" s="78"/>
      <c r="AO590" s="78"/>
      <c r="AP590" s="78"/>
      <c r="AQ590" s="78"/>
      <c r="AR590" s="78"/>
      <c r="AS590" s="78"/>
      <c r="AT590" s="78"/>
      <c r="AU590" s="78"/>
      <c r="AV590" s="78"/>
      <c r="AW590" s="78"/>
      <c r="AX590" s="78"/>
      <c r="AY590" s="91"/>
      <c r="AZ590" s="78"/>
      <c r="BA590" s="78"/>
      <c r="BB590" s="78"/>
      <c r="BC590" s="78"/>
      <c r="BD590" s="78"/>
      <c r="BE590" s="78"/>
      <c r="BF590" s="78"/>
      <c r="BG590" s="78"/>
      <c r="BH590" s="78"/>
      <c r="BI590" s="78"/>
      <c r="BJ590" s="78"/>
      <c r="BK590" s="78"/>
      <c r="BL590" s="78"/>
      <c r="BM590" s="78"/>
      <c r="BN590" s="78"/>
      <c r="BO590" s="78"/>
      <c r="BP590" s="78"/>
      <c r="BQ590" s="78"/>
      <c r="BR590" s="78"/>
      <c r="BS590" s="78"/>
      <c r="BT590" s="78"/>
      <c r="BU590" s="78"/>
      <c r="BV590" s="78"/>
      <c r="BW590" s="78"/>
      <c r="BX590" s="78"/>
      <c r="BY590" s="78"/>
      <c r="BZ590" s="78"/>
      <c r="CA590" s="78"/>
      <c r="CB590" s="78"/>
      <c r="CC590" s="78"/>
      <c r="CD590" s="78"/>
      <c r="CE590" s="78"/>
      <c r="CF590" s="78"/>
      <c r="CG590" s="78"/>
      <c r="CH590" s="78"/>
      <c r="CI590" s="78"/>
      <c r="CJ590" s="78"/>
      <c r="CK590" s="78"/>
      <c r="CL590" s="78"/>
      <c r="CM590" s="78"/>
      <c r="CN590" s="78"/>
      <c r="CO590" s="78"/>
      <c r="CP590" s="78"/>
      <c r="CQ590" s="78"/>
      <c r="CR590" s="78"/>
      <c r="CS590" s="78"/>
      <c r="CT590" s="78"/>
      <c r="CU590" s="78"/>
      <c r="CV590" s="78"/>
      <c r="CW590" s="78"/>
      <c r="CX590" s="78"/>
      <c r="CY590" s="78"/>
      <c r="CZ590" s="78"/>
      <c r="DA590" s="78"/>
      <c r="DB590" s="78"/>
      <c r="DC590" s="78"/>
      <c r="DD590" s="78"/>
      <c r="DE590" s="78"/>
      <c r="DF590" s="78"/>
      <c r="DG590" s="78"/>
      <c r="DH590" s="78"/>
      <c r="DI590" s="78"/>
      <c r="DJ590" s="78"/>
      <c r="DK590" s="78"/>
      <c r="DL590" s="78"/>
      <c r="DM590" s="78"/>
      <c r="DN590" s="78"/>
      <c r="DO590" s="78"/>
      <c r="DP590" s="78"/>
      <c r="DQ590" s="78"/>
      <c r="DR590" s="78"/>
      <c r="DS590" s="78"/>
      <c r="DT590" s="78"/>
      <c r="DU590" s="78"/>
      <c r="DV590" s="78"/>
      <c r="DW590" s="78"/>
      <c r="DX590" s="78"/>
      <c r="DY590" s="78"/>
      <c r="DZ590" s="78"/>
      <c r="EA590" s="78"/>
      <c r="EB590" s="78"/>
      <c r="EC590" s="78"/>
      <c r="ED590" s="78"/>
      <c r="EE590" s="78"/>
      <c r="EF590" s="78"/>
      <c r="EG590" s="78"/>
      <c r="EH590" s="78"/>
      <c r="EI590" s="78"/>
      <c r="EJ590" s="78"/>
      <c r="EK590" s="78"/>
      <c r="EL590" s="78"/>
      <c r="EM590" s="78"/>
      <c r="EN590" s="91"/>
      <c r="EO590" s="91"/>
      <c r="EP590" s="91"/>
      <c r="EQ590" s="91"/>
      <c r="ER590" s="91"/>
      <c r="ES590" s="91"/>
    </row>
    <row r="591" spans="1:149" outlineLevel="1">
      <c r="A591" s="29" t="str">
        <f t="shared" si="344"/>
        <v>lt003_entityflg_grp_nfrd_applcblty</v>
      </c>
      <c r="B591" s="67" t="s">
        <v>26</v>
      </c>
      <c r="C591" s="68" t="s">
        <v>26</v>
      </c>
      <c r="D591" s="64" t="s">
        <v>40</v>
      </c>
      <c r="E591" s="70" t="s">
        <v>335</v>
      </c>
      <c r="F591" s="71" t="s">
        <v>364</v>
      </c>
      <c r="G591" s="64" t="str">
        <f>INDEX(Auxiliar!$B$16:$B$24,MATCH(Plano_V3!H591,Auxiliar!$C$16:$C$24,0),1)</f>
        <v>1. Concluído</v>
      </c>
      <c r="H591" s="64">
        <f>VLOOKUP(A591,'Aux - pivots1'!$A:$B,2,0)</f>
        <v>1</v>
      </c>
      <c r="I591" s="172">
        <f>SUMIFS(Table1[Estimação (horas)],Table1[Tabela],Plano_V3!E591,Table1[Campo],Plano_V3!F591)</f>
        <v>4.0999999999999996</v>
      </c>
      <c r="J591" s="172">
        <f t="shared" si="345"/>
        <v>0.51249999999999996</v>
      </c>
      <c r="K591" s="172">
        <f>SUMIFS(Table1[Horas efetivas],Table1[Tabela],Plano_V3!E591,Table1[Campo],Plano_V3!F591)</f>
        <v>4.0999999999999996</v>
      </c>
      <c r="L591" s="172">
        <f t="shared" si="346"/>
        <v>0.51249999999999996</v>
      </c>
      <c r="M591" s="174"/>
      <c r="N591" s="174">
        <f t="shared" si="347"/>
        <v>1</v>
      </c>
      <c r="O591" s="174"/>
      <c r="P591" s="87" t="s">
        <v>337</v>
      </c>
      <c r="R591" s="78"/>
      <c r="S591" s="78"/>
      <c r="T591" s="78"/>
      <c r="U591" s="78"/>
      <c r="V591" s="78"/>
      <c r="W591" s="78"/>
      <c r="X591" s="78"/>
      <c r="Y591" s="78"/>
      <c r="Z591" s="78"/>
      <c r="AA591" s="78"/>
      <c r="AB591" s="78"/>
      <c r="AC591" s="78"/>
      <c r="AD591" s="78"/>
      <c r="AE591" s="78"/>
      <c r="AF591" s="78"/>
      <c r="AG591" s="78"/>
      <c r="AH591" s="78"/>
      <c r="AI591" s="78"/>
      <c r="AJ591" s="78"/>
      <c r="AK591" s="78"/>
      <c r="AL591" s="78"/>
      <c r="AM591" s="78"/>
      <c r="AN591" s="78"/>
      <c r="AO591" s="78"/>
      <c r="AP591" s="78"/>
      <c r="AQ591" s="78"/>
      <c r="AR591" s="78"/>
      <c r="AS591" s="78"/>
      <c r="AT591" s="78"/>
      <c r="AU591" s="78"/>
      <c r="AV591" s="78"/>
      <c r="AW591" s="78"/>
      <c r="AX591" s="78"/>
      <c r="AY591" s="91"/>
      <c r="AZ591" s="78"/>
      <c r="BA591" s="78"/>
      <c r="BB591" s="78"/>
      <c r="BC591" s="78"/>
      <c r="BD591" s="78"/>
      <c r="BE591" s="78"/>
      <c r="BF591" s="78"/>
      <c r="BG591" s="78"/>
      <c r="BH591" s="78"/>
      <c r="BI591" s="78"/>
      <c r="BJ591" s="78"/>
      <c r="BK591" s="78"/>
      <c r="BL591" s="78"/>
      <c r="BM591" s="78"/>
      <c r="BN591" s="78"/>
      <c r="BO591" s="78"/>
      <c r="BP591" s="78"/>
      <c r="BQ591" s="78"/>
      <c r="BR591" s="78"/>
      <c r="BS591" s="78"/>
      <c r="BT591" s="78"/>
      <c r="BU591" s="78"/>
      <c r="BV591" s="78"/>
      <c r="BW591" s="78"/>
      <c r="BX591" s="78"/>
      <c r="BY591" s="78"/>
      <c r="BZ591" s="78"/>
      <c r="CA591" s="78"/>
      <c r="CB591" s="78"/>
      <c r="CC591" s="78"/>
      <c r="CD591" s="78"/>
      <c r="CE591" s="78"/>
      <c r="CF591" s="78"/>
      <c r="CG591" s="78"/>
      <c r="CH591" s="78"/>
      <c r="CI591" s="78"/>
      <c r="CJ591" s="78"/>
      <c r="CK591" s="78"/>
      <c r="CL591" s="78"/>
      <c r="CM591" s="78"/>
      <c r="CN591" s="78"/>
      <c r="CO591" s="78"/>
      <c r="CP591" s="78"/>
      <c r="CQ591" s="78"/>
      <c r="CR591" s="78"/>
      <c r="CS591" s="78"/>
      <c r="CT591" s="78"/>
      <c r="CU591" s="78"/>
      <c r="CV591" s="78"/>
      <c r="CW591" s="78"/>
      <c r="CX591" s="78"/>
      <c r="CY591" s="78"/>
      <c r="CZ591" s="78"/>
      <c r="DA591" s="78"/>
      <c r="DB591" s="78"/>
      <c r="DC591" s="78"/>
      <c r="DD591" s="78"/>
      <c r="DE591" s="78"/>
      <c r="DF591" s="78"/>
      <c r="DG591" s="78"/>
      <c r="DH591" s="78"/>
      <c r="DI591" s="78"/>
      <c r="DJ591" s="78"/>
      <c r="DK591" s="78"/>
      <c r="DL591" s="78"/>
      <c r="DM591" s="78"/>
      <c r="DN591" s="78"/>
      <c r="DO591" s="78"/>
      <c r="DP591" s="78"/>
      <c r="DQ591" s="78"/>
      <c r="DR591" s="78"/>
      <c r="DS591" s="78"/>
      <c r="DT591" s="78"/>
      <c r="DU591" s="78"/>
      <c r="DV591" s="78"/>
      <c r="DW591" s="78"/>
      <c r="DX591" s="78"/>
      <c r="DY591" s="78"/>
      <c r="DZ591" s="78"/>
      <c r="EA591" s="78"/>
      <c r="EB591" s="78"/>
      <c r="EC591" s="78"/>
      <c r="ED591" s="78"/>
      <c r="EE591" s="78"/>
      <c r="EF591" s="78"/>
      <c r="EG591" s="78"/>
      <c r="EH591" s="78"/>
      <c r="EI591" s="78"/>
      <c r="EJ591" s="78"/>
      <c r="EK591" s="78"/>
      <c r="EL591" s="78"/>
      <c r="EM591" s="78"/>
      <c r="EN591" s="91"/>
      <c r="EO591" s="91"/>
      <c r="EP591" s="91"/>
      <c r="EQ591" s="91"/>
      <c r="ER591" s="91"/>
      <c r="ES591" s="91"/>
    </row>
    <row r="592" spans="1:149" outlineLevel="1">
      <c r="A592" s="29" t="str">
        <f t="shared" si="344"/>
        <v>lt003_entitygrp_emssns_scp1</v>
      </c>
      <c r="B592" s="67" t="s">
        <v>26</v>
      </c>
      <c r="C592" s="68" t="s">
        <v>26</v>
      </c>
      <c r="D592" s="64" t="s">
        <v>40</v>
      </c>
      <c r="E592" s="70" t="s">
        <v>335</v>
      </c>
      <c r="F592" s="71" t="s">
        <v>365</v>
      </c>
      <c r="G592" s="64" t="str">
        <f>INDEX(Auxiliar!$B$16:$B$24,MATCH(Plano_V3!H592,Auxiliar!$C$16:$C$24,0),1)</f>
        <v>1. Concluído</v>
      </c>
      <c r="H592" s="64">
        <f>VLOOKUP(A592,'Aux - pivots1'!$A:$B,2,0)</f>
        <v>1</v>
      </c>
      <c r="I592" s="172">
        <f>SUMIFS(Table1[Estimação (horas)],Table1[Tabela],Plano_V3!E592,Table1[Campo],Plano_V3!F592)</f>
        <v>4.0999999999999996</v>
      </c>
      <c r="J592" s="172">
        <f t="shared" si="345"/>
        <v>0.51249999999999996</v>
      </c>
      <c r="K592" s="172">
        <f>SUMIFS(Table1[Horas efetivas],Table1[Tabela],Plano_V3!E592,Table1[Campo],Plano_V3!F592)</f>
        <v>4.0999999999999996</v>
      </c>
      <c r="L592" s="172">
        <f t="shared" si="346"/>
        <v>0.51249999999999996</v>
      </c>
      <c r="M592" s="174"/>
      <c r="N592" s="174">
        <f t="shared" si="347"/>
        <v>1</v>
      </c>
      <c r="O592" s="174"/>
      <c r="P592" s="87" t="s">
        <v>337</v>
      </c>
      <c r="R592" s="78"/>
      <c r="S592" s="78"/>
      <c r="T592" s="78"/>
      <c r="U592" s="78"/>
      <c r="V592" s="78"/>
      <c r="W592" s="78"/>
      <c r="X592" s="78"/>
      <c r="Y592" s="78"/>
      <c r="Z592" s="78"/>
      <c r="AA592" s="78"/>
      <c r="AB592" s="78"/>
      <c r="AC592" s="78"/>
      <c r="AD592" s="78"/>
      <c r="AE592" s="78"/>
      <c r="AF592" s="78"/>
      <c r="AG592" s="78"/>
      <c r="AH592" s="78"/>
      <c r="AI592" s="78"/>
      <c r="AJ592" s="78"/>
      <c r="AK592" s="78"/>
      <c r="AL592" s="78"/>
      <c r="AM592" s="78"/>
      <c r="AN592" s="78"/>
      <c r="AO592" s="78"/>
      <c r="AP592" s="78"/>
      <c r="AQ592" s="78"/>
      <c r="AR592" s="78"/>
      <c r="AS592" s="78"/>
      <c r="AT592" s="78"/>
      <c r="AU592" s="78"/>
      <c r="AV592" s="78"/>
      <c r="AW592" s="78"/>
      <c r="AX592" s="78"/>
      <c r="AY592" s="91"/>
      <c r="AZ592" s="78"/>
      <c r="BA592" s="78"/>
      <c r="BB592" s="78"/>
      <c r="BC592" s="78"/>
      <c r="BD592" s="78"/>
      <c r="BE592" s="78"/>
      <c r="BF592" s="78"/>
      <c r="BG592" s="78"/>
      <c r="BH592" s="78"/>
      <c r="BI592" s="78"/>
      <c r="BJ592" s="78"/>
      <c r="BK592" s="78"/>
      <c r="BL592" s="78"/>
      <c r="BM592" s="78"/>
      <c r="BN592" s="78"/>
      <c r="BO592" s="78"/>
      <c r="BP592" s="78"/>
      <c r="BQ592" s="78"/>
      <c r="BR592" s="78"/>
      <c r="BS592" s="78"/>
      <c r="BT592" s="78"/>
      <c r="BU592" s="78"/>
      <c r="BV592" s="78"/>
      <c r="BW592" s="78"/>
      <c r="BX592" s="78"/>
      <c r="BY592" s="78"/>
      <c r="BZ592" s="78"/>
      <c r="CA592" s="78"/>
      <c r="CB592" s="78"/>
      <c r="CC592" s="78"/>
      <c r="CD592" s="78"/>
      <c r="CE592" s="78"/>
      <c r="CF592" s="78"/>
      <c r="CG592" s="78"/>
      <c r="CH592" s="78"/>
      <c r="CI592" s="78"/>
      <c r="CJ592" s="78"/>
      <c r="CK592" s="78"/>
      <c r="CL592" s="78"/>
      <c r="CM592" s="78"/>
      <c r="CN592" s="78"/>
      <c r="CO592" s="78"/>
      <c r="CP592" s="78"/>
      <c r="CQ592" s="78"/>
      <c r="CR592" s="78"/>
      <c r="CS592" s="78"/>
      <c r="CT592" s="78"/>
      <c r="CU592" s="78"/>
      <c r="CV592" s="78"/>
      <c r="CW592" s="78"/>
      <c r="CX592" s="78"/>
      <c r="CY592" s="78"/>
      <c r="CZ592" s="78"/>
      <c r="DA592" s="78"/>
      <c r="DB592" s="78"/>
      <c r="DC592" s="78"/>
      <c r="DD592" s="78"/>
      <c r="DE592" s="78"/>
      <c r="DF592" s="78"/>
      <c r="DG592" s="78"/>
      <c r="DH592" s="78"/>
      <c r="DI592" s="78"/>
      <c r="DJ592" s="78"/>
      <c r="DK592" s="78"/>
      <c r="DL592" s="78"/>
      <c r="DM592" s="78"/>
      <c r="DN592" s="78"/>
      <c r="DO592" s="78"/>
      <c r="DP592" s="78"/>
      <c r="DQ592" s="78"/>
      <c r="DR592" s="78"/>
      <c r="DS592" s="78"/>
      <c r="DT592" s="78"/>
      <c r="DU592" s="78"/>
      <c r="DV592" s="78"/>
      <c r="DW592" s="78"/>
      <c r="DX592" s="78"/>
      <c r="DY592" s="78"/>
      <c r="DZ592" s="78"/>
      <c r="EA592" s="78"/>
      <c r="EB592" s="78"/>
      <c r="EC592" s="78"/>
      <c r="ED592" s="78"/>
      <c r="EE592" s="78"/>
      <c r="EF592" s="78"/>
      <c r="EG592" s="78"/>
      <c r="EH592" s="78"/>
      <c r="EI592" s="78"/>
      <c r="EJ592" s="78"/>
      <c r="EK592" s="78"/>
      <c r="EL592" s="78"/>
      <c r="EM592" s="78"/>
      <c r="EN592" s="91"/>
      <c r="EO592" s="91"/>
      <c r="EP592" s="91"/>
      <c r="EQ592" s="91"/>
      <c r="ER592" s="91"/>
      <c r="ES592" s="91"/>
    </row>
    <row r="593" spans="1:149" outlineLevel="1">
      <c r="A593" s="29" t="str">
        <f t="shared" ref="A593:A718" si="348">E593&amp;F593</f>
        <v>lt003_entitygrp_emssns_scp2</v>
      </c>
      <c r="B593" s="67" t="s">
        <v>26</v>
      </c>
      <c r="C593" s="68" t="s">
        <v>26</v>
      </c>
      <c r="D593" s="64" t="s">
        <v>40</v>
      </c>
      <c r="E593" s="70" t="s">
        <v>335</v>
      </c>
      <c r="F593" s="71" t="s">
        <v>366</v>
      </c>
      <c r="G593" s="64" t="str">
        <f>INDEX(Auxiliar!$B$16:$B$24,MATCH(Plano_V3!H593,Auxiliar!$C$16:$C$24,0),1)</f>
        <v>1. Concluído</v>
      </c>
      <c r="H593" s="64">
        <f>VLOOKUP(A593,'Aux - pivots1'!$A:$B,2,0)</f>
        <v>1</v>
      </c>
      <c r="I593" s="172">
        <f>SUMIFS(Table1[Estimação (horas)],Table1[Tabela],Plano_V3!E593,Table1[Campo],Plano_V3!F593)</f>
        <v>4.0999999999999996</v>
      </c>
      <c r="J593" s="172">
        <f t="shared" si="345"/>
        <v>0.51249999999999996</v>
      </c>
      <c r="K593" s="172">
        <f>SUMIFS(Table1[Horas efetivas],Table1[Tabela],Plano_V3!E593,Table1[Campo],Plano_V3!F593)</f>
        <v>4.0999999999999996</v>
      </c>
      <c r="L593" s="172">
        <f t="shared" si="346"/>
        <v>0.51249999999999996</v>
      </c>
      <c r="M593" s="174"/>
      <c r="N593" s="174">
        <f t="shared" si="347"/>
        <v>1</v>
      </c>
      <c r="O593" s="174"/>
      <c r="P593" s="87" t="s">
        <v>337</v>
      </c>
      <c r="R593" s="78"/>
      <c r="S593" s="78"/>
      <c r="T593" s="78"/>
      <c r="U593" s="78"/>
      <c r="V593" s="78"/>
      <c r="W593" s="78"/>
      <c r="X593" s="78"/>
      <c r="Y593" s="78"/>
      <c r="Z593" s="78"/>
      <c r="AA593" s="78"/>
      <c r="AB593" s="78"/>
      <c r="AC593" s="78"/>
      <c r="AD593" s="78"/>
      <c r="AE593" s="78"/>
      <c r="AF593" s="78"/>
      <c r="AG593" s="78"/>
      <c r="AH593" s="78"/>
      <c r="AI593" s="78"/>
      <c r="AJ593" s="78"/>
      <c r="AK593" s="78"/>
      <c r="AL593" s="78"/>
      <c r="AM593" s="78"/>
      <c r="AN593" s="78"/>
      <c r="AO593" s="78"/>
      <c r="AP593" s="78"/>
      <c r="AQ593" s="78"/>
      <c r="AR593" s="78"/>
      <c r="AS593" s="78"/>
      <c r="AT593" s="78"/>
      <c r="AU593" s="78"/>
      <c r="AV593" s="78"/>
      <c r="AW593" s="78"/>
      <c r="AX593" s="78"/>
      <c r="AY593" s="91"/>
      <c r="AZ593" s="78"/>
      <c r="BA593" s="78"/>
      <c r="BB593" s="78"/>
      <c r="BC593" s="78"/>
      <c r="BD593" s="78"/>
      <c r="BE593" s="78"/>
      <c r="BF593" s="78"/>
      <c r="BG593" s="78"/>
      <c r="BH593" s="78"/>
      <c r="BI593" s="78"/>
      <c r="BJ593" s="78"/>
      <c r="BK593" s="78"/>
      <c r="BL593" s="78"/>
      <c r="BM593" s="78"/>
      <c r="BN593" s="78"/>
      <c r="BO593" s="78"/>
      <c r="BP593" s="78"/>
      <c r="BQ593" s="78"/>
      <c r="BR593" s="78"/>
      <c r="BS593" s="78"/>
      <c r="BT593" s="78"/>
      <c r="BU593" s="78"/>
      <c r="BV593" s="78"/>
      <c r="BW593" s="78"/>
      <c r="BX593" s="78"/>
      <c r="BY593" s="78"/>
      <c r="BZ593" s="78"/>
      <c r="CA593" s="78"/>
      <c r="CB593" s="78"/>
      <c r="CC593" s="78"/>
      <c r="CD593" s="78"/>
      <c r="CE593" s="78"/>
      <c r="CF593" s="78"/>
      <c r="CG593" s="78"/>
      <c r="CH593" s="78"/>
      <c r="CI593" s="78"/>
      <c r="CJ593" s="78"/>
      <c r="CK593" s="78"/>
      <c r="CL593" s="78"/>
      <c r="CM593" s="78"/>
      <c r="CN593" s="78"/>
      <c r="CO593" s="78"/>
      <c r="CP593" s="78"/>
      <c r="CQ593" s="78"/>
      <c r="CR593" s="78"/>
      <c r="CS593" s="78"/>
      <c r="CT593" s="78"/>
      <c r="CU593" s="78"/>
      <c r="CV593" s="78"/>
      <c r="CW593" s="78"/>
      <c r="CX593" s="78"/>
      <c r="CY593" s="78"/>
      <c r="CZ593" s="78"/>
      <c r="DA593" s="78"/>
      <c r="DB593" s="78"/>
      <c r="DC593" s="78"/>
      <c r="DD593" s="78"/>
      <c r="DE593" s="78"/>
      <c r="DF593" s="78"/>
      <c r="DG593" s="78"/>
      <c r="DH593" s="78"/>
      <c r="DI593" s="78"/>
      <c r="DJ593" s="78"/>
      <c r="DK593" s="78"/>
      <c r="DL593" s="78"/>
      <c r="DM593" s="78"/>
      <c r="DN593" s="78"/>
      <c r="DO593" s="78"/>
      <c r="DP593" s="78"/>
      <c r="DQ593" s="78"/>
      <c r="DR593" s="78"/>
      <c r="DS593" s="78"/>
      <c r="DT593" s="78"/>
      <c r="DU593" s="78"/>
      <c r="DV593" s="78"/>
      <c r="DW593" s="78"/>
      <c r="DX593" s="78"/>
      <c r="DY593" s="78"/>
      <c r="DZ593" s="78"/>
      <c r="EA593" s="78"/>
      <c r="EB593" s="78"/>
      <c r="EC593" s="78"/>
      <c r="ED593" s="78"/>
      <c r="EE593" s="78"/>
      <c r="EF593" s="78"/>
      <c r="EG593" s="78"/>
      <c r="EH593" s="78"/>
      <c r="EI593" s="78"/>
      <c r="EJ593" s="78"/>
      <c r="EK593" s="78"/>
      <c r="EL593" s="78"/>
      <c r="EM593" s="78"/>
      <c r="EN593" s="91"/>
      <c r="EO593" s="91"/>
      <c r="EP593" s="91"/>
      <c r="EQ593" s="91"/>
      <c r="ER593" s="91"/>
      <c r="ES593" s="91"/>
    </row>
    <row r="594" spans="1:149" outlineLevel="1">
      <c r="A594" s="29" t="str">
        <f t="shared" si="348"/>
        <v>lt003_entitygrp_emssns_scp3</v>
      </c>
      <c r="B594" s="67" t="s">
        <v>26</v>
      </c>
      <c r="C594" s="68" t="s">
        <v>26</v>
      </c>
      <c r="D594" s="64" t="s">
        <v>40</v>
      </c>
      <c r="E594" s="70" t="s">
        <v>335</v>
      </c>
      <c r="F594" s="71" t="s">
        <v>367</v>
      </c>
      <c r="G594" s="64" t="str">
        <f>INDEX(Auxiliar!$B$16:$B$24,MATCH(Plano_V3!H594,Auxiliar!$C$16:$C$24,0),1)</f>
        <v>1. Concluído</v>
      </c>
      <c r="H594" s="64">
        <f>VLOOKUP(A594,'Aux - pivots1'!$A:$B,2,0)</f>
        <v>1</v>
      </c>
      <c r="I594" s="172">
        <f>SUMIFS(Table1[Estimação (horas)],Table1[Tabela],Plano_V3!E594,Table1[Campo],Plano_V3!F594)</f>
        <v>4.0999999999999996</v>
      </c>
      <c r="J594" s="172">
        <f t="shared" si="345"/>
        <v>0.51249999999999996</v>
      </c>
      <c r="K594" s="172">
        <f>SUMIFS(Table1[Horas efetivas],Table1[Tabela],Plano_V3!E594,Table1[Campo],Plano_V3!F594)</f>
        <v>4.0999999999999996</v>
      </c>
      <c r="L594" s="172">
        <f t="shared" si="346"/>
        <v>0.51249999999999996</v>
      </c>
      <c r="M594" s="174"/>
      <c r="N594" s="174">
        <f t="shared" si="347"/>
        <v>1</v>
      </c>
      <c r="O594" s="174"/>
      <c r="P594" s="87" t="s">
        <v>337</v>
      </c>
      <c r="R594" s="78"/>
      <c r="S594" s="78"/>
      <c r="T594" s="78"/>
      <c r="U594" s="78"/>
      <c r="V594" s="78"/>
      <c r="W594" s="78"/>
      <c r="X594" s="78"/>
      <c r="Y594" s="78"/>
      <c r="Z594" s="78"/>
      <c r="AA594" s="78"/>
      <c r="AB594" s="78"/>
      <c r="AC594" s="78"/>
      <c r="AD594" s="78"/>
      <c r="AE594" s="78"/>
      <c r="AF594" s="78"/>
      <c r="AG594" s="78"/>
      <c r="AH594" s="78"/>
      <c r="AI594" s="78"/>
      <c r="AJ594" s="78"/>
      <c r="AK594" s="78"/>
      <c r="AL594" s="78"/>
      <c r="AM594" s="78"/>
      <c r="AN594" s="78"/>
      <c r="AO594" s="78"/>
      <c r="AP594" s="78"/>
      <c r="AQ594" s="78"/>
      <c r="AR594" s="78"/>
      <c r="AS594" s="78"/>
      <c r="AT594" s="78"/>
      <c r="AU594" s="78"/>
      <c r="AV594" s="78"/>
      <c r="AW594" s="78"/>
      <c r="AX594" s="78"/>
      <c r="AY594" s="91"/>
      <c r="AZ594" s="78"/>
      <c r="BA594" s="78"/>
      <c r="BB594" s="78"/>
      <c r="BC594" s="78"/>
      <c r="BD594" s="78"/>
      <c r="BE594" s="78"/>
      <c r="BF594" s="78"/>
      <c r="BG594" s="78"/>
      <c r="BH594" s="78"/>
      <c r="BI594" s="78"/>
      <c r="BJ594" s="78"/>
      <c r="BK594" s="78"/>
      <c r="BL594" s="78"/>
      <c r="BM594" s="78"/>
      <c r="BN594" s="78"/>
      <c r="BO594" s="78"/>
      <c r="BP594" s="78"/>
      <c r="BQ594" s="78"/>
      <c r="BR594" s="78"/>
      <c r="BS594" s="78"/>
      <c r="BT594" s="78"/>
      <c r="BU594" s="78"/>
      <c r="BV594" s="78"/>
      <c r="BW594" s="78"/>
      <c r="BX594" s="78"/>
      <c r="BY594" s="78"/>
      <c r="BZ594" s="78"/>
      <c r="CA594" s="78"/>
      <c r="CB594" s="78"/>
      <c r="CC594" s="78"/>
      <c r="CD594" s="78"/>
      <c r="CE594" s="78"/>
      <c r="CF594" s="78"/>
      <c r="CG594" s="78"/>
      <c r="CH594" s="78"/>
      <c r="CI594" s="78"/>
      <c r="CJ594" s="78"/>
      <c r="CK594" s="78"/>
      <c r="CL594" s="78"/>
      <c r="CM594" s="78"/>
      <c r="CN594" s="78"/>
      <c r="CO594" s="78"/>
      <c r="CP594" s="78"/>
      <c r="CQ594" s="78"/>
      <c r="CR594" s="78"/>
      <c r="CS594" s="78"/>
      <c r="CT594" s="78"/>
      <c r="CU594" s="78"/>
      <c r="CV594" s="78"/>
      <c r="CW594" s="78"/>
      <c r="CX594" s="78"/>
      <c r="CY594" s="78"/>
      <c r="CZ594" s="78"/>
      <c r="DA594" s="78"/>
      <c r="DB594" s="78"/>
      <c r="DC594" s="78"/>
      <c r="DD594" s="78"/>
      <c r="DE594" s="78"/>
      <c r="DF594" s="78"/>
      <c r="DG594" s="78"/>
      <c r="DH594" s="78"/>
      <c r="DI594" s="78"/>
      <c r="DJ594" s="78"/>
      <c r="DK594" s="78"/>
      <c r="DL594" s="78"/>
      <c r="DM594" s="78"/>
      <c r="DN594" s="78"/>
      <c r="DO594" s="78"/>
      <c r="DP594" s="78"/>
      <c r="DQ594" s="78"/>
      <c r="DR594" s="78"/>
      <c r="DS594" s="78"/>
      <c r="DT594" s="78"/>
      <c r="DU594" s="78"/>
      <c r="DV594" s="78"/>
      <c r="DW594" s="78"/>
      <c r="DX594" s="78"/>
      <c r="DY594" s="78"/>
      <c r="DZ594" s="78"/>
      <c r="EA594" s="78"/>
      <c r="EB594" s="78"/>
      <c r="EC594" s="78"/>
      <c r="ED594" s="78"/>
      <c r="EE594" s="78"/>
      <c r="EF594" s="78"/>
      <c r="EG594" s="78"/>
      <c r="EH594" s="78"/>
      <c r="EI594" s="78"/>
      <c r="EJ594" s="78"/>
      <c r="EK594" s="78"/>
      <c r="EL594" s="78"/>
      <c r="EM594" s="78"/>
      <c r="EN594" s="91"/>
      <c r="EO594" s="91"/>
      <c r="EP594" s="91"/>
      <c r="EQ594" s="91"/>
      <c r="ER594" s="91"/>
      <c r="ES594" s="91"/>
    </row>
    <row r="595" spans="1:149" outlineLevel="1">
      <c r="A595" s="29" t="str">
        <f t="shared" si="348"/>
        <v>lt003_entityentty_nm</v>
      </c>
      <c r="B595" s="67" t="s">
        <v>26</v>
      </c>
      <c r="C595" s="68" t="s">
        <v>26</v>
      </c>
      <c r="D595" s="64" t="s">
        <v>40</v>
      </c>
      <c r="E595" s="70" t="s">
        <v>335</v>
      </c>
      <c r="F595" s="353" t="s">
        <v>2191</v>
      </c>
      <c r="G595" s="64" t="str">
        <f>INDEX(Auxiliar!$B$16:$B$24,MATCH(Plano_V3!H595,Auxiliar!$C$16:$C$24,0),1)</f>
        <v>1. Concluído</v>
      </c>
      <c r="H595" s="64">
        <f>VLOOKUP(A595,'Aux - pivots1'!$A:$B,2,0)</f>
        <v>1</v>
      </c>
      <c r="I595" s="172">
        <f>SUMIFS(Table1[Estimação (horas)],Table1[Tabela],Plano_V3!E595,Table1[Campo],Plano_V3!F595)</f>
        <v>1</v>
      </c>
      <c r="J595" s="172">
        <f t="shared" ref="J595:J618" si="349">I595/8</f>
        <v>0.125</v>
      </c>
      <c r="K595" s="172">
        <f>SUMIFS(Table1[Horas efetivas],Table1[Tabela],Plano_V3!E595,Table1[Campo],Plano_V3!F595)</f>
        <v>1</v>
      </c>
      <c r="L595" s="172">
        <f t="shared" ref="L595:L618" si="350">K595/8</f>
        <v>0.125</v>
      </c>
      <c r="M595" s="174"/>
      <c r="N595" s="174">
        <f t="shared" ref="N595:N618" si="351">L595/J595</f>
        <v>1</v>
      </c>
      <c r="O595" s="174"/>
      <c r="P595" s="87"/>
      <c r="R595" s="78"/>
      <c r="S595" s="78"/>
      <c r="T595" s="78"/>
      <c r="U595" s="78"/>
      <c r="V595" s="78"/>
      <c r="W595" s="78"/>
      <c r="X595" s="78"/>
      <c r="Y595" s="78"/>
      <c r="Z595" s="78"/>
      <c r="AA595" s="78"/>
      <c r="AB595" s="78"/>
      <c r="AC595" s="78"/>
      <c r="AD595" s="78"/>
      <c r="AE595" s="78"/>
      <c r="AF595" s="78"/>
      <c r="AG595" s="78"/>
      <c r="AH595" s="78"/>
      <c r="AI595" s="78"/>
      <c r="AJ595" s="78"/>
      <c r="AK595" s="78"/>
      <c r="AL595" s="78"/>
      <c r="AM595" s="78"/>
      <c r="AN595" s="78"/>
      <c r="AO595" s="78"/>
      <c r="AP595" s="78"/>
      <c r="AQ595" s="78"/>
      <c r="AR595" s="78"/>
      <c r="AS595" s="78"/>
      <c r="AT595" s="78"/>
      <c r="AU595" s="78"/>
      <c r="AV595" s="78"/>
      <c r="AW595" s="78"/>
      <c r="AX595" s="78"/>
      <c r="AY595" s="91"/>
      <c r="AZ595" s="78"/>
      <c r="BA595" s="78"/>
      <c r="BB595" s="78"/>
      <c r="BC595" s="78"/>
      <c r="BD595" s="78"/>
      <c r="BE595" s="78"/>
      <c r="BF595" s="78"/>
      <c r="BG595" s="78"/>
      <c r="BH595" s="78"/>
      <c r="BI595" s="78"/>
      <c r="BJ595" s="78"/>
      <c r="BK595" s="78"/>
      <c r="BL595" s="78"/>
      <c r="BM595" s="78"/>
      <c r="BN595" s="78"/>
      <c r="BO595" s="78"/>
      <c r="BP595" s="78"/>
      <c r="BQ595" s="78"/>
      <c r="BR595" s="78"/>
      <c r="BS595" s="78"/>
      <c r="BT595" s="78"/>
      <c r="BU595" s="78"/>
      <c r="BV595" s="78"/>
      <c r="BW595" s="78"/>
      <c r="BX595" s="78"/>
      <c r="BY595" s="78"/>
      <c r="BZ595" s="78"/>
      <c r="CA595" s="78"/>
      <c r="CB595" s="78"/>
      <c r="CC595" s="78"/>
      <c r="CD595" s="78"/>
      <c r="CE595" s="78"/>
      <c r="CF595" s="78"/>
      <c r="CG595" s="78"/>
      <c r="CH595" s="78"/>
      <c r="CI595" s="78"/>
      <c r="CJ595" s="78"/>
      <c r="CK595" s="78"/>
      <c r="CL595" s="78"/>
      <c r="CM595" s="78"/>
      <c r="CN595" s="78"/>
      <c r="CO595" s="78"/>
      <c r="CP595" s="78"/>
      <c r="CQ595" s="78"/>
      <c r="CR595" s="78"/>
      <c r="CS595" s="78"/>
      <c r="CT595" s="78"/>
      <c r="CU595" s="78"/>
      <c r="CV595" s="78"/>
      <c r="CW595" s="78"/>
      <c r="CX595" s="78"/>
      <c r="CY595" s="78"/>
      <c r="CZ595" s="78"/>
      <c r="DA595" s="78"/>
      <c r="DB595" s="78"/>
      <c r="DC595" s="78"/>
      <c r="DD595" s="78"/>
      <c r="DE595" s="78"/>
      <c r="DF595" s="78"/>
      <c r="DG595" s="78"/>
      <c r="DH595" s="78"/>
      <c r="DI595" s="78"/>
      <c r="DJ595" s="78"/>
      <c r="DK595" s="78"/>
      <c r="DL595" s="78"/>
      <c r="DM595" s="78"/>
      <c r="DN595" s="78"/>
      <c r="DO595" s="78"/>
      <c r="DP595" s="78"/>
      <c r="DQ595" s="78"/>
      <c r="DR595" s="78"/>
      <c r="DS595" s="78"/>
      <c r="DT595" s="78"/>
      <c r="DU595" s="78"/>
      <c r="DV595" s="78"/>
      <c r="DW595" s="78"/>
      <c r="DX595" s="78"/>
      <c r="DY595" s="78"/>
      <c r="DZ595" s="78"/>
      <c r="EA595" s="78"/>
      <c r="EB595" s="78"/>
      <c r="EC595" s="78"/>
      <c r="ED595" s="78"/>
      <c r="EE595" s="78"/>
      <c r="EF595" s="78"/>
      <c r="EG595" s="78"/>
      <c r="EH595" s="78"/>
      <c r="EI595" s="78"/>
      <c r="EJ595" s="78"/>
      <c r="EK595" s="78"/>
      <c r="EL595" s="78"/>
      <c r="EM595" s="78"/>
      <c r="EN595" s="91"/>
      <c r="EO595" s="91"/>
      <c r="EP595" s="91"/>
      <c r="EQ595" s="91"/>
      <c r="ER595" s="91"/>
      <c r="ES595" s="91"/>
    </row>
    <row r="596" spans="1:149" outlineLevel="1">
      <c r="A596" s="29" t="str">
        <f t="shared" si="348"/>
        <v>lt003_entityec_grp_id</v>
      </c>
      <c r="B596" s="67" t="s">
        <v>26</v>
      </c>
      <c r="C596" s="68" t="s">
        <v>26</v>
      </c>
      <c r="D596" s="64" t="s">
        <v>40</v>
      </c>
      <c r="E596" s="70" t="s">
        <v>335</v>
      </c>
      <c r="F596" s="353" t="s">
        <v>2192</v>
      </c>
      <c r="G596" s="64" t="str">
        <f>INDEX(Auxiliar!$B$16:$B$24,MATCH(Plano_V3!H596,Auxiliar!$C$16:$C$24,0),1)</f>
        <v>1. Concluído</v>
      </c>
      <c r="H596" s="64">
        <f>VLOOKUP(A596,'Aux - pivots1'!$A:$B,2,0)</f>
        <v>1</v>
      </c>
      <c r="I596" s="172">
        <f>SUMIFS(Table1[Estimação (horas)],Table1[Tabela],Plano_V3!E596,Table1[Campo],Plano_V3!F596)</f>
        <v>1</v>
      </c>
      <c r="J596" s="172">
        <f t="shared" si="349"/>
        <v>0.125</v>
      </c>
      <c r="K596" s="172">
        <f>SUMIFS(Table1[Horas efetivas],Table1[Tabela],Plano_V3!E596,Table1[Campo],Plano_V3!F596)</f>
        <v>1</v>
      </c>
      <c r="L596" s="172">
        <f t="shared" si="350"/>
        <v>0.125</v>
      </c>
      <c r="M596" s="174"/>
      <c r="N596" s="174">
        <f t="shared" si="351"/>
        <v>1</v>
      </c>
      <c r="O596" s="174"/>
      <c r="P596" s="87"/>
      <c r="R596" s="78"/>
      <c r="S596" s="78"/>
      <c r="T596" s="78"/>
      <c r="U596" s="78"/>
      <c r="V596" s="78"/>
      <c r="W596" s="78"/>
      <c r="X596" s="78"/>
      <c r="Y596" s="78"/>
      <c r="Z596" s="78"/>
      <c r="AA596" s="78"/>
      <c r="AB596" s="78"/>
      <c r="AC596" s="78"/>
      <c r="AD596" s="78"/>
      <c r="AE596" s="78"/>
      <c r="AF596" s="78"/>
      <c r="AG596" s="78"/>
      <c r="AH596" s="78"/>
      <c r="AI596" s="78"/>
      <c r="AJ596" s="78"/>
      <c r="AK596" s="78"/>
      <c r="AL596" s="78"/>
      <c r="AM596" s="78"/>
      <c r="AN596" s="78"/>
      <c r="AO596" s="78"/>
      <c r="AP596" s="78"/>
      <c r="AQ596" s="78"/>
      <c r="AR596" s="78"/>
      <c r="AS596" s="78"/>
      <c r="AT596" s="78"/>
      <c r="AU596" s="78"/>
      <c r="AV596" s="78"/>
      <c r="AW596" s="78"/>
      <c r="AX596" s="78"/>
      <c r="AY596" s="91"/>
      <c r="AZ596" s="78"/>
      <c r="BA596" s="78"/>
      <c r="BB596" s="78"/>
      <c r="BC596" s="78"/>
      <c r="BD596" s="78"/>
      <c r="BE596" s="78"/>
      <c r="BF596" s="78"/>
      <c r="BG596" s="78"/>
      <c r="BH596" s="78"/>
      <c r="BI596" s="78"/>
      <c r="BJ596" s="78"/>
      <c r="BK596" s="78"/>
      <c r="BL596" s="78"/>
      <c r="BM596" s="78"/>
      <c r="BN596" s="78"/>
      <c r="BO596" s="78"/>
      <c r="BP596" s="78"/>
      <c r="BQ596" s="78"/>
      <c r="BR596" s="78"/>
      <c r="BS596" s="78"/>
      <c r="BT596" s="78"/>
      <c r="BU596" s="78"/>
      <c r="BV596" s="78"/>
      <c r="BW596" s="78"/>
      <c r="BX596" s="78"/>
      <c r="BY596" s="78"/>
      <c r="BZ596" s="78"/>
      <c r="CA596" s="78"/>
      <c r="CB596" s="78"/>
      <c r="CC596" s="78"/>
      <c r="CD596" s="78"/>
      <c r="CE596" s="78"/>
      <c r="CF596" s="78"/>
      <c r="CG596" s="78"/>
      <c r="CH596" s="78"/>
      <c r="CI596" s="78"/>
      <c r="CJ596" s="78"/>
      <c r="CK596" s="78"/>
      <c r="CL596" s="78"/>
      <c r="CM596" s="78"/>
      <c r="CN596" s="78"/>
      <c r="CO596" s="78"/>
      <c r="CP596" s="78"/>
      <c r="CQ596" s="78"/>
      <c r="CR596" s="78"/>
      <c r="CS596" s="78"/>
      <c r="CT596" s="78"/>
      <c r="CU596" s="78"/>
      <c r="CV596" s="78"/>
      <c r="CW596" s="78"/>
      <c r="CX596" s="78"/>
      <c r="CY596" s="78"/>
      <c r="CZ596" s="78"/>
      <c r="DA596" s="78"/>
      <c r="DB596" s="78"/>
      <c r="DC596" s="78"/>
      <c r="DD596" s="78"/>
      <c r="DE596" s="78"/>
      <c r="DF596" s="78"/>
      <c r="DG596" s="78"/>
      <c r="DH596" s="78"/>
      <c r="DI596" s="78"/>
      <c r="DJ596" s="78"/>
      <c r="DK596" s="78"/>
      <c r="DL596" s="78"/>
      <c r="DM596" s="78"/>
      <c r="DN596" s="78"/>
      <c r="DO596" s="78"/>
      <c r="DP596" s="78"/>
      <c r="DQ596" s="78"/>
      <c r="DR596" s="78"/>
      <c r="DS596" s="78"/>
      <c r="DT596" s="78"/>
      <c r="DU596" s="78"/>
      <c r="DV596" s="78"/>
      <c r="DW596" s="78"/>
      <c r="DX596" s="78"/>
      <c r="DY596" s="78"/>
      <c r="DZ596" s="78"/>
      <c r="EA596" s="78"/>
      <c r="EB596" s="78"/>
      <c r="EC596" s="78"/>
      <c r="ED596" s="78"/>
      <c r="EE596" s="78"/>
      <c r="EF596" s="78"/>
      <c r="EG596" s="78"/>
      <c r="EH596" s="78"/>
      <c r="EI596" s="78"/>
      <c r="EJ596" s="78"/>
      <c r="EK596" s="78"/>
      <c r="EL596" s="78"/>
      <c r="EM596" s="78"/>
      <c r="EN596" s="91"/>
      <c r="EO596" s="91"/>
      <c r="EP596" s="91"/>
      <c r="EQ596" s="91"/>
      <c r="ER596" s="91"/>
      <c r="ES596" s="91"/>
    </row>
    <row r="597" spans="1:149" outlineLevel="1">
      <c r="A597" s="29" t="str">
        <f t="shared" si="348"/>
        <v>lt003_entityec_grp_nm</v>
      </c>
      <c r="B597" s="67" t="s">
        <v>26</v>
      </c>
      <c r="C597" s="68" t="s">
        <v>26</v>
      </c>
      <c r="D597" s="64" t="s">
        <v>40</v>
      </c>
      <c r="E597" s="70" t="s">
        <v>335</v>
      </c>
      <c r="F597" s="353" t="s">
        <v>2193</v>
      </c>
      <c r="G597" s="64" t="str">
        <f>INDEX(Auxiliar!$B$16:$B$24,MATCH(Plano_V3!H597,Auxiliar!$C$16:$C$24,0),1)</f>
        <v>1. Concluído</v>
      </c>
      <c r="H597" s="64">
        <f>VLOOKUP(A597,'Aux - pivots1'!$A:$B,2,0)</f>
        <v>1</v>
      </c>
      <c r="I597" s="172">
        <f>SUMIFS(Table1[Estimação (horas)],Table1[Tabela],Plano_V3!E597,Table1[Campo],Plano_V3!F597)</f>
        <v>1</v>
      </c>
      <c r="J597" s="172">
        <f t="shared" si="349"/>
        <v>0.125</v>
      </c>
      <c r="K597" s="172">
        <f>SUMIFS(Table1[Horas efetivas],Table1[Tabela],Plano_V3!E597,Table1[Campo],Plano_V3!F597)</f>
        <v>1</v>
      </c>
      <c r="L597" s="172">
        <f t="shared" si="350"/>
        <v>0.125</v>
      </c>
      <c r="M597" s="174"/>
      <c r="N597" s="174">
        <f t="shared" si="351"/>
        <v>1</v>
      </c>
      <c r="O597" s="174"/>
      <c r="P597" s="87"/>
      <c r="R597" s="78"/>
      <c r="S597" s="78"/>
      <c r="T597" s="78"/>
      <c r="U597" s="78"/>
      <c r="V597" s="78"/>
      <c r="W597" s="78"/>
      <c r="X597" s="78"/>
      <c r="Y597" s="78"/>
      <c r="Z597" s="78"/>
      <c r="AA597" s="78"/>
      <c r="AB597" s="78"/>
      <c r="AC597" s="78"/>
      <c r="AD597" s="78"/>
      <c r="AE597" s="78"/>
      <c r="AF597" s="78"/>
      <c r="AG597" s="78"/>
      <c r="AH597" s="78"/>
      <c r="AI597" s="78"/>
      <c r="AJ597" s="78"/>
      <c r="AK597" s="78"/>
      <c r="AL597" s="78"/>
      <c r="AM597" s="78"/>
      <c r="AN597" s="78"/>
      <c r="AO597" s="78"/>
      <c r="AP597" s="78"/>
      <c r="AQ597" s="78"/>
      <c r="AR597" s="78"/>
      <c r="AS597" s="78"/>
      <c r="AT597" s="78"/>
      <c r="AU597" s="78"/>
      <c r="AV597" s="78"/>
      <c r="AW597" s="78"/>
      <c r="AX597" s="78"/>
      <c r="AY597" s="91"/>
      <c r="AZ597" s="78"/>
      <c r="BA597" s="78"/>
      <c r="BB597" s="78"/>
      <c r="BC597" s="78"/>
      <c r="BD597" s="78"/>
      <c r="BE597" s="78"/>
      <c r="BF597" s="78"/>
      <c r="BG597" s="78"/>
      <c r="BH597" s="78"/>
      <c r="BI597" s="78"/>
      <c r="BJ597" s="78"/>
      <c r="BK597" s="78"/>
      <c r="BL597" s="78"/>
      <c r="BM597" s="78"/>
      <c r="BN597" s="78"/>
      <c r="BO597" s="78"/>
      <c r="BP597" s="78"/>
      <c r="BQ597" s="78"/>
      <c r="BR597" s="78"/>
      <c r="BS597" s="78"/>
      <c r="BT597" s="78"/>
      <c r="BU597" s="78"/>
      <c r="BV597" s="78"/>
      <c r="BW597" s="78"/>
      <c r="BX597" s="78"/>
      <c r="BY597" s="78"/>
      <c r="BZ597" s="78"/>
      <c r="CA597" s="78"/>
      <c r="CB597" s="78"/>
      <c r="CC597" s="78"/>
      <c r="CD597" s="78"/>
      <c r="CE597" s="78"/>
      <c r="CF597" s="78"/>
      <c r="CG597" s="78"/>
      <c r="CH597" s="78"/>
      <c r="CI597" s="78"/>
      <c r="CJ597" s="78"/>
      <c r="CK597" s="78"/>
      <c r="CL597" s="78"/>
      <c r="CM597" s="78"/>
      <c r="CN597" s="78"/>
      <c r="CO597" s="78"/>
      <c r="CP597" s="78"/>
      <c r="CQ597" s="78"/>
      <c r="CR597" s="78"/>
      <c r="CS597" s="78"/>
      <c r="CT597" s="78"/>
      <c r="CU597" s="78"/>
      <c r="CV597" s="78"/>
      <c r="CW597" s="78"/>
      <c r="CX597" s="78"/>
      <c r="CY597" s="78"/>
      <c r="CZ597" s="78"/>
      <c r="DA597" s="78"/>
      <c r="DB597" s="78"/>
      <c r="DC597" s="78"/>
      <c r="DD597" s="78"/>
      <c r="DE597" s="78"/>
      <c r="DF597" s="78"/>
      <c r="DG597" s="78"/>
      <c r="DH597" s="78"/>
      <c r="DI597" s="78"/>
      <c r="DJ597" s="78"/>
      <c r="DK597" s="78"/>
      <c r="DL597" s="78"/>
      <c r="DM597" s="78"/>
      <c r="DN597" s="78"/>
      <c r="DO597" s="78"/>
      <c r="DP597" s="78"/>
      <c r="DQ597" s="78"/>
      <c r="DR597" s="78"/>
      <c r="DS597" s="78"/>
      <c r="DT597" s="78"/>
      <c r="DU597" s="78"/>
      <c r="DV597" s="78"/>
      <c r="DW597" s="78"/>
      <c r="DX597" s="78"/>
      <c r="DY597" s="78"/>
      <c r="DZ597" s="78"/>
      <c r="EA597" s="78"/>
      <c r="EB597" s="78"/>
      <c r="EC597" s="78"/>
      <c r="ED597" s="78"/>
      <c r="EE597" s="78"/>
      <c r="EF597" s="78"/>
      <c r="EG597" s="78"/>
      <c r="EH597" s="78"/>
      <c r="EI597" s="78"/>
      <c r="EJ597" s="78"/>
      <c r="EK597" s="78"/>
      <c r="EL597" s="78"/>
      <c r="EM597" s="78"/>
      <c r="EN597" s="91"/>
      <c r="EO597" s="91"/>
      <c r="EP597" s="91"/>
      <c r="EQ597" s="91"/>
      <c r="ER597" s="91"/>
      <c r="ES597" s="91"/>
    </row>
    <row r="598" spans="1:149" outlineLevel="1">
      <c r="A598" s="29" t="str">
        <f t="shared" si="348"/>
        <v>lt003_entitygrp_ecnmc_actvty</v>
      </c>
      <c r="B598" s="67" t="s">
        <v>26</v>
      </c>
      <c r="C598" s="68" t="s">
        <v>26</v>
      </c>
      <c r="D598" s="64" t="s">
        <v>40</v>
      </c>
      <c r="E598" s="70" t="s">
        <v>335</v>
      </c>
      <c r="F598" s="353" t="s">
        <v>2194</v>
      </c>
      <c r="G598" s="64" t="str">
        <f>INDEX(Auxiliar!$B$16:$B$24,MATCH(Plano_V3!H598,Auxiliar!$C$16:$C$24,0),1)</f>
        <v>1. Concluído</v>
      </c>
      <c r="H598" s="64">
        <f>VLOOKUP(A598,'Aux - pivots1'!$A:$B,2,0)</f>
        <v>1</v>
      </c>
      <c r="I598" s="172">
        <f>SUMIFS(Table1[Estimação (horas)],Table1[Tabela],Plano_V3!E598,Table1[Campo],Plano_V3!F598)</f>
        <v>1</v>
      </c>
      <c r="J598" s="172">
        <f t="shared" si="349"/>
        <v>0.125</v>
      </c>
      <c r="K598" s="172">
        <f>SUMIFS(Table1[Horas efetivas],Table1[Tabela],Plano_V3!E598,Table1[Campo],Plano_V3!F598)</f>
        <v>1</v>
      </c>
      <c r="L598" s="172">
        <f t="shared" si="350"/>
        <v>0.125</v>
      </c>
      <c r="M598" s="174"/>
      <c r="N598" s="174">
        <f t="shared" si="351"/>
        <v>1</v>
      </c>
      <c r="O598" s="174"/>
      <c r="P598" s="87"/>
      <c r="R598" s="78"/>
      <c r="S598" s="78"/>
      <c r="T598" s="78"/>
      <c r="U598" s="78"/>
      <c r="V598" s="78"/>
      <c r="W598" s="78"/>
      <c r="X598" s="78"/>
      <c r="Y598" s="78"/>
      <c r="Z598" s="78"/>
      <c r="AA598" s="78"/>
      <c r="AB598" s="78"/>
      <c r="AC598" s="78"/>
      <c r="AD598" s="78"/>
      <c r="AE598" s="78"/>
      <c r="AF598" s="78"/>
      <c r="AG598" s="78"/>
      <c r="AH598" s="78"/>
      <c r="AI598" s="78"/>
      <c r="AJ598" s="78"/>
      <c r="AK598" s="78"/>
      <c r="AL598" s="78"/>
      <c r="AM598" s="78"/>
      <c r="AN598" s="78"/>
      <c r="AO598" s="78"/>
      <c r="AP598" s="78"/>
      <c r="AQ598" s="78"/>
      <c r="AR598" s="78"/>
      <c r="AS598" s="78"/>
      <c r="AT598" s="78"/>
      <c r="AU598" s="78"/>
      <c r="AV598" s="78"/>
      <c r="AW598" s="78"/>
      <c r="AX598" s="78"/>
      <c r="AY598" s="91"/>
      <c r="AZ598" s="78"/>
      <c r="BA598" s="78"/>
      <c r="BB598" s="78"/>
      <c r="BC598" s="78"/>
      <c r="BD598" s="78"/>
      <c r="BE598" s="78"/>
      <c r="BF598" s="78"/>
      <c r="BG598" s="78"/>
      <c r="BH598" s="78"/>
      <c r="BI598" s="78"/>
      <c r="BJ598" s="78"/>
      <c r="BK598" s="78"/>
      <c r="BL598" s="78"/>
      <c r="BM598" s="78"/>
      <c r="BN598" s="78"/>
      <c r="BO598" s="78"/>
      <c r="BP598" s="78"/>
      <c r="BQ598" s="78"/>
      <c r="BR598" s="78"/>
      <c r="BS598" s="78"/>
      <c r="BT598" s="78"/>
      <c r="BU598" s="78"/>
      <c r="BV598" s="78"/>
      <c r="BW598" s="78"/>
      <c r="BX598" s="78"/>
      <c r="BY598" s="78"/>
      <c r="BZ598" s="78"/>
      <c r="CA598" s="78"/>
      <c r="CB598" s="78"/>
      <c r="CC598" s="78"/>
      <c r="CD598" s="78"/>
      <c r="CE598" s="78"/>
      <c r="CF598" s="78"/>
      <c r="CG598" s="78"/>
      <c r="CH598" s="78"/>
      <c r="CI598" s="78"/>
      <c r="CJ598" s="78"/>
      <c r="CK598" s="78"/>
      <c r="CL598" s="78"/>
      <c r="CM598" s="78"/>
      <c r="CN598" s="78"/>
      <c r="CO598" s="78"/>
      <c r="CP598" s="78"/>
      <c r="CQ598" s="78"/>
      <c r="CR598" s="78"/>
      <c r="CS598" s="78"/>
      <c r="CT598" s="78"/>
      <c r="CU598" s="78"/>
      <c r="CV598" s="78"/>
      <c r="CW598" s="78"/>
      <c r="CX598" s="78"/>
      <c r="CY598" s="78"/>
      <c r="CZ598" s="78"/>
      <c r="DA598" s="78"/>
      <c r="DB598" s="78"/>
      <c r="DC598" s="78"/>
      <c r="DD598" s="78"/>
      <c r="DE598" s="78"/>
      <c r="DF598" s="78"/>
      <c r="DG598" s="78"/>
      <c r="DH598" s="78"/>
      <c r="DI598" s="78"/>
      <c r="DJ598" s="78"/>
      <c r="DK598" s="78"/>
      <c r="DL598" s="78"/>
      <c r="DM598" s="78"/>
      <c r="DN598" s="78"/>
      <c r="DO598" s="78"/>
      <c r="DP598" s="78"/>
      <c r="DQ598" s="78"/>
      <c r="DR598" s="78"/>
      <c r="DS598" s="78"/>
      <c r="DT598" s="78"/>
      <c r="DU598" s="78"/>
      <c r="DV598" s="78"/>
      <c r="DW598" s="78"/>
      <c r="DX598" s="78"/>
      <c r="DY598" s="78"/>
      <c r="DZ598" s="78"/>
      <c r="EA598" s="78"/>
      <c r="EB598" s="78"/>
      <c r="EC598" s="78"/>
      <c r="ED598" s="78"/>
      <c r="EE598" s="78"/>
      <c r="EF598" s="78"/>
      <c r="EG598" s="78"/>
      <c r="EH598" s="78"/>
      <c r="EI598" s="78"/>
      <c r="EJ598" s="78"/>
      <c r="EK598" s="78"/>
      <c r="EL598" s="78"/>
      <c r="EM598" s="78"/>
      <c r="EN598" s="91"/>
      <c r="EO598" s="91"/>
      <c r="EP598" s="91"/>
      <c r="EQ598" s="91"/>
      <c r="ER598" s="91"/>
      <c r="ES598" s="91"/>
    </row>
    <row r="599" spans="1:149" outlineLevel="1">
      <c r="A599" s="29" t="str">
        <f t="shared" si="348"/>
        <v>lt003_entitytxnmy_elgbl_capex_w</v>
      </c>
      <c r="B599" s="67" t="s">
        <v>26</v>
      </c>
      <c r="C599" s="68" t="s">
        <v>26</v>
      </c>
      <c r="D599" s="64" t="s">
        <v>40</v>
      </c>
      <c r="E599" s="70" t="s">
        <v>335</v>
      </c>
      <c r="F599" s="353" t="s">
        <v>2195</v>
      </c>
      <c r="G599" s="64" t="str">
        <f>INDEX(Auxiliar!$B$16:$B$24,MATCH(Plano_V3!H599,Auxiliar!$C$16:$C$24,0),1)</f>
        <v>1. Concluído</v>
      </c>
      <c r="H599" s="64">
        <f>VLOOKUP(A599,'Aux - pivots1'!$A:$B,2,0)</f>
        <v>1</v>
      </c>
      <c r="I599" s="172">
        <f>SUMIFS(Table1[Estimação (horas)],Table1[Tabela],Plano_V3!E599,Table1[Campo],Plano_V3!F599)</f>
        <v>1</v>
      </c>
      <c r="J599" s="172">
        <f t="shared" si="349"/>
        <v>0.125</v>
      </c>
      <c r="K599" s="172">
        <f>SUMIFS(Table1[Horas efetivas],Table1[Tabela],Plano_V3!E599,Table1[Campo],Plano_V3!F599)</f>
        <v>1</v>
      </c>
      <c r="L599" s="172">
        <f t="shared" si="350"/>
        <v>0.125</v>
      </c>
      <c r="M599" s="174"/>
      <c r="N599" s="174">
        <f t="shared" si="351"/>
        <v>1</v>
      </c>
      <c r="O599" s="174"/>
      <c r="P599" s="87"/>
      <c r="R599" s="78"/>
      <c r="S599" s="78"/>
      <c r="T599" s="78"/>
      <c r="U599" s="78"/>
      <c r="V599" s="78"/>
      <c r="W599" s="78"/>
      <c r="X599" s="78"/>
      <c r="Y599" s="78"/>
      <c r="Z599" s="78"/>
      <c r="AA599" s="78"/>
      <c r="AB599" s="78"/>
      <c r="AC599" s="78"/>
      <c r="AD599" s="78"/>
      <c r="AE599" s="78"/>
      <c r="AF599" s="78"/>
      <c r="AG599" s="78"/>
      <c r="AH599" s="78"/>
      <c r="AI599" s="78"/>
      <c r="AJ599" s="78"/>
      <c r="AK599" s="78"/>
      <c r="AL599" s="78"/>
      <c r="AM599" s="78"/>
      <c r="AN599" s="78"/>
      <c r="AO599" s="78"/>
      <c r="AP599" s="78"/>
      <c r="AQ599" s="78"/>
      <c r="AR599" s="78"/>
      <c r="AS599" s="78"/>
      <c r="AT599" s="78"/>
      <c r="AU599" s="78"/>
      <c r="AV599" s="78"/>
      <c r="AW599" s="78"/>
      <c r="AX599" s="78"/>
      <c r="AY599" s="91"/>
      <c r="AZ599" s="78"/>
      <c r="BA599" s="78"/>
      <c r="BB599" s="78"/>
      <c r="BC599" s="78"/>
      <c r="BD599" s="78"/>
      <c r="BE599" s="78"/>
      <c r="BF599" s="78"/>
      <c r="BG599" s="78"/>
      <c r="BH599" s="78"/>
      <c r="BI599" s="78"/>
      <c r="BJ599" s="78"/>
      <c r="BK599" s="78"/>
      <c r="BL599" s="78"/>
      <c r="BM599" s="78"/>
      <c r="BN599" s="78"/>
      <c r="BO599" s="78"/>
      <c r="BP599" s="78"/>
      <c r="BQ599" s="78"/>
      <c r="BR599" s="78"/>
      <c r="BS599" s="78"/>
      <c r="BT599" s="78"/>
      <c r="BU599" s="78"/>
      <c r="BV599" s="78"/>
      <c r="BW599" s="78"/>
      <c r="BX599" s="78"/>
      <c r="BY599" s="78"/>
      <c r="BZ599" s="78"/>
      <c r="CA599" s="78"/>
      <c r="CB599" s="78"/>
      <c r="CC599" s="78"/>
      <c r="CD599" s="78"/>
      <c r="CE599" s="78"/>
      <c r="CF599" s="78"/>
      <c r="CG599" s="78"/>
      <c r="CH599" s="78"/>
      <c r="CI599" s="78"/>
      <c r="CJ599" s="78"/>
      <c r="CK599" s="78"/>
      <c r="CL599" s="78"/>
      <c r="CM599" s="78"/>
      <c r="CN599" s="78"/>
      <c r="CO599" s="78"/>
      <c r="CP599" s="78"/>
      <c r="CQ599" s="78"/>
      <c r="CR599" s="78"/>
      <c r="CS599" s="78"/>
      <c r="CT599" s="78"/>
      <c r="CU599" s="78"/>
      <c r="CV599" s="78"/>
      <c r="CW599" s="78"/>
      <c r="CX599" s="78"/>
      <c r="CY599" s="78"/>
      <c r="CZ599" s="78"/>
      <c r="DA599" s="78"/>
      <c r="DB599" s="78"/>
      <c r="DC599" s="78"/>
      <c r="DD599" s="78"/>
      <c r="DE599" s="78"/>
      <c r="DF599" s="78"/>
      <c r="DG599" s="78"/>
      <c r="DH599" s="78"/>
      <c r="DI599" s="78"/>
      <c r="DJ599" s="78"/>
      <c r="DK599" s="78"/>
      <c r="DL599" s="78"/>
      <c r="DM599" s="78"/>
      <c r="DN599" s="78"/>
      <c r="DO599" s="78"/>
      <c r="DP599" s="78"/>
      <c r="DQ599" s="78"/>
      <c r="DR599" s="78"/>
      <c r="DS599" s="78"/>
      <c r="DT599" s="78"/>
      <c r="DU599" s="78"/>
      <c r="DV599" s="78"/>
      <c r="DW599" s="78"/>
      <c r="DX599" s="78"/>
      <c r="DY599" s="78"/>
      <c r="DZ599" s="78"/>
      <c r="EA599" s="78"/>
      <c r="EB599" s="78"/>
      <c r="EC599" s="78"/>
      <c r="ED599" s="78"/>
      <c r="EE599" s="78"/>
      <c r="EF599" s="78"/>
      <c r="EG599" s="78"/>
      <c r="EH599" s="78"/>
      <c r="EI599" s="78"/>
      <c r="EJ599" s="78"/>
      <c r="EK599" s="78"/>
      <c r="EL599" s="78"/>
      <c r="EM599" s="78"/>
      <c r="EN599" s="91"/>
      <c r="EO599" s="91"/>
      <c r="EP599" s="91"/>
      <c r="EQ599" s="91"/>
      <c r="ER599" s="91"/>
      <c r="ES599" s="91"/>
    </row>
    <row r="600" spans="1:149" outlineLevel="1">
      <c r="A600" s="29" t="str">
        <f t="shared" si="348"/>
        <v>lt003_entitytxnmy_elgbl_trnvr_w</v>
      </c>
      <c r="B600" s="67" t="s">
        <v>26</v>
      </c>
      <c r="C600" s="68" t="s">
        <v>26</v>
      </c>
      <c r="D600" s="64" t="s">
        <v>40</v>
      </c>
      <c r="E600" s="70" t="s">
        <v>335</v>
      </c>
      <c r="F600" s="353" t="s">
        <v>2196</v>
      </c>
      <c r="G600" s="64" t="str">
        <f>INDEX(Auxiliar!$B$16:$B$24,MATCH(Plano_V3!H600,Auxiliar!$C$16:$C$24,0),1)</f>
        <v>1. Concluído</v>
      </c>
      <c r="H600" s="64">
        <f>VLOOKUP(A600,'Aux - pivots1'!$A:$B,2,0)</f>
        <v>1</v>
      </c>
      <c r="I600" s="172">
        <f>SUMIFS(Table1[Estimação (horas)],Table1[Tabela],Plano_V3!E600,Table1[Campo],Plano_V3!F600)</f>
        <v>1</v>
      </c>
      <c r="J600" s="172">
        <f t="shared" si="349"/>
        <v>0.125</v>
      </c>
      <c r="K600" s="172">
        <f>SUMIFS(Table1[Horas efetivas],Table1[Tabela],Plano_V3!E600,Table1[Campo],Plano_V3!F600)</f>
        <v>1</v>
      </c>
      <c r="L600" s="172">
        <f t="shared" si="350"/>
        <v>0.125</v>
      </c>
      <c r="M600" s="174"/>
      <c r="N600" s="174">
        <f t="shared" si="351"/>
        <v>1</v>
      </c>
      <c r="O600" s="174"/>
      <c r="P600" s="87"/>
      <c r="R600" s="78"/>
      <c r="S600" s="78"/>
      <c r="T600" s="78"/>
      <c r="U600" s="78"/>
      <c r="V600" s="78"/>
      <c r="W600" s="78"/>
      <c r="X600" s="78"/>
      <c r="Y600" s="78"/>
      <c r="Z600" s="78"/>
      <c r="AA600" s="78"/>
      <c r="AB600" s="78"/>
      <c r="AC600" s="78"/>
      <c r="AD600" s="78"/>
      <c r="AE600" s="78"/>
      <c r="AF600" s="78"/>
      <c r="AG600" s="78"/>
      <c r="AH600" s="78"/>
      <c r="AI600" s="78"/>
      <c r="AJ600" s="78"/>
      <c r="AK600" s="78"/>
      <c r="AL600" s="78"/>
      <c r="AM600" s="78"/>
      <c r="AN600" s="78"/>
      <c r="AO600" s="78"/>
      <c r="AP600" s="78"/>
      <c r="AQ600" s="78"/>
      <c r="AR600" s="78"/>
      <c r="AS600" s="78"/>
      <c r="AT600" s="78"/>
      <c r="AU600" s="78"/>
      <c r="AV600" s="78"/>
      <c r="AW600" s="78"/>
      <c r="AX600" s="78"/>
      <c r="AY600" s="91"/>
      <c r="AZ600" s="78"/>
      <c r="BA600" s="78"/>
      <c r="BB600" s="78"/>
      <c r="BC600" s="78"/>
      <c r="BD600" s="78"/>
      <c r="BE600" s="78"/>
      <c r="BF600" s="78"/>
      <c r="BG600" s="78"/>
      <c r="BH600" s="78"/>
      <c r="BI600" s="78"/>
      <c r="BJ600" s="78"/>
      <c r="BK600" s="78"/>
      <c r="BL600" s="78"/>
      <c r="BM600" s="78"/>
      <c r="BN600" s="78"/>
      <c r="BO600" s="78"/>
      <c r="BP600" s="78"/>
      <c r="BQ600" s="78"/>
      <c r="BR600" s="78"/>
      <c r="BS600" s="78"/>
      <c r="BT600" s="78"/>
      <c r="BU600" s="78"/>
      <c r="BV600" s="78"/>
      <c r="BW600" s="78"/>
      <c r="BX600" s="78"/>
      <c r="BY600" s="78"/>
      <c r="BZ600" s="78"/>
      <c r="CA600" s="78"/>
      <c r="CB600" s="78"/>
      <c r="CC600" s="78"/>
      <c r="CD600" s="78"/>
      <c r="CE600" s="78"/>
      <c r="CF600" s="78"/>
      <c r="CG600" s="78"/>
      <c r="CH600" s="78"/>
      <c r="CI600" s="78"/>
      <c r="CJ600" s="78"/>
      <c r="CK600" s="78"/>
      <c r="CL600" s="78"/>
      <c r="CM600" s="78"/>
      <c r="CN600" s="78"/>
      <c r="CO600" s="78"/>
      <c r="CP600" s="78"/>
      <c r="CQ600" s="78"/>
      <c r="CR600" s="78"/>
      <c r="CS600" s="78"/>
      <c r="CT600" s="78"/>
      <c r="CU600" s="78"/>
      <c r="CV600" s="78"/>
      <c r="CW600" s="78"/>
      <c r="CX600" s="78"/>
      <c r="CY600" s="78"/>
      <c r="CZ600" s="78"/>
      <c r="DA600" s="78"/>
      <c r="DB600" s="78"/>
      <c r="DC600" s="78"/>
      <c r="DD600" s="78"/>
      <c r="DE600" s="78"/>
      <c r="DF600" s="78"/>
      <c r="DG600" s="78"/>
      <c r="DH600" s="78"/>
      <c r="DI600" s="78"/>
      <c r="DJ600" s="78"/>
      <c r="DK600" s="78"/>
      <c r="DL600" s="78"/>
      <c r="DM600" s="78"/>
      <c r="DN600" s="78"/>
      <c r="DO600" s="78"/>
      <c r="DP600" s="78"/>
      <c r="DQ600" s="78"/>
      <c r="DR600" s="78"/>
      <c r="DS600" s="78"/>
      <c r="DT600" s="78"/>
      <c r="DU600" s="78"/>
      <c r="DV600" s="78"/>
      <c r="DW600" s="78"/>
      <c r="DX600" s="78"/>
      <c r="DY600" s="78"/>
      <c r="DZ600" s="78"/>
      <c r="EA600" s="78"/>
      <c r="EB600" s="78"/>
      <c r="EC600" s="78"/>
      <c r="ED600" s="78"/>
      <c r="EE600" s="78"/>
      <c r="EF600" s="78"/>
      <c r="EG600" s="78"/>
      <c r="EH600" s="78"/>
      <c r="EI600" s="78"/>
      <c r="EJ600" s="78"/>
      <c r="EK600" s="78"/>
      <c r="EL600" s="78"/>
      <c r="EM600" s="78"/>
      <c r="EN600" s="91"/>
      <c r="EO600" s="91"/>
      <c r="EP600" s="91"/>
      <c r="EQ600" s="91"/>
      <c r="ER600" s="91"/>
      <c r="ES600" s="91"/>
    </row>
    <row r="601" spans="1:149" outlineLevel="1">
      <c r="A601" s="29" t="str">
        <f t="shared" si="348"/>
        <v>lt003_entitytxnmy_elgbl_capex_p</v>
      </c>
      <c r="B601" s="67" t="s">
        <v>26</v>
      </c>
      <c r="C601" s="68" t="s">
        <v>26</v>
      </c>
      <c r="D601" s="64" t="s">
        <v>40</v>
      </c>
      <c r="E601" s="70" t="s">
        <v>335</v>
      </c>
      <c r="F601" s="353" t="s">
        <v>2197</v>
      </c>
      <c r="G601" s="64" t="str">
        <f>INDEX(Auxiliar!$B$16:$B$24,MATCH(Plano_V3!H601,Auxiliar!$C$16:$C$24,0),1)</f>
        <v>1. Concluído</v>
      </c>
      <c r="H601" s="64">
        <f>VLOOKUP(A601,'Aux - pivots1'!$A:$B,2,0)</f>
        <v>1</v>
      </c>
      <c r="I601" s="172">
        <f>SUMIFS(Table1[Estimação (horas)],Table1[Tabela],Plano_V3!E601,Table1[Campo],Plano_V3!F601)</f>
        <v>1</v>
      </c>
      <c r="J601" s="172">
        <f t="shared" si="349"/>
        <v>0.125</v>
      </c>
      <c r="K601" s="172">
        <f>SUMIFS(Table1[Horas efetivas],Table1[Tabela],Plano_V3!E601,Table1[Campo],Plano_V3!F601)</f>
        <v>1</v>
      </c>
      <c r="L601" s="172">
        <f t="shared" si="350"/>
        <v>0.125</v>
      </c>
      <c r="M601" s="174"/>
      <c r="N601" s="174">
        <f t="shared" si="351"/>
        <v>1</v>
      </c>
      <c r="O601" s="174"/>
      <c r="P601" s="87"/>
      <c r="R601" s="78"/>
      <c r="S601" s="78"/>
      <c r="T601" s="78"/>
      <c r="U601" s="78"/>
      <c r="V601" s="78"/>
      <c r="W601" s="78"/>
      <c r="X601" s="78"/>
      <c r="Y601" s="78"/>
      <c r="Z601" s="78"/>
      <c r="AA601" s="78"/>
      <c r="AB601" s="78"/>
      <c r="AC601" s="78"/>
      <c r="AD601" s="78"/>
      <c r="AE601" s="78"/>
      <c r="AF601" s="78"/>
      <c r="AG601" s="78"/>
      <c r="AH601" s="78"/>
      <c r="AI601" s="78"/>
      <c r="AJ601" s="78"/>
      <c r="AK601" s="78"/>
      <c r="AL601" s="78"/>
      <c r="AM601" s="78"/>
      <c r="AN601" s="78"/>
      <c r="AO601" s="78"/>
      <c r="AP601" s="78"/>
      <c r="AQ601" s="78"/>
      <c r="AR601" s="78"/>
      <c r="AS601" s="78"/>
      <c r="AT601" s="78"/>
      <c r="AU601" s="78"/>
      <c r="AV601" s="78"/>
      <c r="AW601" s="78"/>
      <c r="AX601" s="78"/>
      <c r="AY601" s="91"/>
      <c r="AZ601" s="78"/>
      <c r="BA601" s="78"/>
      <c r="BB601" s="78"/>
      <c r="BC601" s="78"/>
      <c r="BD601" s="78"/>
      <c r="BE601" s="78"/>
      <c r="BF601" s="78"/>
      <c r="BG601" s="78"/>
      <c r="BH601" s="78"/>
      <c r="BI601" s="78"/>
      <c r="BJ601" s="78"/>
      <c r="BK601" s="78"/>
      <c r="BL601" s="78"/>
      <c r="BM601" s="78"/>
      <c r="BN601" s="78"/>
      <c r="BO601" s="78"/>
      <c r="BP601" s="78"/>
      <c r="BQ601" s="78"/>
      <c r="BR601" s="78"/>
      <c r="BS601" s="78"/>
      <c r="BT601" s="78"/>
      <c r="BU601" s="78"/>
      <c r="BV601" s="78"/>
      <c r="BW601" s="78"/>
      <c r="BX601" s="78"/>
      <c r="BY601" s="78"/>
      <c r="BZ601" s="78"/>
      <c r="CA601" s="78"/>
      <c r="CB601" s="78"/>
      <c r="CC601" s="78"/>
      <c r="CD601" s="78"/>
      <c r="CE601" s="78"/>
      <c r="CF601" s="78"/>
      <c r="CG601" s="78"/>
      <c r="CH601" s="78"/>
      <c r="CI601" s="78"/>
      <c r="CJ601" s="78"/>
      <c r="CK601" s="78"/>
      <c r="CL601" s="78"/>
      <c r="CM601" s="78"/>
      <c r="CN601" s="78"/>
      <c r="CO601" s="78"/>
      <c r="CP601" s="78"/>
      <c r="CQ601" s="78"/>
      <c r="CR601" s="78"/>
      <c r="CS601" s="78"/>
      <c r="CT601" s="78"/>
      <c r="CU601" s="78"/>
      <c r="CV601" s="78"/>
      <c r="CW601" s="78"/>
      <c r="CX601" s="78"/>
      <c r="CY601" s="78"/>
      <c r="CZ601" s="78"/>
      <c r="DA601" s="78"/>
      <c r="DB601" s="78"/>
      <c r="DC601" s="78"/>
      <c r="DD601" s="78"/>
      <c r="DE601" s="78"/>
      <c r="DF601" s="78"/>
      <c r="DG601" s="78"/>
      <c r="DH601" s="78"/>
      <c r="DI601" s="78"/>
      <c r="DJ601" s="78"/>
      <c r="DK601" s="78"/>
      <c r="DL601" s="78"/>
      <c r="DM601" s="78"/>
      <c r="DN601" s="78"/>
      <c r="DO601" s="78"/>
      <c r="DP601" s="78"/>
      <c r="DQ601" s="78"/>
      <c r="DR601" s="78"/>
      <c r="DS601" s="78"/>
      <c r="DT601" s="78"/>
      <c r="DU601" s="78"/>
      <c r="DV601" s="78"/>
      <c r="DW601" s="78"/>
      <c r="DX601" s="78"/>
      <c r="DY601" s="78"/>
      <c r="DZ601" s="78"/>
      <c r="EA601" s="78"/>
      <c r="EB601" s="78"/>
      <c r="EC601" s="78"/>
      <c r="ED601" s="78"/>
      <c r="EE601" s="78"/>
      <c r="EF601" s="78"/>
      <c r="EG601" s="78"/>
      <c r="EH601" s="78"/>
      <c r="EI601" s="78"/>
      <c r="EJ601" s="78"/>
      <c r="EK601" s="78"/>
      <c r="EL601" s="78"/>
      <c r="EM601" s="78"/>
      <c r="EN601" s="91"/>
      <c r="EO601" s="91"/>
      <c r="EP601" s="91"/>
      <c r="EQ601" s="91"/>
      <c r="ER601" s="91"/>
      <c r="ES601" s="91"/>
    </row>
    <row r="602" spans="1:149" outlineLevel="1">
      <c r="A602" s="29" t="str">
        <f t="shared" si="348"/>
        <v>lt003_entitytxnmy_elgbl_trnvr_p</v>
      </c>
      <c r="B602" s="67" t="s">
        <v>26</v>
      </c>
      <c r="C602" s="68" t="s">
        <v>26</v>
      </c>
      <c r="D602" s="64" t="s">
        <v>40</v>
      </c>
      <c r="E602" s="70" t="s">
        <v>335</v>
      </c>
      <c r="F602" s="353" t="s">
        <v>2198</v>
      </c>
      <c r="G602" s="64" t="str">
        <f>INDEX(Auxiliar!$B$16:$B$24,MATCH(Plano_V3!H602,Auxiliar!$C$16:$C$24,0),1)</f>
        <v>1. Concluído</v>
      </c>
      <c r="H602" s="64">
        <f>VLOOKUP(A602,'Aux - pivots1'!$A:$B,2,0)</f>
        <v>1</v>
      </c>
      <c r="I602" s="172">
        <f>SUMIFS(Table1[Estimação (horas)],Table1[Tabela],Plano_V3!E602,Table1[Campo],Plano_V3!F602)</f>
        <v>1</v>
      </c>
      <c r="J602" s="172">
        <f t="shared" si="349"/>
        <v>0.125</v>
      </c>
      <c r="K602" s="172">
        <f>SUMIFS(Table1[Horas efetivas],Table1[Tabela],Plano_V3!E602,Table1[Campo],Plano_V3!F602)</f>
        <v>1</v>
      </c>
      <c r="L602" s="172">
        <f t="shared" si="350"/>
        <v>0.125</v>
      </c>
      <c r="M602" s="174"/>
      <c r="N602" s="174">
        <f t="shared" si="351"/>
        <v>1</v>
      </c>
      <c r="O602" s="174"/>
      <c r="P602" s="87"/>
      <c r="R602" s="78"/>
      <c r="S602" s="78"/>
      <c r="T602" s="78"/>
      <c r="U602" s="78"/>
      <c r="V602" s="78"/>
      <c r="W602" s="78"/>
      <c r="X602" s="78"/>
      <c r="Y602" s="78"/>
      <c r="Z602" s="78"/>
      <c r="AA602" s="78"/>
      <c r="AB602" s="78"/>
      <c r="AC602" s="78"/>
      <c r="AD602" s="78"/>
      <c r="AE602" s="78"/>
      <c r="AF602" s="78"/>
      <c r="AG602" s="78"/>
      <c r="AH602" s="78"/>
      <c r="AI602" s="78"/>
      <c r="AJ602" s="78"/>
      <c r="AK602" s="78"/>
      <c r="AL602" s="78"/>
      <c r="AM602" s="78"/>
      <c r="AN602" s="78"/>
      <c r="AO602" s="78"/>
      <c r="AP602" s="78"/>
      <c r="AQ602" s="78"/>
      <c r="AR602" s="78"/>
      <c r="AS602" s="78"/>
      <c r="AT602" s="78"/>
      <c r="AU602" s="78"/>
      <c r="AV602" s="78"/>
      <c r="AW602" s="78"/>
      <c r="AX602" s="78"/>
      <c r="AY602" s="91"/>
      <c r="AZ602" s="78"/>
      <c r="BA602" s="78"/>
      <c r="BB602" s="78"/>
      <c r="BC602" s="78"/>
      <c r="BD602" s="78"/>
      <c r="BE602" s="78"/>
      <c r="BF602" s="78"/>
      <c r="BG602" s="78"/>
      <c r="BH602" s="78"/>
      <c r="BI602" s="78"/>
      <c r="BJ602" s="78"/>
      <c r="BK602" s="78"/>
      <c r="BL602" s="78"/>
      <c r="BM602" s="78"/>
      <c r="BN602" s="78"/>
      <c r="BO602" s="78"/>
      <c r="BP602" s="78"/>
      <c r="BQ602" s="78"/>
      <c r="BR602" s="78"/>
      <c r="BS602" s="78"/>
      <c r="BT602" s="78"/>
      <c r="BU602" s="78"/>
      <c r="BV602" s="78"/>
      <c r="BW602" s="78"/>
      <c r="BX602" s="78"/>
      <c r="BY602" s="78"/>
      <c r="BZ602" s="78"/>
      <c r="CA602" s="78"/>
      <c r="CB602" s="78"/>
      <c r="CC602" s="78"/>
      <c r="CD602" s="78"/>
      <c r="CE602" s="78"/>
      <c r="CF602" s="78"/>
      <c r="CG602" s="78"/>
      <c r="CH602" s="78"/>
      <c r="CI602" s="78"/>
      <c r="CJ602" s="78"/>
      <c r="CK602" s="78"/>
      <c r="CL602" s="78"/>
      <c r="CM602" s="78"/>
      <c r="CN602" s="78"/>
      <c r="CO602" s="78"/>
      <c r="CP602" s="78"/>
      <c r="CQ602" s="78"/>
      <c r="CR602" s="78"/>
      <c r="CS602" s="78"/>
      <c r="CT602" s="78"/>
      <c r="CU602" s="78"/>
      <c r="CV602" s="78"/>
      <c r="CW602" s="78"/>
      <c r="CX602" s="78"/>
      <c r="CY602" s="78"/>
      <c r="CZ602" s="78"/>
      <c r="DA602" s="78"/>
      <c r="DB602" s="78"/>
      <c r="DC602" s="78"/>
      <c r="DD602" s="78"/>
      <c r="DE602" s="78"/>
      <c r="DF602" s="78"/>
      <c r="DG602" s="78"/>
      <c r="DH602" s="78"/>
      <c r="DI602" s="78"/>
      <c r="DJ602" s="78"/>
      <c r="DK602" s="78"/>
      <c r="DL602" s="78"/>
      <c r="DM602" s="78"/>
      <c r="DN602" s="78"/>
      <c r="DO602" s="78"/>
      <c r="DP602" s="78"/>
      <c r="DQ602" s="78"/>
      <c r="DR602" s="78"/>
      <c r="DS602" s="78"/>
      <c r="DT602" s="78"/>
      <c r="DU602" s="78"/>
      <c r="DV602" s="78"/>
      <c r="DW602" s="78"/>
      <c r="DX602" s="78"/>
      <c r="DY602" s="78"/>
      <c r="DZ602" s="78"/>
      <c r="EA602" s="78"/>
      <c r="EB602" s="78"/>
      <c r="EC602" s="78"/>
      <c r="ED602" s="78"/>
      <c r="EE602" s="78"/>
      <c r="EF602" s="78"/>
      <c r="EG602" s="78"/>
      <c r="EH602" s="78"/>
      <c r="EI602" s="78"/>
      <c r="EJ602" s="78"/>
      <c r="EK602" s="78"/>
      <c r="EL602" s="78"/>
      <c r="EM602" s="78"/>
      <c r="EN602" s="91"/>
      <c r="EO602" s="91"/>
      <c r="EP602" s="91"/>
      <c r="EQ602" s="91"/>
      <c r="ER602" s="91"/>
      <c r="ES602" s="91"/>
    </row>
    <row r="603" spans="1:149" outlineLevel="1">
      <c r="A603" s="29" t="str">
        <f t="shared" si="348"/>
        <v>lt003_entitytxnmy_elgbl_capex_b</v>
      </c>
      <c r="B603" s="67" t="s">
        <v>26</v>
      </c>
      <c r="C603" s="68" t="s">
        <v>26</v>
      </c>
      <c r="D603" s="64" t="s">
        <v>40</v>
      </c>
      <c r="E603" s="70" t="s">
        <v>335</v>
      </c>
      <c r="F603" s="353" t="s">
        <v>2199</v>
      </c>
      <c r="G603" s="64" t="str">
        <f>INDEX(Auxiliar!$B$16:$B$24,MATCH(Plano_V3!H603,Auxiliar!$C$16:$C$24,0),1)</f>
        <v>1. Concluído</v>
      </c>
      <c r="H603" s="64">
        <f>VLOOKUP(A603,'Aux - pivots1'!$A:$B,2,0)</f>
        <v>1</v>
      </c>
      <c r="I603" s="172">
        <f>SUMIFS(Table1[Estimação (horas)],Table1[Tabela],Plano_V3!E603,Table1[Campo],Plano_V3!F603)</f>
        <v>1</v>
      </c>
      <c r="J603" s="172">
        <f t="shared" si="349"/>
        <v>0.125</v>
      </c>
      <c r="K603" s="172">
        <f>SUMIFS(Table1[Horas efetivas],Table1[Tabela],Plano_V3!E603,Table1[Campo],Plano_V3!F603)</f>
        <v>1</v>
      </c>
      <c r="L603" s="172">
        <f t="shared" si="350"/>
        <v>0.125</v>
      </c>
      <c r="M603" s="174"/>
      <c r="N603" s="174">
        <f t="shared" si="351"/>
        <v>1</v>
      </c>
      <c r="O603" s="174"/>
      <c r="P603" s="87"/>
      <c r="R603" s="78"/>
      <c r="S603" s="78"/>
      <c r="T603" s="78"/>
      <c r="U603" s="78"/>
      <c r="V603" s="78"/>
      <c r="W603" s="78"/>
      <c r="X603" s="78"/>
      <c r="Y603" s="78"/>
      <c r="Z603" s="78"/>
      <c r="AA603" s="78"/>
      <c r="AB603" s="78"/>
      <c r="AC603" s="78"/>
      <c r="AD603" s="78"/>
      <c r="AE603" s="78"/>
      <c r="AF603" s="78"/>
      <c r="AG603" s="78"/>
      <c r="AH603" s="78"/>
      <c r="AI603" s="78"/>
      <c r="AJ603" s="78"/>
      <c r="AK603" s="78"/>
      <c r="AL603" s="78"/>
      <c r="AM603" s="78"/>
      <c r="AN603" s="78"/>
      <c r="AO603" s="78"/>
      <c r="AP603" s="78"/>
      <c r="AQ603" s="78"/>
      <c r="AR603" s="78"/>
      <c r="AS603" s="78"/>
      <c r="AT603" s="78"/>
      <c r="AU603" s="78"/>
      <c r="AV603" s="78"/>
      <c r="AW603" s="78"/>
      <c r="AX603" s="78"/>
      <c r="AY603" s="91"/>
      <c r="AZ603" s="78"/>
      <c r="BA603" s="78"/>
      <c r="BB603" s="78"/>
      <c r="BC603" s="78"/>
      <c r="BD603" s="78"/>
      <c r="BE603" s="78"/>
      <c r="BF603" s="78"/>
      <c r="BG603" s="78"/>
      <c r="BH603" s="78"/>
      <c r="BI603" s="78"/>
      <c r="BJ603" s="78"/>
      <c r="BK603" s="78"/>
      <c r="BL603" s="78"/>
      <c r="BM603" s="78"/>
      <c r="BN603" s="78"/>
      <c r="BO603" s="78"/>
      <c r="BP603" s="78"/>
      <c r="BQ603" s="78"/>
      <c r="BR603" s="78"/>
      <c r="BS603" s="78"/>
      <c r="BT603" s="78"/>
      <c r="BU603" s="78"/>
      <c r="BV603" s="78"/>
      <c r="BW603" s="78"/>
      <c r="BX603" s="78"/>
      <c r="BY603" s="78"/>
      <c r="BZ603" s="78"/>
      <c r="CA603" s="78"/>
      <c r="CB603" s="78"/>
      <c r="CC603" s="78"/>
      <c r="CD603" s="78"/>
      <c r="CE603" s="78"/>
      <c r="CF603" s="78"/>
      <c r="CG603" s="78"/>
      <c r="CH603" s="78"/>
      <c r="CI603" s="78"/>
      <c r="CJ603" s="78"/>
      <c r="CK603" s="78"/>
      <c r="CL603" s="78"/>
      <c r="CM603" s="78"/>
      <c r="CN603" s="78"/>
      <c r="CO603" s="78"/>
      <c r="CP603" s="78"/>
      <c r="CQ603" s="78"/>
      <c r="CR603" s="78"/>
      <c r="CS603" s="78"/>
      <c r="CT603" s="78"/>
      <c r="CU603" s="78"/>
      <c r="CV603" s="78"/>
      <c r="CW603" s="78"/>
      <c r="CX603" s="78"/>
      <c r="CY603" s="78"/>
      <c r="CZ603" s="78"/>
      <c r="DA603" s="78"/>
      <c r="DB603" s="78"/>
      <c r="DC603" s="78"/>
      <c r="DD603" s="78"/>
      <c r="DE603" s="78"/>
      <c r="DF603" s="78"/>
      <c r="DG603" s="78"/>
      <c r="DH603" s="78"/>
      <c r="DI603" s="78"/>
      <c r="DJ603" s="78"/>
      <c r="DK603" s="78"/>
      <c r="DL603" s="78"/>
      <c r="DM603" s="78"/>
      <c r="DN603" s="78"/>
      <c r="DO603" s="78"/>
      <c r="DP603" s="78"/>
      <c r="DQ603" s="78"/>
      <c r="DR603" s="78"/>
      <c r="DS603" s="78"/>
      <c r="DT603" s="78"/>
      <c r="DU603" s="78"/>
      <c r="DV603" s="78"/>
      <c r="DW603" s="78"/>
      <c r="DX603" s="78"/>
      <c r="DY603" s="78"/>
      <c r="DZ603" s="78"/>
      <c r="EA603" s="78"/>
      <c r="EB603" s="78"/>
      <c r="EC603" s="78"/>
      <c r="ED603" s="78"/>
      <c r="EE603" s="78"/>
      <c r="EF603" s="78"/>
      <c r="EG603" s="78"/>
      <c r="EH603" s="78"/>
      <c r="EI603" s="78"/>
      <c r="EJ603" s="78"/>
      <c r="EK603" s="78"/>
      <c r="EL603" s="78"/>
      <c r="EM603" s="78"/>
      <c r="EN603" s="91"/>
      <c r="EO603" s="91"/>
      <c r="EP603" s="91"/>
      <c r="EQ603" s="91"/>
      <c r="ER603" s="91"/>
      <c r="ES603" s="91"/>
    </row>
    <row r="604" spans="1:149" outlineLevel="1">
      <c r="A604" s="29" t="str">
        <f t="shared" si="348"/>
        <v>lt003_entitytxnmy_elgbl_trnvr_b</v>
      </c>
      <c r="B604" s="67" t="s">
        <v>26</v>
      </c>
      <c r="C604" s="68" t="s">
        <v>26</v>
      </c>
      <c r="D604" s="64" t="s">
        <v>40</v>
      </c>
      <c r="E604" s="70" t="s">
        <v>335</v>
      </c>
      <c r="F604" s="353" t="s">
        <v>2200</v>
      </c>
      <c r="G604" s="64" t="str">
        <f>INDEX(Auxiliar!$B$16:$B$24,MATCH(Plano_V3!H604,Auxiliar!$C$16:$C$24,0),1)</f>
        <v>1. Concluído</v>
      </c>
      <c r="H604" s="64">
        <f>VLOOKUP(A604,'Aux - pivots1'!$A:$B,2,0)</f>
        <v>1</v>
      </c>
      <c r="I604" s="172">
        <f>SUMIFS(Table1[Estimação (horas)],Table1[Tabela],Plano_V3!E604,Table1[Campo],Plano_V3!F604)</f>
        <v>1</v>
      </c>
      <c r="J604" s="172">
        <f t="shared" si="349"/>
        <v>0.125</v>
      </c>
      <c r="K604" s="172">
        <f>SUMIFS(Table1[Horas efetivas],Table1[Tabela],Plano_V3!E604,Table1[Campo],Plano_V3!F604)</f>
        <v>1</v>
      </c>
      <c r="L604" s="172">
        <f t="shared" si="350"/>
        <v>0.125</v>
      </c>
      <c r="M604" s="174"/>
      <c r="N604" s="174">
        <f t="shared" si="351"/>
        <v>1</v>
      </c>
      <c r="O604" s="174"/>
      <c r="P604" s="87"/>
      <c r="R604" s="78"/>
      <c r="S604" s="78"/>
      <c r="T604" s="78"/>
      <c r="U604" s="78"/>
      <c r="V604" s="78"/>
      <c r="W604" s="78"/>
      <c r="X604" s="78"/>
      <c r="Y604" s="78"/>
      <c r="Z604" s="78"/>
      <c r="AA604" s="78"/>
      <c r="AB604" s="78"/>
      <c r="AC604" s="78"/>
      <c r="AD604" s="78"/>
      <c r="AE604" s="78"/>
      <c r="AF604" s="78"/>
      <c r="AG604" s="78"/>
      <c r="AH604" s="78"/>
      <c r="AI604" s="78"/>
      <c r="AJ604" s="78"/>
      <c r="AK604" s="78"/>
      <c r="AL604" s="78"/>
      <c r="AM604" s="78"/>
      <c r="AN604" s="78"/>
      <c r="AO604" s="78"/>
      <c r="AP604" s="78"/>
      <c r="AQ604" s="78"/>
      <c r="AR604" s="78"/>
      <c r="AS604" s="78"/>
      <c r="AT604" s="78"/>
      <c r="AU604" s="78"/>
      <c r="AV604" s="78"/>
      <c r="AW604" s="78"/>
      <c r="AX604" s="78"/>
      <c r="AY604" s="91"/>
      <c r="AZ604" s="78"/>
      <c r="BA604" s="78"/>
      <c r="BB604" s="78"/>
      <c r="BC604" s="78"/>
      <c r="BD604" s="78"/>
      <c r="BE604" s="78"/>
      <c r="BF604" s="78"/>
      <c r="BG604" s="78"/>
      <c r="BH604" s="78"/>
      <c r="BI604" s="78"/>
      <c r="BJ604" s="78"/>
      <c r="BK604" s="78"/>
      <c r="BL604" s="78"/>
      <c r="BM604" s="78"/>
      <c r="BN604" s="78"/>
      <c r="BO604" s="78"/>
      <c r="BP604" s="78"/>
      <c r="BQ604" s="78"/>
      <c r="BR604" s="78"/>
      <c r="BS604" s="78"/>
      <c r="BT604" s="78"/>
      <c r="BU604" s="78"/>
      <c r="BV604" s="78"/>
      <c r="BW604" s="78"/>
      <c r="BX604" s="78"/>
      <c r="BY604" s="78"/>
      <c r="BZ604" s="78"/>
      <c r="CA604" s="78"/>
      <c r="CB604" s="78"/>
      <c r="CC604" s="78"/>
      <c r="CD604" s="78"/>
      <c r="CE604" s="78"/>
      <c r="CF604" s="78"/>
      <c r="CG604" s="78"/>
      <c r="CH604" s="78"/>
      <c r="CI604" s="78"/>
      <c r="CJ604" s="78"/>
      <c r="CK604" s="78"/>
      <c r="CL604" s="78"/>
      <c r="CM604" s="78"/>
      <c r="CN604" s="78"/>
      <c r="CO604" s="78"/>
      <c r="CP604" s="78"/>
      <c r="CQ604" s="78"/>
      <c r="CR604" s="78"/>
      <c r="CS604" s="78"/>
      <c r="CT604" s="78"/>
      <c r="CU604" s="78"/>
      <c r="CV604" s="78"/>
      <c r="CW604" s="78"/>
      <c r="CX604" s="78"/>
      <c r="CY604" s="78"/>
      <c r="CZ604" s="78"/>
      <c r="DA604" s="78"/>
      <c r="DB604" s="78"/>
      <c r="DC604" s="78"/>
      <c r="DD604" s="78"/>
      <c r="DE604" s="78"/>
      <c r="DF604" s="78"/>
      <c r="DG604" s="78"/>
      <c r="DH604" s="78"/>
      <c r="DI604" s="78"/>
      <c r="DJ604" s="78"/>
      <c r="DK604" s="78"/>
      <c r="DL604" s="78"/>
      <c r="DM604" s="78"/>
      <c r="DN604" s="78"/>
      <c r="DO604" s="78"/>
      <c r="DP604" s="78"/>
      <c r="DQ604" s="78"/>
      <c r="DR604" s="78"/>
      <c r="DS604" s="78"/>
      <c r="DT604" s="78"/>
      <c r="DU604" s="78"/>
      <c r="DV604" s="78"/>
      <c r="DW604" s="78"/>
      <c r="DX604" s="78"/>
      <c r="DY604" s="78"/>
      <c r="DZ604" s="78"/>
      <c r="EA604" s="78"/>
      <c r="EB604" s="78"/>
      <c r="EC604" s="78"/>
      <c r="ED604" s="78"/>
      <c r="EE604" s="78"/>
      <c r="EF604" s="78"/>
      <c r="EG604" s="78"/>
      <c r="EH604" s="78"/>
      <c r="EI604" s="78"/>
      <c r="EJ604" s="78"/>
      <c r="EK604" s="78"/>
      <c r="EL604" s="78"/>
      <c r="EM604" s="78"/>
      <c r="EN604" s="91"/>
      <c r="EO604" s="91"/>
      <c r="EP604" s="91"/>
      <c r="EQ604" s="91"/>
      <c r="ER604" s="91"/>
      <c r="ES604" s="91"/>
    </row>
    <row r="605" spans="1:149" outlineLevel="1">
      <c r="A605" s="29" t="str">
        <f t="shared" si="348"/>
        <v>lt003_entitytxnmy_elgbl_capex_ce</v>
      </c>
      <c r="B605" s="67" t="s">
        <v>26</v>
      </c>
      <c r="C605" s="68" t="s">
        <v>26</v>
      </c>
      <c r="D605" s="64" t="s">
        <v>40</v>
      </c>
      <c r="E605" s="70" t="s">
        <v>335</v>
      </c>
      <c r="F605" s="353" t="s">
        <v>2201</v>
      </c>
      <c r="G605" s="64" t="str">
        <f>INDEX(Auxiliar!$B$16:$B$24,MATCH(Plano_V3!H605,Auxiliar!$C$16:$C$24,0),1)</f>
        <v>1. Concluído</v>
      </c>
      <c r="H605" s="64">
        <f>VLOOKUP(A605,'Aux - pivots1'!$A:$B,2,0)</f>
        <v>1</v>
      </c>
      <c r="I605" s="172">
        <f>SUMIFS(Table1[Estimação (horas)],Table1[Tabela],Plano_V3!E605,Table1[Campo],Plano_V3!F605)</f>
        <v>1</v>
      </c>
      <c r="J605" s="172">
        <f t="shared" si="349"/>
        <v>0.125</v>
      </c>
      <c r="K605" s="172">
        <f>SUMIFS(Table1[Horas efetivas],Table1[Tabela],Plano_V3!E605,Table1[Campo],Plano_V3!F605)</f>
        <v>1</v>
      </c>
      <c r="L605" s="172">
        <f t="shared" si="350"/>
        <v>0.125</v>
      </c>
      <c r="M605" s="174"/>
      <c r="N605" s="174">
        <f t="shared" si="351"/>
        <v>1</v>
      </c>
      <c r="O605" s="174"/>
      <c r="P605" s="87"/>
      <c r="R605" s="78"/>
      <c r="S605" s="78"/>
      <c r="T605" s="78"/>
      <c r="U605" s="78"/>
      <c r="V605" s="78"/>
      <c r="W605" s="78"/>
      <c r="X605" s="78"/>
      <c r="Y605" s="78"/>
      <c r="Z605" s="78"/>
      <c r="AA605" s="78"/>
      <c r="AB605" s="78"/>
      <c r="AC605" s="78"/>
      <c r="AD605" s="78"/>
      <c r="AE605" s="78"/>
      <c r="AF605" s="78"/>
      <c r="AG605" s="78"/>
      <c r="AH605" s="78"/>
      <c r="AI605" s="78"/>
      <c r="AJ605" s="78"/>
      <c r="AK605" s="78"/>
      <c r="AL605" s="78"/>
      <c r="AM605" s="78"/>
      <c r="AN605" s="78"/>
      <c r="AO605" s="78"/>
      <c r="AP605" s="78"/>
      <c r="AQ605" s="78"/>
      <c r="AR605" s="78"/>
      <c r="AS605" s="78"/>
      <c r="AT605" s="78"/>
      <c r="AU605" s="78"/>
      <c r="AV605" s="78"/>
      <c r="AW605" s="78"/>
      <c r="AX605" s="78"/>
      <c r="AY605" s="91"/>
      <c r="AZ605" s="78"/>
      <c r="BA605" s="78"/>
      <c r="BB605" s="78"/>
      <c r="BC605" s="78"/>
      <c r="BD605" s="78"/>
      <c r="BE605" s="78"/>
      <c r="BF605" s="78"/>
      <c r="BG605" s="78"/>
      <c r="BH605" s="78"/>
      <c r="BI605" s="78"/>
      <c r="BJ605" s="78"/>
      <c r="BK605" s="78"/>
      <c r="BL605" s="78"/>
      <c r="BM605" s="78"/>
      <c r="BN605" s="78"/>
      <c r="BO605" s="78"/>
      <c r="BP605" s="78"/>
      <c r="BQ605" s="78"/>
      <c r="BR605" s="78"/>
      <c r="BS605" s="78"/>
      <c r="BT605" s="78"/>
      <c r="BU605" s="78"/>
      <c r="BV605" s="78"/>
      <c r="BW605" s="78"/>
      <c r="BX605" s="78"/>
      <c r="BY605" s="78"/>
      <c r="BZ605" s="78"/>
      <c r="CA605" s="78"/>
      <c r="CB605" s="78"/>
      <c r="CC605" s="78"/>
      <c r="CD605" s="78"/>
      <c r="CE605" s="78"/>
      <c r="CF605" s="78"/>
      <c r="CG605" s="78"/>
      <c r="CH605" s="78"/>
      <c r="CI605" s="78"/>
      <c r="CJ605" s="78"/>
      <c r="CK605" s="78"/>
      <c r="CL605" s="78"/>
      <c r="CM605" s="78"/>
      <c r="CN605" s="78"/>
      <c r="CO605" s="78"/>
      <c r="CP605" s="78"/>
      <c r="CQ605" s="78"/>
      <c r="CR605" s="78"/>
      <c r="CS605" s="78"/>
      <c r="CT605" s="78"/>
      <c r="CU605" s="78"/>
      <c r="CV605" s="78"/>
      <c r="CW605" s="78"/>
      <c r="CX605" s="78"/>
      <c r="CY605" s="78"/>
      <c r="CZ605" s="78"/>
      <c r="DA605" s="78"/>
      <c r="DB605" s="78"/>
      <c r="DC605" s="78"/>
      <c r="DD605" s="78"/>
      <c r="DE605" s="78"/>
      <c r="DF605" s="78"/>
      <c r="DG605" s="78"/>
      <c r="DH605" s="78"/>
      <c r="DI605" s="78"/>
      <c r="DJ605" s="78"/>
      <c r="DK605" s="78"/>
      <c r="DL605" s="78"/>
      <c r="DM605" s="78"/>
      <c r="DN605" s="78"/>
      <c r="DO605" s="78"/>
      <c r="DP605" s="78"/>
      <c r="DQ605" s="78"/>
      <c r="DR605" s="78"/>
      <c r="DS605" s="78"/>
      <c r="DT605" s="78"/>
      <c r="DU605" s="78"/>
      <c r="DV605" s="78"/>
      <c r="DW605" s="78"/>
      <c r="DX605" s="78"/>
      <c r="DY605" s="78"/>
      <c r="DZ605" s="78"/>
      <c r="EA605" s="78"/>
      <c r="EB605" s="78"/>
      <c r="EC605" s="78"/>
      <c r="ED605" s="78"/>
      <c r="EE605" s="78"/>
      <c r="EF605" s="78"/>
      <c r="EG605" s="78"/>
      <c r="EH605" s="78"/>
      <c r="EI605" s="78"/>
      <c r="EJ605" s="78"/>
      <c r="EK605" s="78"/>
      <c r="EL605" s="78"/>
      <c r="EM605" s="78"/>
      <c r="EN605" s="91"/>
      <c r="EO605" s="91"/>
      <c r="EP605" s="91"/>
      <c r="EQ605" s="91"/>
      <c r="ER605" s="91"/>
      <c r="ES605" s="91"/>
    </row>
    <row r="606" spans="1:149" outlineLevel="1">
      <c r="A606" s="29" t="str">
        <f t="shared" si="348"/>
        <v>lt003_entitytxnmy_elgbl_trnvr_ce</v>
      </c>
      <c r="B606" s="67" t="s">
        <v>26</v>
      </c>
      <c r="C606" s="68" t="s">
        <v>26</v>
      </c>
      <c r="D606" s="64" t="s">
        <v>40</v>
      </c>
      <c r="E606" s="70" t="s">
        <v>335</v>
      </c>
      <c r="F606" s="353" t="s">
        <v>2202</v>
      </c>
      <c r="G606" s="64" t="str">
        <f>INDEX(Auxiliar!$B$16:$B$24,MATCH(Plano_V3!H606,Auxiliar!$C$16:$C$24,0),1)</f>
        <v>1. Concluído</v>
      </c>
      <c r="H606" s="64">
        <f>VLOOKUP(A606,'Aux - pivots1'!$A:$B,2,0)</f>
        <v>1</v>
      </c>
      <c r="I606" s="172">
        <f>SUMIFS(Table1[Estimação (horas)],Table1[Tabela],Plano_V3!E606,Table1[Campo],Plano_V3!F606)</f>
        <v>1</v>
      </c>
      <c r="J606" s="172">
        <f t="shared" si="349"/>
        <v>0.125</v>
      </c>
      <c r="K606" s="172">
        <f>SUMIFS(Table1[Horas efetivas],Table1[Tabela],Plano_V3!E606,Table1[Campo],Plano_V3!F606)</f>
        <v>1</v>
      </c>
      <c r="L606" s="172">
        <f t="shared" si="350"/>
        <v>0.125</v>
      </c>
      <c r="M606" s="174"/>
      <c r="N606" s="174">
        <f t="shared" si="351"/>
        <v>1</v>
      </c>
      <c r="O606" s="174"/>
      <c r="P606" s="87"/>
      <c r="R606" s="78"/>
      <c r="S606" s="78"/>
      <c r="T606" s="78"/>
      <c r="U606" s="78"/>
      <c r="V606" s="78"/>
      <c r="W606" s="78"/>
      <c r="X606" s="78"/>
      <c r="Y606" s="78"/>
      <c r="Z606" s="78"/>
      <c r="AA606" s="78"/>
      <c r="AB606" s="78"/>
      <c r="AC606" s="78"/>
      <c r="AD606" s="78"/>
      <c r="AE606" s="78"/>
      <c r="AF606" s="78"/>
      <c r="AG606" s="78"/>
      <c r="AH606" s="78"/>
      <c r="AI606" s="78"/>
      <c r="AJ606" s="78"/>
      <c r="AK606" s="78"/>
      <c r="AL606" s="78"/>
      <c r="AM606" s="78"/>
      <c r="AN606" s="78"/>
      <c r="AO606" s="78"/>
      <c r="AP606" s="78"/>
      <c r="AQ606" s="78"/>
      <c r="AR606" s="78"/>
      <c r="AS606" s="78"/>
      <c r="AT606" s="78"/>
      <c r="AU606" s="78"/>
      <c r="AV606" s="78"/>
      <c r="AW606" s="78"/>
      <c r="AX606" s="78"/>
      <c r="AY606" s="91"/>
      <c r="AZ606" s="78"/>
      <c r="BA606" s="78"/>
      <c r="BB606" s="78"/>
      <c r="BC606" s="78"/>
      <c r="BD606" s="78"/>
      <c r="BE606" s="78"/>
      <c r="BF606" s="78"/>
      <c r="BG606" s="78"/>
      <c r="BH606" s="78"/>
      <c r="BI606" s="78"/>
      <c r="BJ606" s="78"/>
      <c r="BK606" s="78"/>
      <c r="BL606" s="78"/>
      <c r="BM606" s="78"/>
      <c r="BN606" s="78"/>
      <c r="BO606" s="78"/>
      <c r="BP606" s="78"/>
      <c r="BQ606" s="78"/>
      <c r="BR606" s="78"/>
      <c r="BS606" s="78"/>
      <c r="BT606" s="78"/>
      <c r="BU606" s="78"/>
      <c r="BV606" s="78"/>
      <c r="BW606" s="78"/>
      <c r="BX606" s="78"/>
      <c r="BY606" s="78"/>
      <c r="BZ606" s="78"/>
      <c r="CA606" s="78"/>
      <c r="CB606" s="78"/>
      <c r="CC606" s="78"/>
      <c r="CD606" s="78"/>
      <c r="CE606" s="78"/>
      <c r="CF606" s="78"/>
      <c r="CG606" s="78"/>
      <c r="CH606" s="78"/>
      <c r="CI606" s="78"/>
      <c r="CJ606" s="78"/>
      <c r="CK606" s="78"/>
      <c r="CL606" s="78"/>
      <c r="CM606" s="78"/>
      <c r="CN606" s="78"/>
      <c r="CO606" s="78"/>
      <c r="CP606" s="78"/>
      <c r="CQ606" s="78"/>
      <c r="CR606" s="78"/>
      <c r="CS606" s="78"/>
      <c r="CT606" s="78"/>
      <c r="CU606" s="78"/>
      <c r="CV606" s="78"/>
      <c r="CW606" s="78"/>
      <c r="CX606" s="78"/>
      <c r="CY606" s="78"/>
      <c r="CZ606" s="78"/>
      <c r="DA606" s="78"/>
      <c r="DB606" s="78"/>
      <c r="DC606" s="78"/>
      <c r="DD606" s="78"/>
      <c r="DE606" s="78"/>
      <c r="DF606" s="78"/>
      <c r="DG606" s="78"/>
      <c r="DH606" s="78"/>
      <c r="DI606" s="78"/>
      <c r="DJ606" s="78"/>
      <c r="DK606" s="78"/>
      <c r="DL606" s="78"/>
      <c r="DM606" s="78"/>
      <c r="DN606" s="78"/>
      <c r="DO606" s="78"/>
      <c r="DP606" s="78"/>
      <c r="DQ606" s="78"/>
      <c r="DR606" s="78"/>
      <c r="DS606" s="78"/>
      <c r="DT606" s="78"/>
      <c r="DU606" s="78"/>
      <c r="DV606" s="78"/>
      <c r="DW606" s="78"/>
      <c r="DX606" s="78"/>
      <c r="DY606" s="78"/>
      <c r="DZ606" s="78"/>
      <c r="EA606" s="78"/>
      <c r="EB606" s="78"/>
      <c r="EC606" s="78"/>
      <c r="ED606" s="78"/>
      <c r="EE606" s="78"/>
      <c r="EF606" s="78"/>
      <c r="EG606" s="78"/>
      <c r="EH606" s="78"/>
      <c r="EI606" s="78"/>
      <c r="EJ606" s="78"/>
      <c r="EK606" s="78"/>
      <c r="EL606" s="78"/>
      <c r="EM606" s="78"/>
      <c r="EN606" s="91"/>
      <c r="EO606" s="91"/>
      <c r="EP606" s="91"/>
      <c r="EQ606" s="91"/>
      <c r="ER606" s="91"/>
      <c r="ES606" s="91"/>
    </row>
    <row r="607" spans="1:149" outlineLevel="1">
      <c r="A607" s="29" t="str">
        <f t="shared" si="348"/>
        <v>lt003_entitypure_capex_p</v>
      </c>
      <c r="B607" s="67" t="s">
        <v>26</v>
      </c>
      <c r="C607" s="68" t="s">
        <v>26</v>
      </c>
      <c r="D607" s="64" t="s">
        <v>40</v>
      </c>
      <c r="E607" s="70" t="s">
        <v>335</v>
      </c>
      <c r="F607" s="353" t="s">
        <v>2203</v>
      </c>
      <c r="G607" s="64" t="str">
        <f>INDEX(Auxiliar!$B$16:$B$24,MATCH(Plano_V3!H607,Auxiliar!$C$16:$C$24,0),1)</f>
        <v>1. Concluído</v>
      </c>
      <c r="H607" s="64">
        <f>VLOOKUP(A607,'Aux - pivots1'!$A:$B,2,0)</f>
        <v>1</v>
      </c>
      <c r="I607" s="172">
        <f>SUMIFS(Table1[Estimação (horas)],Table1[Tabela],Plano_V3!E607,Table1[Campo],Plano_V3!F607)</f>
        <v>1</v>
      </c>
      <c r="J607" s="172">
        <f t="shared" si="349"/>
        <v>0.125</v>
      </c>
      <c r="K607" s="172">
        <f>SUMIFS(Table1[Horas efetivas],Table1[Tabela],Plano_V3!E607,Table1[Campo],Plano_V3!F607)</f>
        <v>1</v>
      </c>
      <c r="L607" s="172">
        <f t="shared" si="350"/>
        <v>0.125</v>
      </c>
      <c r="M607" s="174"/>
      <c r="N607" s="174">
        <f t="shared" si="351"/>
        <v>1</v>
      </c>
      <c r="O607" s="174"/>
      <c r="P607" s="87"/>
      <c r="R607" s="78"/>
      <c r="S607" s="78"/>
      <c r="T607" s="78"/>
      <c r="U607" s="78"/>
      <c r="V607" s="78"/>
      <c r="W607" s="78"/>
      <c r="X607" s="78"/>
      <c r="Y607" s="78"/>
      <c r="Z607" s="78"/>
      <c r="AA607" s="78"/>
      <c r="AB607" s="78"/>
      <c r="AC607" s="78"/>
      <c r="AD607" s="78"/>
      <c r="AE607" s="78"/>
      <c r="AF607" s="78"/>
      <c r="AG607" s="78"/>
      <c r="AH607" s="78"/>
      <c r="AI607" s="78"/>
      <c r="AJ607" s="78"/>
      <c r="AK607" s="78"/>
      <c r="AL607" s="78"/>
      <c r="AM607" s="78"/>
      <c r="AN607" s="78"/>
      <c r="AO607" s="78"/>
      <c r="AP607" s="78"/>
      <c r="AQ607" s="78"/>
      <c r="AR607" s="78"/>
      <c r="AS607" s="78"/>
      <c r="AT607" s="78"/>
      <c r="AU607" s="78"/>
      <c r="AV607" s="78"/>
      <c r="AW607" s="78"/>
      <c r="AX607" s="78"/>
      <c r="AY607" s="91"/>
      <c r="AZ607" s="78"/>
      <c r="BA607" s="78"/>
      <c r="BB607" s="78"/>
      <c r="BC607" s="78"/>
      <c r="BD607" s="78"/>
      <c r="BE607" s="78"/>
      <c r="BF607" s="78"/>
      <c r="BG607" s="78"/>
      <c r="BH607" s="78"/>
      <c r="BI607" s="78"/>
      <c r="BJ607" s="78"/>
      <c r="BK607" s="78"/>
      <c r="BL607" s="78"/>
      <c r="BM607" s="78"/>
      <c r="BN607" s="78"/>
      <c r="BO607" s="78"/>
      <c r="BP607" s="78"/>
      <c r="BQ607" s="78"/>
      <c r="BR607" s="78"/>
      <c r="BS607" s="78"/>
      <c r="BT607" s="78"/>
      <c r="BU607" s="78"/>
      <c r="BV607" s="78"/>
      <c r="BW607" s="78"/>
      <c r="BX607" s="78"/>
      <c r="BY607" s="78"/>
      <c r="BZ607" s="78"/>
      <c r="CA607" s="78"/>
      <c r="CB607" s="78"/>
      <c r="CC607" s="78"/>
      <c r="CD607" s="78"/>
      <c r="CE607" s="78"/>
      <c r="CF607" s="78"/>
      <c r="CG607" s="78"/>
      <c r="CH607" s="78"/>
      <c r="CI607" s="78"/>
      <c r="CJ607" s="78"/>
      <c r="CK607" s="78"/>
      <c r="CL607" s="78"/>
      <c r="CM607" s="78"/>
      <c r="CN607" s="78"/>
      <c r="CO607" s="78"/>
      <c r="CP607" s="78"/>
      <c r="CQ607" s="78"/>
      <c r="CR607" s="78"/>
      <c r="CS607" s="78"/>
      <c r="CT607" s="78"/>
      <c r="CU607" s="78"/>
      <c r="CV607" s="78"/>
      <c r="CW607" s="78"/>
      <c r="CX607" s="78"/>
      <c r="CY607" s="78"/>
      <c r="CZ607" s="78"/>
      <c r="DA607" s="78"/>
      <c r="DB607" s="78"/>
      <c r="DC607" s="78"/>
      <c r="DD607" s="78"/>
      <c r="DE607" s="78"/>
      <c r="DF607" s="78"/>
      <c r="DG607" s="78"/>
      <c r="DH607" s="78"/>
      <c r="DI607" s="78"/>
      <c r="DJ607" s="78"/>
      <c r="DK607" s="78"/>
      <c r="DL607" s="78"/>
      <c r="DM607" s="78"/>
      <c r="DN607" s="78"/>
      <c r="DO607" s="78"/>
      <c r="DP607" s="78"/>
      <c r="DQ607" s="78"/>
      <c r="DR607" s="78"/>
      <c r="DS607" s="78"/>
      <c r="DT607" s="78"/>
      <c r="DU607" s="78"/>
      <c r="DV607" s="78"/>
      <c r="DW607" s="78"/>
      <c r="DX607" s="78"/>
      <c r="DY607" s="78"/>
      <c r="DZ607" s="78"/>
      <c r="EA607" s="78"/>
      <c r="EB607" s="78"/>
      <c r="EC607" s="78"/>
      <c r="ED607" s="78"/>
      <c r="EE607" s="78"/>
      <c r="EF607" s="78"/>
      <c r="EG607" s="78"/>
      <c r="EH607" s="78"/>
      <c r="EI607" s="78"/>
      <c r="EJ607" s="78"/>
      <c r="EK607" s="78"/>
      <c r="EL607" s="78"/>
      <c r="EM607" s="78"/>
      <c r="EN607" s="91"/>
      <c r="EO607" s="91"/>
      <c r="EP607" s="91"/>
      <c r="EQ607" s="91"/>
      <c r="ER607" s="91"/>
      <c r="ES607" s="91"/>
    </row>
    <row r="608" spans="1:149" outlineLevel="1">
      <c r="A608" s="29" t="str">
        <f t="shared" si="348"/>
        <v>lt003_entitypure_trnvr_p</v>
      </c>
      <c r="B608" s="67" t="s">
        <v>26</v>
      </c>
      <c r="C608" s="68" t="s">
        <v>26</v>
      </c>
      <c r="D608" s="64" t="s">
        <v>40</v>
      </c>
      <c r="E608" s="70" t="s">
        <v>335</v>
      </c>
      <c r="F608" s="353" t="s">
        <v>2204</v>
      </c>
      <c r="G608" s="64" t="str">
        <f>INDEX(Auxiliar!$B$16:$B$24,MATCH(Plano_V3!H608,Auxiliar!$C$16:$C$24,0),1)</f>
        <v>1. Concluído</v>
      </c>
      <c r="H608" s="64">
        <f>VLOOKUP(A608,'Aux - pivots1'!$A:$B,2,0)</f>
        <v>1</v>
      </c>
      <c r="I608" s="172">
        <f>SUMIFS(Table1[Estimação (horas)],Table1[Tabela],Plano_V3!E608,Table1[Campo],Plano_V3!F608)</f>
        <v>1</v>
      </c>
      <c r="J608" s="172">
        <f t="shared" si="349"/>
        <v>0.125</v>
      </c>
      <c r="K608" s="172">
        <f>SUMIFS(Table1[Horas efetivas],Table1[Tabela],Plano_V3!E608,Table1[Campo],Plano_V3!F608)</f>
        <v>1</v>
      </c>
      <c r="L608" s="172">
        <f t="shared" si="350"/>
        <v>0.125</v>
      </c>
      <c r="M608" s="174"/>
      <c r="N608" s="174">
        <f t="shared" si="351"/>
        <v>1</v>
      </c>
      <c r="O608" s="174"/>
      <c r="P608" s="87"/>
      <c r="R608" s="78"/>
      <c r="S608" s="78"/>
      <c r="T608" s="78"/>
      <c r="U608" s="78"/>
      <c r="V608" s="78"/>
      <c r="W608" s="78"/>
      <c r="X608" s="78"/>
      <c r="Y608" s="78"/>
      <c r="Z608" s="78"/>
      <c r="AA608" s="78"/>
      <c r="AB608" s="78"/>
      <c r="AC608" s="78"/>
      <c r="AD608" s="78"/>
      <c r="AE608" s="78"/>
      <c r="AF608" s="78"/>
      <c r="AG608" s="78"/>
      <c r="AH608" s="78"/>
      <c r="AI608" s="78"/>
      <c r="AJ608" s="78"/>
      <c r="AK608" s="78"/>
      <c r="AL608" s="78"/>
      <c r="AM608" s="78"/>
      <c r="AN608" s="78"/>
      <c r="AO608" s="78"/>
      <c r="AP608" s="78"/>
      <c r="AQ608" s="78"/>
      <c r="AR608" s="78"/>
      <c r="AS608" s="78"/>
      <c r="AT608" s="78"/>
      <c r="AU608" s="78"/>
      <c r="AV608" s="78"/>
      <c r="AW608" s="78"/>
      <c r="AX608" s="78"/>
      <c r="AY608" s="91"/>
      <c r="AZ608" s="78"/>
      <c r="BA608" s="78"/>
      <c r="BB608" s="78"/>
      <c r="BC608" s="78"/>
      <c r="BD608" s="78"/>
      <c r="BE608" s="78"/>
      <c r="BF608" s="78"/>
      <c r="BG608" s="78"/>
      <c r="BH608" s="78"/>
      <c r="BI608" s="78"/>
      <c r="BJ608" s="78"/>
      <c r="BK608" s="78"/>
      <c r="BL608" s="78"/>
      <c r="BM608" s="78"/>
      <c r="BN608" s="78"/>
      <c r="BO608" s="78"/>
      <c r="BP608" s="78"/>
      <c r="BQ608" s="78"/>
      <c r="BR608" s="78"/>
      <c r="BS608" s="78"/>
      <c r="BT608" s="78"/>
      <c r="BU608" s="78"/>
      <c r="BV608" s="78"/>
      <c r="BW608" s="78"/>
      <c r="BX608" s="78"/>
      <c r="BY608" s="78"/>
      <c r="BZ608" s="78"/>
      <c r="CA608" s="78"/>
      <c r="CB608" s="78"/>
      <c r="CC608" s="78"/>
      <c r="CD608" s="78"/>
      <c r="CE608" s="78"/>
      <c r="CF608" s="78"/>
      <c r="CG608" s="78"/>
      <c r="CH608" s="78"/>
      <c r="CI608" s="78"/>
      <c r="CJ608" s="78"/>
      <c r="CK608" s="78"/>
      <c r="CL608" s="78"/>
      <c r="CM608" s="78"/>
      <c r="CN608" s="78"/>
      <c r="CO608" s="78"/>
      <c r="CP608" s="78"/>
      <c r="CQ608" s="78"/>
      <c r="CR608" s="78"/>
      <c r="CS608" s="78"/>
      <c r="CT608" s="78"/>
      <c r="CU608" s="78"/>
      <c r="CV608" s="78"/>
      <c r="CW608" s="78"/>
      <c r="CX608" s="78"/>
      <c r="CY608" s="78"/>
      <c r="CZ608" s="78"/>
      <c r="DA608" s="78"/>
      <c r="DB608" s="78"/>
      <c r="DC608" s="78"/>
      <c r="DD608" s="78"/>
      <c r="DE608" s="78"/>
      <c r="DF608" s="78"/>
      <c r="DG608" s="78"/>
      <c r="DH608" s="78"/>
      <c r="DI608" s="78"/>
      <c r="DJ608" s="78"/>
      <c r="DK608" s="78"/>
      <c r="DL608" s="78"/>
      <c r="DM608" s="78"/>
      <c r="DN608" s="78"/>
      <c r="DO608" s="78"/>
      <c r="DP608" s="78"/>
      <c r="DQ608" s="78"/>
      <c r="DR608" s="78"/>
      <c r="DS608" s="78"/>
      <c r="DT608" s="78"/>
      <c r="DU608" s="78"/>
      <c r="DV608" s="78"/>
      <c r="DW608" s="78"/>
      <c r="DX608" s="78"/>
      <c r="DY608" s="78"/>
      <c r="DZ608" s="78"/>
      <c r="EA608" s="78"/>
      <c r="EB608" s="78"/>
      <c r="EC608" s="78"/>
      <c r="ED608" s="78"/>
      <c r="EE608" s="78"/>
      <c r="EF608" s="78"/>
      <c r="EG608" s="78"/>
      <c r="EH608" s="78"/>
      <c r="EI608" s="78"/>
      <c r="EJ608" s="78"/>
      <c r="EK608" s="78"/>
      <c r="EL608" s="78"/>
      <c r="EM608" s="78"/>
      <c r="EN608" s="91"/>
      <c r="EO608" s="91"/>
      <c r="EP608" s="91"/>
      <c r="EQ608" s="91"/>
      <c r="ER608" s="91"/>
      <c r="ES608" s="91"/>
    </row>
    <row r="609" spans="1:149" outlineLevel="1">
      <c r="A609" s="29" t="str">
        <f t="shared" si="348"/>
        <v>lt003_entitypure_capex_b</v>
      </c>
      <c r="B609" s="67" t="s">
        <v>26</v>
      </c>
      <c r="C609" s="68" t="s">
        <v>26</v>
      </c>
      <c r="D609" s="64" t="s">
        <v>40</v>
      </c>
      <c r="E609" s="70" t="s">
        <v>335</v>
      </c>
      <c r="F609" s="353" t="s">
        <v>2205</v>
      </c>
      <c r="G609" s="64" t="str">
        <f>INDEX(Auxiliar!$B$16:$B$24,MATCH(Plano_V3!H609,Auxiliar!$C$16:$C$24,0),1)</f>
        <v>1. Concluído</v>
      </c>
      <c r="H609" s="64">
        <f>VLOOKUP(A609,'Aux - pivots1'!$A:$B,2,0)</f>
        <v>1</v>
      </c>
      <c r="I609" s="172">
        <f>SUMIFS(Table1[Estimação (horas)],Table1[Tabela],Plano_V3!E609,Table1[Campo],Plano_V3!F609)</f>
        <v>1</v>
      </c>
      <c r="J609" s="172">
        <f t="shared" si="349"/>
        <v>0.125</v>
      </c>
      <c r="K609" s="172">
        <f>SUMIFS(Table1[Horas efetivas],Table1[Tabela],Plano_V3!E609,Table1[Campo],Plano_V3!F609)</f>
        <v>1</v>
      </c>
      <c r="L609" s="172">
        <f t="shared" si="350"/>
        <v>0.125</v>
      </c>
      <c r="M609" s="174"/>
      <c r="N609" s="174">
        <f t="shared" si="351"/>
        <v>1</v>
      </c>
      <c r="O609" s="174"/>
      <c r="P609" s="87"/>
      <c r="R609" s="78"/>
      <c r="S609" s="78"/>
      <c r="T609" s="78"/>
      <c r="U609" s="78"/>
      <c r="V609" s="78"/>
      <c r="W609" s="78"/>
      <c r="X609" s="78"/>
      <c r="Y609" s="78"/>
      <c r="Z609" s="78"/>
      <c r="AA609" s="78"/>
      <c r="AB609" s="78"/>
      <c r="AC609" s="78"/>
      <c r="AD609" s="78"/>
      <c r="AE609" s="78"/>
      <c r="AF609" s="78"/>
      <c r="AG609" s="78"/>
      <c r="AH609" s="78"/>
      <c r="AI609" s="78"/>
      <c r="AJ609" s="78"/>
      <c r="AK609" s="78"/>
      <c r="AL609" s="78"/>
      <c r="AM609" s="78"/>
      <c r="AN609" s="78"/>
      <c r="AO609" s="78"/>
      <c r="AP609" s="78"/>
      <c r="AQ609" s="78"/>
      <c r="AR609" s="78"/>
      <c r="AS609" s="78"/>
      <c r="AT609" s="78"/>
      <c r="AU609" s="78"/>
      <c r="AV609" s="78"/>
      <c r="AW609" s="78"/>
      <c r="AX609" s="78"/>
      <c r="AY609" s="91"/>
      <c r="AZ609" s="78"/>
      <c r="BA609" s="78"/>
      <c r="BB609" s="78"/>
      <c r="BC609" s="78"/>
      <c r="BD609" s="78"/>
      <c r="BE609" s="78"/>
      <c r="BF609" s="78"/>
      <c r="BG609" s="78"/>
      <c r="BH609" s="78"/>
      <c r="BI609" s="78"/>
      <c r="BJ609" s="78"/>
      <c r="BK609" s="78"/>
      <c r="BL609" s="78"/>
      <c r="BM609" s="78"/>
      <c r="BN609" s="78"/>
      <c r="BO609" s="78"/>
      <c r="BP609" s="78"/>
      <c r="BQ609" s="78"/>
      <c r="BR609" s="78"/>
      <c r="BS609" s="78"/>
      <c r="BT609" s="78"/>
      <c r="BU609" s="78"/>
      <c r="BV609" s="78"/>
      <c r="BW609" s="78"/>
      <c r="BX609" s="78"/>
      <c r="BY609" s="78"/>
      <c r="BZ609" s="78"/>
      <c r="CA609" s="78"/>
      <c r="CB609" s="78"/>
      <c r="CC609" s="78"/>
      <c r="CD609" s="78"/>
      <c r="CE609" s="78"/>
      <c r="CF609" s="78"/>
      <c r="CG609" s="78"/>
      <c r="CH609" s="78"/>
      <c r="CI609" s="78"/>
      <c r="CJ609" s="78"/>
      <c r="CK609" s="78"/>
      <c r="CL609" s="78"/>
      <c r="CM609" s="78"/>
      <c r="CN609" s="78"/>
      <c r="CO609" s="78"/>
      <c r="CP609" s="78"/>
      <c r="CQ609" s="78"/>
      <c r="CR609" s="78"/>
      <c r="CS609" s="78"/>
      <c r="CT609" s="78"/>
      <c r="CU609" s="78"/>
      <c r="CV609" s="78"/>
      <c r="CW609" s="78"/>
      <c r="CX609" s="78"/>
      <c r="CY609" s="78"/>
      <c r="CZ609" s="78"/>
      <c r="DA609" s="78"/>
      <c r="DB609" s="78"/>
      <c r="DC609" s="78"/>
      <c r="DD609" s="78"/>
      <c r="DE609" s="78"/>
      <c r="DF609" s="78"/>
      <c r="DG609" s="78"/>
      <c r="DH609" s="78"/>
      <c r="DI609" s="78"/>
      <c r="DJ609" s="78"/>
      <c r="DK609" s="78"/>
      <c r="DL609" s="78"/>
      <c r="DM609" s="78"/>
      <c r="DN609" s="78"/>
      <c r="DO609" s="78"/>
      <c r="DP609" s="78"/>
      <c r="DQ609" s="78"/>
      <c r="DR609" s="78"/>
      <c r="DS609" s="78"/>
      <c r="DT609" s="78"/>
      <c r="DU609" s="78"/>
      <c r="DV609" s="78"/>
      <c r="DW609" s="78"/>
      <c r="DX609" s="78"/>
      <c r="DY609" s="78"/>
      <c r="DZ609" s="78"/>
      <c r="EA609" s="78"/>
      <c r="EB609" s="78"/>
      <c r="EC609" s="78"/>
      <c r="ED609" s="78"/>
      <c r="EE609" s="78"/>
      <c r="EF609" s="78"/>
      <c r="EG609" s="78"/>
      <c r="EH609" s="78"/>
      <c r="EI609" s="78"/>
      <c r="EJ609" s="78"/>
      <c r="EK609" s="78"/>
      <c r="EL609" s="78"/>
      <c r="EM609" s="78"/>
      <c r="EN609" s="91"/>
      <c r="EO609" s="91"/>
      <c r="EP609" s="91"/>
      <c r="EQ609" s="91"/>
      <c r="ER609" s="91"/>
      <c r="ES609" s="91"/>
    </row>
    <row r="610" spans="1:149" outlineLevel="1">
      <c r="A610" s="29" t="str">
        <f t="shared" si="348"/>
        <v>lt003_entitypure_trnvr_b</v>
      </c>
      <c r="B610" s="67" t="s">
        <v>26</v>
      </c>
      <c r="C610" s="68" t="s">
        <v>26</v>
      </c>
      <c r="D610" s="64" t="s">
        <v>40</v>
      </c>
      <c r="E610" s="70" t="s">
        <v>335</v>
      </c>
      <c r="F610" s="353" t="s">
        <v>2206</v>
      </c>
      <c r="G610" s="64" t="str">
        <f>INDEX(Auxiliar!$B$16:$B$24,MATCH(Plano_V3!H610,Auxiliar!$C$16:$C$24,0),1)</f>
        <v>1. Concluído</v>
      </c>
      <c r="H610" s="64">
        <f>VLOOKUP(A610,'Aux - pivots1'!$A:$B,2,0)</f>
        <v>1</v>
      </c>
      <c r="I610" s="172">
        <f>SUMIFS(Table1[Estimação (horas)],Table1[Tabela],Plano_V3!E610,Table1[Campo],Plano_V3!F610)</f>
        <v>1</v>
      </c>
      <c r="J610" s="172">
        <f t="shared" si="349"/>
        <v>0.125</v>
      </c>
      <c r="K610" s="172">
        <f>SUMIFS(Table1[Horas efetivas],Table1[Tabela],Plano_V3!E610,Table1[Campo],Plano_V3!F610)</f>
        <v>1</v>
      </c>
      <c r="L610" s="172">
        <f t="shared" si="350"/>
        <v>0.125</v>
      </c>
      <c r="M610" s="174"/>
      <c r="N610" s="174">
        <f t="shared" si="351"/>
        <v>1</v>
      </c>
      <c r="O610" s="174"/>
      <c r="P610" s="87"/>
      <c r="R610" s="78"/>
      <c r="S610" s="78"/>
      <c r="T610" s="78"/>
      <c r="U610" s="78"/>
      <c r="V610" s="78"/>
      <c r="W610" s="78"/>
      <c r="X610" s="78"/>
      <c r="Y610" s="78"/>
      <c r="Z610" s="78"/>
      <c r="AA610" s="78"/>
      <c r="AB610" s="78"/>
      <c r="AC610" s="78"/>
      <c r="AD610" s="78"/>
      <c r="AE610" s="78"/>
      <c r="AF610" s="78"/>
      <c r="AG610" s="78"/>
      <c r="AH610" s="78"/>
      <c r="AI610" s="78"/>
      <c r="AJ610" s="78"/>
      <c r="AK610" s="78"/>
      <c r="AL610" s="78"/>
      <c r="AM610" s="78"/>
      <c r="AN610" s="78"/>
      <c r="AO610" s="78"/>
      <c r="AP610" s="78"/>
      <c r="AQ610" s="78"/>
      <c r="AR610" s="78"/>
      <c r="AS610" s="78"/>
      <c r="AT610" s="78"/>
      <c r="AU610" s="78"/>
      <c r="AV610" s="78"/>
      <c r="AW610" s="78"/>
      <c r="AX610" s="78"/>
      <c r="AY610" s="91"/>
      <c r="AZ610" s="78"/>
      <c r="BA610" s="78"/>
      <c r="BB610" s="78"/>
      <c r="BC610" s="78"/>
      <c r="BD610" s="78"/>
      <c r="BE610" s="78"/>
      <c r="BF610" s="78"/>
      <c r="BG610" s="78"/>
      <c r="BH610" s="78"/>
      <c r="BI610" s="78"/>
      <c r="BJ610" s="78"/>
      <c r="BK610" s="78"/>
      <c r="BL610" s="78"/>
      <c r="BM610" s="78"/>
      <c r="BN610" s="78"/>
      <c r="BO610" s="78"/>
      <c r="BP610" s="78"/>
      <c r="BQ610" s="78"/>
      <c r="BR610" s="78"/>
      <c r="BS610" s="78"/>
      <c r="BT610" s="78"/>
      <c r="BU610" s="78"/>
      <c r="BV610" s="78"/>
      <c r="BW610" s="78"/>
      <c r="BX610" s="78"/>
      <c r="BY610" s="78"/>
      <c r="BZ610" s="78"/>
      <c r="CA610" s="78"/>
      <c r="CB610" s="78"/>
      <c r="CC610" s="78"/>
      <c r="CD610" s="78"/>
      <c r="CE610" s="78"/>
      <c r="CF610" s="78"/>
      <c r="CG610" s="78"/>
      <c r="CH610" s="78"/>
      <c r="CI610" s="78"/>
      <c r="CJ610" s="78"/>
      <c r="CK610" s="78"/>
      <c r="CL610" s="78"/>
      <c r="CM610" s="78"/>
      <c r="CN610" s="78"/>
      <c r="CO610" s="78"/>
      <c r="CP610" s="78"/>
      <c r="CQ610" s="78"/>
      <c r="CR610" s="78"/>
      <c r="CS610" s="78"/>
      <c r="CT610" s="78"/>
      <c r="CU610" s="78"/>
      <c r="CV610" s="78"/>
      <c r="CW610" s="78"/>
      <c r="CX610" s="78"/>
      <c r="CY610" s="78"/>
      <c r="CZ610" s="78"/>
      <c r="DA610" s="78"/>
      <c r="DB610" s="78"/>
      <c r="DC610" s="78"/>
      <c r="DD610" s="78"/>
      <c r="DE610" s="78"/>
      <c r="DF610" s="78"/>
      <c r="DG610" s="78"/>
      <c r="DH610" s="78"/>
      <c r="DI610" s="78"/>
      <c r="DJ610" s="78"/>
      <c r="DK610" s="78"/>
      <c r="DL610" s="78"/>
      <c r="DM610" s="78"/>
      <c r="DN610" s="78"/>
      <c r="DO610" s="78"/>
      <c r="DP610" s="78"/>
      <c r="DQ610" s="78"/>
      <c r="DR610" s="78"/>
      <c r="DS610" s="78"/>
      <c r="DT610" s="78"/>
      <c r="DU610" s="78"/>
      <c r="DV610" s="78"/>
      <c r="DW610" s="78"/>
      <c r="DX610" s="78"/>
      <c r="DY610" s="78"/>
      <c r="DZ610" s="78"/>
      <c r="EA610" s="78"/>
      <c r="EB610" s="78"/>
      <c r="EC610" s="78"/>
      <c r="ED610" s="78"/>
      <c r="EE610" s="78"/>
      <c r="EF610" s="78"/>
      <c r="EG610" s="78"/>
      <c r="EH610" s="78"/>
      <c r="EI610" s="78"/>
      <c r="EJ610" s="78"/>
      <c r="EK610" s="78"/>
      <c r="EL610" s="78"/>
      <c r="EM610" s="78"/>
      <c r="EN610" s="91"/>
      <c r="EO610" s="91"/>
      <c r="EP610" s="91"/>
      <c r="EQ610" s="91"/>
      <c r="ER610" s="91"/>
      <c r="ES610" s="91"/>
    </row>
    <row r="611" spans="1:149" outlineLevel="1">
      <c r="A611" s="29" t="str">
        <f t="shared" si="348"/>
        <v>lt003_entitypure_capex_w</v>
      </c>
      <c r="B611" s="67" t="s">
        <v>26</v>
      </c>
      <c r="C611" s="68" t="s">
        <v>26</v>
      </c>
      <c r="D611" s="64" t="s">
        <v>40</v>
      </c>
      <c r="E611" s="70" t="s">
        <v>335</v>
      </c>
      <c r="F611" s="353" t="s">
        <v>2207</v>
      </c>
      <c r="G611" s="64" t="str">
        <f>INDEX(Auxiliar!$B$16:$B$24,MATCH(Plano_V3!H611,Auxiliar!$C$16:$C$24,0),1)</f>
        <v>1. Concluído</v>
      </c>
      <c r="H611" s="64">
        <f>VLOOKUP(A611,'Aux - pivots1'!$A:$B,2,0)</f>
        <v>1</v>
      </c>
      <c r="I611" s="172">
        <f>SUMIFS(Table1[Estimação (horas)],Table1[Tabela],Plano_V3!E611,Table1[Campo],Plano_V3!F611)</f>
        <v>1</v>
      </c>
      <c r="J611" s="172">
        <f t="shared" si="349"/>
        <v>0.125</v>
      </c>
      <c r="K611" s="172">
        <f>SUMIFS(Table1[Horas efetivas],Table1[Tabela],Plano_V3!E611,Table1[Campo],Plano_V3!F611)</f>
        <v>1</v>
      </c>
      <c r="L611" s="172">
        <f t="shared" si="350"/>
        <v>0.125</v>
      </c>
      <c r="M611" s="174"/>
      <c r="N611" s="174">
        <f t="shared" si="351"/>
        <v>1</v>
      </c>
      <c r="O611" s="174"/>
      <c r="P611" s="87"/>
      <c r="R611" s="78"/>
      <c r="S611" s="78"/>
      <c r="T611" s="78"/>
      <c r="U611" s="78"/>
      <c r="V611" s="78"/>
      <c r="W611" s="78"/>
      <c r="X611" s="78"/>
      <c r="Y611" s="78"/>
      <c r="Z611" s="78"/>
      <c r="AA611" s="78"/>
      <c r="AB611" s="78"/>
      <c r="AC611" s="78"/>
      <c r="AD611" s="78"/>
      <c r="AE611" s="78"/>
      <c r="AF611" s="78"/>
      <c r="AG611" s="78"/>
      <c r="AH611" s="78"/>
      <c r="AI611" s="78"/>
      <c r="AJ611" s="78"/>
      <c r="AK611" s="78"/>
      <c r="AL611" s="78"/>
      <c r="AM611" s="78"/>
      <c r="AN611" s="78"/>
      <c r="AO611" s="78"/>
      <c r="AP611" s="78"/>
      <c r="AQ611" s="78"/>
      <c r="AR611" s="78"/>
      <c r="AS611" s="78"/>
      <c r="AT611" s="78"/>
      <c r="AU611" s="78"/>
      <c r="AV611" s="78"/>
      <c r="AW611" s="78"/>
      <c r="AX611" s="78"/>
      <c r="AY611" s="91"/>
      <c r="AZ611" s="78"/>
      <c r="BA611" s="78"/>
      <c r="BB611" s="78"/>
      <c r="BC611" s="78"/>
      <c r="BD611" s="78"/>
      <c r="BE611" s="78"/>
      <c r="BF611" s="78"/>
      <c r="BG611" s="78"/>
      <c r="BH611" s="78"/>
      <c r="BI611" s="78"/>
      <c r="BJ611" s="78"/>
      <c r="BK611" s="78"/>
      <c r="BL611" s="78"/>
      <c r="BM611" s="78"/>
      <c r="BN611" s="78"/>
      <c r="BO611" s="78"/>
      <c r="BP611" s="78"/>
      <c r="BQ611" s="78"/>
      <c r="BR611" s="78"/>
      <c r="BS611" s="78"/>
      <c r="BT611" s="78"/>
      <c r="BU611" s="78"/>
      <c r="BV611" s="78"/>
      <c r="BW611" s="78"/>
      <c r="BX611" s="78"/>
      <c r="BY611" s="78"/>
      <c r="BZ611" s="78"/>
      <c r="CA611" s="78"/>
      <c r="CB611" s="78"/>
      <c r="CC611" s="78"/>
      <c r="CD611" s="78"/>
      <c r="CE611" s="78"/>
      <c r="CF611" s="78"/>
      <c r="CG611" s="78"/>
      <c r="CH611" s="78"/>
      <c r="CI611" s="78"/>
      <c r="CJ611" s="78"/>
      <c r="CK611" s="78"/>
      <c r="CL611" s="78"/>
      <c r="CM611" s="78"/>
      <c r="CN611" s="78"/>
      <c r="CO611" s="78"/>
      <c r="CP611" s="78"/>
      <c r="CQ611" s="78"/>
      <c r="CR611" s="78"/>
      <c r="CS611" s="78"/>
      <c r="CT611" s="78"/>
      <c r="CU611" s="78"/>
      <c r="CV611" s="78"/>
      <c r="CW611" s="78"/>
      <c r="CX611" s="78"/>
      <c r="CY611" s="78"/>
      <c r="CZ611" s="78"/>
      <c r="DA611" s="78"/>
      <c r="DB611" s="78"/>
      <c r="DC611" s="78"/>
      <c r="DD611" s="78"/>
      <c r="DE611" s="78"/>
      <c r="DF611" s="78"/>
      <c r="DG611" s="78"/>
      <c r="DH611" s="78"/>
      <c r="DI611" s="78"/>
      <c r="DJ611" s="78"/>
      <c r="DK611" s="78"/>
      <c r="DL611" s="78"/>
      <c r="DM611" s="78"/>
      <c r="DN611" s="78"/>
      <c r="DO611" s="78"/>
      <c r="DP611" s="78"/>
      <c r="DQ611" s="78"/>
      <c r="DR611" s="78"/>
      <c r="DS611" s="78"/>
      <c r="DT611" s="78"/>
      <c r="DU611" s="78"/>
      <c r="DV611" s="78"/>
      <c r="DW611" s="78"/>
      <c r="DX611" s="78"/>
      <c r="DY611" s="78"/>
      <c r="DZ611" s="78"/>
      <c r="EA611" s="78"/>
      <c r="EB611" s="78"/>
      <c r="EC611" s="78"/>
      <c r="ED611" s="78"/>
      <c r="EE611" s="78"/>
      <c r="EF611" s="78"/>
      <c r="EG611" s="78"/>
      <c r="EH611" s="78"/>
      <c r="EI611" s="78"/>
      <c r="EJ611" s="78"/>
      <c r="EK611" s="78"/>
      <c r="EL611" s="78"/>
      <c r="EM611" s="78"/>
      <c r="EN611" s="91"/>
      <c r="EO611" s="91"/>
      <c r="EP611" s="91"/>
      <c r="EQ611" s="91"/>
      <c r="ER611" s="91"/>
      <c r="ES611" s="91"/>
    </row>
    <row r="612" spans="1:149" outlineLevel="1">
      <c r="A612" s="29" t="str">
        <f t="shared" si="348"/>
        <v>lt003_entitypure_trnvr_w</v>
      </c>
      <c r="B612" s="67" t="s">
        <v>26</v>
      </c>
      <c r="C612" s="68" t="s">
        <v>26</v>
      </c>
      <c r="D612" s="64" t="s">
        <v>40</v>
      </c>
      <c r="E612" s="70" t="s">
        <v>335</v>
      </c>
      <c r="F612" s="353" t="s">
        <v>2208</v>
      </c>
      <c r="G612" s="64" t="str">
        <f>INDEX(Auxiliar!$B$16:$B$24,MATCH(Plano_V3!H612,Auxiliar!$C$16:$C$24,0),1)</f>
        <v>1. Concluído</v>
      </c>
      <c r="H612" s="64">
        <f>VLOOKUP(A612,'Aux - pivots1'!$A:$B,2,0)</f>
        <v>1</v>
      </c>
      <c r="I612" s="172">
        <f>SUMIFS(Table1[Estimação (horas)],Table1[Tabela],Plano_V3!E612,Table1[Campo],Plano_V3!F612)</f>
        <v>1</v>
      </c>
      <c r="J612" s="172">
        <f t="shared" si="349"/>
        <v>0.125</v>
      </c>
      <c r="K612" s="172">
        <f>SUMIFS(Table1[Horas efetivas],Table1[Tabela],Plano_V3!E612,Table1[Campo],Plano_V3!F612)</f>
        <v>1</v>
      </c>
      <c r="L612" s="172">
        <f t="shared" si="350"/>
        <v>0.125</v>
      </c>
      <c r="M612" s="174"/>
      <c r="N612" s="174">
        <f t="shared" si="351"/>
        <v>1</v>
      </c>
      <c r="O612" s="174"/>
      <c r="P612" s="87"/>
      <c r="R612" s="78"/>
      <c r="S612" s="78"/>
      <c r="T612" s="78"/>
      <c r="U612" s="78"/>
      <c r="V612" s="78"/>
      <c r="W612" s="78"/>
      <c r="X612" s="78"/>
      <c r="Y612" s="78"/>
      <c r="Z612" s="78"/>
      <c r="AA612" s="78"/>
      <c r="AB612" s="78"/>
      <c r="AC612" s="78"/>
      <c r="AD612" s="78"/>
      <c r="AE612" s="78"/>
      <c r="AF612" s="78"/>
      <c r="AG612" s="78"/>
      <c r="AH612" s="78"/>
      <c r="AI612" s="78"/>
      <c r="AJ612" s="78"/>
      <c r="AK612" s="78"/>
      <c r="AL612" s="78"/>
      <c r="AM612" s="78"/>
      <c r="AN612" s="78"/>
      <c r="AO612" s="78"/>
      <c r="AP612" s="78"/>
      <c r="AQ612" s="78"/>
      <c r="AR612" s="78"/>
      <c r="AS612" s="78"/>
      <c r="AT612" s="78"/>
      <c r="AU612" s="78"/>
      <c r="AV612" s="78"/>
      <c r="AW612" s="78"/>
      <c r="AX612" s="78"/>
      <c r="AY612" s="91"/>
      <c r="AZ612" s="78"/>
      <c r="BA612" s="78"/>
      <c r="BB612" s="78"/>
      <c r="BC612" s="78"/>
      <c r="BD612" s="78"/>
      <c r="BE612" s="78"/>
      <c r="BF612" s="78"/>
      <c r="BG612" s="78"/>
      <c r="BH612" s="78"/>
      <c r="BI612" s="78"/>
      <c r="BJ612" s="78"/>
      <c r="BK612" s="78"/>
      <c r="BL612" s="78"/>
      <c r="BM612" s="78"/>
      <c r="BN612" s="78"/>
      <c r="BO612" s="78"/>
      <c r="BP612" s="78"/>
      <c r="BQ612" s="78"/>
      <c r="BR612" s="78"/>
      <c r="BS612" s="78"/>
      <c r="BT612" s="78"/>
      <c r="BU612" s="78"/>
      <c r="BV612" s="78"/>
      <c r="BW612" s="78"/>
      <c r="BX612" s="78"/>
      <c r="BY612" s="78"/>
      <c r="BZ612" s="78"/>
      <c r="CA612" s="78"/>
      <c r="CB612" s="78"/>
      <c r="CC612" s="78"/>
      <c r="CD612" s="78"/>
      <c r="CE612" s="78"/>
      <c r="CF612" s="78"/>
      <c r="CG612" s="78"/>
      <c r="CH612" s="78"/>
      <c r="CI612" s="78"/>
      <c r="CJ612" s="78"/>
      <c r="CK612" s="78"/>
      <c r="CL612" s="78"/>
      <c r="CM612" s="78"/>
      <c r="CN612" s="78"/>
      <c r="CO612" s="78"/>
      <c r="CP612" s="78"/>
      <c r="CQ612" s="78"/>
      <c r="CR612" s="78"/>
      <c r="CS612" s="78"/>
      <c r="CT612" s="78"/>
      <c r="CU612" s="78"/>
      <c r="CV612" s="78"/>
      <c r="CW612" s="78"/>
      <c r="CX612" s="78"/>
      <c r="CY612" s="78"/>
      <c r="CZ612" s="78"/>
      <c r="DA612" s="78"/>
      <c r="DB612" s="78"/>
      <c r="DC612" s="78"/>
      <c r="DD612" s="78"/>
      <c r="DE612" s="78"/>
      <c r="DF612" s="78"/>
      <c r="DG612" s="78"/>
      <c r="DH612" s="78"/>
      <c r="DI612" s="78"/>
      <c r="DJ612" s="78"/>
      <c r="DK612" s="78"/>
      <c r="DL612" s="78"/>
      <c r="DM612" s="78"/>
      <c r="DN612" s="78"/>
      <c r="DO612" s="78"/>
      <c r="DP612" s="78"/>
      <c r="DQ612" s="78"/>
      <c r="DR612" s="78"/>
      <c r="DS612" s="78"/>
      <c r="DT612" s="78"/>
      <c r="DU612" s="78"/>
      <c r="DV612" s="78"/>
      <c r="DW612" s="78"/>
      <c r="DX612" s="78"/>
      <c r="DY612" s="78"/>
      <c r="DZ612" s="78"/>
      <c r="EA612" s="78"/>
      <c r="EB612" s="78"/>
      <c r="EC612" s="78"/>
      <c r="ED612" s="78"/>
      <c r="EE612" s="78"/>
      <c r="EF612" s="78"/>
      <c r="EG612" s="78"/>
      <c r="EH612" s="78"/>
      <c r="EI612" s="78"/>
      <c r="EJ612" s="78"/>
      <c r="EK612" s="78"/>
      <c r="EL612" s="78"/>
      <c r="EM612" s="78"/>
      <c r="EN612" s="91"/>
      <c r="EO612" s="91"/>
      <c r="EP612" s="91"/>
      <c r="EQ612" s="91"/>
      <c r="ER612" s="91"/>
      <c r="ES612" s="91"/>
    </row>
    <row r="613" spans="1:149" outlineLevel="1">
      <c r="A613" s="29" t="str">
        <f t="shared" si="348"/>
        <v>lt003_entitypure_capex_ce</v>
      </c>
      <c r="B613" s="67" t="s">
        <v>26</v>
      </c>
      <c r="C613" s="68" t="s">
        <v>26</v>
      </c>
      <c r="D613" s="64" t="s">
        <v>40</v>
      </c>
      <c r="E613" s="70" t="s">
        <v>335</v>
      </c>
      <c r="F613" s="353" t="s">
        <v>2209</v>
      </c>
      <c r="G613" s="64" t="str">
        <f>INDEX(Auxiliar!$B$16:$B$24,MATCH(Plano_V3!H613,Auxiliar!$C$16:$C$24,0),1)</f>
        <v>1. Concluído</v>
      </c>
      <c r="H613" s="64">
        <f>VLOOKUP(A613,'Aux - pivots1'!$A:$B,2,0)</f>
        <v>1</v>
      </c>
      <c r="I613" s="172">
        <f>SUMIFS(Table1[Estimação (horas)],Table1[Tabela],Plano_V3!E613,Table1[Campo],Plano_V3!F613)</f>
        <v>1</v>
      </c>
      <c r="J613" s="172">
        <f t="shared" si="349"/>
        <v>0.125</v>
      </c>
      <c r="K613" s="172">
        <f>SUMIFS(Table1[Horas efetivas],Table1[Tabela],Plano_V3!E613,Table1[Campo],Plano_V3!F613)</f>
        <v>1</v>
      </c>
      <c r="L613" s="172">
        <f t="shared" si="350"/>
        <v>0.125</v>
      </c>
      <c r="M613" s="174"/>
      <c r="N613" s="174">
        <f t="shared" si="351"/>
        <v>1</v>
      </c>
      <c r="O613" s="174"/>
      <c r="P613" s="87"/>
      <c r="R613" s="78"/>
      <c r="S613" s="78"/>
      <c r="T613" s="78"/>
      <c r="U613" s="78"/>
      <c r="V613" s="78"/>
      <c r="W613" s="78"/>
      <c r="X613" s="78"/>
      <c r="Y613" s="78"/>
      <c r="Z613" s="78"/>
      <c r="AA613" s="78"/>
      <c r="AB613" s="78"/>
      <c r="AC613" s="78"/>
      <c r="AD613" s="78"/>
      <c r="AE613" s="78"/>
      <c r="AF613" s="78"/>
      <c r="AG613" s="78"/>
      <c r="AH613" s="78"/>
      <c r="AI613" s="78"/>
      <c r="AJ613" s="78"/>
      <c r="AK613" s="78"/>
      <c r="AL613" s="78"/>
      <c r="AM613" s="78"/>
      <c r="AN613" s="78"/>
      <c r="AO613" s="78"/>
      <c r="AP613" s="78"/>
      <c r="AQ613" s="78"/>
      <c r="AR613" s="78"/>
      <c r="AS613" s="78"/>
      <c r="AT613" s="78"/>
      <c r="AU613" s="78"/>
      <c r="AV613" s="78"/>
      <c r="AW613" s="78"/>
      <c r="AX613" s="78"/>
      <c r="AY613" s="91"/>
      <c r="AZ613" s="78"/>
      <c r="BA613" s="78"/>
      <c r="BB613" s="78"/>
      <c r="BC613" s="78"/>
      <c r="BD613" s="78"/>
      <c r="BE613" s="78"/>
      <c r="BF613" s="78"/>
      <c r="BG613" s="78"/>
      <c r="BH613" s="78"/>
      <c r="BI613" s="78"/>
      <c r="BJ613" s="78"/>
      <c r="BK613" s="78"/>
      <c r="BL613" s="78"/>
      <c r="BM613" s="78"/>
      <c r="BN613" s="78"/>
      <c r="BO613" s="78"/>
      <c r="BP613" s="78"/>
      <c r="BQ613" s="78"/>
      <c r="BR613" s="78"/>
      <c r="BS613" s="78"/>
      <c r="BT613" s="78"/>
      <c r="BU613" s="78"/>
      <c r="BV613" s="78"/>
      <c r="BW613" s="78"/>
      <c r="BX613" s="78"/>
      <c r="BY613" s="78"/>
      <c r="BZ613" s="78"/>
      <c r="CA613" s="78"/>
      <c r="CB613" s="78"/>
      <c r="CC613" s="78"/>
      <c r="CD613" s="78"/>
      <c r="CE613" s="78"/>
      <c r="CF613" s="78"/>
      <c r="CG613" s="78"/>
      <c r="CH613" s="78"/>
      <c r="CI613" s="78"/>
      <c r="CJ613" s="78"/>
      <c r="CK613" s="78"/>
      <c r="CL613" s="78"/>
      <c r="CM613" s="78"/>
      <c r="CN613" s="78"/>
      <c r="CO613" s="78"/>
      <c r="CP613" s="78"/>
      <c r="CQ613" s="78"/>
      <c r="CR613" s="78"/>
      <c r="CS613" s="78"/>
      <c r="CT613" s="78"/>
      <c r="CU613" s="78"/>
      <c r="CV613" s="78"/>
      <c r="CW613" s="78"/>
      <c r="CX613" s="78"/>
      <c r="CY613" s="78"/>
      <c r="CZ613" s="78"/>
      <c r="DA613" s="78"/>
      <c r="DB613" s="78"/>
      <c r="DC613" s="78"/>
      <c r="DD613" s="78"/>
      <c r="DE613" s="78"/>
      <c r="DF613" s="78"/>
      <c r="DG613" s="78"/>
      <c r="DH613" s="78"/>
      <c r="DI613" s="78"/>
      <c r="DJ613" s="78"/>
      <c r="DK613" s="78"/>
      <c r="DL613" s="78"/>
      <c r="DM613" s="78"/>
      <c r="DN613" s="78"/>
      <c r="DO613" s="78"/>
      <c r="DP613" s="78"/>
      <c r="DQ613" s="78"/>
      <c r="DR613" s="78"/>
      <c r="DS613" s="78"/>
      <c r="DT613" s="78"/>
      <c r="DU613" s="78"/>
      <c r="DV613" s="78"/>
      <c r="DW613" s="78"/>
      <c r="DX613" s="78"/>
      <c r="DY613" s="78"/>
      <c r="DZ613" s="78"/>
      <c r="EA613" s="78"/>
      <c r="EB613" s="78"/>
      <c r="EC613" s="78"/>
      <c r="ED613" s="78"/>
      <c r="EE613" s="78"/>
      <c r="EF613" s="78"/>
      <c r="EG613" s="78"/>
      <c r="EH613" s="78"/>
      <c r="EI613" s="78"/>
      <c r="EJ613" s="78"/>
      <c r="EK613" s="78"/>
      <c r="EL613" s="78"/>
      <c r="EM613" s="78"/>
      <c r="EN613" s="91"/>
      <c r="EO613" s="91"/>
      <c r="EP613" s="91"/>
      <c r="EQ613" s="91"/>
      <c r="ER613" s="91"/>
      <c r="ES613" s="91"/>
    </row>
    <row r="614" spans="1:149" outlineLevel="1">
      <c r="A614" s="29" t="str">
        <f t="shared" si="348"/>
        <v>lt003_entitypure_trnvr_ce</v>
      </c>
      <c r="B614" s="67" t="s">
        <v>26</v>
      </c>
      <c r="C614" s="68" t="s">
        <v>26</v>
      </c>
      <c r="D614" s="64" t="s">
        <v>40</v>
      </c>
      <c r="E614" s="70" t="s">
        <v>335</v>
      </c>
      <c r="F614" s="353" t="s">
        <v>2210</v>
      </c>
      <c r="G614" s="64" t="str">
        <f>INDEX(Auxiliar!$B$16:$B$24,MATCH(Plano_V3!H614,Auxiliar!$C$16:$C$24,0),1)</f>
        <v>1. Concluído</v>
      </c>
      <c r="H614" s="64">
        <f>VLOOKUP(A614,'Aux - pivots1'!$A:$B,2,0)</f>
        <v>1</v>
      </c>
      <c r="I614" s="172">
        <f>SUMIFS(Table1[Estimação (horas)],Table1[Tabela],Plano_V3!E614,Table1[Campo],Plano_V3!F614)</f>
        <v>1</v>
      </c>
      <c r="J614" s="172">
        <f t="shared" si="349"/>
        <v>0.125</v>
      </c>
      <c r="K614" s="172">
        <f>SUMIFS(Table1[Horas efetivas],Table1[Tabela],Plano_V3!E614,Table1[Campo],Plano_V3!F614)</f>
        <v>1</v>
      </c>
      <c r="L614" s="172">
        <f t="shared" si="350"/>
        <v>0.125</v>
      </c>
      <c r="M614" s="174"/>
      <c r="N614" s="174">
        <f t="shared" si="351"/>
        <v>1</v>
      </c>
      <c r="O614" s="174"/>
      <c r="P614" s="87"/>
      <c r="R614" s="78"/>
      <c r="S614" s="78"/>
      <c r="T614" s="78"/>
      <c r="U614" s="78"/>
      <c r="V614" s="78"/>
      <c r="W614" s="78"/>
      <c r="X614" s="78"/>
      <c r="Y614" s="78"/>
      <c r="Z614" s="78"/>
      <c r="AA614" s="78"/>
      <c r="AB614" s="78"/>
      <c r="AC614" s="78"/>
      <c r="AD614" s="78"/>
      <c r="AE614" s="78"/>
      <c r="AF614" s="78"/>
      <c r="AG614" s="78"/>
      <c r="AH614" s="78"/>
      <c r="AI614" s="78"/>
      <c r="AJ614" s="78"/>
      <c r="AK614" s="78"/>
      <c r="AL614" s="78"/>
      <c r="AM614" s="78"/>
      <c r="AN614" s="78"/>
      <c r="AO614" s="78"/>
      <c r="AP614" s="78"/>
      <c r="AQ614" s="78"/>
      <c r="AR614" s="78"/>
      <c r="AS614" s="78"/>
      <c r="AT614" s="78"/>
      <c r="AU614" s="78"/>
      <c r="AV614" s="78"/>
      <c r="AW614" s="78"/>
      <c r="AX614" s="78"/>
      <c r="AY614" s="91"/>
      <c r="AZ614" s="78"/>
      <c r="BA614" s="78"/>
      <c r="BB614" s="78"/>
      <c r="BC614" s="78"/>
      <c r="BD614" s="78"/>
      <c r="BE614" s="78"/>
      <c r="BF614" s="78"/>
      <c r="BG614" s="78"/>
      <c r="BH614" s="78"/>
      <c r="BI614" s="78"/>
      <c r="BJ614" s="78"/>
      <c r="BK614" s="78"/>
      <c r="BL614" s="78"/>
      <c r="BM614" s="78"/>
      <c r="BN614" s="78"/>
      <c r="BO614" s="78"/>
      <c r="BP614" s="78"/>
      <c r="BQ614" s="78"/>
      <c r="BR614" s="78"/>
      <c r="BS614" s="78"/>
      <c r="BT614" s="78"/>
      <c r="BU614" s="78"/>
      <c r="BV614" s="78"/>
      <c r="BW614" s="78"/>
      <c r="BX614" s="78"/>
      <c r="BY614" s="78"/>
      <c r="BZ614" s="78"/>
      <c r="CA614" s="78"/>
      <c r="CB614" s="78"/>
      <c r="CC614" s="78"/>
      <c r="CD614" s="78"/>
      <c r="CE614" s="78"/>
      <c r="CF614" s="78"/>
      <c r="CG614" s="78"/>
      <c r="CH614" s="78"/>
      <c r="CI614" s="78"/>
      <c r="CJ614" s="78"/>
      <c r="CK614" s="78"/>
      <c r="CL614" s="78"/>
      <c r="CM614" s="78"/>
      <c r="CN614" s="78"/>
      <c r="CO614" s="78"/>
      <c r="CP614" s="78"/>
      <c r="CQ614" s="78"/>
      <c r="CR614" s="78"/>
      <c r="CS614" s="78"/>
      <c r="CT614" s="78"/>
      <c r="CU614" s="78"/>
      <c r="CV614" s="78"/>
      <c r="CW614" s="78"/>
      <c r="CX614" s="78"/>
      <c r="CY614" s="78"/>
      <c r="CZ614" s="78"/>
      <c r="DA614" s="78"/>
      <c r="DB614" s="78"/>
      <c r="DC614" s="78"/>
      <c r="DD614" s="78"/>
      <c r="DE614" s="78"/>
      <c r="DF614" s="78"/>
      <c r="DG614" s="78"/>
      <c r="DH614" s="78"/>
      <c r="DI614" s="78"/>
      <c r="DJ614" s="78"/>
      <c r="DK614" s="78"/>
      <c r="DL614" s="78"/>
      <c r="DM614" s="78"/>
      <c r="DN614" s="78"/>
      <c r="DO614" s="78"/>
      <c r="DP614" s="78"/>
      <c r="DQ614" s="78"/>
      <c r="DR614" s="78"/>
      <c r="DS614" s="78"/>
      <c r="DT614" s="78"/>
      <c r="DU614" s="78"/>
      <c r="DV614" s="78"/>
      <c r="DW614" s="78"/>
      <c r="DX614" s="78"/>
      <c r="DY614" s="78"/>
      <c r="DZ614" s="78"/>
      <c r="EA614" s="78"/>
      <c r="EB614" s="78"/>
      <c r="EC614" s="78"/>
      <c r="ED614" s="78"/>
      <c r="EE614" s="78"/>
      <c r="EF614" s="78"/>
      <c r="EG614" s="78"/>
      <c r="EH614" s="78"/>
      <c r="EI614" s="78"/>
      <c r="EJ614" s="78"/>
      <c r="EK614" s="78"/>
      <c r="EL614" s="78"/>
      <c r="EM614" s="78"/>
      <c r="EN614" s="91"/>
      <c r="EO614" s="91"/>
      <c r="EP614" s="91"/>
      <c r="EQ614" s="91"/>
      <c r="ER614" s="91"/>
      <c r="ES614" s="91"/>
    </row>
    <row r="615" spans="1:149" outlineLevel="1">
      <c r="A615" s="29" t="str">
        <f t="shared" si="348"/>
        <v>lt003_entityenblng_capex_w</v>
      </c>
      <c r="B615" s="67" t="s">
        <v>26</v>
      </c>
      <c r="C615" s="68" t="s">
        <v>26</v>
      </c>
      <c r="D615" s="64" t="s">
        <v>40</v>
      </c>
      <c r="E615" s="70" t="s">
        <v>335</v>
      </c>
      <c r="F615" s="353" t="s">
        <v>2211</v>
      </c>
      <c r="G615" s="64" t="str">
        <f>INDEX(Auxiliar!$B$16:$B$24,MATCH(Plano_V3!H615,Auxiliar!$C$16:$C$24,0),1)</f>
        <v>1. Concluído</v>
      </c>
      <c r="H615" s="64">
        <f>VLOOKUP(A615,'Aux - pivots1'!$A:$B,2,0)</f>
        <v>1</v>
      </c>
      <c r="I615" s="172">
        <f>SUMIFS(Table1[Estimação (horas)],Table1[Tabela],Plano_V3!E615,Table1[Campo],Plano_V3!F615)</f>
        <v>1</v>
      </c>
      <c r="J615" s="172">
        <f t="shared" si="349"/>
        <v>0.125</v>
      </c>
      <c r="K615" s="172">
        <f>SUMIFS(Table1[Horas efetivas],Table1[Tabela],Plano_V3!E615,Table1[Campo],Plano_V3!F615)</f>
        <v>1</v>
      </c>
      <c r="L615" s="172">
        <f t="shared" si="350"/>
        <v>0.125</v>
      </c>
      <c r="M615" s="174"/>
      <c r="N615" s="174">
        <f t="shared" si="351"/>
        <v>1</v>
      </c>
      <c r="O615" s="174"/>
      <c r="P615" s="87"/>
      <c r="R615" s="78"/>
      <c r="S615" s="78"/>
      <c r="T615" s="78"/>
      <c r="U615" s="78"/>
      <c r="V615" s="78"/>
      <c r="W615" s="78"/>
      <c r="X615" s="78"/>
      <c r="Y615" s="78"/>
      <c r="Z615" s="78"/>
      <c r="AA615" s="78"/>
      <c r="AB615" s="78"/>
      <c r="AC615" s="78"/>
      <c r="AD615" s="78"/>
      <c r="AE615" s="78"/>
      <c r="AF615" s="78"/>
      <c r="AG615" s="78"/>
      <c r="AH615" s="78"/>
      <c r="AI615" s="78"/>
      <c r="AJ615" s="78"/>
      <c r="AK615" s="78"/>
      <c r="AL615" s="78"/>
      <c r="AM615" s="78"/>
      <c r="AN615" s="78"/>
      <c r="AO615" s="78"/>
      <c r="AP615" s="78"/>
      <c r="AQ615" s="78"/>
      <c r="AR615" s="78"/>
      <c r="AS615" s="78"/>
      <c r="AT615" s="78"/>
      <c r="AU615" s="78"/>
      <c r="AV615" s="78"/>
      <c r="AW615" s="78"/>
      <c r="AX615" s="78"/>
      <c r="AY615" s="91"/>
      <c r="AZ615" s="78"/>
      <c r="BA615" s="78"/>
      <c r="BB615" s="78"/>
      <c r="BC615" s="78"/>
      <c r="BD615" s="78"/>
      <c r="BE615" s="78"/>
      <c r="BF615" s="78"/>
      <c r="BG615" s="78"/>
      <c r="BH615" s="78"/>
      <c r="BI615" s="78"/>
      <c r="BJ615" s="78"/>
      <c r="BK615" s="78"/>
      <c r="BL615" s="78"/>
      <c r="BM615" s="78"/>
      <c r="BN615" s="78"/>
      <c r="BO615" s="78"/>
      <c r="BP615" s="78"/>
      <c r="BQ615" s="78"/>
      <c r="BR615" s="78"/>
      <c r="BS615" s="78"/>
      <c r="BT615" s="78"/>
      <c r="BU615" s="78"/>
      <c r="BV615" s="78"/>
      <c r="BW615" s="78"/>
      <c r="BX615" s="78"/>
      <c r="BY615" s="78"/>
      <c r="BZ615" s="78"/>
      <c r="CA615" s="78"/>
      <c r="CB615" s="78"/>
      <c r="CC615" s="78"/>
      <c r="CD615" s="78"/>
      <c r="CE615" s="78"/>
      <c r="CF615" s="78"/>
      <c r="CG615" s="78"/>
      <c r="CH615" s="78"/>
      <c r="CI615" s="78"/>
      <c r="CJ615" s="78"/>
      <c r="CK615" s="78"/>
      <c r="CL615" s="78"/>
      <c r="CM615" s="78"/>
      <c r="CN615" s="78"/>
      <c r="CO615" s="78"/>
      <c r="CP615" s="78"/>
      <c r="CQ615" s="78"/>
      <c r="CR615" s="78"/>
      <c r="CS615" s="78"/>
      <c r="CT615" s="78"/>
      <c r="CU615" s="78"/>
      <c r="CV615" s="78"/>
      <c r="CW615" s="78"/>
      <c r="CX615" s="78"/>
      <c r="CY615" s="78"/>
      <c r="CZ615" s="78"/>
      <c r="DA615" s="78"/>
      <c r="DB615" s="78"/>
      <c r="DC615" s="78"/>
      <c r="DD615" s="78"/>
      <c r="DE615" s="78"/>
      <c r="DF615" s="78"/>
      <c r="DG615" s="78"/>
      <c r="DH615" s="78"/>
      <c r="DI615" s="78"/>
      <c r="DJ615" s="78"/>
      <c r="DK615" s="78"/>
      <c r="DL615" s="78"/>
      <c r="DM615" s="78"/>
      <c r="DN615" s="78"/>
      <c r="DO615" s="78"/>
      <c r="DP615" s="78"/>
      <c r="DQ615" s="78"/>
      <c r="DR615" s="78"/>
      <c r="DS615" s="78"/>
      <c r="DT615" s="78"/>
      <c r="DU615" s="78"/>
      <c r="DV615" s="78"/>
      <c r="DW615" s="78"/>
      <c r="DX615" s="78"/>
      <c r="DY615" s="78"/>
      <c r="DZ615" s="78"/>
      <c r="EA615" s="78"/>
      <c r="EB615" s="78"/>
      <c r="EC615" s="78"/>
      <c r="ED615" s="78"/>
      <c r="EE615" s="78"/>
      <c r="EF615" s="78"/>
      <c r="EG615" s="78"/>
      <c r="EH615" s="78"/>
      <c r="EI615" s="78"/>
      <c r="EJ615" s="78"/>
      <c r="EK615" s="78"/>
      <c r="EL615" s="78"/>
      <c r="EM615" s="78"/>
      <c r="EN615" s="91"/>
      <c r="EO615" s="91"/>
      <c r="EP615" s="91"/>
      <c r="EQ615" s="91"/>
      <c r="ER615" s="91"/>
      <c r="ES615" s="91"/>
    </row>
    <row r="616" spans="1:149" outlineLevel="1">
      <c r="A616" s="29" t="str">
        <f t="shared" si="348"/>
        <v>lt003_entityenblng_trnvr_w</v>
      </c>
      <c r="B616" s="67" t="s">
        <v>26</v>
      </c>
      <c r="C616" s="68" t="s">
        <v>26</v>
      </c>
      <c r="D616" s="64" t="s">
        <v>40</v>
      </c>
      <c r="E616" s="70" t="s">
        <v>335</v>
      </c>
      <c r="F616" s="353" t="s">
        <v>2212</v>
      </c>
      <c r="G616" s="64" t="str">
        <f>INDEX(Auxiliar!$B$16:$B$24,MATCH(Plano_V3!H616,Auxiliar!$C$16:$C$24,0),1)</f>
        <v>1. Concluído</v>
      </c>
      <c r="H616" s="64">
        <f>VLOOKUP(A616,'Aux - pivots1'!$A:$B,2,0)</f>
        <v>1</v>
      </c>
      <c r="I616" s="172">
        <f>SUMIFS(Table1[Estimação (horas)],Table1[Tabela],Plano_V3!E616,Table1[Campo],Plano_V3!F616)</f>
        <v>1</v>
      </c>
      <c r="J616" s="172">
        <f t="shared" si="349"/>
        <v>0.125</v>
      </c>
      <c r="K616" s="172">
        <f>SUMIFS(Table1[Horas efetivas],Table1[Tabela],Plano_V3!E616,Table1[Campo],Plano_V3!F616)</f>
        <v>1</v>
      </c>
      <c r="L616" s="172">
        <f t="shared" si="350"/>
        <v>0.125</v>
      </c>
      <c r="M616" s="174"/>
      <c r="N616" s="174">
        <f t="shared" si="351"/>
        <v>1</v>
      </c>
      <c r="O616" s="174"/>
      <c r="P616" s="87"/>
      <c r="R616" s="78"/>
      <c r="S616" s="78"/>
      <c r="T616" s="78"/>
      <c r="U616" s="78"/>
      <c r="V616" s="78"/>
      <c r="W616" s="78"/>
      <c r="X616" s="78"/>
      <c r="Y616" s="78"/>
      <c r="Z616" s="78"/>
      <c r="AA616" s="78"/>
      <c r="AB616" s="78"/>
      <c r="AC616" s="78"/>
      <c r="AD616" s="78"/>
      <c r="AE616" s="78"/>
      <c r="AF616" s="78"/>
      <c r="AG616" s="78"/>
      <c r="AH616" s="78"/>
      <c r="AI616" s="78"/>
      <c r="AJ616" s="78"/>
      <c r="AK616" s="78"/>
      <c r="AL616" s="78"/>
      <c r="AM616" s="78"/>
      <c r="AN616" s="78"/>
      <c r="AO616" s="78"/>
      <c r="AP616" s="78"/>
      <c r="AQ616" s="78"/>
      <c r="AR616" s="78"/>
      <c r="AS616" s="78"/>
      <c r="AT616" s="78"/>
      <c r="AU616" s="78"/>
      <c r="AV616" s="78"/>
      <c r="AW616" s="78"/>
      <c r="AX616" s="78"/>
      <c r="AY616" s="91"/>
      <c r="AZ616" s="78"/>
      <c r="BA616" s="78"/>
      <c r="BB616" s="78"/>
      <c r="BC616" s="78"/>
      <c r="BD616" s="78"/>
      <c r="BE616" s="78"/>
      <c r="BF616" s="78"/>
      <c r="BG616" s="78"/>
      <c r="BH616" s="78"/>
      <c r="BI616" s="78"/>
      <c r="BJ616" s="78"/>
      <c r="BK616" s="78"/>
      <c r="BL616" s="78"/>
      <c r="BM616" s="78"/>
      <c r="BN616" s="78"/>
      <c r="BO616" s="78"/>
      <c r="BP616" s="78"/>
      <c r="BQ616" s="78"/>
      <c r="BR616" s="78"/>
      <c r="BS616" s="78"/>
      <c r="BT616" s="78"/>
      <c r="BU616" s="78"/>
      <c r="BV616" s="78"/>
      <c r="BW616" s="78"/>
      <c r="BX616" s="78"/>
      <c r="BY616" s="78"/>
      <c r="BZ616" s="78"/>
      <c r="CA616" s="78"/>
      <c r="CB616" s="78"/>
      <c r="CC616" s="78"/>
      <c r="CD616" s="78"/>
      <c r="CE616" s="78"/>
      <c r="CF616" s="78"/>
      <c r="CG616" s="78"/>
      <c r="CH616" s="78"/>
      <c r="CI616" s="78"/>
      <c r="CJ616" s="78"/>
      <c r="CK616" s="78"/>
      <c r="CL616" s="78"/>
      <c r="CM616" s="78"/>
      <c r="CN616" s="78"/>
      <c r="CO616" s="78"/>
      <c r="CP616" s="78"/>
      <c r="CQ616" s="78"/>
      <c r="CR616" s="78"/>
      <c r="CS616" s="78"/>
      <c r="CT616" s="78"/>
      <c r="CU616" s="78"/>
      <c r="CV616" s="78"/>
      <c r="CW616" s="78"/>
      <c r="CX616" s="78"/>
      <c r="CY616" s="78"/>
      <c r="CZ616" s="78"/>
      <c r="DA616" s="78"/>
      <c r="DB616" s="78"/>
      <c r="DC616" s="78"/>
      <c r="DD616" s="78"/>
      <c r="DE616" s="78"/>
      <c r="DF616" s="78"/>
      <c r="DG616" s="78"/>
      <c r="DH616" s="78"/>
      <c r="DI616" s="78"/>
      <c r="DJ616" s="78"/>
      <c r="DK616" s="78"/>
      <c r="DL616" s="78"/>
      <c r="DM616" s="78"/>
      <c r="DN616" s="78"/>
      <c r="DO616" s="78"/>
      <c r="DP616" s="78"/>
      <c r="DQ616" s="78"/>
      <c r="DR616" s="78"/>
      <c r="DS616" s="78"/>
      <c r="DT616" s="78"/>
      <c r="DU616" s="78"/>
      <c r="DV616" s="78"/>
      <c r="DW616" s="78"/>
      <c r="DX616" s="78"/>
      <c r="DY616" s="78"/>
      <c r="DZ616" s="78"/>
      <c r="EA616" s="78"/>
      <c r="EB616" s="78"/>
      <c r="EC616" s="78"/>
      <c r="ED616" s="78"/>
      <c r="EE616" s="78"/>
      <c r="EF616" s="78"/>
      <c r="EG616" s="78"/>
      <c r="EH616" s="78"/>
      <c r="EI616" s="78"/>
      <c r="EJ616" s="78"/>
      <c r="EK616" s="78"/>
      <c r="EL616" s="78"/>
      <c r="EM616" s="78"/>
      <c r="EN616" s="91"/>
      <c r="EO616" s="91"/>
      <c r="EP616" s="91"/>
      <c r="EQ616" s="91"/>
      <c r="ER616" s="91"/>
      <c r="ES616" s="91"/>
    </row>
    <row r="617" spans="1:149" outlineLevel="1">
      <c r="A617" s="29" t="str">
        <f t="shared" si="348"/>
        <v>lt003_entityenblng_capex_ce</v>
      </c>
      <c r="B617" s="67" t="s">
        <v>26</v>
      </c>
      <c r="C617" s="68" t="s">
        <v>26</v>
      </c>
      <c r="D617" s="64" t="s">
        <v>40</v>
      </c>
      <c r="E617" s="70" t="s">
        <v>335</v>
      </c>
      <c r="F617" s="353" t="s">
        <v>2213</v>
      </c>
      <c r="G617" s="64" t="str">
        <f>INDEX(Auxiliar!$B$16:$B$24,MATCH(Plano_V3!H617,Auxiliar!$C$16:$C$24,0),1)</f>
        <v>1. Concluído</v>
      </c>
      <c r="H617" s="64">
        <f>VLOOKUP(A617,'Aux - pivots1'!$A:$B,2,0)</f>
        <v>1</v>
      </c>
      <c r="I617" s="172">
        <f>SUMIFS(Table1[Estimação (horas)],Table1[Tabela],Plano_V3!E617,Table1[Campo],Plano_V3!F617)</f>
        <v>1</v>
      </c>
      <c r="J617" s="172">
        <f t="shared" si="349"/>
        <v>0.125</v>
      </c>
      <c r="K617" s="172">
        <f>SUMIFS(Table1[Horas efetivas],Table1[Tabela],Plano_V3!E617,Table1[Campo],Plano_V3!F617)</f>
        <v>1</v>
      </c>
      <c r="L617" s="172">
        <f t="shared" si="350"/>
        <v>0.125</v>
      </c>
      <c r="M617" s="174"/>
      <c r="N617" s="174">
        <f t="shared" si="351"/>
        <v>1</v>
      </c>
      <c r="O617" s="174"/>
      <c r="P617" s="87"/>
      <c r="R617" s="78"/>
      <c r="S617" s="78"/>
      <c r="T617" s="78"/>
      <c r="U617" s="78"/>
      <c r="V617" s="78"/>
      <c r="W617" s="78"/>
      <c r="X617" s="78"/>
      <c r="Y617" s="78"/>
      <c r="Z617" s="78"/>
      <c r="AA617" s="78"/>
      <c r="AB617" s="78"/>
      <c r="AC617" s="78"/>
      <c r="AD617" s="78"/>
      <c r="AE617" s="78"/>
      <c r="AF617" s="78"/>
      <c r="AG617" s="78"/>
      <c r="AH617" s="78"/>
      <c r="AI617" s="78"/>
      <c r="AJ617" s="78"/>
      <c r="AK617" s="78"/>
      <c r="AL617" s="78"/>
      <c r="AM617" s="78"/>
      <c r="AN617" s="78"/>
      <c r="AO617" s="78"/>
      <c r="AP617" s="78"/>
      <c r="AQ617" s="78"/>
      <c r="AR617" s="78"/>
      <c r="AS617" s="78"/>
      <c r="AT617" s="78"/>
      <c r="AU617" s="78"/>
      <c r="AV617" s="78"/>
      <c r="AW617" s="78"/>
      <c r="AX617" s="78"/>
      <c r="AY617" s="91"/>
      <c r="AZ617" s="78"/>
      <c r="BA617" s="78"/>
      <c r="BB617" s="78"/>
      <c r="BC617" s="78"/>
      <c r="BD617" s="78"/>
      <c r="BE617" s="78"/>
      <c r="BF617" s="78"/>
      <c r="BG617" s="78"/>
      <c r="BH617" s="78"/>
      <c r="BI617" s="78"/>
      <c r="BJ617" s="78"/>
      <c r="BK617" s="78"/>
      <c r="BL617" s="78"/>
      <c r="BM617" s="78"/>
      <c r="BN617" s="78"/>
      <c r="BO617" s="78"/>
      <c r="BP617" s="78"/>
      <c r="BQ617" s="78"/>
      <c r="BR617" s="78"/>
      <c r="BS617" s="78"/>
      <c r="BT617" s="78"/>
      <c r="BU617" s="78"/>
      <c r="BV617" s="78"/>
      <c r="BW617" s="78"/>
      <c r="BX617" s="78"/>
      <c r="BY617" s="78"/>
      <c r="BZ617" s="78"/>
      <c r="CA617" s="78"/>
      <c r="CB617" s="78"/>
      <c r="CC617" s="78"/>
      <c r="CD617" s="78"/>
      <c r="CE617" s="78"/>
      <c r="CF617" s="78"/>
      <c r="CG617" s="78"/>
      <c r="CH617" s="78"/>
      <c r="CI617" s="78"/>
      <c r="CJ617" s="78"/>
      <c r="CK617" s="78"/>
      <c r="CL617" s="78"/>
      <c r="CM617" s="78"/>
      <c r="CN617" s="78"/>
      <c r="CO617" s="78"/>
      <c r="CP617" s="78"/>
      <c r="CQ617" s="78"/>
      <c r="CR617" s="78"/>
      <c r="CS617" s="78"/>
      <c r="CT617" s="78"/>
      <c r="CU617" s="78"/>
      <c r="CV617" s="78"/>
      <c r="CW617" s="78"/>
      <c r="CX617" s="78"/>
      <c r="CY617" s="78"/>
      <c r="CZ617" s="78"/>
      <c r="DA617" s="78"/>
      <c r="DB617" s="78"/>
      <c r="DC617" s="78"/>
      <c r="DD617" s="78"/>
      <c r="DE617" s="78"/>
      <c r="DF617" s="78"/>
      <c r="DG617" s="78"/>
      <c r="DH617" s="78"/>
      <c r="DI617" s="78"/>
      <c r="DJ617" s="78"/>
      <c r="DK617" s="78"/>
      <c r="DL617" s="78"/>
      <c r="DM617" s="78"/>
      <c r="DN617" s="78"/>
      <c r="DO617" s="78"/>
      <c r="DP617" s="78"/>
      <c r="DQ617" s="78"/>
      <c r="DR617" s="78"/>
      <c r="DS617" s="78"/>
      <c r="DT617" s="78"/>
      <c r="DU617" s="78"/>
      <c r="DV617" s="78"/>
      <c r="DW617" s="78"/>
      <c r="DX617" s="78"/>
      <c r="DY617" s="78"/>
      <c r="DZ617" s="78"/>
      <c r="EA617" s="78"/>
      <c r="EB617" s="78"/>
      <c r="EC617" s="78"/>
      <c r="ED617" s="78"/>
      <c r="EE617" s="78"/>
      <c r="EF617" s="78"/>
      <c r="EG617" s="78"/>
      <c r="EH617" s="78"/>
      <c r="EI617" s="78"/>
      <c r="EJ617" s="78"/>
      <c r="EK617" s="78"/>
      <c r="EL617" s="78"/>
      <c r="EM617" s="78"/>
      <c r="EN617" s="91"/>
      <c r="EO617" s="91"/>
      <c r="EP617" s="91"/>
      <c r="EQ617" s="91"/>
      <c r="ER617" s="91"/>
      <c r="ES617" s="91"/>
    </row>
    <row r="618" spans="1:149" outlineLevel="1">
      <c r="A618" s="29" t="str">
        <f t="shared" si="348"/>
        <v>lt003_entityenblng_trnvr_ce</v>
      </c>
      <c r="B618" s="67" t="s">
        <v>26</v>
      </c>
      <c r="C618" s="68" t="s">
        <v>26</v>
      </c>
      <c r="D618" s="64" t="s">
        <v>40</v>
      </c>
      <c r="E618" s="70" t="s">
        <v>335</v>
      </c>
      <c r="F618" s="353" t="s">
        <v>2214</v>
      </c>
      <c r="G618" s="64" t="str">
        <f>INDEX(Auxiliar!$B$16:$B$24,MATCH(Plano_V3!H618,Auxiliar!$C$16:$C$24,0),1)</f>
        <v>1. Concluído</v>
      </c>
      <c r="H618" s="64">
        <f>VLOOKUP(A618,'Aux - pivots1'!$A:$B,2,0)</f>
        <v>1</v>
      </c>
      <c r="I618" s="172">
        <f>SUMIFS(Table1[Estimação (horas)],Table1[Tabela],Plano_V3!E618,Table1[Campo],Plano_V3!F618)</f>
        <v>1</v>
      </c>
      <c r="J618" s="172">
        <f t="shared" si="349"/>
        <v>0.125</v>
      </c>
      <c r="K618" s="172">
        <f>SUMIFS(Table1[Horas efetivas],Table1[Tabela],Plano_V3!E618,Table1[Campo],Plano_V3!F618)</f>
        <v>1</v>
      </c>
      <c r="L618" s="172">
        <f t="shared" si="350"/>
        <v>0.125</v>
      </c>
      <c r="M618" s="174"/>
      <c r="N618" s="174">
        <f t="shared" si="351"/>
        <v>1</v>
      </c>
      <c r="O618" s="174"/>
      <c r="P618" s="87"/>
      <c r="R618" s="78"/>
      <c r="S618" s="78"/>
      <c r="T618" s="78"/>
      <c r="U618" s="78"/>
      <c r="V618" s="78"/>
      <c r="W618" s="78"/>
      <c r="X618" s="78"/>
      <c r="Y618" s="78"/>
      <c r="Z618" s="78"/>
      <c r="AA618" s="78"/>
      <c r="AB618" s="78"/>
      <c r="AC618" s="78"/>
      <c r="AD618" s="78"/>
      <c r="AE618" s="78"/>
      <c r="AF618" s="78"/>
      <c r="AG618" s="78"/>
      <c r="AH618" s="78"/>
      <c r="AI618" s="78"/>
      <c r="AJ618" s="78"/>
      <c r="AK618" s="78"/>
      <c r="AL618" s="78"/>
      <c r="AM618" s="78"/>
      <c r="AN618" s="78"/>
      <c r="AO618" s="78"/>
      <c r="AP618" s="78"/>
      <c r="AQ618" s="78"/>
      <c r="AR618" s="78"/>
      <c r="AS618" s="78"/>
      <c r="AT618" s="78"/>
      <c r="AU618" s="78"/>
      <c r="AV618" s="78"/>
      <c r="AW618" s="78"/>
      <c r="AX618" s="78"/>
      <c r="AY618" s="91"/>
      <c r="AZ618" s="78"/>
      <c r="BA618" s="78"/>
      <c r="BB618" s="78"/>
      <c r="BC618" s="78"/>
      <c r="BD618" s="78"/>
      <c r="BE618" s="78"/>
      <c r="BF618" s="78"/>
      <c r="BG618" s="78"/>
      <c r="BH618" s="78"/>
      <c r="BI618" s="78"/>
      <c r="BJ618" s="78"/>
      <c r="BK618" s="78"/>
      <c r="BL618" s="78"/>
      <c r="BM618" s="78"/>
      <c r="BN618" s="78"/>
      <c r="BO618" s="78"/>
      <c r="BP618" s="78"/>
      <c r="BQ618" s="78"/>
      <c r="BR618" s="78"/>
      <c r="BS618" s="78"/>
      <c r="BT618" s="78"/>
      <c r="BU618" s="78"/>
      <c r="BV618" s="78"/>
      <c r="BW618" s="78"/>
      <c r="BX618" s="78"/>
      <c r="BY618" s="78"/>
      <c r="BZ618" s="78"/>
      <c r="CA618" s="78"/>
      <c r="CB618" s="78"/>
      <c r="CC618" s="78"/>
      <c r="CD618" s="78"/>
      <c r="CE618" s="78"/>
      <c r="CF618" s="78"/>
      <c r="CG618" s="78"/>
      <c r="CH618" s="78"/>
      <c r="CI618" s="78"/>
      <c r="CJ618" s="78"/>
      <c r="CK618" s="78"/>
      <c r="CL618" s="78"/>
      <c r="CM618" s="78"/>
      <c r="CN618" s="78"/>
      <c r="CO618" s="78"/>
      <c r="CP618" s="78"/>
      <c r="CQ618" s="78"/>
      <c r="CR618" s="78"/>
      <c r="CS618" s="78"/>
      <c r="CT618" s="78"/>
      <c r="CU618" s="78"/>
      <c r="CV618" s="78"/>
      <c r="CW618" s="78"/>
      <c r="CX618" s="78"/>
      <c r="CY618" s="78"/>
      <c r="CZ618" s="78"/>
      <c r="DA618" s="78"/>
      <c r="DB618" s="78"/>
      <c r="DC618" s="78"/>
      <c r="DD618" s="78"/>
      <c r="DE618" s="78"/>
      <c r="DF618" s="78"/>
      <c r="DG618" s="78"/>
      <c r="DH618" s="78"/>
      <c r="DI618" s="78"/>
      <c r="DJ618" s="78"/>
      <c r="DK618" s="78"/>
      <c r="DL618" s="78"/>
      <c r="DM618" s="78"/>
      <c r="DN618" s="78"/>
      <c r="DO618" s="78"/>
      <c r="DP618" s="78"/>
      <c r="DQ618" s="78"/>
      <c r="DR618" s="78"/>
      <c r="DS618" s="78"/>
      <c r="DT618" s="78"/>
      <c r="DU618" s="78"/>
      <c r="DV618" s="78"/>
      <c r="DW618" s="78"/>
      <c r="DX618" s="78"/>
      <c r="DY618" s="78"/>
      <c r="DZ618" s="78"/>
      <c r="EA618" s="78"/>
      <c r="EB618" s="78"/>
      <c r="EC618" s="78"/>
      <c r="ED618" s="78"/>
      <c r="EE618" s="78"/>
      <c r="EF618" s="78"/>
      <c r="EG618" s="78"/>
      <c r="EH618" s="78"/>
      <c r="EI618" s="78"/>
      <c r="EJ618" s="78"/>
      <c r="EK618" s="78"/>
      <c r="EL618" s="78"/>
      <c r="EM618" s="78"/>
      <c r="EN618" s="91"/>
      <c r="EO618" s="91"/>
      <c r="EP618" s="91"/>
      <c r="EQ618" s="91"/>
      <c r="ER618" s="91"/>
      <c r="ES618" s="91"/>
    </row>
    <row r="619" spans="1:149" outlineLevel="1">
      <c r="A619" s="29" t="str">
        <f t="shared" si="348"/>
        <v>lt004_protectiontyp_ep_scr</v>
      </c>
      <c r="B619" s="67" t="s">
        <v>26</v>
      </c>
      <c r="C619" s="68" t="s">
        <v>26</v>
      </c>
      <c r="D619" s="64" t="s">
        <v>40</v>
      </c>
      <c r="E619" s="70" t="s">
        <v>368</v>
      </c>
      <c r="F619" s="71" t="s">
        <v>369</v>
      </c>
      <c r="G619" s="64" t="str">
        <f>INDEX(Auxiliar!$B$16:$B$24,MATCH(Plano_V3!H619,Auxiliar!$C$16:$C$24,0),1)</f>
        <v>1. Concluído</v>
      </c>
      <c r="H619" s="64">
        <f>VLOOKUP(A619,'Aux - pivots1'!$A:$B,2,0)</f>
        <v>1</v>
      </c>
      <c r="I619" s="172">
        <f>SUMIFS(Table1[Estimação (horas)],Table1[Tabela],Plano_V3!E619,Table1[Campo],Plano_V3!F619)</f>
        <v>4.0999999999999996</v>
      </c>
      <c r="J619" s="172">
        <f t="shared" ref="J619:J630" si="352">I619/8</f>
        <v>0.51249999999999996</v>
      </c>
      <c r="K619" s="172">
        <f>SUMIFS(Table1[Horas efetivas],Table1[Tabela],Plano_V3!E619,Table1[Campo],Plano_V3!F619)</f>
        <v>4.0999999999999996</v>
      </c>
      <c r="L619" s="172">
        <f t="shared" ref="L619:L630" si="353">K619/8</f>
        <v>0.51249999999999996</v>
      </c>
      <c r="M619" s="174"/>
      <c r="N619" s="174">
        <f t="shared" ref="N619:N630" si="354">L619/J619</f>
        <v>1</v>
      </c>
      <c r="O619" s="174"/>
      <c r="P619" s="89" t="s">
        <v>39</v>
      </c>
      <c r="R619" s="78"/>
      <c r="S619" s="78"/>
      <c r="T619" s="78"/>
      <c r="U619" s="78"/>
      <c r="V619" s="78"/>
      <c r="W619" s="78"/>
      <c r="X619" s="78"/>
      <c r="Y619" s="78"/>
      <c r="Z619" s="78"/>
      <c r="AA619" s="78"/>
      <c r="AB619" s="78"/>
      <c r="AC619" s="78"/>
      <c r="AD619" s="78"/>
      <c r="AE619" s="78"/>
      <c r="AF619" s="78"/>
      <c r="AG619" s="78"/>
      <c r="AH619" s="78"/>
      <c r="AI619" s="78"/>
      <c r="AJ619" s="78"/>
      <c r="AK619" s="78"/>
      <c r="AL619" s="78"/>
      <c r="AM619" s="78"/>
      <c r="AN619" s="78"/>
      <c r="AO619" s="78"/>
      <c r="AP619" s="78"/>
      <c r="AQ619" s="78"/>
      <c r="AR619" s="78"/>
      <c r="AS619" s="78"/>
      <c r="AT619" s="78"/>
      <c r="AU619" s="78"/>
      <c r="AV619" s="78"/>
      <c r="AW619" s="78"/>
      <c r="AX619" s="78"/>
      <c r="AY619" s="91"/>
      <c r="AZ619" s="78"/>
      <c r="BA619" s="78"/>
      <c r="BB619" s="78"/>
      <c r="BC619" s="78"/>
      <c r="BD619" s="78"/>
      <c r="BE619" s="78"/>
      <c r="BF619" s="78"/>
      <c r="BG619" s="78"/>
      <c r="BH619" s="78"/>
      <c r="BI619" s="78"/>
      <c r="BJ619" s="78"/>
      <c r="BK619" s="78"/>
      <c r="BL619" s="78"/>
      <c r="BM619" s="78"/>
      <c r="BN619" s="78"/>
      <c r="BO619" s="78"/>
      <c r="BP619" s="78"/>
      <c r="BQ619" s="78"/>
      <c r="BR619" s="78"/>
      <c r="BS619" s="78"/>
      <c r="BT619" s="78"/>
      <c r="BU619" s="78"/>
      <c r="BV619" s="78"/>
      <c r="BW619" s="78"/>
      <c r="BX619" s="78"/>
      <c r="BY619" s="78"/>
      <c r="BZ619" s="78"/>
      <c r="CA619" s="78"/>
      <c r="CB619" s="78"/>
      <c r="CC619" s="78"/>
      <c r="CD619" s="78"/>
      <c r="CE619" s="78"/>
      <c r="CF619" s="78"/>
      <c r="CG619" s="78"/>
      <c r="CH619" s="78"/>
      <c r="CI619" s="78"/>
      <c r="CJ619" s="78"/>
      <c r="CK619" s="78"/>
      <c r="CL619" s="78"/>
      <c r="CM619" s="78"/>
      <c r="CN619" s="78"/>
      <c r="CO619" s="78"/>
      <c r="CP619" s="78"/>
      <c r="CQ619" s="78"/>
      <c r="CR619" s="78"/>
      <c r="CS619" s="78"/>
      <c r="CT619" s="78"/>
      <c r="CU619" s="78"/>
      <c r="CV619" s="78"/>
      <c r="CW619" s="78"/>
      <c r="CX619" s="78"/>
      <c r="CY619" s="78"/>
      <c r="CZ619" s="78"/>
      <c r="DA619" s="78"/>
      <c r="DB619" s="78"/>
      <c r="DC619" s="78"/>
      <c r="DD619" s="78"/>
      <c r="DE619" s="78"/>
      <c r="DF619" s="78"/>
      <c r="DG619" s="78"/>
      <c r="DH619" s="78"/>
      <c r="DI619" s="78"/>
      <c r="DJ619" s="78"/>
      <c r="DK619" s="78"/>
      <c r="DL619" s="78"/>
      <c r="DM619" s="78"/>
      <c r="DN619" s="78"/>
      <c r="DO619" s="78"/>
      <c r="DP619" s="78"/>
      <c r="DQ619" s="78"/>
      <c r="DR619" s="78"/>
      <c r="DS619" s="78"/>
      <c r="DT619" s="78"/>
      <c r="DU619" s="78"/>
      <c r="DV619" s="78"/>
      <c r="DW619" s="78"/>
      <c r="DX619" s="78"/>
      <c r="DY619" s="78"/>
      <c r="DZ619" s="78"/>
      <c r="EA619" s="78"/>
      <c r="EB619" s="78"/>
      <c r="EC619" s="78"/>
      <c r="ED619" s="78"/>
      <c r="EE619" s="78"/>
      <c r="EF619" s="78"/>
      <c r="EG619" s="78"/>
      <c r="EH619" s="78"/>
      <c r="EI619" s="78"/>
      <c r="EJ619" s="78"/>
      <c r="EK619" s="78"/>
      <c r="EL619" s="78"/>
      <c r="EM619" s="78"/>
      <c r="EN619" s="91"/>
      <c r="EO619" s="91"/>
      <c r="EP619" s="91"/>
      <c r="EQ619" s="91"/>
      <c r="ER619" s="91"/>
      <c r="ES619" s="91"/>
    </row>
    <row r="620" spans="1:149" outlineLevel="1">
      <c r="A620" s="29" t="str">
        <f t="shared" si="348"/>
        <v>lt004_protectionep_scr</v>
      </c>
      <c r="B620" s="67" t="s">
        <v>26</v>
      </c>
      <c r="C620" s="68" t="s">
        <v>26</v>
      </c>
      <c r="D620" s="64" t="s">
        <v>40</v>
      </c>
      <c r="E620" s="70" t="s">
        <v>368</v>
      </c>
      <c r="F620" s="71" t="s">
        <v>370</v>
      </c>
      <c r="G620" s="64" t="str">
        <f>INDEX(Auxiliar!$B$16:$B$24,MATCH(Plano_V3!H620,Auxiliar!$C$16:$C$24,0),1)</f>
        <v>1. Concluído</v>
      </c>
      <c r="H620" s="64">
        <f>VLOOKUP(A620,'Aux - pivots1'!$A:$B,2,0)</f>
        <v>1</v>
      </c>
      <c r="I620" s="172">
        <f>SUMIFS(Table1[Estimação (horas)],Table1[Tabela],Plano_V3!E620,Table1[Campo],Plano_V3!F620)</f>
        <v>4.0999999999999996</v>
      </c>
      <c r="J620" s="172">
        <f t="shared" si="352"/>
        <v>0.51249999999999996</v>
      </c>
      <c r="K620" s="172">
        <f>SUMIFS(Table1[Horas efetivas],Table1[Tabela],Plano_V3!E620,Table1[Campo],Plano_V3!F620)</f>
        <v>4.0999999999999996</v>
      </c>
      <c r="L620" s="172">
        <f t="shared" si="353"/>
        <v>0.51249999999999996</v>
      </c>
      <c r="M620" s="174"/>
      <c r="N620" s="174">
        <f t="shared" si="354"/>
        <v>1</v>
      </c>
      <c r="O620" s="174"/>
      <c r="P620" s="89" t="s">
        <v>39</v>
      </c>
      <c r="R620" s="78"/>
      <c r="S620" s="78"/>
      <c r="T620" s="78"/>
      <c r="U620" s="78"/>
      <c r="V620" s="78"/>
      <c r="W620" s="78"/>
      <c r="X620" s="78"/>
      <c r="Y620" s="78"/>
      <c r="Z620" s="78"/>
      <c r="AA620" s="78"/>
      <c r="AB620" s="78"/>
      <c r="AC620" s="78"/>
      <c r="AD620" s="78"/>
      <c r="AE620" s="78"/>
      <c r="AF620" s="78"/>
      <c r="AG620" s="78"/>
      <c r="AH620" s="78"/>
      <c r="AI620" s="78"/>
      <c r="AJ620" s="78"/>
      <c r="AK620" s="78"/>
      <c r="AL620" s="78"/>
      <c r="AM620" s="78"/>
      <c r="AN620" s="78"/>
      <c r="AO620" s="78"/>
      <c r="AP620" s="78"/>
      <c r="AQ620" s="78"/>
      <c r="AR620" s="78"/>
      <c r="AS620" s="78"/>
      <c r="AT620" s="78"/>
      <c r="AU620" s="78"/>
      <c r="AV620" s="78"/>
      <c r="AW620" s="78"/>
      <c r="AX620" s="78"/>
      <c r="AY620" s="91"/>
      <c r="AZ620" s="78"/>
      <c r="BA620" s="78"/>
      <c r="BB620" s="78"/>
      <c r="BC620" s="78"/>
      <c r="BD620" s="78"/>
      <c r="BE620" s="78"/>
      <c r="BF620" s="78"/>
      <c r="BG620" s="78"/>
      <c r="BH620" s="78"/>
      <c r="BI620" s="78"/>
      <c r="BJ620" s="78"/>
      <c r="BK620" s="78"/>
      <c r="BL620" s="78"/>
      <c r="BM620" s="78"/>
      <c r="BN620" s="78"/>
      <c r="BO620" s="78"/>
      <c r="BP620" s="78"/>
      <c r="BQ620" s="78"/>
      <c r="BR620" s="78"/>
      <c r="BS620" s="78"/>
      <c r="BT620" s="78"/>
      <c r="BU620" s="78"/>
      <c r="BV620" s="78"/>
      <c r="BW620" s="78"/>
      <c r="BX620" s="78"/>
      <c r="BY620" s="78"/>
      <c r="BZ620" s="78"/>
      <c r="CA620" s="78"/>
      <c r="CB620" s="78"/>
      <c r="CC620" s="78"/>
      <c r="CD620" s="78"/>
      <c r="CE620" s="78"/>
      <c r="CF620" s="78"/>
      <c r="CG620" s="78"/>
      <c r="CH620" s="78"/>
      <c r="CI620" s="78"/>
      <c r="CJ620" s="78"/>
      <c r="CK620" s="78"/>
      <c r="CL620" s="78"/>
      <c r="CM620" s="78"/>
      <c r="CN620" s="78"/>
      <c r="CO620" s="78"/>
      <c r="CP620" s="78"/>
      <c r="CQ620" s="78"/>
      <c r="CR620" s="78"/>
      <c r="CS620" s="78"/>
      <c r="CT620" s="78"/>
      <c r="CU620" s="78"/>
      <c r="CV620" s="78"/>
      <c r="CW620" s="78"/>
      <c r="CX620" s="78"/>
      <c r="CY620" s="78"/>
      <c r="CZ620" s="78"/>
      <c r="DA620" s="78"/>
      <c r="DB620" s="78"/>
      <c r="DC620" s="78"/>
      <c r="DD620" s="78"/>
      <c r="DE620" s="78"/>
      <c r="DF620" s="78"/>
      <c r="DG620" s="78"/>
      <c r="DH620" s="78"/>
      <c r="DI620" s="78"/>
      <c r="DJ620" s="78"/>
      <c r="DK620" s="78"/>
      <c r="DL620" s="78"/>
      <c r="DM620" s="78"/>
      <c r="DN620" s="78"/>
      <c r="DO620" s="78"/>
      <c r="DP620" s="78"/>
      <c r="DQ620" s="78"/>
      <c r="DR620" s="78"/>
      <c r="DS620" s="78"/>
      <c r="DT620" s="78"/>
      <c r="DU620" s="78"/>
      <c r="DV620" s="78"/>
      <c r="DW620" s="78"/>
      <c r="DX620" s="78"/>
      <c r="DY620" s="78"/>
      <c r="DZ620" s="78"/>
      <c r="EA620" s="78"/>
      <c r="EB620" s="78"/>
      <c r="EC620" s="78"/>
      <c r="ED620" s="78"/>
      <c r="EE620" s="78"/>
      <c r="EF620" s="78"/>
      <c r="EG620" s="78"/>
      <c r="EH620" s="78"/>
      <c r="EI620" s="78"/>
      <c r="EJ620" s="78"/>
      <c r="EK620" s="78"/>
      <c r="EL620" s="78"/>
      <c r="EM620" s="78"/>
      <c r="EN620" s="91"/>
      <c r="EO620" s="91"/>
      <c r="EP620" s="91"/>
      <c r="EQ620" s="91"/>
      <c r="ER620" s="91"/>
      <c r="ES620" s="91"/>
    </row>
    <row r="621" spans="1:149" outlineLevel="1">
      <c r="A621" s="29" t="str">
        <f t="shared" si="348"/>
        <v>lt004_protectiontyp_epc_lbl</v>
      </c>
      <c r="B621" s="67" t="s">
        <v>26</v>
      </c>
      <c r="C621" s="68" t="s">
        <v>26</v>
      </c>
      <c r="D621" s="64" t="s">
        <v>40</v>
      </c>
      <c r="E621" s="70" t="s">
        <v>368</v>
      </c>
      <c r="F621" s="71" t="s">
        <v>371</v>
      </c>
      <c r="G621" s="64" t="str">
        <f>INDEX(Auxiliar!$B$16:$B$24,MATCH(Plano_V3!H621,Auxiliar!$C$16:$C$24,0),1)</f>
        <v>1. Concluído</v>
      </c>
      <c r="H621" s="64">
        <f>VLOOKUP(A621,'Aux - pivots1'!$A:$B,2,0)</f>
        <v>1</v>
      </c>
      <c r="I621" s="172">
        <f>SUMIFS(Table1[Estimação (horas)],Table1[Tabela],Plano_V3!E621,Table1[Campo],Plano_V3!F621)</f>
        <v>4.0999999999999996</v>
      </c>
      <c r="J621" s="172">
        <f t="shared" si="352"/>
        <v>0.51249999999999996</v>
      </c>
      <c r="K621" s="172">
        <f>SUMIFS(Table1[Horas efetivas],Table1[Tabela],Plano_V3!E621,Table1[Campo],Plano_V3!F621)</f>
        <v>4.0999999999999996</v>
      </c>
      <c r="L621" s="172">
        <f t="shared" si="353"/>
        <v>0.51249999999999996</v>
      </c>
      <c r="M621" s="174"/>
      <c r="N621" s="174">
        <f t="shared" si="354"/>
        <v>1</v>
      </c>
      <c r="O621" s="174"/>
      <c r="P621" s="89" t="s">
        <v>39</v>
      </c>
      <c r="R621" s="78"/>
      <c r="S621" s="78"/>
      <c r="T621" s="78"/>
      <c r="U621" s="78"/>
      <c r="V621" s="78"/>
      <c r="W621" s="78"/>
      <c r="X621" s="78"/>
      <c r="Y621" s="78"/>
      <c r="Z621" s="78"/>
      <c r="AA621" s="78"/>
      <c r="AB621" s="78"/>
      <c r="AC621" s="78"/>
      <c r="AD621" s="78"/>
      <c r="AE621" s="78"/>
      <c r="AF621" s="78"/>
      <c r="AG621" s="78"/>
      <c r="AH621" s="78"/>
      <c r="AI621" s="78"/>
      <c r="AJ621" s="78"/>
      <c r="AK621" s="78"/>
      <c r="AL621" s="78"/>
      <c r="AM621" s="78"/>
      <c r="AN621" s="78"/>
      <c r="AO621" s="78"/>
      <c r="AP621" s="78"/>
      <c r="AQ621" s="78"/>
      <c r="AR621" s="78"/>
      <c r="AS621" s="78"/>
      <c r="AT621" s="78"/>
      <c r="AU621" s="78"/>
      <c r="AV621" s="78"/>
      <c r="AW621" s="78"/>
      <c r="AX621" s="78"/>
      <c r="AY621" s="91"/>
      <c r="AZ621" s="78"/>
      <c r="BA621" s="78"/>
      <c r="BB621" s="78"/>
      <c r="BC621" s="78"/>
      <c r="BD621" s="78"/>
      <c r="BE621" s="78"/>
      <c r="BF621" s="78"/>
      <c r="BG621" s="78"/>
      <c r="BH621" s="78"/>
      <c r="BI621" s="78"/>
      <c r="BJ621" s="78"/>
      <c r="BK621" s="78"/>
      <c r="BL621" s="78"/>
      <c r="BM621" s="78"/>
      <c r="BN621" s="78"/>
      <c r="BO621" s="78"/>
      <c r="BP621" s="78"/>
      <c r="BQ621" s="78"/>
      <c r="BR621" s="78"/>
      <c r="BS621" s="78"/>
      <c r="BT621" s="78"/>
      <c r="BU621" s="78"/>
      <c r="BV621" s="78"/>
      <c r="BW621" s="78"/>
      <c r="BX621" s="78"/>
      <c r="BY621" s="78"/>
      <c r="BZ621" s="78"/>
      <c r="CA621" s="78"/>
      <c r="CB621" s="78"/>
      <c r="CC621" s="78"/>
      <c r="CD621" s="78"/>
      <c r="CE621" s="78"/>
      <c r="CF621" s="78"/>
      <c r="CG621" s="78"/>
      <c r="CH621" s="78"/>
      <c r="CI621" s="78"/>
      <c r="CJ621" s="78"/>
      <c r="CK621" s="78"/>
      <c r="CL621" s="78"/>
      <c r="CM621" s="78"/>
      <c r="CN621" s="78"/>
      <c r="CO621" s="78"/>
      <c r="CP621" s="78"/>
      <c r="CQ621" s="78"/>
      <c r="CR621" s="78"/>
      <c r="CS621" s="78"/>
      <c r="CT621" s="78"/>
      <c r="CU621" s="78"/>
      <c r="CV621" s="78"/>
      <c r="CW621" s="78"/>
      <c r="CX621" s="78"/>
      <c r="CY621" s="78"/>
      <c r="CZ621" s="78"/>
      <c r="DA621" s="78"/>
      <c r="DB621" s="78"/>
      <c r="DC621" s="78"/>
      <c r="DD621" s="78"/>
      <c r="DE621" s="78"/>
      <c r="DF621" s="78"/>
      <c r="DG621" s="78"/>
      <c r="DH621" s="78"/>
      <c r="DI621" s="78"/>
      <c r="DJ621" s="78"/>
      <c r="DK621" s="78"/>
      <c r="DL621" s="78"/>
      <c r="DM621" s="78"/>
      <c r="DN621" s="78"/>
      <c r="DO621" s="78"/>
      <c r="DP621" s="78"/>
      <c r="DQ621" s="78"/>
      <c r="DR621" s="78"/>
      <c r="DS621" s="78"/>
      <c r="DT621" s="78"/>
      <c r="DU621" s="78"/>
      <c r="DV621" s="78"/>
      <c r="DW621" s="78"/>
      <c r="DX621" s="78"/>
      <c r="DY621" s="78"/>
      <c r="DZ621" s="78"/>
      <c r="EA621" s="78"/>
      <c r="EB621" s="78"/>
      <c r="EC621" s="78"/>
      <c r="ED621" s="78"/>
      <c r="EE621" s="78"/>
      <c r="EF621" s="78"/>
      <c r="EG621" s="78"/>
      <c r="EH621" s="78"/>
      <c r="EI621" s="78"/>
      <c r="EJ621" s="78"/>
      <c r="EK621" s="78"/>
      <c r="EL621" s="78"/>
      <c r="EM621" s="78"/>
      <c r="EN621" s="91"/>
      <c r="EO621" s="91"/>
      <c r="EP621" s="91"/>
      <c r="EQ621" s="91"/>
      <c r="ER621" s="91"/>
      <c r="ES621" s="91"/>
    </row>
    <row r="622" spans="1:149" outlineLevel="1">
      <c r="A622" s="29" t="str">
        <f t="shared" si="348"/>
        <v>lt004_protectionepc_lbl</v>
      </c>
      <c r="B622" s="67" t="s">
        <v>26</v>
      </c>
      <c r="C622" s="68" t="s">
        <v>26</v>
      </c>
      <c r="D622" s="64" t="s">
        <v>40</v>
      </c>
      <c r="E622" s="70" t="s">
        <v>368</v>
      </c>
      <c r="F622" s="71" t="s">
        <v>372</v>
      </c>
      <c r="G622" s="64" t="str">
        <f>INDEX(Auxiliar!$B$16:$B$24,MATCH(Plano_V3!H622,Auxiliar!$C$16:$C$24,0),1)</f>
        <v>1. Concluído</v>
      </c>
      <c r="H622" s="64">
        <f>VLOOKUP(A622,'Aux - pivots1'!$A:$B,2,0)</f>
        <v>1</v>
      </c>
      <c r="I622" s="172">
        <f>SUMIFS(Table1[Estimação (horas)],Table1[Tabela],Plano_V3!E622,Table1[Campo],Plano_V3!F622)</f>
        <v>4.0999999999999996</v>
      </c>
      <c r="J622" s="172">
        <f t="shared" si="352"/>
        <v>0.51249999999999996</v>
      </c>
      <c r="K622" s="172">
        <f>SUMIFS(Table1[Horas efetivas],Table1[Tabela],Plano_V3!E622,Table1[Campo],Plano_V3!F622)</f>
        <v>4.0999999999999996</v>
      </c>
      <c r="L622" s="172">
        <f t="shared" si="353"/>
        <v>0.51249999999999996</v>
      </c>
      <c r="M622" s="174"/>
      <c r="N622" s="174">
        <f t="shared" si="354"/>
        <v>1</v>
      </c>
      <c r="O622" s="174"/>
      <c r="P622" s="89" t="s">
        <v>39</v>
      </c>
      <c r="R622" s="78"/>
      <c r="S622" s="78"/>
      <c r="T622" s="78"/>
      <c r="U622" s="78"/>
      <c r="V622" s="78"/>
      <c r="W622" s="78"/>
      <c r="X622" s="78"/>
      <c r="Y622" s="78"/>
      <c r="Z622" s="78"/>
      <c r="AA622" s="78"/>
      <c r="AB622" s="78"/>
      <c r="AC622" s="78"/>
      <c r="AD622" s="78"/>
      <c r="AE622" s="78"/>
      <c r="AF622" s="78"/>
      <c r="AG622" s="78"/>
      <c r="AH622" s="78"/>
      <c r="AI622" s="78"/>
      <c r="AJ622" s="78"/>
      <c r="AK622" s="78"/>
      <c r="AL622" s="78"/>
      <c r="AM622" s="78"/>
      <c r="AN622" s="78"/>
      <c r="AO622" s="78"/>
      <c r="AP622" s="78"/>
      <c r="AQ622" s="78"/>
      <c r="AR622" s="78"/>
      <c r="AS622" s="78"/>
      <c r="AT622" s="78"/>
      <c r="AU622" s="78"/>
      <c r="AV622" s="78"/>
      <c r="AW622" s="78"/>
      <c r="AX622" s="78"/>
      <c r="AY622" s="91"/>
      <c r="AZ622" s="78"/>
      <c r="BA622" s="78"/>
      <c r="BB622" s="78"/>
      <c r="BC622" s="78"/>
      <c r="BD622" s="78"/>
      <c r="BE622" s="78"/>
      <c r="BF622" s="78"/>
      <c r="BG622" s="78"/>
      <c r="BH622" s="78"/>
      <c r="BI622" s="78"/>
      <c r="BJ622" s="78"/>
      <c r="BK622" s="78"/>
      <c r="BL622" s="78"/>
      <c r="BM622" s="78"/>
      <c r="BN622" s="78"/>
      <c r="BO622" s="78"/>
      <c r="BP622" s="78"/>
      <c r="BQ622" s="78"/>
      <c r="BR622" s="78"/>
      <c r="BS622" s="78"/>
      <c r="BT622" s="78"/>
      <c r="BU622" s="78"/>
      <c r="BV622" s="78"/>
      <c r="BW622" s="78"/>
      <c r="BX622" s="78"/>
      <c r="BY622" s="78"/>
      <c r="BZ622" s="78"/>
      <c r="CA622" s="78"/>
      <c r="CB622" s="78"/>
      <c r="CC622" s="78"/>
      <c r="CD622" s="78"/>
      <c r="CE622" s="78"/>
      <c r="CF622" s="78"/>
      <c r="CG622" s="78"/>
      <c r="CH622" s="78"/>
      <c r="CI622" s="78"/>
      <c r="CJ622" s="78"/>
      <c r="CK622" s="78"/>
      <c r="CL622" s="78"/>
      <c r="CM622" s="78"/>
      <c r="CN622" s="78"/>
      <c r="CO622" s="78"/>
      <c r="CP622" s="78"/>
      <c r="CQ622" s="78"/>
      <c r="CR622" s="78"/>
      <c r="CS622" s="78"/>
      <c r="CT622" s="78"/>
      <c r="CU622" s="78"/>
      <c r="CV622" s="78"/>
      <c r="CW622" s="78"/>
      <c r="CX622" s="78"/>
      <c r="CY622" s="78"/>
      <c r="CZ622" s="78"/>
      <c r="DA622" s="78"/>
      <c r="DB622" s="78"/>
      <c r="DC622" s="78"/>
      <c r="DD622" s="78"/>
      <c r="DE622" s="78"/>
      <c r="DF622" s="78"/>
      <c r="DG622" s="78"/>
      <c r="DH622" s="78"/>
      <c r="DI622" s="78"/>
      <c r="DJ622" s="78"/>
      <c r="DK622" s="78"/>
      <c r="DL622" s="78"/>
      <c r="DM622" s="78"/>
      <c r="DN622" s="78"/>
      <c r="DO622" s="78"/>
      <c r="DP622" s="78"/>
      <c r="DQ622" s="78"/>
      <c r="DR622" s="78"/>
      <c r="DS622" s="78"/>
      <c r="DT622" s="78"/>
      <c r="DU622" s="78"/>
      <c r="DV622" s="78"/>
      <c r="DW622" s="78"/>
      <c r="DX622" s="78"/>
      <c r="DY622" s="78"/>
      <c r="DZ622" s="78"/>
      <c r="EA622" s="78"/>
      <c r="EB622" s="78"/>
      <c r="EC622" s="78"/>
      <c r="ED622" s="78"/>
      <c r="EE622" s="78"/>
      <c r="EF622" s="78"/>
      <c r="EG622" s="78"/>
      <c r="EH622" s="78"/>
      <c r="EI622" s="78"/>
      <c r="EJ622" s="78"/>
      <c r="EK622" s="78"/>
      <c r="EL622" s="78"/>
      <c r="EM622" s="78"/>
      <c r="EN622" s="91"/>
      <c r="EO622" s="91"/>
      <c r="EP622" s="91"/>
      <c r="EQ622" s="91"/>
      <c r="ER622" s="91"/>
      <c r="ES622" s="91"/>
    </row>
    <row r="623" spans="1:149" outlineLevel="1">
      <c r="A623" s="29" t="str">
        <f t="shared" si="348"/>
        <v>lt004_protectionemssns_scp1_prtctn</v>
      </c>
      <c r="B623" s="67" t="s">
        <v>26</v>
      </c>
      <c r="C623" s="68" t="s">
        <v>26</v>
      </c>
      <c r="D623" s="64" t="s">
        <v>40</v>
      </c>
      <c r="E623" s="70" t="s">
        <v>368</v>
      </c>
      <c r="F623" s="71" t="s">
        <v>373</v>
      </c>
      <c r="G623" s="64" t="str">
        <f>INDEX(Auxiliar!$B$16:$B$24,MATCH(Plano_V3!H623,Auxiliar!$C$16:$C$24,0),1)</f>
        <v>1. Concluído</v>
      </c>
      <c r="H623" s="64">
        <f>VLOOKUP(A623,'Aux - pivots1'!$A:$B,2,0)</f>
        <v>1</v>
      </c>
      <c r="I623" s="172">
        <f>SUMIFS(Table1[Estimação (horas)],Table1[Tabela],Plano_V3!E623,Table1[Campo],Plano_V3!F623)</f>
        <v>4.0999999999999996</v>
      </c>
      <c r="J623" s="172">
        <f t="shared" si="352"/>
        <v>0.51249999999999996</v>
      </c>
      <c r="K623" s="172">
        <f>SUMIFS(Table1[Horas efetivas],Table1[Tabela],Plano_V3!E623,Table1[Campo],Plano_V3!F623)</f>
        <v>4.0999999999999996</v>
      </c>
      <c r="L623" s="172">
        <f t="shared" si="353"/>
        <v>0.51249999999999996</v>
      </c>
      <c r="M623" s="174"/>
      <c r="N623" s="174">
        <f t="shared" si="354"/>
        <v>1</v>
      </c>
      <c r="O623" s="174"/>
      <c r="P623" s="89" t="s">
        <v>39</v>
      </c>
      <c r="R623" s="78"/>
      <c r="S623" s="78"/>
      <c r="T623" s="78"/>
      <c r="U623" s="78"/>
      <c r="V623" s="78"/>
      <c r="W623" s="78"/>
      <c r="X623" s="78"/>
      <c r="Y623" s="78"/>
      <c r="Z623" s="78"/>
      <c r="AA623" s="78"/>
      <c r="AB623" s="78"/>
      <c r="AC623" s="78"/>
      <c r="AD623" s="78"/>
      <c r="AE623" s="78"/>
      <c r="AF623" s="78"/>
      <c r="AG623" s="78"/>
      <c r="AH623" s="78"/>
      <c r="AI623" s="78"/>
      <c r="AJ623" s="78"/>
      <c r="AK623" s="78"/>
      <c r="AL623" s="78"/>
      <c r="AM623" s="78"/>
      <c r="AN623" s="78"/>
      <c r="AO623" s="78"/>
      <c r="AP623" s="78"/>
      <c r="AQ623" s="78"/>
      <c r="AR623" s="78"/>
      <c r="AS623" s="78"/>
      <c r="AT623" s="78"/>
      <c r="AU623" s="78"/>
      <c r="AV623" s="78"/>
      <c r="AW623" s="78"/>
      <c r="AX623" s="78"/>
      <c r="AY623" s="91"/>
      <c r="AZ623" s="78"/>
      <c r="BA623" s="78"/>
      <c r="BB623" s="78"/>
      <c r="BC623" s="78"/>
      <c r="BD623" s="78"/>
      <c r="BE623" s="78"/>
      <c r="BF623" s="78"/>
      <c r="BG623" s="78"/>
      <c r="BH623" s="78"/>
      <c r="BI623" s="78"/>
      <c r="BJ623" s="78"/>
      <c r="BK623" s="78"/>
      <c r="BL623" s="78"/>
      <c r="BM623" s="78"/>
      <c r="BN623" s="78"/>
      <c r="BO623" s="78"/>
      <c r="BP623" s="78"/>
      <c r="BQ623" s="78"/>
      <c r="BR623" s="78"/>
      <c r="BS623" s="78"/>
      <c r="BT623" s="78"/>
      <c r="BU623" s="78"/>
      <c r="BV623" s="78"/>
      <c r="BW623" s="78"/>
      <c r="BX623" s="78"/>
      <c r="BY623" s="78"/>
      <c r="BZ623" s="78"/>
      <c r="CA623" s="78"/>
      <c r="CB623" s="78"/>
      <c r="CC623" s="78"/>
      <c r="CD623" s="78"/>
      <c r="CE623" s="78"/>
      <c r="CF623" s="78"/>
      <c r="CG623" s="78"/>
      <c r="CH623" s="78"/>
      <c r="CI623" s="78"/>
      <c r="CJ623" s="78"/>
      <c r="CK623" s="78"/>
      <c r="CL623" s="78"/>
      <c r="CM623" s="78"/>
      <c r="CN623" s="78"/>
      <c r="CO623" s="78"/>
      <c r="CP623" s="78"/>
      <c r="CQ623" s="78"/>
      <c r="CR623" s="78"/>
      <c r="CS623" s="78"/>
      <c r="CT623" s="78"/>
      <c r="CU623" s="78"/>
      <c r="CV623" s="78"/>
      <c r="CW623" s="78"/>
      <c r="CX623" s="78"/>
      <c r="CY623" s="78"/>
      <c r="CZ623" s="78"/>
      <c r="DA623" s="78"/>
      <c r="DB623" s="78"/>
      <c r="DC623" s="78"/>
      <c r="DD623" s="78"/>
      <c r="DE623" s="78"/>
      <c r="DF623" s="78"/>
      <c r="DG623" s="78"/>
      <c r="DH623" s="78"/>
      <c r="DI623" s="78"/>
      <c r="DJ623" s="78"/>
      <c r="DK623" s="78"/>
      <c r="DL623" s="78"/>
      <c r="DM623" s="78"/>
      <c r="DN623" s="78"/>
      <c r="DO623" s="78"/>
      <c r="DP623" s="78"/>
      <c r="DQ623" s="78"/>
      <c r="DR623" s="78"/>
      <c r="DS623" s="78"/>
      <c r="DT623" s="78"/>
      <c r="DU623" s="78"/>
      <c r="DV623" s="78"/>
      <c r="DW623" s="78"/>
      <c r="DX623" s="78"/>
      <c r="DY623" s="78"/>
      <c r="DZ623" s="78"/>
      <c r="EA623" s="78"/>
      <c r="EB623" s="78"/>
      <c r="EC623" s="78"/>
      <c r="ED623" s="78"/>
      <c r="EE623" s="78"/>
      <c r="EF623" s="78"/>
      <c r="EG623" s="78"/>
      <c r="EH623" s="78"/>
      <c r="EI623" s="78"/>
      <c r="EJ623" s="78"/>
      <c r="EK623" s="78"/>
      <c r="EL623" s="78"/>
      <c r="EM623" s="78"/>
      <c r="EN623" s="91"/>
      <c r="EO623" s="91"/>
      <c r="EP623" s="91"/>
      <c r="EQ623" s="91"/>
      <c r="ER623" s="91"/>
      <c r="ES623" s="91"/>
    </row>
    <row r="624" spans="1:149" outlineLevel="1">
      <c r="A624" s="29" t="str">
        <f t="shared" si="348"/>
        <v>lt004_protectionemssns_scp2_prtctn</v>
      </c>
      <c r="B624" s="67" t="s">
        <v>26</v>
      </c>
      <c r="C624" s="68" t="s">
        <v>26</v>
      </c>
      <c r="D624" s="64" t="s">
        <v>40</v>
      </c>
      <c r="E624" s="70" t="s">
        <v>368</v>
      </c>
      <c r="F624" s="71" t="s">
        <v>374</v>
      </c>
      <c r="G624" s="64" t="str">
        <f>INDEX(Auxiliar!$B$16:$B$24,MATCH(Plano_V3!H624,Auxiliar!$C$16:$C$24,0),1)</f>
        <v>1. Concluído</v>
      </c>
      <c r="H624" s="64">
        <f>VLOOKUP(A624,'Aux - pivots1'!$A:$B,2,0)</f>
        <v>1</v>
      </c>
      <c r="I624" s="172">
        <f>SUMIFS(Table1[Estimação (horas)],Table1[Tabela],Plano_V3!E624,Table1[Campo],Plano_V3!F624)</f>
        <v>4.0999999999999996</v>
      </c>
      <c r="J624" s="172">
        <f t="shared" si="352"/>
        <v>0.51249999999999996</v>
      </c>
      <c r="K624" s="172">
        <f>SUMIFS(Table1[Horas efetivas],Table1[Tabela],Plano_V3!E624,Table1[Campo],Plano_V3!F624)</f>
        <v>4.0999999999999996</v>
      </c>
      <c r="L624" s="172">
        <f t="shared" si="353"/>
        <v>0.51249999999999996</v>
      </c>
      <c r="M624" s="174"/>
      <c r="N624" s="174">
        <f t="shared" si="354"/>
        <v>1</v>
      </c>
      <c r="O624" s="174"/>
      <c r="P624" s="89" t="s">
        <v>39</v>
      </c>
      <c r="R624" s="78"/>
      <c r="S624" s="78"/>
      <c r="T624" s="78"/>
      <c r="U624" s="78"/>
      <c r="V624" s="78"/>
      <c r="W624" s="78"/>
      <c r="X624" s="78"/>
      <c r="Y624" s="78"/>
      <c r="Z624" s="78"/>
      <c r="AA624" s="78"/>
      <c r="AB624" s="78"/>
      <c r="AC624" s="78"/>
      <c r="AD624" s="78"/>
      <c r="AE624" s="78"/>
      <c r="AF624" s="78"/>
      <c r="AG624" s="78"/>
      <c r="AH624" s="78"/>
      <c r="AI624" s="78"/>
      <c r="AJ624" s="78"/>
      <c r="AK624" s="78"/>
      <c r="AL624" s="78"/>
      <c r="AM624" s="78"/>
      <c r="AN624" s="78"/>
      <c r="AO624" s="78"/>
      <c r="AP624" s="78"/>
      <c r="AQ624" s="78"/>
      <c r="AR624" s="78"/>
      <c r="AS624" s="78"/>
      <c r="AT624" s="78"/>
      <c r="AU624" s="78"/>
      <c r="AV624" s="78"/>
      <c r="AW624" s="78"/>
      <c r="AX624" s="78"/>
      <c r="AY624" s="91"/>
      <c r="AZ624" s="78"/>
      <c r="BA624" s="78"/>
      <c r="BB624" s="78"/>
      <c r="BC624" s="78"/>
      <c r="BD624" s="78"/>
      <c r="BE624" s="78"/>
      <c r="BF624" s="78"/>
      <c r="BG624" s="78"/>
      <c r="BH624" s="78"/>
      <c r="BI624" s="78"/>
      <c r="BJ624" s="78"/>
      <c r="BK624" s="78"/>
      <c r="BL624" s="78"/>
      <c r="BM624" s="78"/>
      <c r="BN624" s="78"/>
      <c r="BO624" s="78"/>
      <c r="BP624" s="78"/>
      <c r="BQ624" s="78"/>
      <c r="BR624" s="78"/>
      <c r="BS624" s="78"/>
      <c r="BT624" s="78"/>
      <c r="BU624" s="78"/>
      <c r="BV624" s="78"/>
      <c r="BW624" s="78"/>
      <c r="BX624" s="78"/>
      <c r="BY624" s="78"/>
      <c r="BZ624" s="78"/>
      <c r="CA624" s="78"/>
      <c r="CB624" s="78"/>
      <c r="CC624" s="78"/>
      <c r="CD624" s="78"/>
      <c r="CE624" s="78"/>
      <c r="CF624" s="78"/>
      <c r="CG624" s="78"/>
      <c r="CH624" s="78"/>
      <c r="CI624" s="78"/>
      <c r="CJ624" s="78"/>
      <c r="CK624" s="78"/>
      <c r="CL624" s="78"/>
      <c r="CM624" s="78"/>
      <c r="CN624" s="78"/>
      <c r="CO624" s="78"/>
      <c r="CP624" s="78"/>
      <c r="CQ624" s="78"/>
      <c r="CR624" s="78"/>
      <c r="CS624" s="78"/>
      <c r="CT624" s="78"/>
      <c r="CU624" s="78"/>
      <c r="CV624" s="78"/>
      <c r="CW624" s="78"/>
      <c r="CX624" s="78"/>
      <c r="CY624" s="78"/>
      <c r="CZ624" s="78"/>
      <c r="DA624" s="78"/>
      <c r="DB624" s="78"/>
      <c r="DC624" s="78"/>
      <c r="DD624" s="78"/>
      <c r="DE624" s="78"/>
      <c r="DF624" s="78"/>
      <c r="DG624" s="78"/>
      <c r="DH624" s="78"/>
      <c r="DI624" s="78"/>
      <c r="DJ624" s="78"/>
      <c r="DK624" s="78"/>
      <c r="DL624" s="78"/>
      <c r="DM624" s="78"/>
      <c r="DN624" s="78"/>
      <c r="DO624" s="78"/>
      <c r="DP624" s="78"/>
      <c r="DQ624" s="78"/>
      <c r="DR624" s="78"/>
      <c r="DS624" s="78"/>
      <c r="DT624" s="78"/>
      <c r="DU624" s="78"/>
      <c r="DV624" s="78"/>
      <c r="DW624" s="78"/>
      <c r="DX624" s="78"/>
      <c r="DY624" s="78"/>
      <c r="DZ624" s="78"/>
      <c r="EA624" s="78"/>
      <c r="EB624" s="78"/>
      <c r="EC624" s="78"/>
      <c r="ED624" s="78"/>
      <c r="EE624" s="78"/>
      <c r="EF624" s="78"/>
      <c r="EG624" s="78"/>
      <c r="EH624" s="78"/>
      <c r="EI624" s="78"/>
      <c r="EJ624" s="78"/>
      <c r="EK624" s="78"/>
      <c r="EL624" s="78"/>
      <c r="EM624" s="78"/>
      <c r="EN624" s="91"/>
      <c r="EO624" s="91"/>
      <c r="EP624" s="91"/>
      <c r="EQ624" s="91"/>
      <c r="ER624" s="91"/>
      <c r="ES624" s="91"/>
    </row>
    <row r="625" spans="1:149" outlineLevel="1">
      <c r="A625" s="29" t="str">
        <f t="shared" si="348"/>
        <v>lt004_protectionemssns_scp3_prtctn</v>
      </c>
      <c r="B625" s="67" t="s">
        <v>26</v>
      </c>
      <c r="C625" s="68" t="s">
        <v>26</v>
      </c>
      <c r="D625" s="64" t="s">
        <v>40</v>
      </c>
      <c r="E625" s="70" t="s">
        <v>368</v>
      </c>
      <c r="F625" s="71" t="s">
        <v>375</v>
      </c>
      <c r="G625" s="64" t="str">
        <f>INDEX(Auxiliar!$B$16:$B$24,MATCH(Plano_V3!H625,Auxiliar!$C$16:$C$24,0),1)</f>
        <v>1. Concluído</v>
      </c>
      <c r="H625" s="64">
        <f>VLOOKUP(A625,'Aux - pivots1'!$A:$B,2,0)</f>
        <v>1</v>
      </c>
      <c r="I625" s="172">
        <f>SUMIFS(Table1[Estimação (horas)],Table1[Tabela],Plano_V3!E625,Table1[Campo],Plano_V3!F625)</f>
        <v>4.0999999999999996</v>
      </c>
      <c r="J625" s="172">
        <f t="shared" si="352"/>
        <v>0.51249999999999996</v>
      </c>
      <c r="K625" s="172">
        <f>SUMIFS(Table1[Horas efetivas],Table1[Tabela],Plano_V3!E625,Table1[Campo],Plano_V3!F625)</f>
        <v>4.0999999999999996</v>
      </c>
      <c r="L625" s="172">
        <f t="shared" si="353"/>
        <v>0.51249999999999996</v>
      </c>
      <c r="M625" s="174"/>
      <c r="N625" s="174">
        <f t="shared" si="354"/>
        <v>1</v>
      </c>
      <c r="O625" s="174"/>
      <c r="P625" s="89" t="s">
        <v>39</v>
      </c>
      <c r="R625" s="78"/>
      <c r="S625" s="78"/>
      <c r="T625" s="78"/>
      <c r="U625" s="78"/>
      <c r="V625" s="78"/>
      <c r="W625" s="78"/>
      <c r="X625" s="78"/>
      <c r="Y625" s="78"/>
      <c r="Z625" s="78"/>
      <c r="AA625" s="78"/>
      <c r="AB625" s="78"/>
      <c r="AC625" s="78"/>
      <c r="AD625" s="78"/>
      <c r="AE625" s="78"/>
      <c r="AF625" s="78"/>
      <c r="AG625" s="78"/>
      <c r="AH625" s="78"/>
      <c r="AI625" s="78"/>
      <c r="AJ625" s="78"/>
      <c r="AK625" s="78"/>
      <c r="AL625" s="78"/>
      <c r="AM625" s="78"/>
      <c r="AN625" s="78"/>
      <c r="AO625" s="78"/>
      <c r="AP625" s="78"/>
      <c r="AQ625" s="78"/>
      <c r="AR625" s="78"/>
      <c r="AS625" s="78"/>
      <c r="AT625" s="78"/>
      <c r="AU625" s="78"/>
      <c r="AV625" s="78"/>
      <c r="AW625" s="78"/>
      <c r="AX625" s="78"/>
      <c r="AY625" s="91"/>
      <c r="AZ625" s="78"/>
      <c r="BA625" s="78"/>
      <c r="BB625" s="78"/>
      <c r="BC625" s="78"/>
      <c r="BD625" s="78"/>
      <c r="BE625" s="78"/>
      <c r="BF625" s="78"/>
      <c r="BG625" s="78"/>
      <c r="BH625" s="78"/>
      <c r="BI625" s="78"/>
      <c r="BJ625" s="78"/>
      <c r="BK625" s="78"/>
      <c r="BL625" s="78"/>
      <c r="BM625" s="78"/>
      <c r="BN625" s="78"/>
      <c r="BO625" s="78"/>
      <c r="BP625" s="78"/>
      <c r="BQ625" s="78"/>
      <c r="BR625" s="78"/>
      <c r="BS625" s="78"/>
      <c r="BT625" s="78"/>
      <c r="BU625" s="78"/>
      <c r="BV625" s="78"/>
      <c r="BW625" s="78"/>
      <c r="BX625" s="78"/>
      <c r="BY625" s="78"/>
      <c r="BZ625" s="78"/>
      <c r="CA625" s="78"/>
      <c r="CB625" s="78"/>
      <c r="CC625" s="78"/>
      <c r="CD625" s="78"/>
      <c r="CE625" s="78"/>
      <c r="CF625" s="78"/>
      <c r="CG625" s="78"/>
      <c r="CH625" s="78"/>
      <c r="CI625" s="78"/>
      <c r="CJ625" s="78"/>
      <c r="CK625" s="78"/>
      <c r="CL625" s="78"/>
      <c r="CM625" s="78"/>
      <c r="CN625" s="78"/>
      <c r="CO625" s="78"/>
      <c r="CP625" s="78"/>
      <c r="CQ625" s="78"/>
      <c r="CR625" s="78"/>
      <c r="CS625" s="78"/>
      <c r="CT625" s="78"/>
      <c r="CU625" s="78"/>
      <c r="CV625" s="78"/>
      <c r="CW625" s="78"/>
      <c r="CX625" s="78"/>
      <c r="CY625" s="78"/>
      <c r="CZ625" s="78"/>
      <c r="DA625" s="78"/>
      <c r="DB625" s="78"/>
      <c r="DC625" s="78"/>
      <c r="DD625" s="78"/>
      <c r="DE625" s="78"/>
      <c r="DF625" s="78"/>
      <c r="DG625" s="78"/>
      <c r="DH625" s="78"/>
      <c r="DI625" s="78"/>
      <c r="DJ625" s="78"/>
      <c r="DK625" s="78"/>
      <c r="DL625" s="78"/>
      <c r="DM625" s="78"/>
      <c r="DN625" s="78"/>
      <c r="DO625" s="78"/>
      <c r="DP625" s="78"/>
      <c r="DQ625" s="78"/>
      <c r="DR625" s="78"/>
      <c r="DS625" s="78"/>
      <c r="DT625" s="78"/>
      <c r="DU625" s="78"/>
      <c r="DV625" s="78"/>
      <c r="DW625" s="78"/>
      <c r="DX625" s="78"/>
      <c r="DY625" s="78"/>
      <c r="DZ625" s="78"/>
      <c r="EA625" s="78"/>
      <c r="EB625" s="78"/>
      <c r="EC625" s="78"/>
      <c r="ED625" s="78"/>
      <c r="EE625" s="78"/>
      <c r="EF625" s="78"/>
      <c r="EG625" s="78"/>
      <c r="EH625" s="78"/>
      <c r="EI625" s="78"/>
      <c r="EJ625" s="78"/>
      <c r="EK625" s="78"/>
      <c r="EL625" s="78"/>
      <c r="EM625" s="78"/>
      <c r="EN625" s="91"/>
      <c r="EO625" s="91"/>
      <c r="EP625" s="91"/>
      <c r="EQ625" s="91"/>
      <c r="ER625" s="91"/>
      <c r="ES625" s="91"/>
    </row>
    <row r="626" spans="1:149" outlineLevel="1">
      <c r="A626" s="29" t="str">
        <f t="shared" si="348"/>
        <v>lt004_protectionmthd_usd_prtctn_scp_1</v>
      </c>
      <c r="B626" s="67" t="s">
        <v>26</v>
      </c>
      <c r="C626" s="68" t="s">
        <v>26</v>
      </c>
      <c r="D626" s="64" t="s">
        <v>40</v>
      </c>
      <c r="E626" s="70" t="s">
        <v>368</v>
      </c>
      <c r="F626" s="71" t="s">
        <v>376</v>
      </c>
      <c r="G626" s="64" t="str">
        <f>INDEX(Auxiliar!$B$16:$B$24,MATCH(Plano_V3!H626,Auxiliar!$C$16:$C$24,0),1)</f>
        <v>1. Concluído</v>
      </c>
      <c r="H626" s="64">
        <f>VLOOKUP(A626,'Aux - pivots1'!$A:$B,2,0)</f>
        <v>1</v>
      </c>
      <c r="I626" s="172">
        <f>SUMIFS(Table1[Estimação (horas)],Table1[Tabela],Plano_V3!E626,Table1[Campo],Plano_V3!F626)</f>
        <v>4.0999999999999996</v>
      </c>
      <c r="J626" s="172">
        <f t="shared" si="352"/>
        <v>0.51249999999999996</v>
      </c>
      <c r="K626" s="172">
        <f>SUMIFS(Table1[Horas efetivas],Table1[Tabela],Plano_V3!E626,Table1[Campo],Plano_V3!F626)</f>
        <v>4.0999999999999996</v>
      </c>
      <c r="L626" s="172">
        <f t="shared" si="353"/>
        <v>0.51249999999999996</v>
      </c>
      <c r="M626" s="174"/>
      <c r="N626" s="174">
        <f t="shared" si="354"/>
        <v>1</v>
      </c>
      <c r="O626" s="174"/>
      <c r="P626" s="89" t="s">
        <v>39</v>
      </c>
      <c r="R626" s="78"/>
      <c r="S626" s="78"/>
      <c r="T626" s="78"/>
      <c r="U626" s="78"/>
      <c r="V626" s="78"/>
      <c r="W626" s="78"/>
      <c r="X626" s="78"/>
      <c r="Y626" s="78"/>
      <c r="Z626" s="78"/>
      <c r="AA626" s="78"/>
      <c r="AB626" s="78"/>
      <c r="AC626" s="78"/>
      <c r="AD626" s="78"/>
      <c r="AE626" s="78"/>
      <c r="AF626" s="78"/>
      <c r="AG626" s="78"/>
      <c r="AH626" s="78"/>
      <c r="AI626" s="78"/>
      <c r="AJ626" s="78"/>
      <c r="AK626" s="78"/>
      <c r="AL626" s="78"/>
      <c r="AM626" s="78"/>
      <c r="AN626" s="78"/>
      <c r="AO626" s="78"/>
      <c r="AP626" s="78"/>
      <c r="AQ626" s="78"/>
      <c r="AR626" s="78"/>
      <c r="AS626" s="78"/>
      <c r="AT626" s="78"/>
      <c r="AU626" s="78"/>
      <c r="AV626" s="78"/>
      <c r="AW626" s="78"/>
      <c r="AX626" s="78"/>
      <c r="AY626" s="91"/>
      <c r="AZ626" s="78"/>
      <c r="BA626" s="78"/>
      <c r="BB626" s="78"/>
      <c r="BC626" s="78"/>
      <c r="BD626" s="78"/>
      <c r="BE626" s="78"/>
      <c r="BF626" s="78"/>
      <c r="BG626" s="78"/>
      <c r="BH626" s="78"/>
      <c r="BI626" s="78"/>
      <c r="BJ626" s="78"/>
      <c r="BK626" s="78"/>
      <c r="BL626" s="78"/>
      <c r="BM626" s="78"/>
      <c r="BN626" s="78"/>
      <c r="BO626" s="78"/>
      <c r="BP626" s="78"/>
      <c r="BQ626" s="78"/>
      <c r="BR626" s="78"/>
      <c r="BS626" s="78"/>
      <c r="BT626" s="78"/>
      <c r="BU626" s="78"/>
      <c r="BV626" s="78"/>
      <c r="BW626" s="78"/>
      <c r="BX626" s="78"/>
      <c r="BY626" s="78"/>
      <c r="BZ626" s="78"/>
      <c r="CA626" s="78"/>
      <c r="CB626" s="78"/>
      <c r="CC626" s="78"/>
      <c r="CD626" s="78"/>
      <c r="CE626" s="78"/>
      <c r="CF626" s="78"/>
      <c r="CG626" s="78"/>
      <c r="CH626" s="78"/>
      <c r="CI626" s="78"/>
      <c r="CJ626" s="78"/>
      <c r="CK626" s="78"/>
      <c r="CL626" s="78"/>
      <c r="CM626" s="78"/>
      <c r="CN626" s="78"/>
      <c r="CO626" s="78"/>
      <c r="CP626" s="78"/>
      <c r="CQ626" s="78"/>
      <c r="CR626" s="78"/>
      <c r="CS626" s="78"/>
      <c r="CT626" s="78"/>
      <c r="CU626" s="78"/>
      <c r="CV626" s="78"/>
      <c r="CW626" s="78"/>
      <c r="CX626" s="78"/>
      <c r="CY626" s="78"/>
      <c r="CZ626" s="78"/>
      <c r="DA626" s="78"/>
      <c r="DB626" s="78"/>
      <c r="DC626" s="78"/>
      <c r="DD626" s="78"/>
      <c r="DE626" s="78"/>
      <c r="DF626" s="78"/>
      <c r="DG626" s="78"/>
      <c r="DH626" s="78"/>
      <c r="DI626" s="78"/>
      <c r="DJ626" s="78"/>
      <c r="DK626" s="78"/>
      <c r="DL626" s="78"/>
      <c r="DM626" s="78"/>
      <c r="DN626" s="78"/>
      <c r="DO626" s="78"/>
      <c r="DP626" s="78"/>
      <c r="DQ626" s="78"/>
      <c r="DR626" s="78"/>
      <c r="DS626" s="78"/>
      <c r="DT626" s="78"/>
      <c r="DU626" s="78"/>
      <c r="DV626" s="78"/>
      <c r="DW626" s="78"/>
      <c r="DX626" s="78"/>
      <c r="DY626" s="78"/>
      <c r="DZ626" s="78"/>
      <c r="EA626" s="78"/>
      <c r="EB626" s="78"/>
      <c r="EC626" s="78"/>
      <c r="ED626" s="78"/>
      <c r="EE626" s="78"/>
      <c r="EF626" s="78"/>
      <c r="EG626" s="78"/>
      <c r="EH626" s="78"/>
      <c r="EI626" s="78"/>
      <c r="EJ626" s="78"/>
      <c r="EK626" s="78"/>
      <c r="EL626" s="78"/>
      <c r="EM626" s="78"/>
      <c r="EN626" s="91"/>
      <c r="EO626" s="91"/>
      <c r="EP626" s="91"/>
      <c r="EQ626" s="91"/>
      <c r="ER626" s="91"/>
      <c r="ES626" s="91"/>
    </row>
    <row r="627" spans="1:149" outlineLevel="1">
      <c r="A627" s="29" t="str">
        <f t="shared" si="348"/>
        <v>lt004_protectionmthd_usd_prtctn_scp_2</v>
      </c>
      <c r="B627" s="67" t="s">
        <v>26</v>
      </c>
      <c r="C627" s="68" t="s">
        <v>26</v>
      </c>
      <c r="D627" s="64" t="s">
        <v>40</v>
      </c>
      <c r="E627" s="70" t="s">
        <v>368</v>
      </c>
      <c r="F627" s="71" t="s">
        <v>377</v>
      </c>
      <c r="G627" s="64" t="str">
        <f>INDEX(Auxiliar!$B$16:$B$24,MATCH(Plano_V3!H627,Auxiliar!$C$16:$C$24,0),1)</f>
        <v>1. Concluído</v>
      </c>
      <c r="H627" s="64">
        <f>VLOOKUP(A627,'Aux - pivots1'!$A:$B,2,0)</f>
        <v>1</v>
      </c>
      <c r="I627" s="172">
        <f>SUMIFS(Table1[Estimação (horas)],Table1[Tabela],Plano_V3!E627,Table1[Campo],Plano_V3!F627)</f>
        <v>4.0999999999999996</v>
      </c>
      <c r="J627" s="172">
        <f t="shared" si="352"/>
        <v>0.51249999999999996</v>
      </c>
      <c r="K627" s="172">
        <f>SUMIFS(Table1[Horas efetivas],Table1[Tabela],Plano_V3!E627,Table1[Campo],Plano_V3!F627)</f>
        <v>4.0999999999999996</v>
      </c>
      <c r="L627" s="172">
        <f t="shared" si="353"/>
        <v>0.51249999999999996</v>
      </c>
      <c r="M627" s="174"/>
      <c r="N627" s="174">
        <f t="shared" si="354"/>
        <v>1</v>
      </c>
      <c r="O627" s="174"/>
      <c r="P627" s="89" t="s">
        <v>39</v>
      </c>
      <c r="R627" s="78"/>
      <c r="S627" s="78"/>
      <c r="T627" s="78"/>
      <c r="U627" s="78"/>
      <c r="V627" s="78"/>
      <c r="W627" s="78"/>
      <c r="X627" s="78"/>
      <c r="Y627" s="78"/>
      <c r="Z627" s="78"/>
      <c r="AA627" s="78"/>
      <c r="AB627" s="78"/>
      <c r="AC627" s="78"/>
      <c r="AD627" s="78"/>
      <c r="AE627" s="78"/>
      <c r="AF627" s="78"/>
      <c r="AG627" s="78"/>
      <c r="AH627" s="78"/>
      <c r="AI627" s="78"/>
      <c r="AJ627" s="78"/>
      <c r="AK627" s="78"/>
      <c r="AL627" s="78"/>
      <c r="AM627" s="78"/>
      <c r="AN627" s="78"/>
      <c r="AO627" s="78"/>
      <c r="AP627" s="78"/>
      <c r="AQ627" s="78"/>
      <c r="AR627" s="78"/>
      <c r="AS627" s="78"/>
      <c r="AT627" s="78"/>
      <c r="AU627" s="78"/>
      <c r="AV627" s="78"/>
      <c r="AW627" s="78"/>
      <c r="AX627" s="78"/>
      <c r="AY627" s="91"/>
      <c r="AZ627" s="78"/>
      <c r="BA627" s="78"/>
      <c r="BB627" s="78"/>
      <c r="BC627" s="78"/>
      <c r="BD627" s="78"/>
      <c r="BE627" s="78"/>
      <c r="BF627" s="78"/>
      <c r="BG627" s="78"/>
      <c r="BH627" s="78"/>
      <c r="BI627" s="78"/>
      <c r="BJ627" s="78"/>
      <c r="BK627" s="78"/>
      <c r="BL627" s="78"/>
      <c r="BM627" s="78"/>
      <c r="BN627" s="78"/>
      <c r="BO627" s="78"/>
      <c r="BP627" s="78"/>
      <c r="BQ627" s="78"/>
      <c r="BR627" s="78"/>
      <c r="BS627" s="78"/>
      <c r="BT627" s="78"/>
      <c r="BU627" s="78"/>
      <c r="BV627" s="78"/>
      <c r="BW627" s="78"/>
      <c r="BX627" s="78"/>
      <c r="BY627" s="78"/>
      <c r="BZ627" s="78"/>
      <c r="CA627" s="78"/>
      <c r="CB627" s="78"/>
      <c r="CC627" s="78"/>
      <c r="CD627" s="78"/>
      <c r="CE627" s="78"/>
      <c r="CF627" s="78"/>
      <c r="CG627" s="78"/>
      <c r="CH627" s="78"/>
      <c r="CI627" s="78"/>
      <c r="CJ627" s="78"/>
      <c r="CK627" s="78"/>
      <c r="CL627" s="78"/>
      <c r="CM627" s="78"/>
      <c r="CN627" s="78"/>
      <c r="CO627" s="78"/>
      <c r="CP627" s="78"/>
      <c r="CQ627" s="78"/>
      <c r="CR627" s="78"/>
      <c r="CS627" s="78"/>
      <c r="CT627" s="78"/>
      <c r="CU627" s="78"/>
      <c r="CV627" s="78"/>
      <c r="CW627" s="78"/>
      <c r="CX627" s="78"/>
      <c r="CY627" s="78"/>
      <c r="CZ627" s="78"/>
      <c r="DA627" s="78"/>
      <c r="DB627" s="78"/>
      <c r="DC627" s="78"/>
      <c r="DD627" s="78"/>
      <c r="DE627" s="78"/>
      <c r="DF627" s="78"/>
      <c r="DG627" s="78"/>
      <c r="DH627" s="78"/>
      <c r="DI627" s="78"/>
      <c r="DJ627" s="78"/>
      <c r="DK627" s="78"/>
      <c r="DL627" s="78"/>
      <c r="DM627" s="78"/>
      <c r="DN627" s="78"/>
      <c r="DO627" s="78"/>
      <c r="DP627" s="78"/>
      <c r="DQ627" s="78"/>
      <c r="DR627" s="78"/>
      <c r="DS627" s="78"/>
      <c r="DT627" s="78"/>
      <c r="DU627" s="78"/>
      <c r="DV627" s="78"/>
      <c r="DW627" s="78"/>
      <c r="DX627" s="78"/>
      <c r="DY627" s="78"/>
      <c r="DZ627" s="78"/>
      <c r="EA627" s="78"/>
      <c r="EB627" s="78"/>
      <c r="EC627" s="78"/>
      <c r="ED627" s="78"/>
      <c r="EE627" s="78"/>
      <c r="EF627" s="78"/>
      <c r="EG627" s="78"/>
      <c r="EH627" s="78"/>
      <c r="EI627" s="78"/>
      <c r="EJ627" s="78"/>
      <c r="EK627" s="78"/>
      <c r="EL627" s="78"/>
      <c r="EM627" s="78"/>
      <c r="EN627" s="91"/>
      <c r="EO627" s="91"/>
      <c r="EP627" s="91"/>
      <c r="EQ627" s="91"/>
      <c r="ER627" s="91"/>
      <c r="ES627" s="91"/>
    </row>
    <row r="628" spans="1:149" outlineLevel="1">
      <c r="A628" s="29" t="str">
        <f t="shared" si="348"/>
        <v>lt004_protectionmthd_usd_prtctn_scp_3</v>
      </c>
      <c r="B628" s="67" t="s">
        <v>26</v>
      </c>
      <c r="C628" s="68" t="s">
        <v>26</v>
      </c>
      <c r="D628" s="64" t="s">
        <v>40</v>
      </c>
      <c r="E628" s="70" t="s">
        <v>368</v>
      </c>
      <c r="F628" s="71" t="s">
        <v>378</v>
      </c>
      <c r="G628" s="64" t="str">
        <f>INDEX(Auxiliar!$B$16:$B$24,MATCH(Plano_V3!H628,Auxiliar!$C$16:$C$24,0),1)</f>
        <v>1. Concluído</v>
      </c>
      <c r="H628" s="64">
        <f>VLOOKUP(A628,'Aux - pivots1'!$A:$B,2,0)</f>
        <v>1</v>
      </c>
      <c r="I628" s="172">
        <f>SUMIFS(Table1[Estimação (horas)],Table1[Tabela],Plano_V3!E628,Table1[Campo],Plano_V3!F628)</f>
        <v>4.0999999999999996</v>
      </c>
      <c r="J628" s="172">
        <f t="shared" si="352"/>
        <v>0.51249999999999996</v>
      </c>
      <c r="K628" s="172">
        <f>SUMIFS(Table1[Horas efetivas],Table1[Tabela],Plano_V3!E628,Table1[Campo],Plano_V3!F628)</f>
        <v>4.0999999999999996</v>
      </c>
      <c r="L628" s="172">
        <f t="shared" si="353"/>
        <v>0.51249999999999996</v>
      </c>
      <c r="M628" s="174"/>
      <c r="N628" s="174">
        <f t="shared" si="354"/>
        <v>1</v>
      </c>
      <c r="O628" s="174"/>
      <c r="P628" s="89" t="s">
        <v>39</v>
      </c>
      <c r="R628" s="78"/>
      <c r="S628" s="78"/>
      <c r="T628" s="78"/>
      <c r="U628" s="78"/>
      <c r="V628" s="78"/>
      <c r="W628" s="78"/>
      <c r="X628" s="78"/>
      <c r="Y628" s="78"/>
      <c r="Z628" s="78"/>
      <c r="AA628" s="78"/>
      <c r="AB628" s="78"/>
      <c r="AC628" s="78"/>
      <c r="AD628" s="78"/>
      <c r="AE628" s="78"/>
      <c r="AF628" s="78"/>
      <c r="AG628" s="78"/>
      <c r="AH628" s="78"/>
      <c r="AI628" s="78"/>
      <c r="AJ628" s="78"/>
      <c r="AK628" s="78"/>
      <c r="AL628" s="78"/>
      <c r="AM628" s="78"/>
      <c r="AN628" s="78"/>
      <c r="AO628" s="78"/>
      <c r="AP628" s="78"/>
      <c r="AQ628" s="78"/>
      <c r="AR628" s="78"/>
      <c r="AS628" s="78"/>
      <c r="AT628" s="78"/>
      <c r="AU628" s="78"/>
      <c r="AV628" s="78"/>
      <c r="AW628" s="78"/>
      <c r="AX628" s="78"/>
      <c r="AY628" s="91"/>
      <c r="AZ628" s="78"/>
      <c r="BA628" s="78"/>
      <c r="BB628" s="78"/>
      <c r="BC628" s="78"/>
      <c r="BD628" s="78"/>
      <c r="BE628" s="78"/>
      <c r="BF628" s="78"/>
      <c r="BG628" s="78"/>
      <c r="BH628" s="78"/>
      <c r="BI628" s="78"/>
      <c r="BJ628" s="78"/>
      <c r="BK628" s="78"/>
      <c r="BL628" s="78"/>
      <c r="BM628" s="78"/>
      <c r="BN628" s="78"/>
      <c r="BO628" s="78"/>
      <c r="BP628" s="78"/>
      <c r="BQ628" s="78"/>
      <c r="BR628" s="78"/>
      <c r="BS628" s="78"/>
      <c r="BT628" s="78"/>
      <c r="BU628" s="78"/>
      <c r="BV628" s="78"/>
      <c r="BW628" s="78"/>
      <c r="BX628" s="78"/>
      <c r="BY628" s="78"/>
      <c r="BZ628" s="78"/>
      <c r="CA628" s="78"/>
      <c r="CB628" s="78"/>
      <c r="CC628" s="78"/>
      <c r="CD628" s="78"/>
      <c r="CE628" s="78"/>
      <c r="CF628" s="78"/>
      <c r="CG628" s="78"/>
      <c r="CH628" s="78"/>
      <c r="CI628" s="78"/>
      <c r="CJ628" s="78"/>
      <c r="CK628" s="78"/>
      <c r="CL628" s="78"/>
      <c r="CM628" s="78"/>
      <c r="CN628" s="78"/>
      <c r="CO628" s="78"/>
      <c r="CP628" s="78"/>
      <c r="CQ628" s="78"/>
      <c r="CR628" s="78"/>
      <c r="CS628" s="78"/>
      <c r="CT628" s="78"/>
      <c r="CU628" s="78"/>
      <c r="CV628" s="78"/>
      <c r="CW628" s="78"/>
      <c r="CX628" s="78"/>
      <c r="CY628" s="78"/>
      <c r="CZ628" s="78"/>
      <c r="DA628" s="78"/>
      <c r="DB628" s="78"/>
      <c r="DC628" s="78"/>
      <c r="DD628" s="78"/>
      <c r="DE628" s="78"/>
      <c r="DF628" s="78"/>
      <c r="DG628" s="78"/>
      <c r="DH628" s="78"/>
      <c r="DI628" s="78"/>
      <c r="DJ628" s="78"/>
      <c r="DK628" s="78"/>
      <c r="DL628" s="78"/>
      <c r="DM628" s="78"/>
      <c r="DN628" s="78"/>
      <c r="DO628" s="78"/>
      <c r="DP628" s="78"/>
      <c r="DQ628" s="78"/>
      <c r="DR628" s="78"/>
      <c r="DS628" s="78"/>
      <c r="DT628" s="78"/>
      <c r="DU628" s="78"/>
      <c r="DV628" s="78"/>
      <c r="DW628" s="78"/>
      <c r="DX628" s="78"/>
      <c r="DY628" s="78"/>
      <c r="DZ628" s="78"/>
      <c r="EA628" s="78"/>
      <c r="EB628" s="78"/>
      <c r="EC628" s="78"/>
      <c r="ED628" s="78"/>
      <c r="EE628" s="78"/>
      <c r="EF628" s="78"/>
      <c r="EG628" s="78"/>
      <c r="EH628" s="78"/>
      <c r="EI628" s="78"/>
      <c r="EJ628" s="78"/>
      <c r="EK628" s="78"/>
      <c r="EL628" s="78"/>
      <c r="EM628" s="78"/>
      <c r="EN628" s="91"/>
      <c r="EO628" s="91"/>
      <c r="EP628" s="91"/>
      <c r="EQ628" s="91"/>
      <c r="ER628" s="91"/>
      <c r="ES628" s="91"/>
    </row>
    <row r="629" spans="1:149" outlineLevel="1">
      <c r="A629" s="29" t="str">
        <f t="shared" si="348"/>
        <v>lt004_protectionflg_act_physcl_rsk</v>
      </c>
      <c r="B629" s="67" t="s">
        <v>26</v>
      </c>
      <c r="C629" s="68" t="s">
        <v>26</v>
      </c>
      <c r="D629" s="64" t="s">
        <v>40</v>
      </c>
      <c r="E629" s="70" t="s">
        <v>368</v>
      </c>
      <c r="F629" s="71" t="s">
        <v>357</v>
      </c>
      <c r="G629" s="64" t="str">
        <f>INDEX(Auxiliar!$B$16:$B$24,MATCH(Plano_V3!H629,Auxiliar!$C$16:$C$24,0),1)</f>
        <v>1. Concluído</v>
      </c>
      <c r="H629" s="64">
        <f>VLOOKUP(A629,'Aux - pivots1'!$A:$B,2,0)</f>
        <v>1</v>
      </c>
      <c r="I629" s="172">
        <f>SUMIFS(Table1[Estimação (horas)],Table1[Tabela],Plano_V3!E629,Table1[Campo],Plano_V3!F629)</f>
        <v>4.0999999999999996</v>
      </c>
      <c r="J629" s="172">
        <f t="shared" si="352"/>
        <v>0.51249999999999996</v>
      </c>
      <c r="K629" s="172">
        <f>SUMIFS(Table1[Horas efetivas],Table1[Tabela],Plano_V3!E629,Table1[Campo],Plano_V3!F629)</f>
        <v>4.0999999999999996</v>
      </c>
      <c r="L629" s="172">
        <f t="shared" si="353"/>
        <v>0.51249999999999996</v>
      </c>
      <c r="M629" s="174"/>
      <c r="N629" s="174">
        <f t="shared" si="354"/>
        <v>1</v>
      </c>
      <c r="O629" s="174"/>
      <c r="P629" s="89" t="s">
        <v>39</v>
      </c>
      <c r="R629" s="78"/>
      <c r="S629" s="78"/>
      <c r="T629" s="78"/>
      <c r="U629" s="78"/>
      <c r="V629" s="78"/>
      <c r="W629" s="78"/>
      <c r="X629" s="78"/>
      <c r="Y629" s="78"/>
      <c r="Z629" s="78"/>
      <c r="AA629" s="78"/>
      <c r="AB629" s="78"/>
      <c r="AC629" s="78"/>
      <c r="AD629" s="78"/>
      <c r="AE629" s="78"/>
      <c r="AF629" s="78"/>
      <c r="AG629" s="78"/>
      <c r="AH629" s="78"/>
      <c r="AI629" s="78"/>
      <c r="AJ629" s="78"/>
      <c r="AK629" s="78"/>
      <c r="AL629" s="78"/>
      <c r="AM629" s="78"/>
      <c r="AN629" s="78"/>
      <c r="AO629" s="78"/>
      <c r="AP629" s="78"/>
      <c r="AQ629" s="78"/>
      <c r="AR629" s="78"/>
      <c r="AS629" s="78"/>
      <c r="AT629" s="78"/>
      <c r="AU629" s="78"/>
      <c r="AV629" s="78"/>
      <c r="AW629" s="78"/>
      <c r="AX629" s="78"/>
      <c r="AY629" s="91"/>
      <c r="AZ629" s="78"/>
      <c r="BA629" s="78"/>
      <c r="BB629" s="78"/>
      <c r="BC629" s="78"/>
      <c r="BD629" s="78"/>
      <c r="BE629" s="78"/>
      <c r="BF629" s="78"/>
      <c r="BG629" s="78"/>
      <c r="BH629" s="78"/>
      <c r="BI629" s="78"/>
      <c r="BJ629" s="78"/>
      <c r="BK629" s="78"/>
      <c r="BL629" s="78"/>
      <c r="BM629" s="78"/>
      <c r="BN629" s="78"/>
      <c r="BO629" s="78"/>
      <c r="BP629" s="78"/>
      <c r="BQ629" s="78"/>
      <c r="BR629" s="78"/>
      <c r="BS629" s="78"/>
      <c r="BT629" s="78"/>
      <c r="BU629" s="78"/>
      <c r="BV629" s="78"/>
      <c r="BW629" s="78"/>
      <c r="BX629" s="78"/>
      <c r="BY629" s="78"/>
      <c r="BZ629" s="78"/>
      <c r="CA629" s="78"/>
      <c r="CB629" s="78"/>
      <c r="CC629" s="78"/>
      <c r="CD629" s="78"/>
      <c r="CE629" s="78"/>
      <c r="CF629" s="78"/>
      <c r="CG629" s="78"/>
      <c r="CH629" s="78"/>
      <c r="CI629" s="78"/>
      <c r="CJ629" s="78"/>
      <c r="CK629" s="78"/>
      <c r="CL629" s="78"/>
      <c r="CM629" s="78"/>
      <c r="CN629" s="78"/>
      <c r="CO629" s="78"/>
      <c r="CP629" s="78"/>
      <c r="CQ629" s="78"/>
      <c r="CR629" s="78"/>
      <c r="CS629" s="78"/>
      <c r="CT629" s="78"/>
      <c r="CU629" s="78"/>
      <c r="CV629" s="78"/>
      <c r="CW629" s="78"/>
      <c r="CX629" s="78"/>
      <c r="CY629" s="78"/>
      <c r="CZ629" s="78"/>
      <c r="DA629" s="78"/>
      <c r="DB629" s="78"/>
      <c r="DC629" s="78"/>
      <c r="DD629" s="78"/>
      <c r="DE629" s="78"/>
      <c r="DF629" s="78"/>
      <c r="DG629" s="78"/>
      <c r="DH629" s="78"/>
      <c r="DI629" s="78"/>
      <c r="DJ629" s="78"/>
      <c r="DK629" s="78"/>
      <c r="DL629" s="78"/>
      <c r="DM629" s="78"/>
      <c r="DN629" s="78"/>
      <c r="DO629" s="78"/>
      <c r="DP629" s="78"/>
      <c r="DQ629" s="78"/>
      <c r="DR629" s="78"/>
      <c r="DS629" s="78"/>
      <c r="DT629" s="78"/>
      <c r="DU629" s="78"/>
      <c r="DV629" s="78"/>
      <c r="DW629" s="78"/>
      <c r="DX629" s="78"/>
      <c r="DY629" s="78"/>
      <c r="DZ629" s="78"/>
      <c r="EA629" s="78"/>
      <c r="EB629" s="78"/>
      <c r="EC629" s="78"/>
      <c r="ED629" s="78"/>
      <c r="EE629" s="78"/>
      <c r="EF629" s="78"/>
      <c r="EG629" s="78"/>
      <c r="EH629" s="78"/>
      <c r="EI629" s="78"/>
      <c r="EJ629" s="78"/>
      <c r="EK629" s="78"/>
      <c r="EL629" s="78"/>
      <c r="EM629" s="78"/>
      <c r="EN629" s="91"/>
      <c r="EO629" s="91"/>
      <c r="EP629" s="91"/>
      <c r="EQ629" s="91"/>
      <c r="ER629" s="91"/>
      <c r="ES629" s="91"/>
    </row>
    <row r="630" spans="1:149" outlineLevel="1">
      <c r="A630" s="29" t="str">
        <f t="shared" si="348"/>
        <v>lt004_protectionflg_chrnc_physcl_rsk</v>
      </c>
      <c r="B630" s="67" t="s">
        <v>26</v>
      </c>
      <c r="C630" s="68" t="s">
        <v>26</v>
      </c>
      <c r="D630" s="64" t="s">
        <v>40</v>
      </c>
      <c r="E630" s="70" t="s">
        <v>368</v>
      </c>
      <c r="F630" s="71" t="s">
        <v>358</v>
      </c>
      <c r="G630" s="64" t="str">
        <f>INDEX(Auxiliar!$B$16:$B$24,MATCH(Plano_V3!H630,Auxiliar!$C$16:$C$24,0),1)</f>
        <v>1. Concluído</v>
      </c>
      <c r="H630" s="64">
        <f>VLOOKUP(A630,'Aux - pivots1'!$A:$B,2,0)</f>
        <v>1</v>
      </c>
      <c r="I630" s="172">
        <f>SUMIFS(Table1[Estimação (horas)],Table1[Tabela],Plano_V3!E630,Table1[Campo],Plano_V3!F630)</f>
        <v>4.0999999999999996</v>
      </c>
      <c r="J630" s="172">
        <f t="shared" si="352"/>
        <v>0.51249999999999996</v>
      </c>
      <c r="K630" s="172">
        <f>SUMIFS(Table1[Horas efetivas],Table1[Tabela],Plano_V3!E630,Table1[Campo],Plano_V3!F630)</f>
        <v>4.0999999999999996</v>
      </c>
      <c r="L630" s="172">
        <f t="shared" si="353"/>
        <v>0.51249999999999996</v>
      </c>
      <c r="M630" s="174"/>
      <c r="N630" s="174">
        <f t="shared" si="354"/>
        <v>1</v>
      </c>
      <c r="O630" s="174"/>
      <c r="P630" s="89" t="s">
        <v>39</v>
      </c>
      <c r="R630" s="78"/>
      <c r="S630" s="78"/>
      <c r="T630" s="78"/>
      <c r="U630" s="78"/>
      <c r="V630" s="78"/>
      <c r="W630" s="78"/>
      <c r="X630" s="78"/>
      <c r="Y630" s="78"/>
      <c r="Z630" s="78"/>
      <c r="AA630" s="78"/>
      <c r="AB630" s="78"/>
      <c r="AC630" s="78"/>
      <c r="AD630" s="78"/>
      <c r="AE630" s="78"/>
      <c r="AF630" s="78"/>
      <c r="AG630" s="78"/>
      <c r="AH630" s="78"/>
      <c r="AI630" s="78"/>
      <c r="AJ630" s="78"/>
      <c r="AK630" s="78"/>
      <c r="AL630" s="78"/>
      <c r="AM630" s="78"/>
      <c r="AN630" s="78"/>
      <c r="AO630" s="78"/>
      <c r="AP630" s="78"/>
      <c r="AQ630" s="78"/>
      <c r="AR630" s="78"/>
      <c r="AS630" s="78"/>
      <c r="AT630" s="78"/>
      <c r="AU630" s="78"/>
      <c r="AV630" s="78"/>
      <c r="AW630" s="78"/>
      <c r="AX630" s="78"/>
      <c r="AY630" s="91"/>
      <c r="AZ630" s="78"/>
      <c r="BA630" s="78"/>
      <c r="BB630" s="78"/>
      <c r="BC630" s="78"/>
      <c r="BD630" s="78"/>
      <c r="BE630" s="78"/>
      <c r="BF630" s="78"/>
      <c r="BG630" s="78"/>
      <c r="BH630" s="78"/>
      <c r="BI630" s="78"/>
      <c r="BJ630" s="78"/>
      <c r="BK630" s="78"/>
      <c r="BL630" s="78"/>
      <c r="BM630" s="78"/>
      <c r="BN630" s="78"/>
      <c r="BO630" s="78"/>
      <c r="BP630" s="78"/>
      <c r="BQ630" s="78"/>
      <c r="BR630" s="78"/>
      <c r="BS630" s="78"/>
      <c r="BT630" s="78"/>
      <c r="BU630" s="78"/>
      <c r="BV630" s="78"/>
      <c r="BW630" s="78"/>
      <c r="BX630" s="78"/>
      <c r="BY630" s="78"/>
      <c r="BZ630" s="78"/>
      <c r="CA630" s="78"/>
      <c r="CB630" s="78"/>
      <c r="CC630" s="78"/>
      <c r="CD630" s="78"/>
      <c r="CE630" s="78"/>
      <c r="CF630" s="78"/>
      <c r="CG630" s="78"/>
      <c r="CH630" s="78"/>
      <c r="CI630" s="78"/>
      <c r="CJ630" s="78"/>
      <c r="CK630" s="78"/>
      <c r="CL630" s="78"/>
      <c r="CM630" s="78"/>
      <c r="CN630" s="78"/>
      <c r="CO630" s="78"/>
      <c r="CP630" s="78"/>
      <c r="CQ630" s="78"/>
      <c r="CR630" s="78"/>
      <c r="CS630" s="78"/>
      <c r="CT630" s="78"/>
      <c r="CU630" s="78"/>
      <c r="CV630" s="78"/>
      <c r="CW630" s="78"/>
      <c r="CX630" s="78"/>
      <c r="CY630" s="78"/>
      <c r="CZ630" s="78"/>
      <c r="DA630" s="78"/>
      <c r="DB630" s="78"/>
      <c r="DC630" s="78"/>
      <c r="DD630" s="78"/>
      <c r="DE630" s="78"/>
      <c r="DF630" s="78"/>
      <c r="DG630" s="78"/>
      <c r="DH630" s="78"/>
      <c r="DI630" s="78"/>
      <c r="DJ630" s="78"/>
      <c r="DK630" s="78"/>
      <c r="DL630" s="78"/>
      <c r="DM630" s="78"/>
      <c r="DN630" s="78"/>
      <c r="DO630" s="78"/>
      <c r="DP630" s="78"/>
      <c r="DQ630" s="78"/>
      <c r="DR630" s="78"/>
      <c r="DS630" s="78"/>
      <c r="DT630" s="78"/>
      <c r="DU630" s="78"/>
      <c r="DV630" s="78"/>
      <c r="DW630" s="78"/>
      <c r="DX630" s="78"/>
      <c r="DY630" s="78"/>
      <c r="DZ630" s="78"/>
      <c r="EA630" s="78"/>
      <c r="EB630" s="78"/>
      <c r="EC630" s="78"/>
      <c r="ED630" s="78"/>
      <c r="EE630" s="78"/>
      <c r="EF630" s="78"/>
      <c r="EG630" s="78"/>
      <c r="EH630" s="78"/>
      <c r="EI630" s="78"/>
      <c r="EJ630" s="78"/>
      <c r="EK630" s="78"/>
      <c r="EL630" s="78"/>
      <c r="EM630" s="78"/>
      <c r="EN630" s="91"/>
      <c r="EO630" s="91"/>
      <c r="EP630" s="91"/>
      <c r="EQ630" s="91"/>
      <c r="ER630" s="91"/>
      <c r="ES630" s="91"/>
    </row>
    <row r="631" spans="1:149" outlineLevel="1">
      <c r="A631" s="29" t="str">
        <f t="shared" ref="A631:A653" si="355">E631&amp;F631</f>
        <v>lt004_protectionRL_ESTT_ADDRSS</v>
      </c>
      <c r="B631" s="67" t="s">
        <v>26</v>
      </c>
      <c r="C631" s="68" t="s">
        <v>26</v>
      </c>
      <c r="D631" s="64" t="s">
        <v>40</v>
      </c>
      <c r="E631" s="70" t="s">
        <v>368</v>
      </c>
      <c r="F631" s="353" t="s">
        <v>2243</v>
      </c>
      <c r="G631" s="64" t="str">
        <f>INDEX(Auxiliar!$B$16:$B$24,MATCH(Plano_V3!H631,Auxiliar!$C$16:$C$24,0),1)</f>
        <v>5. Em Correção</v>
      </c>
      <c r="H631" s="64">
        <f>VLOOKUP(A631,'Aux - pivots1'!$A:$B,2,0)</f>
        <v>6</v>
      </c>
      <c r="I631" s="172" t="e">
        <f>SUMIFS(Table1[Estimação (horas)],Table1[Tabela],Plano_V3!E631,Table1[Campo],Plano_V3!F631)</f>
        <v>#N/A</v>
      </c>
      <c r="J631" s="172" t="e">
        <f t="shared" ref="J631:J653" si="356">I631/8</f>
        <v>#N/A</v>
      </c>
      <c r="K631" s="172" t="e">
        <f>SUMIFS(Table1[Horas efetivas],Table1[Tabela],Plano_V3!E631,Table1[Campo],Plano_V3!F631)</f>
        <v>#N/A</v>
      </c>
      <c r="L631" s="172" t="e">
        <f t="shared" ref="L631:L653" si="357">K631/8</f>
        <v>#N/A</v>
      </c>
      <c r="M631" s="174"/>
      <c r="N631" s="174" t="e">
        <f t="shared" ref="N631:N653" si="358">L631/J631</f>
        <v>#N/A</v>
      </c>
      <c r="O631" s="174"/>
      <c r="P631" s="89" t="s">
        <v>39</v>
      </c>
      <c r="R631" s="78"/>
      <c r="S631" s="78"/>
      <c r="T631" s="78"/>
      <c r="U631" s="78"/>
      <c r="V631" s="78"/>
      <c r="W631" s="78"/>
      <c r="X631" s="78"/>
      <c r="Y631" s="78"/>
      <c r="Z631" s="78"/>
      <c r="AA631" s="78"/>
      <c r="AB631" s="78"/>
      <c r="AC631" s="78"/>
      <c r="AD631" s="78"/>
      <c r="AE631" s="78"/>
      <c r="AF631" s="78"/>
      <c r="AG631" s="78"/>
      <c r="AH631" s="78"/>
      <c r="AI631" s="78"/>
      <c r="AJ631" s="78"/>
      <c r="AK631" s="78"/>
      <c r="AL631" s="78"/>
      <c r="AM631" s="78"/>
      <c r="AN631" s="78"/>
      <c r="AO631" s="78"/>
      <c r="AP631" s="78"/>
      <c r="AQ631" s="78"/>
      <c r="AR631" s="78"/>
      <c r="AS631" s="78"/>
      <c r="AT631" s="78"/>
      <c r="AU631" s="78"/>
      <c r="AV631" s="78"/>
      <c r="AW631" s="78"/>
      <c r="AX631" s="78"/>
      <c r="AY631" s="91"/>
      <c r="AZ631" s="78"/>
      <c r="BA631" s="78"/>
      <c r="BB631" s="78"/>
      <c r="BC631" s="78"/>
      <c r="BD631" s="78"/>
      <c r="BE631" s="78"/>
      <c r="BF631" s="78"/>
      <c r="BG631" s="78"/>
      <c r="BH631" s="78"/>
      <c r="BI631" s="78"/>
      <c r="BJ631" s="78"/>
      <c r="BK631" s="78"/>
      <c r="BL631" s="78"/>
      <c r="BM631" s="78"/>
      <c r="BN631" s="78"/>
      <c r="BO631" s="78"/>
      <c r="BP631" s="78"/>
      <c r="BQ631" s="78"/>
      <c r="BR631" s="78"/>
      <c r="BS631" s="78"/>
      <c r="BT631" s="78"/>
      <c r="BU631" s="78"/>
      <c r="BV631" s="78"/>
      <c r="BW631" s="78"/>
      <c r="BX631" s="78"/>
      <c r="BY631" s="78"/>
      <c r="BZ631" s="78"/>
      <c r="CA631" s="78"/>
      <c r="CB631" s="78"/>
      <c r="CC631" s="78"/>
      <c r="CD631" s="78"/>
      <c r="CE631" s="78"/>
      <c r="CF631" s="78"/>
      <c r="CG631" s="78"/>
      <c r="CH631" s="78"/>
      <c r="CI631" s="78"/>
      <c r="CJ631" s="78"/>
      <c r="CK631" s="78"/>
      <c r="CL631" s="78"/>
      <c r="CM631" s="78"/>
      <c r="CN631" s="78"/>
      <c r="CO631" s="78"/>
      <c r="CP631" s="78"/>
      <c r="CQ631" s="78"/>
      <c r="CR631" s="78"/>
      <c r="CS631" s="78"/>
      <c r="CT631" s="78"/>
      <c r="CU631" s="78"/>
      <c r="CV631" s="78"/>
      <c r="CW631" s="78"/>
      <c r="CX631" s="78"/>
      <c r="CY631" s="78"/>
      <c r="CZ631" s="78"/>
      <c r="DA631" s="78"/>
      <c r="DB631" s="78"/>
      <c r="DC631" s="78"/>
      <c r="DD631" s="78"/>
      <c r="DE631" s="78"/>
      <c r="DF631" s="78"/>
      <c r="DG631" s="78"/>
      <c r="DH631" s="78"/>
      <c r="DI631" s="78"/>
      <c r="DJ631" s="78"/>
      <c r="DK631" s="78"/>
      <c r="DL631" s="78"/>
      <c r="DM631" s="78"/>
      <c r="DN631" s="78"/>
      <c r="DO631" s="78"/>
      <c r="DP631" s="78"/>
      <c r="DQ631" s="78"/>
      <c r="DR631" s="78"/>
      <c r="DS631" s="78"/>
      <c r="DT631" s="78"/>
      <c r="DU631" s="78"/>
      <c r="DV631" s="78"/>
      <c r="DW631" s="78"/>
      <c r="DX631" s="78"/>
      <c r="DY631" s="78"/>
      <c r="DZ631" s="78"/>
      <c r="EA631" s="78"/>
      <c r="EB631" s="78"/>
      <c r="EC631" s="78"/>
      <c r="ED631" s="78"/>
      <c r="EE631" s="78"/>
      <c r="EF631" s="78"/>
      <c r="EG631" s="78"/>
      <c r="EH631" s="78"/>
      <c r="EI631" s="78"/>
      <c r="EJ631" s="78"/>
      <c r="EK631" s="78"/>
      <c r="EL631" s="78"/>
      <c r="EM631" s="78"/>
      <c r="EN631" s="91"/>
      <c r="EO631" s="91"/>
      <c r="EP631" s="91"/>
      <c r="EQ631" s="91"/>
      <c r="ER631" s="91"/>
      <c r="ES631" s="91"/>
    </row>
    <row r="632" spans="1:149" outlineLevel="1">
      <c r="A632" s="29" t="str">
        <f t="shared" si="355"/>
        <v>lt004_protectionRL_ESTT_CLLTRL_LCTN_INT</v>
      </c>
      <c r="B632" s="67" t="s">
        <v>26</v>
      </c>
      <c r="C632" s="68" t="s">
        <v>26</v>
      </c>
      <c r="D632" s="64" t="s">
        <v>40</v>
      </c>
      <c r="E632" s="70" t="s">
        <v>368</v>
      </c>
      <c r="F632" s="353" t="s">
        <v>2244</v>
      </c>
      <c r="G632" s="64" t="str">
        <f>INDEX(Auxiliar!$B$16:$B$24,MATCH(Plano_V3!H632,Auxiliar!$C$16:$C$24,0),1)</f>
        <v>1. Concluído</v>
      </c>
      <c r="H632" s="64">
        <f>VLOOKUP(A632,'Aux - pivots1'!$A:$B,2,0)</f>
        <v>1</v>
      </c>
      <c r="I632" s="172" t="e">
        <f>SUMIFS(Table1[Estimação (horas)],Table1[Tabela],Plano_V3!E632,Table1[Campo],Plano_V3!F632)</f>
        <v>#N/A</v>
      </c>
      <c r="J632" s="172" t="e">
        <f t="shared" si="356"/>
        <v>#N/A</v>
      </c>
      <c r="K632" s="172" t="e">
        <f>SUMIFS(Table1[Horas efetivas],Table1[Tabela],Plano_V3!E632,Table1[Campo],Plano_V3!F632)</f>
        <v>#N/A</v>
      </c>
      <c r="L632" s="172" t="e">
        <f t="shared" si="357"/>
        <v>#N/A</v>
      </c>
      <c r="M632" s="174"/>
      <c r="N632" s="174" t="e">
        <f t="shared" si="358"/>
        <v>#N/A</v>
      </c>
      <c r="O632" s="174"/>
      <c r="P632" s="89" t="s">
        <v>39</v>
      </c>
      <c r="R632" s="78"/>
      <c r="S632" s="78"/>
      <c r="T632" s="78"/>
      <c r="U632" s="78"/>
      <c r="V632" s="78"/>
      <c r="W632" s="78"/>
      <c r="X632" s="78"/>
      <c r="Y632" s="78"/>
      <c r="Z632" s="78"/>
      <c r="AA632" s="78"/>
      <c r="AB632" s="78"/>
      <c r="AC632" s="78"/>
      <c r="AD632" s="78"/>
      <c r="AE632" s="78"/>
      <c r="AF632" s="78"/>
      <c r="AG632" s="78"/>
      <c r="AH632" s="78"/>
      <c r="AI632" s="78"/>
      <c r="AJ632" s="78"/>
      <c r="AK632" s="78"/>
      <c r="AL632" s="78"/>
      <c r="AM632" s="78"/>
      <c r="AN632" s="78"/>
      <c r="AO632" s="78"/>
      <c r="AP632" s="78"/>
      <c r="AQ632" s="78"/>
      <c r="AR632" s="78"/>
      <c r="AS632" s="78"/>
      <c r="AT632" s="78"/>
      <c r="AU632" s="78"/>
      <c r="AV632" s="78"/>
      <c r="AW632" s="78"/>
      <c r="AX632" s="78"/>
      <c r="AY632" s="91"/>
      <c r="AZ632" s="78"/>
      <c r="BA632" s="78"/>
      <c r="BB632" s="78"/>
      <c r="BC632" s="78"/>
      <c r="BD632" s="78"/>
      <c r="BE632" s="78"/>
      <c r="BF632" s="78"/>
      <c r="BG632" s="78"/>
      <c r="BH632" s="78"/>
      <c r="BI632" s="78"/>
      <c r="BJ632" s="78"/>
      <c r="BK632" s="78"/>
      <c r="BL632" s="78"/>
      <c r="BM632" s="78"/>
      <c r="BN632" s="78"/>
      <c r="BO632" s="78"/>
      <c r="BP632" s="78"/>
      <c r="BQ632" s="78"/>
      <c r="BR632" s="78"/>
      <c r="BS632" s="78"/>
      <c r="BT632" s="78"/>
      <c r="BU632" s="78"/>
      <c r="BV632" s="78"/>
      <c r="BW632" s="78"/>
      <c r="BX632" s="78"/>
      <c r="BY632" s="78"/>
      <c r="BZ632" s="78"/>
      <c r="CA632" s="78"/>
      <c r="CB632" s="78"/>
      <c r="CC632" s="78"/>
      <c r="CD632" s="78"/>
      <c r="CE632" s="78"/>
      <c r="CF632" s="78"/>
      <c r="CG632" s="78"/>
      <c r="CH632" s="78"/>
      <c r="CI632" s="78"/>
      <c r="CJ632" s="78"/>
      <c r="CK632" s="78"/>
      <c r="CL632" s="78"/>
      <c r="CM632" s="78"/>
      <c r="CN632" s="78"/>
      <c r="CO632" s="78"/>
      <c r="CP632" s="78"/>
      <c r="CQ632" s="78"/>
      <c r="CR632" s="78"/>
      <c r="CS632" s="78"/>
      <c r="CT632" s="78"/>
      <c r="CU632" s="78"/>
      <c r="CV632" s="78"/>
      <c r="CW632" s="78"/>
      <c r="CX632" s="78"/>
      <c r="CY632" s="78"/>
      <c r="CZ632" s="78"/>
      <c r="DA632" s="78"/>
      <c r="DB632" s="78"/>
      <c r="DC632" s="78"/>
      <c r="DD632" s="78"/>
      <c r="DE632" s="78"/>
      <c r="DF632" s="78"/>
      <c r="DG632" s="78"/>
      <c r="DH632" s="78"/>
      <c r="DI632" s="78"/>
      <c r="DJ632" s="78"/>
      <c r="DK632" s="78"/>
      <c r="DL632" s="78"/>
      <c r="DM632" s="78"/>
      <c r="DN632" s="78"/>
      <c r="DO632" s="78"/>
      <c r="DP632" s="78"/>
      <c r="DQ632" s="78"/>
      <c r="DR632" s="78"/>
      <c r="DS632" s="78"/>
      <c r="DT632" s="78"/>
      <c r="DU632" s="78"/>
      <c r="DV632" s="78"/>
      <c r="DW632" s="78"/>
      <c r="DX632" s="78"/>
      <c r="DY632" s="78"/>
      <c r="DZ632" s="78"/>
      <c r="EA632" s="78"/>
      <c r="EB632" s="78"/>
      <c r="EC632" s="78"/>
      <c r="ED632" s="78"/>
      <c r="EE632" s="78"/>
      <c r="EF632" s="78"/>
      <c r="EG632" s="78"/>
      <c r="EH632" s="78"/>
      <c r="EI632" s="78"/>
      <c r="EJ632" s="78"/>
      <c r="EK632" s="78"/>
      <c r="EL632" s="78"/>
      <c r="EM632" s="78"/>
      <c r="EN632" s="91"/>
      <c r="EO632" s="91"/>
      <c r="EP632" s="91"/>
      <c r="EQ632" s="91"/>
      <c r="ER632" s="91"/>
      <c r="ES632" s="91"/>
    </row>
    <row r="633" spans="1:149" outlineLevel="1">
      <c r="A633" s="29" t="str">
        <f t="shared" si="355"/>
        <v>lt004_protectionRL_ESTT_CTY</v>
      </c>
      <c r="B633" s="67" t="s">
        <v>26</v>
      </c>
      <c r="C633" s="68" t="s">
        <v>26</v>
      </c>
      <c r="D633" s="64" t="s">
        <v>40</v>
      </c>
      <c r="E633" s="70" t="s">
        <v>368</v>
      </c>
      <c r="F633" s="353" t="s">
        <v>2245</v>
      </c>
      <c r="G633" s="64" t="str">
        <f>INDEX(Auxiliar!$B$16:$B$24,MATCH(Plano_V3!H633,Auxiliar!$C$16:$C$24,0),1)</f>
        <v>1. Concluído</v>
      </c>
      <c r="H633" s="64">
        <f>VLOOKUP(A633,'Aux - pivots1'!$A:$B,2,0)</f>
        <v>1</v>
      </c>
      <c r="I633" s="172" t="e">
        <f>SUMIFS(Table1[Estimação (horas)],Table1[Tabela],Plano_V3!E633,Table1[Campo],Plano_V3!F633)</f>
        <v>#N/A</v>
      </c>
      <c r="J633" s="172" t="e">
        <f t="shared" si="356"/>
        <v>#N/A</v>
      </c>
      <c r="K633" s="172" t="e">
        <f>SUMIFS(Table1[Horas efetivas],Table1[Tabela],Plano_V3!E633,Table1[Campo],Plano_V3!F633)</f>
        <v>#N/A</v>
      </c>
      <c r="L633" s="172" t="e">
        <f t="shared" si="357"/>
        <v>#N/A</v>
      </c>
      <c r="M633" s="174"/>
      <c r="N633" s="174" t="e">
        <f t="shared" si="358"/>
        <v>#N/A</v>
      </c>
      <c r="O633" s="174"/>
      <c r="P633" s="89" t="s">
        <v>39</v>
      </c>
      <c r="R633" s="78"/>
      <c r="S633" s="78"/>
      <c r="T633" s="78"/>
      <c r="U633" s="78"/>
      <c r="V633" s="78"/>
      <c r="W633" s="78"/>
      <c r="X633" s="78"/>
      <c r="Y633" s="78"/>
      <c r="Z633" s="78"/>
      <c r="AA633" s="78"/>
      <c r="AB633" s="78"/>
      <c r="AC633" s="78"/>
      <c r="AD633" s="78"/>
      <c r="AE633" s="78"/>
      <c r="AF633" s="78"/>
      <c r="AG633" s="78"/>
      <c r="AH633" s="78"/>
      <c r="AI633" s="78"/>
      <c r="AJ633" s="78"/>
      <c r="AK633" s="78"/>
      <c r="AL633" s="78"/>
      <c r="AM633" s="78"/>
      <c r="AN633" s="78"/>
      <c r="AO633" s="78"/>
      <c r="AP633" s="78"/>
      <c r="AQ633" s="78"/>
      <c r="AR633" s="78"/>
      <c r="AS633" s="78"/>
      <c r="AT633" s="78"/>
      <c r="AU633" s="78"/>
      <c r="AV633" s="78"/>
      <c r="AW633" s="78"/>
      <c r="AX633" s="78"/>
      <c r="AY633" s="91"/>
      <c r="AZ633" s="78"/>
      <c r="BA633" s="78"/>
      <c r="BB633" s="78"/>
      <c r="BC633" s="78"/>
      <c r="BD633" s="78"/>
      <c r="BE633" s="78"/>
      <c r="BF633" s="78"/>
      <c r="BG633" s="78"/>
      <c r="BH633" s="78"/>
      <c r="BI633" s="78"/>
      <c r="BJ633" s="78"/>
      <c r="BK633" s="78"/>
      <c r="BL633" s="78"/>
      <c r="BM633" s="78"/>
      <c r="BN633" s="78"/>
      <c r="BO633" s="78"/>
      <c r="BP633" s="78"/>
      <c r="BQ633" s="78"/>
      <c r="BR633" s="78"/>
      <c r="BS633" s="78"/>
      <c r="BT633" s="78"/>
      <c r="BU633" s="78"/>
      <c r="BV633" s="78"/>
      <c r="BW633" s="78"/>
      <c r="BX633" s="78"/>
      <c r="BY633" s="78"/>
      <c r="BZ633" s="78"/>
      <c r="CA633" s="78"/>
      <c r="CB633" s="78"/>
      <c r="CC633" s="78"/>
      <c r="CD633" s="78"/>
      <c r="CE633" s="78"/>
      <c r="CF633" s="78"/>
      <c r="CG633" s="78"/>
      <c r="CH633" s="78"/>
      <c r="CI633" s="78"/>
      <c r="CJ633" s="78"/>
      <c r="CK633" s="78"/>
      <c r="CL633" s="78"/>
      <c r="CM633" s="78"/>
      <c r="CN633" s="78"/>
      <c r="CO633" s="78"/>
      <c r="CP633" s="78"/>
      <c r="CQ633" s="78"/>
      <c r="CR633" s="78"/>
      <c r="CS633" s="78"/>
      <c r="CT633" s="78"/>
      <c r="CU633" s="78"/>
      <c r="CV633" s="78"/>
      <c r="CW633" s="78"/>
      <c r="CX633" s="78"/>
      <c r="CY633" s="78"/>
      <c r="CZ633" s="78"/>
      <c r="DA633" s="78"/>
      <c r="DB633" s="78"/>
      <c r="DC633" s="78"/>
      <c r="DD633" s="78"/>
      <c r="DE633" s="78"/>
      <c r="DF633" s="78"/>
      <c r="DG633" s="78"/>
      <c r="DH633" s="78"/>
      <c r="DI633" s="78"/>
      <c r="DJ633" s="78"/>
      <c r="DK633" s="78"/>
      <c r="DL633" s="78"/>
      <c r="DM633" s="78"/>
      <c r="DN633" s="78"/>
      <c r="DO633" s="78"/>
      <c r="DP633" s="78"/>
      <c r="DQ633" s="78"/>
      <c r="DR633" s="78"/>
      <c r="DS633" s="78"/>
      <c r="DT633" s="78"/>
      <c r="DU633" s="78"/>
      <c r="DV633" s="78"/>
      <c r="DW633" s="78"/>
      <c r="DX633" s="78"/>
      <c r="DY633" s="78"/>
      <c r="DZ633" s="78"/>
      <c r="EA633" s="78"/>
      <c r="EB633" s="78"/>
      <c r="EC633" s="78"/>
      <c r="ED633" s="78"/>
      <c r="EE633" s="78"/>
      <c r="EF633" s="78"/>
      <c r="EG633" s="78"/>
      <c r="EH633" s="78"/>
      <c r="EI633" s="78"/>
      <c r="EJ633" s="78"/>
      <c r="EK633" s="78"/>
      <c r="EL633" s="78"/>
      <c r="EM633" s="78"/>
      <c r="EN633" s="91"/>
      <c r="EO633" s="91"/>
      <c r="EP633" s="91"/>
      <c r="EQ633" s="91"/>
      <c r="ER633" s="91"/>
      <c r="ES633" s="91"/>
    </row>
    <row r="634" spans="1:149" outlineLevel="1">
      <c r="A634" s="29" t="str">
        <f t="shared" si="355"/>
        <v>lt004_protectionTYP_EMSSNS_LBL</v>
      </c>
      <c r="B634" s="67" t="s">
        <v>26</v>
      </c>
      <c r="C634" s="68" t="s">
        <v>26</v>
      </c>
      <c r="D634" s="64" t="s">
        <v>40</v>
      </c>
      <c r="E634" s="70" t="s">
        <v>368</v>
      </c>
      <c r="F634" s="353" t="s">
        <v>2246</v>
      </c>
      <c r="G634" s="64" t="str">
        <f>INDEX(Auxiliar!$B$16:$B$24,MATCH(Plano_V3!H634,Auxiliar!$C$16:$C$24,0),1)</f>
        <v>1. Concluído</v>
      </c>
      <c r="H634" s="64">
        <f>VLOOKUP(A634,'Aux - pivots1'!$A:$B,2,0)</f>
        <v>1</v>
      </c>
      <c r="I634" s="172" t="e">
        <f>SUMIFS(Table1[Estimação (horas)],Table1[Tabela],Plano_V3!E634,Table1[Campo],Plano_V3!F634)</f>
        <v>#N/A</v>
      </c>
      <c r="J634" s="172" t="e">
        <f t="shared" si="356"/>
        <v>#N/A</v>
      </c>
      <c r="K634" s="172" t="e">
        <f>SUMIFS(Table1[Horas efetivas],Table1[Tabela],Plano_V3!E634,Table1[Campo],Plano_V3!F634)</f>
        <v>#N/A</v>
      </c>
      <c r="L634" s="172" t="e">
        <f t="shared" si="357"/>
        <v>#N/A</v>
      </c>
      <c r="M634" s="174"/>
      <c r="N634" s="174" t="e">
        <f t="shared" si="358"/>
        <v>#N/A</v>
      </c>
      <c r="O634" s="174"/>
      <c r="P634" s="89" t="s">
        <v>39</v>
      </c>
      <c r="R634" s="78"/>
      <c r="S634" s="78"/>
      <c r="T634" s="78"/>
      <c r="U634" s="78"/>
      <c r="V634" s="78"/>
      <c r="W634" s="78"/>
      <c r="X634" s="78"/>
      <c r="Y634" s="78"/>
      <c r="Z634" s="78"/>
      <c r="AA634" s="78"/>
      <c r="AB634" s="78"/>
      <c r="AC634" s="78"/>
      <c r="AD634" s="78"/>
      <c r="AE634" s="78"/>
      <c r="AF634" s="78"/>
      <c r="AG634" s="78"/>
      <c r="AH634" s="78"/>
      <c r="AI634" s="78"/>
      <c r="AJ634" s="78"/>
      <c r="AK634" s="78"/>
      <c r="AL634" s="78"/>
      <c r="AM634" s="78"/>
      <c r="AN634" s="78"/>
      <c r="AO634" s="78"/>
      <c r="AP634" s="78"/>
      <c r="AQ634" s="78"/>
      <c r="AR634" s="78"/>
      <c r="AS634" s="78"/>
      <c r="AT634" s="78"/>
      <c r="AU634" s="78"/>
      <c r="AV634" s="78"/>
      <c r="AW634" s="78"/>
      <c r="AX634" s="78"/>
      <c r="AY634" s="91"/>
      <c r="AZ634" s="78"/>
      <c r="BA634" s="78"/>
      <c r="BB634" s="78"/>
      <c r="BC634" s="78"/>
      <c r="BD634" s="78"/>
      <c r="BE634" s="78"/>
      <c r="BF634" s="78"/>
      <c r="BG634" s="78"/>
      <c r="BH634" s="78"/>
      <c r="BI634" s="78"/>
      <c r="BJ634" s="78"/>
      <c r="BK634" s="78"/>
      <c r="BL634" s="78"/>
      <c r="BM634" s="78"/>
      <c r="BN634" s="78"/>
      <c r="BO634" s="78"/>
      <c r="BP634" s="78"/>
      <c r="BQ634" s="78"/>
      <c r="BR634" s="78"/>
      <c r="BS634" s="78"/>
      <c r="BT634" s="78"/>
      <c r="BU634" s="78"/>
      <c r="BV634" s="78"/>
      <c r="BW634" s="78"/>
      <c r="BX634" s="78"/>
      <c r="BY634" s="78"/>
      <c r="BZ634" s="78"/>
      <c r="CA634" s="78"/>
      <c r="CB634" s="78"/>
      <c r="CC634" s="78"/>
      <c r="CD634" s="78"/>
      <c r="CE634" s="78"/>
      <c r="CF634" s="78"/>
      <c r="CG634" s="78"/>
      <c r="CH634" s="78"/>
      <c r="CI634" s="78"/>
      <c r="CJ634" s="78"/>
      <c r="CK634" s="78"/>
      <c r="CL634" s="78"/>
      <c r="CM634" s="78"/>
      <c r="CN634" s="78"/>
      <c r="CO634" s="78"/>
      <c r="CP634" s="78"/>
      <c r="CQ634" s="78"/>
      <c r="CR634" s="78"/>
      <c r="CS634" s="78"/>
      <c r="CT634" s="78"/>
      <c r="CU634" s="78"/>
      <c r="CV634" s="78"/>
      <c r="CW634" s="78"/>
      <c r="CX634" s="78"/>
      <c r="CY634" s="78"/>
      <c r="CZ634" s="78"/>
      <c r="DA634" s="78"/>
      <c r="DB634" s="78"/>
      <c r="DC634" s="78"/>
      <c r="DD634" s="78"/>
      <c r="DE634" s="78"/>
      <c r="DF634" s="78"/>
      <c r="DG634" s="78"/>
      <c r="DH634" s="78"/>
      <c r="DI634" s="78"/>
      <c r="DJ634" s="78"/>
      <c r="DK634" s="78"/>
      <c r="DL634" s="78"/>
      <c r="DM634" s="78"/>
      <c r="DN634" s="78"/>
      <c r="DO634" s="78"/>
      <c r="DP634" s="78"/>
      <c r="DQ634" s="78"/>
      <c r="DR634" s="78"/>
      <c r="DS634" s="78"/>
      <c r="DT634" s="78"/>
      <c r="DU634" s="78"/>
      <c r="DV634" s="78"/>
      <c r="DW634" s="78"/>
      <c r="DX634" s="78"/>
      <c r="DY634" s="78"/>
      <c r="DZ634" s="78"/>
      <c r="EA634" s="78"/>
      <c r="EB634" s="78"/>
      <c r="EC634" s="78"/>
      <c r="ED634" s="78"/>
      <c r="EE634" s="78"/>
      <c r="EF634" s="78"/>
      <c r="EG634" s="78"/>
      <c r="EH634" s="78"/>
      <c r="EI634" s="78"/>
      <c r="EJ634" s="78"/>
      <c r="EK634" s="78"/>
      <c r="EL634" s="78"/>
      <c r="EM634" s="78"/>
      <c r="EN634" s="91"/>
      <c r="EO634" s="91"/>
      <c r="EP634" s="91"/>
      <c r="EQ634" s="91"/>
      <c r="ER634" s="91"/>
      <c r="ES634" s="91"/>
    </row>
    <row r="635" spans="1:149" outlineLevel="1">
      <c r="A635" s="29" t="str">
        <f t="shared" si="355"/>
        <v>lt004_protectionEPC_EMSSNS_LBL</v>
      </c>
      <c r="B635" s="67" t="s">
        <v>26</v>
      </c>
      <c r="C635" s="68" t="s">
        <v>26</v>
      </c>
      <c r="D635" s="64" t="s">
        <v>40</v>
      </c>
      <c r="E635" s="70" t="s">
        <v>368</v>
      </c>
      <c r="F635" s="353" t="s">
        <v>2247</v>
      </c>
      <c r="G635" s="64" t="str">
        <f>INDEX(Auxiliar!$B$16:$B$24,MATCH(Plano_V3!H635,Auxiliar!$C$16:$C$24,0),1)</f>
        <v>1. Concluído</v>
      </c>
      <c r="H635" s="64">
        <f>VLOOKUP(A635,'Aux - pivots1'!$A:$B,2,0)</f>
        <v>1</v>
      </c>
      <c r="I635" s="172" t="e">
        <f>SUMIFS(Table1[Estimação (horas)],Table1[Tabela],Plano_V3!E635,Table1[Campo],Plano_V3!F635)</f>
        <v>#N/A</v>
      </c>
      <c r="J635" s="172" t="e">
        <f t="shared" si="356"/>
        <v>#N/A</v>
      </c>
      <c r="K635" s="172" t="e">
        <f>SUMIFS(Table1[Horas efetivas],Table1[Tabela],Plano_V3!E635,Table1[Campo],Plano_V3!F635)</f>
        <v>#N/A</v>
      </c>
      <c r="L635" s="172" t="e">
        <f t="shared" si="357"/>
        <v>#N/A</v>
      </c>
      <c r="M635" s="174"/>
      <c r="N635" s="174" t="e">
        <f t="shared" si="358"/>
        <v>#N/A</v>
      </c>
      <c r="O635" s="174"/>
      <c r="P635" s="89" t="s">
        <v>39</v>
      </c>
      <c r="R635" s="78"/>
      <c r="S635" s="78"/>
      <c r="T635" s="78"/>
      <c r="U635" s="78"/>
      <c r="V635" s="78"/>
      <c r="W635" s="78"/>
      <c r="X635" s="78"/>
      <c r="Y635" s="78"/>
      <c r="Z635" s="78"/>
      <c r="AA635" s="78"/>
      <c r="AB635" s="78"/>
      <c r="AC635" s="78"/>
      <c r="AD635" s="78"/>
      <c r="AE635" s="78"/>
      <c r="AF635" s="78"/>
      <c r="AG635" s="78"/>
      <c r="AH635" s="78"/>
      <c r="AI635" s="78"/>
      <c r="AJ635" s="78"/>
      <c r="AK635" s="78"/>
      <c r="AL635" s="78"/>
      <c r="AM635" s="78"/>
      <c r="AN635" s="78"/>
      <c r="AO635" s="78"/>
      <c r="AP635" s="78"/>
      <c r="AQ635" s="78"/>
      <c r="AR635" s="78"/>
      <c r="AS635" s="78"/>
      <c r="AT635" s="78"/>
      <c r="AU635" s="78"/>
      <c r="AV635" s="78"/>
      <c r="AW635" s="78"/>
      <c r="AX635" s="78"/>
      <c r="AY635" s="91"/>
      <c r="AZ635" s="78"/>
      <c r="BA635" s="78"/>
      <c r="BB635" s="78"/>
      <c r="BC635" s="78"/>
      <c r="BD635" s="78"/>
      <c r="BE635" s="78"/>
      <c r="BF635" s="78"/>
      <c r="BG635" s="78"/>
      <c r="BH635" s="78"/>
      <c r="BI635" s="78"/>
      <c r="BJ635" s="78"/>
      <c r="BK635" s="78"/>
      <c r="BL635" s="78"/>
      <c r="BM635" s="78"/>
      <c r="BN635" s="78"/>
      <c r="BO635" s="78"/>
      <c r="BP635" s="78"/>
      <c r="BQ635" s="78"/>
      <c r="BR635" s="78"/>
      <c r="BS635" s="78"/>
      <c r="BT635" s="78"/>
      <c r="BU635" s="78"/>
      <c r="BV635" s="78"/>
      <c r="BW635" s="78"/>
      <c r="BX635" s="78"/>
      <c r="BY635" s="78"/>
      <c r="BZ635" s="78"/>
      <c r="CA635" s="78"/>
      <c r="CB635" s="78"/>
      <c r="CC635" s="78"/>
      <c r="CD635" s="78"/>
      <c r="CE635" s="78"/>
      <c r="CF635" s="78"/>
      <c r="CG635" s="78"/>
      <c r="CH635" s="78"/>
      <c r="CI635" s="78"/>
      <c r="CJ635" s="78"/>
      <c r="CK635" s="78"/>
      <c r="CL635" s="78"/>
      <c r="CM635" s="78"/>
      <c r="CN635" s="78"/>
      <c r="CO635" s="78"/>
      <c r="CP635" s="78"/>
      <c r="CQ635" s="78"/>
      <c r="CR635" s="78"/>
      <c r="CS635" s="78"/>
      <c r="CT635" s="78"/>
      <c r="CU635" s="78"/>
      <c r="CV635" s="78"/>
      <c r="CW635" s="78"/>
      <c r="CX635" s="78"/>
      <c r="CY635" s="78"/>
      <c r="CZ635" s="78"/>
      <c r="DA635" s="78"/>
      <c r="DB635" s="78"/>
      <c r="DC635" s="78"/>
      <c r="DD635" s="78"/>
      <c r="DE635" s="78"/>
      <c r="DF635" s="78"/>
      <c r="DG635" s="78"/>
      <c r="DH635" s="78"/>
      <c r="DI635" s="78"/>
      <c r="DJ635" s="78"/>
      <c r="DK635" s="78"/>
      <c r="DL635" s="78"/>
      <c r="DM635" s="78"/>
      <c r="DN635" s="78"/>
      <c r="DO635" s="78"/>
      <c r="DP635" s="78"/>
      <c r="DQ635" s="78"/>
      <c r="DR635" s="78"/>
      <c r="DS635" s="78"/>
      <c r="DT635" s="78"/>
      <c r="DU635" s="78"/>
      <c r="DV635" s="78"/>
      <c r="DW635" s="78"/>
      <c r="DX635" s="78"/>
      <c r="DY635" s="78"/>
      <c r="DZ635" s="78"/>
      <c r="EA635" s="78"/>
      <c r="EB635" s="78"/>
      <c r="EC635" s="78"/>
      <c r="ED635" s="78"/>
      <c r="EE635" s="78"/>
      <c r="EF635" s="78"/>
      <c r="EG635" s="78"/>
      <c r="EH635" s="78"/>
      <c r="EI635" s="78"/>
      <c r="EJ635" s="78"/>
      <c r="EK635" s="78"/>
      <c r="EL635" s="78"/>
      <c r="EM635" s="78"/>
      <c r="EN635" s="91"/>
      <c r="EO635" s="91"/>
      <c r="EP635" s="91"/>
      <c r="EQ635" s="91"/>
      <c r="ER635" s="91"/>
      <c r="ES635" s="91"/>
    </row>
    <row r="636" spans="1:149" outlineLevel="1">
      <c r="A636" s="29" t="str">
        <f t="shared" si="355"/>
        <v>lt004_protectionVHCL_EMSSNS_LBL</v>
      </c>
      <c r="B636" s="67" t="s">
        <v>26</v>
      </c>
      <c r="C636" s="68" t="s">
        <v>26</v>
      </c>
      <c r="D636" s="64" t="s">
        <v>40</v>
      </c>
      <c r="E636" s="70" t="s">
        <v>368</v>
      </c>
      <c r="F636" s="353" t="s">
        <v>2248</v>
      </c>
      <c r="G636" s="64" t="str">
        <f>INDEX(Auxiliar!$B$16:$B$24,MATCH(Plano_V3!H636,Auxiliar!$C$16:$C$24,0),1)</f>
        <v>1. Concluído</v>
      </c>
      <c r="H636" s="64">
        <f>VLOOKUP(A636,'Aux - pivots1'!$A:$B,2,0)</f>
        <v>1</v>
      </c>
      <c r="I636" s="172" t="e">
        <f>SUMIFS(Table1[Estimação (horas)],Table1[Tabela],Plano_V3!E636,Table1[Campo],Plano_V3!F636)</f>
        <v>#N/A</v>
      </c>
      <c r="J636" s="172" t="e">
        <f t="shared" si="356"/>
        <v>#N/A</v>
      </c>
      <c r="K636" s="172" t="e">
        <f>SUMIFS(Table1[Horas efetivas],Table1[Tabela],Plano_V3!E636,Table1[Campo],Plano_V3!F636)</f>
        <v>#N/A</v>
      </c>
      <c r="L636" s="172" t="e">
        <f t="shared" si="357"/>
        <v>#N/A</v>
      </c>
      <c r="M636" s="174"/>
      <c r="N636" s="174" t="e">
        <f t="shared" si="358"/>
        <v>#N/A</v>
      </c>
      <c r="O636" s="174"/>
      <c r="P636" s="89" t="s">
        <v>39</v>
      </c>
      <c r="R636" s="78"/>
      <c r="S636" s="78"/>
      <c r="T636" s="78"/>
      <c r="U636" s="78"/>
      <c r="V636" s="78"/>
      <c r="W636" s="78"/>
      <c r="X636" s="78"/>
      <c r="Y636" s="78"/>
      <c r="Z636" s="78"/>
      <c r="AA636" s="78"/>
      <c r="AB636" s="78"/>
      <c r="AC636" s="78"/>
      <c r="AD636" s="78"/>
      <c r="AE636" s="78"/>
      <c r="AF636" s="78"/>
      <c r="AG636" s="78"/>
      <c r="AH636" s="78"/>
      <c r="AI636" s="78"/>
      <c r="AJ636" s="78"/>
      <c r="AK636" s="78"/>
      <c r="AL636" s="78"/>
      <c r="AM636" s="78"/>
      <c r="AN636" s="78"/>
      <c r="AO636" s="78"/>
      <c r="AP636" s="78"/>
      <c r="AQ636" s="78"/>
      <c r="AR636" s="78"/>
      <c r="AS636" s="78"/>
      <c r="AT636" s="78"/>
      <c r="AU636" s="78"/>
      <c r="AV636" s="78"/>
      <c r="AW636" s="78"/>
      <c r="AX636" s="78"/>
      <c r="AY636" s="91"/>
      <c r="AZ636" s="78"/>
      <c r="BA636" s="78"/>
      <c r="BB636" s="78"/>
      <c r="BC636" s="78"/>
      <c r="BD636" s="78"/>
      <c r="BE636" s="78"/>
      <c r="BF636" s="78"/>
      <c r="BG636" s="78"/>
      <c r="BH636" s="78"/>
      <c r="BI636" s="78"/>
      <c r="BJ636" s="78"/>
      <c r="BK636" s="78"/>
      <c r="BL636" s="78"/>
      <c r="BM636" s="78"/>
      <c r="BN636" s="78"/>
      <c r="BO636" s="78"/>
      <c r="BP636" s="78"/>
      <c r="BQ636" s="78"/>
      <c r="BR636" s="78"/>
      <c r="BS636" s="78"/>
      <c r="BT636" s="78"/>
      <c r="BU636" s="78"/>
      <c r="BV636" s="78"/>
      <c r="BW636" s="78"/>
      <c r="BX636" s="78"/>
      <c r="BY636" s="78"/>
      <c r="BZ636" s="78"/>
      <c r="CA636" s="78"/>
      <c r="CB636" s="78"/>
      <c r="CC636" s="78"/>
      <c r="CD636" s="78"/>
      <c r="CE636" s="78"/>
      <c r="CF636" s="78"/>
      <c r="CG636" s="78"/>
      <c r="CH636" s="78"/>
      <c r="CI636" s="78"/>
      <c r="CJ636" s="78"/>
      <c r="CK636" s="78"/>
      <c r="CL636" s="78"/>
      <c r="CM636" s="78"/>
      <c r="CN636" s="78"/>
      <c r="CO636" s="78"/>
      <c r="CP636" s="78"/>
      <c r="CQ636" s="78"/>
      <c r="CR636" s="78"/>
      <c r="CS636" s="78"/>
      <c r="CT636" s="78"/>
      <c r="CU636" s="78"/>
      <c r="CV636" s="78"/>
      <c r="CW636" s="78"/>
      <c r="CX636" s="78"/>
      <c r="CY636" s="78"/>
      <c r="CZ636" s="78"/>
      <c r="DA636" s="78"/>
      <c r="DB636" s="78"/>
      <c r="DC636" s="78"/>
      <c r="DD636" s="78"/>
      <c r="DE636" s="78"/>
      <c r="DF636" s="78"/>
      <c r="DG636" s="78"/>
      <c r="DH636" s="78"/>
      <c r="DI636" s="78"/>
      <c r="DJ636" s="78"/>
      <c r="DK636" s="78"/>
      <c r="DL636" s="78"/>
      <c r="DM636" s="78"/>
      <c r="DN636" s="78"/>
      <c r="DO636" s="78"/>
      <c r="DP636" s="78"/>
      <c r="DQ636" s="78"/>
      <c r="DR636" s="78"/>
      <c r="DS636" s="78"/>
      <c r="DT636" s="78"/>
      <c r="DU636" s="78"/>
      <c r="DV636" s="78"/>
      <c r="DW636" s="78"/>
      <c r="DX636" s="78"/>
      <c r="DY636" s="78"/>
      <c r="DZ636" s="78"/>
      <c r="EA636" s="78"/>
      <c r="EB636" s="78"/>
      <c r="EC636" s="78"/>
      <c r="ED636" s="78"/>
      <c r="EE636" s="78"/>
      <c r="EF636" s="78"/>
      <c r="EG636" s="78"/>
      <c r="EH636" s="78"/>
      <c r="EI636" s="78"/>
      <c r="EJ636" s="78"/>
      <c r="EK636" s="78"/>
      <c r="EL636" s="78"/>
      <c r="EM636" s="78"/>
      <c r="EN636" s="91"/>
      <c r="EO636" s="91"/>
      <c r="EP636" s="91"/>
      <c r="EQ636" s="91"/>
      <c r="ER636" s="91"/>
      <c r="ES636" s="91"/>
    </row>
    <row r="637" spans="1:149" outlineLevel="1">
      <c r="A637" s="29" t="str">
        <f t="shared" si="355"/>
        <v>lt004_protectionTYP_EMSSNS_SCR</v>
      </c>
      <c r="B637" s="67" t="s">
        <v>26</v>
      </c>
      <c r="C637" s="68" t="s">
        <v>26</v>
      </c>
      <c r="D637" s="64" t="s">
        <v>40</v>
      </c>
      <c r="E637" s="70" t="s">
        <v>368</v>
      </c>
      <c r="F637" s="353" t="s">
        <v>2249</v>
      </c>
      <c r="G637" s="64" t="str">
        <f>INDEX(Auxiliar!$B$16:$B$24,MATCH(Plano_V3!H637,Auxiliar!$C$16:$C$24,0),1)</f>
        <v>1. Concluído</v>
      </c>
      <c r="H637" s="64">
        <f>VLOOKUP(A637,'Aux - pivots1'!$A:$B,2,0)</f>
        <v>1</v>
      </c>
      <c r="I637" s="172" t="e">
        <f>SUMIFS(Table1[Estimação (horas)],Table1[Tabela],Plano_V3!E637,Table1[Campo],Plano_V3!F637)</f>
        <v>#N/A</v>
      </c>
      <c r="J637" s="172" t="e">
        <f t="shared" si="356"/>
        <v>#N/A</v>
      </c>
      <c r="K637" s="172" t="e">
        <f>SUMIFS(Table1[Horas efetivas],Table1[Tabela],Plano_V3!E637,Table1[Campo],Plano_V3!F637)</f>
        <v>#N/A</v>
      </c>
      <c r="L637" s="172" t="e">
        <f t="shared" si="357"/>
        <v>#N/A</v>
      </c>
      <c r="M637" s="174"/>
      <c r="N637" s="174" t="e">
        <f t="shared" si="358"/>
        <v>#N/A</v>
      </c>
      <c r="O637" s="174"/>
      <c r="P637" s="89" t="s">
        <v>39</v>
      </c>
      <c r="R637" s="78"/>
      <c r="S637" s="78"/>
      <c r="T637" s="78"/>
      <c r="U637" s="78"/>
      <c r="V637" s="78"/>
      <c r="W637" s="78"/>
      <c r="X637" s="78"/>
      <c r="Y637" s="78"/>
      <c r="Z637" s="78"/>
      <c r="AA637" s="78"/>
      <c r="AB637" s="78"/>
      <c r="AC637" s="78"/>
      <c r="AD637" s="78"/>
      <c r="AE637" s="78"/>
      <c r="AF637" s="78"/>
      <c r="AG637" s="78"/>
      <c r="AH637" s="78"/>
      <c r="AI637" s="78"/>
      <c r="AJ637" s="78"/>
      <c r="AK637" s="78"/>
      <c r="AL637" s="78"/>
      <c r="AM637" s="78"/>
      <c r="AN637" s="78"/>
      <c r="AO637" s="78"/>
      <c r="AP637" s="78"/>
      <c r="AQ637" s="78"/>
      <c r="AR637" s="78"/>
      <c r="AS637" s="78"/>
      <c r="AT637" s="78"/>
      <c r="AU637" s="78"/>
      <c r="AV637" s="78"/>
      <c r="AW637" s="78"/>
      <c r="AX637" s="78"/>
      <c r="AY637" s="91"/>
      <c r="AZ637" s="78"/>
      <c r="BA637" s="78"/>
      <c r="BB637" s="78"/>
      <c r="BC637" s="78"/>
      <c r="BD637" s="78"/>
      <c r="BE637" s="78"/>
      <c r="BF637" s="78"/>
      <c r="BG637" s="78"/>
      <c r="BH637" s="78"/>
      <c r="BI637" s="78"/>
      <c r="BJ637" s="78"/>
      <c r="BK637" s="78"/>
      <c r="BL637" s="78"/>
      <c r="BM637" s="78"/>
      <c r="BN637" s="78"/>
      <c r="BO637" s="78"/>
      <c r="BP637" s="78"/>
      <c r="BQ637" s="78"/>
      <c r="BR637" s="78"/>
      <c r="BS637" s="78"/>
      <c r="BT637" s="78"/>
      <c r="BU637" s="78"/>
      <c r="BV637" s="78"/>
      <c r="BW637" s="78"/>
      <c r="BX637" s="78"/>
      <c r="BY637" s="78"/>
      <c r="BZ637" s="78"/>
      <c r="CA637" s="78"/>
      <c r="CB637" s="78"/>
      <c r="CC637" s="78"/>
      <c r="CD637" s="78"/>
      <c r="CE637" s="78"/>
      <c r="CF637" s="78"/>
      <c r="CG637" s="78"/>
      <c r="CH637" s="78"/>
      <c r="CI637" s="78"/>
      <c r="CJ637" s="78"/>
      <c r="CK637" s="78"/>
      <c r="CL637" s="78"/>
      <c r="CM637" s="78"/>
      <c r="CN637" s="78"/>
      <c r="CO637" s="78"/>
      <c r="CP637" s="78"/>
      <c r="CQ637" s="78"/>
      <c r="CR637" s="78"/>
      <c r="CS637" s="78"/>
      <c r="CT637" s="78"/>
      <c r="CU637" s="78"/>
      <c r="CV637" s="78"/>
      <c r="CW637" s="78"/>
      <c r="CX637" s="78"/>
      <c r="CY637" s="78"/>
      <c r="CZ637" s="78"/>
      <c r="DA637" s="78"/>
      <c r="DB637" s="78"/>
      <c r="DC637" s="78"/>
      <c r="DD637" s="78"/>
      <c r="DE637" s="78"/>
      <c r="DF637" s="78"/>
      <c r="DG637" s="78"/>
      <c r="DH637" s="78"/>
      <c r="DI637" s="78"/>
      <c r="DJ637" s="78"/>
      <c r="DK637" s="78"/>
      <c r="DL637" s="78"/>
      <c r="DM637" s="78"/>
      <c r="DN637" s="78"/>
      <c r="DO637" s="78"/>
      <c r="DP637" s="78"/>
      <c r="DQ637" s="78"/>
      <c r="DR637" s="78"/>
      <c r="DS637" s="78"/>
      <c r="DT637" s="78"/>
      <c r="DU637" s="78"/>
      <c r="DV637" s="78"/>
      <c r="DW637" s="78"/>
      <c r="DX637" s="78"/>
      <c r="DY637" s="78"/>
      <c r="DZ637" s="78"/>
      <c r="EA637" s="78"/>
      <c r="EB637" s="78"/>
      <c r="EC637" s="78"/>
      <c r="ED637" s="78"/>
      <c r="EE637" s="78"/>
      <c r="EF637" s="78"/>
      <c r="EG637" s="78"/>
      <c r="EH637" s="78"/>
      <c r="EI637" s="78"/>
      <c r="EJ637" s="78"/>
      <c r="EK637" s="78"/>
      <c r="EL637" s="78"/>
      <c r="EM637" s="78"/>
      <c r="EN637" s="91"/>
      <c r="EO637" s="91"/>
      <c r="EP637" s="91"/>
      <c r="EQ637" s="91"/>
      <c r="ER637" s="91"/>
      <c r="ES637" s="91"/>
    </row>
    <row r="638" spans="1:149" outlineLevel="1">
      <c r="A638" s="29" t="str">
        <f t="shared" si="355"/>
        <v>lt004_protectionEPC_EMSSNS_SCR</v>
      </c>
      <c r="B638" s="67" t="s">
        <v>26</v>
      </c>
      <c r="C638" s="68" t="s">
        <v>26</v>
      </c>
      <c r="D638" s="64" t="s">
        <v>40</v>
      </c>
      <c r="E638" s="70" t="s">
        <v>368</v>
      </c>
      <c r="F638" s="353" t="s">
        <v>2250</v>
      </c>
      <c r="G638" s="64" t="str">
        <f>INDEX(Auxiliar!$B$16:$B$24,MATCH(Plano_V3!H638,Auxiliar!$C$16:$C$24,0),1)</f>
        <v>1. Concluído</v>
      </c>
      <c r="H638" s="64">
        <f>VLOOKUP(A638,'Aux - pivots1'!$A:$B,2,0)</f>
        <v>1</v>
      </c>
      <c r="I638" s="172" t="e">
        <f>SUMIFS(Table1[Estimação (horas)],Table1[Tabela],Plano_V3!E638,Table1[Campo],Plano_V3!F638)</f>
        <v>#N/A</v>
      </c>
      <c r="J638" s="172" t="e">
        <f t="shared" si="356"/>
        <v>#N/A</v>
      </c>
      <c r="K638" s="172" t="e">
        <f>SUMIFS(Table1[Horas efetivas],Table1[Tabela],Plano_V3!E638,Table1[Campo],Plano_V3!F638)</f>
        <v>#N/A</v>
      </c>
      <c r="L638" s="172" t="e">
        <f t="shared" si="357"/>
        <v>#N/A</v>
      </c>
      <c r="M638" s="174"/>
      <c r="N638" s="174" t="e">
        <f t="shared" si="358"/>
        <v>#N/A</v>
      </c>
      <c r="O638" s="174"/>
      <c r="P638" s="89" t="s">
        <v>39</v>
      </c>
      <c r="R638" s="78"/>
      <c r="S638" s="78"/>
      <c r="T638" s="78"/>
      <c r="U638" s="78"/>
      <c r="V638" s="78"/>
      <c r="W638" s="78"/>
      <c r="X638" s="78"/>
      <c r="Y638" s="78"/>
      <c r="Z638" s="78"/>
      <c r="AA638" s="78"/>
      <c r="AB638" s="78"/>
      <c r="AC638" s="78"/>
      <c r="AD638" s="78"/>
      <c r="AE638" s="78"/>
      <c r="AF638" s="78"/>
      <c r="AG638" s="78"/>
      <c r="AH638" s="78"/>
      <c r="AI638" s="78"/>
      <c r="AJ638" s="78"/>
      <c r="AK638" s="78"/>
      <c r="AL638" s="78"/>
      <c r="AM638" s="78"/>
      <c r="AN638" s="78"/>
      <c r="AO638" s="78"/>
      <c r="AP638" s="78"/>
      <c r="AQ638" s="78"/>
      <c r="AR638" s="78"/>
      <c r="AS638" s="78"/>
      <c r="AT638" s="78"/>
      <c r="AU638" s="78"/>
      <c r="AV638" s="78"/>
      <c r="AW638" s="78"/>
      <c r="AX638" s="78"/>
      <c r="AY638" s="91"/>
      <c r="AZ638" s="78"/>
      <c r="BA638" s="78"/>
      <c r="BB638" s="78"/>
      <c r="BC638" s="78"/>
      <c r="BD638" s="78"/>
      <c r="BE638" s="78"/>
      <c r="BF638" s="78"/>
      <c r="BG638" s="78"/>
      <c r="BH638" s="78"/>
      <c r="BI638" s="78"/>
      <c r="BJ638" s="78"/>
      <c r="BK638" s="78"/>
      <c r="BL638" s="78"/>
      <c r="BM638" s="78"/>
      <c r="BN638" s="78"/>
      <c r="BO638" s="78"/>
      <c r="BP638" s="78"/>
      <c r="BQ638" s="78"/>
      <c r="BR638" s="78"/>
      <c r="BS638" s="78"/>
      <c r="BT638" s="78"/>
      <c r="BU638" s="78"/>
      <c r="BV638" s="78"/>
      <c r="BW638" s="78"/>
      <c r="BX638" s="78"/>
      <c r="BY638" s="78"/>
      <c r="BZ638" s="78"/>
      <c r="CA638" s="78"/>
      <c r="CB638" s="78"/>
      <c r="CC638" s="78"/>
      <c r="CD638" s="78"/>
      <c r="CE638" s="78"/>
      <c r="CF638" s="78"/>
      <c r="CG638" s="78"/>
      <c r="CH638" s="78"/>
      <c r="CI638" s="78"/>
      <c r="CJ638" s="78"/>
      <c r="CK638" s="78"/>
      <c r="CL638" s="78"/>
      <c r="CM638" s="78"/>
      <c r="CN638" s="78"/>
      <c r="CO638" s="78"/>
      <c r="CP638" s="78"/>
      <c r="CQ638" s="78"/>
      <c r="CR638" s="78"/>
      <c r="CS638" s="78"/>
      <c r="CT638" s="78"/>
      <c r="CU638" s="78"/>
      <c r="CV638" s="78"/>
      <c r="CW638" s="78"/>
      <c r="CX638" s="78"/>
      <c r="CY638" s="78"/>
      <c r="CZ638" s="78"/>
      <c r="DA638" s="78"/>
      <c r="DB638" s="78"/>
      <c r="DC638" s="78"/>
      <c r="DD638" s="78"/>
      <c r="DE638" s="78"/>
      <c r="DF638" s="78"/>
      <c r="DG638" s="78"/>
      <c r="DH638" s="78"/>
      <c r="DI638" s="78"/>
      <c r="DJ638" s="78"/>
      <c r="DK638" s="78"/>
      <c r="DL638" s="78"/>
      <c r="DM638" s="78"/>
      <c r="DN638" s="78"/>
      <c r="DO638" s="78"/>
      <c r="DP638" s="78"/>
      <c r="DQ638" s="78"/>
      <c r="DR638" s="78"/>
      <c r="DS638" s="78"/>
      <c r="DT638" s="78"/>
      <c r="DU638" s="78"/>
      <c r="DV638" s="78"/>
      <c r="DW638" s="78"/>
      <c r="DX638" s="78"/>
      <c r="DY638" s="78"/>
      <c r="DZ638" s="78"/>
      <c r="EA638" s="78"/>
      <c r="EB638" s="78"/>
      <c r="EC638" s="78"/>
      <c r="ED638" s="78"/>
      <c r="EE638" s="78"/>
      <c r="EF638" s="78"/>
      <c r="EG638" s="78"/>
      <c r="EH638" s="78"/>
      <c r="EI638" s="78"/>
      <c r="EJ638" s="78"/>
      <c r="EK638" s="78"/>
      <c r="EL638" s="78"/>
      <c r="EM638" s="78"/>
      <c r="EN638" s="91"/>
      <c r="EO638" s="91"/>
      <c r="EP638" s="91"/>
      <c r="EQ638" s="91"/>
      <c r="ER638" s="91"/>
      <c r="ES638" s="91"/>
    </row>
    <row r="639" spans="1:149" outlineLevel="1">
      <c r="A639" s="29" t="str">
        <f t="shared" si="355"/>
        <v>lt004_protectionVHCL_EMSSNS_SCR</v>
      </c>
      <c r="B639" s="67" t="s">
        <v>26</v>
      </c>
      <c r="C639" s="68" t="s">
        <v>26</v>
      </c>
      <c r="D639" s="64" t="s">
        <v>40</v>
      </c>
      <c r="E639" s="70" t="s">
        <v>368</v>
      </c>
      <c r="F639" s="353" t="s">
        <v>2251</v>
      </c>
      <c r="G639" s="64" t="str">
        <f>INDEX(Auxiliar!$B$16:$B$24,MATCH(Plano_V3!H639,Auxiliar!$C$16:$C$24,0),1)</f>
        <v>1. Concluído</v>
      </c>
      <c r="H639" s="64">
        <f>VLOOKUP(A639,'Aux - pivots1'!$A:$B,2,0)</f>
        <v>1</v>
      </c>
      <c r="I639" s="172" t="e">
        <f>SUMIFS(Table1[Estimação (horas)],Table1[Tabela],Plano_V3!E639,Table1[Campo],Plano_V3!F639)</f>
        <v>#N/A</v>
      </c>
      <c r="J639" s="172" t="e">
        <f t="shared" si="356"/>
        <v>#N/A</v>
      </c>
      <c r="K639" s="172" t="e">
        <f>SUMIFS(Table1[Horas efetivas],Table1[Tabela],Plano_V3!E639,Table1[Campo],Plano_V3!F639)</f>
        <v>#N/A</v>
      </c>
      <c r="L639" s="172" t="e">
        <f t="shared" si="357"/>
        <v>#N/A</v>
      </c>
      <c r="M639" s="174"/>
      <c r="N639" s="174" t="e">
        <f t="shared" si="358"/>
        <v>#N/A</v>
      </c>
      <c r="O639" s="174"/>
      <c r="P639" s="89" t="s">
        <v>39</v>
      </c>
      <c r="R639" s="78"/>
      <c r="S639" s="78"/>
      <c r="T639" s="78"/>
      <c r="U639" s="78"/>
      <c r="V639" s="78"/>
      <c r="W639" s="78"/>
      <c r="X639" s="78"/>
      <c r="Y639" s="78"/>
      <c r="Z639" s="78"/>
      <c r="AA639" s="78"/>
      <c r="AB639" s="78"/>
      <c r="AC639" s="78"/>
      <c r="AD639" s="78"/>
      <c r="AE639" s="78"/>
      <c r="AF639" s="78"/>
      <c r="AG639" s="78"/>
      <c r="AH639" s="78"/>
      <c r="AI639" s="78"/>
      <c r="AJ639" s="78"/>
      <c r="AK639" s="78"/>
      <c r="AL639" s="78"/>
      <c r="AM639" s="78"/>
      <c r="AN639" s="78"/>
      <c r="AO639" s="78"/>
      <c r="AP639" s="78"/>
      <c r="AQ639" s="78"/>
      <c r="AR639" s="78"/>
      <c r="AS639" s="78"/>
      <c r="AT639" s="78"/>
      <c r="AU639" s="78"/>
      <c r="AV639" s="78"/>
      <c r="AW639" s="78"/>
      <c r="AX639" s="78"/>
      <c r="AY639" s="91"/>
      <c r="AZ639" s="78"/>
      <c r="BA639" s="78"/>
      <c r="BB639" s="78"/>
      <c r="BC639" s="78"/>
      <c r="BD639" s="78"/>
      <c r="BE639" s="78"/>
      <c r="BF639" s="78"/>
      <c r="BG639" s="78"/>
      <c r="BH639" s="78"/>
      <c r="BI639" s="78"/>
      <c r="BJ639" s="78"/>
      <c r="BK639" s="78"/>
      <c r="BL639" s="78"/>
      <c r="BM639" s="78"/>
      <c r="BN639" s="78"/>
      <c r="BO639" s="78"/>
      <c r="BP639" s="78"/>
      <c r="BQ639" s="78"/>
      <c r="BR639" s="78"/>
      <c r="BS639" s="78"/>
      <c r="BT639" s="78"/>
      <c r="BU639" s="78"/>
      <c r="BV639" s="78"/>
      <c r="BW639" s="78"/>
      <c r="BX639" s="78"/>
      <c r="BY639" s="78"/>
      <c r="BZ639" s="78"/>
      <c r="CA639" s="78"/>
      <c r="CB639" s="78"/>
      <c r="CC639" s="78"/>
      <c r="CD639" s="78"/>
      <c r="CE639" s="78"/>
      <c r="CF639" s="78"/>
      <c r="CG639" s="78"/>
      <c r="CH639" s="78"/>
      <c r="CI639" s="78"/>
      <c r="CJ639" s="78"/>
      <c r="CK639" s="78"/>
      <c r="CL639" s="78"/>
      <c r="CM639" s="78"/>
      <c r="CN639" s="78"/>
      <c r="CO639" s="78"/>
      <c r="CP639" s="78"/>
      <c r="CQ639" s="78"/>
      <c r="CR639" s="78"/>
      <c r="CS639" s="78"/>
      <c r="CT639" s="78"/>
      <c r="CU639" s="78"/>
      <c r="CV639" s="78"/>
      <c r="CW639" s="78"/>
      <c r="CX639" s="78"/>
      <c r="CY639" s="78"/>
      <c r="CZ639" s="78"/>
      <c r="DA639" s="78"/>
      <c r="DB639" s="78"/>
      <c r="DC639" s="78"/>
      <c r="DD639" s="78"/>
      <c r="DE639" s="78"/>
      <c r="DF639" s="78"/>
      <c r="DG639" s="78"/>
      <c r="DH639" s="78"/>
      <c r="DI639" s="78"/>
      <c r="DJ639" s="78"/>
      <c r="DK639" s="78"/>
      <c r="DL639" s="78"/>
      <c r="DM639" s="78"/>
      <c r="DN639" s="78"/>
      <c r="DO639" s="78"/>
      <c r="DP639" s="78"/>
      <c r="DQ639" s="78"/>
      <c r="DR639" s="78"/>
      <c r="DS639" s="78"/>
      <c r="DT639" s="78"/>
      <c r="DU639" s="78"/>
      <c r="DV639" s="78"/>
      <c r="DW639" s="78"/>
      <c r="DX639" s="78"/>
      <c r="DY639" s="78"/>
      <c r="DZ639" s="78"/>
      <c r="EA639" s="78"/>
      <c r="EB639" s="78"/>
      <c r="EC639" s="78"/>
      <c r="ED639" s="78"/>
      <c r="EE639" s="78"/>
      <c r="EF639" s="78"/>
      <c r="EG639" s="78"/>
      <c r="EH639" s="78"/>
      <c r="EI639" s="78"/>
      <c r="EJ639" s="78"/>
      <c r="EK639" s="78"/>
      <c r="EL639" s="78"/>
      <c r="EM639" s="78"/>
      <c r="EN639" s="91"/>
      <c r="EO639" s="91"/>
      <c r="EP639" s="91"/>
      <c r="EQ639" s="91"/>
      <c r="ER639" s="91"/>
      <c r="ES639" s="91"/>
    </row>
    <row r="640" spans="1:149" outlineLevel="1">
      <c r="A640" s="29" t="str">
        <f t="shared" si="355"/>
        <v>lt004_protectionINSRNC_ID</v>
      </c>
      <c r="B640" s="67" t="s">
        <v>26</v>
      </c>
      <c r="C640" s="68" t="s">
        <v>26</v>
      </c>
      <c r="D640" s="64" t="s">
        <v>40</v>
      </c>
      <c r="E640" s="70" t="s">
        <v>368</v>
      </c>
      <c r="F640" s="353" t="s">
        <v>2252</v>
      </c>
      <c r="G640" s="64" t="str">
        <f>INDEX(Auxiliar!$B$16:$B$24,MATCH(Plano_V3!H640,Auxiliar!$C$16:$C$24,0),1)</f>
        <v>1. Concluído</v>
      </c>
      <c r="H640" s="64">
        <f>VLOOKUP(A640,'Aux - pivots1'!$A:$B,2,0)</f>
        <v>1</v>
      </c>
      <c r="I640" s="172" t="e">
        <f>SUMIFS(Table1[Estimação (horas)],Table1[Tabela],Plano_V3!E640,Table1[Campo],Plano_V3!F640)</f>
        <v>#N/A</v>
      </c>
      <c r="J640" s="172" t="e">
        <f t="shared" si="356"/>
        <v>#N/A</v>
      </c>
      <c r="K640" s="172" t="e">
        <f>SUMIFS(Table1[Horas efetivas],Table1[Tabela],Plano_V3!E640,Table1[Campo],Plano_V3!F640)</f>
        <v>#N/A</v>
      </c>
      <c r="L640" s="172" t="e">
        <f t="shared" si="357"/>
        <v>#N/A</v>
      </c>
      <c r="M640" s="174"/>
      <c r="N640" s="174" t="e">
        <f t="shared" si="358"/>
        <v>#N/A</v>
      </c>
      <c r="O640" s="174"/>
      <c r="P640" s="89" t="s">
        <v>39</v>
      </c>
      <c r="R640" s="78"/>
      <c r="S640" s="78"/>
      <c r="T640" s="78"/>
      <c r="U640" s="78"/>
      <c r="V640" s="78"/>
      <c r="W640" s="78"/>
      <c r="X640" s="78"/>
      <c r="Y640" s="78"/>
      <c r="Z640" s="78"/>
      <c r="AA640" s="78"/>
      <c r="AB640" s="78"/>
      <c r="AC640" s="78"/>
      <c r="AD640" s="78"/>
      <c r="AE640" s="78"/>
      <c r="AF640" s="78"/>
      <c r="AG640" s="78"/>
      <c r="AH640" s="78"/>
      <c r="AI640" s="78"/>
      <c r="AJ640" s="78"/>
      <c r="AK640" s="78"/>
      <c r="AL640" s="78"/>
      <c r="AM640" s="78"/>
      <c r="AN640" s="78"/>
      <c r="AO640" s="78"/>
      <c r="AP640" s="78"/>
      <c r="AQ640" s="78"/>
      <c r="AR640" s="78"/>
      <c r="AS640" s="78"/>
      <c r="AT640" s="78"/>
      <c r="AU640" s="78"/>
      <c r="AV640" s="78"/>
      <c r="AW640" s="78"/>
      <c r="AX640" s="78"/>
      <c r="AY640" s="91"/>
      <c r="AZ640" s="78"/>
      <c r="BA640" s="78"/>
      <c r="BB640" s="78"/>
      <c r="BC640" s="78"/>
      <c r="BD640" s="78"/>
      <c r="BE640" s="78"/>
      <c r="BF640" s="78"/>
      <c r="BG640" s="78"/>
      <c r="BH640" s="78"/>
      <c r="BI640" s="78"/>
      <c r="BJ640" s="78"/>
      <c r="BK640" s="78"/>
      <c r="BL640" s="78"/>
      <c r="BM640" s="78"/>
      <c r="BN640" s="78"/>
      <c r="BO640" s="78"/>
      <c r="BP640" s="78"/>
      <c r="BQ640" s="78"/>
      <c r="BR640" s="78"/>
      <c r="BS640" s="78"/>
      <c r="BT640" s="78"/>
      <c r="BU640" s="78"/>
      <c r="BV640" s="78"/>
      <c r="BW640" s="78"/>
      <c r="BX640" s="78"/>
      <c r="BY640" s="78"/>
      <c r="BZ640" s="78"/>
      <c r="CA640" s="78"/>
      <c r="CB640" s="78"/>
      <c r="CC640" s="78"/>
      <c r="CD640" s="78"/>
      <c r="CE640" s="78"/>
      <c r="CF640" s="78"/>
      <c r="CG640" s="78"/>
      <c r="CH640" s="78"/>
      <c r="CI640" s="78"/>
      <c r="CJ640" s="78"/>
      <c r="CK640" s="78"/>
      <c r="CL640" s="78"/>
      <c r="CM640" s="78"/>
      <c r="CN640" s="78"/>
      <c r="CO640" s="78"/>
      <c r="CP640" s="78"/>
      <c r="CQ640" s="78"/>
      <c r="CR640" s="78"/>
      <c r="CS640" s="78"/>
      <c r="CT640" s="78"/>
      <c r="CU640" s="78"/>
      <c r="CV640" s="78"/>
      <c r="CW640" s="78"/>
      <c r="CX640" s="78"/>
      <c r="CY640" s="78"/>
      <c r="CZ640" s="78"/>
      <c r="DA640" s="78"/>
      <c r="DB640" s="78"/>
      <c r="DC640" s="78"/>
      <c r="DD640" s="78"/>
      <c r="DE640" s="78"/>
      <c r="DF640" s="78"/>
      <c r="DG640" s="78"/>
      <c r="DH640" s="78"/>
      <c r="DI640" s="78"/>
      <c r="DJ640" s="78"/>
      <c r="DK640" s="78"/>
      <c r="DL640" s="78"/>
      <c r="DM640" s="78"/>
      <c r="DN640" s="78"/>
      <c r="DO640" s="78"/>
      <c r="DP640" s="78"/>
      <c r="DQ640" s="78"/>
      <c r="DR640" s="78"/>
      <c r="DS640" s="78"/>
      <c r="DT640" s="78"/>
      <c r="DU640" s="78"/>
      <c r="DV640" s="78"/>
      <c r="DW640" s="78"/>
      <c r="DX640" s="78"/>
      <c r="DY640" s="78"/>
      <c r="DZ640" s="78"/>
      <c r="EA640" s="78"/>
      <c r="EB640" s="78"/>
      <c r="EC640" s="78"/>
      <c r="ED640" s="78"/>
      <c r="EE640" s="78"/>
      <c r="EF640" s="78"/>
      <c r="EG640" s="78"/>
      <c r="EH640" s="78"/>
      <c r="EI640" s="78"/>
      <c r="EJ640" s="78"/>
      <c r="EK640" s="78"/>
      <c r="EL640" s="78"/>
      <c r="EM640" s="78"/>
      <c r="EN640" s="91"/>
      <c r="EO640" s="91"/>
      <c r="EP640" s="91"/>
      <c r="EQ640" s="91"/>
      <c r="ER640" s="91"/>
      <c r="ES640" s="91"/>
    </row>
    <row r="641" spans="1:149" outlineLevel="1">
      <c r="A641" s="29" t="str">
        <f t="shared" si="355"/>
        <v>lt004_protectionTYP_HZRDS_INSRD</v>
      </c>
      <c r="B641" s="67" t="s">
        <v>26</v>
      </c>
      <c r="C641" s="68" t="s">
        <v>26</v>
      </c>
      <c r="D641" s="64" t="s">
        <v>40</v>
      </c>
      <c r="E641" s="70" t="s">
        <v>368</v>
      </c>
      <c r="F641" s="353" t="s">
        <v>2253</v>
      </c>
      <c r="G641" s="64" t="str">
        <f>INDEX(Auxiliar!$B$16:$B$24,MATCH(Plano_V3!H641,Auxiliar!$C$16:$C$24,0),1)</f>
        <v>1. Concluído</v>
      </c>
      <c r="H641" s="64">
        <f>VLOOKUP(A641,'Aux - pivots1'!$A:$B,2,0)</f>
        <v>1</v>
      </c>
      <c r="I641" s="172" t="e">
        <f>SUMIFS(Table1[Estimação (horas)],Table1[Tabela],Plano_V3!E641,Table1[Campo],Plano_V3!F641)</f>
        <v>#N/A</v>
      </c>
      <c r="J641" s="172" t="e">
        <f t="shared" si="356"/>
        <v>#N/A</v>
      </c>
      <c r="K641" s="172" t="e">
        <f>SUMIFS(Table1[Horas efetivas],Table1[Tabela],Plano_V3!E641,Table1[Campo],Plano_V3!F641)</f>
        <v>#N/A</v>
      </c>
      <c r="L641" s="172" t="e">
        <f t="shared" si="357"/>
        <v>#N/A</v>
      </c>
      <c r="M641" s="174"/>
      <c r="N641" s="174" t="e">
        <f t="shared" si="358"/>
        <v>#N/A</v>
      </c>
      <c r="O641" s="174"/>
      <c r="P641" s="89" t="s">
        <v>39</v>
      </c>
      <c r="R641" s="78"/>
      <c r="S641" s="78"/>
      <c r="T641" s="78"/>
      <c r="U641" s="78"/>
      <c r="V641" s="78"/>
      <c r="W641" s="78"/>
      <c r="X641" s="78"/>
      <c r="Y641" s="78"/>
      <c r="Z641" s="78"/>
      <c r="AA641" s="78"/>
      <c r="AB641" s="78"/>
      <c r="AC641" s="78"/>
      <c r="AD641" s="78"/>
      <c r="AE641" s="78"/>
      <c r="AF641" s="78"/>
      <c r="AG641" s="78"/>
      <c r="AH641" s="78"/>
      <c r="AI641" s="78"/>
      <c r="AJ641" s="78"/>
      <c r="AK641" s="78"/>
      <c r="AL641" s="78"/>
      <c r="AM641" s="78"/>
      <c r="AN641" s="78"/>
      <c r="AO641" s="78"/>
      <c r="AP641" s="78"/>
      <c r="AQ641" s="78"/>
      <c r="AR641" s="78"/>
      <c r="AS641" s="78"/>
      <c r="AT641" s="78"/>
      <c r="AU641" s="78"/>
      <c r="AV641" s="78"/>
      <c r="AW641" s="78"/>
      <c r="AX641" s="78"/>
      <c r="AY641" s="91"/>
      <c r="AZ641" s="78"/>
      <c r="BA641" s="78"/>
      <c r="BB641" s="78"/>
      <c r="BC641" s="78"/>
      <c r="BD641" s="78"/>
      <c r="BE641" s="78"/>
      <c r="BF641" s="78"/>
      <c r="BG641" s="78"/>
      <c r="BH641" s="78"/>
      <c r="BI641" s="78"/>
      <c r="BJ641" s="78"/>
      <c r="BK641" s="78"/>
      <c r="BL641" s="78"/>
      <c r="BM641" s="78"/>
      <c r="BN641" s="78"/>
      <c r="BO641" s="78"/>
      <c r="BP641" s="78"/>
      <c r="BQ641" s="78"/>
      <c r="BR641" s="78"/>
      <c r="BS641" s="78"/>
      <c r="BT641" s="78"/>
      <c r="BU641" s="78"/>
      <c r="BV641" s="78"/>
      <c r="BW641" s="78"/>
      <c r="BX641" s="78"/>
      <c r="BY641" s="78"/>
      <c r="BZ641" s="78"/>
      <c r="CA641" s="78"/>
      <c r="CB641" s="78"/>
      <c r="CC641" s="78"/>
      <c r="CD641" s="78"/>
      <c r="CE641" s="78"/>
      <c r="CF641" s="78"/>
      <c r="CG641" s="78"/>
      <c r="CH641" s="78"/>
      <c r="CI641" s="78"/>
      <c r="CJ641" s="78"/>
      <c r="CK641" s="78"/>
      <c r="CL641" s="78"/>
      <c r="CM641" s="78"/>
      <c r="CN641" s="78"/>
      <c r="CO641" s="78"/>
      <c r="CP641" s="78"/>
      <c r="CQ641" s="78"/>
      <c r="CR641" s="78"/>
      <c r="CS641" s="78"/>
      <c r="CT641" s="78"/>
      <c r="CU641" s="78"/>
      <c r="CV641" s="78"/>
      <c r="CW641" s="78"/>
      <c r="CX641" s="78"/>
      <c r="CY641" s="78"/>
      <c r="CZ641" s="78"/>
      <c r="DA641" s="78"/>
      <c r="DB641" s="78"/>
      <c r="DC641" s="78"/>
      <c r="DD641" s="78"/>
      <c r="DE641" s="78"/>
      <c r="DF641" s="78"/>
      <c r="DG641" s="78"/>
      <c r="DH641" s="78"/>
      <c r="DI641" s="78"/>
      <c r="DJ641" s="78"/>
      <c r="DK641" s="78"/>
      <c r="DL641" s="78"/>
      <c r="DM641" s="78"/>
      <c r="DN641" s="78"/>
      <c r="DO641" s="78"/>
      <c r="DP641" s="78"/>
      <c r="DQ641" s="78"/>
      <c r="DR641" s="78"/>
      <c r="DS641" s="78"/>
      <c r="DT641" s="78"/>
      <c r="DU641" s="78"/>
      <c r="DV641" s="78"/>
      <c r="DW641" s="78"/>
      <c r="DX641" s="78"/>
      <c r="DY641" s="78"/>
      <c r="DZ641" s="78"/>
      <c r="EA641" s="78"/>
      <c r="EB641" s="78"/>
      <c r="EC641" s="78"/>
      <c r="ED641" s="78"/>
      <c r="EE641" s="78"/>
      <c r="EF641" s="78"/>
      <c r="EG641" s="78"/>
      <c r="EH641" s="78"/>
      <c r="EI641" s="78"/>
      <c r="EJ641" s="78"/>
      <c r="EK641" s="78"/>
      <c r="EL641" s="78"/>
      <c r="EM641" s="78"/>
      <c r="EN641" s="91"/>
      <c r="EO641" s="91"/>
      <c r="EP641" s="91"/>
      <c r="EQ641" s="91"/>
      <c r="ER641" s="91"/>
      <c r="ES641" s="91"/>
    </row>
    <row r="642" spans="1:149" outlineLevel="1">
      <c r="A642" s="29" t="str">
        <f t="shared" si="355"/>
        <v>lt004_protectionAMNT_CVRD_INSRNC</v>
      </c>
      <c r="B642" s="67" t="s">
        <v>26</v>
      </c>
      <c r="C642" s="68" t="s">
        <v>26</v>
      </c>
      <c r="D642" s="64" t="s">
        <v>40</v>
      </c>
      <c r="E642" s="70" t="s">
        <v>368</v>
      </c>
      <c r="F642" s="353" t="s">
        <v>2254</v>
      </c>
      <c r="G642" s="64" t="str">
        <f>INDEX(Auxiliar!$B$16:$B$24,MATCH(Plano_V3!H642,Auxiliar!$C$16:$C$24,0),1)</f>
        <v>1. Concluído</v>
      </c>
      <c r="H642" s="64">
        <f>VLOOKUP(A642,'Aux - pivots1'!$A:$B,2,0)</f>
        <v>1</v>
      </c>
      <c r="I642" s="172" t="e">
        <f>SUMIFS(Table1[Estimação (horas)],Table1[Tabela],Plano_V3!E642,Table1[Campo],Plano_V3!F642)</f>
        <v>#N/A</v>
      </c>
      <c r="J642" s="172" t="e">
        <f t="shared" si="356"/>
        <v>#N/A</v>
      </c>
      <c r="K642" s="172" t="e">
        <f>SUMIFS(Table1[Horas efetivas],Table1[Tabela],Plano_V3!E642,Table1[Campo],Plano_V3!F642)</f>
        <v>#N/A</v>
      </c>
      <c r="L642" s="172" t="e">
        <f t="shared" si="357"/>
        <v>#N/A</v>
      </c>
      <c r="M642" s="174"/>
      <c r="N642" s="174" t="e">
        <f t="shared" si="358"/>
        <v>#N/A</v>
      </c>
      <c r="O642" s="174"/>
      <c r="P642" s="89" t="s">
        <v>39</v>
      </c>
      <c r="R642" s="78"/>
      <c r="S642" s="78"/>
      <c r="T642" s="78"/>
      <c r="U642" s="78"/>
      <c r="V642" s="78"/>
      <c r="W642" s="78"/>
      <c r="X642" s="78"/>
      <c r="Y642" s="78"/>
      <c r="Z642" s="78"/>
      <c r="AA642" s="78"/>
      <c r="AB642" s="78"/>
      <c r="AC642" s="78"/>
      <c r="AD642" s="78"/>
      <c r="AE642" s="78"/>
      <c r="AF642" s="78"/>
      <c r="AG642" s="78"/>
      <c r="AH642" s="78"/>
      <c r="AI642" s="78"/>
      <c r="AJ642" s="78"/>
      <c r="AK642" s="78"/>
      <c r="AL642" s="78"/>
      <c r="AM642" s="78"/>
      <c r="AN642" s="78"/>
      <c r="AO642" s="78"/>
      <c r="AP642" s="78"/>
      <c r="AQ642" s="78"/>
      <c r="AR642" s="78"/>
      <c r="AS642" s="78"/>
      <c r="AT642" s="78"/>
      <c r="AU642" s="78"/>
      <c r="AV642" s="78"/>
      <c r="AW642" s="78"/>
      <c r="AX642" s="78"/>
      <c r="AY642" s="91"/>
      <c r="AZ642" s="78"/>
      <c r="BA642" s="78"/>
      <c r="BB642" s="78"/>
      <c r="BC642" s="78"/>
      <c r="BD642" s="78"/>
      <c r="BE642" s="78"/>
      <c r="BF642" s="78"/>
      <c r="BG642" s="78"/>
      <c r="BH642" s="78"/>
      <c r="BI642" s="78"/>
      <c r="BJ642" s="78"/>
      <c r="BK642" s="78"/>
      <c r="BL642" s="78"/>
      <c r="BM642" s="78"/>
      <c r="BN642" s="78"/>
      <c r="BO642" s="78"/>
      <c r="BP642" s="78"/>
      <c r="BQ642" s="78"/>
      <c r="BR642" s="78"/>
      <c r="BS642" s="78"/>
      <c r="BT642" s="78"/>
      <c r="BU642" s="78"/>
      <c r="BV642" s="78"/>
      <c r="BW642" s="78"/>
      <c r="BX642" s="78"/>
      <c r="BY642" s="78"/>
      <c r="BZ642" s="78"/>
      <c r="CA642" s="78"/>
      <c r="CB642" s="78"/>
      <c r="CC642" s="78"/>
      <c r="CD642" s="78"/>
      <c r="CE642" s="78"/>
      <c r="CF642" s="78"/>
      <c r="CG642" s="78"/>
      <c r="CH642" s="78"/>
      <c r="CI642" s="78"/>
      <c r="CJ642" s="78"/>
      <c r="CK642" s="78"/>
      <c r="CL642" s="78"/>
      <c r="CM642" s="78"/>
      <c r="CN642" s="78"/>
      <c r="CO642" s="78"/>
      <c r="CP642" s="78"/>
      <c r="CQ642" s="78"/>
      <c r="CR642" s="78"/>
      <c r="CS642" s="78"/>
      <c r="CT642" s="78"/>
      <c r="CU642" s="78"/>
      <c r="CV642" s="78"/>
      <c r="CW642" s="78"/>
      <c r="CX642" s="78"/>
      <c r="CY642" s="78"/>
      <c r="CZ642" s="78"/>
      <c r="DA642" s="78"/>
      <c r="DB642" s="78"/>
      <c r="DC642" s="78"/>
      <c r="DD642" s="78"/>
      <c r="DE642" s="78"/>
      <c r="DF642" s="78"/>
      <c r="DG642" s="78"/>
      <c r="DH642" s="78"/>
      <c r="DI642" s="78"/>
      <c r="DJ642" s="78"/>
      <c r="DK642" s="78"/>
      <c r="DL642" s="78"/>
      <c r="DM642" s="78"/>
      <c r="DN642" s="78"/>
      <c r="DO642" s="78"/>
      <c r="DP642" s="78"/>
      <c r="DQ642" s="78"/>
      <c r="DR642" s="78"/>
      <c r="DS642" s="78"/>
      <c r="DT642" s="78"/>
      <c r="DU642" s="78"/>
      <c r="DV642" s="78"/>
      <c r="DW642" s="78"/>
      <c r="DX642" s="78"/>
      <c r="DY642" s="78"/>
      <c r="DZ642" s="78"/>
      <c r="EA642" s="78"/>
      <c r="EB642" s="78"/>
      <c r="EC642" s="78"/>
      <c r="ED642" s="78"/>
      <c r="EE642" s="78"/>
      <c r="EF642" s="78"/>
      <c r="EG642" s="78"/>
      <c r="EH642" s="78"/>
      <c r="EI642" s="78"/>
      <c r="EJ642" s="78"/>
      <c r="EK642" s="78"/>
      <c r="EL642" s="78"/>
      <c r="EM642" s="78"/>
      <c r="EN642" s="91"/>
      <c r="EO642" s="91"/>
      <c r="EP642" s="91"/>
      <c r="EQ642" s="91"/>
      <c r="ER642" s="91"/>
      <c r="ES642" s="91"/>
    </row>
    <row r="643" spans="1:149" outlineLevel="1">
      <c r="A643" s="29" t="str">
        <f t="shared" si="355"/>
        <v>lt004_protectionDT_MTRTY_INSRNC</v>
      </c>
      <c r="B643" s="67" t="s">
        <v>26</v>
      </c>
      <c r="C643" s="68" t="s">
        <v>26</v>
      </c>
      <c r="D643" s="64" t="s">
        <v>40</v>
      </c>
      <c r="E643" s="70" t="s">
        <v>368</v>
      </c>
      <c r="F643" s="353" t="s">
        <v>2255</v>
      </c>
      <c r="G643" s="64" t="str">
        <f>INDEX(Auxiliar!$B$16:$B$24,MATCH(Plano_V3!H643,Auxiliar!$C$16:$C$24,0),1)</f>
        <v>1. Concluído</v>
      </c>
      <c r="H643" s="64">
        <f>VLOOKUP(A643,'Aux - pivots1'!$A:$B,2,0)</f>
        <v>1</v>
      </c>
      <c r="I643" s="172" t="e">
        <f>SUMIFS(Table1[Estimação (horas)],Table1[Tabela],Plano_V3!E643,Table1[Campo],Plano_V3!F643)</f>
        <v>#N/A</v>
      </c>
      <c r="J643" s="172" t="e">
        <f t="shared" si="356"/>
        <v>#N/A</v>
      </c>
      <c r="K643" s="172" t="e">
        <f>SUMIFS(Table1[Horas efetivas],Table1[Tabela],Plano_V3!E643,Table1[Campo],Plano_V3!F643)</f>
        <v>#N/A</v>
      </c>
      <c r="L643" s="172" t="e">
        <f t="shared" si="357"/>
        <v>#N/A</v>
      </c>
      <c r="M643" s="174"/>
      <c r="N643" s="174" t="e">
        <f t="shared" si="358"/>
        <v>#N/A</v>
      </c>
      <c r="O643" s="174"/>
      <c r="P643" s="89" t="s">
        <v>39</v>
      </c>
      <c r="R643" s="78"/>
      <c r="S643" s="78"/>
      <c r="T643" s="78"/>
      <c r="U643" s="78"/>
      <c r="V643" s="78"/>
      <c r="W643" s="78"/>
      <c r="X643" s="78"/>
      <c r="Y643" s="78"/>
      <c r="Z643" s="78"/>
      <c r="AA643" s="78"/>
      <c r="AB643" s="78"/>
      <c r="AC643" s="78"/>
      <c r="AD643" s="78"/>
      <c r="AE643" s="78"/>
      <c r="AF643" s="78"/>
      <c r="AG643" s="78"/>
      <c r="AH643" s="78"/>
      <c r="AI643" s="78"/>
      <c r="AJ643" s="78"/>
      <c r="AK643" s="78"/>
      <c r="AL643" s="78"/>
      <c r="AM643" s="78"/>
      <c r="AN643" s="78"/>
      <c r="AO643" s="78"/>
      <c r="AP643" s="78"/>
      <c r="AQ643" s="78"/>
      <c r="AR643" s="78"/>
      <c r="AS643" s="78"/>
      <c r="AT643" s="78"/>
      <c r="AU643" s="78"/>
      <c r="AV643" s="78"/>
      <c r="AW643" s="78"/>
      <c r="AX643" s="78"/>
      <c r="AY643" s="91"/>
      <c r="AZ643" s="78"/>
      <c r="BA643" s="78"/>
      <c r="BB643" s="78"/>
      <c r="BC643" s="78"/>
      <c r="BD643" s="78"/>
      <c r="BE643" s="78"/>
      <c r="BF643" s="78"/>
      <c r="BG643" s="78"/>
      <c r="BH643" s="78"/>
      <c r="BI643" s="78"/>
      <c r="BJ643" s="78"/>
      <c r="BK643" s="78"/>
      <c r="BL643" s="78"/>
      <c r="BM643" s="78"/>
      <c r="BN643" s="78"/>
      <c r="BO643" s="78"/>
      <c r="BP643" s="78"/>
      <c r="BQ643" s="78"/>
      <c r="BR643" s="78"/>
      <c r="BS643" s="78"/>
      <c r="BT643" s="78"/>
      <c r="BU643" s="78"/>
      <c r="BV643" s="78"/>
      <c r="BW643" s="78"/>
      <c r="BX643" s="78"/>
      <c r="BY643" s="78"/>
      <c r="BZ643" s="78"/>
      <c r="CA643" s="78"/>
      <c r="CB643" s="78"/>
      <c r="CC643" s="78"/>
      <c r="CD643" s="78"/>
      <c r="CE643" s="78"/>
      <c r="CF643" s="78"/>
      <c r="CG643" s="78"/>
      <c r="CH643" s="78"/>
      <c r="CI643" s="78"/>
      <c r="CJ643" s="78"/>
      <c r="CK643" s="78"/>
      <c r="CL643" s="78"/>
      <c r="CM643" s="78"/>
      <c r="CN643" s="78"/>
      <c r="CO643" s="78"/>
      <c r="CP643" s="78"/>
      <c r="CQ643" s="78"/>
      <c r="CR643" s="78"/>
      <c r="CS643" s="78"/>
      <c r="CT643" s="78"/>
      <c r="CU643" s="78"/>
      <c r="CV643" s="78"/>
      <c r="CW643" s="78"/>
      <c r="CX643" s="78"/>
      <c r="CY643" s="78"/>
      <c r="CZ643" s="78"/>
      <c r="DA643" s="78"/>
      <c r="DB643" s="78"/>
      <c r="DC643" s="78"/>
      <c r="DD643" s="78"/>
      <c r="DE643" s="78"/>
      <c r="DF643" s="78"/>
      <c r="DG643" s="78"/>
      <c r="DH643" s="78"/>
      <c r="DI643" s="78"/>
      <c r="DJ643" s="78"/>
      <c r="DK643" s="78"/>
      <c r="DL643" s="78"/>
      <c r="DM643" s="78"/>
      <c r="DN643" s="78"/>
      <c r="DO643" s="78"/>
      <c r="DP643" s="78"/>
      <c r="DQ643" s="78"/>
      <c r="DR643" s="78"/>
      <c r="DS643" s="78"/>
      <c r="DT643" s="78"/>
      <c r="DU643" s="78"/>
      <c r="DV643" s="78"/>
      <c r="DW643" s="78"/>
      <c r="DX643" s="78"/>
      <c r="DY643" s="78"/>
      <c r="DZ643" s="78"/>
      <c r="EA643" s="78"/>
      <c r="EB643" s="78"/>
      <c r="EC643" s="78"/>
      <c r="ED643" s="78"/>
      <c r="EE643" s="78"/>
      <c r="EF643" s="78"/>
      <c r="EG643" s="78"/>
      <c r="EH643" s="78"/>
      <c r="EI643" s="78"/>
      <c r="EJ643" s="78"/>
      <c r="EK643" s="78"/>
      <c r="EL643" s="78"/>
      <c r="EM643" s="78"/>
      <c r="EN643" s="91"/>
      <c r="EO643" s="91"/>
      <c r="EP643" s="91"/>
      <c r="EQ643" s="91"/>
      <c r="ER643" s="91"/>
      <c r="ES643" s="91"/>
    </row>
    <row r="644" spans="1:149" outlineLevel="1">
      <c r="A644" s="29" t="str">
        <f t="shared" si="355"/>
        <v>lt004_protectionFLG_FRST_HM</v>
      </c>
      <c r="B644" s="67" t="s">
        <v>26</v>
      </c>
      <c r="C644" s="68" t="s">
        <v>26</v>
      </c>
      <c r="D644" s="64" t="s">
        <v>40</v>
      </c>
      <c r="E644" s="70" t="s">
        <v>368</v>
      </c>
      <c r="F644" s="353" t="s">
        <v>2256</v>
      </c>
      <c r="G644" s="64" t="str">
        <f>INDEX(Auxiliar!$B$16:$B$24,MATCH(Plano_V3!H644,Auxiliar!$C$16:$C$24,0),1)</f>
        <v>1. Concluído</v>
      </c>
      <c r="H644" s="64">
        <f>VLOOKUP(A644,'Aux - pivots1'!$A:$B,2,0)</f>
        <v>1</v>
      </c>
      <c r="I644" s="172" t="e">
        <f>SUMIFS(Table1[Estimação (horas)],Table1[Tabela],Plano_V3!E644,Table1[Campo],Plano_V3!F644)</f>
        <v>#N/A</v>
      </c>
      <c r="J644" s="172" t="e">
        <f t="shared" si="356"/>
        <v>#N/A</v>
      </c>
      <c r="K644" s="172" t="e">
        <f>SUMIFS(Table1[Horas efetivas],Table1[Tabela],Plano_V3!E644,Table1[Campo],Plano_V3!F644)</f>
        <v>#N/A</v>
      </c>
      <c r="L644" s="172" t="e">
        <f t="shared" si="357"/>
        <v>#N/A</v>
      </c>
      <c r="M644" s="174"/>
      <c r="N644" s="174" t="e">
        <f t="shared" si="358"/>
        <v>#N/A</v>
      </c>
      <c r="O644" s="174"/>
      <c r="P644" s="89" t="s">
        <v>39</v>
      </c>
      <c r="R644" s="78"/>
      <c r="S644" s="78"/>
      <c r="T644" s="78"/>
      <c r="U644" s="78"/>
      <c r="V644" s="78"/>
      <c r="W644" s="78"/>
      <c r="X644" s="78"/>
      <c r="Y644" s="78"/>
      <c r="Z644" s="78"/>
      <c r="AA644" s="78"/>
      <c r="AB644" s="78"/>
      <c r="AC644" s="78"/>
      <c r="AD644" s="78"/>
      <c r="AE644" s="78"/>
      <c r="AF644" s="78"/>
      <c r="AG644" s="78"/>
      <c r="AH644" s="78"/>
      <c r="AI644" s="78"/>
      <c r="AJ644" s="78"/>
      <c r="AK644" s="78"/>
      <c r="AL644" s="78"/>
      <c r="AM644" s="78"/>
      <c r="AN644" s="78"/>
      <c r="AO644" s="78"/>
      <c r="AP644" s="78"/>
      <c r="AQ644" s="78"/>
      <c r="AR644" s="78"/>
      <c r="AS644" s="78"/>
      <c r="AT644" s="78"/>
      <c r="AU644" s="78"/>
      <c r="AV644" s="78"/>
      <c r="AW644" s="78"/>
      <c r="AX644" s="78"/>
      <c r="AY644" s="91"/>
      <c r="AZ644" s="78"/>
      <c r="BA644" s="78"/>
      <c r="BB644" s="78"/>
      <c r="BC644" s="78"/>
      <c r="BD644" s="78"/>
      <c r="BE644" s="78"/>
      <c r="BF644" s="78"/>
      <c r="BG644" s="78"/>
      <c r="BH644" s="78"/>
      <c r="BI644" s="78"/>
      <c r="BJ644" s="78"/>
      <c r="BK644" s="78"/>
      <c r="BL644" s="78"/>
      <c r="BM644" s="78"/>
      <c r="BN644" s="78"/>
      <c r="BO644" s="78"/>
      <c r="BP644" s="78"/>
      <c r="BQ644" s="78"/>
      <c r="BR644" s="78"/>
      <c r="BS644" s="78"/>
      <c r="BT644" s="78"/>
      <c r="BU644" s="78"/>
      <c r="BV644" s="78"/>
      <c r="BW644" s="78"/>
      <c r="BX644" s="78"/>
      <c r="BY644" s="78"/>
      <c r="BZ644" s="78"/>
      <c r="CA644" s="78"/>
      <c r="CB644" s="78"/>
      <c r="CC644" s="78"/>
      <c r="CD644" s="78"/>
      <c r="CE644" s="78"/>
      <c r="CF644" s="78"/>
      <c r="CG644" s="78"/>
      <c r="CH644" s="78"/>
      <c r="CI644" s="78"/>
      <c r="CJ644" s="78"/>
      <c r="CK644" s="78"/>
      <c r="CL644" s="78"/>
      <c r="CM644" s="78"/>
      <c r="CN644" s="78"/>
      <c r="CO644" s="78"/>
      <c r="CP644" s="78"/>
      <c r="CQ644" s="78"/>
      <c r="CR644" s="78"/>
      <c r="CS644" s="78"/>
      <c r="CT644" s="78"/>
      <c r="CU644" s="78"/>
      <c r="CV644" s="78"/>
      <c r="CW644" s="78"/>
      <c r="CX644" s="78"/>
      <c r="CY644" s="78"/>
      <c r="CZ644" s="78"/>
      <c r="DA644" s="78"/>
      <c r="DB644" s="78"/>
      <c r="DC644" s="78"/>
      <c r="DD644" s="78"/>
      <c r="DE644" s="78"/>
      <c r="DF644" s="78"/>
      <c r="DG644" s="78"/>
      <c r="DH644" s="78"/>
      <c r="DI644" s="78"/>
      <c r="DJ644" s="78"/>
      <c r="DK644" s="78"/>
      <c r="DL644" s="78"/>
      <c r="DM644" s="78"/>
      <c r="DN644" s="78"/>
      <c r="DO644" s="78"/>
      <c r="DP644" s="78"/>
      <c r="DQ644" s="78"/>
      <c r="DR644" s="78"/>
      <c r="DS644" s="78"/>
      <c r="DT644" s="78"/>
      <c r="DU644" s="78"/>
      <c r="DV644" s="78"/>
      <c r="DW644" s="78"/>
      <c r="DX644" s="78"/>
      <c r="DY644" s="78"/>
      <c r="DZ644" s="78"/>
      <c r="EA644" s="78"/>
      <c r="EB644" s="78"/>
      <c r="EC644" s="78"/>
      <c r="ED644" s="78"/>
      <c r="EE644" s="78"/>
      <c r="EF644" s="78"/>
      <c r="EG644" s="78"/>
      <c r="EH644" s="78"/>
      <c r="EI644" s="78"/>
      <c r="EJ644" s="78"/>
      <c r="EK644" s="78"/>
      <c r="EL644" s="78"/>
      <c r="EM644" s="78"/>
      <c r="EN644" s="91"/>
      <c r="EO644" s="91"/>
      <c r="EP644" s="91"/>
      <c r="EQ644" s="91"/>
      <c r="ER644" s="91"/>
      <c r="ES644" s="91"/>
    </row>
    <row r="645" spans="1:149" outlineLevel="1">
      <c r="A645" s="29" t="str">
        <f t="shared" si="355"/>
        <v>lt004_protectionYR_CNSTRCTN</v>
      </c>
      <c r="B645" s="67" t="s">
        <v>26</v>
      </c>
      <c r="C645" s="68" t="s">
        <v>26</v>
      </c>
      <c r="D645" s="64" t="s">
        <v>40</v>
      </c>
      <c r="E645" s="70" t="s">
        <v>368</v>
      </c>
      <c r="F645" s="353" t="s">
        <v>2257</v>
      </c>
      <c r="G645" s="64" t="str">
        <f>INDEX(Auxiliar!$B$16:$B$24,MATCH(Plano_V3!H645,Auxiliar!$C$16:$C$24,0),1)</f>
        <v>5. Em Correção</v>
      </c>
      <c r="H645" s="64">
        <f>VLOOKUP(A645,'Aux - pivots1'!$A:$B,2,0)</f>
        <v>6</v>
      </c>
      <c r="I645" s="172" t="e">
        <f>SUMIFS(Table1[Estimação (horas)],Table1[Tabela],Plano_V3!E645,Table1[Campo],Plano_V3!F645)</f>
        <v>#N/A</v>
      </c>
      <c r="J645" s="172" t="e">
        <f t="shared" si="356"/>
        <v>#N/A</v>
      </c>
      <c r="K645" s="172" t="e">
        <f>SUMIFS(Table1[Horas efetivas],Table1[Tabela],Plano_V3!E645,Table1[Campo],Plano_V3!F645)</f>
        <v>#N/A</v>
      </c>
      <c r="L645" s="172" t="e">
        <f t="shared" si="357"/>
        <v>#N/A</v>
      </c>
      <c r="M645" s="174"/>
      <c r="N645" s="174" t="e">
        <f t="shared" si="358"/>
        <v>#N/A</v>
      </c>
      <c r="O645" s="174"/>
      <c r="P645" s="89" t="s">
        <v>39</v>
      </c>
      <c r="R645" s="78"/>
      <c r="S645" s="78"/>
      <c r="T645" s="78"/>
      <c r="U645" s="78"/>
      <c r="V645" s="78"/>
      <c r="W645" s="78"/>
      <c r="X645" s="78"/>
      <c r="Y645" s="78"/>
      <c r="Z645" s="78"/>
      <c r="AA645" s="78"/>
      <c r="AB645" s="78"/>
      <c r="AC645" s="78"/>
      <c r="AD645" s="78"/>
      <c r="AE645" s="78"/>
      <c r="AF645" s="78"/>
      <c r="AG645" s="78"/>
      <c r="AH645" s="78"/>
      <c r="AI645" s="78"/>
      <c r="AJ645" s="78"/>
      <c r="AK645" s="78"/>
      <c r="AL645" s="78"/>
      <c r="AM645" s="78"/>
      <c r="AN645" s="78"/>
      <c r="AO645" s="78"/>
      <c r="AP645" s="78"/>
      <c r="AQ645" s="78"/>
      <c r="AR645" s="78"/>
      <c r="AS645" s="78"/>
      <c r="AT645" s="78"/>
      <c r="AU645" s="78"/>
      <c r="AV645" s="78"/>
      <c r="AW645" s="78"/>
      <c r="AX645" s="78"/>
      <c r="AY645" s="91"/>
      <c r="AZ645" s="78"/>
      <c r="BA645" s="78"/>
      <c r="BB645" s="78"/>
      <c r="BC645" s="78"/>
      <c r="BD645" s="78"/>
      <c r="BE645" s="78"/>
      <c r="BF645" s="78"/>
      <c r="BG645" s="78"/>
      <c r="BH645" s="78"/>
      <c r="BI645" s="78"/>
      <c r="BJ645" s="78"/>
      <c r="BK645" s="78"/>
      <c r="BL645" s="78"/>
      <c r="BM645" s="78"/>
      <c r="BN645" s="78"/>
      <c r="BO645" s="78"/>
      <c r="BP645" s="78"/>
      <c r="BQ645" s="78"/>
      <c r="BR645" s="78"/>
      <c r="BS645" s="78"/>
      <c r="BT645" s="78"/>
      <c r="BU645" s="78"/>
      <c r="BV645" s="78"/>
      <c r="BW645" s="78"/>
      <c r="BX645" s="78"/>
      <c r="BY645" s="78"/>
      <c r="BZ645" s="78"/>
      <c r="CA645" s="78"/>
      <c r="CB645" s="78"/>
      <c r="CC645" s="78"/>
      <c r="CD645" s="78"/>
      <c r="CE645" s="78"/>
      <c r="CF645" s="78"/>
      <c r="CG645" s="78"/>
      <c r="CH645" s="78"/>
      <c r="CI645" s="78"/>
      <c r="CJ645" s="78"/>
      <c r="CK645" s="78"/>
      <c r="CL645" s="78"/>
      <c r="CM645" s="78"/>
      <c r="CN645" s="78"/>
      <c r="CO645" s="78"/>
      <c r="CP645" s="78"/>
      <c r="CQ645" s="78"/>
      <c r="CR645" s="78"/>
      <c r="CS645" s="78"/>
      <c r="CT645" s="78"/>
      <c r="CU645" s="78"/>
      <c r="CV645" s="78"/>
      <c r="CW645" s="78"/>
      <c r="CX645" s="78"/>
      <c r="CY645" s="78"/>
      <c r="CZ645" s="78"/>
      <c r="DA645" s="78"/>
      <c r="DB645" s="78"/>
      <c r="DC645" s="78"/>
      <c r="DD645" s="78"/>
      <c r="DE645" s="78"/>
      <c r="DF645" s="78"/>
      <c r="DG645" s="78"/>
      <c r="DH645" s="78"/>
      <c r="DI645" s="78"/>
      <c r="DJ645" s="78"/>
      <c r="DK645" s="78"/>
      <c r="DL645" s="78"/>
      <c r="DM645" s="78"/>
      <c r="DN645" s="78"/>
      <c r="DO645" s="78"/>
      <c r="DP645" s="78"/>
      <c r="DQ645" s="78"/>
      <c r="DR645" s="78"/>
      <c r="DS645" s="78"/>
      <c r="DT645" s="78"/>
      <c r="DU645" s="78"/>
      <c r="DV645" s="78"/>
      <c r="DW645" s="78"/>
      <c r="DX645" s="78"/>
      <c r="DY645" s="78"/>
      <c r="DZ645" s="78"/>
      <c r="EA645" s="78"/>
      <c r="EB645" s="78"/>
      <c r="EC645" s="78"/>
      <c r="ED645" s="78"/>
      <c r="EE645" s="78"/>
      <c r="EF645" s="78"/>
      <c r="EG645" s="78"/>
      <c r="EH645" s="78"/>
      <c r="EI645" s="78"/>
      <c r="EJ645" s="78"/>
      <c r="EK645" s="78"/>
      <c r="EL645" s="78"/>
      <c r="EM645" s="78"/>
      <c r="EN645" s="91"/>
      <c r="EO645" s="91"/>
      <c r="EP645" s="91"/>
      <c r="EQ645" s="91"/>
      <c r="ER645" s="91"/>
      <c r="ES645" s="91"/>
    </row>
    <row r="646" spans="1:149" outlineLevel="1">
      <c r="A646" s="29" t="str">
        <f t="shared" si="355"/>
        <v>lt004_protectionBLDNG_AR</v>
      </c>
      <c r="B646" s="67" t="s">
        <v>26</v>
      </c>
      <c r="C646" s="68" t="s">
        <v>26</v>
      </c>
      <c r="D646" s="64" t="s">
        <v>40</v>
      </c>
      <c r="E646" s="70" t="s">
        <v>368</v>
      </c>
      <c r="F646" s="353" t="s">
        <v>2258</v>
      </c>
      <c r="G646" s="64" t="str">
        <f>INDEX(Auxiliar!$B$16:$B$24,MATCH(Plano_V3!H646,Auxiliar!$C$16:$C$24,0),1)</f>
        <v>1. Concluído</v>
      </c>
      <c r="H646" s="64">
        <f>VLOOKUP(A646,'Aux - pivots1'!$A:$B,2,0)</f>
        <v>1</v>
      </c>
      <c r="I646" s="172" t="e">
        <f>SUMIFS(Table1[Estimação (horas)],Table1[Tabela],Plano_V3!E646,Table1[Campo],Plano_V3!F646)</f>
        <v>#N/A</v>
      </c>
      <c r="J646" s="172" t="e">
        <f t="shared" si="356"/>
        <v>#N/A</v>
      </c>
      <c r="K646" s="172" t="e">
        <f>SUMIFS(Table1[Horas efetivas],Table1[Tabela],Plano_V3!E646,Table1[Campo],Plano_V3!F646)</f>
        <v>#N/A</v>
      </c>
      <c r="L646" s="172" t="e">
        <f t="shared" si="357"/>
        <v>#N/A</v>
      </c>
      <c r="M646" s="174"/>
      <c r="N646" s="174" t="e">
        <f t="shared" si="358"/>
        <v>#N/A</v>
      </c>
      <c r="O646" s="174"/>
      <c r="P646" s="89" t="s">
        <v>39</v>
      </c>
      <c r="R646" s="78"/>
      <c r="S646" s="78"/>
      <c r="T646" s="78"/>
      <c r="U646" s="78"/>
      <c r="V646" s="78"/>
      <c r="W646" s="78"/>
      <c r="X646" s="78"/>
      <c r="Y646" s="78"/>
      <c r="Z646" s="78"/>
      <c r="AA646" s="78"/>
      <c r="AB646" s="78"/>
      <c r="AC646" s="78"/>
      <c r="AD646" s="78"/>
      <c r="AE646" s="78"/>
      <c r="AF646" s="78"/>
      <c r="AG646" s="78"/>
      <c r="AH646" s="78"/>
      <c r="AI646" s="78"/>
      <c r="AJ646" s="78"/>
      <c r="AK646" s="78"/>
      <c r="AL646" s="78"/>
      <c r="AM646" s="78"/>
      <c r="AN646" s="78"/>
      <c r="AO646" s="78"/>
      <c r="AP646" s="78"/>
      <c r="AQ646" s="78"/>
      <c r="AR646" s="78"/>
      <c r="AS646" s="78"/>
      <c r="AT646" s="78"/>
      <c r="AU646" s="78"/>
      <c r="AV646" s="78"/>
      <c r="AW646" s="78"/>
      <c r="AX646" s="78"/>
      <c r="AY646" s="91"/>
      <c r="AZ646" s="78"/>
      <c r="BA646" s="78"/>
      <c r="BB646" s="78"/>
      <c r="BC646" s="78"/>
      <c r="BD646" s="78"/>
      <c r="BE646" s="78"/>
      <c r="BF646" s="78"/>
      <c r="BG646" s="78"/>
      <c r="BH646" s="78"/>
      <c r="BI646" s="78"/>
      <c r="BJ646" s="78"/>
      <c r="BK646" s="78"/>
      <c r="BL646" s="78"/>
      <c r="BM646" s="78"/>
      <c r="BN646" s="78"/>
      <c r="BO646" s="78"/>
      <c r="BP646" s="78"/>
      <c r="BQ646" s="78"/>
      <c r="BR646" s="78"/>
      <c r="BS646" s="78"/>
      <c r="BT646" s="78"/>
      <c r="BU646" s="78"/>
      <c r="BV646" s="78"/>
      <c r="BW646" s="78"/>
      <c r="BX646" s="78"/>
      <c r="BY646" s="78"/>
      <c r="BZ646" s="78"/>
      <c r="CA646" s="78"/>
      <c r="CB646" s="78"/>
      <c r="CC646" s="78"/>
      <c r="CD646" s="78"/>
      <c r="CE646" s="78"/>
      <c r="CF646" s="78"/>
      <c r="CG646" s="78"/>
      <c r="CH646" s="78"/>
      <c r="CI646" s="78"/>
      <c r="CJ646" s="78"/>
      <c r="CK646" s="78"/>
      <c r="CL646" s="78"/>
      <c r="CM646" s="78"/>
      <c r="CN646" s="78"/>
      <c r="CO646" s="78"/>
      <c r="CP646" s="78"/>
      <c r="CQ646" s="78"/>
      <c r="CR646" s="78"/>
      <c r="CS646" s="78"/>
      <c r="CT646" s="78"/>
      <c r="CU646" s="78"/>
      <c r="CV646" s="78"/>
      <c r="CW646" s="78"/>
      <c r="CX646" s="78"/>
      <c r="CY646" s="78"/>
      <c r="CZ646" s="78"/>
      <c r="DA646" s="78"/>
      <c r="DB646" s="78"/>
      <c r="DC646" s="78"/>
      <c r="DD646" s="78"/>
      <c r="DE646" s="78"/>
      <c r="DF646" s="78"/>
      <c r="DG646" s="78"/>
      <c r="DH646" s="78"/>
      <c r="DI646" s="78"/>
      <c r="DJ646" s="78"/>
      <c r="DK646" s="78"/>
      <c r="DL646" s="78"/>
      <c r="DM646" s="78"/>
      <c r="DN646" s="78"/>
      <c r="DO646" s="78"/>
      <c r="DP646" s="78"/>
      <c r="DQ646" s="78"/>
      <c r="DR646" s="78"/>
      <c r="DS646" s="78"/>
      <c r="DT646" s="78"/>
      <c r="DU646" s="78"/>
      <c r="DV646" s="78"/>
      <c r="DW646" s="78"/>
      <c r="DX646" s="78"/>
      <c r="DY646" s="78"/>
      <c r="DZ646" s="78"/>
      <c r="EA646" s="78"/>
      <c r="EB646" s="78"/>
      <c r="EC646" s="78"/>
      <c r="ED646" s="78"/>
      <c r="EE646" s="78"/>
      <c r="EF646" s="78"/>
      <c r="EG646" s="78"/>
      <c r="EH646" s="78"/>
      <c r="EI646" s="78"/>
      <c r="EJ646" s="78"/>
      <c r="EK646" s="78"/>
      <c r="EL646" s="78"/>
      <c r="EM646" s="78"/>
      <c r="EN646" s="91"/>
      <c r="EO646" s="91"/>
      <c r="EP646" s="91"/>
      <c r="EQ646" s="91"/>
      <c r="ER646" s="91"/>
      <c r="ES646" s="91"/>
    </row>
    <row r="647" spans="1:149" outlineLevel="1">
      <c r="A647" s="29" t="str">
        <f t="shared" si="355"/>
        <v>lt004_protectionRL_ESTT_CRTFCTN</v>
      </c>
      <c r="B647" s="67" t="s">
        <v>26</v>
      </c>
      <c r="C647" s="68" t="s">
        <v>26</v>
      </c>
      <c r="D647" s="64" t="s">
        <v>40</v>
      </c>
      <c r="E647" s="70" t="s">
        <v>368</v>
      </c>
      <c r="F647" s="353" t="s">
        <v>2259</v>
      </c>
      <c r="G647" s="64" t="str">
        <f>INDEX(Auxiliar!$B$16:$B$24,MATCH(Plano_V3!H647,Auxiliar!$C$16:$C$24,0),1)</f>
        <v>1. Concluído</v>
      </c>
      <c r="H647" s="64">
        <f>VLOOKUP(A647,'Aux - pivots1'!$A:$B,2,0)</f>
        <v>1</v>
      </c>
      <c r="I647" s="172" t="e">
        <f>SUMIFS(Table1[Estimação (horas)],Table1[Tabela],Plano_V3!E647,Table1[Campo],Plano_V3!F647)</f>
        <v>#N/A</v>
      </c>
      <c r="J647" s="172" t="e">
        <f t="shared" si="356"/>
        <v>#N/A</v>
      </c>
      <c r="K647" s="172" t="e">
        <f>SUMIFS(Table1[Horas efetivas],Table1[Tabela],Plano_V3!E647,Table1[Campo],Plano_V3!F647)</f>
        <v>#N/A</v>
      </c>
      <c r="L647" s="172" t="e">
        <f t="shared" si="357"/>
        <v>#N/A</v>
      </c>
      <c r="M647" s="174"/>
      <c r="N647" s="174" t="e">
        <f t="shared" si="358"/>
        <v>#N/A</v>
      </c>
      <c r="O647" s="174"/>
      <c r="P647" s="89" t="s">
        <v>39</v>
      </c>
      <c r="R647" s="78"/>
      <c r="S647" s="78"/>
      <c r="T647" s="78"/>
      <c r="U647" s="78"/>
      <c r="V647" s="78"/>
      <c r="W647" s="78"/>
      <c r="X647" s="78"/>
      <c r="Y647" s="78"/>
      <c r="Z647" s="78"/>
      <c r="AA647" s="78"/>
      <c r="AB647" s="78"/>
      <c r="AC647" s="78"/>
      <c r="AD647" s="78"/>
      <c r="AE647" s="78"/>
      <c r="AF647" s="78"/>
      <c r="AG647" s="78"/>
      <c r="AH647" s="78"/>
      <c r="AI647" s="78"/>
      <c r="AJ647" s="78"/>
      <c r="AK647" s="78"/>
      <c r="AL647" s="78"/>
      <c r="AM647" s="78"/>
      <c r="AN647" s="78"/>
      <c r="AO647" s="78"/>
      <c r="AP647" s="78"/>
      <c r="AQ647" s="78"/>
      <c r="AR647" s="78"/>
      <c r="AS647" s="78"/>
      <c r="AT647" s="78"/>
      <c r="AU647" s="78"/>
      <c r="AV647" s="78"/>
      <c r="AW647" s="78"/>
      <c r="AX647" s="78"/>
      <c r="AY647" s="91"/>
      <c r="AZ647" s="78"/>
      <c r="BA647" s="78"/>
      <c r="BB647" s="78"/>
      <c r="BC647" s="78"/>
      <c r="BD647" s="78"/>
      <c r="BE647" s="78"/>
      <c r="BF647" s="78"/>
      <c r="BG647" s="78"/>
      <c r="BH647" s="78"/>
      <c r="BI647" s="78"/>
      <c r="BJ647" s="78"/>
      <c r="BK647" s="78"/>
      <c r="BL647" s="78"/>
      <c r="BM647" s="78"/>
      <c r="BN647" s="78"/>
      <c r="BO647" s="78"/>
      <c r="BP647" s="78"/>
      <c r="BQ647" s="78"/>
      <c r="BR647" s="78"/>
      <c r="BS647" s="78"/>
      <c r="BT647" s="78"/>
      <c r="BU647" s="78"/>
      <c r="BV647" s="78"/>
      <c r="BW647" s="78"/>
      <c r="BX647" s="78"/>
      <c r="BY647" s="78"/>
      <c r="BZ647" s="78"/>
      <c r="CA647" s="78"/>
      <c r="CB647" s="78"/>
      <c r="CC647" s="78"/>
      <c r="CD647" s="78"/>
      <c r="CE647" s="78"/>
      <c r="CF647" s="78"/>
      <c r="CG647" s="78"/>
      <c r="CH647" s="78"/>
      <c r="CI647" s="78"/>
      <c r="CJ647" s="78"/>
      <c r="CK647" s="78"/>
      <c r="CL647" s="78"/>
      <c r="CM647" s="78"/>
      <c r="CN647" s="78"/>
      <c r="CO647" s="78"/>
      <c r="CP647" s="78"/>
      <c r="CQ647" s="78"/>
      <c r="CR647" s="78"/>
      <c r="CS647" s="78"/>
      <c r="CT647" s="78"/>
      <c r="CU647" s="78"/>
      <c r="CV647" s="78"/>
      <c r="CW647" s="78"/>
      <c r="CX647" s="78"/>
      <c r="CY647" s="78"/>
      <c r="CZ647" s="78"/>
      <c r="DA647" s="78"/>
      <c r="DB647" s="78"/>
      <c r="DC647" s="78"/>
      <c r="DD647" s="78"/>
      <c r="DE647" s="78"/>
      <c r="DF647" s="78"/>
      <c r="DG647" s="78"/>
      <c r="DH647" s="78"/>
      <c r="DI647" s="78"/>
      <c r="DJ647" s="78"/>
      <c r="DK647" s="78"/>
      <c r="DL647" s="78"/>
      <c r="DM647" s="78"/>
      <c r="DN647" s="78"/>
      <c r="DO647" s="78"/>
      <c r="DP647" s="78"/>
      <c r="DQ647" s="78"/>
      <c r="DR647" s="78"/>
      <c r="DS647" s="78"/>
      <c r="DT647" s="78"/>
      <c r="DU647" s="78"/>
      <c r="DV647" s="78"/>
      <c r="DW647" s="78"/>
      <c r="DX647" s="78"/>
      <c r="DY647" s="78"/>
      <c r="DZ647" s="78"/>
      <c r="EA647" s="78"/>
      <c r="EB647" s="78"/>
      <c r="EC647" s="78"/>
      <c r="ED647" s="78"/>
      <c r="EE647" s="78"/>
      <c r="EF647" s="78"/>
      <c r="EG647" s="78"/>
      <c r="EH647" s="78"/>
      <c r="EI647" s="78"/>
      <c r="EJ647" s="78"/>
      <c r="EK647" s="78"/>
      <c r="EL647" s="78"/>
      <c r="EM647" s="78"/>
      <c r="EN647" s="91"/>
      <c r="EO647" s="91"/>
      <c r="EP647" s="91"/>
      <c r="EQ647" s="91"/>
      <c r="ER647" s="91"/>
      <c r="ES647" s="91"/>
    </row>
    <row r="648" spans="1:149" outlineLevel="1">
      <c r="A648" s="29" t="str">
        <f t="shared" si="355"/>
        <v>lt004_protectionTYP_VHCL</v>
      </c>
      <c r="B648" s="67" t="s">
        <v>26</v>
      </c>
      <c r="C648" s="68" t="s">
        <v>26</v>
      </c>
      <c r="D648" s="64" t="s">
        <v>40</v>
      </c>
      <c r="E648" s="70" t="s">
        <v>368</v>
      </c>
      <c r="F648" s="353" t="s">
        <v>2260</v>
      </c>
      <c r="G648" s="64" t="str">
        <f>INDEX(Auxiliar!$B$16:$B$24,MATCH(Plano_V3!H648,Auxiliar!$C$16:$C$24,0),1)</f>
        <v>5. Em Correção</v>
      </c>
      <c r="H648" s="64">
        <f>VLOOKUP(A648,'Aux - pivots1'!$A:$B,2,0)</f>
        <v>6</v>
      </c>
      <c r="I648" s="172" t="e">
        <f>SUMIFS(Table1[Estimação (horas)],Table1[Tabela],Plano_V3!E648,Table1[Campo],Plano_V3!F648)</f>
        <v>#N/A</v>
      </c>
      <c r="J648" s="172" t="e">
        <f t="shared" si="356"/>
        <v>#N/A</v>
      </c>
      <c r="K648" s="172" t="e">
        <f>SUMIFS(Table1[Horas efetivas],Table1[Tabela],Plano_V3!E648,Table1[Campo],Plano_V3!F648)</f>
        <v>#N/A</v>
      </c>
      <c r="L648" s="172" t="e">
        <f t="shared" si="357"/>
        <v>#N/A</v>
      </c>
      <c r="M648" s="174"/>
      <c r="N648" s="174" t="e">
        <f t="shared" si="358"/>
        <v>#N/A</v>
      </c>
      <c r="O648" s="174"/>
      <c r="P648" s="89" t="s">
        <v>39</v>
      </c>
      <c r="R648" s="78"/>
      <c r="S648" s="78"/>
      <c r="T648" s="78"/>
      <c r="U648" s="78"/>
      <c r="V648" s="78"/>
      <c r="W648" s="78"/>
      <c r="X648" s="78"/>
      <c r="Y648" s="78"/>
      <c r="Z648" s="78"/>
      <c r="AA648" s="78"/>
      <c r="AB648" s="78"/>
      <c r="AC648" s="78"/>
      <c r="AD648" s="78"/>
      <c r="AE648" s="78"/>
      <c r="AF648" s="78"/>
      <c r="AG648" s="78"/>
      <c r="AH648" s="78"/>
      <c r="AI648" s="78"/>
      <c r="AJ648" s="78"/>
      <c r="AK648" s="78"/>
      <c r="AL648" s="78"/>
      <c r="AM648" s="78"/>
      <c r="AN648" s="78"/>
      <c r="AO648" s="78"/>
      <c r="AP648" s="78"/>
      <c r="AQ648" s="78"/>
      <c r="AR648" s="78"/>
      <c r="AS648" s="78"/>
      <c r="AT648" s="78"/>
      <c r="AU648" s="78"/>
      <c r="AV648" s="78"/>
      <c r="AW648" s="78"/>
      <c r="AX648" s="78"/>
      <c r="AY648" s="91"/>
      <c r="AZ648" s="78"/>
      <c r="BA648" s="78"/>
      <c r="BB648" s="78"/>
      <c r="BC648" s="78"/>
      <c r="BD648" s="78"/>
      <c r="BE648" s="78"/>
      <c r="BF648" s="78"/>
      <c r="BG648" s="78"/>
      <c r="BH648" s="78"/>
      <c r="BI648" s="78"/>
      <c r="BJ648" s="78"/>
      <c r="BK648" s="78"/>
      <c r="BL648" s="78"/>
      <c r="BM648" s="78"/>
      <c r="BN648" s="78"/>
      <c r="BO648" s="78"/>
      <c r="BP648" s="78"/>
      <c r="BQ648" s="78"/>
      <c r="BR648" s="78"/>
      <c r="BS648" s="78"/>
      <c r="BT648" s="78"/>
      <c r="BU648" s="78"/>
      <c r="BV648" s="78"/>
      <c r="BW648" s="78"/>
      <c r="BX648" s="78"/>
      <c r="BY648" s="78"/>
      <c r="BZ648" s="78"/>
      <c r="CA648" s="78"/>
      <c r="CB648" s="78"/>
      <c r="CC648" s="78"/>
      <c r="CD648" s="78"/>
      <c r="CE648" s="78"/>
      <c r="CF648" s="78"/>
      <c r="CG648" s="78"/>
      <c r="CH648" s="78"/>
      <c r="CI648" s="78"/>
      <c r="CJ648" s="78"/>
      <c r="CK648" s="78"/>
      <c r="CL648" s="78"/>
      <c r="CM648" s="78"/>
      <c r="CN648" s="78"/>
      <c r="CO648" s="78"/>
      <c r="CP648" s="78"/>
      <c r="CQ648" s="78"/>
      <c r="CR648" s="78"/>
      <c r="CS648" s="78"/>
      <c r="CT648" s="78"/>
      <c r="CU648" s="78"/>
      <c r="CV648" s="78"/>
      <c r="CW648" s="78"/>
      <c r="CX648" s="78"/>
      <c r="CY648" s="78"/>
      <c r="CZ648" s="78"/>
      <c r="DA648" s="78"/>
      <c r="DB648" s="78"/>
      <c r="DC648" s="78"/>
      <c r="DD648" s="78"/>
      <c r="DE648" s="78"/>
      <c r="DF648" s="78"/>
      <c r="DG648" s="78"/>
      <c r="DH648" s="78"/>
      <c r="DI648" s="78"/>
      <c r="DJ648" s="78"/>
      <c r="DK648" s="78"/>
      <c r="DL648" s="78"/>
      <c r="DM648" s="78"/>
      <c r="DN648" s="78"/>
      <c r="DO648" s="78"/>
      <c r="DP648" s="78"/>
      <c r="DQ648" s="78"/>
      <c r="DR648" s="78"/>
      <c r="DS648" s="78"/>
      <c r="DT648" s="78"/>
      <c r="DU648" s="78"/>
      <c r="DV648" s="78"/>
      <c r="DW648" s="78"/>
      <c r="DX648" s="78"/>
      <c r="DY648" s="78"/>
      <c r="DZ648" s="78"/>
      <c r="EA648" s="78"/>
      <c r="EB648" s="78"/>
      <c r="EC648" s="78"/>
      <c r="ED648" s="78"/>
      <c r="EE648" s="78"/>
      <c r="EF648" s="78"/>
      <c r="EG648" s="78"/>
      <c r="EH648" s="78"/>
      <c r="EI648" s="78"/>
      <c r="EJ648" s="78"/>
      <c r="EK648" s="78"/>
      <c r="EL648" s="78"/>
      <c r="EM648" s="78"/>
      <c r="EN648" s="91"/>
      <c r="EO648" s="91"/>
      <c r="EP648" s="91"/>
      <c r="EQ648" s="91"/>
      <c r="ER648" s="91"/>
      <c r="ES648" s="91"/>
    </row>
    <row r="649" spans="1:149" outlineLevel="1">
      <c r="A649" s="29" t="str">
        <f t="shared" si="355"/>
        <v>lt004_protectionDT_RGSTRTN</v>
      </c>
      <c r="B649" s="67" t="s">
        <v>26</v>
      </c>
      <c r="C649" s="68" t="s">
        <v>26</v>
      </c>
      <c r="D649" s="64" t="s">
        <v>40</v>
      </c>
      <c r="E649" s="70" t="s">
        <v>368</v>
      </c>
      <c r="F649" s="353" t="s">
        <v>2261</v>
      </c>
      <c r="G649" s="64" t="str">
        <f>INDEX(Auxiliar!$B$16:$B$24,MATCH(Plano_V3!H649,Auxiliar!$C$16:$C$24,0),1)</f>
        <v>1. Concluído</v>
      </c>
      <c r="H649" s="64">
        <f>VLOOKUP(A649,'Aux - pivots1'!$A:$B,2,0)</f>
        <v>1</v>
      </c>
      <c r="I649" s="172" t="e">
        <f>SUMIFS(Table1[Estimação (horas)],Table1[Tabela],Plano_V3!E649,Table1[Campo],Plano_V3!F649)</f>
        <v>#N/A</v>
      </c>
      <c r="J649" s="172" t="e">
        <f t="shared" si="356"/>
        <v>#N/A</v>
      </c>
      <c r="K649" s="172" t="e">
        <f>SUMIFS(Table1[Horas efetivas],Table1[Tabela],Plano_V3!E649,Table1[Campo],Plano_V3!F649)</f>
        <v>#N/A</v>
      </c>
      <c r="L649" s="172" t="e">
        <f t="shared" si="357"/>
        <v>#N/A</v>
      </c>
      <c r="M649" s="174"/>
      <c r="N649" s="174" t="e">
        <f t="shared" si="358"/>
        <v>#N/A</v>
      </c>
      <c r="O649" s="174"/>
      <c r="P649" s="89" t="s">
        <v>39</v>
      </c>
      <c r="R649" s="78"/>
      <c r="S649" s="78"/>
      <c r="T649" s="78"/>
      <c r="U649" s="78"/>
      <c r="V649" s="78"/>
      <c r="W649" s="78"/>
      <c r="X649" s="78"/>
      <c r="Y649" s="78"/>
      <c r="Z649" s="78"/>
      <c r="AA649" s="78"/>
      <c r="AB649" s="78"/>
      <c r="AC649" s="78"/>
      <c r="AD649" s="78"/>
      <c r="AE649" s="78"/>
      <c r="AF649" s="78"/>
      <c r="AG649" s="78"/>
      <c r="AH649" s="78"/>
      <c r="AI649" s="78"/>
      <c r="AJ649" s="78"/>
      <c r="AK649" s="78"/>
      <c r="AL649" s="78"/>
      <c r="AM649" s="78"/>
      <c r="AN649" s="78"/>
      <c r="AO649" s="78"/>
      <c r="AP649" s="78"/>
      <c r="AQ649" s="78"/>
      <c r="AR649" s="78"/>
      <c r="AS649" s="78"/>
      <c r="AT649" s="78"/>
      <c r="AU649" s="78"/>
      <c r="AV649" s="78"/>
      <c r="AW649" s="78"/>
      <c r="AX649" s="78"/>
      <c r="AY649" s="91"/>
      <c r="AZ649" s="78"/>
      <c r="BA649" s="78"/>
      <c r="BB649" s="78"/>
      <c r="BC649" s="78"/>
      <c r="BD649" s="78"/>
      <c r="BE649" s="78"/>
      <c r="BF649" s="78"/>
      <c r="BG649" s="78"/>
      <c r="BH649" s="78"/>
      <c r="BI649" s="78"/>
      <c r="BJ649" s="78"/>
      <c r="BK649" s="78"/>
      <c r="BL649" s="78"/>
      <c r="BM649" s="78"/>
      <c r="BN649" s="78"/>
      <c r="BO649" s="78"/>
      <c r="BP649" s="78"/>
      <c r="BQ649" s="78"/>
      <c r="BR649" s="78"/>
      <c r="BS649" s="78"/>
      <c r="BT649" s="78"/>
      <c r="BU649" s="78"/>
      <c r="BV649" s="78"/>
      <c r="BW649" s="78"/>
      <c r="BX649" s="78"/>
      <c r="BY649" s="78"/>
      <c r="BZ649" s="78"/>
      <c r="CA649" s="78"/>
      <c r="CB649" s="78"/>
      <c r="CC649" s="78"/>
      <c r="CD649" s="78"/>
      <c r="CE649" s="78"/>
      <c r="CF649" s="78"/>
      <c r="CG649" s="78"/>
      <c r="CH649" s="78"/>
      <c r="CI649" s="78"/>
      <c r="CJ649" s="78"/>
      <c r="CK649" s="78"/>
      <c r="CL649" s="78"/>
      <c r="CM649" s="78"/>
      <c r="CN649" s="78"/>
      <c r="CO649" s="78"/>
      <c r="CP649" s="78"/>
      <c r="CQ649" s="78"/>
      <c r="CR649" s="78"/>
      <c r="CS649" s="78"/>
      <c r="CT649" s="78"/>
      <c r="CU649" s="78"/>
      <c r="CV649" s="78"/>
      <c r="CW649" s="78"/>
      <c r="CX649" s="78"/>
      <c r="CY649" s="78"/>
      <c r="CZ649" s="78"/>
      <c r="DA649" s="78"/>
      <c r="DB649" s="78"/>
      <c r="DC649" s="78"/>
      <c r="DD649" s="78"/>
      <c r="DE649" s="78"/>
      <c r="DF649" s="78"/>
      <c r="DG649" s="78"/>
      <c r="DH649" s="78"/>
      <c r="DI649" s="78"/>
      <c r="DJ649" s="78"/>
      <c r="DK649" s="78"/>
      <c r="DL649" s="78"/>
      <c r="DM649" s="78"/>
      <c r="DN649" s="78"/>
      <c r="DO649" s="78"/>
      <c r="DP649" s="78"/>
      <c r="DQ649" s="78"/>
      <c r="DR649" s="78"/>
      <c r="DS649" s="78"/>
      <c r="DT649" s="78"/>
      <c r="DU649" s="78"/>
      <c r="DV649" s="78"/>
      <c r="DW649" s="78"/>
      <c r="DX649" s="78"/>
      <c r="DY649" s="78"/>
      <c r="DZ649" s="78"/>
      <c r="EA649" s="78"/>
      <c r="EB649" s="78"/>
      <c r="EC649" s="78"/>
      <c r="ED649" s="78"/>
      <c r="EE649" s="78"/>
      <c r="EF649" s="78"/>
      <c r="EG649" s="78"/>
      <c r="EH649" s="78"/>
      <c r="EI649" s="78"/>
      <c r="EJ649" s="78"/>
      <c r="EK649" s="78"/>
      <c r="EL649" s="78"/>
      <c r="EM649" s="78"/>
      <c r="EN649" s="91"/>
      <c r="EO649" s="91"/>
      <c r="EP649" s="91"/>
      <c r="EQ649" s="91"/>
      <c r="ER649" s="91"/>
      <c r="ES649" s="91"/>
    </row>
    <row r="650" spans="1:149" outlineLevel="1">
      <c r="A650" s="29" t="str">
        <f t="shared" si="355"/>
        <v>lt004_protectionPRMRY_ENRGY_DMND_NN_RNWBL</v>
      </c>
      <c r="B650" s="67" t="s">
        <v>26</v>
      </c>
      <c r="C650" s="68" t="s">
        <v>26</v>
      </c>
      <c r="D650" s="64" t="s">
        <v>40</v>
      </c>
      <c r="E650" s="70" t="s">
        <v>368</v>
      </c>
      <c r="F650" s="353" t="s">
        <v>2262</v>
      </c>
      <c r="G650" s="64" t="str">
        <f>INDEX(Auxiliar!$B$16:$B$24,MATCH(Plano_V3!H650,Auxiliar!$C$16:$C$24,0),1)</f>
        <v>1. Concluído</v>
      </c>
      <c r="H650" s="64">
        <f>VLOOKUP(A650,'Aux - pivots1'!$A:$B,2,0)</f>
        <v>1</v>
      </c>
      <c r="I650" s="172" t="e">
        <f>SUMIFS(Table1[Estimação (horas)],Table1[Tabela],Plano_V3!E650,Table1[Campo],Plano_V3!F650)</f>
        <v>#N/A</v>
      </c>
      <c r="J650" s="172" t="e">
        <f t="shared" si="356"/>
        <v>#N/A</v>
      </c>
      <c r="K650" s="172" t="e">
        <f>SUMIFS(Table1[Horas efetivas],Table1[Tabela],Plano_V3!E650,Table1[Campo],Plano_V3!F650)</f>
        <v>#N/A</v>
      </c>
      <c r="L650" s="172" t="e">
        <f t="shared" si="357"/>
        <v>#N/A</v>
      </c>
      <c r="M650" s="174"/>
      <c r="N650" s="174" t="e">
        <f t="shared" si="358"/>
        <v>#N/A</v>
      </c>
      <c r="O650" s="174"/>
      <c r="P650" s="89" t="s">
        <v>39</v>
      </c>
      <c r="R650" s="78"/>
      <c r="S650" s="78"/>
      <c r="T650" s="78"/>
      <c r="U650" s="78"/>
      <c r="V650" s="78"/>
      <c r="W650" s="78"/>
      <c r="X650" s="78"/>
      <c r="Y650" s="78"/>
      <c r="Z650" s="78"/>
      <c r="AA650" s="78"/>
      <c r="AB650" s="78"/>
      <c r="AC650" s="78"/>
      <c r="AD650" s="78"/>
      <c r="AE650" s="78"/>
      <c r="AF650" s="78"/>
      <c r="AG650" s="78"/>
      <c r="AH650" s="78"/>
      <c r="AI650" s="78"/>
      <c r="AJ650" s="78"/>
      <c r="AK650" s="78"/>
      <c r="AL650" s="78"/>
      <c r="AM650" s="78"/>
      <c r="AN650" s="78"/>
      <c r="AO650" s="78"/>
      <c r="AP650" s="78"/>
      <c r="AQ650" s="78"/>
      <c r="AR650" s="78"/>
      <c r="AS650" s="78"/>
      <c r="AT650" s="78"/>
      <c r="AU650" s="78"/>
      <c r="AV650" s="78"/>
      <c r="AW650" s="78"/>
      <c r="AX650" s="78"/>
      <c r="AY650" s="91"/>
      <c r="AZ650" s="78"/>
      <c r="BA650" s="78"/>
      <c r="BB650" s="78"/>
      <c r="BC650" s="78"/>
      <c r="BD650" s="78"/>
      <c r="BE650" s="78"/>
      <c r="BF650" s="78"/>
      <c r="BG650" s="78"/>
      <c r="BH650" s="78"/>
      <c r="BI650" s="78"/>
      <c r="BJ650" s="78"/>
      <c r="BK650" s="78"/>
      <c r="BL650" s="78"/>
      <c r="BM650" s="78"/>
      <c r="BN650" s="78"/>
      <c r="BO650" s="78"/>
      <c r="BP650" s="78"/>
      <c r="BQ650" s="78"/>
      <c r="BR650" s="78"/>
      <c r="BS650" s="78"/>
      <c r="BT650" s="78"/>
      <c r="BU650" s="78"/>
      <c r="BV650" s="78"/>
      <c r="BW650" s="78"/>
      <c r="BX650" s="78"/>
      <c r="BY650" s="78"/>
      <c r="BZ650" s="78"/>
      <c r="CA650" s="78"/>
      <c r="CB650" s="78"/>
      <c r="CC650" s="78"/>
      <c r="CD650" s="78"/>
      <c r="CE650" s="78"/>
      <c r="CF650" s="78"/>
      <c r="CG650" s="78"/>
      <c r="CH650" s="78"/>
      <c r="CI650" s="78"/>
      <c r="CJ650" s="78"/>
      <c r="CK650" s="78"/>
      <c r="CL650" s="78"/>
      <c r="CM650" s="78"/>
      <c r="CN650" s="78"/>
      <c r="CO650" s="78"/>
      <c r="CP650" s="78"/>
      <c r="CQ650" s="78"/>
      <c r="CR650" s="78"/>
      <c r="CS650" s="78"/>
      <c r="CT650" s="78"/>
      <c r="CU650" s="78"/>
      <c r="CV650" s="78"/>
      <c r="CW650" s="78"/>
      <c r="CX650" s="78"/>
      <c r="CY650" s="78"/>
      <c r="CZ650" s="78"/>
      <c r="DA650" s="78"/>
      <c r="DB650" s="78"/>
      <c r="DC650" s="78"/>
      <c r="DD650" s="78"/>
      <c r="DE650" s="78"/>
      <c r="DF650" s="78"/>
      <c r="DG650" s="78"/>
      <c r="DH650" s="78"/>
      <c r="DI650" s="78"/>
      <c r="DJ650" s="78"/>
      <c r="DK650" s="78"/>
      <c r="DL650" s="78"/>
      <c r="DM650" s="78"/>
      <c r="DN650" s="78"/>
      <c r="DO650" s="78"/>
      <c r="DP650" s="78"/>
      <c r="DQ650" s="78"/>
      <c r="DR650" s="78"/>
      <c r="DS650" s="78"/>
      <c r="DT650" s="78"/>
      <c r="DU650" s="78"/>
      <c r="DV650" s="78"/>
      <c r="DW650" s="78"/>
      <c r="DX650" s="78"/>
      <c r="DY650" s="78"/>
      <c r="DZ650" s="78"/>
      <c r="EA650" s="78"/>
      <c r="EB650" s="78"/>
      <c r="EC650" s="78"/>
      <c r="ED650" s="78"/>
      <c r="EE650" s="78"/>
      <c r="EF650" s="78"/>
      <c r="EG650" s="78"/>
      <c r="EH650" s="78"/>
      <c r="EI650" s="78"/>
      <c r="EJ650" s="78"/>
      <c r="EK650" s="78"/>
      <c r="EL650" s="78"/>
      <c r="EM650" s="78"/>
      <c r="EN650" s="91"/>
      <c r="EO650" s="91"/>
      <c r="EP650" s="91"/>
      <c r="EQ650" s="91"/>
      <c r="ER650" s="91"/>
      <c r="ES650" s="91"/>
    </row>
    <row r="651" spans="1:149" outlineLevel="1">
      <c r="A651" s="29" t="str">
        <f t="shared" si="355"/>
        <v>lt004_protectionPRMRY_ENRGY_DMND_TTL</v>
      </c>
      <c r="B651" s="67" t="s">
        <v>26</v>
      </c>
      <c r="C651" s="68" t="s">
        <v>26</v>
      </c>
      <c r="D651" s="64" t="s">
        <v>40</v>
      </c>
      <c r="E651" s="70" t="s">
        <v>368</v>
      </c>
      <c r="F651" s="353" t="s">
        <v>2263</v>
      </c>
      <c r="G651" s="64" t="str">
        <f>INDEX(Auxiliar!$B$16:$B$24,MATCH(Plano_V3!H651,Auxiliar!$C$16:$C$24,0),1)</f>
        <v>1. Concluído</v>
      </c>
      <c r="H651" s="64">
        <f>VLOOKUP(A651,'Aux - pivots1'!$A:$B,2,0)</f>
        <v>1</v>
      </c>
      <c r="I651" s="172" t="e">
        <f>SUMIFS(Table1[Estimação (horas)],Table1[Tabela],Plano_V3!E651,Table1[Campo],Plano_V3!F651)</f>
        <v>#N/A</v>
      </c>
      <c r="J651" s="172" t="e">
        <f t="shared" si="356"/>
        <v>#N/A</v>
      </c>
      <c r="K651" s="172" t="e">
        <f>SUMIFS(Table1[Horas efetivas],Table1[Tabela],Plano_V3!E651,Table1[Campo],Plano_V3!F651)</f>
        <v>#N/A</v>
      </c>
      <c r="L651" s="172" t="e">
        <f t="shared" si="357"/>
        <v>#N/A</v>
      </c>
      <c r="M651" s="174"/>
      <c r="N651" s="174" t="e">
        <f t="shared" si="358"/>
        <v>#N/A</v>
      </c>
      <c r="O651" s="174"/>
      <c r="P651" s="89" t="s">
        <v>39</v>
      </c>
      <c r="R651" s="78"/>
      <c r="S651" s="78"/>
      <c r="T651" s="78"/>
      <c r="U651" s="78"/>
      <c r="V651" s="78"/>
      <c r="W651" s="78"/>
      <c r="X651" s="78"/>
      <c r="Y651" s="78"/>
      <c r="Z651" s="78"/>
      <c r="AA651" s="78"/>
      <c r="AB651" s="78"/>
      <c r="AC651" s="78"/>
      <c r="AD651" s="78"/>
      <c r="AE651" s="78"/>
      <c r="AF651" s="78"/>
      <c r="AG651" s="78"/>
      <c r="AH651" s="78"/>
      <c r="AI651" s="78"/>
      <c r="AJ651" s="78"/>
      <c r="AK651" s="78"/>
      <c r="AL651" s="78"/>
      <c r="AM651" s="78"/>
      <c r="AN651" s="78"/>
      <c r="AO651" s="78"/>
      <c r="AP651" s="78"/>
      <c r="AQ651" s="78"/>
      <c r="AR651" s="78"/>
      <c r="AS651" s="78"/>
      <c r="AT651" s="78"/>
      <c r="AU651" s="78"/>
      <c r="AV651" s="78"/>
      <c r="AW651" s="78"/>
      <c r="AX651" s="78"/>
      <c r="AY651" s="91"/>
      <c r="AZ651" s="78"/>
      <c r="BA651" s="78"/>
      <c r="BB651" s="78"/>
      <c r="BC651" s="78"/>
      <c r="BD651" s="78"/>
      <c r="BE651" s="78"/>
      <c r="BF651" s="78"/>
      <c r="BG651" s="78"/>
      <c r="BH651" s="78"/>
      <c r="BI651" s="78"/>
      <c r="BJ651" s="78"/>
      <c r="BK651" s="78"/>
      <c r="BL651" s="78"/>
      <c r="BM651" s="78"/>
      <c r="BN651" s="78"/>
      <c r="BO651" s="78"/>
      <c r="BP651" s="78"/>
      <c r="BQ651" s="78"/>
      <c r="BR651" s="78"/>
      <c r="BS651" s="78"/>
      <c r="BT651" s="78"/>
      <c r="BU651" s="78"/>
      <c r="BV651" s="78"/>
      <c r="BW651" s="78"/>
      <c r="BX651" s="78"/>
      <c r="BY651" s="78"/>
      <c r="BZ651" s="78"/>
      <c r="CA651" s="78"/>
      <c r="CB651" s="78"/>
      <c r="CC651" s="78"/>
      <c r="CD651" s="78"/>
      <c r="CE651" s="78"/>
      <c r="CF651" s="78"/>
      <c r="CG651" s="78"/>
      <c r="CH651" s="78"/>
      <c r="CI651" s="78"/>
      <c r="CJ651" s="78"/>
      <c r="CK651" s="78"/>
      <c r="CL651" s="78"/>
      <c r="CM651" s="78"/>
      <c r="CN651" s="78"/>
      <c r="CO651" s="78"/>
      <c r="CP651" s="78"/>
      <c r="CQ651" s="78"/>
      <c r="CR651" s="78"/>
      <c r="CS651" s="78"/>
      <c r="CT651" s="78"/>
      <c r="CU651" s="78"/>
      <c r="CV651" s="78"/>
      <c r="CW651" s="78"/>
      <c r="CX651" s="78"/>
      <c r="CY651" s="78"/>
      <c r="CZ651" s="78"/>
      <c r="DA651" s="78"/>
      <c r="DB651" s="78"/>
      <c r="DC651" s="78"/>
      <c r="DD651" s="78"/>
      <c r="DE651" s="78"/>
      <c r="DF651" s="78"/>
      <c r="DG651" s="78"/>
      <c r="DH651" s="78"/>
      <c r="DI651" s="78"/>
      <c r="DJ651" s="78"/>
      <c r="DK651" s="78"/>
      <c r="DL651" s="78"/>
      <c r="DM651" s="78"/>
      <c r="DN651" s="78"/>
      <c r="DO651" s="78"/>
      <c r="DP651" s="78"/>
      <c r="DQ651" s="78"/>
      <c r="DR651" s="78"/>
      <c r="DS651" s="78"/>
      <c r="DT651" s="78"/>
      <c r="DU651" s="78"/>
      <c r="DV651" s="78"/>
      <c r="DW651" s="78"/>
      <c r="DX651" s="78"/>
      <c r="DY651" s="78"/>
      <c r="DZ651" s="78"/>
      <c r="EA651" s="78"/>
      <c r="EB651" s="78"/>
      <c r="EC651" s="78"/>
      <c r="ED651" s="78"/>
      <c r="EE651" s="78"/>
      <c r="EF651" s="78"/>
      <c r="EG651" s="78"/>
      <c r="EH651" s="78"/>
      <c r="EI651" s="78"/>
      <c r="EJ651" s="78"/>
      <c r="EK651" s="78"/>
      <c r="EL651" s="78"/>
      <c r="EM651" s="78"/>
      <c r="EN651" s="91"/>
      <c r="EO651" s="91"/>
      <c r="EP651" s="91"/>
      <c r="EQ651" s="91"/>
      <c r="ER651" s="91"/>
      <c r="ES651" s="91"/>
    </row>
    <row r="652" spans="1:149" outlineLevel="1">
      <c r="A652" s="29" t="str">
        <f t="shared" si="355"/>
        <v>lt004_protectionPRMRY_ENRGY_DMND_RFRNC_VL</v>
      </c>
      <c r="B652" s="67" t="s">
        <v>26</v>
      </c>
      <c r="C652" s="68" t="s">
        <v>26</v>
      </c>
      <c r="D652" s="64" t="s">
        <v>40</v>
      </c>
      <c r="E652" s="70" t="s">
        <v>368</v>
      </c>
      <c r="F652" s="353" t="s">
        <v>2264</v>
      </c>
      <c r="G652" s="64" t="str">
        <f>INDEX(Auxiliar!$B$16:$B$24,MATCH(Plano_V3!H652,Auxiliar!$C$16:$C$24,0),1)</f>
        <v>1. Concluído</v>
      </c>
      <c r="H652" s="64">
        <f>VLOOKUP(A652,'Aux - pivots1'!$A:$B,2,0)</f>
        <v>1</v>
      </c>
      <c r="I652" s="172" t="e">
        <f>SUMIFS(Table1[Estimação (horas)],Table1[Tabela],Plano_V3!E652,Table1[Campo],Plano_V3!F652)</f>
        <v>#N/A</v>
      </c>
      <c r="J652" s="172" t="e">
        <f t="shared" si="356"/>
        <v>#N/A</v>
      </c>
      <c r="K652" s="172" t="e">
        <f>SUMIFS(Table1[Horas efetivas],Table1[Tabela],Plano_V3!E652,Table1[Campo],Plano_V3!F652)</f>
        <v>#N/A</v>
      </c>
      <c r="L652" s="172" t="e">
        <f t="shared" si="357"/>
        <v>#N/A</v>
      </c>
      <c r="M652" s="174"/>
      <c r="N652" s="174" t="e">
        <f t="shared" si="358"/>
        <v>#N/A</v>
      </c>
      <c r="O652" s="174"/>
      <c r="P652" s="89" t="s">
        <v>39</v>
      </c>
      <c r="R652" s="78"/>
      <c r="S652" s="78"/>
      <c r="T652" s="78"/>
      <c r="U652" s="78"/>
      <c r="V652" s="78"/>
      <c r="W652" s="78"/>
      <c r="X652" s="78"/>
      <c r="Y652" s="78"/>
      <c r="Z652" s="78"/>
      <c r="AA652" s="78"/>
      <c r="AB652" s="78"/>
      <c r="AC652" s="78"/>
      <c r="AD652" s="78"/>
      <c r="AE652" s="78"/>
      <c r="AF652" s="78"/>
      <c r="AG652" s="78"/>
      <c r="AH652" s="78"/>
      <c r="AI652" s="78"/>
      <c r="AJ652" s="78"/>
      <c r="AK652" s="78"/>
      <c r="AL652" s="78"/>
      <c r="AM652" s="78"/>
      <c r="AN652" s="78"/>
      <c r="AO652" s="78"/>
      <c r="AP652" s="78"/>
      <c r="AQ652" s="78"/>
      <c r="AR652" s="78"/>
      <c r="AS652" s="78"/>
      <c r="AT652" s="78"/>
      <c r="AU652" s="78"/>
      <c r="AV652" s="78"/>
      <c r="AW652" s="78"/>
      <c r="AX652" s="78"/>
      <c r="AY652" s="91"/>
      <c r="AZ652" s="78"/>
      <c r="BA652" s="78"/>
      <c r="BB652" s="78"/>
      <c r="BC652" s="78"/>
      <c r="BD652" s="78"/>
      <c r="BE652" s="78"/>
      <c r="BF652" s="78"/>
      <c r="BG652" s="78"/>
      <c r="BH652" s="78"/>
      <c r="BI652" s="78"/>
      <c r="BJ652" s="78"/>
      <c r="BK652" s="78"/>
      <c r="BL652" s="78"/>
      <c r="BM652" s="78"/>
      <c r="BN652" s="78"/>
      <c r="BO652" s="78"/>
      <c r="BP652" s="78"/>
      <c r="BQ652" s="78"/>
      <c r="BR652" s="78"/>
      <c r="BS652" s="78"/>
      <c r="BT652" s="78"/>
      <c r="BU652" s="78"/>
      <c r="BV652" s="78"/>
      <c r="BW652" s="78"/>
      <c r="BX652" s="78"/>
      <c r="BY652" s="78"/>
      <c r="BZ652" s="78"/>
      <c r="CA652" s="78"/>
      <c r="CB652" s="78"/>
      <c r="CC652" s="78"/>
      <c r="CD652" s="78"/>
      <c r="CE652" s="78"/>
      <c r="CF652" s="78"/>
      <c r="CG652" s="78"/>
      <c r="CH652" s="78"/>
      <c r="CI652" s="78"/>
      <c r="CJ652" s="78"/>
      <c r="CK652" s="78"/>
      <c r="CL652" s="78"/>
      <c r="CM652" s="78"/>
      <c r="CN652" s="78"/>
      <c r="CO652" s="78"/>
      <c r="CP652" s="78"/>
      <c r="CQ652" s="78"/>
      <c r="CR652" s="78"/>
      <c r="CS652" s="78"/>
      <c r="CT652" s="78"/>
      <c r="CU652" s="78"/>
      <c r="CV652" s="78"/>
      <c r="CW652" s="78"/>
      <c r="CX652" s="78"/>
      <c r="CY652" s="78"/>
      <c r="CZ652" s="78"/>
      <c r="DA652" s="78"/>
      <c r="DB652" s="78"/>
      <c r="DC652" s="78"/>
      <c r="DD652" s="78"/>
      <c r="DE652" s="78"/>
      <c r="DF652" s="78"/>
      <c r="DG652" s="78"/>
      <c r="DH652" s="78"/>
      <c r="DI652" s="78"/>
      <c r="DJ652" s="78"/>
      <c r="DK652" s="78"/>
      <c r="DL652" s="78"/>
      <c r="DM652" s="78"/>
      <c r="DN652" s="78"/>
      <c r="DO652" s="78"/>
      <c r="DP652" s="78"/>
      <c r="DQ652" s="78"/>
      <c r="DR652" s="78"/>
      <c r="DS652" s="78"/>
      <c r="DT652" s="78"/>
      <c r="DU652" s="78"/>
      <c r="DV652" s="78"/>
      <c r="DW652" s="78"/>
      <c r="DX652" s="78"/>
      <c r="DY652" s="78"/>
      <c r="DZ652" s="78"/>
      <c r="EA652" s="78"/>
      <c r="EB652" s="78"/>
      <c r="EC652" s="78"/>
      <c r="ED652" s="78"/>
      <c r="EE652" s="78"/>
      <c r="EF652" s="78"/>
      <c r="EG652" s="78"/>
      <c r="EH652" s="78"/>
      <c r="EI652" s="78"/>
      <c r="EJ652" s="78"/>
      <c r="EK652" s="78"/>
      <c r="EL652" s="78"/>
      <c r="EM652" s="78"/>
      <c r="EN652" s="91"/>
      <c r="EO652" s="91"/>
      <c r="EP652" s="91"/>
      <c r="EQ652" s="91"/>
      <c r="ER652" s="91"/>
      <c r="ES652" s="91"/>
    </row>
    <row r="653" spans="1:149" outlineLevel="1">
      <c r="A653" s="29" t="str">
        <f t="shared" si="355"/>
        <v>lt004_protectionRL_ESTT_CLMT_ZN</v>
      </c>
      <c r="B653" s="67" t="s">
        <v>26</v>
      </c>
      <c r="C653" s="68" t="s">
        <v>26</v>
      </c>
      <c r="D653" s="64" t="s">
        <v>40</v>
      </c>
      <c r="E653" s="70" t="s">
        <v>368</v>
      </c>
      <c r="F653" s="353" t="s">
        <v>2265</v>
      </c>
      <c r="G653" s="64" t="str">
        <f>INDEX(Auxiliar!$B$16:$B$24,MATCH(Plano_V3!H653,Auxiliar!$C$16:$C$24,0),1)</f>
        <v>1. Concluído</v>
      </c>
      <c r="H653" s="64">
        <f>VLOOKUP(A653,'Aux - pivots1'!$A:$B,2,0)</f>
        <v>1</v>
      </c>
      <c r="I653" s="172" t="e">
        <f>SUMIFS(Table1[Estimação (horas)],Table1[Tabela],Plano_V3!E653,Table1[Campo],Plano_V3!F653)</f>
        <v>#N/A</v>
      </c>
      <c r="J653" s="172" t="e">
        <f t="shared" si="356"/>
        <v>#N/A</v>
      </c>
      <c r="K653" s="172" t="e">
        <f>SUMIFS(Table1[Horas efetivas],Table1[Tabela],Plano_V3!E653,Table1[Campo],Plano_V3!F653)</f>
        <v>#N/A</v>
      </c>
      <c r="L653" s="172" t="e">
        <f t="shared" si="357"/>
        <v>#N/A</v>
      </c>
      <c r="M653" s="174"/>
      <c r="N653" s="174" t="e">
        <f t="shared" si="358"/>
        <v>#N/A</v>
      </c>
      <c r="O653" s="174"/>
      <c r="P653" s="89" t="s">
        <v>39</v>
      </c>
      <c r="R653" s="78"/>
      <c r="S653" s="78"/>
      <c r="T653" s="78"/>
      <c r="U653" s="78"/>
      <c r="V653" s="78"/>
      <c r="W653" s="78"/>
      <c r="X653" s="78"/>
      <c r="Y653" s="78"/>
      <c r="Z653" s="78"/>
      <c r="AA653" s="78"/>
      <c r="AB653" s="78"/>
      <c r="AC653" s="78"/>
      <c r="AD653" s="78"/>
      <c r="AE653" s="78"/>
      <c r="AF653" s="78"/>
      <c r="AG653" s="78"/>
      <c r="AH653" s="78"/>
      <c r="AI653" s="78"/>
      <c r="AJ653" s="78"/>
      <c r="AK653" s="78"/>
      <c r="AL653" s="78"/>
      <c r="AM653" s="78"/>
      <c r="AN653" s="78"/>
      <c r="AO653" s="78"/>
      <c r="AP653" s="78"/>
      <c r="AQ653" s="78"/>
      <c r="AR653" s="78"/>
      <c r="AS653" s="78"/>
      <c r="AT653" s="78"/>
      <c r="AU653" s="78"/>
      <c r="AV653" s="78"/>
      <c r="AW653" s="78"/>
      <c r="AX653" s="78"/>
      <c r="AY653" s="91"/>
      <c r="AZ653" s="78"/>
      <c r="BA653" s="78"/>
      <c r="BB653" s="78"/>
      <c r="BC653" s="78"/>
      <c r="BD653" s="78"/>
      <c r="BE653" s="78"/>
      <c r="BF653" s="78"/>
      <c r="BG653" s="78"/>
      <c r="BH653" s="78"/>
      <c r="BI653" s="78"/>
      <c r="BJ653" s="78"/>
      <c r="BK653" s="78"/>
      <c r="BL653" s="78"/>
      <c r="BM653" s="78"/>
      <c r="BN653" s="78"/>
      <c r="BO653" s="78"/>
      <c r="BP653" s="78"/>
      <c r="BQ653" s="78"/>
      <c r="BR653" s="78"/>
      <c r="BS653" s="78"/>
      <c r="BT653" s="78"/>
      <c r="BU653" s="78"/>
      <c r="BV653" s="78"/>
      <c r="BW653" s="78"/>
      <c r="BX653" s="78"/>
      <c r="BY653" s="78"/>
      <c r="BZ653" s="78"/>
      <c r="CA653" s="78"/>
      <c r="CB653" s="78"/>
      <c r="CC653" s="78"/>
      <c r="CD653" s="78"/>
      <c r="CE653" s="78"/>
      <c r="CF653" s="78"/>
      <c r="CG653" s="78"/>
      <c r="CH653" s="78"/>
      <c r="CI653" s="78"/>
      <c r="CJ653" s="78"/>
      <c r="CK653" s="78"/>
      <c r="CL653" s="78"/>
      <c r="CM653" s="78"/>
      <c r="CN653" s="78"/>
      <c r="CO653" s="78"/>
      <c r="CP653" s="78"/>
      <c r="CQ653" s="78"/>
      <c r="CR653" s="78"/>
      <c r="CS653" s="78"/>
      <c r="CT653" s="78"/>
      <c r="CU653" s="78"/>
      <c r="CV653" s="78"/>
      <c r="CW653" s="78"/>
      <c r="CX653" s="78"/>
      <c r="CY653" s="78"/>
      <c r="CZ653" s="78"/>
      <c r="DA653" s="78"/>
      <c r="DB653" s="78"/>
      <c r="DC653" s="78"/>
      <c r="DD653" s="78"/>
      <c r="DE653" s="78"/>
      <c r="DF653" s="78"/>
      <c r="DG653" s="78"/>
      <c r="DH653" s="78"/>
      <c r="DI653" s="78"/>
      <c r="DJ653" s="78"/>
      <c r="DK653" s="78"/>
      <c r="DL653" s="78"/>
      <c r="DM653" s="78"/>
      <c r="DN653" s="78"/>
      <c r="DO653" s="78"/>
      <c r="DP653" s="78"/>
      <c r="DQ653" s="78"/>
      <c r="DR653" s="78"/>
      <c r="DS653" s="78"/>
      <c r="DT653" s="78"/>
      <c r="DU653" s="78"/>
      <c r="DV653" s="78"/>
      <c r="DW653" s="78"/>
      <c r="DX653" s="78"/>
      <c r="DY653" s="78"/>
      <c r="DZ653" s="78"/>
      <c r="EA653" s="78"/>
      <c r="EB653" s="78"/>
      <c r="EC653" s="78"/>
      <c r="ED653" s="78"/>
      <c r="EE653" s="78"/>
      <c r="EF653" s="78"/>
      <c r="EG653" s="78"/>
      <c r="EH653" s="78"/>
      <c r="EI653" s="78"/>
      <c r="EJ653" s="78"/>
      <c r="EK653" s="78"/>
      <c r="EL653" s="78"/>
      <c r="EM653" s="78"/>
      <c r="EN653" s="91"/>
      <c r="EO653" s="91"/>
      <c r="EP653" s="91"/>
      <c r="EQ653" s="91"/>
      <c r="ER653" s="91"/>
      <c r="ES653" s="91"/>
    </row>
    <row r="654" spans="1:149" outlineLevel="1">
      <c r="A654" s="29" t="str">
        <f t="shared" si="348"/>
        <v>lt002_instrumentrsk_mtgtd_cct</v>
      </c>
      <c r="B654" s="67" t="s">
        <v>26</v>
      </c>
      <c r="C654" s="68" t="s">
        <v>26</v>
      </c>
      <c r="D654" s="64" t="s">
        <v>40</v>
      </c>
      <c r="E654" s="70" t="s">
        <v>379</v>
      </c>
      <c r="F654" s="71" t="s">
        <v>380</v>
      </c>
      <c r="G654" s="64" t="str">
        <f>INDEX(Auxiliar!$B$16:$B$24,MATCH(Plano_V3!H654,Auxiliar!$C$16:$C$24,0),1)</f>
        <v>1. Concluído</v>
      </c>
      <c r="H654" s="64">
        <f>VLOOKUP(A654,'Aux - pivots1'!$A:$B,2,0)</f>
        <v>1</v>
      </c>
      <c r="I654" s="172">
        <f>SUMIFS(Table1[Estimação (horas)],Table1[Tabela],Plano_V3!E654,Table1[Campo],Plano_V3!F654)</f>
        <v>4.0999999999999996</v>
      </c>
      <c r="J654" s="172">
        <f t="shared" ref="J654:J661" si="359">I654/8</f>
        <v>0.51249999999999996</v>
      </c>
      <c r="K654" s="172">
        <f>SUMIFS(Table1[Horas efetivas],Table1[Tabela],Plano_V3!E654,Table1[Campo],Plano_V3!F654)</f>
        <v>4.0999999999999996</v>
      </c>
      <c r="L654" s="172">
        <f t="shared" ref="L654:L661" si="360">K654/8</f>
        <v>0.51249999999999996</v>
      </c>
      <c r="M654" s="174"/>
      <c r="N654" s="174">
        <f t="shared" ref="N654:N661" si="361">L654/J654</f>
        <v>1</v>
      </c>
      <c r="O654" s="174"/>
      <c r="P654" s="89" t="s">
        <v>39</v>
      </c>
      <c r="R654" s="78"/>
      <c r="S654" s="78"/>
      <c r="T654" s="78"/>
      <c r="U654" s="78"/>
      <c r="V654" s="78"/>
      <c r="W654" s="78"/>
      <c r="X654" s="78"/>
      <c r="Y654" s="78"/>
      <c r="Z654" s="78"/>
      <c r="AA654" s="78"/>
      <c r="AB654" s="78"/>
      <c r="AC654" s="78"/>
      <c r="AD654" s="78"/>
      <c r="AE654" s="78"/>
      <c r="AF654" s="78"/>
      <c r="AG654" s="78"/>
      <c r="AH654" s="78"/>
      <c r="AI654" s="78"/>
      <c r="AJ654" s="78"/>
      <c r="AK654" s="78"/>
      <c r="AL654" s="78"/>
      <c r="AM654" s="78"/>
      <c r="AN654" s="78"/>
      <c r="AO654" s="78"/>
      <c r="AP654" s="78"/>
      <c r="AQ654" s="78"/>
      <c r="AR654" s="78"/>
      <c r="AS654" s="78"/>
      <c r="AT654" s="78"/>
      <c r="AU654" s="78"/>
      <c r="AV654" s="78"/>
      <c r="AW654" s="78"/>
      <c r="AX654" s="78"/>
      <c r="AY654" s="91"/>
      <c r="AZ654" s="78"/>
      <c r="BA654" s="78"/>
      <c r="BB654" s="78"/>
      <c r="BC654" s="78"/>
      <c r="BD654" s="78"/>
      <c r="BE654" s="78"/>
      <c r="BF654" s="78"/>
      <c r="BG654" s="78"/>
      <c r="BH654" s="78"/>
      <c r="BI654" s="78"/>
      <c r="BJ654" s="78"/>
      <c r="BK654" s="78"/>
      <c r="BL654" s="78"/>
      <c r="BM654" s="78"/>
      <c r="BN654" s="78"/>
      <c r="BO654" s="78"/>
      <c r="BP654" s="78"/>
      <c r="BQ654" s="78"/>
      <c r="BR654" s="78"/>
      <c r="BS654" s="78"/>
      <c r="BT654" s="78"/>
      <c r="BU654" s="78"/>
      <c r="BV654" s="78"/>
      <c r="BW654" s="78"/>
      <c r="BX654" s="78"/>
      <c r="BY654" s="78"/>
      <c r="BZ654" s="78"/>
      <c r="CA654" s="78"/>
      <c r="CB654" s="78"/>
      <c r="CC654" s="78"/>
      <c r="CD654" s="78"/>
      <c r="CE654" s="78"/>
      <c r="CF654" s="78"/>
      <c r="CG654" s="78"/>
      <c r="CH654" s="78"/>
      <c r="CI654" s="78"/>
      <c r="CJ654" s="78"/>
      <c r="CK654" s="78"/>
      <c r="CL654" s="78"/>
      <c r="CM654" s="78"/>
      <c r="CN654" s="78"/>
      <c r="CO654" s="78"/>
      <c r="CP654" s="78"/>
      <c r="CQ654" s="78"/>
      <c r="CR654" s="78"/>
      <c r="CS654" s="78"/>
      <c r="CT654" s="78"/>
      <c r="CU654" s="78"/>
      <c r="CV654" s="78"/>
      <c r="CW654" s="78"/>
      <c r="CX654" s="78"/>
      <c r="CY654" s="78"/>
      <c r="CZ654" s="78"/>
      <c r="DA654" s="78"/>
      <c r="DB654" s="78"/>
      <c r="DC654" s="78"/>
      <c r="DD654" s="78"/>
      <c r="DE654" s="78"/>
      <c r="DF654" s="78"/>
      <c r="DG654" s="78"/>
      <c r="DH654" s="78"/>
      <c r="DI654" s="78"/>
      <c r="DJ654" s="78"/>
      <c r="DK654" s="78"/>
      <c r="DL654" s="78"/>
      <c r="DM654" s="78"/>
      <c r="DN654" s="78"/>
      <c r="DO654" s="78"/>
      <c r="DP654" s="78"/>
      <c r="DQ654" s="78"/>
      <c r="DR654" s="78"/>
      <c r="DS654" s="78"/>
      <c r="DT654" s="78"/>
      <c r="DU654" s="78"/>
      <c r="DV654" s="78"/>
      <c r="DW654" s="78"/>
      <c r="DX654" s="78"/>
      <c r="DY654" s="78"/>
      <c r="DZ654" s="78"/>
      <c r="EA654" s="78"/>
      <c r="EB654" s="78"/>
      <c r="EC654" s="78"/>
      <c r="ED654" s="78"/>
      <c r="EE654" s="78"/>
      <c r="EF654" s="78"/>
      <c r="EG654" s="78"/>
      <c r="EH654" s="78"/>
      <c r="EI654" s="78"/>
      <c r="EJ654" s="78"/>
      <c r="EK654" s="78"/>
      <c r="EL654" s="78"/>
      <c r="EM654" s="78"/>
      <c r="EN654" s="91"/>
      <c r="EO654" s="91"/>
      <c r="EP654" s="91"/>
      <c r="EQ654" s="91"/>
      <c r="ER654" s="91"/>
      <c r="ES654" s="91"/>
    </row>
    <row r="655" spans="1:149" outlineLevel="1">
      <c r="A655" s="29" t="str">
        <f t="shared" si="348"/>
        <v>lt002_instrumentrsk_mtgtd_ccp</v>
      </c>
      <c r="B655" s="67" t="s">
        <v>26</v>
      </c>
      <c r="C655" s="68" t="s">
        <v>26</v>
      </c>
      <c r="D655" s="64" t="s">
        <v>40</v>
      </c>
      <c r="E655" s="70" t="s">
        <v>379</v>
      </c>
      <c r="F655" s="71" t="s">
        <v>381</v>
      </c>
      <c r="G655" s="64" t="str">
        <f>INDEX(Auxiliar!$B$16:$B$24,MATCH(Plano_V3!H655,Auxiliar!$C$16:$C$24,0),1)</f>
        <v>5. Em Correção</v>
      </c>
      <c r="H655" s="64">
        <f>VLOOKUP(A655,'Aux - pivots1'!$A:$B,2,0)</f>
        <v>6</v>
      </c>
      <c r="I655" s="172">
        <f>SUMIFS(Table1[Estimação (horas)],Table1[Tabela],Plano_V3!E655,Table1[Campo],Plano_V3!F655)</f>
        <v>4.0999999999999996</v>
      </c>
      <c r="J655" s="172">
        <f t="shared" si="359"/>
        <v>0.51249999999999996</v>
      </c>
      <c r="K655" s="172">
        <f>SUMIFS(Table1[Horas efetivas],Table1[Tabela],Plano_V3!E655,Table1[Campo],Plano_V3!F655)</f>
        <v>1.0249999999999999</v>
      </c>
      <c r="L655" s="172">
        <f t="shared" si="360"/>
        <v>0.12812499999999999</v>
      </c>
      <c r="M655" s="174"/>
      <c r="N655" s="174">
        <f t="shared" si="361"/>
        <v>0.25</v>
      </c>
      <c r="O655" s="174"/>
      <c r="P655" s="89" t="s">
        <v>39</v>
      </c>
      <c r="R655" s="78"/>
      <c r="S655" s="78"/>
      <c r="T655" s="78"/>
      <c r="U655" s="78"/>
      <c r="V655" s="78"/>
      <c r="W655" s="78"/>
      <c r="X655" s="78"/>
      <c r="Y655" s="78"/>
      <c r="Z655" s="78"/>
      <c r="AA655" s="78"/>
      <c r="AB655" s="78"/>
      <c r="AC655" s="78"/>
      <c r="AD655" s="78"/>
      <c r="AE655" s="78"/>
      <c r="AF655" s="78"/>
      <c r="AG655" s="78"/>
      <c r="AH655" s="78"/>
      <c r="AI655" s="78"/>
      <c r="AJ655" s="78"/>
      <c r="AK655" s="78"/>
      <c r="AL655" s="78"/>
      <c r="AM655" s="78"/>
      <c r="AN655" s="78"/>
      <c r="AO655" s="78"/>
      <c r="AP655" s="78"/>
      <c r="AQ655" s="78"/>
      <c r="AR655" s="78"/>
      <c r="AS655" s="78"/>
      <c r="AT655" s="78"/>
      <c r="AU655" s="78"/>
      <c r="AV655" s="78"/>
      <c r="AW655" s="78"/>
      <c r="AX655" s="78"/>
      <c r="AY655" s="91"/>
      <c r="AZ655" s="78"/>
      <c r="BA655" s="78"/>
      <c r="BB655" s="78"/>
      <c r="BC655" s="78"/>
      <c r="BD655" s="78"/>
      <c r="BE655" s="78"/>
      <c r="BF655" s="78"/>
      <c r="BG655" s="78"/>
      <c r="BH655" s="78"/>
      <c r="BI655" s="78"/>
      <c r="BJ655" s="78"/>
      <c r="BK655" s="78"/>
      <c r="BL655" s="78"/>
      <c r="BM655" s="78"/>
      <c r="BN655" s="78"/>
      <c r="BO655" s="78"/>
      <c r="BP655" s="78"/>
      <c r="BQ655" s="78"/>
      <c r="BR655" s="78"/>
      <c r="BS655" s="78"/>
      <c r="BT655" s="78"/>
      <c r="BU655" s="78"/>
      <c r="BV655" s="78"/>
      <c r="BW655" s="78"/>
      <c r="BX655" s="78"/>
      <c r="BY655" s="78"/>
      <c r="BZ655" s="78"/>
      <c r="CA655" s="78"/>
      <c r="CB655" s="78"/>
      <c r="CC655" s="78"/>
      <c r="CD655" s="78"/>
      <c r="CE655" s="78"/>
      <c r="CF655" s="78"/>
      <c r="CG655" s="78"/>
      <c r="CH655" s="78"/>
      <c r="CI655" s="78"/>
      <c r="CJ655" s="78"/>
      <c r="CK655" s="78"/>
      <c r="CL655" s="78"/>
      <c r="CM655" s="78"/>
      <c r="CN655" s="78"/>
      <c r="CO655" s="78"/>
      <c r="CP655" s="78"/>
      <c r="CQ655" s="78"/>
      <c r="CR655" s="78"/>
      <c r="CS655" s="78"/>
      <c r="CT655" s="78"/>
      <c r="CU655" s="78"/>
      <c r="CV655" s="78"/>
      <c r="CW655" s="78"/>
      <c r="CX655" s="78"/>
      <c r="CY655" s="78"/>
      <c r="CZ655" s="78"/>
      <c r="DA655" s="78"/>
      <c r="DB655" s="78"/>
      <c r="DC655" s="78"/>
      <c r="DD655" s="78"/>
      <c r="DE655" s="78"/>
      <c r="DF655" s="78"/>
      <c r="DG655" s="78"/>
      <c r="DH655" s="78"/>
      <c r="DI655" s="78"/>
      <c r="DJ655" s="78"/>
      <c r="DK655" s="78"/>
      <c r="DL655" s="78"/>
      <c r="DM655" s="78"/>
      <c r="DN655" s="78"/>
      <c r="DO655" s="78"/>
      <c r="DP655" s="78"/>
      <c r="DQ655" s="78"/>
      <c r="DR655" s="78"/>
      <c r="DS655" s="78"/>
      <c r="DT655" s="78"/>
      <c r="DU655" s="78"/>
      <c r="DV655" s="78"/>
      <c r="DW655" s="78"/>
      <c r="DX655" s="78"/>
      <c r="DY655" s="78"/>
      <c r="DZ655" s="78"/>
      <c r="EA655" s="78"/>
      <c r="EB655" s="78"/>
      <c r="EC655" s="78"/>
      <c r="ED655" s="78"/>
      <c r="EE655" s="78"/>
      <c r="EF655" s="78"/>
      <c r="EG655" s="78"/>
      <c r="EH655" s="78"/>
      <c r="EI655" s="78"/>
      <c r="EJ655" s="78"/>
      <c r="EK655" s="78"/>
      <c r="EL655" s="78"/>
      <c r="EM655" s="78"/>
      <c r="EN655" s="91"/>
      <c r="EO655" s="91"/>
      <c r="EP655" s="91"/>
      <c r="EQ655" s="91"/>
      <c r="ER655" s="91"/>
      <c r="ES655" s="91"/>
    </row>
    <row r="656" spans="1:149" outlineLevel="1">
      <c r="A656" s="29" t="str">
        <f t="shared" si="348"/>
        <v>lt007_instr_activityenvrnmntl_objctv</v>
      </c>
      <c r="B656" s="67" t="s">
        <v>26</v>
      </c>
      <c r="C656" s="68" t="s">
        <v>26</v>
      </c>
      <c r="D656" s="64" t="s">
        <v>40</v>
      </c>
      <c r="E656" s="70" t="s">
        <v>1859</v>
      </c>
      <c r="F656" s="71" t="s">
        <v>382</v>
      </c>
      <c r="G656" s="64" t="str">
        <f>INDEX(Auxiliar!$B$16:$B$24,MATCH(Plano_V3!H656,Auxiliar!$C$16:$C$24,0),1)</f>
        <v>1. Concluído</v>
      </c>
      <c r="H656" s="64">
        <f>VLOOKUP(A656,'Aux - pivots1'!$A:$B,2,0)</f>
        <v>1</v>
      </c>
      <c r="I656" s="172">
        <f>SUMIFS(Table1[Estimação (horas)],Table1[Tabela],Plano_V3!E656,Table1[Campo],Plano_V3!F656)</f>
        <v>4.0999999999999996</v>
      </c>
      <c r="J656" s="172">
        <f t="shared" si="359"/>
        <v>0.51249999999999996</v>
      </c>
      <c r="K656" s="172">
        <f>SUMIFS(Table1[Horas efetivas],Table1[Tabela],Plano_V3!E656,Table1[Campo],Plano_V3!F656)</f>
        <v>4.0999999999999996</v>
      </c>
      <c r="L656" s="172">
        <f t="shared" si="360"/>
        <v>0.51249999999999996</v>
      </c>
      <c r="M656" s="174"/>
      <c r="N656" s="174">
        <f t="shared" si="361"/>
        <v>1</v>
      </c>
      <c r="O656" s="174"/>
      <c r="P656" s="89" t="s">
        <v>39</v>
      </c>
      <c r="R656" s="78"/>
      <c r="S656" s="78"/>
      <c r="T656" s="78"/>
      <c r="U656" s="78"/>
      <c r="V656" s="78"/>
      <c r="W656" s="78"/>
      <c r="X656" s="78"/>
      <c r="Y656" s="78"/>
      <c r="Z656" s="78"/>
      <c r="AA656" s="78"/>
      <c r="AB656" s="78"/>
      <c r="AC656" s="78"/>
      <c r="AD656" s="78"/>
      <c r="AE656" s="78"/>
      <c r="AF656" s="78"/>
      <c r="AG656" s="78"/>
      <c r="AH656" s="78"/>
      <c r="AI656" s="78"/>
      <c r="AJ656" s="78"/>
      <c r="AK656" s="78"/>
      <c r="AL656" s="78"/>
      <c r="AM656" s="78"/>
      <c r="AN656" s="78"/>
      <c r="AO656" s="78"/>
      <c r="AP656" s="78"/>
      <c r="AQ656" s="78"/>
      <c r="AR656" s="78"/>
      <c r="AS656" s="78"/>
      <c r="AT656" s="78"/>
      <c r="AU656" s="78"/>
      <c r="AV656" s="78"/>
      <c r="AW656" s="78"/>
      <c r="AX656" s="78"/>
      <c r="AY656" s="91"/>
      <c r="AZ656" s="78"/>
      <c r="BA656" s="78"/>
      <c r="BB656" s="78"/>
      <c r="BC656" s="78"/>
      <c r="BD656" s="78"/>
      <c r="BE656" s="78"/>
      <c r="BF656" s="78"/>
      <c r="BG656" s="78"/>
      <c r="BH656" s="78"/>
      <c r="BI656" s="78"/>
      <c r="BJ656" s="78"/>
      <c r="BK656" s="78"/>
      <c r="BL656" s="78"/>
      <c r="BM656" s="78"/>
      <c r="BN656" s="78"/>
      <c r="BO656" s="78"/>
      <c r="BP656" s="78"/>
      <c r="BQ656" s="78"/>
      <c r="BR656" s="78"/>
      <c r="BS656" s="78"/>
      <c r="BT656" s="78"/>
      <c r="BU656" s="78"/>
      <c r="BV656" s="78"/>
      <c r="BW656" s="78"/>
      <c r="BX656" s="78"/>
      <c r="BY656" s="78"/>
      <c r="BZ656" s="78"/>
      <c r="CA656" s="78"/>
      <c r="CB656" s="78"/>
      <c r="CC656" s="78"/>
      <c r="CD656" s="78"/>
      <c r="CE656" s="78"/>
      <c r="CF656" s="78"/>
      <c r="CG656" s="78"/>
      <c r="CH656" s="78"/>
      <c r="CI656" s="78"/>
      <c r="CJ656" s="78"/>
      <c r="CK656" s="78"/>
      <c r="CL656" s="78"/>
      <c r="CM656" s="78"/>
      <c r="CN656" s="78"/>
      <c r="CO656" s="78"/>
      <c r="CP656" s="78"/>
      <c r="CQ656" s="78"/>
      <c r="CR656" s="78"/>
      <c r="CS656" s="78"/>
      <c r="CT656" s="78"/>
      <c r="CU656" s="78"/>
      <c r="CV656" s="78"/>
      <c r="CW656" s="78"/>
      <c r="CX656" s="78"/>
      <c r="CY656" s="78"/>
      <c r="CZ656" s="78"/>
      <c r="DA656" s="78"/>
      <c r="DB656" s="78"/>
      <c r="DC656" s="78"/>
      <c r="DD656" s="78"/>
      <c r="DE656" s="78"/>
      <c r="DF656" s="78"/>
      <c r="DG656" s="78"/>
      <c r="DH656" s="78"/>
      <c r="DI656" s="78"/>
      <c r="DJ656" s="78"/>
      <c r="DK656" s="78"/>
      <c r="DL656" s="78"/>
      <c r="DM656" s="78"/>
      <c r="DN656" s="78"/>
      <c r="DO656" s="78"/>
      <c r="DP656" s="78"/>
      <c r="DQ656" s="78"/>
      <c r="DR656" s="78"/>
      <c r="DS656" s="78"/>
      <c r="DT656" s="78"/>
      <c r="DU656" s="78"/>
      <c r="DV656" s="78"/>
      <c r="DW656" s="78"/>
      <c r="DX656" s="78"/>
      <c r="DY656" s="78"/>
      <c r="DZ656" s="78"/>
      <c r="EA656" s="78"/>
      <c r="EB656" s="78"/>
      <c r="EC656" s="78"/>
      <c r="ED656" s="78"/>
      <c r="EE656" s="78"/>
      <c r="EF656" s="78"/>
      <c r="EG656" s="78"/>
      <c r="EH656" s="78"/>
      <c r="EI656" s="78"/>
      <c r="EJ656" s="78"/>
      <c r="EK656" s="78"/>
      <c r="EL656" s="78"/>
      <c r="EM656" s="78"/>
      <c r="EN656" s="91"/>
      <c r="EO656" s="91"/>
      <c r="EP656" s="91"/>
      <c r="EQ656" s="91"/>
      <c r="ER656" s="91"/>
      <c r="ES656" s="91"/>
    </row>
    <row r="657" spans="1:149" outlineLevel="1">
      <c r="A657" s="29" t="str">
        <f t="shared" si="348"/>
        <v>lt007_instr_activitytyp_actvty</v>
      </c>
      <c r="B657" s="67" t="s">
        <v>26</v>
      </c>
      <c r="C657" s="68" t="s">
        <v>26</v>
      </c>
      <c r="D657" s="64" t="s">
        <v>40</v>
      </c>
      <c r="E657" s="70" t="s">
        <v>1859</v>
      </c>
      <c r="F657" s="71" t="s">
        <v>383</v>
      </c>
      <c r="G657" s="64" t="str">
        <f>INDEX(Auxiliar!$B$16:$B$24,MATCH(Plano_V3!H657,Auxiliar!$C$16:$C$24,0),1)</f>
        <v>1. Concluído</v>
      </c>
      <c r="H657" s="64">
        <f>VLOOKUP(A657,'Aux - pivots1'!$A:$B,2,0)</f>
        <v>1</v>
      </c>
      <c r="I657" s="172">
        <f>SUMIFS(Table1[Estimação (horas)],Table1[Tabela],Plano_V3!E657,Table1[Campo],Plano_V3!F657)</f>
        <v>4.0999999999999996</v>
      </c>
      <c r="J657" s="172">
        <f t="shared" si="359"/>
        <v>0.51249999999999996</v>
      </c>
      <c r="K657" s="172">
        <f>SUMIFS(Table1[Horas efetivas],Table1[Tabela],Plano_V3!E657,Table1[Campo],Plano_V3!F657)</f>
        <v>4.0999999999999996</v>
      </c>
      <c r="L657" s="172">
        <f t="shared" si="360"/>
        <v>0.51249999999999996</v>
      </c>
      <c r="M657" s="174"/>
      <c r="N657" s="174">
        <f t="shared" si="361"/>
        <v>1</v>
      </c>
      <c r="O657" s="174"/>
      <c r="P657" s="89" t="s">
        <v>39</v>
      </c>
      <c r="R657" s="78"/>
      <c r="S657" s="78"/>
      <c r="T657" s="78"/>
      <c r="U657" s="78"/>
      <c r="V657" s="78"/>
      <c r="W657" s="78"/>
      <c r="X657" s="78"/>
      <c r="Y657" s="78"/>
      <c r="Z657" s="78"/>
      <c r="AA657" s="78"/>
      <c r="AB657" s="78"/>
      <c r="AC657" s="78"/>
      <c r="AD657" s="78"/>
      <c r="AE657" s="78"/>
      <c r="AF657" s="78"/>
      <c r="AG657" s="78"/>
      <c r="AH657" s="78"/>
      <c r="AI657" s="78"/>
      <c r="AJ657" s="78"/>
      <c r="AK657" s="78"/>
      <c r="AL657" s="78"/>
      <c r="AM657" s="78"/>
      <c r="AN657" s="78"/>
      <c r="AO657" s="78"/>
      <c r="AP657" s="78"/>
      <c r="AQ657" s="78"/>
      <c r="AR657" s="78"/>
      <c r="AS657" s="78"/>
      <c r="AT657" s="78"/>
      <c r="AU657" s="78"/>
      <c r="AV657" s="78"/>
      <c r="AW657" s="78"/>
      <c r="AX657" s="78"/>
      <c r="AY657" s="91"/>
      <c r="AZ657" s="78"/>
      <c r="BA657" s="78"/>
      <c r="BB657" s="78"/>
      <c r="BC657" s="78"/>
      <c r="BD657" s="78"/>
      <c r="BE657" s="78"/>
      <c r="BF657" s="78"/>
      <c r="BG657" s="78"/>
      <c r="BH657" s="78"/>
      <c r="BI657" s="78"/>
      <c r="BJ657" s="78"/>
      <c r="BK657" s="78"/>
      <c r="BL657" s="78"/>
      <c r="BM657" s="78"/>
      <c r="BN657" s="78"/>
      <c r="BO657" s="78"/>
      <c r="BP657" s="78"/>
      <c r="BQ657" s="78"/>
      <c r="BR657" s="78"/>
      <c r="BS657" s="78"/>
      <c r="BT657" s="78"/>
      <c r="BU657" s="78"/>
      <c r="BV657" s="78"/>
      <c r="BW657" s="78"/>
      <c r="BX657" s="78"/>
      <c r="BY657" s="78"/>
      <c r="BZ657" s="78"/>
      <c r="CA657" s="78"/>
      <c r="CB657" s="78"/>
      <c r="CC657" s="78"/>
      <c r="CD657" s="78"/>
      <c r="CE657" s="78"/>
      <c r="CF657" s="78"/>
      <c r="CG657" s="78"/>
      <c r="CH657" s="78"/>
      <c r="CI657" s="78"/>
      <c r="CJ657" s="78"/>
      <c r="CK657" s="78"/>
      <c r="CL657" s="78"/>
      <c r="CM657" s="78"/>
      <c r="CN657" s="78"/>
      <c r="CO657" s="78"/>
      <c r="CP657" s="78"/>
      <c r="CQ657" s="78"/>
      <c r="CR657" s="78"/>
      <c r="CS657" s="78"/>
      <c r="CT657" s="78"/>
      <c r="CU657" s="78"/>
      <c r="CV657" s="78"/>
      <c r="CW657" s="78"/>
      <c r="CX657" s="78"/>
      <c r="CY657" s="78"/>
      <c r="CZ657" s="78"/>
      <c r="DA657" s="78"/>
      <c r="DB657" s="78"/>
      <c r="DC657" s="78"/>
      <c r="DD657" s="78"/>
      <c r="DE657" s="78"/>
      <c r="DF657" s="78"/>
      <c r="DG657" s="78"/>
      <c r="DH657" s="78"/>
      <c r="DI657" s="78"/>
      <c r="DJ657" s="78"/>
      <c r="DK657" s="78"/>
      <c r="DL657" s="78"/>
      <c r="DM657" s="78"/>
      <c r="DN657" s="78"/>
      <c r="DO657" s="78"/>
      <c r="DP657" s="78"/>
      <c r="DQ657" s="78"/>
      <c r="DR657" s="78"/>
      <c r="DS657" s="78"/>
      <c r="DT657" s="78"/>
      <c r="DU657" s="78"/>
      <c r="DV657" s="78"/>
      <c r="DW657" s="78"/>
      <c r="DX657" s="78"/>
      <c r="DY657" s="78"/>
      <c r="DZ657" s="78"/>
      <c r="EA657" s="78"/>
      <c r="EB657" s="78"/>
      <c r="EC657" s="78"/>
      <c r="ED657" s="78"/>
      <c r="EE657" s="78"/>
      <c r="EF657" s="78"/>
      <c r="EG657" s="78"/>
      <c r="EH657" s="78"/>
      <c r="EI657" s="78"/>
      <c r="EJ657" s="78"/>
      <c r="EK657" s="78"/>
      <c r="EL657" s="78"/>
      <c r="EM657" s="78"/>
      <c r="EN657" s="91"/>
      <c r="EO657" s="91"/>
      <c r="EP657" s="91"/>
      <c r="EQ657" s="91"/>
      <c r="ER657" s="91"/>
      <c r="ES657" s="91"/>
    </row>
    <row r="658" spans="1:149" outlineLevel="1">
      <c r="A658" s="29" t="str">
        <f t="shared" si="348"/>
        <v>lt002_instrumentlns_clltrlzd_clssfctn</v>
      </c>
      <c r="B658" s="67" t="s">
        <v>26</v>
      </c>
      <c r="C658" s="68" t="s">
        <v>26</v>
      </c>
      <c r="D658" s="64" t="s">
        <v>40</v>
      </c>
      <c r="E658" s="70" t="s">
        <v>379</v>
      </c>
      <c r="F658" s="71" t="s">
        <v>384</v>
      </c>
      <c r="G658" s="64" t="str">
        <f>INDEX(Auxiliar!$B$16:$B$24,MATCH(Plano_V3!H658,Auxiliar!$C$16:$C$24,0),1)</f>
        <v>1. Concluído</v>
      </c>
      <c r="H658" s="64">
        <f>VLOOKUP(A658,'Aux - pivots1'!$A:$B,2,0)</f>
        <v>1</v>
      </c>
      <c r="I658" s="172">
        <f>SUMIFS(Table1[Estimação (horas)],Table1[Tabela],Plano_V3!E658,Table1[Campo],Plano_V3!F658)</f>
        <v>4.0999999999999996</v>
      </c>
      <c r="J658" s="172">
        <f t="shared" si="359"/>
        <v>0.51249999999999996</v>
      </c>
      <c r="K658" s="172">
        <f>SUMIFS(Table1[Horas efetivas],Table1[Tabela],Plano_V3!E658,Table1[Campo],Plano_V3!F658)</f>
        <v>4.0999999999999996</v>
      </c>
      <c r="L658" s="172">
        <f t="shared" si="360"/>
        <v>0.51249999999999996</v>
      </c>
      <c r="M658" s="174"/>
      <c r="N658" s="174">
        <f t="shared" si="361"/>
        <v>1</v>
      </c>
      <c r="O658" s="174"/>
      <c r="P658" s="89" t="s">
        <v>39</v>
      </c>
      <c r="R658" s="78"/>
      <c r="S658" s="78"/>
      <c r="T658" s="78"/>
      <c r="U658" s="78"/>
      <c r="V658" s="78"/>
      <c r="W658" s="78"/>
      <c r="X658" s="78"/>
      <c r="Y658" s="78"/>
      <c r="Z658" s="78"/>
      <c r="AA658" s="78"/>
      <c r="AB658" s="78"/>
      <c r="AC658" s="78"/>
      <c r="AD658" s="78"/>
      <c r="AE658" s="78"/>
      <c r="AF658" s="78"/>
      <c r="AG658" s="78"/>
      <c r="AH658" s="78"/>
      <c r="AI658" s="78"/>
      <c r="AJ658" s="78"/>
      <c r="AK658" s="78"/>
      <c r="AL658" s="78"/>
      <c r="AM658" s="78"/>
      <c r="AN658" s="78"/>
      <c r="AO658" s="78"/>
      <c r="AP658" s="78"/>
      <c r="AQ658" s="78"/>
      <c r="AR658" s="78"/>
      <c r="AS658" s="78"/>
      <c r="AT658" s="78"/>
      <c r="AU658" s="78"/>
      <c r="AV658" s="78"/>
      <c r="AW658" s="78"/>
      <c r="AX658" s="78"/>
      <c r="AY658" s="91"/>
      <c r="AZ658" s="78"/>
      <c r="BA658" s="78"/>
      <c r="BB658" s="78"/>
      <c r="BC658" s="78"/>
      <c r="BD658" s="78"/>
      <c r="BE658" s="78"/>
      <c r="BF658" s="78"/>
      <c r="BG658" s="78"/>
      <c r="BH658" s="78"/>
      <c r="BI658" s="78"/>
      <c r="BJ658" s="78"/>
      <c r="BK658" s="78"/>
      <c r="BL658" s="78"/>
      <c r="BM658" s="78"/>
      <c r="BN658" s="78"/>
      <c r="BO658" s="78"/>
      <c r="BP658" s="78"/>
      <c r="BQ658" s="78"/>
      <c r="BR658" s="78"/>
      <c r="BS658" s="78"/>
      <c r="BT658" s="78"/>
      <c r="BU658" s="78"/>
      <c r="BV658" s="78"/>
      <c r="BW658" s="78"/>
      <c r="BX658" s="78"/>
      <c r="BY658" s="78"/>
      <c r="BZ658" s="78"/>
      <c r="CA658" s="78"/>
      <c r="CB658" s="78"/>
      <c r="CC658" s="78"/>
      <c r="CD658" s="78"/>
      <c r="CE658" s="78"/>
      <c r="CF658" s="78"/>
      <c r="CG658" s="78"/>
      <c r="CH658" s="78"/>
      <c r="CI658" s="78"/>
      <c r="CJ658" s="78"/>
      <c r="CK658" s="78"/>
      <c r="CL658" s="78"/>
      <c r="CM658" s="78"/>
      <c r="CN658" s="78"/>
      <c r="CO658" s="78"/>
      <c r="CP658" s="78"/>
      <c r="CQ658" s="78"/>
      <c r="CR658" s="78"/>
      <c r="CS658" s="78"/>
      <c r="CT658" s="78"/>
      <c r="CU658" s="78"/>
      <c r="CV658" s="78"/>
      <c r="CW658" s="78"/>
      <c r="CX658" s="78"/>
      <c r="CY658" s="78"/>
      <c r="CZ658" s="78"/>
      <c r="DA658" s="78"/>
      <c r="DB658" s="78"/>
      <c r="DC658" s="78"/>
      <c r="DD658" s="78"/>
      <c r="DE658" s="78"/>
      <c r="DF658" s="78"/>
      <c r="DG658" s="78"/>
      <c r="DH658" s="78"/>
      <c r="DI658" s="78"/>
      <c r="DJ658" s="78"/>
      <c r="DK658" s="78"/>
      <c r="DL658" s="78"/>
      <c r="DM658" s="78"/>
      <c r="DN658" s="78"/>
      <c r="DO658" s="78"/>
      <c r="DP658" s="78"/>
      <c r="DQ658" s="78"/>
      <c r="DR658" s="78"/>
      <c r="DS658" s="78"/>
      <c r="DT658" s="78"/>
      <c r="DU658" s="78"/>
      <c r="DV658" s="78"/>
      <c r="DW658" s="78"/>
      <c r="DX658" s="78"/>
      <c r="DY658" s="78"/>
      <c r="DZ658" s="78"/>
      <c r="EA658" s="78"/>
      <c r="EB658" s="78"/>
      <c r="EC658" s="78"/>
      <c r="ED658" s="78"/>
      <c r="EE658" s="78"/>
      <c r="EF658" s="78"/>
      <c r="EG658" s="78"/>
      <c r="EH658" s="78"/>
      <c r="EI658" s="78"/>
      <c r="EJ658" s="78"/>
      <c r="EK658" s="78"/>
      <c r="EL658" s="78"/>
      <c r="EM658" s="78"/>
      <c r="EN658" s="91"/>
      <c r="EO658" s="91"/>
      <c r="EP658" s="91"/>
      <c r="EQ658" s="91"/>
      <c r="ER658" s="91"/>
      <c r="ES658" s="91"/>
    </row>
    <row r="659" spans="1:149" outlineLevel="1">
      <c r="A659" s="29" t="str">
        <f t="shared" si="348"/>
        <v>lt002_instrumentmthd_usd_instrmnt_scp_1</v>
      </c>
      <c r="B659" s="67" t="s">
        <v>26</v>
      </c>
      <c r="C659" s="68" t="s">
        <v>26</v>
      </c>
      <c r="D659" s="64" t="s">
        <v>40</v>
      </c>
      <c r="E659" s="70" t="s">
        <v>379</v>
      </c>
      <c r="F659" s="71" t="s">
        <v>385</v>
      </c>
      <c r="G659" s="64" t="str">
        <f>INDEX(Auxiliar!$B$16:$B$24,MATCH(Plano_V3!H659,Auxiliar!$C$16:$C$24,0),1)</f>
        <v>5. Em Correção</v>
      </c>
      <c r="H659" s="64">
        <f>VLOOKUP(A659,'Aux - pivots1'!$A:$B,2,0)</f>
        <v>6</v>
      </c>
      <c r="I659" s="172">
        <f>SUMIFS(Table1[Estimação (horas)],Table1[Tabela],Plano_V3!E659,Table1[Campo],Plano_V3!F659)</f>
        <v>4.0999999999999996</v>
      </c>
      <c r="J659" s="172">
        <f t="shared" si="359"/>
        <v>0.51249999999999996</v>
      </c>
      <c r="K659" s="172">
        <f>SUMIFS(Table1[Horas efetivas],Table1[Tabela],Plano_V3!E659,Table1[Campo],Plano_V3!F659)</f>
        <v>1.0249999999999999</v>
      </c>
      <c r="L659" s="172">
        <f t="shared" si="360"/>
        <v>0.12812499999999999</v>
      </c>
      <c r="M659" s="174"/>
      <c r="N659" s="174">
        <f t="shared" si="361"/>
        <v>0.25</v>
      </c>
      <c r="O659" s="174"/>
      <c r="P659" s="89" t="s">
        <v>39</v>
      </c>
      <c r="R659" s="78"/>
      <c r="S659" s="78"/>
      <c r="T659" s="78"/>
      <c r="U659" s="78"/>
      <c r="V659" s="78"/>
      <c r="W659" s="78"/>
      <c r="X659" s="78"/>
      <c r="Y659" s="78"/>
      <c r="Z659" s="78"/>
      <c r="AA659" s="78"/>
      <c r="AB659" s="78"/>
      <c r="AC659" s="78"/>
      <c r="AD659" s="78"/>
      <c r="AE659" s="78"/>
      <c r="AF659" s="78"/>
      <c r="AG659" s="78"/>
      <c r="AH659" s="78"/>
      <c r="AI659" s="78"/>
      <c r="AJ659" s="78"/>
      <c r="AK659" s="78"/>
      <c r="AL659" s="78"/>
      <c r="AM659" s="78"/>
      <c r="AN659" s="78"/>
      <c r="AO659" s="78"/>
      <c r="AP659" s="78"/>
      <c r="AQ659" s="78"/>
      <c r="AR659" s="78"/>
      <c r="AS659" s="78"/>
      <c r="AT659" s="78"/>
      <c r="AU659" s="78"/>
      <c r="AV659" s="78"/>
      <c r="AW659" s="78"/>
      <c r="AX659" s="78"/>
      <c r="AY659" s="91"/>
      <c r="AZ659" s="78"/>
      <c r="BA659" s="78"/>
      <c r="BB659" s="78"/>
      <c r="BC659" s="78"/>
      <c r="BD659" s="78"/>
      <c r="BE659" s="78"/>
      <c r="BF659" s="78"/>
      <c r="BG659" s="78"/>
      <c r="BH659" s="78"/>
      <c r="BI659" s="78"/>
      <c r="BJ659" s="78"/>
      <c r="BK659" s="78"/>
      <c r="BL659" s="78"/>
      <c r="BM659" s="78"/>
      <c r="BN659" s="78"/>
      <c r="BO659" s="78"/>
      <c r="BP659" s="78"/>
      <c r="BQ659" s="78"/>
      <c r="BR659" s="78"/>
      <c r="BS659" s="78"/>
      <c r="BT659" s="78"/>
      <c r="BU659" s="78"/>
      <c r="BV659" s="78"/>
      <c r="BW659" s="78"/>
      <c r="BX659" s="78"/>
      <c r="BY659" s="78"/>
      <c r="BZ659" s="78"/>
      <c r="CA659" s="78"/>
      <c r="CB659" s="78"/>
      <c r="CC659" s="78"/>
      <c r="CD659" s="78"/>
      <c r="CE659" s="78"/>
      <c r="CF659" s="78"/>
      <c r="CG659" s="78"/>
      <c r="CH659" s="78"/>
      <c r="CI659" s="78"/>
      <c r="CJ659" s="78"/>
      <c r="CK659" s="78"/>
      <c r="CL659" s="78"/>
      <c r="CM659" s="78"/>
      <c r="CN659" s="78"/>
      <c r="CO659" s="78"/>
      <c r="CP659" s="78"/>
      <c r="CQ659" s="78"/>
      <c r="CR659" s="78"/>
      <c r="CS659" s="78"/>
      <c r="CT659" s="78"/>
      <c r="CU659" s="78"/>
      <c r="CV659" s="78"/>
      <c r="CW659" s="78"/>
      <c r="CX659" s="78"/>
      <c r="CY659" s="78"/>
      <c r="CZ659" s="78"/>
      <c r="DA659" s="78"/>
      <c r="DB659" s="78"/>
      <c r="DC659" s="78"/>
      <c r="DD659" s="78"/>
      <c r="DE659" s="78"/>
      <c r="DF659" s="78"/>
      <c r="DG659" s="78"/>
      <c r="DH659" s="78"/>
      <c r="DI659" s="78"/>
      <c r="DJ659" s="78"/>
      <c r="DK659" s="78"/>
      <c r="DL659" s="78"/>
      <c r="DM659" s="78"/>
      <c r="DN659" s="78"/>
      <c r="DO659" s="78"/>
      <c r="DP659" s="78"/>
      <c r="DQ659" s="78"/>
      <c r="DR659" s="78"/>
      <c r="DS659" s="78"/>
      <c r="DT659" s="78"/>
      <c r="DU659" s="78"/>
      <c r="DV659" s="78"/>
      <c r="DW659" s="78"/>
      <c r="DX659" s="78"/>
      <c r="DY659" s="78"/>
      <c r="DZ659" s="78"/>
      <c r="EA659" s="78"/>
      <c r="EB659" s="78"/>
      <c r="EC659" s="78"/>
      <c r="ED659" s="78"/>
      <c r="EE659" s="78"/>
      <c r="EF659" s="78"/>
      <c r="EG659" s="78"/>
      <c r="EH659" s="78"/>
      <c r="EI659" s="78"/>
      <c r="EJ659" s="78"/>
      <c r="EK659" s="78"/>
      <c r="EL659" s="78"/>
      <c r="EM659" s="78"/>
      <c r="EN659" s="91"/>
      <c r="EO659" s="91"/>
      <c r="EP659" s="91"/>
      <c r="EQ659" s="91"/>
      <c r="ER659" s="91"/>
      <c r="ES659" s="91"/>
    </row>
    <row r="660" spans="1:149" outlineLevel="1">
      <c r="A660" s="29" t="str">
        <f t="shared" si="348"/>
        <v>lt002_instrumentmthd_usd_instrmnt_scp_2</v>
      </c>
      <c r="B660" s="67" t="s">
        <v>26</v>
      </c>
      <c r="C660" s="68" t="s">
        <v>26</v>
      </c>
      <c r="D660" s="64" t="s">
        <v>40</v>
      </c>
      <c r="E660" s="70" t="s">
        <v>379</v>
      </c>
      <c r="F660" s="71" t="s">
        <v>386</v>
      </c>
      <c r="G660" s="64" t="str">
        <f>INDEX(Auxiliar!$B$16:$B$24,MATCH(Plano_V3!H660,Auxiliar!$C$16:$C$24,0),1)</f>
        <v>5. Em Correção</v>
      </c>
      <c r="H660" s="64">
        <f>VLOOKUP(A660,'Aux - pivots1'!$A:$B,2,0)</f>
        <v>6</v>
      </c>
      <c r="I660" s="172">
        <f>SUMIFS(Table1[Estimação (horas)],Table1[Tabela],Plano_V3!E660,Table1[Campo],Plano_V3!F660)</f>
        <v>4.0999999999999996</v>
      </c>
      <c r="J660" s="172">
        <f t="shared" si="359"/>
        <v>0.51249999999999996</v>
      </c>
      <c r="K660" s="172">
        <f>SUMIFS(Table1[Horas efetivas],Table1[Tabela],Plano_V3!E660,Table1[Campo],Plano_V3!F660)</f>
        <v>1.0249999999999999</v>
      </c>
      <c r="L660" s="172">
        <f t="shared" si="360"/>
        <v>0.12812499999999999</v>
      </c>
      <c r="M660" s="174"/>
      <c r="N660" s="174">
        <f t="shared" si="361"/>
        <v>0.25</v>
      </c>
      <c r="O660" s="174"/>
      <c r="P660" s="89" t="s">
        <v>39</v>
      </c>
      <c r="R660" s="78"/>
      <c r="S660" s="78"/>
      <c r="T660" s="78"/>
      <c r="U660" s="78"/>
      <c r="V660" s="78"/>
      <c r="W660" s="78"/>
      <c r="X660" s="78"/>
      <c r="Y660" s="78"/>
      <c r="Z660" s="78"/>
      <c r="AA660" s="78"/>
      <c r="AB660" s="78"/>
      <c r="AC660" s="78"/>
      <c r="AD660" s="78"/>
      <c r="AE660" s="78"/>
      <c r="AF660" s="78"/>
      <c r="AG660" s="78"/>
      <c r="AH660" s="78"/>
      <c r="AI660" s="78"/>
      <c r="AJ660" s="78"/>
      <c r="AK660" s="78"/>
      <c r="AL660" s="78"/>
      <c r="AM660" s="78"/>
      <c r="AN660" s="78"/>
      <c r="AO660" s="78"/>
      <c r="AP660" s="78"/>
      <c r="AQ660" s="78"/>
      <c r="AR660" s="78"/>
      <c r="AS660" s="78"/>
      <c r="AT660" s="78"/>
      <c r="AU660" s="78"/>
      <c r="AV660" s="78"/>
      <c r="AW660" s="78"/>
      <c r="AX660" s="78"/>
      <c r="AY660" s="91"/>
      <c r="AZ660" s="78"/>
      <c r="BA660" s="78"/>
      <c r="BB660" s="78"/>
      <c r="BC660" s="78"/>
      <c r="BD660" s="78"/>
      <c r="BE660" s="78"/>
      <c r="BF660" s="78"/>
      <c r="BG660" s="78"/>
      <c r="BH660" s="78"/>
      <c r="BI660" s="78"/>
      <c r="BJ660" s="78"/>
      <c r="BK660" s="78"/>
      <c r="BL660" s="78"/>
      <c r="BM660" s="78"/>
      <c r="BN660" s="78"/>
      <c r="BO660" s="78"/>
      <c r="BP660" s="78"/>
      <c r="BQ660" s="78"/>
      <c r="BR660" s="78"/>
      <c r="BS660" s="78"/>
      <c r="BT660" s="78"/>
      <c r="BU660" s="78"/>
      <c r="BV660" s="78"/>
      <c r="BW660" s="78"/>
      <c r="BX660" s="78"/>
      <c r="BY660" s="78"/>
      <c r="BZ660" s="78"/>
      <c r="CA660" s="78"/>
      <c r="CB660" s="78"/>
      <c r="CC660" s="78"/>
      <c r="CD660" s="78"/>
      <c r="CE660" s="78"/>
      <c r="CF660" s="78"/>
      <c r="CG660" s="78"/>
      <c r="CH660" s="78"/>
      <c r="CI660" s="78"/>
      <c r="CJ660" s="78"/>
      <c r="CK660" s="78"/>
      <c r="CL660" s="78"/>
      <c r="CM660" s="78"/>
      <c r="CN660" s="78"/>
      <c r="CO660" s="78"/>
      <c r="CP660" s="78"/>
      <c r="CQ660" s="78"/>
      <c r="CR660" s="78"/>
      <c r="CS660" s="78"/>
      <c r="CT660" s="78"/>
      <c r="CU660" s="78"/>
      <c r="CV660" s="78"/>
      <c r="CW660" s="78"/>
      <c r="CX660" s="78"/>
      <c r="CY660" s="78"/>
      <c r="CZ660" s="78"/>
      <c r="DA660" s="78"/>
      <c r="DB660" s="78"/>
      <c r="DC660" s="78"/>
      <c r="DD660" s="78"/>
      <c r="DE660" s="78"/>
      <c r="DF660" s="78"/>
      <c r="DG660" s="78"/>
      <c r="DH660" s="78"/>
      <c r="DI660" s="78"/>
      <c r="DJ660" s="78"/>
      <c r="DK660" s="78"/>
      <c r="DL660" s="78"/>
      <c r="DM660" s="78"/>
      <c r="DN660" s="78"/>
      <c r="DO660" s="78"/>
      <c r="DP660" s="78"/>
      <c r="DQ660" s="78"/>
      <c r="DR660" s="78"/>
      <c r="DS660" s="78"/>
      <c r="DT660" s="78"/>
      <c r="DU660" s="78"/>
      <c r="DV660" s="78"/>
      <c r="DW660" s="78"/>
      <c r="DX660" s="78"/>
      <c r="DY660" s="78"/>
      <c r="DZ660" s="78"/>
      <c r="EA660" s="78"/>
      <c r="EB660" s="78"/>
      <c r="EC660" s="78"/>
      <c r="ED660" s="78"/>
      <c r="EE660" s="78"/>
      <c r="EF660" s="78"/>
      <c r="EG660" s="78"/>
      <c r="EH660" s="78"/>
      <c r="EI660" s="78"/>
      <c r="EJ660" s="78"/>
      <c r="EK660" s="78"/>
      <c r="EL660" s="78"/>
      <c r="EM660" s="78"/>
      <c r="EN660" s="91"/>
      <c r="EO660" s="91"/>
      <c r="EP660" s="91"/>
      <c r="EQ660" s="91"/>
      <c r="ER660" s="91"/>
      <c r="ES660" s="91"/>
    </row>
    <row r="661" spans="1:149" outlineLevel="1">
      <c r="A661" s="29" t="str">
        <f t="shared" si="348"/>
        <v>lt002_instrumentmthd_usd_instrmnt_scp_3</v>
      </c>
      <c r="B661" s="67" t="s">
        <v>26</v>
      </c>
      <c r="C661" s="68" t="s">
        <v>26</v>
      </c>
      <c r="D661" s="64" t="s">
        <v>40</v>
      </c>
      <c r="E661" s="70" t="s">
        <v>379</v>
      </c>
      <c r="F661" s="71" t="s">
        <v>387</v>
      </c>
      <c r="G661" s="64" t="str">
        <f>INDEX(Auxiliar!$B$16:$B$24,MATCH(Plano_V3!H661,Auxiliar!$C$16:$C$24,0),1)</f>
        <v>5. Em Correção</v>
      </c>
      <c r="H661" s="64">
        <f>VLOOKUP(A661,'Aux - pivots1'!$A:$B,2,0)</f>
        <v>6</v>
      </c>
      <c r="I661" s="172">
        <f>SUMIFS(Table1[Estimação (horas)],Table1[Tabela],Plano_V3!E661,Table1[Campo],Plano_V3!F661)</f>
        <v>4.0999999999999996</v>
      </c>
      <c r="J661" s="172">
        <f t="shared" si="359"/>
        <v>0.51249999999999996</v>
      </c>
      <c r="K661" s="172">
        <f>SUMIFS(Table1[Horas efetivas],Table1[Tabela],Plano_V3!E661,Table1[Campo],Plano_V3!F661)</f>
        <v>1.0249999999999999</v>
      </c>
      <c r="L661" s="172">
        <f t="shared" si="360"/>
        <v>0.12812499999999999</v>
      </c>
      <c r="M661" s="174"/>
      <c r="N661" s="174">
        <f t="shared" si="361"/>
        <v>0.25</v>
      </c>
      <c r="O661" s="174"/>
      <c r="P661" s="89" t="s">
        <v>39</v>
      </c>
      <c r="R661" s="78"/>
      <c r="S661" s="78"/>
      <c r="T661" s="78"/>
      <c r="U661" s="78"/>
      <c r="V661" s="78"/>
      <c r="W661" s="78"/>
      <c r="X661" s="78"/>
      <c r="Y661" s="78"/>
      <c r="Z661" s="78"/>
      <c r="AA661" s="78"/>
      <c r="AB661" s="78"/>
      <c r="AC661" s="78"/>
      <c r="AD661" s="78"/>
      <c r="AE661" s="78"/>
      <c r="AF661" s="78"/>
      <c r="AG661" s="78"/>
      <c r="AH661" s="78"/>
      <c r="AI661" s="78"/>
      <c r="AJ661" s="78"/>
      <c r="AK661" s="78"/>
      <c r="AL661" s="78"/>
      <c r="AM661" s="78"/>
      <c r="AN661" s="78"/>
      <c r="AO661" s="78"/>
      <c r="AP661" s="78"/>
      <c r="AQ661" s="78"/>
      <c r="AR661" s="78"/>
      <c r="AS661" s="78"/>
      <c r="AT661" s="78"/>
      <c r="AU661" s="78"/>
      <c r="AV661" s="78"/>
      <c r="AW661" s="78"/>
      <c r="AX661" s="78"/>
      <c r="AY661" s="91"/>
      <c r="AZ661" s="78"/>
      <c r="BA661" s="78"/>
      <c r="BB661" s="78"/>
      <c r="BC661" s="78"/>
      <c r="BD661" s="78"/>
      <c r="BE661" s="78"/>
      <c r="BF661" s="78"/>
      <c r="BG661" s="78"/>
      <c r="BH661" s="78"/>
      <c r="BI661" s="78"/>
      <c r="BJ661" s="78"/>
      <c r="BK661" s="78"/>
      <c r="BL661" s="78"/>
      <c r="BM661" s="78"/>
      <c r="BN661" s="78"/>
      <c r="BO661" s="78"/>
      <c r="BP661" s="78"/>
      <c r="BQ661" s="78"/>
      <c r="BR661" s="78"/>
      <c r="BS661" s="78"/>
      <c r="BT661" s="78"/>
      <c r="BU661" s="78"/>
      <c r="BV661" s="78"/>
      <c r="BW661" s="78"/>
      <c r="BX661" s="78"/>
      <c r="BY661" s="78"/>
      <c r="BZ661" s="78"/>
      <c r="CA661" s="78"/>
      <c r="CB661" s="78"/>
      <c r="CC661" s="78"/>
      <c r="CD661" s="78"/>
      <c r="CE661" s="78"/>
      <c r="CF661" s="78"/>
      <c r="CG661" s="78"/>
      <c r="CH661" s="78"/>
      <c r="CI661" s="78"/>
      <c r="CJ661" s="78"/>
      <c r="CK661" s="78"/>
      <c r="CL661" s="78"/>
      <c r="CM661" s="78"/>
      <c r="CN661" s="78"/>
      <c r="CO661" s="78"/>
      <c r="CP661" s="78"/>
      <c r="CQ661" s="78"/>
      <c r="CR661" s="78"/>
      <c r="CS661" s="78"/>
      <c r="CT661" s="78"/>
      <c r="CU661" s="78"/>
      <c r="CV661" s="78"/>
      <c r="CW661" s="78"/>
      <c r="CX661" s="78"/>
      <c r="CY661" s="78"/>
      <c r="CZ661" s="78"/>
      <c r="DA661" s="78"/>
      <c r="DB661" s="78"/>
      <c r="DC661" s="78"/>
      <c r="DD661" s="78"/>
      <c r="DE661" s="78"/>
      <c r="DF661" s="78"/>
      <c r="DG661" s="78"/>
      <c r="DH661" s="78"/>
      <c r="DI661" s="78"/>
      <c r="DJ661" s="78"/>
      <c r="DK661" s="78"/>
      <c r="DL661" s="78"/>
      <c r="DM661" s="78"/>
      <c r="DN661" s="78"/>
      <c r="DO661" s="78"/>
      <c r="DP661" s="78"/>
      <c r="DQ661" s="78"/>
      <c r="DR661" s="78"/>
      <c r="DS661" s="78"/>
      <c r="DT661" s="78"/>
      <c r="DU661" s="78"/>
      <c r="DV661" s="78"/>
      <c r="DW661" s="78"/>
      <c r="DX661" s="78"/>
      <c r="DY661" s="78"/>
      <c r="DZ661" s="78"/>
      <c r="EA661" s="78"/>
      <c r="EB661" s="78"/>
      <c r="EC661" s="78"/>
      <c r="ED661" s="78"/>
      <c r="EE661" s="78"/>
      <c r="EF661" s="78"/>
      <c r="EG661" s="78"/>
      <c r="EH661" s="78"/>
      <c r="EI661" s="78"/>
      <c r="EJ661" s="78"/>
      <c r="EK661" s="78"/>
      <c r="EL661" s="78"/>
      <c r="EM661" s="78"/>
      <c r="EN661" s="91"/>
      <c r="EO661" s="91"/>
      <c r="EP661" s="91"/>
      <c r="EQ661" s="91"/>
      <c r="ER661" s="91"/>
      <c r="ES661" s="91"/>
    </row>
    <row r="662" spans="1:149" outlineLevel="1">
      <c r="A662" s="29" t="str">
        <f t="shared" ref="A662:A677" si="362">E662&amp;F662</f>
        <v>lt002_instrumentFRBRNC_STTS_INSTRMNT</v>
      </c>
      <c r="B662" s="67" t="s">
        <v>26</v>
      </c>
      <c r="C662" s="68" t="s">
        <v>26</v>
      </c>
      <c r="D662" s="64" t="s">
        <v>40</v>
      </c>
      <c r="E662" s="70" t="s">
        <v>379</v>
      </c>
      <c r="F662" s="71" t="s">
        <v>2163</v>
      </c>
      <c r="G662" s="64" t="str">
        <f>INDEX(Auxiliar!$B$16:$B$24,MATCH(Plano_V3!H662,Auxiliar!$C$16:$C$24,0),1)</f>
        <v>1. Concluído</v>
      </c>
      <c r="H662" s="64">
        <f>VLOOKUP(A662,'Aux - pivots1'!$A:$B,2,0)</f>
        <v>1</v>
      </c>
      <c r="I662" s="172">
        <f>SUMIFS(Table1[Estimação (horas)],Table1[Tabela],Plano_V3!E662,Table1[Campo],Plano_V3!F662)</f>
        <v>2</v>
      </c>
      <c r="J662" s="172">
        <f t="shared" ref="J662:J677" si="363">I662/8</f>
        <v>0.25</v>
      </c>
      <c r="K662" s="172">
        <f>SUMIFS(Table1[Horas efetivas],Table1[Tabela],Plano_V3!E662,Table1[Campo],Plano_V3!F662)</f>
        <v>2</v>
      </c>
      <c r="L662" s="172">
        <f t="shared" ref="L662:L677" si="364">K662/8</f>
        <v>0.25</v>
      </c>
      <c r="M662" s="174"/>
      <c r="N662" s="174">
        <f t="shared" ref="N662:N677" si="365">L662/J662</f>
        <v>1</v>
      </c>
      <c r="O662" s="174"/>
      <c r="P662" s="89" t="s">
        <v>39</v>
      </c>
      <c r="R662" s="78"/>
      <c r="S662" s="78"/>
      <c r="T662" s="78"/>
      <c r="U662" s="78"/>
      <c r="V662" s="78"/>
      <c r="W662" s="78"/>
      <c r="X662" s="78"/>
      <c r="Y662" s="78"/>
      <c r="Z662" s="78"/>
      <c r="AA662" s="78"/>
      <c r="AB662" s="78"/>
      <c r="AC662" s="78"/>
      <c r="AD662" s="78"/>
      <c r="AE662" s="78"/>
      <c r="AF662" s="78"/>
      <c r="AG662" s="78"/>
      <c r="AH662" s="78"/>
      <c r="AI662" s="78"/>
      <c r="AJ662" s="78"/>
      <c r="AK662" s="78"/>
      <c r="AL662" s="78"/>
      <c r="AM662" s="78"/>
      <c r="AN662" s="78"/>
      <c r="AO662" s="78"/>
      <c r="AP662" s="78"/>
      <c r="AQ662" s="78"/>
      <c r="AR662" s="78"/>
      <c r="AS662" s="78"/>
      <c r="AT662" s="78"/>
      <c r="AU662" s="78"/>
      <c r="AV662" s="78"/>
      <c r="AW662" s="78"/>
      <c r="AX662" s="78"/>
      <c r="AY662" s="91"/>
      <c r="AZ662" s="78"/>
      <c r="BA662" s="78"/>
      <c r="BB662" s="78"/>
      <c r="BC662" s="78"/>
      <c r="BD662" s="78"/>
      <c r="BE662" s="78"/>
      <c r="BF662" s="78"/>
      <c r="BG662" s="78"/>
      <c r="BH662" s="78"/>
      <c r="BI662" s="78"/>
      <c r="BJ662" s="78"/>
      <c r="BK662" s="78"/>
      <c r="BL662" s="78"/>
      <c r="BM662" s="78"/>
      <c r="BN662" s="78"/>
      <c r="BO662" s="78"/>
      <c r="BP662" s="78"/>
      <c r="BQ662" s="78"/>
      <c r="BR662" s="78"/>
      <c r="BS662" s="78"/>
      <c r="BT662" s="78"/>
      <c r="BU662" s="78"/>
      <c r="BV662" s="78"/>
      <c r="BW662" s="78"/>
      <c r="BX662" s="78"/>
      <c r="BY662" s="78"/>
      <c r="BZ662" s="78"/>
      <c r="CA662" s="78"/>
      <c r="CB662" s="78"/>
      <c r="CC662" s="78"/>
      <c r="CD662" s="78"/>
      <c r="CE662" s="78"/>
      <c r="CF662" s="78"/>
      <c r="CG662" s="78"/>
      <c r="CH662" s="78"/>
      <c r="CI662" s="78"/>
      <c r="CJ662" s="78"/>
      <c r="CK662" s="78"/>
      <c r="CL662" s="78"/>
      <c r="CM662" s="78"/>
      <c r="CN662" s="78"/>
      <c r="CO662" s="78"/>
      <c r="CP662" s="78"/>
      <c r="CQ662" s="78"/>
      <c r="CR662" s="78"/>
      <c r="CS662" s="78"/>
      <c r="CT662" s="78"/>
      <c r="CU662" s="78"/>
      <c r="CV662" s="78"/>
      <c r="CW662" s="78"/>
      <c r="CX662" s="78"/>
      <c r="CY662" s="78"/>
      <c r="CZ662" s="78"/>
      <c r="DA662" s="78"/>
      <c r="DB662" s="78"/>
      <c r="DC662" s="78"/>
      <c r="DD662" s="78"/>
      <c r="DE662" s="78"/>
      <c r="DF662" s="78"/>
      <c r="DG662" s="78"/>
      <c r="DH662" s="78"/>
      <c r="DI662" s="78"/>
      <c r="DJ662" s="78"/>
      <c r="DK662" s="78"/>
      <c r="DL662" s="78"/>
      <c r="DM662" s="78"/>
      <c r="DN662" s="78"/>
      <c r="DO662" s="78"/>
      <c r="DP662" s="78"/>
      <c r="DQ662" s="78"/>
      <c r="DR662" s="78"/>
      <c r="DS662" s="78"/>
      <c r="DT662" s="78"/>
      <c r="DU662" s="78"/>
      <c r="DV662" s="78"/>
      <c r="DW662" s="78"/>
      <c r="DX662" s="78"/>
      <c r="DY662" s="78"/>
      <c r="DZ662" s="78"/>
      <c r="EA662" s="78"/>
      <c r="EB662" s="78"/>
      <c r="EC662" s="78"/>
      <c r="ED662" s="78"/>
      <c r="EE662" s="78"/>
      <c r="EF662" s="78"/>
      <c r="EG662" s="78"/>
      <c r="EH662" s="78"/>
      <c r="EI662" s="78"/>
      <c r="EJ662" s="78"/>
      <c r="EK662" s="78"/>
      <c r="EL662" s="78"/>
      <c r="EM662" s="78"/>
      <c r="EN662" s="91"/>
      <c r="EO662" s="91"/>
      <c r="EP662" s="91"/>
      <c r="EQ662" s="91"/>
      <c r="ER662" s="91"/>
      <c r="ES662" s="91"/>
    </row>
    <row r="663" spans="1:149" outlineLevel="1">
      <c r="A663" s="29" t="str">
        <f t="shared" si="362"/>
        <v>lt002_instrumentINTRNL_SGMNT</v>
      </c>
      <c r="B663" s="67" t="s">
        <v>26</v>
      </c>
      <c r="C663" s="68" t="s">
        <v>26</v>
      </c>
      <c r="D663" s="64" t="s">
        <v>40</v>
      </c>
      <c r="E663" s="70" t="s">
        <v>379</v>
      </c>
      <c r="F663" s="71" t="s">
        <v>2164</v>
      </c>
      <c r="G663" s="64" t="str">
        <f>INDEX(Auxiliar!$B$16:$B$24,MATCH(Plano_V3!H663,Auxiliar!$C$16:$C$24,0),1)</f>
        <v>1. Concluído</v>
      </c>
      <c r="H663" s="64">
        <f>VLOOKUP(A663,'Aux - pivots1'!$A:$B,2,0)</f>
        <v>1</v>
      </c>
      <c r="I663" s="172">
        <f>SUMIFS(Table1[Estimação (horas)],Table1[Tabela],Plano_V3!E663,Table1[Campo],Plano_V3!F663)</f>
        <v>2</v>
      </c>
      <c r="J663" s="172">
        <f t="shared" si="363"/>
        <v>0.25</v>
      </c>
      <c r="K663" s="172">
        <f>SUMIFS(Table1[Horas efetivas],Table1[Tabela],Plano_V3!E663,Table1[Campo],Plano_V3!F663)</f>
        <v>2</v>
      </c>
      <c r="L663" s="172">
        <f t="shared" si="364"/>
        <v>0.25</v>
      </c>
      <c r="M663" s="174"/>
      <c r="N663" s="174">
        <f t="shared" si="365"/>
        <v>1</v>
      </c>
      <c r="O663" s="174"/>
      <c r="P663" s="89" t="s">
        <v>39</v>
      </c>
      <c r="R663" s="78"/>
      <c r="S663" s="78"/>
      <c r="T663" s="78"/>
      <c r="U663" s="78"/>
      <c r="V663" s="78"/>
      <c r="W663" s="78"/>
      <c r="X663" s="78"/>
      <c r="Y663" s="78"/>
      <c r="Z663" s="78"/>
      <c r="AA663" s="78"/>
      <c r="AB663" s="78"/>
      <c r="AC663" s="78"/>
      <c r="AD663" s="78"/>
      <c r="AE663" s="78"/>
      <c r="AF663" s="78"/>
      <c r="AG663" s="78"/>
      <c r="AH663" s="78"/>
      <c r="AI663" s="78"/>
      <c r="AJ663" s="78"/>
      <c r="AK663" s="78"/>
      <c r="AL663" s="78"/>
      <c r="AM663" s="78"/>
      <c r="AN663" s="78"/>
      <c r="AO663" s="78"/>
      <c r="AP663" s="78"/>
      <c r="AQ663" s="78"/>
      <c r="AR663" s="78"/>
      <c r="AS663" s="78"/>
      <c r="AT663" s="78"/>
      <c r="AU663" s="78"/>
      <c r="AV663" s="78"/>
      <c r="AW663" s="78"/>
      <c r="AX663" s="78"/>
      <c r="AY663" s="91"/>
      <c r="AZ663" s="78"/>
      <c r="BA663" s="78"/>
      <c r="BB663" s="78"/>
      <c r="BC663" s="78"/>
      <c r="BD663" s="78"/>
      <c r="BE663" s="78"/>
      <c r="BF663" s="78"/>
      <c r="BG663" s="78"/>
      <c r="BH663" s="78"/>
      <c r="BI663" s="78"/>
      <c r="BJ663" s="78"/>
      <c r="BK663" s="78"/>
      <c r="BL663" s="78"/>
      <c r="BM663" s="78"/>
      <c r="BN663" s="78"/>
      <c r="BO663" s="78"/>
      <c r="BP663" s="78"/>
      <c r="BQ663" s="78"/>
      <c r="BR663" s="78"/>
      <c r="BS663" s="78"/>
      <c r="BT663" s="78"/>
      <c r="BU663" s="78"/>
      <c r="BV663" s="78"/>
      <c r="BW663" s="78"/>
      <c r="BX663" s="78"/>
      <c r="BY663" s="78"/>
      <c r="BZ663" s="78"/>
      <c r="CA663" s="78"/>
      <c r="CB663" s="78"/>
      <c r="CC663" s="78"/>
      <c r="CD663" s="78"/>
      <c r="CE663" s="78"/>
      <c r="CF663" s="78"/>
      <c r="CG663" s="78"/>
      <c r="CH663" s="78"/>
      <c r="CI663" s="78"/>
      <c r="CJ663" s="78"/>
      <c r="CK663" s="78"/>
      <c r="CL663" s="78"/>
      <c r="CM663" s="78"/>
      <c r="CN663" s="78"/>
      <c r="CO663" s="78"/>
      <c r="CP663" s="78"/>
      <c r="CQ663" s="78"/>
      <c r="CR663" s="78"/>
      <c r="CS663" s="78"/>
      <c r="CT663" s="78"/>
      <c r="CU663" s="78"/>
      <c r="CV663" s="78"/>
      <c r="CW663" s="78"/>
      <c r="CX663" s="78"/>
      <c r="CY663" s="78"/>
      <c r="CZ663" s="78"/>
      <c r="DA663" s="78"/>
      <c r="DB663" s="78"/>
      <c r="DC663" s="78"/>
      <c r="DD663" s="78"/>
      <c r="DE663" s="78"/>
      <c r="DF663" s="78"/>
      <c r="DG663" s="78"/>
      <c r="DH663" s="78"/>
      <c r="DI663" s="78"/>
      <c r="DJ663" s="78"/>
      <c r="DK663" s="78"/>
      <c r="DL663" s="78"/>
      <c r="DM663" s="78"/>
      <c r="DN663" s="78"/>
      <c r="DO663" s="78"/>
      <c r="DP663" s="78"/>
      <c r="DQ663" s="78"/>
      <c r="DR663" s="78"/>
      <c r="DS663" s="78"/>
      <c r="DT663" s="78"/>
      <c r="DU663" s="78"/>
      <c r="DV663" s="78"/>
      <c r="DW663" s="78"/>
      <c r="DX663" s="78"/>
      <c r="DY663" s="78"/>
      <c r="DZ663" s="78"/>
      <c r="EA663" s="78"/>
      <c r="EB663" s="78"/>
      <c r="EC663" s="78"/>
      <c r="ED663" s="78"/>
      <c r="EE663" s="78"/>
      <c r="EF663" s="78"/>
      <c r="EG663" s="78"/>
      <c r="EH663" s="78"/>
      <c r="EI663" s="78"/>
      <c r="EJ663" s="78"/>
      <c r="EK663" s="78"/>
      <c r="EL663" s="78"/>
      <c r="EM663" s="78"/>
      <c r="EN663" s="91"/>
      <c r="EO663" s="91"/>
      <c r="EP663" s="91"/>
      <c r="EQ663" s="91"/>
      <c r="ER663" s="91"/>
      <c r="ES663" s="91"/>
    </row>
    <row r="664" spans="1:149" outlineLevel="1">
      <c r="A664" s="29" t="str">
        <f t="shared" si="362"/>
        <v>lt002_instrumentDT_ORGNL_MTRTY</v>
      </c>
      <c r="B664" s="67" t="s">
        <v>26</v>
      </c>
      <c r="C664" s="68" t="s">
        <v>26</v>
      </c>
      <c r="D664" s="64" t="s">
        <v>40</v>
      </c>
      <c r="E664" s="70" t="s">
        <v>379</v>
      </c>
      <c r="F664" s="71" t="s">
        <v>2165</v>
      </c>
      <c r="G664" s="64" t="str">
        <f>INDEX(Auxiliar!$B$16:$B$24,MATCH(Plano_V3!H664,Auxiliar!$C$16:$C$24,0),1)</f>
        <v>1. Concluído</v>
      </c>
      <c r="H664" s="64">
        <f>VLOOKUP(A664,'Aux - pivots1'!$A:$B,2,0)</f>
        <v>1</v>
      </c>
      <c r="I664" s="172">
        <f>SUMIFS(Table1[Estimação (horas)],Table1[Tabela],Plano_V3!E664,Table1[Campo],Plano_V3!F664)</f>
        <v>2</v>
      </c>
      <c r="J664" s="172">
        <f t="shared" si="363"/>
        <v>0.25</v>
      </c>
      <c r="K664" s="172">
        <f>SUMIFS(Table1[Horas efetivas],Table1[Tabela],Plano_V3!E664,Table1[Campo],Plano_V3!F664)</f>
        <v>2</v>
      </c>
      <c r="L664" s="172">
        <f t="shared" si="364"/>
        <v>0.25</v>
      </c>
      <c r="M664" s="174"/>
      <c r="N664" s="174">
        <f t="shared" si="365"/>
        <v>1</v>
      </c>
      <c r="O664" s="174"/>
      <c r="P664" s="89" t="s">
        <v>39</v>
      </c>
      <c r="R664" s="78"/>
      <c r="S664" s="78"/>
      <c r="T664" s="78"/>
      <c r="U664" s="78"/>
      <c r="V664" s="78"/>
      <c r="W664" s="78"/>
      <c r="X664" s="78"/>
      <c r="Y664" s="78"/>
      <c r="Z664" s="78"/>
      <c r="AA664" s="78"/>
      <c r="AB664" s="78"/>
      <c r="AC664" s="78"/>
      <c r="AD664" s="78"/>
      <c r="AE664" s="78"/>
      <c r="AF664" s="78"/>
      <c r="AG664" s="78"/>
      <c r="AH664" s="78"/>
      <c r="AI664" s="78"/>
      <c r="AJ664" s="78"/>
      <c r="AK664" s="78"/>
      <c r="AL664" s="78"/>
      <c r="AM664" s="78"/>
      <c r="AN664" s="78"/>
      <c r="AO664" s="78"/>
      <c r="AP664" s="78"/>
      <c r="AQ664" s="78"/>
      <c r="AR664" s="78"/>
      <c r="AS664" s="78"/>
      <c r="AT664" s="78"/>
      <c r="AU664" s="78"/>
      <c r="AV664" s="78"/>
      <c r="AW664" s="78"/>
      <c r="AX664" s="78"/>
      <c r="AY664" s="91"/>
      <c r="AZ664" s="78"/>
      <c r="BA664" s="78"/>
      <c r="BB664" s="78"/>
      <c r="BC664" s="78"/>
      <c r="BD664" s="78"/>
      <c r="BE664" s="78"/>
      <c r="BF664" s="78"/>
      <c r="BG664" s="78"/>
      <c r="BH664" s="78"/>
      <c r="BI664" s="78"/>
      <c r="BJ664" s="78"/>
      <c r="BK664" s="78"/>
      <c r="BL664" s="78"/>
      <c r="BM664" s="78"/>
      <c r="BN664" s="78"/>
      <c r="BO664" s="78"/>
      <c r="BP664" s="78"/>
      <c r="BQ664" s="78"/>
      <c r="BR664" s="78"/>
      <c r="BS664" s="78"/>
      <c r="BT664" s="78"/>
      <c r="BU664" s="78"/>
      <c r="BV664" s="78"/>
      <c r="BW664" s="78"/>
      <c r="BX664" s="78"/>
      <c r="BY664" s="78"/>
      <c r="BZ664" s="78"/>
      <c r="CA664" s="78"/>
      <c r="CB664" s="78"/>
      <c r="CC664" s="78"/>
      <c r="CD664" s="78"/>
      <c r="CE664" s="78"/>
      <c r="CF664" s="78"/>
      <c r="CG664" s="78"/>
      <c r="CH664" s="78"/>
      <c r="CI664" s="78"/>
      <c r="CJ664" s="78"/>
      <c r="CK664" s="78"/>
      <c r="CL664" s="78"/>
      <c r="CM664" s="78"/>
      <c r="CN664" s="78"/>
      <c r="CO664" s="78"/>
      <c r="CP664" s="78"/>
      <c r="CQ664" s="78"/>
      <c r="CR664" s="78"/>
      <c r="CS664" s="78"/>
      <c r="CT664" s="78"/>
      <c r="CU664" s="78"/>
      <c r="CV664" s="78"/>
      <c r="CW664" s="78"/>
      <c r="CX664" s="78"/>
      <c r="CY664" s="78"/>
      <c r="CZ664" s="78"/>
      <c r="DA664" s="78"/>
      <c r="DB664" s="78"/>
      <c r="DC664" s="78"/>
      <c r="DD664" s="78"/>
      <c r="DE664" s="78"/>
      <c r="DF664" s="78"/>
      <c r="DG664" s="78"/>
      <c r="DH664" s="78"/>
      <c r="DI664" s="78"/>
      <c r="DJ664" s="78"/>
      <c r="DK664" s="78"/>
      <c r="DL664" s="78"/>
      <c r="DM664" s="78"/>
      <c r="DN664" s="78"/>
      <c r="DO664" s="78"/>
      <c r="DP664" s="78"/>
      <c r="DQ664" s="78"/>
      <c r="DR664" s="78"/>
      <c r="DS664" s="78"/>
      <c r="DT664" s="78"/>
      <c r="DU664" s="78"/>
      <c r="DV664" s="78"/>
      <c r="DW664" s="78"/>
      <c r="DX664" s="78"/>
      <c r="DY664" s="78"/>
      <c r="DZ664" s="78"/>
      <c r="EA664" s="78"/>
      <c r="EB664" s="78"/>
      <c r="EC664" s="78"/>
      <c r="ED664" s="78"/>
      <c r="EE664" s="78"/>
      <c r="EF664" s="78"/>
      <c r="EG664" s="78"/>
      <c r="EH664" s="78"/>
      <c r="EI664" s="78"/>
      <c r="EJ664" s="78"/>
      <c r="EK664" s="78"/>
      <c r="EL664" s="78"/>
      <c r="EM664" s="78"/>
      <c r="EN664" s="91"/>
      <c r="EO664" s="91"/>
      <c r="EP664" s="91"/>
      <c r="EQ664" s="91"/>
      <c r="ER664" s="91"/>
      <c r="ES664" s="91"/>
    </row>
    <row r="665" spans="1:149" outlineLevel="1">
      <c r="A665" s="29" t="str">
        <f t="shared" si="362"/>
        <v>lt002_instrumentEAD</v>
      </c>
      <c r="B665" s="67" t="s">
        <v>26</v>
      </c>
      <c r="C665" s="68" t="s">
        <v>26</v>
      </c>
      <c r="D665" s="64" t="s">
        <v>40</v>
      </c>
      <c r="E665" s="70" t="s">
        <v>379</v>
      </c>
      <c r="F665" s="71" t="s">
        <v>2166</v>
      </c>
      <c r="G665" s="64" t="str">
        <f>INDEX(Auxiliar!$B$16:$B$24,MATCH(Plano_V3!H665,Auxiliar!$C$16:$C$24,0),1)</f>
        <v>1. Concluído</v>
      </c>
      <c r="H665" s="64">
        <f>VLOOKUP(A665,'Aux - pivots1'!$A:$B,2,0)</f>
        <v>1</v>
      </c>
      <c r="I665" s="172">
        <f>SUMIFS(Table1[Estimação (horas)],Table1[Tabela],Plano_V3!E665,Table1[Campo],Plano_V3!F665)</f>
        <v>2</v>
      </c>
      <c r="J665" s="172">
        <f t="shared" si="363"/>
        <v>0.25</v>
      </c>
      <c r="K665" s="172">
        <f>SUMIFS(Table1[Horas efetivas],Table1[Tabela],Plano_V3!E665,Table1[Campo],Plano_V3!F665)</f>
        <v>2</v>
      </c>
      <c r="L665" s="172">
        <f t="shared" si="364"/>
        <v>0.25</v>
      </c>
      <c r="M665" s="174"/>
      <c r="N665" s="174">
        <f t="shared" si="365"/>
        <v>1</v>
      </c>
      <c r="O665" s="174"/>
      <c r="P665" s="89" t="s">
        <v>39</v>
      </c>
      <c r="R665" s="78"/>
      <c r="S665" s="78"/>
      <c r="T665" s="78"/>
      <c r="U665" s="78"/>
      <c r="V665" s="78"/>
      <c r="W665" s="78"/>
      <c r="X665" s="78"/>
      <c r="Y665" s="78"/>
      <c r="Z665" s="78"/>
      <c r="AA665" s="78"/>
      <c r="AB665" s="78"/>
      <c r="AC665" s="78"/>
      <c r="AD665" s="78"/>
      <c r="AE665" s="78"/>
      <c r="AF665" s="78"/>
      <c r="AG665" s="78"/>
      <c r="AH665" s="78"/>
      <c r="AI665" s="78"/>
      <c r="AJ665" s="78"/>
      <c r="AK665" s="78"/>
      <c r="AL665" s="78"/>
      <c r="AM665" s="78"/>
      <c r="AN665" s="78"/>
      <c r="AO665" s="78"/>
      <c r="AP665" s="78"/>
      <c r="AQ665" s="78"/>
      <c r="AR665" s="78"/>
      <c r="AS665" s="78"/>
      <c r="AT665" s="78"/>
      <c r="AU665" s="78"/>
      <c r="AV665" s="78"/>
      <c r="AW665" s="78"/>
      <c r="AX665" s="78"/>
      <c r="AY665" s="91"/>
      <c r="AZ665" s="78"/>
      <c r="BA665" s="78"/>
      <c r="BB665" s="78"/>
      <c r="BC665" s="78"/>
      <c r="BD665" s="78"/>
      <c r="BE665" s="78"/>
      <c r="BF665" s="78"/>
      <c r="BG665" s="78"/>
      <c r="BH665" s="78"/>
      <c r="BI665" s="78"/>
      <c r="BJ665" s="78"/>
      <c r="BK665" s="78"/>
      <c r="BL665" s="78"/>
      <c r="BM665" s="78"/>
      <c r="BN665" s="78"/>
      <c r="BO665" s="78"/>
      <c r="BP665" s="78"/>
      <c r="BQ665" s="78"/>
      <c r="BR665" s="78"/>
      <c r="BS665" s="78"/>
      <c r="BT665" s="78"/>
      <c r="BU665" s="78"/>
      <c r="BV665" s="78"/>
      <c r="BW665" s="78"/>
      <c r="BX665" s="78"/>
      <c r="BY665" s="78"/>
      <c r="BZ665" s="78"/>
      <c r="CA665" s="78"/>
      <c r="CB665" s="78"/>
      <c r="CC665" s="78"/>
      <c r="CD665" s="78"/>
      <c r="CE665" s="78"/>
      <c r="CF665" s="78"/>
      <c r="CG665" s="78"/>
      <c r="CH665" s="78"/>
      <c r="CI665" s="78"/>
      <c r="CJ665" s="78"/>
      <c r="CK665" s="78"/>
      <c r="CL665" s="78"/>
      <c r="CM665" s="78"/>
      <c r="CN665" s="78"/>
      <c r="CO665" s="78"/>
      <c r="CP665" s="78"/>
      <c r="CQ665" s="78"/>
      <c r="CR665" s="78"/>
      <c r="CS665" s="78"/>
      <c r="CT665" s="78"/>
      <c r="CU665" s="78"/>
      <c r="CV665" s="78"/>
      <c r="CW665" s="78"/>
      <c r="CX665" s="78"/>
      <c r="CY665" s="78"/>
      <c r="CZ665" s="78"/>
      <c r="DA665" s="78"/>
      <c r="DB665" s="78"/>
      <c r="DC665" s="78"/>
      <c r="DD665" s="78"/>
      <c r="DE665" s="78"/>
      <c r="DF665" s="78"/>
      <c r="DG665" s="78"/>
      <c r="DH665" s="78"/>
      <c r="DI665" s="78"/>
      <c r="DJ665" s="78"/>
      <c r="DK665" s="78"/>
      <c r="DL665" s="78"/>
      <c r="DM665" s="78"/>
      <c r="DN665" s="78"/>
      <c r="DO665" s="78"/>
      <c r="DP665" s="78"/>
      <c r="DQ665" s="78"/>
      <c r="DR665" s="78"/>
      <c r="DS665" s="78"/>
      <c r="DT665" s="78"/>
      <c r="DU665" s="78"/>
      <c r="DV665" s="78"/>
      <c r="DW665" s="78"/>
      <c r="DX665" s="78"/>
      <c r="DY665" s="78"/>
      <c r="DZ665" s="78"/>
      <c r="EA665" s="78"/>
      <c r="EB665" s="78"/>
      <c r="EC665" s="78"/>
      <c r="ED665" s="78"/>
      <c r="EE665" s="78"/>
      <c r="EF665" s="78"/>
      <c r="EG665" s="78"/>
      <c r="EH665" s="78"/>
      <c r="EI665" s="78"/>
      <c r="EJ665" s="78"/>
      <c r="EK665" s="78"/>
      <c r="EL665" s="78"/>
      <c r="EM665" s="78"/>
      <c r="EN665" s="91"/>
      <c r="EO665" s="91"/>
      <c r="EP665" s="91"/>
      <c r="EQ665" s="91"/>
      <c r="ER665" s="91"/>
      <c r="ES665" s="91"/>
    </row>
    <row r="666" spans="1:149" outlineLevel="1">
      <c r="A666" s="29" t="str">
        <f t="shared" si="362"/>
        <v>lt002_instrumentOFF_BLNC_SHT_AMNT_INSTRMNT</v>
      </c>
      <c r="B666" s="67" t="s">
        <v>26</v>
      </c>
      <c r="C666" s="68" t="s">
        <v>26</v>
      </c>
      <c r="D666" s="64" t="s">
        <v>40</v>
      </c>
      <c r="E666" s="70" t="s">
        <v>379</v>
      </c>
      <c r="F666" s="71" t="s">
        <v>1412</v>
      </c>
      <c r="G666" s="64" t="str">
        <f>INDEX(Auxiliar!$B$16:$B$24,MATCH(Plano_V3!H666,Auxiliar!$C$16:$C$24,0),1)</f>
        <v>1. Concluído</v>
      </c>
      <c r="H666" s="64">
        <f>VLOOKUP(A666,'Aux - pivots1'!$A:$B,2,0)</f>
        <v>1</v>
      </c>
      <c r="I666" s="172">
        <f>SUMIFS(Table1[Estimação (horas)],Table1[Tabela],Plano_V3!E666,Table1[Campo],Plano_V3!F666)</f>
        <v>2</v>
      </c>
      <c r="J666" s="172">
        <f t="shared" si="363"/>
        <v>0.25</v>
      </c>
      <c r="K666" s="172">
        <f>SUMIFS(Table1[Horas efetivas],Table1[Tabela],Plano_V3!E666,Table1[Campo],Plano_V3!F666)</f>
        <v>2</v>
      </c>
      <c r="L666" s="172">
        <f t="shared" si="364"/>
        <v>0.25</v>
      </c>
      <c r="M666" s="174"/>
      <c r="N666" s="174">
        <f t="shared" si="365"/>
        <v>1</v>
      </c>
      <c r="O666" s="174"/>
      <c r="P666" s="89" t="s">
        <v>39</v>
      </c>
      <c r="R666" s="78"/>
      <c r="S666" s="78"/>
      <c r="T666" s="78"/>
      <c r="U666" s="78"/>
      <c r="V666" s="78"/>
      <c r="W666" s="78"/>
      <c r="X666" s="78"/>
      <c r="Y666" s="78"/>
      <c r="Z666" s="78"/>
      <c r="AA666" s="78"/>
      <c r="AB666" s="78"/>
      <c r="AC666" s="78"/>
      <c r="AD666" s="78"/>
      <c r="AE666" s="78"/>
      <c r="AF666" s="78"/>
      <c r="AG666" s="78"/>
      <c r="AH666" s="78"/>
      <c r="AI666" s="78"/>
      <c r="AJ666" s="78"/>
      <c r="AK666" s="78"/>
      <c r="AL666" s="78"/>
      <c r="AM666" s="78"/>
      <c r="AN666" s="78"/>
      <c r="AO666" s="78"/>
      <c r="AP666" s="78"/>
      <c r="AQ666" s="78"/>
      <c r="AR666" s="78"/>
      <c r="AS666" s="78"/>
      <c r="AT666" s="78"/>
      <c r="AU666" s="78"/>
      <c r="AV666" s="78"/>
      <c r="AW666" s="78"/>
      <c r="AX666" s="78"/>
      <c r="AY666" s="91"/>
      <c r="AZ666" s="78"/>
      <c r="BA666" s="78"/>
      <c r="BB666" s="78"/>
      <c r="BC666" s="78"/>
      <c r="BD666" s="78"/>
      <c r="BE666" s="78"/>
      <c r="BF666" s="78"/>
      <c r="BG666" s="78"/>
      <c r="BH666" s="78"/>
      <c r="BI666" s="78"/>
      <c r="BJ666" s="78"/>
      <c r="BK666" s="78"/>
      <c r="BL666" s="78"/>
      <c r="BM666" s="78"/>
      <c r="BN666" s="78"/>
      <c r="BO666" s="78"/>
      <c r="BP666" s="78"/>
      <c r="BQ666" s="78"/>
      <c r="BR666" s="78"/>
      <c r="BS666" s="78"/>
      <c r="BT666" s="78"/>
      <c r="BU666" s="78"/>
      <c r="BV666" s="78"/>
      <c r="BW666" s="78"/>
      <c r="BX666" s="78"/>
      <c r="BY666" s="78"/>
      <c r="BZ666" s="78"/>
      <c r="CA666" s="78"/>
      <c r="CB666" s="78"/>
      <c r="CC666" s="78"/>
      <c r="CD666" s="78"/>
      <c r="CE666" s="78"/>
      <c r="CF666" s="78"/>
      <c r="CG666" s="78"/>
      <c r="CH666" s="78"/>
      <c r="CI666" s="78"/>
      <c r="CJ666" s="78"/>
      <c r="CK666" s="78"/>
      <c r="CL666" s="78"/>
      <c r="CM666" s="78"/>
      <c r="CN666" s="78"/>
      <c r="CO666" s="78"/>
      <c r="CP666" s="78"/>
      <c r="CQ666" s="78"/>
      <c r="CR666" s="78"/>
      <c r="CS666" s="78"/>
      <c r="CT666" s="78"/>
      <c r="CU666" s="78"/>
      <c r="CV666" s="78"/>
      <c r="CW666" s="78"/>
      <c r="CX666" s="78"/>
      <c r="CY666" s="78"/>
      <c r="CZ666" s="78"/>
      <c r="DA666" s="78"/>
      <c r="DB666" s="78"/>
      <c r="DC666" s="78"/>
      <c r="DD666" s="78"/>
      <c r="DE666" s="78"/>
      <c r="DF666" s="78"/>
      <c r="DG666" s="78"/>
      <c r="DH666" s="78"/>
      <c r="DI666" s="78"/>
      <c r="DJ666" s="78"/>
      <c r="DK666" s="78"/>
      <c r="DL666" s="78"/>
      <c r="DM666" s="78"/>
      <c r="DN666" s="78"/>
      <c r="DO666" s="78"/>
      <c r="DP666" s="78"/>
      <c r="DQ666" s="78"/>
      <c r="DR666" s="78"/>
      <c r="DS666" s="78"/>
      <c r="DT666" s="78"/>
      <c r="DU666" s="78"/>
      <c r="DV666" s="78"/>
      <c r="DW666" s="78"/>
      <c r="DX666" s="78"/>
      <c r="DY666" s="78"/>
      <c r="DZ666" s="78"/>
      <c r="EA666" s="78"/>
      <c r="EB666" s="78"/>
      <c r="EC666" s="78"/>
      <c r="ED666" s="78"/>
      <c r="EE666" s="78"/>
      <c r="EF666" s="78"/>
      <c r="EG666" s="78"/>
      <c r="EH666" s="78"/>
      <c r="EI666" s="78"/>
      <c r="EJ666" s="78"/>
      <c r="EK666" s="78"/>
      <c r="EL666" s="78"/>
      <c r="EM666" s="78"/>
      <c r="EN666" s="91"/>
      <c r="EO666" s="91"/>
      <c r="EP666" s="91"/>
      <c r="EQ666" s="91"/>
      <c r="ER666" s="91"/>
      <c r="ES666" s="91"/>
    </row>
    <row r="667" spans="1:149" outlineLevel="1">
      <c r="A667" s="29" t="str">
        <f t="shared" si="362"/>
        <v>lt002_instrumentRWA</v>
      </c>
      <c r="B667" s="67" t="s">
        <v>26</v>
      </c>
      <c r="C667" s="68" t="s">
        <v>26</v>
      </c>
      <c r="D667" s="64" t="s">
        <v>40</v>
      </c>
      <c r="E667" s="70" t="s">
        <v>379</v>
      </c>
      <c r="F667" s="71" t="s">
        <v>1418</v>
      </c>
      <c r="G667" s="64" t="str">
        <f>INDEX(Auxiliar!$B$16:$B$24,MATCH(Plano_V3!H667,Auxiliar!$C$16:$C$24,0),1)</f>
        <v>1. Concluído</v>
      </c>
      <c r="H667" s="64">
        <f>VLOOKUP(A667,'Aux - pivots1'!$A:$B,2,0)</f>
        <v>1</v>
      </c>
      <c r="I667" s="172">
        <f>SUMIFS(Table1[Estimação (horas)],Table1[Tabela],Plano_V3!E667,Table1[Campo],Plano_V3!F667)</f>
        <v>2</v>
      </c>
      <c r="J667" s="172">
        <f t="shared" si="363"/>
        <v>0.25</v>
      </c>
      <c r="K667" s="172">
        <f>SUMIFS(Table1[Horas efetivas],Table1[Tabela],Plano_V3!E667,Table1[Campo],Plano_V3!F667)</f>
        <v>2</v>
      </c>
      <c r="L667" s="172">
        <f t="shared" si="364"/>
        <v>0.25</v>
      </c>
      <c r="M667" s="174"/>
      <c r="N667" s="174">
        <f t="shared" si="365"/>
        <v>1</v>
      </c>
      <c r="O667" s="174"/>
      <c r="P667" s="89" t="s">
        <v>39</v>
      </c>
      <c r="R667" s="78"/>
      <c r="S667" s="78"/>
      <c r="T667" s="78"/>
      <c r="U667" s="78"/>
      <c r="V667" s="78"/>
      <c r="W667" s="78"/>
      <c r="X667" s="78"/>
      <c r="Y667" s="78"/>
      <c r="Z667" s="78"/>
      <c r="AA667" s="78"/>
      <c r="AB667" s="78"/>
      <c r="AC667" s="78"/>
      <c r="AD667" s="78"/>
      <c r="AE667" s="78"/>
      <c r="AF667" s="78"/>
      <c r="AG667" s="78"/>
      <c r="AH667" s="78"/>
      <c r="AI667" s="78"/>
      <c r="AJ667" s="78"/>
      <c r="AK667" s="78"/>
      <c r="AL667" s="78"/>
      <c r="AM667" s="78"/>
      <c r="AN667" s="78"/>
      <c r="AO667" s="78"/>
      <c r="AP667" s="78"/>
      <c r="AQ667" s="78"/>
      <c r="AR667" s="78"/>
      <c r="AS667" s="78"/>
      <c r="AT667" s="78"/>
      <c r="AU667" s="78"/>
      <c r="AV667" s="78"/>
      <c r="AW667" s="78"/>
      <c r="AX667" s="78"/>
      <c r="AY667" s="91"/>
      <c r="AZ667" s="78"/>
      <c r="BA667" s="78"/>
      <c r="BB667" s="78"/>
      <c r="BC667" s="78"/>
      <c r="BD667" s="78"/>
      <c r="BE667" s="78"/>
      <c r="BF667" s="78"/>
      <c r="BG667" s="78"/>
      <c r="BH667" s="78"/>
      <c r="BI667" s="78"/>
      <c r="BJ667" s="78"/>
      <c r="BK667" s="78"/>
      <c r="BL667" s="78"/>
      <c r="BM667" s="78"/>
      <c r="BN667" s="78"/>
      <c r="BO667" s="78"/>
      <c r="BP667" s="78"/>
      <c r="BQ667" s="78"/>
      <c r="BR667" s="78"/>
      <c r="BS667" s="78"/>
      <c r="BT667" s="78"/>
      <c r="BU667" s="78"/>
      <c r="BV667" s="78"/>
      <c r="BW667" s="78"/>
      <c r="BX667" s="78"/>
      <c r="BY667" s="78"/>
      <c r="BZ667" s="78"/>
      <c r="CA667" s="78"/>
      <c r="CB667" s="78"/>
      <c r="CC667" s="78"/>
      <c r="CD667" s="78"/>
      <c r="CE667" s="78"/>
      <c r="CF667" s="78"/>
      <c r="CG667" s="78"/>
      <c r="CH667" s="78"/>
      <c r="CI667" s="78"/>
      <c r="CJ667" s="78"/>
      <c r="CK667" s="78"/>
      <c r="CL667" s="78"/>
      <c r="CM667" s="78"/>
      <c r="CN667" s="78"/>
      <c r="CO667" s="78"/>
      <c r="CP667" s="78"/>
      <c r="CQ667" s="78"/>
      <c r="CR667" s="78"/>
      <c r="CS667" s="78"/>
      <c r="CT667" s="78"/>
      <c r="CU667" s="78"/>
      <c r="CV667" s="78"/>
      <c r="CW667" s="78"/>
      <c r="CX667" s="78"/>
      <c r="CY667" s="78"/>
      <c r="CZ667" s="78"/>
      <c r="DA667" s="78"/>
      <c r="DB667" s="78"/>
      <c r="DC667" s="78"/>
      <c r="DD667" s="78"/>
      <c r="DE667" s="78"/>
      <c r="DF667" s="78"/>
      <c r="DG667" s="78"/>
      <c r="DH667" s="78"/>
      <c r="DI667" s="78"/>
      <c r="DJ667" s="78"/>
      <c r="DK667" s="78"/>
      <c r="DL667" s="78"/>
      <c r="DM667" s="78"/>
      <c r="DN667" s="78"/>
      <c r="DO667" s="78"/>
      <c r="DP667" s="78"/>
      <c r="DQ667" s="78"/>
      <c r="DR667" s="78"/>
      <c r="DS667" s="78"/>
      <c r="DT667" s="78"/>
      <c r="DU667" s="78"/>
      <c r="DV667" s="78"/>
      <c r="DW667" s="78"/>
      <c r="DX667" s="78"/>
      <c r="DY667" s="78"/>
      <c r="DZ667" s="78"/>
      <c r="EA667" s="78"/>
      <c r="EB667" s="78"/>
      <c r="EC667" s="78"/>
      <c r="ED667" s="78"/>
      <c r="EE667" s="78"/>
      <c r="EF667" s="78"/>
      <c r="EG667" s="78"/>
      <c r="EH667" s="78"/>
      <c r="EI667" s="78"/>
      <c r="EJ667" s="78"/>
      <c r="EK667" s="78"/>
      <c r="EL667" s="78"/>
      <c r="EM667" s="78"/>
      <c r="EN667" s="91"/>
      <c r="EO667" s="91"/>
      <c r="EP667" s="91"/>
      <c r="EQ667" s="91"/>
      <c r="ER667" s="91"/>
      <c r="ES667" s="91"/>
    </row>
    <row r="668" spans="1:149" outlineLevel="1">
      <c r="A668" s="29" t="str">
        <f t="shared" si="362"/>
        <v>lt002_instrumentLTV</v>
      </c>
      <c r="B668" s="67" t="s">
        <v>26</v>
      </c>
      <c r="C668" s="68" t="s">
        <v>26</v>
      </c>
      <c r="D668" s="64" t="s">
        <v>40</v>
      </c>
      <c r="E668" s="70" t="s">
        <v>379</v>
      </c>
      <c r="F668" s="71" t="s">
        <v>2167</v>
      </c>
      <c r="G668" s="64" t="str">
        <f>INDEX(Auxiliar!$B$16:$B$24,MATCH(Plano_V3!H668,Auxiliar!$C$16:$C$24,0),1)</f>
        <v>1. Concluído</v>
      </c>
      <c r="H668" s="64">
        <f>VLOOKUP(A668,'Aux - pivots1'!$A:$B,2,0)</f>
        <v>1</v>
      </c>
      <c r="I668" s="172">
        <f>SUMIFS(Table1[Estimação (horas)],Table1[Tabela],Plano_V3!E668,Table1[Campo],Plano_V3!F668)</f>
        <v>2</v>
      </c>
      <c r="J668" s="172">
        <f t="shared" si="363"/>
        <v>0.25</v>
      </c>
      <c r="K668" s="172">
        <f>SUMIFS(Table1[Horas efetivas],Table1[Tabela],Plano_V3!E668,Table1[Campo],Plano_V3!F668)</f>
        <v>2</v>
      </c>
      <c r="L668" s="172">
        <f t="shared" si="364"/>
        <v>0.25</v>
      </c>
      <c r="M668" s="174"/>
      <c r="N668" s="174">
        <f t="shared" si="365"/>
        <v>1</v>
      </c>
      <c r="O668" s="174"/>
      <c r="P668" s="89" t="s">
        <v>39</v>
      </c>
      <c r="R668" s="78"/>
      <c r="S668" s="78"/>
      <c r="T668" s="78"/>
      <c r="U668" s="78"/>
      <c r="V668" s="78"/>
      <c r="W668" s="78"/>
      <c r="X668" s="78"/>
      <c r="Y668" s="78"/>
      <c r="Z668" s="78"/>
      <c r="AA668" s="78"/>
      <c r="AB668" s="78"/>
      <c r="AC668" s="78"/>
      <c r="AD668" s="78"/>
      <c r="AE668" s="78"/>
      <c r="AF668" s="78"/>
      <c r="AG668" s="78"/>
      <c r="AH668" s="78"/>
      <c r="AI668" s="78"/>
      <c r="AJ668" s="78"/>
      <c r="AK668" s="78"/>
      <c r="AL668" s="78"/>
      <c r="AM668" s="78"/>
      <c r="AN668" s="78"/>
      <c r="AO668" s="78"/>
      <c r="AP668" s="78"/>
      <c r="AQ668" s="78"/>
      <c r="AR668" s="78"/>
      <c r="AS668" s="78"/>
      <c r="AT668" s="78"/>
      <c r="AU668" s="78"/>
      <c r="AV668" s="78"/>
      <c r="AW668" s="78"/>
      <c r="AX668" s="78"/>
      <c r="AY668" s="91"/>
      <c r="AZ668" s="78"/>
      <c r="BA668" s="78"/>
      <c r="BB668" s="78"/>
      <c r="BC668" s="78"/>
      <c r="BD668" s="78"/>
      <c r="BE668" s="78"/>
      <c r="BF668" s="78"/>
      <c r="BG668" s="78"/>
      <c r="BH668" s="78"/>
      <c r="BI668" s="78"/>
      <c r="BJ668" s="78"/>
      <c r="BK668" s="78"/>
      <c r="BL668" s="78"/>
      <c r="BM668" s="78"/>
      <c r="BN668" s="78"/>
      <c r="BO668" s="78"/>
      <c r="BP668" s="78"/>
      <c r="BQ668" s="78"/>
      <c r="BR668" s="78"/>
      <c r="BS668" s="78"/>
      <c r="BT668" s="78"/>
      <c r="BU668" s="78"/>
      <c r="BV668" s="78"/>
      <c r="BW668" s="78"/>
      <c r="BX668" s="78"/>
      <c r="BY668" s="78"/>
      <c r="BZ668" s="78"/>
      <c r="CA668" s="78"/>
      <c r="CB668" s="78"/>
      <c r="CC668" s="78"/>
      <c r="CD668" s="78"/>
      <c r="CE668" s="78"/>
      <c r="CF668" s="78"/>
      <c r="CG668" s="78"/>
      <c r="CH668" s="78"/>
      <c r="CI668" s="78"/>
      <c r="CJ668" s="78"/>
      <c r="CK668" s="78"/>
      <c r="CL668" s="78"/>
      <c r="CM668" s="78"/>
      <c r="CN668" s="78"/>
      <c r="CO668" s="78"/>
      <c r="CP668" s="78"/>
      <c r="CQ668" s="78"/>
      <c r="CR668" s="78"/>
      <c r="CS668" s="78"/>
      <c r="CT668" s="78"/>
      <c r="CU668" s="78"/>
      <c r="CV668" s="78"/>
      <c r="CW668" s="78"/>
      <c r="CX668" s="78"/>
      <c r="CY668" s="78"/>
      <c r="CZ668" s="78"/>
      <c r="DA668" s="78"/>
      <c r="DB668" s="78"/>
      <c r="DC668" s="78"/>
      <c r="DD668" s="78"/>
      <c r="DE668" s="78"/>
      <c r="DF668" s="78"/>
      <c r="DG668" s="78"/>
      <c r="DH668" s="78"/>
      <c r="DI668" s="78"/>
      <c r="DJ668" s="78"/>
      <c r="DK668" s="78"/>
      <c r="DL668" s="78"/>
      <c r="DM668" s="78"/>
      <c r="DN668" s="78"/>
      <c r="DO668" s="78"/>
      <c r="DP668" s="78"/>
      <c r="DQ668" s="78"/>
      <c r="DR668" s="78"/>
      <c r="DS668" s="78"/>
      <c r="DT668" s="78"/>
      <c r="DU668" s="78"/>
      <c r="DV668" s="78"/>
      <c r="DW668" s="78"/>
      <c r="DX668" s="78"/>
      <c r="DY668" s="78"/>
      <c r="DZ668" s="78"/>
      <c r="EA668" s="78"/>
      <c r="EB668" s="78"/>
      <c r="EC668" s="78"/>
      <c r="ED668" s="78"/>
      <c r="EE668" s="78"/>
      <c r="EF668" s="78"/>
      <c r="EG668" s="78"/>
      <c r="EH668" s="78"/>
      <c r="EI668" s="78"/>
      <c r="EJ668" s="78"/>
      <c r="EK668" s="78"/>
      <c r="EL668" s="78"/>
      <c r="EM668" s="78"/>
      <c r="EN668" s="91"/>
      <c r="EO668" s="91"/>
      <c r="EP668" s="91"/>
      <c r="EQ668" s="91"/>
      <c r="ER668" s="91"/>
      <c r="ES668" s="91"/>
    </row>
    <row r="669" spans="1:149" outlineLevel="1">
      <c r="A669" s="29" t="str">
        <f t="shared" si="362"/>
        <v>lt002_instrumentLTV_INCPTN</v>
      </c>
      <c r="B669" s="67" t="s">
        <v>26</v>
      </c>
      <c r="C669" s="68" t="s">
        <v>26</v>
      </c>
      <c r="D669" s="64" t="s">
        <v>40</v>
      </c>
      <c r="E669" s="70" t="s">
        <v>379</v>
      </c>
      <c r="F669" s="71" t="s">
        <v>2168</v>
      </c>
      <c r="G669" s="64" t="str">
        <f>INDEX(Auxiliar!$B$16:$B$24,MATCH(Plano_V3!H669,Auxiliar!$C$16:$C$24,0),1)</f>
        <v>1. Concluído</v>
      </c>
      <c r="H669" s="64">
        <f>VLOOKUP(A669,'Aux - pivots1'!$A:$B,2,0)</f>
        <v>1</v>
      </c>
      <c r="I669" s="172">
        <f>SUMIFS(Table1[Estimação (horas)],Table1[Tabela],Plano_V3!E669,Table1[Campo],Plano_V3!F669)</f>
        <v>2</v>
      </c>
      <c r="J669" s="172">
        <f t="shared" si="363"/>
        <v>0.25</v>
      </c>
      <c r="K669" s="172">
        <f>SUMIFS(Table1[Horas efetivas],Table1[Tabela],Plano_V3!E669,Table1[Campo],Plano_V3!F669)</f>
        <v>2</v>
      </c>
      <c r="L669" s="172">
        <f t="shared" si="364"/>
        <v>0.25</v>
      </c>
      <c r="M669" s="174"/>
      <c r="N669" s="174">
        <f t="shared" si="365"/>
        <v>1</v>
      </c>
      <c r="O669" s="174"/>
      <c r="P669" s="89" t="s">
        <v>39</v>
      </c>
      <c r="R669" s="78"/>
      <c r="S669" s="78"/>
      <c r="T669" s="78"/>
      <c r="U669" s="78"/>
      <c r="V669" s="78"/>
      <c r="W669" s="78"/>
      <c r="X669" s="78"/>
      <c r="Y669" s="78"/>
      <c r="Z669" s="78"/>
      <c r="AA669" s="78"/>
      <c r="AB669" s="78"/>
      <c r="AC669" s="78"/>
      <c r="AD669" s="78"/>
      <c r="AE669" s="78"/>
      <c r="AF669" s="78"/>
      <c r="AG669" s="78"/>
      <c r="AH669" s="78"/>
      <c r="AI669" s="78"/>
      <c r="AJ669" s="78"/>
      <c r="AK669" s="78"/>
      <c r="AL669" s="78"/>
      <c r="AM669" s="78"/>
      <c r="AN669" s="78"/>
      <c r="AO669" s="78"/>
      <c r="AP669" s="78"/>
      <c r="AQ669" s="78"/>
      <c r="AR669" s="78"/>
      <c r="AS669" s="78"/>
      <c r="AT669" s="78"/>
      <c r="AU669" s="78"/>
      <c r="AV669" s="78"/>
      <c r="AW669" s="78"/>
      <c r="AX669" s="78"/>
      <c r="AY669" s="91"/>
      <c r="AZ669" s="78"/>
      <c r="BA669" s="78"/>
      <c r="BB669" s="78"/>
      <c r="BC669" s="78"/>
      <c r="BD669" s="78"/>
      <c r="BE669" s="78"/>
      <c r="BF669" s="78"/>
      <c r="BG669" s="78"/>
      <c r="BH669" s="78"/>
      <c r="BI669" s="78"/>
      <c r="BJ669" s="78"/>
      <c r="BK669" s="78"/>
      <c r="BL669" s="78"/>
      <c r="BM669" s="78"/>
      <c r="BN669" s="78"/>
      <c r="BO669" s="78"/>
      <c r="BP669" s="78"/>
      <c r="BQ669" s="78"/>
      <c r="BR669" s="78"/>
      <c r="BS669" s="78"/>
      <c r="BT669" s="78"/>
      <c r="BU669" s="78"/>
      <c r="BV669" s="78"/>
      <c r="BW669" s="78"/>
      <c r="BX669" s="78"/>
      <c r="BY669" s="78"/>
      <c r="BZ669" s="78"/>
      <c r="CA669" s="78"/>
      <c r="CB669" s="78"/>
      <c r="CC669" s="78"/>
      <c r="CD669" s="78"/>
      <c r="CE669" s="78"/>
      <c r="CF669" s="78"/>
      <c r="CG669" s="78"/>
      <c r="CH669" s="78"/>
      <c r="CI669" s="78"/>
      <c r="CJ669" s="78"/>
      <c r="CK669" s="78"/>
      <c r="CL669" s="78"/>
      <c r="CM669" s="78"/>
      <c r="CN669" s="78"/>
      <c r="CO669" s="78"/>
      <c r="CP669" s="78"/>
      <c r="CQ669" s="78"/>
      <c r="CR669" s="78"/>
      <c r="CS669" s="78"/>
      <c r="CT669" s="78"/>
      <c r="CU669" s="78"/>
      <c r="CV669" s="78"/>
      <c r="CW669" s="78"/>
      <c r="CX669" s="78"/>
      <c r="CY669" s="78"/>
      <c r="CZ669" s="78"/>
      <c r="DA669" s="78"/>
      <c r="DB669" s="78"/>
      <c r="DC669" s="78"/>
      <c r="DD669" s="78"/>
      <c r="DE669" s="78"/>
      <c r="DF669" s="78"/>
      <c r="DG669" s="78"/>
      <c r="DH669" s="78"/>
      <c r="DI669" s="78"/>
      <c r="DJ669" s="78"/>
      <c r="DK669" s="78"/>
      <c r="DL669" s="78"/>
      <c r="DM669" s="78"/>
      <c r="DN669" s="78"/>
      <c r="DO669" s="78"/>
      <c r="DP669" s="78"/>
      <c r="DQ669" s="78"/>
      <c r="DR669" s="78"/>
      <c r="DS669" s="78"/>
      <c r="DT669" s="78"/>
      <c r="DU669" s="78"/>
      <c r="DV669" s="78"/>
      <c r="DW669" s="78"/>
      <c r="DX669" s="78"/>
      <c r="DY669" s="78"/>
      <c r="DZ669" s="78"/>
      <c r="EA669" s="78"/>
      <c r="EB669" s="78"/>
      <c r="EC669" s="78"/>
      <c r="ED669" s="78"/>
      <c r="EE669" s="78"/>
      <c r="EF669" s="78"/>
      <c r="EG669" s="78"/>
      <c r="EH669" s="78"/>
      <c r="EI669" s="78"/>
      <c r="EJ669" s="78"/>
      <c r="EK669" s="78"/>
      <c r="EL669" s="78"/>
      <c r="EM669" s="78"/>
      <c r="EN669" s="91"/>
      <c r="EO669" s="91"/>
      <c r="EP669" s="91"/>
      <c r="EQ669" s="91"/>
      <c r="ER669" s="91"/>
      <c r="ES669" s="91"/>
    </row>
    <row r="670" spans="1:149" outlineLevel="1">
      <c r="A670" s="29" t="str">
        <f t="shared" si="362"/>
        <v>lt002_instrumentEIR</v>
      </c>
      <c r="B670" s="67" t="s">
        <v>26</v>
      </c>
      <c r="C670" s="68" t="s">
        <v>26</v>
      </c>
      <c r="D670" s="64" t="s">
        <v>40</v>
      </c>
      <c r="E670" s="70" t="s">
        <v>379</v>
      </c>
      <c r="F670" s="71" t="s">
        <v>2169</v>
      </c>
      <c r="G670" s="64" t="str">
        <f>INDEX(Auxiliar!$B$16:$B$24,MATCH(Plano_V3!H670,Auxiliar!$C$16:$C$24,0),1)</f>
        <v>1. Concluído</v>
      </c>
      <c r="H670" s="64">
        <f>VLOOKUP(A670,'Aux - pivots1'!$A:$B,2,0)</f>
        <v>1</v>
      </c>
      <c r="I670" s="172">
        <f>SUMIFS(Table1[Estimação (horas)],Table1[Tabela],Plano_V3!E670,Table1[Campo],Plano_V3!F670)</f>
        <v>2</v>
      </c>
      <c r="J670" s="172">
        <f t="shared" si="363"/>
        <v>0.25</v>
      </c>
      <c r="K670" s="172">
        <f>SUMIFS(Table1[Horas efetivas],Table1[Tabela],Plano_V3!E670,Table1[Campo],Plano_V3!F670)</f>
        <v>2</v>
      </c>
      <c r="L670" s="172">
        <f t="shared" si="364"/>
        <v>0.25</v>
      </c>
      <c r="M670" s="174"/>
      <c r="N670" s="174">
        <f t="shared" si="365"/>
        <v>1</v>
      </c>
      <c r="O670" s="174"/>
      <c r="P670" s="89" t="s">
        <v>39</v>
      </c>
      <c r="R670" s="78"/>
      <c r="S670" s="78"/>
      <c r="T670" s="78"/>
      <c r="U670" s="78"/>
      <c r="V670" s="78"/>
      <c r="W670" s="78"/>
      <c r="X670" s="78"/>
      <c r="Y670" s="78"/>
      <c r="Z670" s="78"/>
      <c r="AA670" s="78"/>
      <c r="AB670" s="78"/>
      <c r="AC670" s="78"/>
      <c r="AD670" s="78"/>
      <c r="AE670" s="78"/>
      <c r="AF670" s="78"/>
      <c r="AG670" s="78"/>
      <c r="AH670" s="78"/>
      <c r="AI670" s="78"/>
      <c r="AJ670" s="78"/>
      <c r="AK670" s="78"/>
      <c r="AL670" s="78"/>
      <c r="AM670" s="78"/>
      <c r="AN670" s="78"/>
      <c r="AO670" s="78"/>
      <c r="AP670" s="78"/>
      <c r="AQ670" s="78"/>
      <c r="AR670" s="78"/>
      <c r="AS670" s="78"/>
      <c r="AT670" s="78"/>
      <c r="AU670" s="78"/>
      <c r="AV670" s="78"/>
      <c r="AW670" s="78"/>
      <c r="AX670" s="78"/>
      <c r="AY670" s="91"/>
      <c r="AZ670" s="78"/>
      <c r="BA670" s="78"/>
      <c r="BB670" s="78"/>
      <c r="BC670" s="78"/>
      <c r="BD670" s="78"/>
      <c r="BE670" s="78"/>
      <c r="BF670" s="78"/>
      <c r="BG670" s="78"/>
      <c r="BH670" s="78"/>
      <c r="BI670" s="78"/>
      <c r="BJ670" s="78"/>
      <c r="BK670" s="78"/>
      <c r="BL670" s="78"/>
      <c r="BM670" s="78"/>
      <c r="BN670" s="78"/>
      <c r="BO670" s="78"/>
      <c r="BP670" s="78"/>
      <c r="BQ670" s="78"/>
      <c r="BR670" s="78"/>
      <c r="BS670" s="78"/>
      <c r="BT670" s="78"/>
      <c r="BU670" s="78"/>
      <c r="BV670" s="78"/>
      <c r="BW670" s="78"/>
      <c r="BX670" s="78"/>
      <c r="BY670" s="78"/>
      <c r="BZ670" s="78"/>
      <c r="CA670" s="78"/>
      <c r="CB670" s="78"/>
      <c r="CC670" s="78"/>
      <c r="CD670" s="78"/>
      <c r="CE670" s="78"/>
      <c r="CF670" s="78"/>
      <c r="CG670" s="78"/>
      <c r="CH670" s="78"/>
      <c r="CI670" s="78"/>
      <c r="CJ670" s="78"/>
      <c r="CK670" s="78"/>
      <c r="CL670" s="78"/>
      <c r="CM670" s="78"/>
      <c r="CN670" s="78"/>
      <c r="CO670" s="78"/>
      <c r="CP670" s="78"/>
      <c r="CQ670" s="78"/>
      <c r="CR670" s="78"/>
      <c r="CS670" s="78"/>
      <c r="CT670" s="78"/>
      <c r="CU670" s="78"/>
      <c r="CV670" s="78"/>
      <c r="CW670" s="78"/>
      <c r="CX670" s="78"/>
      <c r="CY670" s="78"/>
      <c r="CZ670" s="78"/>
      <c r="DA670" s="78"/>
      <c r="DB670" s="78"/>
      <c r="DC670" s="78"/>
      <c r="DD670" s="78"/>
      <c r="DE670" s="78"/>
      <c r="DF670" s="78"/>
      <c r="DG670" s="78"/>
      <c r="DH670" s="78"/>
      <c r="DI670" s="78"/>
      <c r="DJ670" s="78"/>
      <c r="DK670" s="78"/>
      <c r="DL670" s="78"/>
      <c r="DM670" s="78"/>
      <c r="DN670" s="78"/>
      <c r="DO670" s="78"/>
      <c r="DP670" s="78"/>
      <c r="DQ670" s="78"/>
      <c r="DR670" s="78"/>
      <c r="DS670" s="78"/>
      <c r="DT670" s="78"/>
      <c r="DU670" s="78"/>
      <c r="DV670" s="78"/>
      <c r="DW670" s="78"/>
      <c r="DX670" s="78"/>
      <c r="DY670" s="78"/>
      <c r="DZ670" s="78"/>
      <c r="EA670" s="78"/>
      <c r="EB670" s="78"/>
      <c r="EC670" s="78"/>
      <c r="ED670" s="78"/>
      <c r="EE670" s="78"/>
      <c r="EF670" s="78"/>
      <c r="EG670" s="78"/>
      <c r="EH670" s="78"/>
      <c r="EI670" s="78"/>
      <c r="EJ670" s="78"/>
      <c r="EK670" s="78"/>
      <c r="EL670" s="78"/>
      <c r="EM670" s="78"/>
      <c r="EN670" s="91"/>
      <c r="EO670" s="91"/>
      <c r="EP670" s="91"/>
      <c r="EQ670" s="91"/>
      <c r="ER670" s="91"/>
      <c r="ES670" s="91"/>
    </row>
    <row r="671" spans="1:149" outlineLevel="1">
      <c r="A671" s="29" t="str">
        <f t="shared" si="362"/>
        <v>lt002_instrumentEIR_INCPTN</v>
      </c>
      <c r="B671" s="67" t="s">
        <v>26</v>
      </c>
      <c r="C671" s="68" t="s">
        <v>26</v>
      </c>
      <c r="D671" s="64" t="s">
        <v>40</v>
      </c>
      <c r="E671" s="70" t="s">
        <v>379</v>
      </c>
      <c r="F671" s="71" t="s">
        <v>2170</v>
      </c>
      <c r="G671" s="64" t="str">
        <f>INDEX(Auxiliar!$B$16:$B$24,MATCH(Plano_V3!H671,Auxiliar!$C$16:$C$24,0),1)</f>
        <v>1. Concluído</v>
      </c>
      <c r="H671" s="64">
        <f>VLOOKUP(A671,'Aux - pivots1'!$A:$B,2,0)</f>
        <v>1</v>
      </c>
      <c r="I671" s="172">
        <f>SUMIFS(Table1[Estimação (horas)],Table1[Tabela],Plano_V3!E671,Table1[Campo],Plano_V3!F671)</f>
        <v>2</v>
      </c>
      <c r="J671" s="172">
        <f t="shared" si="363"/>
        <v>0.25</v>
      </c>
      <c r="K671" s="172">
        <f>SUMIFS(Table1[Horas efetivas],Table1[Tabela],Plano_V3!E671,Table1[Campo],Plano_V3!F671)</f>
        <v>2</v>
      </c>
      <c r="L671" s="172">
        <f t="shared" si="364"/>
        <v>0.25</v>
      </c>
      <c r="M671" s="174"/>
      <c r="N671" s="174">
        <f t="shared" si="365"/>
        <v>1</v>
      </c>
      <c r="O671" s="174"/>
      <c r="P671" s="89" t="s">
        <v>39</v>
      </c>
      <c r="R671" s="78"/>
      <c r="S671" s="78"/>
      <c r="T671" s="78"/>
      <c r="U671" s="78"/>
      <c r="V671" s="78"/>
      <c r="W671" s="78"/>
      <c r="X671" s="78"/>
      <c r="Y671" s="78"/>
      <c r="Z671" s="78"/>
      <c r="AA671" s="78"/>
      <c r="AB671" s="78"/>
      <c r="AC671" s="78"/>
      <c r="AD671" s="78"/>
      <c r="AE671" s="78"/>
      <c r="AF671" s="78"/>
      <c r="AG671" s="78"/>
      <c r="AH671" s="78"/>
      <c r="AI671" s="78"/>
      <c r="AJ671" s="78"/>
      <c r="AK671" s="78"/>
      <c r="AL671" s="78"/>
      <c r="AM671" s="78"/>
      <c r="AN671" s="78"/>
      <c r="AO671" s="78"/>
      <c r="AP671" s="78"/>
      <c r="AQ671" s="78"/>
      <c r="AR671" s="78"/>
      <c r="AS671" s="78"/>
      <c r="AT671" s="78"/>
      <c r="AU671" s="78"/>
      <c r="AV671" s="78"/>
      <c r="AW671" s="78"/>
      <c r="AX671" s="78"/>
      <c r="AY671" s="91"/>
      <c r="AZ671" s="78"/>
      <c r="BA671" s="78"/>
      <c r="BB671" s="78"/>
      <c r="BC671" s="78"/>
      <c r="BD671" s="78"/>
      <c r="BE671" s="78"/>
      <c r="BF671" s="78"/>
      <c r="BG671" s="78"/>
      <c r="BH671" s="78"/>
      <c r="BI671" s="78"/>
      <c r="BJ671" s="78"/>
      <c r="BK671" s="78"/>
      <c r="BL671" s="78"/>
      <c r="BM671" s="78"/>
      <c r="BN671" s="78"/>
      <c r="BO671" s="78"/>
      <c r="BP671" s="78"/>
      <c r="BQ671" s="78"/>
      <c r="BR671" s="78"/>
      <c r="BS671" s="78"/>
      <c r="BT671" s="78"/>
      <c r="BU671" s="78"/>
      <c r="BV671" s="78"/>
      <c r="BW671" s="78"/>
      <c r="BX671" s="78"/>
      <c r="BY671" s="78"/>
      <c r="BZ671" s="78"/>
      <c r="CA671" s="78"/>
      <c r="CB671" s="78"/>
      <c r="CC671" s="78"/>
      <c r="CD671" s="78"/>
      <c r="CE671" s="78"/>
      <c r="CF671" s="78"/>
      <c r="CG671" s="78"/>
      <c r="CH671" s="78"/>
      <c r="CI671" s="78"/>
      <c r="CJ671" s="78"/>
      <c r="CK671" s="78"/>
      <c r="CL671" s="78"/>
      <c r="CM671" s="78"/>
      <c r="CN671" s="78"/>
      <c r="CO671" s="78"/>
      <c r="CP671" s="78"/>
      <c r="CQ671" s="78"/>
      <c r="CR671" s="78"/>
      <c r="CS671" s="78"/>
      <c r="CT671" s="78"/>
      <c r="CU671" s="78"/>
      <c r="CV671" s="78"/>
      <c r="CW671" s="78"/>
      <c r="CX671" s="78"/>
      <c r="CY671" s="78"/>
      <c r="CZ671" s="78"/>
      <c r="DA671" s="78"/>
      <c r="DB671" s="78"/>
      <c r="DC671" s="78"/>
      <c r="DD671" s="78"/>
      <c r="DE671" s="78"/>
      <c r="DF671" s="78"/>
      <c r="DG671" s="78"/>
      <c r="DH671" s="78"/>
      <c r="DI671" s="78"/>
      <c r="DJ671" s="78"/>
      <c r="DK671" s="78"/>
      <c r="DL671" s="78"/>
      <c r="DM671" s="78"/>
      <c r="DN671" s="78"/>
      <c r="DO671" s="78"/>
      <c r="DP671" s="78"/>
      <c r="DQ671" s="78"/>
      <c r="DR671" s="78"/>
      <c r="DS671" s="78"/>
      <c r="DT671" s="78"/>
      <c r="DU671" s="78"/>
      <c r="DV671" s="78"/>
      <c r="DW671" s="78"/>
      <c r="DX671" s="78"/>
      <c r="DY671" s="78"/>
      <c r="DZ671" s="78"/>
      <c r="EA671" s="78"/>
      <c r="EB671" s="78"/>
      <c r="EC671" s="78"/>
      <c r="ED671" s="78"/>
      <c r="EE671" s="78"/>
      <c r="EF671" s="78"/>
      <c r="EG671" s="78"/>
      <c r="EH671" s="78"/>
      <c r="EI671" s="78"/>
      <c r="EJ671" s="78"/>
      <c r="EK671" s="78"/>
      <c r="EL671" s="78"/>
      <c r="EM671" s="78"/>
      <c r="EN671" s="91"/>
      <c r="EO671" s="91"/>
      <c r="EP671" s="91"/>
      <c r="EQ671" s="91"/>
      <c r="ER671" s="91"/>
      <c r="ES671" s="91"/>
    </row>
    <row r="672" spans="1:149" outlineLevel="1">
      <c r="A672" s="29" t="str">
        <f t="shared" si="362"/>
        <v>lt002_instrumentINTRNL_SGMNT_CAT_MSTA</v>
      </c>
      <c r="B672" s="67" t="s">
        <v>26</v>
      </c>
      <c r="C672" s="68" t="s">
        <v>26</v>
      </c>
      <c r="D672" s="64" t="s">
        <v>40</v>
      </c>
      <c r="E672" s="70" t="s">
        <v>379</v>
      </c>
      <c r="F672" s="71" t="s">
        <v>2171</v>
      </c>
      <c r="G672" s="64" t="str">
        <f>INDEX(Auxiliar!$B$16:$B$24,MATCH(Plano_V3!H672,Auxiliar!$C$16:$C$24,0),1)</f>
        <v>1. Concluído</v>
      </c>
      <c r="H672" s="64">
        <f>VLOOKUP(A672,'Aux - pivots1'!$A:$B,2,0)</f>
        <v>1</v>
      </c>
      <c r="I672" s="172">
        <f>SUMIFS(Table1[Estimação (horas)],Table1[Tabela],Plano_V3!E672,Table1[Campo],Plano_V3!F672)</f>
        <v>2</v>
      </c>
      <c r="J672" s="172">
        <f t="shared" si="363"/>
        <v>0.25</v>
      </c>
      <c r="K672" s="172">
        <f>SUMIFS(Table1[Horas efetivas],Table1[Tabela],Plano_V3!E672,Table1[Campo],Plano_V3!F672)</f>
        <v>2</v>
      </c>
      <c r="L672" s="172">
        <f t="shared" si="364"/>
        <v>0.25</v>
      </c>
      <c r="M672" s="174"/>
      <c r="N672" s="174">
        <f t="shared" si="365"/>
        <v>1</v>
      </c>
      <c r="O672" s="174"/>
      <c r="P672" s="89" t="s">
        <v>39</v>
      </c>
      <c r="R672" s="78"/>
      <c r="S672" s="78"/>
      <c r="T672" s="78"/>
      <c r="U672" s="78"/>
      <c r="V672" s="78"/>
      <c r="W672" s="78"/>
      <c r="X672" s="78"/>
      <c r="Y672" s="78"/>
      <c r="Z672" s="78"/>
      <c r="AA672" s="78"/>
      <c r="AB672" s="78"/>
      <c r="AC672" s="78"/>
      <c r="AD672" s="78"/>
      <c r="AE672" s="78"/>
      <c r="AF672" s="78"/>
      <c r="AG672" s="78"/>
      <c r="AH672" s="78"/>
      <c r="AI672" s="78"/>
      <c r="AJ672" s="78"/>
      <c r="AK672" s="78"/>
      <c r="AL672" s="78"/>
      <c r="AM672" s="78"/>
      <c r="AN672" s="78"/>
      <c r="AO672" s="78"/>
      <c r="AP672" s="78"/>
      <c r="AQ672" s="78"/>
      <c r="AR672" s="78"/>
      <c r="AS672" s="78"/>
      <c r="AT672" s="78"/>
      <c r="AU672" s="78"/>
      <c r="AV672" s="78"/>
      <c r="AW672" s="78"/>
      <c r="AX672" s="78"/>
      <c r="AY672" s="91"/>
      <c r="AZ672" s="78"/>
      <c r="BA672" s="78"/>
      <c r="BB672" s="78"/>
      <c r="BC672" s="78"/>
      <c r="BD672" s="78"/>
      <c r="BE672" s="78"/>
      <c r="BF672" s="78"/>
      <c r="BG672" s="78"/>
      <c r="BH672" s="78"/>
      <c r="BI672" s="78"/>
      <c r="BJ672" s="78"/>
      <c r="BK672" s="78"/>
      <c r="BL672" s="78"/>
      <c r="BM672" s="78"/>
      <c r="BN672" s="78"/>
      <c r="BO672" s="78"/>
      <c r="BP672" s="78"/>
      <c r="BQ672" s="78"/>
      <c r="BR672" s="78"/>
      <c r="BS672" s="78"/>
      <c r="BT672" s="78"/>
      <c r="BU672" s="78"/>
      <c r="BV672" s="78"/>
      <c r="BW672" s="78"/>
      <c r="BX672" s="78"/>
      <c r="BY672" s="78"/>
      <c r="BZ672" s="78"/>
      <c r="CA672" s="78"/>
      <c r="CB672" s="78"/>
      <c r="CC672" s="78"/>
      <c r="CD672" s="78"/>
      <c r="CE672" s="78"/>
      <c r="CF672" s="78"/>
      <c r="CG672" s="78"/>
      <c r="CH672" s="78"/>
      <c r="CI672" s="78"/>
      <c r="CJ672" s="78"/>
      <c r="CK672" s="78"/>
      <c r="CL672" s="78"/>
      <c r="CM672" s="78"/>
      <c r="CN672" s="78"/>
      <c r="CO672" s="78"/>
      <c r="CP672" s="78"/>
      <c r="CQ672" s="78"/>
      <c r="CR672" s="78"/>
      <c r="CS672" s="78"/>
      <c r="CT672" s="78"/>
      <c r="CU672" s="78"/>
      <c r="CV672" s="78"/>
      <c r="CW672" s="78"/>
      <c r="CX672" s="78"/>
      <c r="CY672" s="78"/>
      <c r="CZ672" s="78"/>
      <c r="DA672" s="78"/>
      <c r="DB672" s="78"/>
      <c r="DC672" s="78"/>
      <c r="DD672" s="78"/>
      <c r="DE672" s="78"/>
      <c r="DF672" s="78"/>
      <c r="DG672" s="78"/>
      <c r="DH672" s="78"/>
      <c r="DI672" s="78"/>
      <c r="DJ672" s="78"/>
      <c r="DK672" s="78"/>
      <c r="DL672" s="78"/>
      <c r="DM672" s="78"/>
      <c r="DN672" s="78"/>
      <c r="DO672" s="78"/>
      <c r="DP672" s="78"/>
      <c r="DQ672" s="78"/>
      <c r="DR672" s="78"/>
      <c r="DS672" s="78"/>
      <c r="DT672" s="78"/>
      <c r="DU672" s="78"/>
      <c r="DV672" s="78"/>
      <c r="DW672" s="78"/>
      <c r="DX672" s="78"/>
      <c r="DY672" s="78"/>
      <c r="DZ672" s="78"/>
      <c r="EA672" s="78"/>
      <c r="EB672" s="78"/>
      <c r="EC672" s="78"/>
      <c r="ED672" s="78"/>
      <c r="EE672" s="78"/>
      <c r="EF672" s="78"/>
      <c r="EG672" s="78"/>
      <c r="EH672" s="78"/>
      <c r="EI672" s="78"/>
      <c r="EJ672" s="78"/>
      <c r="EK672" s="78"/>
      <c r="EL672" s="78"/>
      <c r="EM672" s="78"/>
      <c r="EN672" s="91"/>
      <c r="EO672" s="91"/>
      <c r="EP672" s="91"/>
      <c r="EQ672" s="91"/>
      <c r="ER672" s="91"/>
      <c r="ES672" s="91"/>
    </row>
    <row r="673" spans="1:149" outlineLevel="1">
      <c r="A673" s="29" t="str">
        <f t="shared" si="362"/>
        <v>lt002_instrumentINTRNL_SGMNT_CATGSUB</v>
      </c>
      <c r="B673" s="67" t="s">
        <v>26</v>
      </c>
      <c r="C673" s="68" t="s">
        <v>26</v>
      </c>
      <c r="D673" s="64" t="s">
        <v>40</v>
      </c>
      <c r="E673" s="70" t="s">
        <v>379</v>
      </c>
      <c r="F673" s="71" t="s">
        <v>2172</v>
      </c>
      <c r="G673" s="64" t="str">
        <f>INDEX(Auxiliar!$B$16:$B$24,MATCH(Plano_V3!H673,Auxiliar!$C$16:$C$24,0),1)</f>
        <v>1. Concluído</v>
      </c>
      <c r="H673" s="64">
        <f>VLOOKUP(A673,'Aux - pivots1'!$A:$B,2,0)</f>
        <v>1</v>
      </c>
      <c r="I673" s="172">
        <f>SUMIFS(Table1[Estimação (horas)],Table1[Tabela],Plano_V3!E673,Table1[Campo],Plano_V3!F673)</f>
        <v>2</v>
      </c>
      <c r="J673" s="172">
        <f t="shared" si="363"/>
        <v>0.25</v>
      </c>
      <c r="K673" s="172">
        <f>SUMIFS(Table1[Horas efetivas],Table1[Tabela],Plano_V3!E673,Table1[Campo],Plano_V3!F673)</f>
        <v>2</v>
      </c>
      <c r="L673" s="172">
        <f t="shared" si="364"/>
        <v>0.25</v>
      </c>
      <c r="M673" s="174"/>
      <c r="N673" s="174">
        <f t="shared" si="365"/>
        <v>1</v>
      </c>
      <c r="O673" s="174"/>
      <c r="P673" s="89" t="s">
        <v>39</v>
      </c>
      <c r="R673" s="78"/>
      <c r="S673" s="78"/>
      <c r="T673" s="78"/>
      <c r="U673" s="78"/>
      <c r="V673" s="78"/>
      <c r="W673" s="78"/>
      <c r="X673" s="78"/>
      <c r="Y673" s="78"/>
      <c r="Z673" s="78"/>
      <c r="AA673" s="78"/>
      <c r="AB673" s="78"/>
      <c r="AC673" s="78"/>
      <c r="AD673" s="78"/>
      <c r="AE673" s="78"/>
      <c r="AF673" s="78"/>
      <c r="AG673" s="78"/>
      <c r="AH673" s="78"/>
      <c r="AI673" s="78"/>
      <c r="AJ673" s="78"/>
      <c r="AK673" s="78"/>
      <c r="AL673" s="78"/>
      <c r="AM673" s="78"/>
      <c r="AN673" s="78"/>
      <c r="AO673" s="78"/>
      <c r="AP673" s="78"/>
      <c r="AQ673" s="78"/>
      <c r="AR673" s="78"/>
      <c r="AS673" s="78"/>
      <c r="AT673" s="78"/>
      <c r="AU673" s="78"/>
      <c r="AV673" s="78"/>
      <c r="AW673" s="78"/>
      <c r="AX673" s="78"/>
      <c r="AY673" s="91"/>
      <c r="AZ673" s="78"/>
      <c r="BA673" s="78"/>
      <c r="BB673" s="78"/>
      <c r="BC673" s="78"/>
      <c r="BD673" s="78"/>
      <c r="BE673" s="78"/>
      <c r="BF673" s="78"/>
      <c r="BG673" s="78"/>
      <c r="BH673" s="78"/>
      <c r="BI673" s="78"/>
      <c r="BJ673" s="78"/>
      <c r="BK673" s="78"/>
      <c r="BL673" s="78"/>
      <c r="BM673" s="78"/>
      <c r="BN673" s="78"/>
      <c r="BO673" s="78"/>
      <c r="BP673" s="78"/>
      <c r="BQ673" s="78"/>
      <c r="BR673" s="78"/>
      <c r="BS673" s="78"/>
      <c r="BT673" s="78"/>
      <c r="BU673" s="78"/>
      <c r="BV673" s="78"/>
      <c r="BW673" s="78"/>
      <c r="BX673" s="78"/>
      <c r="BY673" s="78"/>
      <c r="BZ673" s="78"/>
      <c r="CA673" s="78"/>
      <c r="CB673" s="78"/>
      <c r="CC673" s="78"/>
      <c r="CD673" s="78"/>
      <c r="CE673" s="78"/>
      <c r="CF673" s="78"/>
      <c r="CG673" s="78"/>
      <c r="CH673" s="78"/>
      <c r="CI673" s="78"/>
      <c r="CJ673" s="78"/>
      <c r="CK673" s="78"/>
      <c r="CL673" s="78"/>
      <c r="CM673" s="78"/>
      <c r="CN673" s="78"/>
      <c r="CO673" s="78"/>
      <c r="CP673" s="78"/>
      <c r="CQ673" s="78"/>
      <c r="CR673" s="78"/>
      <c r="CS673" s="78"/>
      <c r="CT673" s="78"/>
      <c r="CU673" s="78"/>
      <c r="CV673" s="78"/>
      <c r="CW673" s="78"/>
      <c r="CX673" s="78"/>
      <c r="CY673" s="78"/>
      <c r="CZ673" s="78"/>
      <c r="DA673" s="78"/>
      <c r="DB673" s="78"/>
      <c r="DC673" s="78"/>
      <c r="DD673" s="78"/>
      <c r="DE673" s="78"/>
      <c r="DF673" s="78"/>
      <c r="DG673" s="78"/>
      <c r="DH673" s="78"/>
      <c r="DI673" s="78"/>
      <c r="DJ673" s="78"/>
      <c r="DK673" s="78"/>
      <c r="DL673" s="78"/>
      <c r="DM673" s="78"/>
      <c r="DN673" s="78"/>
      <c r="DO673" s="78"/>
      <c r="DP673" s="78"/>
      <c r="DQ673" s="78"/>
      <c r="DR673" s="78"/>
      <c r="DS673" s="78"/>
      <c r="DT673" s="78"/>
      <c r="DU673" s="78"/>
      <c r="DV673" s="78"/>
      <c r="DW673" s="78"/>
      <c r="DX673" s="78"/>
      <c r="DY673" s="78"/>
      <c r="DZ673" s="78"/>
      <c r="EA673" s="78"/>
      <c r="EB673" s="78"/>
      <c r="EC673" s="78"/>
      <c r="ED673" s="78"/>
      <c r="EE673" s="78"/>
      <c r="EF673" s="78"/>
      <c r="EG673" s="78"/>
      <c r="EH673" s="78"/>
      <c r="EI673" s="78"/>
      <c r="EJ673" s="78"/>
      <c r="EK673" s="78"/>
      <c r="EL673" s="78"/>
      <c r="EM673" s="78"/>
      <c r="EN673" s="91"/>
      <c r="EO673" s="91"/>
      <c r="EP673" s="91"/>
      <c r="EQ673" s="91"/>
      <c r="ER673" s="91"/>
      <c r="ES673" s="91"/>
    </row>
    <row r="674" spans="1:149" outlineLevel="1">
      <c r="A674" s="29" t="str">
        <f t="shared" si="362"/>
        <v>lt002_instrumentNW_BSNSS</v>
      </c>
      <c r="B674" s="67" t="s">
        <v>26</v>
      </c>
      <c r="C674" s="68" t="s">
        <v>26</v>
      </c>
      <c r="D674" s="64" t="s">
        <v>40</v>
      </c>
      <c r="E674" s="70" t="s">
        <v>379</v>
      </c>
      <c r="F674" s="71" t="s">
        <v>1334</v>
      </c>
      <c r="G674" s="64" t="str">
        <f>INDEX(Auxiliar!$B$16:$B$24,MATCH(Plano_V3!H674,Auxiliar!$C$16:$C$24,0),1)</f>
        <v xml:space="preserve">6. Em implementação </v>
      </c>
      <c r="H674" s="64">
        <f>VLOOKUP(A674,'Aux - pivots1'!$A:$B,2,0)</f>
        <v>7</v>
      </c>
      <c r="I674" s="172">
        <f>SUMIFS(Table1[Estimação (horas)],Table1[Tabela],Plano_V3!E674,Table1[Campo],Plano_V3!F674)</f>
        <v>2</v>
      </c>
      <c r="J674" s="172">
        <f t="shared" si="363"/>
        <v>0.25</v>
      </c>
      <c r="K674" s="172">
        <f>SUMIFS(Table1[Horas efetivas],Table1[Tabela],Plano_V3!E674,Table1[Campo],Plano_V3!F674)</f>
        <v>0.5</v>
      </c>
      <c r="L674" s="172">
        <f t="shared" si="364"/>
        <v>6.25E-2</v>
      </c>
      <c r="M674" s="174"/>
      <c r="N674" s="174">
        <f t="shared" si="365"/>
        <v>0.25</v>
      </c>
      <c r="O674" s="174"/>
      <c r="P674" s="89" t="s">
        <v>39</v>
      </c>
      <c r="R674" s="78"/>
      <c r="S674" s="78"/>
      <c r="T674" s="78"/>
      <c r="U674" s="78"/>
      <c r="V674" s="78"/>
      <c r="W674" s="78"/>
      <c r="X674" s="78"/>
      <c r="Y674" s="78"/>
      <c r="Z674" s="78"/>
      <c r="AA674" s="78"/>
      <c r="AB674" s="78"/>
      <c r="AC674" s="78"/>
      <c r="AD674" s="78"/>
      <c r="AE674" s="78"/>
      <c r="AF674" s="78"/>
      <c r="AG674" s="78"/>
      <c r="AH674" s="78"/>
      <c r="AI674" s="78"/>
      <c r="AJ674" s="78"/>
      <c r="AK674" s="78"/>
      <c r="AL674" s="78"/>
      <c r="AM674" s="78"/>
      <c r="AN674" s="78"/>
      <c r="AO674" s="78"/>
      <c r="AP674" s="78"/>
      <c r="AQ674" s="78"/>
      <c r="AR674" s="78"/>
      <c r="AS674" s="78"/>
      <c r="AT674" s="78"/>
      <c r="AU674" s="78"/>
      <c r="AV674" s="78"/>
      <c r="AW674" s="78"/>
      <c r="AX674" s="78"/>
      <c r="AY674" s="91"/>
      <c r="AZ674" s="78"/>
      <c r="BA674" s="78"/>
      <c r="BB674" s="78"/>
      <c r="BC674" s="78"/>
      <c r="BD674" s="78"/>
      <c r="BE674" s="78"/>
      <c r="BF674" s="78"/>
      <c r="BG674" s="78"/>
      <c r="BH674" s="78"/>
      <c r="BI674" s="78"/>
      <c r="BJ674" s="78"/>
      <c r="BK674" s="78"/>
      <c r="BL674" s="78"/>
      <c r="BM674" s="78"/>
      <c r="BN674" s="78"/>
      <c r="BO674" s="78"/>
      <c r="BP674" s="78"/>
      <c r="BQ674" s="78"/>
      <c r="BR674" s="78"/>
      <c r="BS674" s="78"/>
      <c r="BT674" s="78"/>
      <c r="BU674" s="78"/>
      <c r="BV674" s="78"/>
      <c r="BW674" s="78"/>
      <c r="BX674" s="78"/>
      <c r="BY674" s="78"/>
      <c r="BZ674" s="78"/>
      <c r="CA674" s="78"/>
      <c r="CB674" s="78"/>
      <c r="CC674" s="78"/>
      <c r="CD674" s="78"/>
      <c r="CE674" s="78"/>
      <c r="CF674" s="78"/>
      <c r="CG674" s="78"/>
      <c r="CH674" s="78"/>
      <c r="CI674" s="78"/>
      <c r="CJ674" s="78"/>
      <c r="CK674" s="78"/>
      <c r="CL674" s="78"/>
      <c r="CM674" s="78"/>
      <c r="CN674" s="78"/>
      <c r="CO674" s="78"/>
      <c r="CP674" s="78"/>
      <c r="CQ674" s="78"/>
      <c r="CR674" s="78"/>
      <c r="CS674" s="78"/>
      <c r="CT674" s="78"/>
      <c r="CU674" s="78"/>
      <c r="CV674" s="78"/>
      <c r="CW674" s="78"/>
      <c r="CX674" s="78"/>
      <c r="CY674" s="78"/>
      <c r="CZ674" s="78"/>
      <c r="DA674" s="78"/>
      <c r="DB674" s="78"/>
      <c r="DC674" s="78"/>
      <c r="DD674" s="78"/>
      <c r="DE674" s="78"/>
      <c r="DF674" s="78"/>
      <c r="DG674" s="78"/>
      <c r="DH674" s="78"/>
      <c r="DI674" s="78"/>
      <c r="DJ674" s="78"/>
      <c r="DK674" s="78"/>
      <c r="DL674" s="78"/>
      <c r="DM674" s="78"/>
      <c r="DN674" s="78"/>
      <c r="DO674" s="78"/>
      <c r="DP674" s="78"/>
      <c r="DQ674" s="78"/>
      <c r="DR674" s="78"/>
      <c r="DS674" s="78"/>
      <c r="DT674" s="78"/>
      <c r="DU674" s="78"/>
      <c r="DV674" s="78"/>
      <c r="DW674" s="78"/>
      <c r="DX674" s="78"/>
      <c r="DY674" s="78"/>
      <c r="DZ674" s="78"/>
      <c r="EA674" s="78"/>
      <c r="EB674" s="78"/>
      <c r="EC674" s="78"/>
      <c r="ED674" s="78"/>
      <c r="EE674" s="78"/>
      <c r="EF674" s="78"/>
      <c r="EG674" s="78"/>
      <c r="EH674" s="78"/>
      <c r="EI674" s="78"/>
      <c r="EJ674" s="78"/>
      <c r="EK674" s="78"/>
      <c r="EL674" s="78"/>
      <c r="EM674" s="78"/>
      <c r="EN674" s="91"/>
      <c r="EO674" s="91"/>
      <c r="EP674" s="91"/>
      <c r="EQ674" s="91"/>
      <c r="ER674" s="91"/>
      <c r="ES674" s="91"/>
    </row>
    <row r="675" spans="1:149" outlineLevel="1">
      <c r="A675" s="29" t="str">
        <f t="shared" si="362"/>
        <v>lt002_instrumentCNCLLD_INSTRMNT_STTS</v>
      </c>
      <c r="B675" s="67" t="s">
        <v>26</v>
      </c>
      <c r="C675" s="68" t="s">
        <v>26</v>
      </c>
      <c r="D675" s="64" t="s">
        <v>40</v>
      </c>
      <c r="E675" s="70" t="s">
        <v>379</v>
      </c>
      <c r="F675" s="71" t="s">
        <v>1344</v>
      </c>
      <c r="G675" s="64" t="str">
        <f>INDEX(Auxiliar!$B$16:$B$24,MATCH(Plano_V3!H675,Auxiliar!$C$16:$C$24,0),1)</f>
        <v xml:space="preserve">6. Em implementação </v>
      </c>
      <c r="H675" s="64">
        <f>VLOOKUP(A675,'Aux - pivots1'!$A:$B,2,0)</f>
        <v>7</v>
      </c>
      <c r="I675" s="172">
        <f>SUMIFS(Table1[Estimação (horas)],Table1[Tabela],Plano_V3!E675,Table1[Campo],Plano_V3!F675)</f>
        <v>2</v>
      </c>
      <c r="J675" s="172">
        <f t="shared" si="363"/>
        <v>0.25</v>
      </c>
      <c r="K675" s="172">
        <f>SUMIFS(Table1[Horas efetivas],Table1[Tabela],Plano_V3!E675,Table1[Campo],Plano_V3!F675)</f>
        <v>0.5</v>
      </c>
      <c r="L675" s="172">
        <f t="shared" si="364"/>
        <v>6.25E-2</v>
      </c>
      <c r="M675" s="174"/>
      <c r="N675" s="174">
        <f t="shared" si="365"/>
        <v>0.25</v>
      </c>
      <c r="O675" s="174"/>
      <c r="P675" s="89" t="s">
        <v>39</v>
      </c>
      <c r="R675" s="78"/>
      <c r="S675" s="78"/>
      <c r="T675" s="78"/>
      <c r="U675" s="78"/>
      <c r="V675" s="78"/>
      <c r="W675" s="78"/>
      <c r="X675" s="78"/>
      <c r="Y675" s="78"/>
      <c r="Z675" s="78"/>
      <c r="AA675" s="78"/>
      <c r="AB675" s="78"/>
      <c r="AC675" s="78"/>
      <c r="AD675" s="78"/>
      <c r="AE675" s="78"/>
      <c r="AF675" s="78"/>
      <c r="AG675" s="78"/>
      <c r="AH675" s="78"/>
      <c r="AI675" s="78"/>
      <c r="AJ675" s="78"/>
      <c r="AK675" s="78"/>
      <c r="AL675" s="78"/>
      <c r="AM675" s="78"/>
      <c r="AN675" s="78"/>
      <c r="AO675" s="78"/>
      <c r="AP675" s="78"/>
      <c r="AQ675" s="78"/>
      <c r="AR675" s="78"/>
      <c r="AS675" s="78"/>
      <c r="AT675" s="78"/>
      <c r="AU675" s="78"/>
      <c r="AV675" s="78"/>
      <c r="AW675" s="78"/>
      <c r="AX675" s="78"/>
      <c r="AY675" s="91"/>
      <c r="AZ675" s="78"/>
      <c r="BA675" s="78"/>
      <c r="BB675" s="78"/>
      <c r="BC675" s="78"/>
      <c r="BD675" s="78"/>
      <c r="BE675" s="78"/>
      <c r="BF675" s="78"/>
      <c r="BG675" s="78"/>
      <c r="BH675" s="78"/>
      <c r="BI675" s="78"/>
      <c r="BJ675" s="78"/>
      <c r="BK675" s="78"/>
      <c r="BL675" s="78"/>
      <c r="BM675" s="78"/>
      <c r="BN675" s="78"/>
      <c r="BO675" s="78"/>
      <c r="BP675" s="78"/>
      <c r="BQ675" s="78"/>
      <c r="BR675" s="78"/>
      <c r="BS675" s="78"/>
      <c r="BT675" s="78"/>
      <c r="BU675" s="78"/>
      <c r="BV675" s="78"/>
      <c r="BW675" s="78"/>
      <c r="BX675" s="78"/>
      <c r="BY675" s="78"/>
      <c r="BZ675" s="78"/>
      <c r="CA675" s="78"/>
      <c r="CB675" s="78"/>
      <c r="CC675" s="78"/>
      <c r="CD675" s="78"/>
      <c r="CE675" s="78"/>
      <c r="CF675" s="78"/>
      <c r="CG675" s="78"/>
      <c r="CH675" s="78"/>
      <c r="CI675" s="78"/>
      <c r="CJ675" s="78"/>
      <c r="CK675" s="78"/>
      <c r="CL675" s="78"/>
      <c r="CM675" s="78"/>
      <c r="CN675" s="78"/>
      <c r="CO675" s="78"/>
      <c r="CP675" s="78"/>
      <c r="CQ675" s="78"/>
      <c r="CR675" s="78"/>
      <c r="CS675" s="78"/>
      <c r="CT675" s="78"/>
      <c r="CU675" s="78"/>
      <c r="CV675" s="78"/>
      <c r="CW675" s="78"/>
      <c r="CX675" s="78"/>
      <c r="CY675" s="78"/>
      <c r="CZ675" s="78"/>
      <c r="DA675" s="78"/>
      <c r="DB675" s="78"/>
      <c r="DC675" s="78"/>
      <c r="DD675" s="78"/>
      <c r="DE675" s="78"/>
      <c r="DF675" s="78"/>
      <c r="DG675" s="78"/>
      <c r="DH675" s="78"/>
      <c r="DI675" s="78"/>
      <c r="DJ675" s="78"/>
      <c r="DK675" s="78"/>
      <c r="DL675" s="78"/>
      <c r="DM675" s="78"/>
      <c r="DN675" s="78"/>
      <c r="DO675" s="78"/>
      <c r="DP675" s="78"/>
      <c r="DQ675" s="78"/>
      <c r="DR675" s="78"/>
      <c r="DS675" s="78"/>
      <c r="DT675" s="78"/>
      <c r="DU675" s="78"/>
      <c r="DV675" s="78"/>
      <c r="DW675" s="78"/>
      <c r="DX675" s="78"/>
      <c r="DY675" s="78"/>
      <c r="DZ675" s="78"/>
      <c r="EA675" s="78"/>
      <c r="EB675" s="78"/>
      <c r="EC675" s="78"/>
      <c r="ED675" s="78"/>
      <c r="EE675" s="78"/>
      <c r="EF675" s="78"/>
      <c r="EG675" s="78"/>
      <c r="EH675" s="78"/>
      <c r="EI675" s="78"/>
      <c r="EJ675" s="78"/>
      <c r="EK675" s="78"/>
      <c r="EL675" s="78"/>
      <c r="EM675" s="78"/>
      <c r="EN675" s="91"/>
      <c r="EO675" s="91"/>
      <c r="EP675" s="91"/>
      <c r="EQ675" s="91"/>
      <c r="ER675" s="91"/>
      <c r="ES675" s="91"/>
    </row>
    <row r="676" spans="1:149" outlineLevel="1">
      <c r="A676" s="29" t="str">
        <f t="shared" si="362"/>
        <v>lt002_instrumentTYP_OFF_BLNC_PRDCT</v>
      </c>
      <c r="B676" s="67" t="s">
        <v>26</v>
      </c>
      <c r="C676" s="68" t="s">
        <v>26</v>
      </c>
      <c r="D676" s="64" t="s">
        <v>40</v>
      </c>
      <c r="E676" s="70" t="s">
        <v>379</v>
      </c>
      <c r="F676" s="71" t="s">
        <v>2173</v>
      </c>
      <c r="G676" s="64" t="str">
        <f>INDEX(Auxiliar!$B$16:$B$24,MATCH(Plano_V3!H676,Auxiliar!$C$16:$C$24,0),1)</f>
        <v xml:space="preserve">6. Em implementação </v>
      </c>
      <c r="H676" s="64">
        <f>VLOOKUP(A676,'Aux - pivots1'!$A:$B,2,0)</f>
        <v>7</v>
      </c>
      <c r="I676" s="172">
        <f>SUMIFS(Table1[Estimação (horas)],Table1[Tabela],Plano_V3!E676,Table1[Campo],Plano_V3!F676)</f>
        <v>2</v>
      </c>
      <c r="J676" s="172">
        <f t="shared" si="363"/>
        <v>0.25</v>
      </c>
      <c r="K676" s="172">
        <f>SUMIFS(Table1[Horas efetivas],Table1[Tabela],Plano_V3!E676,Table1[Campo],Plano_V3!F676)</f>
        <v>0.5</v>
      </c>
      <c r="L676" s="172">
        <f t="shared" si="364"/>
        <v>6.25E-2</v>
      </c>
      <c r="M676" s="174"/>
      <c r="N676" s="174">
        <f t="shared" si="365"/>
        <v>0.25</v>
      </c>
      <c r="O676" s="174"/>
      <c r="P676" s="89" t="s">
        <v>39</v>
      </c>
      <c r="R676" s="78"/>
      <c r="S676" s="78"/>
      <c r="T676" s="78"/>
      <c r="U676" s="78"/>
      <c r="V676" s="78"/>
      <c r="W676" s="78"/>
      <c r="X676" s="78"/>
      <c r="Y676" s="78"/>
      <c r="Z676" s="78"/>
      <c r="AA676" s="78"/>
      <c r="AB676" s="78"/>
      <c r="AC676" s="78"/>
      <c r="AD676" s="78"/>
      <c r="AE676" s="78"/>
      <c r="AF676" s="78"/>
      <c r="AG676" s="78"/>
      <c r="AH676" s="78"/>
      <c r="AI676" s="78"/>
      <c r="AJ676" s="78"/>
      <c r="AK676" s="78"/>
      <c r="AL676" s="78"/>
      <c r="AM676" s="78"/>
      <c r="AN676" s="78"/>
      <c r="AO676" s="78"/>
      <c r="AP676" s="78"/>
      <c r="AQ676" s="78"/>
      <c r="AR676" s="78"/>
      <c r="AS676" s="78"/>
      <c r="AT676" s="78"/>
      <c r="AU676" s="78"/>
      <c r="AV676" s="78"/>
      <c r="AW676" s="78"/>
      <c r="AX676" s="78"/>
      <c r="AY676" s="91"/>
      <c r="AZ676" s="78"/>
      <c r="BA676" s="78"/>
      <c r="BB676" s="78"/>
      <c r="BC676" s="78"/>
      <c r="BD676" s="78"/>
      <c r="BE676" s="78"/>
      <c r="BF676" s="78"/>
      <c r="BG676" s="78"/>
      <c r="BH676" s="78"/>
      <c r="BI676" s="78"/>
      <c r="BJ676" s="78"/>
      <c r="BK676" s="78"/>
      <c r="BL676" s="78"/>
      <c r="BM676" s="78"/>
      <c r="BN676" s="78"/>
      <c r="BO676" s="78"/>
      <c r="BP676" s="78"/>
      <c r="BQ676" s="78"/>
      <c r="BR676" s="78"/>
      <c r="BS676" s="78"/>
      <c r="BT676" s="78"/>
      <c r="BU676" s="78"/>
      <c r="BV676" s="78"/>
      <c r="BW676" s="78"/>
      <c r="BX676" s="78"/>
      <c r="BY676" s="78"/>
      <c r="BZ676" s="78"/>
      <c r="CA676" s="78"/>
      <c r="CB676" s="78"/>
      <c r="CC676" s="78"/>
      <c r="CD676" s="78"/>
      <c r="CE676" s="78"/>
      <c r="CF676" s="78"/>
      <c r="CG676" s="78"/>
      <c r="CH676" s="78"/>
      <c r="CI676" s="78"/>
      <c r="CJ676" s="78"/>
      <c r="CK676" s="78"/>
      <c r="CL676" s="78"/>
      <c r="CM676" s="78"/>
      <c r="CN676" s="78"/>
      <c r="CO676" s="78"/>
      <c r="CP676" s="78"/>
      <c r="CQ676" s="78"/>
      <c r="CR676" s="78"/>
      <c r="CS676" s="78"/>
      <c r="CT676" s="78"/>
      <c r="CU676" s="78"/>
      <c r="CV676" s="78"/>
      <c r="CW676" s="78"/>
      <c r="CX676" s="78"/>
      <c r="CY676" s="78"/>
      <c r="CZ676" s="78"/>
      <c r="DA676" s="78"/>
      <c r="DB676" s="78"/>
      <c r="DC676" s="78"/>
      <c r="DD676" s="78"/>
      <c r="DE676" s="78"/>
      <c r="DF676" s="78"/>
      <c r="DG676" s="78"/>
      <c r="DH676" s="78"/>
      <c r="DI676" s="78"/>
      <c r="DJ676" s="78"/>
      <c r="DK676" s="78"/>
      <c r="DL676" s="78"/>
      <c r="DM676" s="78"/>
      <c r="DN676" s="78"/>
      <c r="DO676" s="78"/>
      <c r="DP676" s="78"/>
      <c r="DQ676" s="78"/>
      <c r="DR676" s="78"/>
      <c r="DS676" s="78"/>
      <c r="DT676" s="78"/>
      <c r="DU676" s="78"/>
      <c r="DV676" s="78"/>
      <c r="DW676" s="78"/>
      <c r="DX676" s="78"/>
      <c r="DY676" s="78"/>
      <c r="DZ676" s="78"/>
      <c r="EA676" s="78"/>
      <c r="EB676" s="78"/>
      <c r="EC676" s="78"/>
      <c r="ED676" s="78"/>
      <c r="EE676" s="78"/>
      <c r="EF676" s="78"/>
      <c r="EG676" s="78"/>
      <c r="EH676" s="78"/>
      <c r="EI676" s="78"/>
      <c r="EJ676" s="78"/>
      <c r="EK676" s="78"/>
      <c r="EL676" s="78"/>
      <c r="EM676" s="78"/>
      <c r="EN676" s="91"/>
      <c r="EO676" s="91"/>
      <c r="EP676" s="91"/>
      <c r="EQ676" s="91"/>
      <c r="ER676" s="91"/>
      <c r="ES676" s="91"/>
    </row>
    <row r="677" spans="1:149" outlineLevel="1">
      <c r="A677" s="29" t="str">
        <f t="shared" si="362"/>
        <v>lt002_instrumentFLG_MNMM_SFGRDS</v>
      </c>
      <c r="B677" s="67" t="s">
        <v>26</v>
      </c>
      <c r="C677" s="68" t="s">
        <v>26</v>
      </c>
      <c r="D677" s="64" t="s">
        <v>40</v>
      </c>
      <c r="E677" s="70" t="s">
        <v>379</v>
      </c>
      <c r="F677" s="71" t="s">
        <v>2174</v>
      </c>
      <c r="G677" s="64" t="str">
        <f>INDEX(Auxiliar!$B$16:$B$24,MATCH(Plano_V3!H677,Auxiliar!$C$16:$C$24,0),1)</f>
        <v>1. Concluído</v>
      </c>
      <c r="H677" s="64">
        <f>VLOOKUP(A677,'Aux - pivots1'!$A:$B,2,0)</f>
        <v>1</v>
      </c>
      <c r="I677" s="172">
        <f>SUMIFS(Table1[Estimação (horas)],Table1[Tabela],Plano_V3!E677,Table1[Campo],Plano_V3!F677)</f>
        <v>2</v>
      </c>
      <c r="J677" s="172">
        <f t="shared" si="363"/>
        <v>0.25</v>
      </c>
      <c r="K677" s="172">
        <f>SUMIFS(Table1[Horas efetivas],Table1[Tabela],Plano_V3!E677,Table1[Campo],Plano_V3!F677)</f>
        <v>2</v>
      </c>
      <c r="L677" s="172">
        <f t="shared" si="364"/>
        <v>0.25</v>
      </c>
      <c r="M677" s="174"/>
      <c r="N677" s="174">
        <f t="shared" si="365"/>
        <v>1</v>
      </c>
      <c r="O677" s="174"/>
      <c r="P677" s="89" t="s">
        <v>39</v>
      </c>
      <c r="R677" s="78"/>
      <c r="S677" s="78"/>
      <c r="T677" s="78"/>
      <c r="U677" s="78"/>
      <c r="V677" s="78"/>
      <c r="W677" s="78"/>
      <c r="X677" s="78"/>
      <c r="Y677" s="78"/>
      <c r="Z677" s="78"/>
      <c r="AA677" s="78"/>
      <c r="AB677" s="78"/>
      <c r="AC677" s="78"/>
      <c r="AD677" s="78"/>
      <c r="AE677" s="78"/>
      <c r="AF677" s="78"/>
      <c r="AG677" s="78"/>
      <c r="AH677" s="78"/>
      <c r="AI677" s="78"/>
      <c r="AJ677" s="78"/>
      <c r="AK677" s="78"/>
      <c r="AL677" s="78"/>
      <c r="AM677" s="78"/>
      <c r="AN677" s="78"/>
      <c r="AO677" s="78"/>
      <c r="AP677" s="78"/>
      <c r="AQ677" s="78"/>
      <c r="AR677" s="78"/>
      <c r="AS677" s="78"/>
      <c r="AT677" s="78"/>
      <c r="AU677" s="78"/>
      <c r="AV677" s="78"/>
      <c r="AW677" s="78"/>
      <c r="AX677" s="78"/>
      <c r="AY677" s="91"/>
      <c r="AZ677" s="78"/>
      <c r="BA677" s="78"/>
      <c r="BB677" s="78"/>
      <c r="BC677" s="78"/>
      <c r="BD677" s="78"/>
      <c r="BE677" s="78"/>
      <c r="BF677" s="78"/>
      <c r="BG677" s="78"/>
      <c r="BH677" s="78"/>
      <c r="BI677" s="78"/>
      <c r="BJ677" s="78"/>
      <c r="BK677" s="78"/>
      <c r="BL677" s="78"/>
      <c r="BM677" s="78"/>
      <c r="BN677" s="78"/>
      <c r="BO677" s="78"/>
      <c r="BP677" s="78"/>
      <c r="BQ677" s="78"/>
      <c r="BR677" s="78"/>
      <c r="BS677" s="78"/>
      <c r="BT677" s="78"/>
      <c r="BU677" s="78"/>
      <c r="BV677" s="78"/>
      <c r="BW677" s="78"/>
      <c r="BX677" s="78"/>
      <c r="BY677" s="78"/>
      <c r="BZ677" s="78"/>
      <c r="CA677" s="78"/>
      <c r="CB677" s="78"/>
      <c r="CC677" s="78"/>
      <c r="CD677" s="78"/>
      <c r="CE677" s="78"/>
      <c r="CF677" s="78"/>
      <c r="CG677" s="78"/>
      <c r="CH677" s="78"/>
      <c r="CI677" s="78"/>
      <c r="CJ677" s="78"/>
      <c r="CK677" s="78"/>
      <c r="CL677" s="78"/>
      <c r="CM677" s="78"/>
      <c r="CN677" s="78"/>
      <c r="CO677" s="78"/>
      <c r="CP677" s="78"/>
      <c r="CQ677" s="78"/>
      <c r="CR677" s="78"/>
      <c r="CS677" s="78"/>
      <c r="CT677" s="78"/>
      <c r="CU677" s="78"/>
      <c r="CV677" s="78"/>
      <c r="CW677" s="78"/>
      <c r="CX677" s="78"/>
      <c r="CY677" s="78"/>
      <c r="CZ677" s="78"/>
      <c r="DA677" s="78"/>
      <c r="DB677" s="78"/>
      <c r="DC677" s="78"/>
      <c r="DD677" s="78"/>
      <c r="DE677" s="78"/>
      <c r="DF677" s="78"/>
      <c r="DG677" s="78"/>
      <c r="DH677" s="78"/>
      <c r="DI677" s="78"/>
      <c r="DJ677" s="78"/>
      <c r="DK677" s="78"/>
      <c r="DL677" s="78"/>
      <c r="DM677" s="78"/>
      <c r="DN677" s="78"/>
      <c r="DO677" s="78"/>
      <c r="DP677" s="78"/>
      <c r="DQ677" s="78"/>
      <c r="DR677" s="78"/>
      <c r="DS677" s="78"/>
      <c r="DT677" s="78"/>
      <c r="DU677" s="78"/>
      <c r="DV677" s="78"/>
      <c r="DW677" s="78"/>
      <c r="DX677" s="78"/>
      <c r="DY677" s="78"/>
      <c r="DZ677" s="78"/>
      <c r="EA677" s="78"/>
      <c r="EB677" s="78"/>
      <c r="EC677" s="78"/>
      <c r="ED677" s="78"/>
      <c r="EE677" s="78"/>
      <c r="EF677" s="78"/>
      <c r="EG677" s="78"/>
      <c r="EH677" s="78"/>
      <c r="EI677" s="78"/>
      <c r="EJ677" s="78"/>
      <c r="EK677" s="78"/>
      <c r="EL677" s="78"/>
      <c r="EM677" s="78"/>
      <c r="EN677" s="91"/>
      <c r="EO677" s="91"/>
      <c r="EP677" s="91"/>
      <c r="EQ677" s="91"/>
      <c r="ER677" s="91"/>
      <c r="ES677" s="91"/>
    </row>
    <row r="678" spans="1:149" outlineLevel="1">
      <c r="A678" s="29" t="str">
        <f t="shared" si="348"/>
        <v>lt827_mthd_usd_instrmntambito</v>
      </c>
      <c r="B678" s="67" t="s">
        <v>26</v>
      </c>
      <c r="C678" s="68" t="s">
        <v>26</v>
      </c>
      <c r="D678" s="64" t="s">
        <v>40</v>
      </c>
      <c r="E678" s="70" t="s">
        <v>1860</v>
      </c>
      <c r="F678" s="72" t="s">
        <v>390</v>
      </c>
      <c r="G678" s="64" t="str">
        <f>INDEX(Auxiliar!$B$16:$B$24,MATCH(Plano_V3!H678,Auxiliar!$C$16:$C$24,0),1)</f>
        <v>1. Concluído</v>
      </c>
      <c r="H678" s="64">
        <f>VLOOKUP(A678,'Aux - pivots1'!$A:$B,2,0)</f>
        <v>1</v>
      </c>
      <c r="I678" s="172">
        <f>SUMIFS(Table1[Estimação (horas)],Table1[Tabela],Plano_V3!E678,Table1[Campo],Plano_V3!F678)</f>
        <v>4.0999999999999996</v>
      </c>
      <c r="J678" s="172">
        <f t="shared" ref="J678:J693" si="366">I678/8</f>
        <v>0.51249999999999996</v>
      </c>
      <c r="K678" s="172">
        <f>SUMIFS(Table1[Horas efetivas],Table1[Tabela],Plano_V3!E678,Table1[Campo],Plano_V3!F678)</f>
        <v>4.0999999999999996</v>
      </c>
      <c r="L678" s="172">
        <f t="shared" ref="L678:L693" si="367">K678/8</f>
        <v>0.51249999999999996</v>
      </c>
      <c r="M678" s="174"/>
      <c r="N678" s="174">
        <f t="shared" ref="N678:N693" si="368">L678/J678</f>
        <v>1</v>
      </c>
      <c r="O678" s="174"/>
      <c r="P678" s="89" t="s">
        <v>39</v>
      </c>
      <c r="R678" s="78"/>
      <c r="S678" s="78"/>
      <c r="T678" s="78"/>
      <c r="U678" s="78"/>
      <c r="V678" s="78"/>
      <c r="W678" s="78"/>
      <c r="X678" s="78"/>
      <c r="Y678" s="78"/>
      <c r="Z678" s="78"/>
      <c r="AA678" s="78"/>
      <c r="AB678" s="78"/>
      <c r="AC678" s="78"/>
      <c r="AD678" s="78"/>
      <c r="AE678" s="78"/>
      <c r="AF678" s="78"/>
      <c r="AG678" s="78"/>
      <c r="AH678" s="78"/>
      <c r="AI678" s="78"/>
      <c r="AJ678" s="78"/>
      <c r="AK678" s="78"/>
      <c r="AL678" s="78"/>
      <c r="AM678" s="78"/>
      <c r="AN678" s="78"/>
      <c r="AO678" s="78"/>
      <c r="AP678" s="78"/>
      <c r="AQ678" s="78"/>
      <c r="AR678" s="78"/>
      <c r="AS678" s="78"/>
      <c r="AT678" s="78"/>
      <c r="AU678" s="78"/>
      <c r="AV678" s="78"/>
      <c r="AW678" s="78"/>
      <c r="AX678" s="78"/>
      <c r="AY678" s="91"/>
      <c r="AZ678" s="78"/>
      <c r="BA678" s="78"/>
      <c r="BB678" s="78"/>
      <c r="BC678" s="78"/>
      <c r="BD678" s="78"/>
      <c r="BE678" s="78"/>
      <c r="BF678" s="78"/>
      <c r="BG678" s="78"/>
      <c r="BH678" s="78"/>
      <c r="BI678" s="78"/>
      <c r="BJ678" s="78"/>
      <c r="BK678" s="78"/>
      <c r="BL678" s="78"/>
      <c r="BM678" s="78"/>
      <c r="BN678" s="78"/>
      <c r="BO678" s="78"/>
      <c r="BP678" s="78"/>
      <c r="BQ678" s="78"/>
      <c r="BR678" s="78"/>
      <c r="BS678" s="78"/>
      <c r="BT678" s="78"/>
      <c r="BU678" s="78"/>
      <c r="BV678" s="78"/>
      <c r="BW678" s="78"/>
      <c r="BX678" s="78"/>
      <c r="BY678" s="78"/>
      <c r="BZ678" s="78"/>
      <c r="CA678" s="78"/>
      <c r="CB678" s="78"/>
      <c r="CC678" s="78"/>
      <c r="CD678" s="78"/>
      <c r="CE678" s="78"/>
      <c r="CF678" s="78"/>
      <c r="CG678" s="78"/>
      <c r="CH678" s="78"/>
      <c r="CI678" s="78"/>
      <c r="CJ678" s="78"/>
      <c r="CK678" s="78"/>
      <c r="CL678" s="78"/>
      <c r="CM678" s="78"/>
      <c r="CN678" s="78"/>
      <c r="CO678" s="78"/>
      <c r="CP678" s="78"/>
      <c r="CQ678" s="78"/>
      <c r="CR678" s="78"/>
      <c r="CS678" s="78"/>
      <c r="CT678" s="78"/>
      <c r="CU678" s="78"/>
      <c r="CV678" s="78"/>
      <c r="CW678" s="78"/>
      <c r="CX678" s="78"/>
      <c r="CY678" s="78"/>
      <c r="CZ678" s="78"/>
      <c r="DA678" s="78"/>
      <c r="DB678" s="78"/>
      <c r="DC678" s="78"/>
      <c r="DD678" s="78"/>
      <c r="DE678" s="78"/>
      <c r="DF678" s="78"/>
      <c r="DG678" s="78"/>
      <c r="DH678" s="78"/>
      <c r="DI678" s="78"/>
      <c r="DJ678" s="78"/>
      <c r="DK678" s="78"/>
      <c r="DL678" s="78"/>
      <c r="DM678" s="78"/>
      <c r="DN678" s="78"/>
      <c r="DO678" s="78"/>
      <c r="DP678" s="78"/>
      <c r="DQ678" s="78"/>
      <c r="DR678" s="78"/>
      <c r="DS678" s="78"/>
      <c r="DT678" s="78"/>
      <c r="DU678" s="78"/>
      <c r="DV678" s="78"/>
      <c r="DW678" s="78"/>
      <c r="DX678" s="78"/>
      <c r="DY678" s="78"/>
      <c r="DZ678" s="78"/>
      <c r="EA678" s="78"/>
      <c r="EB678" s="78"/>
      <c r="EC678" s="78"/>
      <c r="ED678" s="78"/>
      <c r="EE678" s="78"/>
      <c r="EF678" s="78"/>
      <c r="EG678" s="78"/>
      <c r="EH678" s="78"/>
      <c r="EI678" s="78"/>
      <c r="EJ678" s="78"/>
      <c r="EK678" s="78"/>
      <c r="EL678" s="78"/>
      <c r="EM678" s="78"/>
      <c r="EN678" s="91"/>
      <c r="EO678" s="91"/>
      <c r="EP678" s="91"/>
      <c r="EQ678" s="91"/>
      <c r="ER678" s="91"/>
      <c r="ES678" s="91"/>
    </row>
    <row r="679" spans="1:149" outlineLevel="1">
      <c r="A679" s="29" t="str">
        <f t="shared" si="348"/>
        <v>lt827_mthd_usd_instrmntref_date</v>
      </c>
      <c r="B679" s="67" t="s">
        <v>26</v>
      </c>
      <c r="C679" s="68" t="s">
        <v>26</v>
      </c>
      <c r="D679" s="64" t="s">
        <v>40</v>
      </c>
      <c r="E679" s="70" t="s">
        <v>1860</v>
      </c>
      <c r="F679" s="72" t="s">
        <v>208</v>
      </c>
      <c r="G679" s="64" t="str">
        <f>INDEX(Auxiliar!$B$16:$B$24,MATCH(Plano_V3!H679,Auxiliar!$C$16:$C$24,0),1)</f>
        <v>1. Concluído</v>
      </c>
      <c r="H679" s="64">
        <f>VLOOKUP(A679,'Aux - pivots1'!$A:$B,2,0)</f>
        <v>1</v>
      </c>
      <c r="I679" s="172">
        <f>SUMIFS(Table1[Estimação (horas)],Table1[Tabela],Plano_V3!E679,Table1[Campo],Plano_V3!F679)</f>
        <v>4.0999999999999996</v>
      </c>
      <c r="J679" s="172">
        <f t="shared" si="366"/>
        <v>0.51249999999999996</v>
      </c>
      <c r="K679" s="172">
        <f>SUMIFS(Table1[Horas efetivas],Table1[Tabela],Plano_V3!E679,Table1[Campo],Plano_V3!F679)</f>
        <v>4.0999999999999996</v>
      </c>
      <c r="L679" s="172">
        <f t="shared" si="367"/>
        <v>0.51249999999999996</v>
      </c>
      <c r="M679" s="174"/>
      <c r="N679" s="174">
        <f t="shared" si="368"/>
        <v>1</v>
      </c>
      <c r="O679" s="174"/>
      <c r="P679" s="89" t="s">
        <v>39</v>
      </c>
      <c r="R679" s="78"/>
      <c r="S679" s="78"/>
      <c r="T679" s="78"/>
      <c r="U679" s="78"/>
      <c r="V679" s="78"/>
      <c r="W679" s="78"/>
      <c r="X679" s="78"/>
      <c r="Y679" s="78"/>
      <c r="Z679" s="78"/>
      <c r="AA679" s="78"/>
      <c r="AB679" s="78"/>
      <c r="AC679" s="78"/>
      <c r="AD679" s="78"/>
      <c r="AE679" s="78"/>
      <c r="AF679" s="78"/>
      <c r="AG679" s="78"/>
      <c r="AH679" s="78"/>
      <c r="AI679" s="78"/>
      <c r="AJ679" s="78"/>
      <c r="AK679" s="78"/>
      <c r="AL679" s="78"/>
      <c r="AM679" s="78"/>
      <c r="AN679" s="78"/>
      <c r="AO679" s="78"/>
      <c r="AP679" s="78"/>
      <c r="AQ679" s="78"/>
      <c r="AR679" s="78"/>
      <c r="AS679" s="78"/>
      <c r="AT679" s="78"/>
      <c r="AU679" s="78"/>
      <c r="AV679" s="78"/>
      <c r="AW679" s="78"/>
      <c r="AX679" s="78"/>
      <c r="AY679" s="91"/>
      <c r="AZ679" s="78"/>
      <c r="BA679" s="78"/>
      <c r="BB679" s="78"/>
      <c r="BC679" s="78"/>
      <c r="BD679" s="78"/>
      <c r="BE679" s="78"/>
      <c r="BF679" s="78"/>
      <c r="BG679" s="78"/>
      <c r="BH679" s="78"/>
      <c r="BI679" s="78"/>
      <c r="BJ679" s="78"/>
      <c r="BK679" s="78"/>
      <c r="BL679" s="78"/>
      <c r="BM679" s="78"/>
      <c r="BN679" s="78"/>
      <c r="BO679" s="78"/>
      <c r="BP679" s="78"/>
      <c r="BQ679" s="78"/>
      <c r="BR679" s="78"/>
      <c r="BS679" s="78"/>
      <c r="BT679" s="78"/>
      <c r="BU679" s="78"/>
      <c r="BV679" s="78"/>
      <c r="BW679" s="78"/>
      <c r="BX679" s="78"/>
      <c r="BY679" s="78"/>
      <c r="BZ679" s="78"/>
      <c r="CA679" s="78"/>
      <c r="CB679" s="78"/>
      <c r="CC679" s="78"/>
      <c r="CD679" s="78"/>
      <c r="CE679" s="78"/>
      <c r="CF679" s="78"/>
      <c r="CG679" s="78"/>
      <c r="CH679" s="78"/>
      <c r="CI679" s="78"/>
      <c r="CJ679" s="78"/>
      <c r="CK679" s="78"/>
      <c r="CL679" s="78"/>
      <c r="CM679" s="78"/>
      <c r="CN679" s="78"/>
      <c r="CO679" s="78"/>
      <c r="CP679" s="78"/>
      <c r="CQ679" s="78"/>
      <c r="CR679" s="78"/>
      <c r="CS679" s="78"/>
      <c r="CT679" s="78"/>
      <c r="CU679" s="78"/>
      <c r="CV679" s="78"/>
      <c r="CW679" s="78"/>
      <c r="CX679" s="78"/>
      <c r="CY679" s="78"/>
      <c r="CZ679" s="78"/>
      <c r="DA679" s="78"/>
      <c r="DB679" s="78"/>
      <c r="DC679" s="78"/>
      <c r="DD679" s="78"/>
      <c r="DE679" s="78"/>
      <c r="DF679" s="78"/>
      <c r="DG679" s="78"/>
      <c r="DH679" s="78"/>
      <c r="DI679" s="78"/>
      <c r="DJ679" s="78"/>
      <c r="DK679" s="78"/>
      <c r="DL679" s="78"/>
      <c r="DM679" s="78"/>
      <c r="DN679" s="78"/>
      <c r="DO679" s="78"/>
      <c r="DP679" s="78"/>
      <c r="DQ679" s="78"/>
      <c r="DR679" s="78"/>
      <c r="DS679" s="78"/>
      <c r="DT679" s="78"/>
      <c r="DU679" s="78"/>
      <c r="DV679" s="78"/>
      <c r="DW679" s="78"/>
      <c r="DX679" s="78"/>
      <c r="DY679" s="78"/>
      <c r="DZ679" s="78"/>
      <c r="EA679" s="78"/>
      <c r="EB679" s="78"/>
      <c r="EC679" s="78"/>
      <c r="ED679" s="78"/>
      <c r="EE679" s="78"/>
      <c r="EF679" s="78"/>
      <c r="EG679" s="78"/>
      <c r="EH679" s="78"/>
      <c r="EI679" s="78"/>
      <c r="EJ679" s="78"/>
      <c r="EK679" s="78"/>
      <c r="EL679" s="78"/>
      <c r="EM679" s="78"/>
      <c r="EN679" s="91"/>
      <c r="EO679" s="91"/>
      <c r="EP679" s="91"/>
      <c r="EQ679" s="91"/>
      <c r="ER679" s="91"/>
      <c r="ES679" s="91"/>
    </row>
    <row r="680" spans="1:149" outlineLevel="1">
      <c r="A680" s="29" t="str">
        <f t="shared" si="348"/>
        <v>lt827_mthd_usd_instrmntordem</v>
      </c>
      <c r="B680" s="67" t="s">
        <v>26</v>
      </c>
      <c r="C680" s="68" t="s">
        <v>26</v>
      </c>
      <c r="D680" s="64" t="s">
        <v>40</v>
      </c>
      <c r="E680" s="70" t="s">
        <v>1860</v>
      </c>
      <c r="F680" s="72" t="s">
        <v>211</v>
      </c>
      <c r="G680" s="64" t="str">
        <f>INDEX(Auxiliar!$B$16:$B$24,MATCH(Plano_V3!H680,Auxiliar!$C$16:$C$24,0),1)</f>
        <v>1. Concluído</v>
      </c>
      <c r="H680" s="64">
        <f>VLOOKUP(A680,'Aux - pivots1'!$A:$B,2,0)</f>
        <v>1</v>
      </c>
      <c r="I680" s="172">
        <f>SUMIFS(Table1[Estimação (horas)],Table1[Tabela],Plano_V3!E680,Table1[Campo],Plano_V3!F680)</f>
        <v>4.0999999999999996</v>
      </c>
      <c r="J680" s="172">
        <f t="shared" si="366"/>
        <v>0.51249999999999996</v>
      </c>
      <c r="K680" s="172">
        <f>SUMIFS(Table1[Horas efetivas],Table1[Tabela],Plano_V3!E680,Table1[Campo],Plano_V3!F680)</f>
        <v>4.0999999999999996</v>
      </c>
      <c r="L680" s="172">
        <f t="shared" si="367"/>
        <v>0.51249999999999996</v>
      </c>
      <c r="M680" s="174"/>
      <c r="N680" s="174">
        <f t="shared" si="368"/>
        <v>1</v>
      </c>
      <c r="O680" s="174"/>
      <c r="P680" s="89" t="s">
        <v>39</v>
      </c>
      <c r="R680" s="78"/>
      <c r="S680" s="78"/>
      <c r="T680" s="78"/>
      <c r="U680" s="78"/>
      <c r="V680" s="78"/>
      <c r="W680" s="78"/>
      <c r="X680" s="78"/>
      <c r="Y680" s="78"/>
      <c r="Z680" s="78"/>
      <c r="AA680" s="78"/>
      <c r="AB680" s="78"/>
      <c r="AC680" s="78"/>
      <c r="AD680" s="78"/>
      <c r="AE680" s="78"/>
      <c r="AF680" s="78"/>
      <c r="AG680" s="78"/>
      <c r="AH680" s="78"/>
      <c r="AI680" s="78"/>
      <c r="AJ680" s="78"/>
      <c r="AK680" s="78"/>
      <c r="AL680" s="78"/>
      <c r="AM680" s="78"/>
      <c r="AN680" s="78"/>
      <c r="AO680" s="78"/>
      <c r="AP680" s="78"/>
      <c r="AQ680" s="78"/>
      <c r="AR680" s="78"/>
      <c r="AS680" s="78"/>
      <c r="AT680" s="78"/>
      <c r="AU680" s="78"/>
      <c r="AV680" s="78"/>
      <c r="AW680" s="78"/>
      <c r="AX680" s="78"/>
      <c r="AY680" s="91"/>
      <c r="AZ680" s="78"/>
      <c r="BA680" s="78"/>
      <c r="BB680" s="78"/>
      <c r="BC680" s="78"/>
      <c r="BD680" s="78"/>
      <c r="BE680" s="78"/>
      <c r="BF680" s="78"/>
      <c r="BG680" s="78"/>
      <c r="BH680" s="78"/>
      <c r="BI680" s="78"/>
      <c r="BJ680" s="78"/>
      <c r="BK680" s="78"/>
      <c r="BL680" s="78"/>
      <c r="BM680" s="78"/>
      <c r="BN680" s="78"/>
      <c r="BO680" s="78"/>
      <c r="BP680" s="78"/>
      <c r="BQ680" s="78"/>
      <c r="BR680" s="78"/>
      <c r="BS680" s="78"/>
      <c r="BT680" s="78"/>
      <c r="BU680" s="78"/>
      <c r="BV680" s="78"/>
      <c r="BW680" s="78"/>
      <c r="BX680" s="78"/>
      <c r="BY680" s="78"/>
      <c r="BZ680" s="78"/>
      <c r="CA680" s="78"/>
      <c r="CB680" s="78"/>
      <c r="CC680" s="78"/>
      <c r="CD680" s="78"/>
      <c r="CE680" s="78"/>
      <c r="CF680" s="78"/>
      <c r="CG680" s="78"/>
      <c r="CH680" s="78"/>
      <c r="CI680" s="78"/>
      <c r="CJ680" s="78"/>
      <c r="CK680" s="78"/>
      <c r="CL680" s="78"/>
      <c r="CM680" s="78"/>
      <c r="CN680" s="78"/>
      <c r="CO680" s="78"/>
      <c r="CP680" s="78"/>
      <c r="CQ680" s="78"/>
      <c r="CR680" s="78"/>
      <c r="CS680" s="78"/>
      <c r="CT680" s="78"/>
      <c r="CU680" s="78"/>
      <c r="CV680" s="78"/>
      <c r="CW680" s="78"/>
      <c r="CX680" s="78"/>
      <c r="CY680" s="78"/>
      <c r="CZ680" s="78"/>
      <c r="DA680" s="78"/>
      <c r="DB680" s="78"/>
      <c r="DC680" s="78"/>
      <c r="DD680" s="78"/>
      <c r="DE680" s="78"/>
      <c r="DF680" s="78"/>
      <c r="DG680" s="78"/>
      <c r="DH680" s="78"/>
      <c r="DI680" s="78"/>
      <c r="DJ680" s="78"/>
      <c r="DK680" s="78"/>
      <c r="DL680" s="78"/>
      <c r="DM680" s="78"/>
      <c r="DN680" s="78"/>
      <c r="DO680" s="78"/>
      <c r="DP680" s="78"/>
      <c r="DQ680" s="78"/>
      <c r="DR680" s="78"/>
      <c r="DS680" s="78"/>
      <c r="DT680" s="78"/>
      <c r="DU680" s="78"/>
      <c r="DV680" s="78"/>
      <c r="DW680" s="78"/>
      <c r="DX680" s="78"/>
      <c r="DY680" s="78"/>
      <c r="DZ680" s="78"/>
      <c r="EA680" s="78"/>
      <c r="EB680" s="78"/>
      <c r="EC680" s="78"/>
      <c r="ED680" s="78"/>
      <c r="EE680" s="78"/>
      <c r="EF680" s="78"/>
      <c r="EG680" s="78"/>
      <c r="EH680" s="78"/>
      <c r="EI680" s="78"/>
      <c r="EJ680" s="78"/>
      <c r="EK680" s="78"/>
      <c r="EL680" s="78"/>
      <c r="EM680" s="78"/>
      <c r="EN680" s="91"/>
      <c r="EO680" s="91"/>
      <c r="EP680" s="91"/>
      <c r="EQ680" s="91"/>
      <c r="ER680" s="91"/>
      <c r="ES680" s="91"/>
    </row>
    <row r="681" spans="1:149" outlineLevel="1">
      <c r="A681" s="29" t="str">
        <f t="shared" si="348"/>
        <v>lt827_mthd_usd_instrmnttabela</v>
      </c>
      <c r="B681" s="67" t="s">
        <v>26</v>
      </c>
      <c r="C681" s="68" t="s">
        <v>26</v>
      </c>
      <c r="D681" s="64" t="s">
        <v>40</v>
      </c>
      <c r="E681" s="70" t="s">
        <v>1860</v>
      </c>
      <c r="F681" s="72" t="s">
        <v>391</v>
      </c>
      <c r="G681" s="64" t="str">
        <f>INDEX(Auxiliar!$B$16:$B$24,MATCH(Plano_V3!H681,Auxiliar!$C$16:$C$24,0),1)</f>
        <v>1. Concluído</v>
      </c>
      <c r="H681" s="64">
        <f>VLOOKUP(A681,'Aux - pivots1'!$A:$B,2,0)</f>
        <v>1</v>
      </c>
      <c r="I681" s="172">
        <f>SUMIFS(Table1[Estimação (horas)],Table1[Tabela],Plano_V3!E681,Table1[Campo],Plano_V3!F681)</f>
        <v>4.0999999999999996</v>
      </c>
      <c r="J681" s="172">
        <f t="shared" si="366"/>
        <v>0.51249999999999996</v>
      </c>
      <c r="K681" s="172">
        <f>SUMIFS(Table1[Horas efetivas],Table1[Tabela],Plano_V3!E681,Table1[Campo],Plano_V3!F681)</f>
        <v>4.0999999999999996</v>
      </c>
      <c r="L681" s="172">
        <f t="shared" si="367"/>
        <v>0.51249999999999996</v>
      </c>
      <c r="M681" s="174"/>
      <c r="N681" s="174">
        <f t="shared" si="368"/>
        <v>1</v>
      </c>
      <c r="O681" s="174"/>
      <c r="P681" s="89" t="s">
        <v>39</v>
      </c>
      <c r="R681" s="78"/>
      <c r="S681" s="78"/>
      <c r="T681" s="78"/>
      <c r="U681" s="78"/>
      <c r="V681" s="78"/>
      <c r="W681" s="78"/>
      <c r="X681" s="78"/>
      <c r="Y681" s="78"/>
      <c r="Z681" s="78"/>
      <c r="AA681" s="78"/>
      <c r="AB681" s="78"/>
      <c r="AC681" s="78"/>
      <c r="AD681" s="78"/>
      <c r="AE681" s="78"/>
      <c r="AF681" s="78"/>
      <c r="AG681" s="78"/>
      <c r="AH681" s="78"/>
      <c r="AI681" s="78"/>
      <c r="AJ681" s="78"/>
      <c r="AK681" s="78"/>
      <c r="AL681" s="78"/>
      <c r="AM681" s="78"/>
      <c r="AN681" s="78"/>
      <c r="AO681" s="78"/>
      <c r="AP681" s="78"/>
      <c r="AQ681" s="78"/>
      <c r="AR681" s="78"/>
      <c r="AS681" s="78"/>
      <c r="AT681" s="78"/>
      <c r="AU681" s="78"/>
      <c r="AV681" s="78"/>
      <c r="AW681" s="78"/>
      <c r="AX681" s="78"/>
      <c r="AY681" s="91"/>
      <c r="AZ681" s="78"/>
      <c r="BA681" s="78"/>
      <c r="BB681" s="78"/>
      <c r="BC681" s="78"/>
      <c r="BD681" s="78"/>
      <c r="BE681" s="78"/>
      <c r="BF681" s="78"/>
      <c r="BG681" s="78"/>
      <c r="BH681" s="78"/>
      <c r="BI681" s="78"/>
      <c r="BJ681" s="78"/>
      <c r="BK681" s="78"/>
      <c r="BL681" s="78"/>
      <c r="BM681" s="78"/>
      <c r="BN681" s="78"/>
      <c r="BO681" s="78"/>
      <c r="BP681" s="78"/>
      <c r="BQ681" s="78"/>
      <c r="BR681" s="78"/>
      <c r="BS681" s="78"/>
      <c r="BT681" s="78"/>
      <c r="BU681" s="78"/>
      <c r="BV681" s="78"/>
      <c r="BW681" s="78"/>
      <c r="BX681" s="78"/>
      <c r="BY681" s="78"/>
      <c r="BZ681" s="78"/>
      <c r="CA681" s="78"/>
      <c r="CB681" s="78"/>
      <c r="CC681" s="78"/>
      <c r="CD681" s="78"/>
      <c r="CE681" s="78"/>
      <c r="CF681" s="78"/>
      <c r="CG681" s="78"/>
      <c r="CH681" s="78"/>
      <c r="CI681" s="78"/>
      <c r="CJ681" s="78"/>
      <c r="CK681" s="78"/>
      <c r="CL681" s="78"/>
      <c r="CM681" s="78"/>
      <c r="CN681" s="78"/>
      <c r="CO681" s="78"/>
      <c r="CP681" s="78"/>
      <c r="CQ681" s="78"/>
      <c r="CR681" s="78"/>
      <c r="CS681" s="78"/>
      <c r="CT681" s="78"/>
      <c r="CU681" s="78"/>
      <c r="CV681" s="78"/>
      <c r="CW681" s="78"/>
      <c r="CX681" s="78"/>
      <c r="CY681" s="78"/>
      <c r="CZ681" s="78"/>
      <c r="DA681" s="78"/>
      <c r="DB681" s="78"/>
      <c r="DC681" s="78"/>
      <c r="DD681" s="78"/>
      <c r="DE681" s="78"/>
      <c r="DF681" s="78"/>
      <c r="DG681" s="78"/>
      <c r="DH681" s="78"/>
      <c r="DI681" s="78"/>
      <c r="DJ681" s="78"/>
      <c r="DK681" s="78"/>
      <c r="DL681" s="78"/>
      <c r="DM681" s="78"/>
      <c r="DN681" s="78"/>
      <c r="DO681" s="78"/>
      <c r="DP681" s="78"/>
      <c r="DQ681" s="78"/>
      <c r="DR681" s="78"/>
      <c r="DS681" s="78"/>
      <c r="DT681" s="78"/>
      <c r="DU681" s="78"/>
      <c r="DV681" s="78"/>
      <c r="DW681" s="78"/>
      <c r="DX681" s="78"/>
      <c r="DY681" s="78"/>
      <c r="DZ681" s="78"/>
      <c r="EA681" s="78"/>
      <c r="EB681" s="78"/>
      <c r="EC681" s="78"/>
      <c r="ED681" s="78"/>
      <c r="EE681" s="78"/>
      <c r="EF681" s="78"/>
      <c r="EG681" s="78"/>
      <c r="EH681" s="78"/>
      <c r="EI681" s="78"/>
      <c r="EJ681" s="78"/>
      <c r="EK681" s="78"/>
      <c r="EL681" s="78"/>
      <c r="EM681" s="78"/>
      <c r="EN681" s="91"/>
      <c r="EO681" s="91"/>
      <c r="EP681" s="91"/>
      <c r="EQ681" s="91"/>
      <c r="ER681" s="91"/>
      <c r="ES681" s="91"/>
    </row>
    <row r="682" spans="1:149" outlineLevel="1">
      <c r="A682" s="29" t="str">
        <f t="shared" si="348"/>
        <v>lt827_mthd_usd_instrmntorigem_scp1_emss</v>
      </c>
      <c r="B682" s="67" t="s">
        <v>26</v>
      </c>
      <c r="C682" s="68" t="s">
        <v>26</v>
      </c>
      <c r="D682" s="64" t="s">
        <v>40</v>
      </c>
      <c r="E682" s="70" t="s">
        <v>1860</v>
      </c>
      <c r="F682" s="71" t="s">
        <v>319</v>
      </c>
      <c r="G682" s="64" t="str">
        <f>INDEX(Auxiliar!$B$16:$B$24,MATCH(Plano_V3!H682,Auxiliar!$C$16:$C$24,0),1)</f>
        <v>1. Concluído</v>
      </c>
      <c r="H682" s="64">
        <f>VLOOKUP(A682,'Aux - pivots1'!$A:$B,2,0)</f>
        <v>1</v>
      </c>
      <c r="I682" s="172">
        <f>SUMIFS(Table1[Estimação (horas)],Table1[Tabela],Plano_V3!E682,Table1[Campo],Plano_V3!F682)</f>
        <v>4.0999999999999996</v>
      </c>
      <c r="J682" s="172">
        <f t="shared" si="366"/>
        <v>0.51249999999999996</v>
      </c>
      <c r="K682" s="172">
        <f>SUMIFS(Table1[Horas efetivas],Table1[Tabela],Plano_V3!E682,Table1[Campo],Plano_V3!F682)</f>
        <v>4.0999999999999996</v>
      </c>
      <c r="L682" s="172">
        <f t="shared" si="367"/>
        <v>0.51249999999999996</v>
      </c>
      <c r="M682" s="174"/>
      <c r="N682" s="174">
        <f t="shared" si="368"/>
        <v>1</v>
      </c>
      <c r="O682" s="174"/>
      <c r="P682" s="89" t="s">
        <v>39</v>
      </c>
      <c r="R682" s="78"/>
      <c r="S682" s="78"/>
      <c r="T682" s="78"/>
      <c r="U682" s="78"/>
      <c r="V682" s="78"/>
      <c r="W682" s="78"/>
      <c r="X682" s="78"/>
      <c r="Y682" s="78"/>
      <c r="Z682" s="78"/>
      <c r="AA682" s="78"/>
      <c r="AB682" s="78"/>
      <c r="AC682" s="78"/>
      <c r="AD682" s="78"/>
      <c r="AE682" s="78"/>
      <c r="AF682" s="78"/>
      <c r="AG682" s="78"/>
      <c r="AH682" s="78"/>
      <c r="AI682" s="78"/>
      <c r="AJ682" s="78"/>
      <c r="AK682" s="78"/>
      <c r="AL682" s="78"/>
      <c r="AM682" s="78"/>
      <c r="AN682" s="78"/>
      <c r="AO682" s="78"/>
      <c r="AP682" s="78"/>
      <c r="AQ682" s="78"/>
      <c r="AR682" s="78"/>
      <c r="AS682" s="78"/>
      <c r="AT682" s="78"/>
      <c r="AU682" s="78"/>
      <c r="AV682" s="78"/>
      <c r="AW682" s="78"/>
      <c r="AX682" s="78"/>
      <c r="AY682" s="91"/>
      <c r="AZ682" s="78"/>
      <c r="BA682" s="78"/>
      <c r="BB682" s="78"/>
      <c r="BC682" s="78"/>
      <c r="BD682" s="78"/>
      <c r="BE682" s="78"/>
      <c r="BF682" s="78"/>
      <c r="BG682" s="78"/>
      <c r="BH682" s="78"/>
      <c r="BI682" s="78"/>
      <c r="BJ682" s="78"/>
      <c r="BK682" s="78"/>
      <c r="BL682" s="78"/>
      <c r="BM682" s="78"/>
      <c r="BN682" s="78"/>
      <c r="BO682" s="78"/>
      <c r="BP682" s="78"/>
      <c r="BQ682" s="78"/>
      <c r="BR682" s="78"/>
      <c r="BS682" s="78"/>
      <c r="BT682" s="78"/>
      <c r="BU682" s="78"/>
      <c r="BV682" s="78"/>
      <c r="BW682" s="78"/>
      <c r="BX682" s="78"/>
      <c r="BY682" s="78"/>
      <c r="BZ682" s="78"/>
      <c r="CA682" s="78"/>
      <c r="CB682" s="78"/>
      <c r="CC682" s="78"/>
      <c r="CD682" s="78"/>
      <c r="CE682" s="78"/>
      <c r="CF682" s="78"/>
      <c r="CG682" s="78"/>
      <c r="CH682" s="78"/>
      <c r="CI682" s="78"/>
      <c r="CJ682" s="78"/>
      <c r="CK682" s="78"/>
      <c r="CL682" s="78"/>
      <c r="CM682" s="78"/>
      <c r="CN682" s="78"/>
      <c r="CO682" s="78"/>
      <c r="CP682" s="78"/>
      <c r="CQ682" s="78"/>
      <c r="CR682" s="78"/>
      <c r="CS682" s="78"/>
      <c r="CT682" s="78"/>
      <c r="CU682" s="78"/>
      <c r="CV682" s="78"/>
      <c r="CW682" s="78"/>
      <c r="CX682" s="78"/>
      <c r="CY682" s="78"/>
      <c r="CZ682" s="78"/>
      <c r="DA682" s="78"/>
      <c r="DB682" s="78"/>
      <c r="DC682" s="78"/>
      <c r="DD682" s="78"/>
      <c r="DE682" s="78"/>
      <c r="DF682" s="78"/>
      <c r="DG682" s="78"/>
      <c r="DH682" s="78"/>
      <c r="DI682" s="78"/>
      <c r="DJ682" s="78"/>
      <c r="DK682" s="78"/>
      <c r="DL682" s="78"/>
      <c r="DM682" s="78"/>
      <c r="DN682" s="78"/>
      <c r="DO682" s="78"/>
      <c r="DP682" s="78"/>
      <c r="DQ682" s="78"/>
      <c r="DR682" s="78"/>
      <c r="DS682" s="78"/>
      <c r="DT682" s="78"/>
      <c r="DU682" s="78"/>
      <c r="DV682" s="78"/>
      <c r="DW682" s="78"/>
      <c r="DX682" s="78"/>
      <c r="DY682" s="78"/>
      <c r="DZ682" s="78"/>
      <c r="EA682" s="78"/>
      <c r="EB682" s="78"/>
      <c r="EC682" s="78"/>
      <c r="ED682" s="78"/>
      <c r="EE682" s="78"/>
      <c r="EF682" s="78"/>
      <c r="EG682" s="78"/>
      <c r="EH682" s="78"/>
      <c r="EI682" s="78"/>
      <c r="EJ682" s="78"/>
      <c r="EK682" s="78"/>
      <c r="EL682" s="78"/>
      <c r="EM682" s="78"/>
      <c r="EN682" s="91"/>
      <c r="EO682" s="91"/>
      <c r="EP682" s="91"/>
      <c r="EQ682" s="91"/>
      <c r="ER682" s="91"/>
      <c r="ES682" s="91"/>
    </row>
    <row r="683" spans="1:149" outlineLevel="1">
      <c r="A683" s="29" t="str">
        <f t="shared" si="348"/>
        <v>lt827_mthd_usd_instrmntorigem_scp2_emss</v>
      </c>
      <c r="B683" s="67" t="s">
        <v>26</v>
      </c>
      <c r="C683" s="68" t="s">
        <v>26</v>
      </c>
      <c r="D683" s="64" t="s">
        <v>40</v>
      </c>
      <c r="E683" s="70" t="s">
        <v>1860</v>
      </c>
      <c r="F683" s="71" t="s">
        <v>320</v>
      </c>
      <c r="G683" s="64" t="str">
        <f>INDEX(Auxiliar!$B$16:$B$24,MATCH(Plano_V3!H683,Auxiliar!$C$16:$C$24,0),1)</f>
        <v>1. Concluído</v>
      </c>
      <c r="H683" s="64">
        <f>VLOOKUP(A683,'Aux - pivots1'!$A:$B,2,0)</f>
        <v>1</v>
      </c>
      <c r="I683" s="172">
        <f>SUMIFS(Table1[Estimação (horas)],Table1[Tabela],Plano_V3!E683,Table1[Campo],Plano_V3!F683)</f>
        <v>4.0999999999999996</v>
      </c>
      <c r="J683" s="172">
        <f t="shared" si="366"/>
        <v>0.51249999999999996</v>
      </c>
      <c r="K683" s="172">
        <f>SUMIFS(Table1[Horas efetivas],Table1[Tabela],Plano_V3!E683,Table1[Campo],Plano_V3!F683)</f>
        <v>4.0999999999999996</v>
      </c>
      <c r="L683" s="172">
        <f t="shared" si="367"/>
        <v>0.51249999999999996</v>
      </c>
      <c r="M683" s="174"/>
      <c r="N683" s="174">
        <f t="shared" si="368"/>
        <v>1</v>
      </c>
      <c r="O683" s="174"/>
      <c r="P683" s="89" t="s">
        <v>39</v>
      </c>
      <c r="R683" s="78"/>
      <c r="S683" s="78"/>
      <c r="T683" s="78"/>
      <c r="U683" s="78"/>
      <c r="V683" s="78"/>
      <c r="W683" s="78"/>
      <c r="X683" s="78"/>
      <c r="Y683" s="78"/>
      <c r="Z683" s="78"/>
      <c r="AA683" s="78"/>
      <c r="AB683" s="78"/>
      <c r="AC683" s="78"/>
      <c r="AD683" s="78"/>
      <c r="AE683" s="78"/>
      <c r="AF683" s="78"/>
      <c r="AG683" s="78"/>
      <c r="AH683" s="78"/>
      <c r="AI683" s="78"/>
      <c r="AJ683" s="78"/>
      <c r="AK683" s="78"/>
      <c r="AL683" s="78"/>
      <c r="AM683" s="78"/>
      <c r="AN683" s="78"/>
      <c r="AO683" s="78"/>
      <c r="AP683" s="78"/>
      <c r="AQ683" s="78"/>
      <c r="AR683" s="78"/>
      <c r="AS683" s="78"/>
      <c r="AT683" s="78"/>
      <c r="AU683" s="78"/>
      <c r="AV683" s="78"/>
      <c r="AW683" s="78"/>
      <c r="AX683" s="78"/>
      <c r="AY683" s="91"/>
      <c r="AZ683" s="78"/>
      <c r="BA683" s="78"/>
      <c r="BB683" s="78"/>
      <c r="BC683" s="78"/>
      <c r="BD683" s="78"/>
      <c r="BE683" s="78"/>
      <c r="BF683" s="78"/>
      <c r="BG683" s="78"/>
      <c r="BH683" s="78"/>
      <c r="BI683" s="78"/>
      <c r="BJ683" s="78"/>
      <c r="BK683" s="78"/>
      <c r="BL683" s="78"/>
      <c r="BM683" s="78"/>
      <c r="BN683" s="78"/>
      <c r="BO683" s="78"/>
      <c r="BP683" s="78"/>
      <c r="BQ683" s="78"/>
      <c r="BR683" s="78"/>
      <c r="BS683" s="78"/>
      <c r="BT683" s="78"/>
      <c r="BU683" s="78"/>
      <c r="BV683" s="78"/>
      <c r="BW683" s="78"/>
      <c r="BX683" s="78"/>
      <c r="BY683" s="78"/>
      <c r="BZ683" s="78"/>
      <c r="CA683" s="78"/>
      <c r="CB683" s="78"/>
      <c r="CC683" s="78"/>
      <c r="CD683" s="78"/>
      <c r="CE683" s="78"/>
      <c r="CF683" s="78"/>
      <c r="CG683" s="78"/>
      <c r="CH683" s="78"/>
      <c r="CI683" s="78"/>
      <c r="CJ683" s="78"/>
      <c r="CK683" s="78"/>
      <c r="CL683" s="78"/>
      <c r="CM683" s="78"/>
      <c r="CN683" s="78"/>
      <c r="CO683" s="78"/>
      <c r="CP683" s="78"/>
      <c r="CQ683" s="78"/>
      <c r="CR683" s="78"/>
      <c r="CS683" s="78"/>
      <c r="CT683" s="78"/>
      <c r="CU683" s="78"/>
      <c r="CV683" s="78"/>
      <c r="CW683" s="78"/>
      <c r="CX683" s="78"/>
      <c r="CY683" s="78"/>
      <c r="CZ683" s="78"/>
      <c r="DA683" s="78"/>
      <c r="DB683" s="78"/>
      <c r="DC683" s="78"/>
      <c r="DD683" s="78"/>
      <c r="DE683" s="78"/>
      <c r="DF683" s="78"/>
      <c r="DG683" s="78"/>
      <c r="DH683" s="78"/>
      <c r="DI683" s="78"/>
      <c r="DJ683" s="78"/>
      <c r="DK683" s="78"/>
      <c r="DL683" s="78"/>
      <c r="DM683" s="78"/>
      <c r="DN683" s="78"/>
      <c r="DO683" s="78"/>
      <c r="DP683" s="78"/>
      <c r="DQ683" s="78"/>
      <c r="DR683" s="78"/>
      <c r="DS683" s="78"/>
      <c r="DT683" s="78"/>
      <c r="DU683" s="78"/>
      <c r="DV683" s="78"/>
      <c r="DW683" s="78"/>
      <c r="DX683" s="78"/>
      <c r="DY683" s="78"/>
      <c r="DZ683" s="78"/>
      <c r="EA683" s="78"/>
      <c r="EB683" s="78"/>
      <c r="EC683" s="78"/>
      <c r="ED683" s="78"/>
      <c r="EE683" s="78"/>
      <c r="EF683" s="78"/>
      <c r="EG683" s="78"/>
      <c r="EH683" s="78"/>
      <c r="EI683" s="78"/>
      <c r="EJ683" s="78"/>
      <c r="EK683" s="78"/>
      <c r="EL683" s="78"/>
      <c r="EM683" s="78"/>
      <c r="EN683" s="91"/>
      <c r="EO683" s="91"/>
      <c r="EP683" s="91"/>
      <c r="EQ683" s="91"/>
      <c r="ER683" s="91"/>
      <c r="ES683" s="91"/>
    </row>
    <row r="684" spans="1:149" outlineLevel="1">
      <c r="A684" s="29" t="str">
        <f t="shared" si="348"/>
        <v>lt827_mthd_usd_instrmntorigem_scp3_emss</v>
      </c>
      <c r="B684" s="67" t="s">
        <v>26</v>
      </c>
      <c r="C684" s="68" t="s">
        <v>26</v>
      </c>
      <c r="D684" s="64" t="s">
        <v>40</v>
      </c>
      <c r="E684" s="70" t="s">
        <v>1860</v>
      </c>
      <c r="F684" s="71" t="s">
        <v>321</v>
      </c>
      <c r="G684" s="64" t="str">
        <f>INDEX(Auxiliar!$B$16:$B$24,MATCH(Plano_V3!H684,Auxiliar!$C$16:$C$24,0),1)</f>
        <v>1. Concluído</v>
      </c>
      <c r="H684" s="64">
        <f>VLOOKUP(A684,'Aux - pivots1'!$A:$B,2,0)</f>
        <v>1</v>
      </c>
      <c r="I684" s="172">
        <f>SUMIFS(Table1[Estimação (horas)],Table1[Tabela],Plano_V3!E684,Table1[Campo],Plano_V3!F684)</f>
        <v>4.0999999999999996</v>
      </c>
      <c r="J684" s="172">
        <f t="shared" si="366"/>
        <v>0.51249999999999996</v>
      </c>
      <c r="K684" s="172">
        <f>SUMIFS(Table1[Horas efetivas],Table1[Tabela],Plano_V3!E684,Table1[Campo],Plano_V3!F684)</f>
        <v>4.0999999999999996</v>
      </c>
      <c r="L684" s="172">
        <f t="shared" si="367"/>
        <v>0.51249999999999996</v>
      </c>
      <c r="M684" s="174"/>
      <c r="N684" s="174">
        <f t="shared" si="368"/>
        <v>1</v>
      </c>
      <c r="O684" s="174"/>
      <c r="P684" s="89" t="s">
        <v>39</v>
      </c>
      <c r="R684" s="78"/>
      <c r="S684" s="78"/>
      <c r="T684" s="78"/>
      <c r="U684" s="78"/>
      <c r="V684" s="78"/>
      <c r="W684" s="78"/>
      <c r="X684" s="78"/>
      <c r="Y684" s="78"/>
      <c r="Z684" s="78"/>
      <c r="AA684" s="78"/>
      <c r="AB684" s="78"/>
      <c r="AC684" s="78"/>
      <c r="AD684" s="78"/>
      <c r="AE684" s="78"/>
      <c r="AF684" s="78"/>
      <c r="AG684" s="78"/>
      <c r="AH684" s="78"/>
      <c r="AI684" s="78"/>
      <c r="AJ684" s="78"/>
      <c r="AK684" s="78"/>
      <c r="AL684" s="78"/>
      <c r="AM684" s="78"/>
      <c r="AN684" s="78"/>
      <c r="AO684" s="78"/>
      <c r="AP684" s="78"/>
      <c r="AQ684" s="78"/>
      <c r="AR684" s="78"/>
      <c r="AS684" s="78"/>
      <c r="AT684" s="78"/>
      <c r="AU684" s="78"/>
      <c r="AV684" s="78"/>
      <c r="AW684" s="78"/>
      <c r="AX684" s="78"/>
      <c r="AY684" s="91"/>
      <c r="AZ684" s="78"/>
      <c r="BA684" s="78"/>
      <c r="BB684" s="78"/>
      <c r="BC684" s="78"/>
      <c r="BD684" s="78"/>
      <c r="BE684" s="78"/>
      <c r="BF684" s="78"/>
      <c r="BG684" s="78"/>
      <c r="BH684" s="78"/>
      <c r="BI684" s="78"/>
      <c r="BJ684" s="78"/>
      <c r="BK684" s="78"/>
      <c r="BL684" s="78"/>
      <c r="BM684" s="78"/>
      <c r="BN684" s="78"/>
      <c r="BO684" s="78"/>
      <c r="BP684" s="78"/>
      <c r="BQ684" s="78"/>
      <c r="BR684" s="78"/>
      <c r="BS684" s="78"/>
      <c r="BT684" s="78"/>
      <c r="BU684" s="78"/>
      <c r="BV684" s="78"/>
      <c r="BW684" s="78"/>
      <c r="BX684" s="78"/>
      <c r="BY684" s="78"/>
      <c r="BZ684" s="78"/>
      <c r="CA684" s="78"/>
      <c r="CB684" s="78"/>
      <c r="CC684" s="78"/>
      <c r="CD684" s="78"/>
      <c r="CE684" s="78"/>
      <c r="CF684" s="78"/>
      <c r="CG684" s="78"/>
      <c r="CH684" s="78"/>
      <c r="CI684" s="78"/>
      <c r="CJ684" s="78"/>
      <c r="CK684" s="78"/>
      <c r="CL684" s="78"/>
      <c r="CM684" s="78"/>
      <c r="CN684" s="78"/>
      <c r="CO684" s="78"/>
      <c r="CP684" s="78"/>
      <c r="CQ684" s="78"/>
      <c r="CR684" s="78"/>
      <c r="CS684" s="78"/>
      <c r="CT684" s="78"/>
      <c r="CU684" s="78"/>
      <c r="CV684" s="78"/>
      <c r="CW684" s="78"/>
      <c r="CX684" s="78"/>
      <c r="CY684" s="78"/>
      <c r="CZ684" s="78"/>
      <c r="DA684" s="78"/>
      <c r="DB684" s="78"/>
      <c r="DC684" s="78"/>
      <c r="DD684" s="78"/>
      <c r="DE684" s="78"/>
      <c r="DF684" s="78"/>
      <c r="DG684" s="78"/>
      <c r="DH684" s="78"/>
      <c r="DI684" s="78"/>
      <c r="DJ684" s="78"/>
      <c r="DK684" s="78"/>
      <c r="DL684" s="78"/>
      <c r="DM684" s="78"/>
      <c r="DN684" s="78"/>
      <c r="DO684" s="78"/>
      <c r="DP684" s="78"/>
      <c r="DQ684" s="78"/>
      <c r="DR684" s="78"/>
      <c r="DS684" s="78"/>
      <c r="DT684" s="78"/>
      <c r="DU684" s="78"/>
      <c r="DV684" s="78"/>
      <c r="DW684" s="78"/>
      <c r="DX684" s="78"/>
      <c r="DY684" s="78"/>
      <c r="DZ684" s="78"/>
      <c r="EA684" s="78"/>
      <c r="EB684" s="78"/>
      <c r="EC684" s="78"/>
      <c r="ED684" s="78"/>
      <c r="EE684" s="78"/>
      <c r="EF684" s="78"/>
      <c r="EG684" s="78"/>
      <c r="EH684" s="78"/>
      <c r="EI684" s="78"/>
      <c r="EJ684" s="78"/>
      <c r="EK684" s="78"/>
      <c r="EL684" s="78"/>
      <c r="EM684" s="78"/>
      <c r="EN684" s="91"/>
      <c r="EO684" s="91"/>
      <c r="EP684" s="91"/>
      <c r="EQ684" s="91"/>
      <c r="ER684" s="91"/>
      <c r="ES684" s="91"/>
    </row>
    <row r="685" spans="1:149" outlineLevel="1">
      <c r="A685" s="29" t="str">
        <f t="shared" si="348"/>
        <v>lt827_mthd_usd_instrmntmthd_usd_instrmnt_scp_1</v>
      </c>
      <c r="B685" s="67" t="s">
        <v>26</v>
      </c>
      <c r="C685" s="68" t="s">
        <v>26</v>
      </c>
      <c r="D685" s="64" t="s">
        <v>40</v>
      </c>
      <c r="E685" s="70" t="s">
        <v>1860</v>
      </c>
      <c r="F685" s="71" t="s">
        <v>385</v>
      </c>
      <c r="G685" s="64" t="str">
        <f>INDEX(Auxiliar!$B$16:$B$24,MATCH(Plano_V3!H685,Auxiliar!$C$16:$C$24,0),1)</f>
        <v>1. Concluído</v>
      </c>
      <c r="H685" s="64">
        <f>VLOOKUP(A685,'Aux - pivots1'!$A:$B,2,0)</f>
        <v>1</v>
      </c>
      <c r="I685" s="172">
        <f>SUMIFS(Table1[Estimação (horas)],Table1[Tabela],Plano_V3!E685,Table1[Campo],Plano_V3!F685)</f>
        <v>4.0999999999999996</v>
      </c>
      <c r="J685" s="172">
        <f t="shared" si="366"/>
        <v>0.51249999999999996</v>
      </c>
      <c r="K685" s="172">
        <f>SUMIFS(Table1[Horas efetivas],Table1[Tabela],Plano_V3!E685,Table1[Campo],Plano_V3!F685)</f>
        <v>4.0999999999999996</v>
      </c>
      <c r="L685" s="172">
        <f t="shared" si="367"/>
        <v>0.51249999999999996</v>
      </c>
      <c r="M685" s="174"/>
      <c r="N685" s="174">
        <f t="shared" si="368"/>
        <v>1</v>
      </c>
      <c r="O685" s="174"/>
      <c r="P685" s="89" t="s">
        <v>39</v>
      </c>
      <c r="R685" s="78"/>
      <c r="S685" s="78"/>
      <c r="T685" s="78"/>
      <c r="U685" s="78"/>
      <c r="V685" s="78"/>
      <c r="W685" s="78"/>
      <c r="X685" s="78"/>
      <c r="Y685" s="78"/>
      <c r="Z685" s="78"/>
      <c r="AA685" s="78"/>
      <c r="AB685" s="78"/>
      <c r="AC685" s="78"/>
      <c r="AD685" s="78"/>
      <c r="AE685" s="78"/>
      <c r="AF685" s="78"/>
      <c r="AG685" s="78"/>
      <c r="AH685" s="78"/>
      <c r="AI685" s="78"/>
      <c r="AJ685" s="78"/>
      <c r="AK685" s="78"/>
      <c r="AL685" s="78"/>
      <c r="AM685" s="78"/>
      <c r="AN685" s="78"/>
      <c r="AO685" s="78"/>
      <c r="AP685" s="78"/>
      <c r="AQ685" s="78"/>
      <c r="AR685" s="78"/>
      <c r="AS685" s="78"/>
      <c r="AT685" s="78"/>
      <c r="AU685" s="78"/>
      <c r="AV685" s="78"/>
      <c r="AW685" s="78"/>
      <c r="AX685" s="78"/>
      <c r="AY685" s="91"/>
      <c r="AZ685" s="78"/>
      <c r="BA685" s="78"/>
      <c r="BB685" s="78"/>
      <c r="BC685" s="78"/>
      <c r="BD685" s="78"/>
      <c r="BE685" s="78"/>
      <c r="BF685" s="78"/>
      <c r="BG685" s="78"/>
      <c r="BH685" s="78"/>
      <c r="BI685" s="78"/>
      <c r="BJ685" s="78"/>
      <c r="BK685" s="78"/>
      <c r="BL685" s="78"/>
      <c r="BM685" s="78"/>
      <c r="BN685" s="78"/>
      <c r="BO685" s="78"/>
      <c r="BP685" s="78"/>
      <c r="BQ685" s="78"/>
      <c r="BR685" s="78"/>
      <c r="BS685" s="78"/>
      <c r="BT685" s="78"/>
      <c r="BU685" s="78"/>
      <c r="BV685" s="78"/>
      <c r="BW685" s="78"/>
      <c r="BX685" s="78"/>
      <c r="BY685" s="78"/>
      <c r="BZ685" s="78"/>
      <c r="CA685" s="78"/>
      <c r="CB685" s="78"/>
      <c r="CC685" s="78"/>
      <c r="CD685" s="78"/>
      <c r="CE685" s="78"/>
      <c r="CF685" s="78"/>
      <c r="CG685" s="78"/>
      <c r="CH685" s="78"/>
      <c r="CI685" s="78"/>
      <c r="CJ685" s="78"/>
      <c r="CK685" s="78"/>
      <c r="CL685" s="78"/>
      <c r="CM685" s="78"/>
      <c r="CN685" s="78"/>
      <c r="CO685" s="78"/>
      <c r="CP685" s="78"/>
      <c r="CQ685" s="78"/>
      <c r="CR685" s="78"/>
      <c r="CS685" s="78"/>
      <c r="CT685" s="78"/>
      <c r="CU685" s="78"/>
      <c r="CV685" s="78"/>
      <c r="CW685" s="78"/>
      <c r="CX685" s="78"/>
      <c r="CY685" s="78"/>
      <c r="CZ685" s="78"/>
      <c r="DA685" s="78"/>
      <c r="DB685" s="78"/>
      <c r="DC685" s="78"/>
      <c r="DD685" s="78"/>
      <c r="DE685" s="78"/>
      <c r="DF685" s="78"/>
      <c r="DG685" s="78"/>
      <c r="DH685" s="78"/>
      <c r="DI685" s="78"/>
      <c r="DJ685" s="78"/>
      <c r="DK685" s="78"/>
      <c r="DL685" s="78"/>
      <c r="DM685" s="78"/>
      <c r="DN685" s="78"/>
      <c r="DO685" s="78"/>
      <c r="DP685" s="78"/>
      <c r="DQ685" s="78"/>
      <c r="DR685" s="78"/>
      <c r="DS685" s="78"/>
      <c r="DT685" s="78"/>
      <c r="DU685" s="78"/>
      <c r="DV685" s="78"/>
      <c r="DW685" s="78"/>
      <c r="DX685" s="78"/>
      <c r="DY685" s="78"/>
      <c r="DZ685" s="78"/>
      <c r="EA685" s="78"/>
      <c r="EB685" s="78"/>
      <c r="EC685" s="78"/>
      <c r="ED685" s="78"/>
      <c r="EE685" s="78"/>
      <c r="EF685" s="78"/>
      <c r="EG685" s="78"/>
      <c r="EH685" s="78"/>
      <c r="EI685" s="78"/>
      <c r="EJ685" s="78"/>
      <c r="EK685" s="78"/>
      <c r="EL685" s="78"/>
      <c r="EM685" s="78"/>
      <c r="EN685" s="91"/>
      <c r="EO685" s="91"/>
      <c r="EP685" s="91"/>
      <c r="EQ685" s="91"/>
      <c r="ER685" s="91"/>
      <c r="ES685" s="91"/>
    </row>
    <row r="686" spans="1:149" outlineLevel="1">
      <c r="A686" s="29" t="str">
        <f t="shared" si="348"/>
        <v>lt827_mthd_usd_instrmntmthd_usd_instrmnt_scp_2</v>
      </c>
      <c r="B686" s="67" t="s">
        <v>26</v>
      </c>
      <c r="C686" s="68" t="s">
        <v>26</v>
      </c>
      <c r="D686" s="64" t="s">
        <v>40</v>
      </c>
      <c r="E686" s="70" t="s">
        <v>1860</v>
      </c>
      <c r="F686" s="71" t="s">
        <v>386</v>
      </c>
      <c r="G686" s="64" t="str">
        <f>INDEX(Auxiliar!$B$16:$B$24,MATCH(Plano_V3!H686,Auxiliar!$C$16:$C$24,0),1)</f>
        <v>1. Concluído</v>
      </c>
      <c r="H686" s="64">
        <f>VLOOKUP(A686,'Aux - pivots1'!$A:$B,2,0)</f>
        <v>1</v>
      </c>
      <c r="I686" s="172">
        <f>SUMIFS(Table1[Estimação (horas)],Table1[Tabela],Plano_V3!E686,Table1[Campo],Plano_V3!F686)</f>
        <v>4.0999999999999996</v>
      </c>
      <c r="J686" s="172">
        <f t="shared" si="366"/>
        <v>0.51249999999999996</v>
      </c>
      <c r="K686" s="172">
        <f>SUMIFS(Table1[Horas efetivas],Table1[Tabela],Plano_V3!E686,Table1[Campo],Plano_V3!F686)</f>
        <v>4.0999999999999996</v>
      </c>
      <c r="L686" s="172">
        <f t="shared" si="367"/>
        <v>0.51249999999999996</v>
      </c>
      <c r="M686" s="174"/>
      <c r="N686" s="174">
        <f t="shared" si="368"/>
        <v>1</v>
      </c>
      <c r="O686" s="174"/>
      <c r="P686" s="89" t="s">
        <v>39</v>
      </c>
      <c r="R686" s="78"/>
      <c r="S686" s="78"/>
      <c r="T686" s="78"/>
      <c r="U686" s="78"/>
      <c r="V686" s="78"/>
      <c r="W686" s="78"/>
      <c r="X686" s="78"/>
      <c r="Y686" s="78"/>
      <c r="Z686" s="78"/>
      <c r="AA686" s="78"/>
      <c r="AB686" s="78"/>
      <c r="AC686" s="78"/>
      <c r="AD686" s="78"/>
      <c r="AE686" s="78"/>
      <c r="AF686" s="78"/>
      <c r="AG686" s="78"/>
      <c r="AH686" s="78"/>
      <c r="AI686" s="78"/>
      <c r="AJ686" s="78"/>
      <c r="AK686" s="78"/>
      <c r="AL686" s="78"/>
      <c r="AM686" s="78"/>
      <c r="AN686" s="78"/>
      <c r="AO686" s="78"/>
      <c r="AP686" s="78"/>
      <c r="AQ686" s="78"/>
      <c r="AR686" s="78"/>
      <c r="AS686" s="78"/>
      <c r="AT686" s="78"/>
      <c r="AU686" s="78"/>
      <c r="AV686" s="78"/>
      <c r="AW686" s="78"/>
      <c r="AX686" s="78"/>
      <c r="AY686" s="91"/>
      <c r="AZ686" s="78"/>
      <c r="BA686" s="78"/>
      <c r="BB686" s="78"/>
      <c r="BC686" s="78"/>
      <c r="BD686" s="78"/>
      <c r="BE686" s="78"/>
      <c r="BF686" s="78"/>
      <c r="BG686" s="78"/>
      <c r="BH686" s="78"/>
      <c r="BI686" s="78"/>
      <c r="BJ686" s="78"/>
      <c r="BK686" s="78"/>
      <c r="BL686" s="78"/>
      <c r="BM686" s="78"/>
      <c r="BN686" s="78"/>
      <c r="BO686" s="78"/>
      <c r="BP686" s="78"/>
      <c r="BQ686" s="78"/>
      <c r="BR686" s="78"/>
      <c r="BS686" s="78"/>
      <c r="BT686" s="78"/>
      <c r="BU686" s="78"/>
      <c r="BV686" s="78"/>
      <c r="BW686" s="78"/>
      <c r="BX686" s="78"/>
      <c r="BY686" s="78"/>
      <c r="BZ686" s="78"/>
      <c r="CA686" s="78"/>
      <c r="CB686" s="78"/>
      <c r="CC686" s="78"/>
      <c r="CD686" s="78"/>
      <c r="CE686" s="78"/>
      <c r="CF686" s="78"/>
      <c r="CG686" s="78"/>
      <c r="CH686" s="78"/>
      <c r="CI686" s="78"/>
      <c r="CJ686" s="78"/>
      <c r="CK686" s="78"/>
      <c r="CL686" s="78"/>
      <c r="CM686" s="78"/>
      <c r="CN686" s="78"/>
      <c r="CO686" s="78"/>
      <c r="CP686" s="78"/>
      <c r="CQ686" s="78"/>
      <c r="CR686" s="78"/>
      <c r="CS686" s="78"/>
      <c r="CT686" s="78"/>
      <c r="CU686" s="78"/>
      <c r="CV686" s="78"/>
      <c r="CW686" s="78"/>
      <c r="CX686" s="78"/>
      <c r="CY686" s="78"/>
      <c r="CZ686" s="78"/>
      <c r="DA686" s="78"/>
      <c r="DB686" s="78"/>
      <c r="DC686" s="78"/>
      <c r="DD686" s="78"/>
      <c r="DE686" s="78"/>
      <c r="DF686" s="78"/>
      <c r="DG686" s="78"/>
      <c r="DH686" s="78"/>
      <c r="DI686" s="78"/>
      <c r="DJ686" s="78"/>
      <c r="DK686" s="78"/>
      <c r="DL686" s="78"/>
      <c r="DM686" s="78"/>
      <c r="DN686" s="78"/>
      <c r="DO686" s="78"/>
      <c r="DP686" s="78"/>
      <c r="DQ686" s="78"/>
      <c r="DR686" s="78"/>
      <c r="DS686" s="78"/>
      <c r="DT686" s="78"/>
      <c r="DU686" s="78"/>
      <c r="DV686" s="78"/>
      <c r="DW686" s="78"/>
      <c r="DX686" s="78"/>
      <c r="DY686" s="78"/>
      <c r="DZ686" s="78"/>
      <c r="EA686" s="78"/>
      <c r="EB686" s="78"/>
      <c r="EC686" s="78"/>
      <c r="ED686" s="78"/>
      <c r="EE686" s="78"/>
      <c r="EF686" s="78"/>
      <c r="EG686" s="78"/>
      <c r="EH686" s="78"/>
      <c r="EI686" s="78"/>
      <c r="EJ686" s="78"/>
      <c r="EK686" s="78"/>
      <c r="EL686" s="78"/>
      <c r="EM686" s="78"/>
      <c r="EN686" s="91"/>
      <c r="EO686" s="91"/>
      <c r="EP686" s="91"/>
      <c r="EQ686" s="91"/>
      <c r="ER686" s="91"/>
      <c r="ES686" s="91"/>
    </row>
    <row r="687" spans="1:149" outlineLevel="1">
      <c r="A687" s="29" t="str">
        <f t="shared" si="348"/>
        <v>lt827_mthd_usd_instrmntmthd_usd_instrmnt_scp_3</v>
      </c>
      <c r="B687" s="67" t="s">
        <v>26</v>
      </c>
      <c r="C687" s="68" t="s">
        <v>26</v>
      </c>
      <c r="D687" s="64" t="s">
        <v>40</v>
      </c>
      <c r="E687" s="70" t="s">
        <v>1860</v>
      </c>
      <c r="F687" s="71" t="s">
        <v>387</v>
      </c>
      <c r="G687" s="64" t="str">
        <f>INDEX(Auxiliar!$B$16:$B$24,MATCH(Plano_V3!H687,Auxiliar!$C$16:$C$24,0),1)</f>
        <v>1. Concluído</v>
      </c>
      <c r="H687" s="64">
        <f>VLOOKUP(A687,'Aux - pivots1'!$A:$B,2,0)</f>
        <v>1</v>
      </c>
      <c r="I687" s="172">
        <f>SUMIFS(Table1[Estimação (horas)],Table1[Tabela],Plano_V3!E687,Table1[Campo],Plano_V3!F687)</f>
        <v>4.0999999999999996</v>
      </c>
      <c r="J687" s="172">
        <f t="shared" si="366"/>
        <v>0.51249999999999996</v>
      </c>
      <c r="K687" s="172">
        <f>SUMIFS(Table1[Horas efetivas],Table1[Tabela],Plano_V3!E687,Table1[Campo],Plano_V3!F687)</f>
        <v>4.0999999999999996</v>
      </c>
      <c r="L687" s="172">
        <f t="shared" si="367"/>
        <v>0.51249999999999996</v>
      </c>
      <c r="M687" s="174"/>
      <c r="N687" s="174">
        <f t="shared" si="368"/>
        <v>1</v>
      </c>
      <c r="O687" s="174"/>
      <c r="P687" s="89" t="s">
        <v>39</v>
      </c>
      <c r="R687" s="78"/>
      <c r="S687" s="78"/>
      <c r="T687" s="78"/>
      <c r="U687" s="78"/>
      <c r="V687" s="78"/>
      <c r="W687" s="78"/>
      <c r="X687" s="78"/>
      <c r="Y687" s="78"/>
      <c r="Z687" s="78"/>
      <c r="AA687" s="78"/>
      <c r="AB687" s="78"/>
      <c r="AC687" s="78"/>
      <c r="AD687" s="78"/>
      <c r="AE687" s="78"/>
      <c r="AF687" s="78"/>
      <c r="AG687" s="78"/>
      <c r="AH687" s="78"/>
      <c r="AI687" s="78"/>
      <c r="AJ687" s="78"/>
      <c r="AK687" s="78"/>
      <c r="AL687" s="78"/>
      <c r="AM687" s="78"/>
      <c r="AN687" s="78"/>
      <c r="AO687" s="78"/>
      <c r="AP687" s="78"/>
      <c r="AQ687" s="78"/>
      <c r="AR687" s="78"/>
      <c r="AS687" s="78"/>
      <c r="AT687" s="78"/>
      <c r="AU687" s="78"/>
      <c r="AV687" s="78"/>
      <c r="AW687" s="78"/>
      <c r="AX687" s="78"/>
      <c r="AY687" s="91"/>
      <c r="AZ687" s="78"/>
      <c r="BA687" s="78"/>
      <c r="BB687" s="78"/>
      <c r="BC687" s="78"/>
      <c r="BD687" s="78"/>
      <c r="BE687" s="78"/>
      <c r="BF687" s="78"/>
      <c r="BG687" s="78"/>
      <c r="BH687" s="78"/>
      <c r="BI687" s="78"/>
      <c r="BJ687" s="78"/>
      <c r="BK687" s="78"/>
      <c r="BL687" s="78"/>
      <c r="BM687" s="78"/>
      <c r="BN687" s="78"/>
      <c r="BO687" s="78"/>
      <c r="BP687" s="78"/>
      <c r="BQ687" s="78"/>
      <c r="BR687" s="78"/>
      <c r="BS687" s="78"/>
      <c r="BT687" s="78"/>
      <c r="BU687" s="78"/>
      <c r="BV687" s="78"/>
      <c r="BW687" s="78"/>
      <c r="BX687" s="78"/>
      <c r="BY687" s="78"/>
      <c r="BZ687" s="78"/>
      <c r="CA687" s="78"/>
      <c r="CB687" s="78"/>
      <c r="CC687" s="78"/>
      <c r="CD687" s="78"/>
      <c r="CE687" s="78"/>
      <c r="CF687" s="78"/>
      <c r="CG687" s="78"/>
      <c r="CH687" s="78"/>
      <c r="CI687" s="78"/>
      <c r="CJ687" s="78"/>
      <c r="CK687" s="78"/>
      <c r="CL687" s="78"/>
      <c r="CM687" s="78"/>
      <c r="CN687" s="78"/>
      <c r="CO687" s="78"/>
      <c r="CP687" s="78"/>
      <c r="CQ687" s="78"/>
      <c r="CR687" s="78"/>
      <c r="CS687" s="78"/>
      <c r="CT687" s="78"/>
      <c r="CU687" s="78"/>
      <c r="CV687" s="78"/>
      <c r="CW687" s="78"/>
      <c r="CX687" s="78"/>
      <c r="CY687" s="78"/>
      <c r="CZ687" s="78"/>
      <c r="DA687" s="78"/>
      <c r="DB687" s="78"/>
      <c r="DC687" s="78"/>
      <c r="DD687" s="78"/>
      <c r="DE687" s="78"/>
      <c r="DF687" s="78"/>
      <c r="DG687" s="78"/>
      <c r="DH687" s="78"/>
      <c r="DI687" s="78"/>
      <c r="DJ687" s="78"/>
      <c r="DK687" s="78"/>
      <c r="DL687" s="78"/>
      <c r="DM687" s="78"/>
      <c r="DN687" s="78"/>
      <c r="DO687" s="78"/>
      <c r="DP687" s="78"/>
      <c r="DQ687" s="78"/>
      <c r="DR687" s="78"/>
      <c r="DS687" s="78"/>
      <c r="DT687" s="78"/>
      <c r="DU687" s="78"/>
      <c r="DV687" s="78"/>
      <c r="DW687" s="78"/>
      <c r="DX687" s="78"/>
      <c r="DY687" s="78"/>
      <c r="DZ687" s="78"/>
      <c r="EA687" s="78"/>
      <c r="EB687" s="78"/>
      <c r="EC687" s="78"/>
      <c r="ED687" s="78"/>
      <c r="EE687" s="78"/>
      <c r="EF687" s="78"/>
      <c r="EG687" s="78"/>
      <c r="EH687" s="78"/>
      <c r="EI687" s="78"/>
      <c r="EJ687" s="78"/>
      <c r="EK687" s="78"/>
      <c r="EL687" s="78"/>
      <c r="EM687" s="78"/>
      <c r="EN687" s="91"/>
      <c r="EO687" s="91"/>
      <c r="EP687" s="91"/>
      <c r="EQ687" s="91"/>
      <c r="ER687" s="91"/>
      <c r="ES687" s="91"/>
    </row>
    <row r="688" spans="1:149" outlineLevel="1">
      <c r="A688" s="29" t="str">
        <f t="shared" si="348"/>
        <v>lt827_mthd_usd_instrmntpurpose_code</v>
      </c>
      <c r="B688" s="67"/>
      <c r="C688" s="68"/>
      <c r="D688" s="64" t="s">
        <v>40</v>
      </c>
      <c r="E688" s="70" t="s">
        <v>1860</v>
      </c>
      <c r="F688" s="71" t="s">
        <v>1846</v>
      </c>
      <c r="G688" s="64" t="str">
        <f>INDEX(Auxiliar!$B$16:$B$24,MATCH(Plano_V3!H688,Auxiliar!$C$16:$C$24,0),1)</f>
        <v>1. Concluído</v>
      </c>
      <c r="H688" s="64">
        <f>VLOOKUP(A688,'Aux - pivots1'!$A:$B,2,0)</f>
        <v>1</v>
      </c>
      <c r="I688" s="172">
        <f>SUMIFS(Table1[Estimação (horas)],Table1[Tabela],Plano_V3!E688,Table1[Campo],Plano_V3!F688)</f>
        <v>4.0999999999999996</v>
      </c>
      <c r="J688" s="172">
        <f t="shared" si="366"/>
        <v>0.51249999999999996</v>
      </c>
      <c r="K688" s="172">
        <f>SUMIFS(Table1[Horas efetivas],Table1[Tabela],Plano_V3!E688,Table1[Campo],Plano_V3!F688)</f>
        <v>4.0999999999999996</v>
      </c>
      <c r="L688" s="172">
        <f t="shared" si="367"/>
        <v>0.51249999999999996</v>
      </c>
      <c r="M688" s="174"/>
      <c r="N688" s="174">
        <f t="shared" si="368"/>
        <v>1</v>
      </c>
      <c r="O688" s="174"/>
      <c r="P688" s="89" t="s">
        <v>39</v>
      </c>
      <c r="R688" s="78"/>
      <c r="S688" s="78"/>
      <c r="T688" s="78"/>
      <c r="U688" s="78"/>
      <c r="V688" s="78"/>
      <c r="W688" s="78"/>
      <c r="X688" s="78"/>
      <c r="Y688" s="78"/>
      <c r="Z688" s="78"/>
      <c r="AA688" s="78"/>
      <c r="AB688" s="78"/>
      <c r="AC688" s="78"/>
      <c r="AD688" s="78"/>
      <c r="AE688" s="78"/>
      <c r="AF688" s="78"/>
      <c r="AG688" s="78"/>
      <c r="AH688" s="78"/>
      <c r="AI688" s="78"/>
      <c r="AJ688" s="78"/>
      <c r="AK688" s="78"/>
      <c r="AL688" s="78"/>
      <c r="AM688" s="78"/>
      <c r="AN688" s="78"/>
      <c r="AO688" s="78"/>
      <c r="AP688" s="78"/>
      <c r="AQ688" s="78"/>
      <c r="AR688" s="78"/>
      <c r="AS688" s="78"/>
      <c r="AT688" s="78"/>
      <c r="AU688" s="78"/>
      <c r="AV688" s="78"/>
      <c r="AW688" s="78"/>
      <c r="AX688" s="78"/>
      <c r="AY688" s="91"/>
      <c r="AZ688" s="78"/>
      <c r="BA688" s="78"/>
      <c r="BB688" s="78"/>
      <c r="BC688" s="78"/>
      <c r="BD688" s="78"/>
      <c r="BE688" s="78"/>
      <c r="BF688" s="78"/>
      <c r="BG688" s="78"/>
      <c r="BH688" s="78"/>
      <c r="BI688" s="78"/>
      <c r="BJ688" s="78"/>
      <c r="BK688" s="78"/>
      <c r="BL688" s="78"/>
      <c r="BM688" s="78"/>
      <c r="BN688" s="78"/>
      <c r="BO688" s="78"/>
      <c r="BP688" s="78"/>
      <c r="BQ688" s="78"/>
      <c r="BR688" s="78"/>
      <c r="BS688" s="78"/>
      <c r="BT688" s="78"/>
      <c r="BU688" s="78"/>
      <c r="BV688" s="78"/>
      <c r="BW688" s="78"/>
      <c r="BX688" s="78"/>
      <c r="BY688" s="78"/>
      <c r="BZ688" s="78"/>
      <c r="CA688" s="78"/>
      <c r="CB688" s="78"/>
      <c r="CC688" s="78"/>
      <c r="CD688" s="78"/>
      <c r="CE688" s="78"/>
      <c r="CF688" s="78"/>
      <c r="CG688" s="78"/>
      <c r="CH688" s="78"/>
      <c r="CI688" s="78"/>
      <c r="CJ688" s="78"/>
      <c r="CK688" s="78"/>
      <c r="CL688" s="78"/>
      <c r="CM688" s="78"/>
      <c r="CN688" s="78"/>
      <c r="CO688" s="78"/>
      <c r="CP688" s="78"/>
      <c r="CQ688" s="78"/>
      <c r="CR688" s="78"/>
      <c r="CS688" s="78"/>
      <c r="CT688" s="78"/>
      <c r="CU688" s="78"/>
      <c r="CV688" s="78"/>
      <c r="CW688" s="78"/>
      <c r="CX688" s="78"/>
      <c r="CY688" s="78"/>
      <c r="CZ688" s="78"/>
      <c r="DA688" s="78"/>
      <c r="DB688" s="78"/>
      <c r="DC688" s="78"/>
      <c r="DD688" s="78"/>
      <c r="DE688" s="78"/>
      <c r="DF688" s="78"/>
      <c r="DG688" s="78"/>
      <c r="DH688" s="78"/>
      <c r="DI688" s="78"/>
      <c r="DJ688" s="78"/>
      <c r="DK688" s="78"/>
      <c r="DL688" s="78"/>
      <c r="DM688" s="78"/>
      <c r="DN688" s="78"/>
      <c r="DO688" s="78"/>
      <c r="DP688" s="78"/>
      <c r="DQ688" s="78"/>
      <c r="DR688" s="78"/>
      <c r="DS688" s="78"/>
      <c r="DT688" s="78"/>
      <c r="DU688" s="78"/>
      <c r="DV688" s="78"/>
      <c r="DW688" s="78"/>
      <c r="DX688" s="78"/>
      <c r="DY688" s="78"/>
      <c r="DZ688" s="78"/>
      <c r="EA688" s="78"/>
      <c r="EB688" s="78"/>
      <c r="EC688" s="78"/>
      <c r="ED688" s="78"/>
      <c r="EE688" s="78"/>
      <c r="EF688" s="78"/>
      <c r="EG688" s="78"/>
      <c r="EH688" s="78"/>
      <c r="EI688" s="78"/>
      <c r="EJ688" s="78"/>
      <c r="EK688" s="78"/>
      <c r="EL688" s="78"/>
      <c r="EM688" s="78"/>
      <c r="EN688" s="91"/>
      <c r="EO688" s="91"/>
      <c r="EP688" s="91"/>
      <c r="EQ688" s="91"/>
      <c r="ER688" s="91"/>
      <c r="ES688" s="91"/>
    </row>
    <row r="689" spans="1:149" outlineLevel="1">
      <c r="A689" s="29" t="str">
        <f t="shared" si="348"/>
        <v>lt827_mthd_usd_instrmntflg_fin</v>
      </c>
      <c r="B689" s="67"/>
      <c r="C689" s="68"/>
      <c r="D689" s="64" t="s">
        <v>40</v>
      </c>
      <c r="E689" s="70" t="s">
        <v>1860</v>
      </c>
      <c r="F689" s="71" t="s">
        <v>480</v>
      </c>
      <c r="G689" s="64" t="str">
        <f>INDEX(Auxiliar!$B$16:$B$24,MATCH(Plano_V3!H689,Auxiliar!$C$16:$C$24,0),1)</f>
        <v>1. Concluído</v>
      </c>
      <c r="H689" s="64">
        <f>VLOOKUP(A689,'Aux - pivots1'!$A:$B,2,0)</f>
        <v>1</v>
      </c>
      <c r="I689" s="172">
        <f>SUMIFS(Table1[Estimação (horas)],Table1[Tabela],Plano_V3!E689,Table1[Campo],Plano_V3!F689)</f>
        <v>4.0999999999999996</v>
      </c>
      <c r="J689" s="172">
        <f t="shared" si="366"/>
        <v>0.51249999999999996</v>
      </c>
      <c r="K689" s="172">
        <f>SUMIFS(Table1[Horas efetivas],Table1[Tabela],Plano_V3!E689,Table1[Campo],Plano_V3!F689)</f>
        <v>4.0999999999999996</v>
      </c>
      <c r="L689" s="172">
        <f t="shared" si="367"/>
        <v>0.51249999999999996</v>
      </c>
      <c r="M689" s="174"/>
      <c r="N689" s="174">
        <f t="shared" si="368"/>
        <v>1</v>
      </c>
      <c r="O689" s="174"/>
      <c r="P689" s="89" t="s">
        <v>39</v>
      </c>
      <c r="R689" s="78"/>
      <c r="S689" s="78"/>
      <c r="T689" s="78"/>
      <c r="U689" s="78"/>
      <c r="V689" s="78"/>
      <c r="W689" s="78"/>
      <c r="X689" s="78"/>
      <c r="Y689" s="78"/>
      <c r="Z689" s="78"/>
      <c r="AA689" s="78"/>
      <c r="AB689" s="78"/>
      <c r="AC689" s="78"/>
      <c r="AD689" s="78"/>
      <c r="AE689" s="78"/>
      <c r="AF689" s="78"/>
      <c r="AG689" s="78"/>
      <c r="AH689" s="78"/>
      <c r="AI689" s="78"/>
      <c r="AJ689" s="78"/>
      <c r="AK689" s="78"/>
      <c r="AL689" s="78"/>
      <c r="AM689" s="78"/>
      <c r="AN689" s="78"/>
      <c r="AO689" s="78"/>
      <c r="AP689" s="78"/>
      <c r="AQ689" s="78"/>
      <c r="AR689" s="78"/>
      <c r="AS689" s="78"/>
      <c r="AT689" s="78"/>
      <c r="AU689" s="78"/>
      <c r="AV689" s="78"/>
      <c r="AW689" s="78"/>
      <c r="AX689" s="78"/>
      <c r="AY689" s="91"/>
      <c r="AZ689" s="78"/>
      <c r="BA689" s="78"/>
      <c r="BB689" s="78"/>
      <c r="BC689" s="78"/>
      <c r="BD689" s="78"/>
      <c r="BE689" s="78"/>
      <c r="BF689" s="78"/>
      <c r="BG689" s="78"/>
      <c r="BH689" s="78"/>
      <c r="BI689" s="78"/>
      <c r="BJ689" s="78"/>
      <c r="BK689" s="78"/>
      <c r="BL689" s="78"/>
      <c r="BM689" s="78"/>
      <c r="BN689" s="78"/>
      <c r="BO689" s="78"/>
      <c r="BP689" s="78"/>
      <c r="BQ689" s="78"/>
      <c r="BR689" s="78"/>
      <c r="BS689" s="78"/>
      <c r="BT689" s="78"/>
      <c r="BU689" s="78"/>
      <c r="BV689" s="78"/>
      <c r="BW689" s="78"/>
      <c r="BX689" s="78"/>
      <c r="BY689" s="78"/>
      <c r="BZ689" s="78"/>
      <c r="CA689" s="78"/>
      <c r="CB689" s="78"/>
      <c r="CC689" s="78"/>
      <c r="CD689" s="78"/>
      <c r="CE689" s="78"/>
      <c r="CF689" s="78"/>
      <c r="CG689" s="78"/>
      <c r="CH689" s="78"/>
      <c r="CI689" s="78"/>
      <c r="CJ689" s="78"/>
      <c r="CK689" s="78"/>
      <c r="CL689" s="78"/>
      <c r="CM689" s="78"/>
      <c r="CN689" s="78"/>
      <c r="CO689" s="78"/>
      <c r="CP689" s="78"/>
      <c r="CQ689" s="78"/>
      <c r="CR689" s="78"/>
      <c r="CS689" s="78"/>
      <c r="CT689" s="78"/>
      <c r="CU689" s="78"/>
      <c r="CV689" s="78"/>
      <c r="CW689" s="78"/>
      <c r="CX689" s="78"/>
      <c r="CY689" s="78"/>
      <c r="CZ689" s="78"/>
      <c r="DA689" s="78"/>
      <c r="DB689" s="78"/>
      <c r="DC689" s="78"/>
      <c r="DD689" s="78"/>
      <c r="DE689" s="78"/>
      <c r="DF689" s="78"/>
      <c r="DG689" s="78"/>
      <c r="DH689" s="78"/>
      <c r="DI689" s="78"/>
      <c r="DJ689" s="78"/>
      <c r="DK689" s="78"/>
      <c r="DL689" s="78"/>
      <c r="DM689" s="78"/>
      <c r="DN689" s="78"/>
      <c r="DO689" s="78"/>
      <c r="DP689" s="78"/>
      <c r="DQ689" s="78"/>
      <c r="DR689" s="78"/>
      <c r="DS689" s="78"/>
      <c r="DT689" s="78"/>
      <c r="DU689" s="78"/>
      <c r="DV689" s="78"/>
      <c r="DW689" s="78"/>
      <c r="DX689" s="78"/>
      <c r="DY689" s="78"/>
      <c r="DZ689" s="78"/>
      <c r="EA689" s="78"/>
      <c r="EB689" s="78"/>
      <c r="EC689" s="78"/>
      <c r="ED689" s="78"/>
      <c r="EE689" s="78"/>
      <c r="EF689" s="78"/>
      <c r="EG689" s="78"/>
      <c r="EH689" s="78"/>
      <c r="EI689" s="78"/>
      <c r="EJ689" s="78"/>
      <c r="EK689" s="78"/>
      <c r="EL689" s="78"/>
      <c r="EM689" s="78"/>
      <c r="EN689" s="91"/>
      <c r="EO689" s="91"/>
      <c r="EP689" s="91"/>
      <c r="EQ689" s="91"/>
      <c r="ER689" s="91"/>
      <c r="ES689" s="91"/>
    </row>
    <row r="690" spans="1:149" outlineLevel="1">
      <c r="A690" s="29" t="str">
        <f t="shared" si="348"/>
        <v>lt827_mthd_usd_instrmntflg_exec</v>
      </c>
      <c r="B690" s="67"/>
      <c r="C690" s="68"/>
      <c r="D690" s="64" t="s">
        <v>40</v>
      </c>
      <c r="E690" s="70" t="s">
        <v>1860</v>
      </c>
      <c r="F690" s="71" t="s">
        <v>1276</v>
      </c>
      <c r="G690" s="64" t="str">
        <f>INDEX(Auxiliar!$B$16:$B$24,MATCH(Plano_V3!H690,Auxiliar!$C$16:$C$24,0),1)</f>
        <v>1. Concluído</v>
      </c>
      <c r="H690" s="64">
        <f>VLOOKUP(A690,'Aux - pivots1'!$A:$B,2,0)</f>
        <v>1</v>
      </c>
      <c r="I690" s="172">
        <f>SUMIFS(Table1[Estimação (horas)],Table1[Tabela],Plano_V3!E690,Table1[Campo],Plano_V3!F690)</f>
        <v>4.0999999999999996</v>
      </c>
      <c r="J690" s="172">
        <f t="shared" si="366"/>
        <v>0.51249999999999996</v>
      </c>
      <c r="K690" s="172">
        <f>SUMIFS(Table1[Horas efetivas],Table1[Tabela],Plano_V3!E690,Table1[Campo],Plano_V3!F690)</f>
        <v>4.0999999999999996</v>
      </c>
      <c r="L690" s="172">
        <f t="shared" si="367"/>
        <v>0.51249999999999996</v>
      </c>
      <c r="M690" s="174"/>
      <c r="N690" s="174">
        <f t="shared" si="368"/>
        <v>1</v>
      </c>
      <c r="O690" s="174"/>
      <c r="P690" s="89" t="s">
        <v>39</v>
      </c>
      <c r="R690" s="78"/>
      <c r="S690" s="78"/>
      <c r="T690" s="78"/>
      <c r="U690" s="78"/>
      <c r="V690" s="78"/>
      <c r="W690" s="78"/>
      <c r="X690" s="78"/>
      <c r="Y690" s="78"/>
      <c r="Z690" s="78"/>
      <c r="AA690" s="78"/>
      <c r="AB690" s="78"/>
      <c r="AC690" s="78"/>
      <c r="AD690" s="78"/>
      <c r="AE690" s="78"/>
      <c r="AF690" s="78"/>
      <c r="AG690" s="78"/>
      <c r="AH690" s="78"/>
      <c r="AI690" s="78"/>
      <c r="AJ690" s="78"/>
      <c r="AK690" s="78"/>
      <c r="AL690" s="78"/>
      <c r="AM690" s="78"/>
      <c r="AN690" s="78"/>
      <c r="AO690" s="78"/>
      <c r="AP690" s="78"/>
      <c r="AQ690" s="78"/>
      <c r="AR690" s="78"/>
      <c r="AS690" s="78"/>
      <c r="AT690" s="78"/>
      <c r="AU690" s="78"/>
      <c r="AV690" s="78"/>
      <c r="AW690" s="78"/>
      <c r="AX690" s="78"/>
      <c r="AY690" s="91"/>
      <c r="AZ690" s="78"/>
      <c r="BA690" s="78"/>
      <c r="BB690" s="78"/>
      <c r="BC690" s="78"/>
      <c r="BD690" s="78"/>
      <c r="BE690" s="78"/>
      <c r="BF690" s="78"/>
      <c r="BG690" s="78"/>
      <c r="BH690" s="78"/>
      <c r="BI690" s="78"/>
      <c r="BJ690" s="78"/>
      <c r="BK690" s="78"/>
      <c r="BL690" s="78"/>
      <c r="BM690" s="78"/>
      <c r="BN690" s="78"/>
      <c r="BO690" s="78"/>
      <c r="BP690" s="78"/>
      <c r="BQ690" s="78"/>
      <c r="BR690" s="78"/>
      <c r="BS690" s="78"/>
      <c r="BT690" s="78"/>
      <c r="BU690" s="78"/>
      <c r="BV690" s="78"/>
      <c r="BW690" s="78"/>
      <c r="BX690" s="78"/>
      <c r="BY690" s="78"/>
      <c r="BZ690" s="78"/>
      <c r="CA690" s="78"/>
      <c r="CB690" s="78"/>
      <c r="CC690" s="78"/>
      <c r="CD690" s="78"/>
      <c r="CE690" s="78"/>
      <c r="CF690" s="78"/>
      <c r="CG690" s="78"/>
      <c r="CH690" s="78"/>
      <c r="CI690" s="78"/>
      <c r="CJ690" s="78"/>
      <c r="CK690" s="78"/>
      <c r="CL690" s="78"/>
      <c r="CM690" s="78"/>
      <c r="CN690" s="78"/>
      <c r="CO690" s="78"/>
      <c r="CP690" s="78"/>
      <c r="CQ690" s="78"/>
      <c r="CR690" s="78"/>
      <c r="CS690" s="78"/>
      <c r="CT690" s="78"/>
      <c r="CU690" s="78"/>
      <c r="CV690" s="78"/>
      <c r="CW690" s="78"/>
      <c r="CX690" s="78"/>
      <c r="CY690" s="78"/>
      <c r="CZ690" s="78"/>
      <c r="DA690" s="78"/>
      <c r="DB690" s="78"/>
      <c r="DC690" s="78"/>
      <c r="DD690" s="78"/>
      <c r="DE690" s="78"/>
      <c r="DF690" s="78"/>
      <c r="DG690" s="78"/>
      <c r="DH690" s="78"/>
      <c r="DI690" s="78"/>
      <c r="DJ690" s="78"/>
      <c r="DK690" s="78"/>
      <c r="DL690" s="78"/>
      <c r="DM690" s="78"/>
      <c r="DN690" s="78"/>
      <c r="DO690" s="78"/>
      <c r="DP690" s="78"/>
      <c r="DQ690" s="78"/>
      <c r="DR690" s="78"/>
      <c r="DS690" s="78"/>
      <c r="DT690" s="78"/>
      <c r="DU690" s="78"/>
      <c r="DV690" s="78"/>
      <c r="DW690" s="78"/>
      <c r="DX690" s="78"/>
      <c r="DY690" s="78"/>
      <c r="DZ690" s="78"/>
      <c r="EA690" s="78"/>
      <c r="EB690" s="78"/>
      <c r="EC690" s="78"/>
      <c r="ED690" s="78"/>
      <c r="EE690" s="78"/>
      <c r="EF690" s="78"/>
      <c r="EG690" s="78"/>
      <c r="EH690" s="78"/>
      <c r="EI690" s="78"/>
      <c r="EJ690" s="78"/>
      <c r="EK690" s="78"/>
      <c r="EL690" s="78"/>
      <c r="EM690" s="78"/>
      <c r="EN690" s="91"/>
      <c r="EO690" s="91"/>
      <c r="EP690" s="91"/>
      <c r="EQ690" s="91"/>
      <c r="ER690" s="91"/>
      <c r="ES690" s="91"/>
    </row>
    <row r="691" spans="1:149" outlineLevel="1">
      <c r="A691" s="29" t="str">
        <f t="shared" si="348"/>
        <v>lt827_mthd_usd_instrmntflg_col</v>
      </c>
      <c r="B691" s="67"/>
      <c r="C691" s="68"/>
      <c r="D691" s="64" t="s">
        <v>40</v>
      </c>
      <c r="E691" s="70" t="s">
        <v>1860</v>
      </c>
      <c r="F691" s="71" t="s">
        <v>479</v>
      </c>
      <c r="G691" s="64" t="str">
        <f>INDEX(Auxiliar!$B$16:$B$24,MATCH(Plano_V3!H691,Auxiliar!$C$16:$C$24,0),1)</f>
        <v>1. Concluído</v>
      </c>
      <c r="H691" s="64">
        <f>VLOOKUP(A691,'Aux - pivots1'!$A:$B,2,0)</f>
        <v>1</v>
      </c>
      <c r="I691" s="172">
        <f>SUMIFS(Table1[Estimação (horas)],Table1[Tabela],Plano_V3!E691,Table1[Campo],Plano_V3!F691)</f>
        <v>4.0999999999999996</v>
      </c>
      <c r="J691" s="172">
        <f t="shared" si="366"/>
        <v>0.51249999999999996</v>
      </c>
      <c r="K691" s="172">
        <f>SUMIFS(Table1[Horas efetivas],Table1[Tabela],Plano_V3!E691,Table1[Campo],Plano_V3!F691)</f>
        <v>4.0999999999999996</v>
      </c>
      <c r="L691" s="172">
        <f t="shared" si="367"/>
        <v>0.51249999999999996</v>
      </c>
      <c r="M691" s="174"/>
      <c r="N691" s="174">
        <f t="shared" si="368"/>
        <v>1</v>
      </c>
      <c r="O691" s="174"/>
      <c r="P691" s="89" t="s">
        <v>39</v>
      </c>
      <c r="R691" s="78"/>
      <c r="S691" s="78"/>
      <c r="T691" s="78"/>
      <c r="U691" s="78"/>
      <c r="V691" s="78"/>
      <c r="W691" s="78"/>
      <c r="X691" s="78"/>
      <c r="Y691" s="78"/>
      <c r="Z691" s="78"/>
      <c r="AA691" s="78"/>
      <c r="AB691" s="78"/>
      <c r="AC691" s="78"/>
      <c r="AD691" s="78"/>
      <c r="AE691" s="78"/>
      <c r="AF691" s="78"/>
      <c r="AG691" s="78"/>
      <c r="AH691" s="78"/>
      <c r="AI691" s="78"/>
      <c r="AJ691" s="78"/>
      <c r="AK691" s="78"/>
      <c r="AL691" s="78"/>
      <c r="AM691" s="78"/>
      <c r="AN691" s="78"/>
      <c r="AO691" s="78"/>
      <c r="AP691" s="78"/>
      <c r="AQ691" s="78"/>
      <c r="AR691" s="78"/>
      <c r="AS691" s="78"/>
      <c r="AT691" s="78"/>
      <c r="AU691" s="78"/>
      <c r="AV691" s="78"/>
      <c r="AW691" s="78"/>
      <c r="AX691" s="78"/>
      <c r="AY691" s="91"/>
      <c r="AZ691" s="78"/>
      <c r="BA691" s="78"/>
      <c r="BB691" s="78"/>
      <c r="BC691" s="78"/>
      <c r="BD691" s="78"/>
      <c r="BE691" s="78"/>
      <c r="BF691" s="78"/>
      <c r="BG691" s="78"/>
      <c r="BH691" s="78"/>
      <c r="BI691" s="78"/>
      <c r="BJ691" s="78"/>
      <c r="BK691" s="78"/>
      <c r="BL691" s="78"/>
      <c r="BM691" s="78"/>
      <c r="BN691" s="78"/>
      <c r="BO691" s="78"/>
      <c r="BP691" s="78"/>
      <c r="BQ691" s="78"/>
      <c r="BR691" s="78"/>
      <c r="BS691" s="78"/>
      <c r="BT691" s="78"/>
      <c r="BU691" s="78"/>
      <c r="BV691" s="78"/>
      <c r="BW691" s="78"/>
      <c r="BX691" s="78"/>
      <c r="BY691" s="78"/>
      <c r="BZ691" s="78"/>
      <c r="CA691" s="78"/>
      <c r="CB691" s="78"/>
      <c r="CC691" s="78"/>
      <c r="CD691" s="78"/>
      <c r="CE691" s="78"/>
      <c r="CF691" s="78"/>
      <c r="CG691" s="78"/>
      <c r="CH691" s="78"/>
      <c r="CI691" s="78"/>
      <c r="CJ691" s="78"/>
      <c r="CK691" s="78"/>
      <c r="CL691" s="78"/>
      <c r="CM691" s="78"/>
      <c r="CN691" s="78"/>
      <c r="CO691" s="78"/>
      <c r="CP691" s="78"/>
      <c r="CQ691" s="78"/>
      <c r="CR691" s="78"/>
      <c r="CS691" s="78"/>
      <c r="CT691" s="78"/>
      <c r="CU691" s="78"/>
      <c r="CV691" s="78"/>
      <c r="CW691" s="78"/>
      <c r="CX691" s="78"/>
      <c r="CY691" s="78"/>
      <c r="CZ691" s="78"/>
      <c r="DA691" s="78"/>
      <c r="DB691" s="78"/>
      <c r="DC691" s="78"/>
      <c r="DD691" s="78"/>
      <c r="DE691" s="78"/>
      <c r="DF691" s="78"/>
      <c r="DG691" s="78"/>
      <c r="DH691" s="78"/>
      <c r="DI691" s="78"/>
      <c r="DJ691" s="78"/>
      <c r="DK691" s="78"/>
      <c r="DL691" s="78"/>
      <c r="DM691" s="78"/>
      <c r="DN691" s="78"/>
      <c r="DO691" s="78"/>
      <c r="DP691" s="78"/>
      <c r="DQ691" s="78"/>
      <c r="DR691" s="78"/>
      <c r="DS691" s="78"/>
      <c r="DT691" s="78"/>
      <c r="DU691" s="78"/>
      <c r="DV691" s="78"/>
      <c r="DW691" s="78"/>
      <c r="DX691" s="78"/>
      <c r="DY691" s="78"/>
      <c r="DZ691" s="78"/>
      <c r="EA691" s="78"/>
      <c r="EB691" s="78"/>
      <c r="EC691" s="78"/>
      <c r="ED691" s="78"/>
      <c r="EE691" s="78"/>
      <c r="EF691" s="78"/>
      <c r="EG691" s="78"/>
      <c r="EH691" s="78"/>
      <c r="EI691" s="78"/>
      <c r="EJ691" s="78"/>
      <c r="EK691" s="78"/>
      <c r="EL691" s="78"/>
      <c r="EM691" s="78"/>
      <c r="EN691" s="91"/>
      <c r="EO691" s="91"/>
      <c r="EP691" s="91"/>
      <c r="EQ691" s="91"/>
      <c r="ER691" s="91"/>
      <c r="ES691" s="91"/>
    </row>
    <row r="692" spans="1:149" outlineLevel="1">
      <c r="A692" s="29" t="str">
        <f t="shared" si="348"/>
        <v>lt827_mthd_usd_instrmntflg_pro</v>
      </c>
      <c r="B692" s="67"/>
      <c r="C692" s="68"/>
      <c r="D692" s="64" t="s">
        <v>40</v>
      </c>
      <c r="E692" s="70" t="s">
        <v>1860</v>
      </c>
      <c r="F692" s="71" t="s">
        <v>481</v>
      </c>
      <c r="G692" s="64" t="str">
        <f>INDEX(Auxiliar!$B$16:$B$24,MATCH(Plano_V3!H692,Auxiliar!$C$16:$C$24,0),1)</f>
        <v>1. Concluído</v>
      </c>
      <c r="H692" s="64">
        <f>VLOOKUP(A692,'Aux - pivots1'!$A:$B,2,0)</f>
        <v>1</v>
      </c>
      <c r="I692" s="172">
        <f>SUMIFS(Table1[Estimação (horas)],Table1[Tabela],Plano_V3!E692,Table1[Campo],Plano_V3!F692)</f>
        <v>4.0999999999999996</v>
      </c>
      <c r="J692" s="172">
        <f t="shared" si="366"/>
        <v>0.51249999999999996</v>
      </c>
      <c r="K692" s="172">
        <f>SUMIFS(Table1[Horas efetivas],Table1[Tabela],Plano_V3!E692,Table1[Campo],Plano_V3!F692)</f>
        <v>4.0999999999999996</v>
      </c>
      <c r="L692" s="172">
        <f t="shared" si="367"/>
        <v>0.51249999999999996</v>
      </c>
      <c r="M692" s="174"/>
      <c r="N692" s="174">
        <f t="shared" si="368"/>
        <v>1</v>
      </c>
      <c r="O692" s="174"/>
      <c r="P692" s="89" t="s">
        <v>39</v>
      </c>
      <c r="R692" s="78"/>
      <c r="S692" s="78"/>
      <c r="T692" s="78"/>
      <c r="U692" s="78"/>
      <c r="V692" s="78"/>
      <c r="W692" s="78"/>
      <c r="X692" s="78"/>
      <c r="Y692" s="78"/>
      <c r="Z692" s="78"/>
      <c r="AA692" s="78"/>
      <c r="AB692" s="78"/>
      <c r="AC692" s="78"/>
      <c r="AD692" s="78"/>
      <c r="AE692" s="78"/>
      <c r="AF692" s="78"/>
      <c r="AG692" s="78"/>
      <c r="AH692" s="78"/>
      <c r="AI692" s="78"/>
      <c r="AJ692" s="78"/>
      <c r="AK692" s="78"/>
      <c r="AL692" s="78"/>
      <c r="AM692" s="78"/>
      <c r="AN692" s="78"/>
      <c r="AO692" s="78"/>
      <c r="AP692" s="78"/>
      <c r="AQ692" s="78"/>
      <c r="AR692" s="78"/>
      <c r="AS692" s="78"/>
      <c r="AT692" s="78"/>
      <c r="AU692" s="78"/>
      <c r="AV692" s="78"/>
      <c r="AW692" s="78"/>
      <c r="AX692" s="78"/>
      <c r="AY692" s="91"/>
      <c r="AZ692" s="78"/>
      <c r="BA692" s="78"/>
      <c r="BB692" s="78"/>
      <c r="BC692" s="78"/>
      <c r="BD692" s="78"/>
      <c r="BE692" s="78"/>
      <c r="BF692" s="78"/>
      <c r="BG692" s="78"/>
      <c r="BH692" s="78"/>
      <c r="BI692" s="78"/>
      <c r="BJ692" s="78"/>
      <c r="BK692" s="78"/>
      <c r="BL692" s="78"/>
      <c r="BM692" s="78"/>
      <c r="BN692" s="78"/>
      <c r="BO692" s="78"/>
      <c r="BP692" s="78"/>
      <c r="BQ692" s="78"/>
      <c r="BR692" s="78"/>
      <c r="BS692" s="78"/>
      <c r="BT692" s="78"/>
      <c r="BU692" s="78"/>
      <c r="BV692" s="78"/>
      <c r="BW692" s="78"/>
      <c r="BX692" s="78"/>
      <c r="BY692" s="78"/>
      <c r="BZ692" s="78"/>
      <c r="CA692" s="78"/>
      <c r="CB692" s="78"/>
      <c r="CC692" s="78"/>
      <c r="CD692" s="78"/>
      <c r="CE692" s="78"/>
      <c r="CF692" s="78"/>
      <c r="CG692" s="78"/>
      <c r="CH692" s="78"/>
      <c r="CI692" s="78"/>
      <c r="CJ692" s="78"/>
      <c r="CK692" s="78"/>
      <c r="CL692" s="78"/>
      <c r="CM692" s="78"/>
      <c r="CN692" s="78"/>
      <c r="CO692" s="78"/>
      <c r="CP692" s="78"/>
      <c r="CQ692" s="78"/>
      <c r="CR692" s="78"/>
      <c r="CS692" s="78"/>
      <c r="CT692" s="78"/>
      <c r="CU692" s="78"/>
      <c r="CV692" s="78"/>
      <c r="CW692" s="78"/>
      <c r="CX692" s="78"/>
      <c r="CY692" s="78"/>
      <c r="CZ692" s="78"/>
      <c r="DA692" s="78"/>
      <c r="DB692" s="78"/>
      <c r="DC692" s="78"/>
      <c r="DD692" s="78"/>
      <c r="DE692" s="78"/>
      <c r="DF692" s="78"/>
      <c r="DG692" s="78"/>
      <c r="DH692" s="78"/>
      <c r="DI692" s="78"/>
      <c r="DJ692" s="78"/>
      <c r="DK692" s="78"/>
      <c r="DL692" s="78"/>
      <c r="DM692" s="78"/>
      <c r="DN692" s="78"/>
      <c r="DO692" s="78"/>
      <c r="DP692" s="78"/>
      <c r="DQ692" s="78"/>
      <c r="DR692" s="78"/>
      <c r="DS692" s="78"/>
      <c r="DT692" s="78"/>
      <c r="DU692" s="78"/>
      <c r="DV692" s="78"/>
      <c r="DW692" s="78"/>
      <c r="DX692" s="78"/>
      <c r="DY692" s="78"/>
      <c r="DZ692" s="78"/>
      <c r="EA692" s="78"/>
      <c r="EB692" s="78"/>
      <c r="EC692" s="78"/>
      <c r="ED692" s="78"/>
      <c r="EE692" s="78"/>
      <c r="EF692" s="78"/>
      <c r="EG692" s="78"/>
      <c r="EH692" s="78"/>
      <c r="EI692" s="78"/>
      <c r="EJ692" s="78"/>
      <c r="EK692" s="78"/>
      <c r="EL692" s="78"/>
      <c r="EM692" s="78"/>
      <c r="EN692" s="91"/>
      <c r="EO692" s="91"/>
      <c r="EP692" s="91"/>
      <c r="EQ692" s="91"/>
      <c r="ER692" s="91"/>
      <c r="ES692" s="91"/>
    </row>
    <row r="693" spans="1:149" outlineLevel="1">
      <c r="A693" s="29" t="str">
        <f t="shared" si="348"/>
        <v>lt826_esg_sbsctrambito</v>
      </c>
      <c r="B693" s="67" t="s">
        <v>26</v>
      </c>
      <c r="C693" s="68" t="s">
        <v>26</v>
      </c>
      <c r="D693" s="64" t="s">
        <v>40</v>
      </c>
      <c r="E693" s="70" t="s">
        <v>392</v>
      </c>
      <c r="F693" s="72" t="s">
        <v>390</v>
      </c>
      <c r="G693" s="64" t="str">
        <f>INDEX(Auxiliar!$B$16:$B$24,MATCH(Plano_V3!H693,Auxiliar!$C$16:$C$24,0),1)</f>
        <v>1. Concluído</v>
      </c>
      <c r="H693" s="64">
        <f>VLOOKUP(A693,'Aux - pivots1'!$A:$B,2,0)</f>
        <v>1</v>
      </c>
      <c r="I693" s="172">
        <f>SUMIFS(Table1[Estimação (horas)],Table1[Tabela],Plano_V3!E693,Table1[Campo],Plano_V3!F693)</f>
        <v>4.0999999999999996</v>
      </c>
      <c r="J693" s="172">
        <f t="shared" si="366"/>
        <v>0.51249999999999996</v>
      </c>
      <c r="K693" s="172">
        <f>SUMIFS(Table1[Horas efetivas],Table1[Tabela],Plano_V3!E693,Table1[Campo],Plano_V3!F693)</f>
        <v>4.0999999999999996</v>
      </c>
      <c r="L693" s="172">
        <f t="shared" si="367"/>
        <v>0.51249999999999996</v>
      </c>
      <c r="M693" s="174"/>
      <c r="N693" s="174">
        <f t="shared" si="368"/>
        <v>1</v>
      </c>
      <c r="O693" s="174"/>
      <c r="P693" s="89" t="s">
        <v>39</v>
      </c>
      <c r="R693" s="78"/>
      <c r="S693" s="78"/>
      <c r="T693" s="78"/>
      <c r="U693" s="78"/>
      <c r="V693" s="78"/>
      <c r="W693" s="78"/>
      <c r="X693" s="78"/>
      <c r="Y693" s="78"/>
      <c r="Z693" s="78"/>
      <c r="AA693" s="78"/>
      <c r="AB693" s="78"/>
      <c r="AC693" s="78"/>
      <c r="AD693" s="78"/>
      <c r="AE693" s="78"/>
      <c r="AF693" s="78"/>
      <c r="AG693" s="78"/>
      <c r="AH693" s="78"/>
      <c r="AI693" s="78"/>
      <c r="AJ693" s="78"/>
      <c r="AK693" s="78"/>
      <c r="AL693" s="78"/>
      <c r="AM693" s="78"/>
      <c r="AN693" s="78"/>
      <c r="AO693" s="78"/>
      <c r="AP693" s="78"/>
      <c r="AQ693" s="78"/>
      <c r="AR693" s="78"/>
      <c r="AS693" s="78"/>
      <c r="AT693" s="78"/>
      <c r="AU693" s="78"/>
      <c r="AV693" s="78"/>
      <c r="AW693" s="78"/>
      <c r="AX693" s="78"/>
      <c r="AY693" s="91"/>
      <c r="AZ693" s="78"/>
      <c r="BA693" s="78"/>
      <c r="BB693" s="78"/>
      <c r="BC693" s="78"/>
      <c r="BD693" s="78"/>
      <c r="BE693" s="78"/>
      <c r="BF693" s="78"/>
      <c r="BG693" s="78"/>
      <c r="BH693" s="78"/>
      <c r="BI693" s="78"/>
      <c r="BJ693" s="78"/>
      <c r="BK693" s="78"/>
      <c r="BL693" s="78"/>
      <c r="BM693" s="78"/>
      <c r="BN693" s="78"/>
      <c r="BO693" s="78"/>
      <c r="BP693" s="78"/>
      <c r="BQ693" s="78"/>
      <c r="BR693" s="78"/>
      <c r="BS693" s="78"/>
      <c r="BT693" s="78"/>
      <c r="BU693" s="78"/>
      <c r="BV693" s="78"/>
      <c r="BW693" s="78"/>
      <c r="BX693" s="78"/>
      <c r="BY693" s="78"/>
      <c r="BZ693" s="78"/>
      <c r="CA693" s="78"/>
      <c r="CB693" s="78"/>
      <c r="CC693" s="78"/>
      <c r="CD693" s="78"/>
      <c r="CE693" s="78"/>
      <c r="CF693" s="78"/>
      <c r="CG693" s="78"/>
      <c r="CH693" s="78"/>
      <c r="CI693" s="78"/>
      <c r="CJ693" s="78"/>
      <c r="CK693" s="78"/>
      <c r="CL693" s="78"/>
      <c r="CM693" s="78"/>
      <c r="CN693" s="78"/>
      <c r="CO693" s="78"/>
      <c r="CP693" s="78"/>
      <c r="CQ693" s="78"/>
      <c r="CR693" s="78"/>
      <c r="CS693" s="78"/>
      <c r="CT693" s="78"/>
      <c r="CU693" s="78"/>
      <c r="CV693" s="78"/>
      <c r="CW693" s="78"/>
      <c r="CX693" s="78"/>
      <c r="CY693" s="78"/>
      <c r="CZ693" s="78"/>
      <c r="DA693" s="78"/>
      <c r="DB693" s="78"/>
      <c r="DC693" s="78"/>
      <c r="DD693" s="78"/>
      <c r="DE693" s="78"/>
      <c r="DF693" s="78"/>
      <c r="DG693" s="78"/>
      <c r="DH693" s="78"/>
      <c r="DI693" s="78"/>
      <c r="DJ693" s="78"/>
      <c r="DK693" s="78"/>
      <c r="DL693" s="78"/>
      <c r="DM693" s="78"/>
      <c r="DN693" s="78"/>
      <c r="DO693" s="78"/>
      <c r="DP693" s="78"/>
      <c r="DQ693" s="78"/>
      <c r="DR693" s="78"/>
      <c r="DS693" s="78"/>
      <c r="DT693" s="78"/>
      <c r="DU693" s="78"/>
      <c r="DV693" s="78"/>
      <c r="DW693" s="78"/>
      <c r="DX693" s="78"/>
      <c r="DY693" s="78"/>
      <c r="DZ693" s="78"/>
      <c r="EA693" s="78"/>
      <c r="EB693" s="78"/>
      <c r="EC693" s="78"/>
      <c r="ED693" s="78"/>
      <c r="EE693" s="78"/>
      <c r="EF693" s="78"/>
      <c r="EG693" s="78"/>
      <c r="EH693" s="78"/>
      <c r="EI693" s="78"/>
      <c r="EJ693" s="78"/>
      <c r="EK693" s="78"/>
      <c r="EL693" s="78"/>
      <c r="EM693" s="78"/>
      <c r="EN693" s="91"/>
      <c r="EO693" s="91"/>
      <c r="EP693" s="91"/>
      <c r="EQ693" s="91"/>
      <c r="ER693" s="91"/>
      <c r="ES693" s="91"/>
    </row>
    <row r="694" spans="1:149" outlineLevel="1">
      <c r="A694" s="29" t="str">
        <f t="shared" si="348"/>
        <v>lt826_esg_sbsctrref_date</v>
      </c>
      <c r="B694" s="67" t="s">
        <v>26</v>
      </c>
      <c r="C694" s="68" t="s">
        <v>26</v>
      </c>
      <c r="D694" s="64" t="s">
        <v>40</v>
      </c>
      <c r="E694" s="70" t="s">
        <v>392</v>
      </c>
      <c r="F694" s="72" t="s">
        <v>208</v>
      </c>
      <c r="G694" s="64" t="str">
        <f>INDEX(Auxiliar!$B$16:$B$24,MATCH(Plano_V3!H694,Auxiliar!$C$16:$C$24,0),1)</f>
        <v>1. Concluído</v>
      </c>
      <c r="H694" s="64">
        <f>VLOOKUP(A694,'Aux - pivots1'!$A:$B,2,0)</f>
        <v>1</v>
      </c>
      <c r="I694" s="172">
        <f>SUMIFS(Table1[Estimação (horas)],Table1[Tabela],Plano_V3!E694,Table1[Campo],Plano_V3!F694)</f>
        <v>4.0999999999999996</v>
      </c>
      <c r="J694" s="172">
        <f t="shared" ref="J694:J765" si="369">I694/8</f>
        <v>0.51249999999999996</v>
      </c>
      <c r="K694" s="172">
        <f>SUMIFS(Table1[Horas efetivas],Table1[Tabela],Plano_V3!E694,Table1[Campo],Plano_V3!F694)</f>
        <v>4.0999999999999996</v>
      </c>
      <c r="L694" s="172">
        <f t="shared" ref="L694:L765" si="370">K694/8</f>
        <v>0.51249999999999996</v>
      </c>
      <c r="M694" s="174"/>
      <c r="N694" s="174">
        <f t="shared" ref="N694:N768" si="371">L694/J694</f>
        <v>1</v>
      </c>
      <c r="O694" s="174"/>
      <c r="P694" s="89" t="s">
        <v>39</v>
      </c>
      <c r="R694" s="78"/>
      <c r="S694" s="78"/>
      <c r="T694" s="78"/>
      <c r="U694" s="78"/>
      <c r="V694" s="78"/>
      <c r="W694" s="78"/>
      <c r="X694" s="78"/>
      <c r="Y694" s="78"/>
      <c r="Z694" s="78"/>
      <c r="AA694" s="78"/>
      <c r="AB694" s="78"/>
      <c r="AC694" s="78"/>
      <c r="AD694" s="78"/>
      <c r="AE694" s="78"/>
      <c r="AF694" s="78"/>
      <c r="AG694" s="78"/>
      <c r="AH694" s="78"/>
      <c r="AI694" s="78"/>
      <c r="AJ694" s="78"/>
      <c r="AK694" s="78"/>
      <c r="AL694" s="78"/>
      <c r="AM694" s="78"/>
      <c r="AN694" s="78"/>
      <c r="AO694" s="78"/>
      <c r="AP694" s="78"/>
      <c r="AQ694" s="78"/>
      <c r="AR694" s="78"/>
      <c r="AS694" s="78"/>
      <c r="AT694" s="78"/>
      <c r="AU694" s="78"/>
      <c r="AV694" s="78"/>
      <c r="AW694" s="78"/>
      <c r="AX694" s="78"/>
      <c r="AY694" s="91"/>
      <c r="AZ694" s="78"/>
      <c r="BA694" s="78"/>
      <c r="BB694" s="78"/>
      <c r="BC694" s="78"/>
      <c r="BD694" s="78"/>
      <c r="BE694" s="78"/>
      <c r="BF694" s="78"/>
      <c r="BG694" s="78"/>
      <c r="BH694" s="78"/>
      <c r="BI694" s="78"/>
      <c r="BJ694" s="78"/>
      <c r="BK694" s="78"/>
      <c r="BL694" s="78"/>
      <c r="BM694" s="78"/>
      <c r="BN694" s="78"/>
      <c r="BO694" s="78"/>
      <c r="BP694" s="78"/>
      <c r="BQ694" s="78"/>
      <c r="BR694" s="78"/>
      <c r="BS694" s="78"/>
      <c r="BT694" s="78"/>
      <c r="BU694" s="78"/>
      <c r="BV694" s="78"/>
      <c r="BW694" s="78"/>
      <c r="BX694" s="78"/>
      <c r="BY694" s="78"/>
      <c r="BZ694" s="78"/>
      <c r="CA694" s="78"/>
      <c r="CB694" s="78"/>
      <c r="CC694" s="78"/>
      <c r="CD694" s="78"/>
      <c r="CE694" s="78"/>
      <c r="CF694" s="78"/>
      <c r="CG694" s="78"/>
      <c r="CH694" s="78"/>
      <c r="CI694" s="78"/>
      <c r="CJ694" s="78"/>
      <c r="CK694" s="78"/>
      <c r="CL694" s="78"/>
      <c r="CM694" s="78"/>
      <c r="CN694" s="78"/>
      <c r="CO694" s="78"/>
      <c r="CP694" s="78"/>
      <c r="CQ694" s="78"/>
      <c r="CR694" s="78"/>
      <c r="CS694" s="78"/>
      <c r="CT694" s="78"/>
      <c r="CU694" s="78"/>
      <c r="CV694" s="78"/>
      <c r="CW694" s="78"/>
      <c r="CX694" s="78"/>
      <c r="CY694" s="78"/>
      <c r="CZ694" s="78"/>
      <c r="DA694" s="78"/>
      <c r="DB694" s="78"/>
      <c r="DC694" s="78"/>
      <c r="DD694" s="78"/>
      <c r="DE694" s="78"/>
      <c r="DF694" s="78"/>
      <c r="DG694" s="78"/>
      <c r="DH694" s="78"/>
      <c r="DI694" s="78"/>
      <c r="DJ694" s="78"/>
      <c r="DK694" s="78"/>
      <c r="DL694" s="78"/>
      <c r="DM694" s="78"/>
      <c r="DN694" s="78"/>
      <c r="DO694" s="78"/>
      <c r="DP694" s="78"/>
      <c r="DQ694" s="78"/>
      <c r="DR694" s="78"/>
      <c r="DS694" s="78"/>
      <c r="DT694" s="78"/>
      <c r="DU694" s="78"/>
      <c r="DV694" s="78"/>
      <c r="DW694" s="78"/>
      <c r="DX694" s="78"/>
      <c r="DY694" s="78"/>
      <c r="DZ694" s="78"/>
      <c r="EA694" s="78"/>
      <c r="EB694" s="78"/>
      <c r="EC694" s="78"/>
      <c r="ED694" s="78"/>
      <c r="EE694" s="78"/>
      <c r="EF694" s="78"/>
      <c r="EG694" s="78"/>
      <c r="EH694" s="78"/>
      <c r="EI694" s="78"/>
      <c r="EJ694" s="78"/>
      <c r="EK694" s="78"/>
      <c r="EL694" s="78"/>
      <c r="EM694" s="78"/>
      <c r="EN694" s="91"/>
      <c r="EO694" s="91"/>
      <c r="EP694" s="91"/>
      <c r="EQ694" s="91"/>
      <c r="ER694" s="91"/>
      <c r="ES694" s="91"/>
    </row>
    <row r="695" spans="1:149" outlineLevel="1">
      <c r="A695" s="29" t="str">
        <f t="shared" si="348"/>
        <v>lt826_esg_sbsctrordem</v>
      </c>
      <c r="B695" s="67" t="s">
        <v>26</v>
      </c>
      <c r="C695" s="68" t="s">
        <v>26</v>
      </c>
      <c r="D695" s="64" t="s">
        <v>40</v>
      </c>
      <c r="E695" s="70" t="s">
        <v>392</v>
      </c>
      <c r="F695" s="72" t="s">
        <v>211</v>
      </c>
      <c r="G695" s="64" t="str">
        <f>INDEX(Auxiliar!$B$16:$B$24,MATCH(Plano_V3!H695,Auxiliar!$C$16:$C$24,0),1)</f>
        <v>1. Concluído</v>
      </c>
      <c r="H695" s="64">
        <f>VLOOKUP(A695,'Aux - pivots1'!$A:$B,2,0)</f>
        <v>1</v>
      </c>
      <c r="I695" s="172">
        <f>SUMIFS(Table1[Estimação (horas)],Table1[Tabela],Plano_V3!E695,Table1[Campo],Plano_V3!F695)</f>
        <v>4.0999999999999996</v>
      </c>
      <c r="J695" s="172">
        <f t="shared" si="369"/>
        <v>0.51249999999999996</v>
      </c>
      <c r="K695" s="172">
        <f>SUMIFS(Table1[Horas efetivas],Table1[Tabela],Plano_V3!E695,Table1[Campo],Plano_V3!F695)</f>
        <v>4.0999999999999996</v>
      </c>
      <c r="L695" s="172">
        <f t="shared" si="370"/>
        <v>0.51249999999999996</v>
      </c>
      <c r="M695" s="174"/>
      <c r="N695" s="174">
        <f t="shared" si="371"/>
        <v>1</v>
      </c>
      <c r="O695" s="174"/>
      <c r="P695" s="89" t="s">
        <v>39</v>
      </c>
      <c r="R695" s="78"/>
      <c r="S695" s="78"/>
      <c r="T695" s="78"/>
      <c r="U695" s="78"/>
      <c r="V695" s="78"/>
      <c r="W695" s="78"/>
      <c r="X695" s="78"/>
      <c r="Y695" s="78"/>
      <c r="Z695" s="78"/>
      <c r="AA695" s="78"/>
      <c r="AB695" s="78"/>
      <c r="AC695" s="78"/>
      <c r="AD695" s="78"/>
      <c r="AE695" s="78"/>
      <c r="AF695" s="78"/>
      <c r="AG695" s="78"/>
      <c r="AH695" s="78"/>
      <c r="AI695" s="78"/>
      <c r="AJ695" s="78"/>
      <c r="AK695" s="78"/>
      <c r="AL695" s="78"/>
      <c r="AM695" s="78"/>
      <c r="AN695" s="78"/>
      <c r="AO695" s="78"/>
      <c r="AP695" s="78"/>
      <c r="AQ695" s="78"/>
      <c r="AR695" s="78"/>
      <c r="AS695" s="78"/>
      <c r="AT695" s="78"/>
      <c r="AU695" s="78"/>
      <c r="AV695" s="78"/>
      <c r="AW695" s="78"/>
      <c r="AX695" s="78"/>
      <c r="AY695" s="91"/>
      <c r="AZ695" s="78"/>
      <c r="BA695" s="78"/>
      <c r="BB695" s="78"/>
      <c r="BC695" s="78"/>
      <c r="BD695" s="78"/>
      <c r="BE695" s="78"/>
      <c r="BF695" s="78"/>
      <c r="BG695" s="78"/>
      <c r="BH695" s="78"/>
      <c r="BI695" s="78"/>
      <c r="BJ695" s="78"/>
      <c r="BK695" s="78"/>
      <c r="BL695" s="78"/>
      <c r="BM695" s="78"/>
      <c r="BN695" s="78"/>
      <c r="BO695" s="78"/>
      <c r="BP695" s="78"/>
      <c r="BQ695" s="78"/>
      <c r="BR695" s="78"/>
      <c r="BS695" s="78"/>
      <c r="BT695" s="78"/>
      <c r="BU695" s="78"/>
      <c r="BV695" s="78"/>
      <c r="BW695" s="78"/>
      <c r="BX695" s="78"/>
      <c r="BY695" s="78"/>
      <c r="BZ695" s="78"/>
      <c r="CA695" s="78"/>
      <c r="CB695" s="78"/>
      <c r="CC695" s="78"/>
      <c r="CD695" s="78"/>
      <c r="CE695" s="78"/>
      <c r="CF695" s="78"/>
      <c r="CG695" s="78"/>
      <c r="CH695" s="78"/>
      <c r="CI695" s="78"/>
      <c r="CJ695" s="78"/>
      <c r="CK695" s="78"/>
      <c r="CL695" s="78"/>
      <c r="CM695" s="78"/>
      <c r="CN695" s="78"/>
      <c r="CO695" s="78"/>
      <c r="CP695" s="78"/>
      <c r="CQ695" s="78"/>
      <c r="CR695" s="78"/>
      <c r="CS695" s="78"/>
      <c r="CT695" s="78"/>
      <c r="CU695" s="78"/>
      <c r="CV695" s="78"/>
      <c r="CW695" s="78"/>
      <c r="CX695" s="78"/>
      <c r="CY695" s="78"/>
      <c r="CZ695" s="78"/>
      <c r="DA695" s="78"/>
      <c r="DB695" s="78"/>
      <c r="DC695" s="78"/>
      <c r="DD695" s="78"/>
      <c r="DE695" s="78"/>
      <c r="DF695" s="78"/>
      <c r="DG695" s="78"/>
      <c r="DH695" s="78"/>
      <c r="DI695" s="78"/>
      <c r="DJ695" s="78"/>
      <c r="DK695" s="78"/>
      <c r="DL695" s="78"/>
      <c r="DM695" s="78"/>
      <c r="DN695" s="78"/>
      <c r="DO695" s="78"/>
      <c r="DP695" s="78"/>
      <c r="DQ695" s="78"/>
      <c r="DR695" s="78"/>
      <c r="DS695" s="78"/>
      <c r="DT695" s="78"/>
      <c r="DU695" s="78"/>
      <c r="DV695" s="78"/>
      <c r="DW695" s="78"/>
      <c r="DX695" s="78"/>
      <c r="DY695" s="78"/>
      <c r="DZ695" s="78"/>
      <c r="EA695" s="78"/>
      <c r="EB695" s="78"/>
      <c r="EC695" s="78"/>
      <c r="ED695" s="78"/>
      <c r="EE695" s="78"/>
      <c r="EF695" s="78"/>
      <c r="EG695" s="78"/>
      <c r="EH695" s="78"/>
      <c r="EI695" s="78"/>
      <c r="EJ695" s="78"/>
      <c r="EK695" s="78"/>
      <c r="EL695" s="78"/>
      <c r="EM695" s="78"/>
      <c r="EN695" s="91"/>
      <c r="EO695" s="91"/>
      <c r="EP695" s="91"/>
      <c r="EQ695" s="91"/>
      <c r="ER695" s="91"/>
      <c r="ES695" s="91"/>
    </row>
    <row r="696" spans="1:149" outlineLevel="1">
      <c r="A696" s="29" t="str">
        <f t="shared" si="348"/>
        <v>lt826_esg_sbsctrnace_code</v>
      </c>
      <c r="B696" s="67" t="s">
        <v>26</v>
      </c>
      <c r="C696" s="68" t="s">
        <v>26</v>
      </c>
      <c r="D696" s="64" t="s">
        <v>40</v>
      </c>
      <c r="E696" s="70" t="s">
        <v>392</v>
      </c>
      <c r="F696" s="71" t="s">
        <v>393</v>
      </c>
      <c r="G696" s="64" t="str">
        <f>INDEX(Auxiliar!$B$16:$B$24,MATCH(Plano_V3!H696,Auxiliar!$C$16:$C$24,0),1)</f>
        <v>1. Concluído</v>
      </c>
      <c r="H696" s="64">
        <f>VLOOKUP(A696,'Aux - pivots1'!$A:$B,2,0)</f>
        <v>1</v>
      </c>
      <c r="I696" s="172">
        <f>SUMIFS(Table1[Estimação (horas)],Table1[Tabela],Plano_V3!E696,Table1[Campo],Plano_V3!F696)</f>
        <v>4.0999999999999996</v>
      </c>
      <c r="J696" s="172">
        <f t="shared" si="369"/>
        <v>0.51249999999999996</v>
      </c>
      <c r="K696" s="172">
        <f>SUMIFS(Table1[Horas efetivas],Table1[Tabela],Plano_V3!E696,Table1[Campo],Plano_V3!F696)</f>
        <v>4.0999999999999996</v>
      </c>
      <c r="L696" s="172">
        <f t="shared" si="370"/>
        <v>0.51249999999999996</v>
      </c>
      <c r="M696" s="174"/>
      <c r="N696" s="174">
        <f t="shared" si="371"/>
        <v>1</v>
      </c>
      <c r="O696" s="174"/>
      <c r="P696" s="89" t="s">
        <v>39</v>
      </c>
      <c r="R696" s="78"/>
      <c r="S696" s="78"/>
      <c r="T696" s="78"/>
      <c r="U696" s="78"/>
      <c r="V696" s="78"/>
      <c r="W696" s="78"/>
      <c r="X696" s="78"/>
      <c r="Y696" s="78"/>
      <c r="Z696" s="78"/>
      <c r="AA696" s="78"/>
      <c r="AB696" s="78"/>
      <c r="AC696" s="78"/>
      <c r="AD696" s="78"/>
      <c r="AE696" s="78"/>
      <c r="AF696" s="78"/>
      <c r="AG696" s="78"/>
      <c r="AH696" s="78"/>
      <c r="AI696" s="78"/>
      <c r="AJ696" s="78"/>
      <c r="AK696" s="78"/>
      <c r="AL696" s="78"/>
      <c r="AM696" s="78"/>
      <c r="AN696" s="78"/>
      <c r="AO696" s="78"/>
      <c r="AP696" s="78"/>
      <c r="AQ696" s="78"/>
      <c r="AR696" s="78"/>
      <c r="AS696" s="78"/>
      <c r="AT696" s="78"/>
      <c r="AU696" s="78"/>
      <c r="AV696" s="78"/>
      <c r="AW696" s="78"/>
      <c r="AX696" s="78"/>
      <c r="AY696" s="91"/>
      <c r="AZ696" s="78"/>
      <c r="BA696" s="78"/>
      <c r="BB696" s="78"/>
      <c r="BC696" s="78"/>
      <c r="BD696" s="78"/>
      <c r="BE696" s="78"/>
      <c r="BF696" s="78"/>
      <c r="BG696" s="78"/>
      <c r="BH696" s="78"/>
      <c r="BI696" s="78"/>
      <c r="BJ696" s="78"/>
      <c r="BK696" s="78"/>
      <c r="BL696" s="78"/>
      <c r="BM696" s="78"/>
      <c r="BN696" s="78"/>
      <c r="BO696" s="78"/>
      <c r="BP696" s="78"/>
      <c r="BQ696" s="78"/>
      <c r="BR696" s="78"/>
      <c r="BS696" s="78"/>
      <c r="BT696" s="78"/>
      <c r="BU696" s="78"/>
      <c r="BV696" s="78"/>
      <c r="BW696" s="78"/>
      <c r="BX696" s="78"/>
      <c r="BY696" s="78"/>
      <c r="BZ696" s="78"/>
      <c r="CA696" s="78"/>
      <c r="CB696" s="78"/>
      <c r="CC696" s="78"/>
      <c r="CD696" s="78"/>
      <c r="CE696" s="78"/>
      <c r="CF696" s="78"/>
      <c r="CG696" s="78"/>
      <c r="CH696" s="78"/>
      <c r="CI696" s="78"/>
      <c r="CJ696" s="78"/>
      <c r="CK696" s="78"/>
      <c r="CL696" s="78"/>
      <c r="CM696" s="78"/>
      <c r="CN696" s="78"/>
      <c r="CO696" s="78"/>
      <c r="CP696" s="78"/>
      <c r="CQ696" s="78"/>
      <c r="CR696" s="78"/>
      <c r="CS696" s="78"/>
      <c r="CT696" s="78"/>
      <c r="CU696" s="78"/>
      <c r="CV696" s="78"/>
      <c r="CW696" s="78"/>
      <c r="CX696" s="78"/>
      <c r="CY696" s="78"/>
      <c r="CZ696" s="78"/>
      <c r="DA696" s="78"/>
      <c r="DB696" s="78"/>
      <c r="DC696" s="78"/>
      <c r="DD696" s="78"/>
      <c r="DE696" s="78"/>
      <c r="DF696" s="78"/>
      <c r="DG696" s="78"/>
      <c r="DH696" s="78"/>
      <c r="DI696" s="78"/>
      <c r="DJ696" s="78"/>
      <c r="DK696" s="78"/>
      <c r="DL696" s="78"/>
      <c r="DM696" s="78"/>
      <c r="DN696" s="78"/>
      <c r="DO696" s="78"/>
      <c r="DP696" s="78"/>
      <c r="DQ696" s="78"/>
      <c r="DR696" s="78"/>
      <c r="DS696" s="78"/>
      <c r="DT696" s="78"/>
      <c r="DU696" s="78"/>
      <c r="DV696" s="78"/>
      <c r="DW696" s="78"/>
      <c r="DX696" s="78"/>
      <c r="DY696" s="78"/>
      <c r="DZ696" s="78"/>
      <c r="EA696" s="78"/>
      <c r="EB696" s="78"/>
      <c r="EC696" s="78"/>
      <c r="ED696" s="78"/>
      <c r="EE696" s="78"/>
      <c r="EF696" s="78"/>
      <c r="EG696" s="78"/>
      <c r="EH696" s="78"/>
      <c r="EI696" s="78"/>
      <c r="EJ696" s="78"/>
      <c r="EK696" s="78"/>
      <c r="EL696" s="78"/>
      <c r="EM696" s="78"/>
      <c r="EN696" s="91"/>
      <c r="EO696" s="91"/>
      <c r="EP696" s="91"/>
      <c r="EQ696" s="91"/>
      <c r="ER696" s="91"/>
      <c r="ES696" s="91"/>
    </row>
    <row r="697" spans="1:149" outlineLevel="1">
      <c r="A697" s="29" t="str">
        <f t="shared" si="348"/>
        <v>lt826_esg_sbsctrcontraparte</v>
      </c>
      <c r="B697" s="67" t="s">
        <v>26</v>
      </c>
      <c r="C697" s="68" t="s">
        <v>26</v>
      </c>
      <c r="D697" s="64" t="s">
        <v>40</v>
      </c>
      <c r="E697" s="70" t="s">
        <v>392</v>
      </c>
      <c r="F697" s="71" t="s">
        <v>394</v>
      </c>
      <c r="G697" s="64" t="str">
        <f>INDEX(Auxiliar!$B$16:$B$24,MATCH(Plano_V3!H697,Auxiliar!$C$16:$C$24,0),1)</f>
        <v>1. Concluído</v>
      </c>
      <c r="H697" s="64">
        <f>VLOOKUP(A697,'Aux - pivots1'!$A:$B,2,0)</f>
        <v>1</v>
      </c>
      <c r="I697" s="172">
        <f>SUMIFS(Table1[Estimação (horas)],Table1[Tabela],Plano_V3!E697,Table1[Campo],Plano_V3!F697)</f>
        <v>4.0999999999999996</v>
      </c>
      <c r="J697" s="172">
        <f t="shared" si="369"/>
        <v>0.51249999999999996</v>
      </c>
      <c r="K697" s="172">
        <f>SUMIFS(Table1[Horas efetivas],Table1[Tabela],Plano_V3!E697,Table1[Campo],Plano_V3!F697)</f>
        <v>4.0999999999999996</v>
      </c>
      <c r="L697" s="172">
        <f t="shared" si="370"/>
        <v>0.51249999999999996</v>
      </c>
      <c r="M697" s="174"/>
      <c r="N697" s="174">
        <f t="shared" si="371"/>
        <v>1</v>
      </c>
      <c r="O697" s="174"/>
      <c r="P697" s="89" t="s">
        <v>39</v>
      </c>
      <c r="R697" s="78"/>
      <c r="S697" s="78"/>
      <c r="T697" s="78"/>
      <c r="U697" s="78"/>
      <c r="V697" s="78"/>
      <c r="W697" s="78"/>
      <c r="X697" s="78"/>
      <c r="Y697" s="78"/>
      <c r="Z697" s="78"/>
      <c r="AA697" s="78"/>
      <c r="AB697" s="78"/>
      <c r="AC697" s="78"/>
      <c r="AD697" s="78"/>
      <c r="AE697" s="78"/>
      <c r="AF697" s="78"/>
      <c r="AG697" s="78"/>
      <c r="AH697" s="78"/>
      <c r="AI697" s="78"/>
      <c r="AJ697" s="78"/>
      <c r="AK697" s="78"/>
      <c r="AL697" s="78"/>
      <c r="AM697" s="78"/>
      <c r="AN697" s="78"/>
      <c r="AO697" s="78"/>
      <c r="AP697" s="78"/>
      <c r="AQ697" s="78"/>
      <c r="AR697" s="78"/>
      <c r="AS697" s="78"/>
      <c r="AT697" s="78"/>
      <c r="AU697" s="78"/>
      <c r="AV697" s="78"/>
      <c r="AW697" s="78"/>
      <c r="AX697" s="78"/>
      <c r="AY697" s="91"/>
      <c r="AZ697" s="78"/>
      <c r="BA697" s="78"/>
      <c r="BB697" s="78"/>
      <c r="BC697" s="78"/>
      <c r="BD697" s="78"/>
      <c r="BE697" s="78"/>
      <c r="BF697" s="78"/>
      <c r="BG697" s="78"/>
      <c r="BH697" s="78"/>
      <c r="BI697" s="78"/>
      <c r="BJ697" s="78"/>
      <c r="BK697" s="78"/>
      <c r="BL697" s="78"/>
      <c r="BM697" s="78"/>
      <c r="BN697" s="78"/>
      <c r="BO697" s="78"/>
      <c r="BP697" s="78"/>
      <c r="BQ697" s="78"/>
      <c r="BR697" s="78"/>
      <c r="BS697" s="78"/>
      <c r="BT697" s="78"/>
      <c r="BU697" s="78"/>
      <c r="BV697" s="78"/>
      <c r="BW697" s="78"/>
      <c r="BX697" s="78"/>
      <c r="BY697" s="78"/>
      <c r="BZ697" s="78"/>
      <c r="CA697" s="78"/>
      <c r="CB697" s="78"/>
      <c r="CC697" s="78"/>
      <c r="CD697" s="78"/>
      <c r="CE697" s="78"/>
      <c r="CF697" s="78"/>
      <c r="CG697" s="78"/>
      <c r="CH697" s="78"/>
      <c r="CI697" s="78"/>
      <c r="CJ697" s="78"/>
      <c r="CK697" s="78"/>
      <c r="CL697" s="78"/>
      <c r="CM697" s="78"/>
      <c r="CN697" s="78"/>
      <c r="CO697" s="78"/>
      <c r="CP697" s="78"/>
      <c r="CQ697" s="78"/>
      <c r="CR697" s="78"/>
      <c r="CS697" s="78"/>
      <c r="CT697" s="78"/>
      <c r="CU697" s="78"/>
      <c r="CV697" s="78"/>
      <c r="CW697" s="78"/>
      <c r="CX697" s="78"/>
      <c r="CY697" s="78"/>
      <c r="CZ697" s="78"/>
      <c r="DA697" s="78"/>
      <c r="DB697" s="78"/>
      <c r="DC697" s="78"/>
      <c r="DD697" s="78"/>
      <c r="DE697" s="78"/>
      <c r="DF697" s="78"/>
      <c r="DG697" s="78"/>
      <c r="DH697" s="78"/>
      <c r="DI697" s="78"/>
      <c r="DJ697" s="78"/>
      <c r="DK697" s="78"/>
      <c r="DL697" s="78"/>
      <c r="DM697" s="78"/>
      <c r="DN697" s="78"/>
      <c r="DO697" s="78"/>
      <c r="DP697" s="78"/>
      <c r="DQ697" s="78"/>
      <c r="DR697" s="78"/>
      <c r="DS697" s="78"/>
      <c r="DT697" s="78"/>
      <c r="DU697" s="78"/>
      <c r="DV697" s="78"/>
      <c r="DW697" s="78"/>
      <c r="DX697" s="78"/>
      <c r="DY697" s="78"/>
      <c r="DZ697" s="78"/>
      <c r="EA697" s="78"/>
      <c r="EB697" s="78"/>
      <c r="EC697" s="78"/>
      <c r="ED697" s="78"/>
      <c r="EE697" s="78"/>
      <c r="EF697" s="78"/>
      <c r="EG697" s="78"/>
      <c r="EH697" s="78"/>
      <c r="EI697" s="78"/>
      <c r="EJ697" s="78"/>
      <c r="EK697" s="78"/>
      <c r="EL697" s="78"/>
      <c r="EM697" s="78"/>
      <c r="EN697" s="91"/>
      <c r="EO697" s="91"/>
      <c r="EP697" s="91"/>
      <c r="EQ697" s="91"/>
      <c r="ER697" s="91"/>
      <c r="ES697" s="91"/>
    </row>
    <row r="698" spans="1:149" outlineLevel="1">
      <c r="A698" s="29" t="str">
        <f t="shared" si="348"/>
        <v>lt826_esg_sbsctrcnatureza_juri</v>
      </c>
      <c r="B698" s="67" t="s">
        <v>26</v>
      </c>
      <c r="C698" s="68" t="s">
        <v>26</v>
      </c>
      <c r="D698" s="64" t="s">
        <v>40</v>
      </c>
      <c r="E698" s="70" t="s">
        <v>392</v>
      </c>
      <c r="F698" s="71" t="s">
        <v>395</v>
      </c>
      <c r="G698" s="64" t="str">
        <f>INDEX(Auxiliar!$B$16:$B$24,MATCH(Plano_V3!H698,Auxiliar!$C$16:$C$24,0),1)</f>
        <v>1. Concluído</v>
      </c>
      <c r="H698" s="64">
        <f>VLOOKUP(A698,'Aux - pivots1'!$A:$B,2,0)</f>
        <v>1</v>
      </c>
      <c r="I698" s="172">
        <f>SUMIFS(Table1[Estimação (horas)],Table1[Tabela],Plano_V3!E698,Table1[Campo],Plano_V3!F698)</f>
        <v>4.0999999999999996</v>
      </c>
      <c r="J698" s="172">
        <f t="shared" si="369"/>
        <v>0.51249999999999996</v>
      </c>
      <c r="K698" s="172">
        <f>SUMIFS(Table1[Horas efetivas],Table1[Tabela],Plano_V3!E698,Table1[Campo],Plano_V3!F698)</f>
        <v>4.0999999999999996</v>
      </c>
      <c r="L698" s="172">
        <f t="shared" si="370"/>
        <v>0.51249999999999996</v>
      </c>
      <c r="M698" s="174"/>
      <c r="N698" s="174">
        <f t="shared" si="371"/>
        <v>1</v>
      </c>
      <c r="O698" s="174"/>
      <c r="P698" s="89" t="s">
        <v>39</v>
      </c>
      <c r="R698" s="78"/>
      <c r="S698" s="78"/>
      <c r="T698" s="78"/>
      <c r="U698" s="78"/>
      <c r="V698" s="78"/>
      <c r="W698" s="78"/>
      <c r="X698" s="78"/>
      <c r="Y698" s="78"/>
      <c r="Z698" s="78"/>
      <c r="AA698" s="78"/>
      <c r="AB698" s="78"/>
      <c r="AC698" s="78"/>
      <c r="AD698" s="78"/>
      <c r="AE698" s="78"/>
      <c r="AF698" s="78"/>
      <c r="AG698" s="78"/>
      <c r="AH698" s="78"/>
      <c r="AI698" s="78"/>
      <c r="AJ698" s="78"/>
      <c r="AK698" s="78"/>
      <c r="AL698" s="78"/>
      <c r="AM698" s="78"/>
      <c r="AN698" s="78"/>
      <c r="AO698" s="78"/>
      <c r="AP698" s="78"/>
      <c r="AQ698" s="78"/>
      <c r="AR698" s="78"/>
      <c r="AS698" s="78"/>
      <c r="AT698" s="78"/>
      <c r="AU698" s="78"/>
      <c r="AV698" s="78"/>
      <c r="AW698" s="78"/>
      <c r="AX698" s="78"/>
      <c r="AY698" s="91"/>
      <c r="AZ698" s="78"/>
      <c r="BA698" s="78"/>
      <c r="BB698" s="78"/>
      <c r="BC698" s="78"/>
      <c r="BD698" s="78"/>
      <c r="BE698" s="78"/>
      <c r="BF698" s="78"/>
      <c r="BG698" s="78"/>
      <c r="BH698" s="78"/>
      <c r="BI698" s="78"/>
      <c r="BJ698" s="78"/>
      <c r="BK698" s="78"/>
      <c r="BL698" s="78"/>
      <c r="BM698" s="78"/>
      <c r="BN698" s="78"/>
      <c r="BO698" s="78"/>
      <c r="BP698" s="78"/>
      <c r="BQ698" s="78"/>
      <c r="BR698" s="78"/>
      <c r="BS698" s="78"/>
      <c r="BT698" s="78"/>
      <c r="BU698" s="78"/>
      <c r="BV698" s="78"/>
      <c r="BW698" s="78"/>
      <c r="BX698" s="78"/>
      <c r="BY698" s="78"/>
      <c r="BZ698" s="78"/>
      <c r="CA698" s="78"/>
      <c r="CB698" s="78"/>
      <c r="CC698" s="78"/>
      <c r="CD698" s="78"/>
      <c r="CE698" s="78"/>
      <c r="CF698" s="78"/>
      <c r="CG698" s="78"/>
      <c r="CH698" s="78"/>
      <c r="CI698" s="78"/>
      <c r="CJ698" s="78"/>
      <c r="CK698" s="78"/>
      <c r="CL698" s="78"/>
      <c r="CM698" s="78"/>
      <c r="CN698" s="78"/>
      <c r="CO698" s="78"/>
      <c r="CP698" s="78"/>
      <c r="CQ698" s="78"/>
      <c r="CR698" s="78"/>
      <c r="CS698" s="78"/>
      <c r="CT698" s="78"/>
      <c r="CU698" s="78"/>
      <c r="CV698" s="78"/>
      <c r="CW698" s="78"/>
      <c r="CX698" s="78"/>
      <c r="CY698" s="78"/>
      <c r="CZ698" s="78"/>
      <c r="DA698" s="78"/>
      <c r="DB698" s="78"/>
      <c r="DC698" s="78"/>
      <c r="DD698" s="78"/>
      <c r="DE698" s="78"/>
      <c r="DF698" s="78"/>
      <c r="DG698" s="78"/>
      <c r="DH698" s="78"/>
      <c r="DI698" s="78"/>
      <c r="DJ698" s="78"/>
      <c r="DK698" s="78"/>
      <c r="DL698" s="78"/>
      <c r="DM698" s="78"/>
      <c r="DN698" s="78"/>
      <c r="DO698" s="78"/>
      <c r="DP698" s="78"/>
      <c r="DQ698" s="78"/>
      <c r="DR698" s="78"/>
      <c r="DS698" s="78"/>
      <c r="DT698" s="78"/>
      <c r="DU698" s="78"/>
      <c r="DV698" s="78"/>
      <c r="DW698" s="78"/>
      <c r="DX698" s="78"/>
      <c r="DY698" s="78"/>
      <c r="DZ698" s="78"/>
      <c r="EA698" s="78"/>
      <c r="EB698" s="78"/>
      <c r="EC698" s="78"/>
      <c r="ED698" s="78"/>
      <c r="EE698" s="78"/>
      <c r="EF698" s="78"/>
      <c r="EG698" s="78"/>
      <c r="EH698" s="78"/>
      <c r="EI698" s="78"/>
      <c r="EJ698" s="78"/>
      <c r="EK698" s="78"/>
      <c r="EL698" s="78"/>
      <c r="EM698" s="78"/>
      <c r="EN698" s="91"/>
      <c r="EO698" s="91"/>
      <c r="EP698" s="91"/>
      <c r="EQ698" s="91"/>
      <c r="ER698" s="91"/>
      <c r="ES698" s="91"/>
    </row>
    <row r="699" spans="1:149" outlineLevel="1">
      <c r="A699" s="29" t="str">
        <f t="shared" si="348"/>
        <v>lt826_esg_sbsctridcomb</v>
      </c>
      <c r="B699" s="67" t="s">
        <v>26</v>
      </c>
      <c r="C699" s="68" t="s">
        <v>26</v>
      </c>
      <c r="D699" s="64" t="s">
        <v>40</v>
      </c>
      <c r="E699" s="70" t="s">
        <v>392</v>
      </c>
      <c r="F699" s="71" t="s">
        <v>396</v>
      </c>
      <c r="G699" s="64" t="str">
        <f>INDEX(Auxiliar!$B$16:$B$24,MATCH(Plano_V3!H699,Auxiliar!$C$16:$C$24,0),1)</f>
        <v>1. Concluído</v>
      </c>
      <c r="H699" s="64">
        <f>VLOOKUP(A699,'Aux - pivots1'!$A:$B,2,0)</f>
        <v>1</v>
      </c>
      <c r="I699" s="172">
        <f>SUMIFS(Table1[Estimação (horas)],Table1[Tabela],Plano_V3!E699,Table1[Campo],Plano_V3!F699)</f>
        <v>4.0999999999999996</v>
      </c>
      <c r="J699" s="172">
        <f t="shared" si="369"/>
        <v>0.51249999999999996</v>
      </c>
      <c r="K699" s="172">
        <f>SUMIFS(Table1[Horas efetivas],Table1[Tabela],Plano_V3!E699,Table1[Campo],Plano_V3!F699)</f>
        <v>4.0999999999999996</v>
      </c>
      <c r="L699" s="172">
        <f t="shared" si="370"/>
        <v>0.51249999999999996</v>
      </c>
      <c r="M699" s="174"/>
      <c r="N699" s="174">
        <f t="shared" si="371"/>
        <v>1</v>
      </c>
      <c r="O699" s="174"/>
      <c r="P699" s="89" t="s">
        <v>39</v>
      </c>
      <c r="R699" s="78"/>
      <c r="S699" s="78"/>
      <c r="T699" s="78"/>
      <c r="U699" s="78"/>
      <c r="V699" s="78"/>
      <c r="W699" s="78"/>
      <c r="X699" s="78"/>
      <c r="Y699" s="78"/>
      <c r="Z699" s="78"/>
      <c r="AA699" s="78"/>
      <c r="AB699" s="78"/>
      <c r="AC699" s="78"/>
      <c r="AD699" s="78"/>
      <c r="AE699" s="78"/>
      <c r="AF699" s="78"/>
      <c r="AG699" s="78"/>
      <c r="AH699" s="78"/>
      <c r="AI699" s="78"/>
      <c r="AJ699" s="78"/>
      <c r="AK699" s="78"/>
      <c r="AL699" s="78"/>
      <c r="AM699" s="78"/>
      <c r="AN699" s="78"/>
      <c r="AO699" s="78"/>
      <c r="AP699" s="78"/>
      <c r="AQ699" s="78"/>
      <c r="AR699" s="78"/>
      <c r="AS699" s="78"/>
      <c r="AT699" s="78"/>
      <c r="AU699" s="78"/>
      <c r="AV699" s="78"/>
      <c r="AW699" s="78"/>
      <c r="AX699" s="78"/>
      <c r="AY699" s="91"/>
      <c r="AZ699" s="78"/>
      <c r="BA699" s="78"/>
      <c r="BB699" s="78"/>
      <c r="BC699" s="78"/>
      <c r="BD699" s="78"/>
      <c r="BE699" s="78"/>
      <c r="BF699" s="78"/>
      <c r="BG699" s="78"/>
      <c r="BH699" s="78"/>
      <c r="BI699" s="78"/>
      <c r="BJ699" s="78"/>
      <c r="BK699" s="78"/>
      <c r="BL699" s="78"/>
      <c r="BM699" s="78"/>
      <c r="BN699" s="78"/>
      <c r="BO699" s="78"/>
      <c r="BP699" s="78"/>
      <c r="BQ699" s="78"/>
      <c r="BR699" s="78"/>
      <c r="BS699" s="78"/>
      <c r="BT699" s="78"/>
      <c r="BU699" s="78"/>
      <c r="BV699" s="78"/>
      <c r="BW699" s="78"/>
      <c r="BX699" s="78"/>
      <c r="BY699" s="78"/>
      <c r="BZ699" s="78"/>
      <c r="CA699" s="78"/>
      <c r="CB699" s="78"/>
      <c r="CC699" s="78"/>
      <c r="CD699" s="78"/>
      <c r="CE699" s="78"/>
      <c r="CF699" s="78"/>
      <c r="CG699" s="78"/>
      <c r="CH699" s="78"/>
      <c r="CI699" s="78"/>
      <c r="CJ699" s="78"/>
      <c r="CK699" s="78"/>
      <c r="CL699" s="78"/>
      <c r="CM699" s="78"/>
      <c r="CN699" s="78"/>
      <c r="CO699" s="78"/>
      <c r="CP699" s="78"/>
      <c r="CQ699" s="78"/>
      <c r="CR699" s="78"/>
      <c r="CS699" s="78"/>
      <c r="CT699" s="78"/>
      <c r="CU699" s="78"/>
      <c r="CV699" s="78"/>
      <c r="CW699" s="78"/>
      <c r="CX699" s="78"/>
      <c r="CY699" s="78"/>
      <c r="CZ699" s="78"/>
      <c r="DA699" s="78"/>
      <c r="DB699" s="78"/>
      <c r="DC699" s="78"/>
      <c r="DD699" s="78"/>
      <c r="DE699" s="78"/>
      <c r="DF699" s="78"/>
      <c r="DG699" s="78"/>
      <c r="DH699" s="78"/>
      <c r="DI699" s="78"/>
      <c r="DJ699" s="78"/>
      <c r="DK699" s="78"/>
      <c r="DL699" s="78"/>
      <c r="DM699" s="78"/>
      <c r="DN699" s="78"/>
      <c r="DO699" s="78"/>
      <c r="DP699" s="78"/>
      <c r="DQ699" s="78"/>
      <c r="DR699" s="78"/>
      <c r="DS699" s="78"/>
      <c r="DT699" s="78"/>
      <c r="DU699" s="78"/>
      <c r="DV699" s="78"/>
      <c r="DW699" s="78"/>
      <c r="DX699" s="78"/>
      <c r="DY699" s="78"/>
      <c r="DZ699" s="78"/>
      <c r="EA699" s="78"/>
      <c r="EB699" s="78"/>
      <c r="EC699" s="78"/>
      <c r="ED699" s="78"/>
      <c r="EE699" s="78"/>
      <c r="EF699" s="78"/>
      <c r="EG699" s="78"/>
      <c r="EH699" s="78"/>
      <c r="EI699" s="78"/>
      <c r="EJ699" s="78"/>
      <c r="EK699" s="78"/>
      <c r="EL699" s="78"/>
      <c r="EM699" s="78"/>
      <c r="EN699" s="91"/>
      <c r="EO699" s="91"/>
      <c r="EP699" s="91"/>
      <c r="EQ699" s="91"/>
      <c r="ER699" s="91"/>
      <c r="ES699" s="91"/>
    </row>
    <row r="700" spans="1:149" outlineLevel="1">
      <c r="A700" s="29" t="str">
        <f t="shared" si="348"/>
        <v>lt826_esg_sbsctresg_sbsctr</v>
      </c>
      <c r="B700" s="67" t="s">
        <v>26</v>
      </c>
      <c r="C700" s="68" t="s">
        <v>26</v>
      </c>
      <c r="D700" s="64" t="s">
        <v>40</v>
      </c>
      <c r="E700" s="70" t="s">
        <v>392</v>
      </c>
      <c r="F700" s="71" t="s">
        <v>360</v>
      </c>
      <c r="G700" s="64" t="str">
        <f>INDEX(Auxiliar!$B$16:$B$24,MATCH(Plano_V3!H700,Auxiliar!$C$16:$C$24,0),1)</f>
        <v>1. Concluído</v>
      </c>
      <c r="H700" s="64">
        <f>VLOOKUP(A700,'Aux - pivots1'!$A:$B,2,0)</f>
        <v>1</v>
      </c>
      <c r="I700" s="172">
        <f>SUMIFS(Table1[Estimação (horas)],Table1[Tabela],Plano_V3!E700,Table1[Campo],Plano_V3!F700)</f>
        <v>4.0999999999999996</v>
      </c>
      <c r="J700" s="172">
        <f t="shared" si="369"/>
        <v>0.51249999999999996</v>
      </c>
      <c r="K700" s="172">
        <f>SUMIFS(Table1[Horas efetivas],Table1[Tabela],Plano_V3!E700,Table1[Campo],Plano_V3!F700)</f>
        <v>4.0999999999999996</v>
      </c>
      <c r="L700" s="172">
        <f t="shared" si="370"/>
        <v>0.51249999999999996</v>
      </c>
      <c r="M700" s="174"/>
      <c r="N700" s="174">
        <f t="shared" si="371"/>
        <v>1</v>
      </c>
      <c r="O700" s="174"/>
      <c r="P700" s="89" t="s">
        <v>39</v>
      </c>
      <c r="R700" s="78"/>
      <c r="S700" s="78"/>
      <c r="T700" s="78"/>
      <c r="U700" s="78"/>
      <c r="V700" s="78"/>
      <c r="W700" s="78"/>
      <c r="X700" s="78"/>
      <c r="Y700" s="78"/>
      <c r="Z700" s="78"/>
      <c r="AA700" s="78"/>
      <c r="AB700" s="78"/>
      <c r="AC700" s="78"/>
      <c r="AD700" s="78"/>
      <c r="AE700" s="78"/>
      <c r="AF700" s="78"/>
      <c r="AG700" s="78"/>
      <c r="AH700" s="78"/>
      <c r="AI700" s="78"/>
      <c r="AJ700" s="78"/>
      <c r="AK700" s="78"/>
      <c r="AL700" s="78"/>
      <c r="AM700" s="78"/>
      <c r="AN700" s="78"/>
      <c r="AO700" s="78"/>
      <c r="AP700" s="78"/>
      <c r="AQ700" s="78"/>
      <c r="AR700" s="78"/>
      <c r="AS700" s="78"/>
      <c r="AT700" s="78"/>
      <c r="AU700" s="78"/>
      <c r="AV700" s="78"/>
      <c r="AW700" s="78"/>
      <c r="AX700" s="78"/>
      <c r="AY700" s="91"/>
      <c r="AZ700" s="78"/>
      <c r="BA700" s="78"/>
      <c r="BB700" s="78"/>
      <c r="BC700" s="78"/>
      <c r="BD700" s="78"/>
      <c r="BE700" s="78"/>
      <c r="BF700" s="78"/>
      <c r="BG700" s="78"/>
      <c r="BH700" s="78"/>
      <c r="BI700" s="78"/>
      <c r="BJ700" s="78"/>
      <c r="BK700" s="78"/>
      <c r="BL700" s="78"/>
      <c r="BM700" s="78"/>
      <c r="BN700" s="78"/>
      <c r="BO700" s="78"/>
      <c r="BP700" s="78"/>
      <c r="BQ700" s="78"/>
      <c r="BR700" s="78"/>
      <c r="BS700" s="78"/>
      <c r="BT700" s="78"/>
      <c r="BU700" s="78"/>
      <c r="BV700" s="78"/>
      <c r="BW700" s="78"/>
      <c r="BX700" s="78"/>
      <c r="BY700" s="78"/>
      <c r="BZ700" s="78"/>
      <c r="CA700" s="78"/>
      <c r="CB700" s="78"/>
      <c r="CC700" s="78"/>
      <c r="CD700" s="78"/>
      <c r="CE700" s="78"/>
      <c r="CF700" s="78"/>
      <c r="CG700" s="78"/>
      <c r="CH700" s="78"/>
      <c r="CI700" s="78"/>
      <c r="CJ700" s="78"/>
      <c r="CK700" s="78"/>
      <c r="CL700" s="78"/>
      <c r="CM700" s="78"/>
      <c r="CN700" s="78"/>
      <c r="CO700" s="78"/>
      <c r="CP700" s="78"/>
      <c r="CQ700" s="78"/>
      <c r="CR700" s="78"/>
      <c r="CS700" s="78"/>
      <c r="CT700" s="78"/>
      <c r="CU700" s="78"/>
      <c r="CV700" s="78"/>
      <c r="CW700" s="78"/>
      <c r="CX700" s="78"/>
      <c r="CY700" s="78"/>
      <c r="CZ700" s="78"/>
      <c r="DA700" s="78"/>
      <c r="DB700" s="78"/>
      <c r="DC700" s="78"/>
      <c r="DD700" s="78"/>
      <c r="DE700" s="78"/>
      <c r="DF700" s="78"/>
      <c r="DG700" s="78"/>
      <c r="DH700" s="78"/>
      <c r="DI700" s="78"/>
      <c r="DJ700" s="78"/>
      <c r="DK700" s="78"/>
      <c r="DL700" s="78"/>
      <c r="DM700" s="78"/>
      <c r="DN700" s="78"/>
      <c r="DO700" s="78"/>
      <c r="DP700" s="78"/>
      <c r="DQ700" s="78"/>
      <c r="DR700" s="78"/>
      <c r="DS700" s="78"/>
      <c r="DT700" s="78"/>
      <c r="DU700" s="78"/>
      <c r="DV700" s="78"/>
      <c r="DW700" s="78"/>
      <c r="DX700" s="78"/>
      <c r="DY700" s="78"/>
      <c r="DZ700" s="78"/>
      <c r="EA700" s="78"/>
      <c r="EB700" s="78"/>
      <c r="EC700" s="78"/>
      <c r="ED700" s="78"/>
      <c r="EE700" s="78"/>
      <c r="EF700" s="78"/>
      <c r="EG700" s="78"/>
      <c r="EH700" s="78"/>
      <c r="EI700" s="78"/>
      <c r="EJ700" s="78"/>
      <c r="EK700" s="78"/>
      <c r="EL700" s="78"/>
      <c r="EM700" s="78"/>
      <c r="EN700" s="91"/>
      <c r="EO700" s="91"/>
      <c r="EP700" s="91"/>
      <c r="EQ700" s="91"/>
      <c r="ER700" s="91"/>
      <c r="ES700" s="91"/>
    </row>
    <row r="701" spans="1:149" outlineLevel="1">
      <c r="A701" s="29" t="str">
        <f t="shared" si="348"/>
        <v>lt826_esg_sbsctrdescrição</v>
      </c>
      <c r="B701" s="67" t="s">
        <v>26</v>
      </c>
      <c r="C701" s="68" t="s">
        <v>26</v>
      </c>
      <c r="D701" s="64" t="s">
        <v>40</v>
      </c>
      <c r="E701" s="70" t="s">
        <v>392</v>
      </c>
      <c r="F701" s="71" t="s">
        <v>397</v>
      </c>
      <c r="G701" s="64" t="str">
        <f>INDEX(Auxiliar!$B$16:$B$24,MATCH(Plano_V3!H701,Auxiliar!$C$16:$C$24,0),1)</f>
        <v>1. Concluído</v>
      </c>
      <c r="H701" s="64">
        <f>VLOOKUP(A701,'Aux - pivots1'!$A:$B,2,0)</f>
        <v>1</v>
      </c>
      <c r="I701" s="172">
        <f>SUMIFS(Table1[Estimação (horas)],Table1[Tabela],Plano_V3!E701,Table1[Campo],Plano_V3!F701)</f>
        <v>4.0999999999999996</v>
      </c>
      <c r="J701" s="172">
        <f t="shared" si="369"/>
        <v>0.51249999999999996</v>
      </c>
      <c r="K701" s="172">
        <f>SUMIFS(Table1[Horas efetivas],Table1[Tabela],Plano_V3!E701,Table1[Campo],Plano_V3!F701)</f>
        <v>4.0999999999999996</v>
      </c>
      <c r="L701" s="172">
        <f t="shared" si="370"/>
        <v>0.51249999999999996</v>
      </c>
      <c r="M701" s="174"/>
      <c r="N701" s="174">
        <f t="shared" si="371"/>
        <v>1</v>
      </c>
      <c r="O701" s="174"/>
      <c r="P701" s="89" t="s">
        <v>39</v>
      </c>
      <c r="R701" s="78"/>
      <c r="S701" s="78"/>
      <c r="T701" s="78"/>
      <c r="U701" s="78"/>
      <c r="V701" s="78"/>
      <c r="W701" s="78"/>
      <c r="X701" s="78"/>
      <c r="Y701" s="78"/>
      <c r="Z701" s="78"/>
      <c r="AA701" s="78"/>
      <c r="AB701" s="78"/>
      <c r="AC701" s="78"/>
      <c r="AD701" s="78"/>
      <c r="AE701" s="78"/>
      <c r="AF701" s="78"/>
      <c r="AG701" s="78"/>
      <c r="AH701" s="78"/>
      <c r="AI701" s="78"/>
      <c r="AJ701" s="78"/>
      <c r="AK701" s="78"/>
      <c r="AL701" s="78"/>
      <c r="AM701" s="78"/>
      <c r="AN701" s="78"/>
      <c r="AO701" s="78"/>
      <c r="AP701" s="78"/>
      <c r="AQ701" s="78"/>
      <c r="AR701" s="78"/>
      <c r="AS701" s="78"/>
      <c r="AT701" s="78"/>
      <c r="AU701" s="78"/>
      <c r="AV701" s="78"/>
      <c r="AW701" s="78"/>
      <c r="AX701" s="78"/>
      <c r="AY701" s="91"/>
      <c r="AZ701" s="78"/>
      <c r="BA701" s="78"/>
      <c r="BB701" s="78"/>
      <c r="BC701" s="78"/>
      <c r="BD701" s="78"/>
      <c r="BE701" s="78"/>
      <c r="BF701" s="78"/>
      <c r="BG701" s="78"/>
      <c r="BH701" s="78"/>
      <c r="BI701" s="78"/>
      <c r="BJ701" s="78"/>
      <c r="BK701" s="78"/>
      <c r="BL701" s="78"/>
      <c r="BM701" s="78"/>
      <c r="BN701" s="78"/>
      <c r="BO701" s="78"/>
      <c r="BP701" s="78"/>
      <c r="BQ701" s="78"/>
      <c r="BR701" s="78"/>
      <c r="BS701" s="78"/>
      <c r="BT701" s="78"/>
      <c r="BU701" s="78"/>
      <c r="BV701" s="78"/>
      <c r="BW701" s="78"/>
      <c r="BX701" s="78"/>
      <c r="BY701" s="78"/>
      <c r="BZ701" s="78"/>
      <c r="CA701" s="78"/>
      <c r="CB701" s="78"/>
      <c r="CC701" s="78"/>
      <c r="CD701" s="78"/>
      <c r="CE701" s="78"/>
      <c r="CF701" s="78"/>
      <c r="CG701" s="78"/>
      <c r="CH701" s="78"/>
      <c r="CI701" s="78"/>
      <c r="CJ701" s="78"/>
      <c r="CK701" s="78"/>
      <c r="CL701" s="78"/>
      <c r="CM701" s="78"/>
      <c r="CN701" s="78"/>
      <c r="CO701" s="78"/>
      <c r="CP701" s="78"/>
      <c r="CQ701" s="78"/>
      <c r="CR701" s="78"/>
      <c r="CS701" s="78"/>
      <c r="CT701" s="78"/>
      <c r="CU701" s="78"/>
      <c r="CV701" s="78"/>
      <c r="CW701" s="78"/>
      <c r="CX701" s="78"/>
      <c r="CY701" s="78"/>
      <c r="CZ701" s="78"/>
      <c r="DA701" s="78"/>
      <c r="DB701" s="78"/>
      <c r="DC701" s="78"/>
      <c r="DD701" s="78"/>
      <c r="DE701" s="78"/>
      <c r="DF701" s="78"/>
      <c r="DG701" s="78"/>
      <c r="DH701" s="78"/>
      <c r="DI701" s="78"/>
      <c r="DJ701" s="78"/>
      <c r="DK701" s="78"/>
      <c r="DL701" s="78"/>
      <c r="DM701" s="78"/>
      <c r="DN701" s="78"/>
      <c r="DO701" s="78"/>
      <c r="DP701" s="78"/>
      <c r="DQ701" s="78"/>
      <c r="DR701" s="78"/>
      <c r="DS701" s="78"/>
      <c r="DT701" s="78"/>
      <c r="DU701" s="78"/>
      <c r="DV701" s="78"/>
      <c r="DW701" s="78"/>
      <c r="DX701" s="78"/>
      <c r="DY701" s="78"/>
      <c r="DZ701" s="78"/>
      <c r="EA701" s="78"/>
      <c r="EB701" s="78"/>
      <c r="EC701" s="78"/>
      <c r="ED701" s="78"/>
      <c r="EE701" s="78"/>
      <c r="EF701" s="78"/>
      <c r="EG701" s="78"/>
      <c r="EH701" s="78"/>
      <c r="EI701" s="78"/>
      <c r="EJ701" s="78"/>
      <c r="EK701" s="78"/>
      <c r="EL701" s="78"/>
      <c r="EM701" s="78"/>
      <c r="EN701" s="91"/>
      <c r="EO701" s="91"/>
      <c r="EP701" s="91"/>
      <c r="EQ701" s="91"/>
      <c r="ER701" s="91"/>
      <c r="ES701" s="91"/>
    </row>
    <row r="702" spans="1:149" outlineLevel="1">
      <c r="A702" s="29" t="str">
        <f t="shared" si="348"/>
        <v>lt002_instrumentdt_rfrnc</v>
      </c>
      <c r="B702" s="67" t="s">
        <v>26</v>
      </c>
      <c r="C702" s="68" t="s">
        <v>26</v>
      </c>
      <c r="D702" s="64" t="s">
        <v>40</v>
      </c>
      <c r="E702" s="70" t="s">
        <v>379</v>
      </c>
      <c r="F702" s="71" t="s">
        <v>398</v>
      </c>
      <c r="G702" s="64" t="str">
        <f>INDEX(Auxiliar!$B$16:$B$24,MATCH(Plano_V3!H702,Auxiliar!$C$16:$C$24,0),1)</f>
        <v>1. Concluído</v>
      </c>
      <c r="H702" s="64">
        <f>VLOOKUP(A702,'Aux - pivots1'!$A:$B,2,0)</f>
        <v>1</v>
      </c>
      <c r="I702" s="172">
        <f>SUMIFS(Table1[Estimação (horas)],Table1[Tabela],Plano_V3!E702,Table1[Campo],Plano_V3!F702)</f>
        <v>0.1</v>
      </c>
      <c r="J702" s="172">
        <f t="shared" si="369"/>
        <v>1.2500000000000001E-2</v>
      </c>
      <c r="K702" s="172">
        <f>SUMIFS(Table1[Horas efetivas],Table1[Tabela],Plano_V3!E702,Table1[Campo],Plano_V3!F702)</f>
        <v>0.1</v>
      </c>
      <c r="L702" s="172">
        <f t="shared" si="370"/>
        <v>1.2500000000000001E-2</v>
      </c>
      <c r="M702" s="174"/>
      <c r="N702" s="174">
        <f t="shared" si="371"/>
        <v>1</v>
      </c>
      <c r="O702" s="174"/>
      <c r="P702" s="89" t="s">
        <v>399</v>
      </c>
      <c r="R702" s="78"/>
      <c r="S702" s="78"/>
      <c r="T702" s="78"/>
      <c r="U702" s="78"/>
      <c r="V702" s="78"/>
      <c r="W702" s="78"/>
      <c r="X702" s="78"/>
      <c r="Y702" s="78"/>
      <c r="Z702" s="78"/>
      <c r="AA702" s="78"/>
      <c r="AB702" s="78"/>
      <c r="AC702" s="78"/>
      <c r="AD702" s="78"/>
      <c r="AE702" s="78"/>
      <c r="AF702" s="78"/>
      <c r="AG702" s="78"/>
      <c r="AH702" s="78"/>
      <c r="AI702" s="78"/>
      <c r="AJ702" s="78"/>
      <c r="AK702" s="78"/>
      <c r="AL702" s="78"/>
      <c r="AM702" s="78"/>
      <c r="AN702" s="78"/>
      <c r="AO702" s="78"/>
      <c r="AP702" s="78"/>
      <c r="AQ702" s="78"/>
      <c r="AR702" s="78"/>
      <c r="AS702" s="78"/>
      <c r="AT702" s="78"/>
      <c r="AU702" s="78"/>
      <c r="AV702" s="78"/>
      <c r="AW702" s="78"/>
      <c r="AX702" s="78"/>
      <c r="AY702" s="91"/>
      <c r="AZ702" s="78"/>
      <c r="BA702" s="78"/>
      <c r="BB702" s="78"/>
      <c r="BC702" s="78"/>
      <c r="BD702" s="78"/>
      <c r="BE702" s="78"/>
      <c r="BF702" s="78"/>
      <c r="BG702" s="78"/>
      <c r="BH702" s="78"/>
      <c r="BI702" s="78"/>
      <c r="BJ702" s="78"/>
      <c r="BK702" s="78"/>
      <c r="BL702" s="78"/>
      <c r="BM702" s="78"/>
      <c r="BN702" s="78"/>
      <c r="BO702" s="78"/>
      <c r="BP702" s="78"/>
      <c r="BQ702" s="78"/>
      <c r="BR702" s="78"/>
      <c r="BS702" s="78"/>
      <c r="BT702" s="78"/>
      <c r="BU702" s="78"/>
      <c r="BV702" s="78"/>
      <c r="BW702" s="78"/>
      <c r="BX702" s="78"/>
      <c r="BY702" s="78"/>
      <c r="BZ702" s="78"/>
      <c r="CA702" s="78"/>
      <c r="CB702" s="78"/>
      <c r="CC702" s="78"/>
      <c r="CD702" s="78"/>
      <c r="CE702" s="78"/>
      <c r="CF702" s="78"/>
      <c r="CG702" s="78"/>
      <c r="CH702" s="78"/>
      <c r="CI702" s="78"/>
      <c r="CJ702" s="78"/>
      <c r="CK702" s="78"/>
      <c r="CL702" s="78"/>
      <c r="CM702" s="78"/>
      <c r="CN702" s="78"/>
      <c r="CO702" s="78"/>
      <c r="CP702" s="78"/>
      <c r="CQ702" s="78"/>
      <c r="CR702" s="78"/>
      <c r="CS702" s="78"/>
      <c r="CT702" s="78"/>
      <c r="CU702" s="78"/>
      <c r="CV702" s="78"/>
      <c r="CW702" s="78"/>
      <c r="CX702" s="78"/>
      <c r="CY702" s="78"/>
      <c r="CZ702" s="78"/>
      <c r="DA702" s="78"/>
      <c r="DB702" s="78"/>
      <c r="DC702" s="78"/>
      <c r="DD702" s="78"/>
      <c r="DE702" s="78"/>
      <c r="DF702" s="78"/>
      <c r="DG702" s="78"/>
      <c r="DH702" s="78"/>
      <c r="DI702" s="78"/>
      <c r="DJ702" s="78"/>
      <c r="DK702" s="78"/>
      <c r="DL702" s="78"/>
      <c r="DM702" s="78"/>
      <c r="DN702" s="78"/>
      <c r="DO702" s="78"/>
      <c r="DP702" s="78"/>
      <c r="DQ702" s="78"/>
      <c r="DR702" s="78"/>
      <c r="DS702" s="78"/>
      <c r="DT702" s="78"/>
      <c r="DU702" s="78"/>
      <c r="DV702" s="78"/>
      <c r="DW702" s="78"/>
      <c r="DX702" s="78"/>
      <c r="DY702" s="78"/>
      <c r="DZ702" s="78"/>
      <c r="EA702" s="78"/>
      <c r="EB702" s="78"/>
      <c r="EC702" s="78"/>
      <c r="ED702" s="78"/>
      <c r="EE702" s="78"/>
      <c r="EF702" s="78"/>
      <c r="EG702" s="78"/>
      <c r="EH702" s="78"/>
      <c r="EI702" s="78"/>
      <c r="EJ702" s="78"/>
      <c r="EK702" s="78"/>
      <c r="EL702" s="78"/>
      <c r="EM702" s="78"/>
      <c r="EN702" s="91"/>
      <c r="EO702" s="91"/>
      <c r="EP702" s="91"/>
      <c r="EQ702" s="91"/>
      <c r="ER702" s="91"/>
      <c r="ES702" s="91"/>
    </row>
    <row r="703" spans="1:149" outlineLevel="1">
      <c r="A703" s="29" t="str">
        <f t="shared" si="348"/>
        <v>lt002_instrumentinstrmnt_id</v>
      </c>
      <c r="B703" s="67" t="s">
        <v>26</v>
      </c>
      <c r="C703" s="68" t="s">
        <v>26</v>
      </c>
      <c r="D703" s="64" t="s">
        <v>40</v>
      </c>
      <c r="E703" s="70" t="s">
        <v>379</v>
      </c>
      <c r="F703" s="71" t="s">
        <v>400</v>
      </c>
      <c r="G703" s="64" t="str">
        <f>INDEX(Auxiliar!$B$16:$B$24,MATCH(Plano_V3!H703,Auxiliar!$C$16:$C$24,0),1)</f>
        <v>1. Concluído</v>
      </c>
      <c r="H703" s="64">
        <f>VLOOKUP(A703,'Aux - pivots1'!$A:$B,2,0)</f>
        <v>1</v>
      </c>
      <c r="I703" s="172">
        <f>SUMIFS(Table1[Estimação (horas)],Table1[Tabela],Plano_V3!E703,Table1[Campo],Plano_V3!F703)</f>
        <v>0.1</v>
      </c>
      <c r="J703" s="172">
        <f t="shared" si="369"/>
        <v>1.2500000000000001E-2</v>
      </c>
      <c r="K703" s="172">
        <f>SUMIFS(Table1[Horas efetivas],Table1[Tabela],Plano_V3!E703,Table1[Campo],Plano_V3!F703)</f>
        <v>0.1</v>
      </c>
      <c r="L703" s="172">
        <f t="shared" si="370"/>
        <v>1.2500000000000001E-2</v>
      </c>
      <c r="M703" s="174"/>
      <c r="N703" s="174">
        <f t="shared" si="371"/>
        <v>1</v>
      </c>
      <c r="O703" s="174"/>
      <c r="P703" s="89" t="s">
        <v>399</v>
      </c>
      <c r="R703" s="78"/>
      <c r="S703" s="78"/>
      <c r="T703" s="78"/>
      <c r="U703" s="78"/>
      <c r="V703" s="78"/>
      <c r="W703" s="78"/>
      <c r="X703" s="78"/>
      <c r="Y703" s="78"/>
      <c r="Z703" s="78"/>
      <c r="AA703" s="78"/>
      <c r="AB703" s="78"/>
      <c r="AC703" s="78"/>
      <c r="AD703" s="78"/>
      <c r="AE703" s="78"/>
      <c r="AF703" s="78"/>
      <c r="AG703" s="78"/>
      <c r="AH703" s="78"/>
      <c r="AI703" s="78"/>
      <c r="AJ703" s="78"/>
      <c r="AK703" s="78"/>
      <c r="AL703" s="78"/>
      <c r="AM703" s="78"/>
      <c r="AN703" s="78"/>
      <c r="AO703" s="78"/>
      <c r="AP703" s="78"/>
      <c r="AQ703" s="78"/>
      <c r="AR703" s="78"/>
      <c r="AS703" s="78"/>
      <c r="AT703" s="78"/>
      <c r="AU703" s="78"/>
      <c r="AV703" s="78"/>
      <c r="AW703" s="78"/>
      <c r="AX703" s="78"/>
      <c r="AY703" s="91"/>
      <c r="AZ703" s="78"/>
      <c r="BA703" s="78"/>
      <c r="BB703" s="78"/>
      <c r="BC703" s="78"/>
      <c r="BD703" s="78"/>
      <c r="BE703" s="78"/>
      <c r="BF703" s="78"/>
      <c r="BG703" s="78"/>
      <c r="BH703" s="78"/>
      <c r="BI703" s="78"/>
      <c r="BJ703" s="78"/>
      <c r="BK703" s="78"/>
      <c r="BL703" s="78"/>
      <c r="BM703" s="78"/>
      <c r="BN703" s="78"/>
      <c r="BO703" s="78"/>
      <c r="BP703" s="78"/>
      <c r="BQ703" s="78"/>
      <c r="BR703" s="78"/>
      <c r="BS703" s="78"/>
      <c r="BT703" s="78"/>
      <c r="BU703" s="78"/>
      <c r="BV703" s="78"/>
      <c r="BW703" s="78"/>
      <c r="BX703" s="78"/>
      <c r="BY703" s="78"/>
      <c r="BZ703" s="78"/>
      <c r="CA703" s="78"/>
      <c r="CB703" s="78"/>
      <c r="CC703" s="78"/>
      <c r="CD703" s="78"/>
      <c r="CE703" s="78"/>
      <c r="CF703" s="78"/>
      <c r="CG703" s="78"/>
      <c r="CH703" s="78"/>
      <c r="CI703" s="78"/>
      <c r="CJ703" s="78"/>
      <c r="CK703" s="78"/>
      <c r="CL703" s="78"/>
      <c r="CM703" s="78"/>
      <c r="CN703" s="78"/>
      <c r="CO703" s="78"/>
      <c r="CP703" s="78"/>
      <c r="CQ703" s="78"/>
      <c r="CR703" s="78"/>
      <c r="CS703" s="78"/>
      <c r="CT703" s="78"/>
      <c r="CU703" s="78"/>
      <c r="CV703" s="78"/>
      <c r="CW703" s="78"/>
      <c r="CX703" s="78"/>
      <c r="CY703" s="78"/>
      <c r="CZ703" s="78"/>
      <c r="DA703" s="78"/>
      <c r="DB703" s="78"/>
      <c r="DC703" s="78"/>
      <c r="DD703" s="78"/>
      <c r="DE703" s="78"/>
      <c r="DF703" s="78"/>
      <c r="DG703" s="78"/>
      <c r="DH703" s="78"/>
      <c r="DI703" s="78"/>
      <c r="DJ703" s="78"/>
      <c r="DK703" s="78"/>
      <c r="DL703" s="78"/>
      <c r="DM703" s="78"/>
      <c r="DN703" s="78"/>
      <c r="DO703" s="78"/>
      <c r="DP703" s="78"/>
      <c r="DQ703" s="78"/>
      <c r="DR703" s="78"/>
      <c r="DS703" s="78"/>
      <c r="DT703" s="78"/>
      <c r="DU703" s="78"/>
      <c r="DV703" s="78"/>
      <c r="DW703" s="78"/>
      <c r="DX703" s="78"/>
      <c r="DY703" s="78"/>
      <c r="DZ703" s="78"/>
      <c r="EA703" s="78"/>
      <c r="EB703" s="78"/>
      <c r="EC703" s="78"/>
      <c r="ED703" s="78"/>
      <c r="EE703" s="78"/>
      <c r="EF703" s="78"/>
      <c r="EG703" s="78"/>
      <c r="EH703" s="78"/>
      <c r="EI703" s="78"/>
      <c r="EJ703" s="78"/>
      <c r="EK703" s="78"/>
      <c r="EL703" s="78"/>
      <c r="EM703" s="78"/>
      <c r="EN703" s="91"/>
      <c r="EO703" s="91"/>
      <c r="EP703" s="91"/>
      <c r="EQ703" s="91"/>
      <c r="ER703" s="91"/>
      <c r="ES703" s="91"/>
    </row>
    <row r="704" spans="1:149" outlineLevel="1">
      <c r="A704" s="29" t="str">
        <f t="shared" si="348"/>
        <v>lt002_instrumentdt_incptn</v>
      </c>
      <c r="B704" s="67" t="s">
        <v>26</v>
      </c>
      <c r="C704" s="68" t="s">
        <v>26</v>
      </c>
      <c r="D704" s="64" t="s">
        <v>40</v>
      </c>
      <c r="E704" s="70" t="s">
        <v>379</v>
      </c>
      <c r="F704" s="71" t="s">
        <v>401</v>
      </c>
      <c r="G704" s="64" t="str">
        <f>INDEX(Auxiliar!$B$16:$B$24,MATCH(Plano_V3!H704,Auxiliar!$C$16:$C$24,0),1)</f>
        <v>1. Concluído</v>
      </c>
      <c r="H704" s="64">
        <f>VLOOKUP(A704,'Aux - pivots1'!$A:$B,2,0)</f>
        <v>1</v>
      </c>
      <c r="I704" s="172">
        <f>SUMIFS(Table1[Estimação (horas)],Table1[Tabela],Plano_V3!E704,Table1[Campo],Plano_V3!F704)</f>
        <v>0.1</v>
      </c>
      <c r="J704" s="172">
        <f t="shared" si="369"/>
        <v>1.2500000000000001E-2</v>
      </c>
      <c r="K704" s="172">
        <f>SUMIFS(Table1[Horas efetivas],Table1[Tabela],Plano_V3!E704,Table1[Campo],Plano_V3!F704)</f>
        <v>0.1</v>
      </c>
      <c r="L704" s="172">
        <f t="shared" si="370"/>
        <v>1.2500000000000001E-2</v>
      </c>
      <c r="M704" s="174"/>
      <c r="N704" s="174">
        <f t="shared" si="371"/>
        <v>1</v>
      </c>
      <c r="O704" s="174"/>
      <c r="P704" s="89" t="s">
        <v>399</v>
      </c>
      <c r="R704" s="78"/>
      <c r="S704" s="78"/>
      <c r="T704" s="78"/>
      <c r="U704" s="78"/>
      <c r="V704" s="78"/>
      <c r="W704" s="78"/>
      <c r="X704" s="78"/>
      <c r="Y704" s="78"/>
      <c r="Z704" s="78"/>
      <c r="AA704" s="78"/>
      <c r="AB704" s="78"/>
      <c r="AC704" s="78"/>
      <c r="AD704" s="78"/>
      <c r="AE704" s="78"/>
      <c r="AF704" s="78"/>
      <c r="AG704" s="78"/>
      <c r="AH704" s="78"/>
      <c r="AI704" s="78"/>
      <c r="AJ704" s="78"/>
      <c r="AK704" s="78"/>
      <c r="AL704" s="78"/>
      <c r="AM704" s="78"/>
      <c r="AN704" s="78"/>
      <c r="AO704" s="78"/>
      <c r="AP704" s="78"/>
      <c r="AQ704" s="78"/>
      <c r="AR704" s="78"/>
      <c r="AS704" s="78"/>
      <c r="AT704" s="78"/>
      <c r="AU704" s="78"/>
      <c r="AV704" s="78"/>
      <c r="AW704" s="78"/>
      <c r="AX704" s="78"/>
      <c r="AY704" s="91"/>
      <c r="AZ704" s="78"/>
      <c r="BA704" s="78"/>
      <c r="BB704" s="78"/>
      <c r="BC704" s="78"/>
      <c r="BD704" s="78"/>
      <c r="BE704" s="78"/>
      <c r="BF704" s="78"/>
      <c r="BG704" s="78"/>
      <c r="BH704" s="78"/>
      <c r="BI704" s="78"/>
      <c r="BJ704" s="78"/>
      <c r="BK704" s="78"/>
      <c r="BL704" s="78"/>
      <c r="BM704" s="78"/>
      <c r="BN704" s="78"/>
      <c r="BO704" s="78"/>
      <c r="BP704" s="78"/>
      <c r="BQ704" s="78"/>
      <c r="BR704" s="78"/>
      <c r="BS704" s="78"/>
      <c r="BT704" s="78"/>
      <c r="BU704" s="78"/>
      <c r="BV704" s="78"/>
      <c r="BW704" s="78"/>
      <c r="BX704" s="78"/>
      <c r="BY704" s="78"/>
      <c r="BZ704" s="78"/>
      <c r="CA704" s="78"/>
      <c r="CB704" s="78"/>
      <c r="CC704" s="78"/>
      <c r="CD704" s="78"/>
      <c r="CE704" s="78"/>
      <c r="CF704" s="78"/>
      <c r="CG704" s="78"/>
      <c r="CH704" s="78"/>
      <c r="CI704" s="78"/>
      <c r="CJ704" s="78"/>
      <c r="CK704" s="78"/>
      <c r="CL704" s="78"/>
      <c r="CM704" s="78"/>
      <c r="CN704" s="78"/>
      <c r="CO704" s="78"/>
      <c r="CP704" s="78"/>
      <c r="CQ704" s="78"/>
      <c r="CR704" s="78"/>
      <c r="CS704" s="78"/>
      <c r="CT704" s="78"/>
      <c r="CU704" s="78"/>
      <c r="CV704" s="78"/>
      <c r="CW704" s="78"/>
      <c r="CX704" s="78"/>
      <c r="CY704" s="78"/>
      <c r="CZ704" s="78"/>
      <c r="DA704" s="78"/>
      <c r="DB704" s="78"/>
      <c r="DC704" s="78"/>
      <c r="DD704" s="78"/>
      <c r="DE704" s="78"/>
      <c r="DF704" s="78"/>
      <c r="DG704" s="78"/>
      <c r="DH704" s="78"/>
      <c r="DI704" s="78"/>
      <c r="DJ704" s="78"/>
      <c r="DK704" s="78"/>
      <c r="DL704" s="78"/>
      <c r="DM704" s="78"/>
      <c r="DN704" s="78"/>
      <c r="DO704" s="78"/>
      <c r="DP704" s="78"/>
      <c r="DQ704" s="78"/>
      <c r="DR704" s="78"/>
      <c r="DS704" s="78"/>
      <c r="DT704" s="78"/>
      <c r="DU704" s="78"/>
      <c r="DV704" s="78"/>
      <c r="DW704" s="78"/>
      <c r="DX704" s="78"/>
      <c r="DY704" s="78"/>
      <c r="DZ704" s="78"/>
      <c r="EA704" s="78"/>
      <c r="EB704" s="78"/>
      <c r="EC704" s="78"/>
      <c r="ED704" s="78"/>
      <c r="EE704" s="78"/>
      <c r="EF704" s="78"/>
      <c r="EG704" s="78"/>
      <c r="EH704" s="78"/>
      <c r="EI704" s="78"/>
      <c r="EJ704" s="78"/>
      <c r="EK704" s="78"/>
      <c r="EL704" s="78"/>
      <c r="EM704" s="78"/>
      <c r="EN704" s="91"/>
      <c r="EO704" s="91"/>
      <c r="EP704" s="91"/>
      <c r="EQ704" s="91"/>
      <c r="ER704" s="91"/>
      <c r="ES704" s="91"/>
    </row>
    <row r="705" spans="1:149" outlineLevel="1">
      <c r="A705" s="29" t="str">
        <f t="shared" si="348"/>
        <v>lt002_instrumentdflt_stts_instrmnt</v>
      </c>
      <c r="B705" s="67" t="s">
        <v>26</v>
      </c>
      <c r="C705" s="68" t="s">
        <v>26</v>
      </c>
      <c r="D705" s="64" t="s">
        <v>40</v>
      </c>
      <c r="E705" s="70" t="s">
        <v>379</v>
      </c>
      <c r="F705" s="71" t="s">
        <v>402</v>
      </c>
      <c r="G705" s="64" t="str">
        <f>INDEX(Auxiliar!$B$16:$B$24,MATCH(Plano_V3!H705,Auxiliar!$C$16:$C$24,0),1)</f>
        <v>1. Concluído</v>
      </c>
      <c r="H705" s="64">
        <f>VLOOKUP(A705,'Aux - pivots1'!$A:$B,2,0)</f>
        <v>1</v>
      </c>
      <c r="I705" s="172">
        <f>SUMIFS(Table1[Estimação (horas)],Table1[Tabela],Plano_V3!E705,Table1[Campo],Plano_V3!F705)</f>
        <v>0.1</v>
      </c>
      <c r="J705" s="172">
        <f t="shared" si="369"/>
        <v>1.2500000000000001E-2</v>
      </c>
      <c r="K705" s="172">
        <f>SUMIFS(Table1[Horas efetivas],Table1[Tabela],Plano_V3!E705,Table1[Campo],Plano_V3!F705)</f>
        <v>0.1</v>
      </c>
      <c r="L705" s="172">
        <f t="shared" si="370"/>
        <v>1.2500000000000001E-2</v>
      </c>
      <c r="M705" s="174"/>
      <c r="N705" s="174">
        <f t="shared" si="371"/>
        <v>1</v>
      </c>
      <c r="O705" s="174"/>
      <c r="P705" s="89" t="s">
        <v>399</v>
      </c>
      <c r="R705" s="78"/>
      <c r="S705" s="78"/>
      <c r="T705" s="78"/>
      <c r="U705" s="78"/>
      <c r="V705" s="78"/>
      <c r="W705" s="78"/>
      <c r="X705" s="78"/>
      <c r="Y705" s="78"/>
      <c r="Z705" s="78"/>
      <c r="AA705" s="78"/>
      <c r="AB705" s="78"/>
      <c r="AC705" s="78"/>
      <c r="AD705" s="78"/>
      <c r="AE705" s="78"/>
      <c r="AF705" s="78"/>
      <c r="AG705" s="78"/>
      <c r="AH705" s="78"/>
      <c r="AI705" s="78"/>
      <c r="AJ705" s="78"/>
      <c r="AK705" s="78"/>
      <c r="AL705" s="78"/>
      <c r="AM705" s="78"/>
      <c r="AN705" s="78"/>
      <c r="AO705" s="78"/>
      <c r="AP705" s="78"/>
      <c r="AQ705" s="78"/>
      <c r="AR705" s="78"/>
      <c r="AS705" s="78"/>
      <c r="AT705" s="78"/>
      <c r="AU705" s="78"/>
      <c r="AV705" s="78"/>
      <c r="AW705" s="78"/>
      <c r="AX705" s="78"/>
      <c r="AY705" s="91"/>
      <c r="AZ705" s="78"/>
      <c r="BA705" s="78"/>
      <c r="BB705" s="78"/>
      <c r="BC705" s="78"/>
      <c r="BD705" s="78"/>
      <c r="BE705" s="78"/>
      <c r="BF705" s="78"/>
      <c r="BG705" s="78"/>
      <c r="BH705" s="78"/>
      <c r="BI705" s="78"/>
      <c r="BJ705" s="78"/>
      <c r="BK705" s="78"/>
      <c r="BL705" s="78"/>
      <c r="BM705" s="78"/>
      <c r="BN705" s="78"/>
      <c r="BO705" s="78"/>
      <c r="BP705" s="78"/>
      <c r="BQ705" s="78"/>
      <c r="BR705" s="78"/>
      <c r="BS705" s="78"/>
      <c r="BT705" s="78"/>
      <c r="BU705" s="78"/>
      <c r="BV705" s="78"/>
      <c r="BW705" s="78"/>
      <c r="BX705" s="78"/>
      <c r="BY705" s="78"/>
      <c r="BZ705" s="78"/>
      <c r="CA705" s="78"/>
      <c r="CB705" s="78"/>
      <c r="CC705" s="78"/>
      <c r="CD705" s="78"/>
      <c r="CE705" s="78"/>
      <c r="CF705" s="78"/>
      <c r="CG705" s="78"/>
      <c r="CH705" s="78"/>
      <c r="CI705" s="78"/>
      <c r="CJ705" s="78"/>
      <c r="CK705" s="78"/>
      <c r="CL705" s="78"/>
      <c r="CM705" s="78"/>
      <c r="CN705" s="78"/>
      <c r="CO705" s="78"/>
      <c r="CP705" s="78"/>
      <c r="CQ705" s="78"/>
      <c r="CR705" s="78"/>
      <c r="CS705" s="78"/>
      <c r="CT705" s="78"/>
      <c r="CU705" s="78"/>
      <c r="CV705" s="78"/>
      <c r="CW705" s="78"/>
      <c r="CX705" s="78"/>
      <c r="CY705" s="78"/>
      <c r="CZ705" s="78"/>
      <c r="DA705" s="78"/>
      <c r="DB705" s="78"/>
      <c r="DC705" s="78"/>
      <c r="DD705" s="78"/>
      <c r="DE705" s="78"/>
      <c r="DF705" s="78"/>
      <c r="DG705" s="78"/>
      <c r="DH705" s="78"/>
      <c r="DI705" s="78"/>
      <c r="DJ705" s="78"/>
      <c r="DK705" s="78"/>
      <c r="DL705" s="78"/>
      <c r="DM705" s="78"/>
      <c r="DN705" s="78"/>
      <c r="DO705" s="78"/>
      <c r="DP705" s="78"/>
      <c r="DQ705" s="78"/>
      <c r="DR705" s="78"/>
      <c r="DS705" s="78"/>
      <c r="DT705" s="78"/>
      <c r="DU705" s="78"/>
      <c r="DV705" s="78"/>
      <c r="DW705" s="78"/>
      <c r="DX705" s="78"/>
      <c r="DY705" s="78"/>
      <c r="DZ705" s="78"/>
      <c r="EA705" s="78"/>
      <c r="EB705" s="78"/>
      <c r="EC705" s="78"/>
      <c r="ED705" s="78"/>
      <c r="EE705" s="78"/>
      <c r="EF705" s="78"/>
      <c r="EG705" s="78"/>
      <c r="EH705" s="78"/>
      <c r="EI705" s="78"/>
      <c r="EJ705" s="78"/>
      <c r="EK705" s="78"/>
      <c r="EL705" s="78"/>
      <c r="EM705" s="78"/>
      <c r="EN705" s="91"/>
      <c r="EO705" s="91"/>
      <c r="EP705" s="91"/>
      <c r="EQ705" s="91"/>
      <c r="ER705" s="91"/>
      <c r="ES705" s="91"/>
    </row>
    <row r="706" spans="1:149" outlineLevel="1">
      <c r="A706" s="29" t="str">
        <f t="shared" si="348"/>
        <v>lt002_instrumentimprmnt_stts</v>
      </c>
      <c r="B706" s="67" t="s">
        <v>26</v>
      </c>
      <c r="C706" s="68" t="s">
        <v>26</v>
      </c>
      <c r="D706" s="64" t="s">
        <v>40</v>
      </c>
      <c r="E706" s="70" t="s">
        <v>379</v>
      </c>
      <c r="F706" s="71" t="s">
        <v>403</v>
      </c>
      <c r="G706" s="64" t="str">
        <f>INDEX(Auxiliar!$B$16:$B$24,MATCH(Plano_V3!H706,Auxiliar!$C$16:$C$24,0),1)</f>
        <v>1. Concluído</v>
      </c>
      <c r="H706" s="64">
        <f>VLOOKUP(A706,'Aux - pivots1'!$A:$B,2,0)</f>
        <v>1</v>
      </c>
      <c r="I706" s="172">
        <f>SUMIFS(Table1[Estimação (horas)],Table1[Tabela],Plano_V3!E706,Table1[Campo],Plano_V3!F706)</f>
        <v>0.1</v>
      </c>
      <c r="J706" s="172">
        <f t="shared" si="369"/>
        <v>1.2500000000000001E-2</v>
      </c>
      <c r="K706" s="172">
        <f>SUMIFS(Table1[Horas efetivas],Table1[Tabela],Plano_V3!E706,Table1[Campo],Plano_V3!F706)</f>
        <v>0.1</v>
      </c>
      <c r="L706" s="172">
        <f t="shared" si="370"/>
        <v>1.2500000000000001E-2</v>
      </c>
      <c r="M706" s="174"/>
      <c r="N706" s="174">
        <f t="shared" si="371"/>
        <v>1</v>
      </c>
      <c r="O706" s="174"/>
      <c r="P706" s="89" t="s">
        <v>399</v>
      </c>
      <c r="R706" s="78"/>
      <c r="S706" s="78"/>
      <c r="T706" s="78"/>
      <c r="U706" s="78"/>
      <c r="V706" s="78"/>
      <c r="W706" s="78"/>
      <c r="X706" s="78"/>
      <c r="Y706" s="78"/>
      <c r="Z706" s="78"/>
      <c r="AA706" s="78"/>
      <c r="AB706" s="78"/>
      <c r="AC706" s="78"/>
      <c r="AD706" s="78"/>
      <c r="AE706" s="78"/>
      <c r="AF706" s="78"/>
      <c r="AG706" s="78"/>
      <c r="AH706" s="78"/>
      <c r="AI706" s="78"/>
      <c r="AJ706" s="78"/>
      <c r="AK706" s="78"/>
      <c r="AL706" s="78"/>
      <c r="AM706" s="78"/>
      <c r="AN706" s="78"/>
      <c r="AO706" s="78"/>
      <c r="AP706" s="78"/>
      <c r="AQ706" s="78"/>
      <c r="AR706" s="78"/>
      <c r="AS706" s="78"/>
      <c r="AT706" s="78"/>
      <c r="AU706" s="78"/>
      <c r="AV706" s="78"/>
      <c r="AW706" s="78"/>
      <c r="AX706" s="78"/>
      <c r="AY706" s="91"/>
      <c r="AZ706" s="78"/>
      <c r="BA706" s="78"/>
      <c r="BB706" s="78"/>
      <c r="BC706" s="78"/>
      <c r="BD706" s="78"/>
      <c r="BE706" s="78"/>
      <c r="BF706" s="78"/>
      <c r="BG706" s="78"/>
      <c r="BH706" s="78"/>
      <c r="BI706" s="78"/>
      <c r="BJ706" s="78"/>
      <c r="BK706" s="78"/>
      <c r="BL706" s="78"/>
      <c r="BM706" s="78"/>
      <c r="BN706" s="78"/>
      <c r="BO706" s="78"/>
      <c r="BP706" s="78"/>
      <c r="BQ706" s="78"/>
      <c r="BR706" s="78"/>
      <c r="BS706" s="78"/>
      <c r="BT706" s="78"/>
      <c r="BU706" s="78"/>
      <c r="BV706" s="78"/>
      <c r="BW706" s="78"/>
      <c r="BX706" s="78"/>
      <c r="BY706" s="78"/>
      <c r="BZ706" s="78"/>
      <c r="CA706" s="78"/>
      <c r="CB706" s="78"/>
      <c r="CC706" s="78"/>
      <c r="CD706" s="78"/>
      <c r="CE706" s="78"/>
      <c r="CF706" s="78"/>
      <c r="CG706" s="78"/>
      <c r="CH706" s="78"/>
      <c r="CI706" s="78"/>
      <c r="CJ706" s="78"/>
      <c r="CK706" s="78"/>
      <c r="CL706" s="78"/>
      <c r="CM706" s="78"/>
      <c r="CN706" s="78"/>
      <c r="CO706" s="78"/>
      <c r="CP706" s="78"/>
      <c r="CQ706" s="78"/>
      <c r="CR706" s="78"/>
      <c r="CS706" s="78"/>
      <c r="CT706" s="78"/>
      <c r="CU706" s="78"/>
      <c r="CV706" s="78"/>
      <c r="CW706" s="78"/>
      <c r="CX706" s="78"/>
      <c r="CY706" s="78"/>
      <c r="CZ706" s="78"/>
      <c r="DA706" s="78"/>
      <c r="DB706" s="78"/>
      <c r="DC706" s="78"/>
      <c r="DD706" s="78"/>
      <c r="DE706" s="78"/>
      <c r="DF706" s="78"/>
      <c r="DG706" s="78"/>
      <c r="DH706" s="78"/>
      <c r="DI706" s="78"/>
      <c r="DJ706" s="78"/>
      <c r="DK706" s="78"/>
      <c r="DL706" s="78"/>
      <c r="DM706" s="78"/>
      <c r="DN706" s="78"/>
      <c r="DO706" s="78"/>
      <c r="DP706" s="78"/>
      <c r="DQ706" s="78"/>
      <c r="DR706" s="78"/>
      <c r="DS706" s="78"/>
      <c r="DT706" s="78"/>
      <c r="DU706" s="78"/>
      <c r="DV706" s="78"/>
      <c r="DW706" s="78"/>
      <c r="DX706" s="78"/>
      <c r="DY706" s="78"/>
      <c r="DZ706" s="78"/>
      <c r="EA706" s="78"/>
      <c r="EB706" s="78"/>
      <c r="EC706" s="78"/>
      <c r="ED706" s="78"/>
      <c r="EE706" s="78"/>
      <c r="EF706" s="78"/>
      <c r="EG706" s="78"/>
      <c r="EH706" s="78"/>
      <c r="EI706" s="78"/>
      <c r="EJ706" s="78"/>
      <c r="EK706" s="78"/>
      <c r="EL706" s="78"/>
      <c r="EM706" s="78"/>
      <c r="EN706" s="91"/>
      <c r="EO706" s="91"/>
      <c r="EP706" s="91"/>
      <c r="EQ706" s="91"/>
      <c r="ER706" s="91"/>
      <c r="ES706" s="91"/>
    </row>
    <row r="707" spans="1:149" outlineLevel="1">
      <c r="A707" s="29" t="str">
        <f t="shared" si="348"/>
        <v>lt002_instrumentprfrmng_stts</v>
      </c>
      <c r="B707" s="67" t="s">
        <v>26</v>
      </c>
      <c r="C707" s="68" t="s">
        <v>26</v>
      </c>
      <c r="D707" s="64" t="s">
        <v>40</v>
      </c>
      <c r="E707" s="70" t="s">
        <v>379</v>
      </c>
      <c r="F707" s="71" t="s">
        <v>404</v>
      </c>
      <c r="G707" s="64" t="str">
        <f>INDEX(Auxiliar!$B$16:$B$24,MATCH(Plano_V3!H707,Auxiliar!$C$16:$C$24,0),1)</f>
        <v>1. Concluído</v>
      </c>
      <c r="H707" s="64">
        <f>VLOOKUP(A707,'Aux - pivots1'!$A:$B,2,0)</f>
        <v>1</v>
      </c>
      <c r="I707" s="172">
        <f>SUMIFS(Table1[Estimação (horas)],Table1[Tabela],Plano_V3!E707,Table1[Campo],Plano_V3!F707)</f>
        <v>0.1</v>
      </c>
      <c r="J707" s="172">
        <f t="shared" si="369"/>
        <v>1.2500000000000001E-2</v>
      </c>
      <c r="K707" s="172">
        <f>SUMIFS(Table1[Horas efetivas],Table1[Tabela],Plano_V3!E707,Table1[Campo],Plano_V3!F707)</f>
        <v>0.1</v>
      </c>
      <c r="L707" s="172">
        <f t="shared" si="370"/>
        <v>1.2500000000000001E-2</v>
      </c>
      <c r="M707" s="174"/>
      <c r="N707" s="174">
        <f t="shared" si="371"/>
        <v>1</v>
      </c>
      <c r="O707" s="174"/>
      <c r="P707" s="89" t="s">
        <v>399</v>
      </c>
      <c r="R707" s="78"/>
      <c r="S707" s="78"/>
      <c r="T707" s="78"/>
      <c r="U707" s="78"/>
      <c r="V707" s="78"/>
      <c r="W707" s="78"/>
      <c r="X707" s="78"/>
      <c r="Y707" s="78"/>
      <c r="Z707" s="78"/>
      <c r="AA707" s="78"/>
      <c r="AB707" s="78"/>
      <c r="AC707" s="78"/>
      <c r="AD707" s="78"/>
      <c r="AE707" s="78"/>
      <c r="AF707" s="78"/>
      <c r="AG707" s="78"/>
      <c r="AH707" s="78"/>
      <c r="AI707" s="78"/>
      <c r="AJ707" s="78"/>
      <c r="AK707" s="78"/>
      <c r="AL707" s="78"/>
      <c r="AM707" s="78"/>
      <c r="AN707" s="78"/>
      <c r="AO707" s="78"/>
      <c r="AP707" s="78"/>
      <c r="AQ707" s="78"/>
      <c r="AR707" s="78"/>
      <c r="AS707" s="78"/>
      <c r="AT707" s="78"/>
      <c r="AU707" s="78"/>
      <c r="AV707" s="78"/>
      <c r="AW707" s="78"/>
      <c r="AX707" s="78"/>
      <c r="AY707" s="91"/>
      <c r="AZ707" s="78"/>
      <c r="BA707" s="78"/>
      <c r="BB707" s="78"/>
      <c r="BC707" s="78"/>
      <c r="BD707" s="78"/>
      <c r="BE707" s="78"/>
      <c r="BF707" s="78"/>
      <c r="BG707" s="78"/>
      <c r="BH707" s="78"/>
      <c r="BI707" s="78"/>
      <c r="BJ707" s="78"/>
      <c r="BK707" s="78"/>
      <c r="BL707" s="78"/>
      <c r="BM707" s="78"/>
      <c r="BN707" s="78"/>
      <c r="BO707" s="78"/>
      <c r="BP707" s="78"/>
      <c r="BQ707" s="78"/>
      <c r="BR707" s="78"/>
      <c r="BS707" s="78"/>
      <c r="BT707" s="78"/>
      <c r="BU707" s="78"/>
      <c r="BV707" s="78"/>
      <c r="BW707" s="78"/>
      <c r="BX707" s="78"/>
      <c r="BY707" s="78"/>
      <c r="BZ707" s="78"/>
      <c r="CA707" s="78"/>
      <c r="CB707" s="78"/>
      <c r="CC707" s="78"/>
      <c r="CD707" s="78"/>
      <c r="CE707" s="78"/>
      <c r="CF707" s="78"/>
      <c r="CG707" s="78"/>
      <c r="CH707" s="78"/>
      <c r="CI707" s="78"/>
      <c r="CJ707" s="78"/>
      <c r="CK707" s="78"/>
      <c r="CL707" s="78"/>
      <c r="CM707" s="78"/>
      <c r="CN707" s="78"/>
      <c r="CO707" s="78"/>
      <c r="CP707" s="78"/>
      <c r="CQ707" s="78"/>
      <c r="CR707" s="78"/>
      <c r="CS707" s="78"/>
      <c r="CT707" s="78"/>
      <c r="CU707" s="78"/>
      <c r="CV707" s="78"/>
      <c r="CW707" s="78"/>
      <c r="CX707" s="78"/>
      <c r="CY707" s="78"/>
      <c r="CZ707" s="78"/>
      <c r="DA707" s="78"/>
      <c r="DB707" s="78"/>
      <c r="DC707" s="78"/>
      <c r="DD707" s="78"/>
      <c r="DE707" s="78"/>
      <c r="DF707" s="78"/>
      <c r="DG707" s="78"/>
      <c r="DH707" s="78"/>
      <c r="DI707" s="78"/>
      <c r="DJ707" s="78"/>
      <c r="DK707" s="78"/>
      <c r="DL707" s="78"/>
      <c r="DM707" s="78"/>
      <c r="DN707" s="78"/>
      <c r="DO707" s="78"/>
      <c r="DP707" s="78"/>
      <c r="DQ707" s="78"/>
      <c r="DR707" s="78"/>
      <c r="DS707" s="78"/>
      <c r="DT707" s="78"/>
      <c r="DU707" s="78"/>
      <c r="DV707" s="78"/>
      <c r="DW707" s="78"/>
      <c r="DX707" s="78"/>
      <c r="DY707" s="78"/>
      <c r="DZ707" s="78"/>
      <c r="EA707" s="78"/>
      <c r="EB707" s="78"/>
      <c r="EC707" s="78"/>
      <c r="ED707" s="78"/>
      <c r="EE707" s="78"/>
      <c r="EF707" s="78"/>
      <c r="EG707" s="78"/>
      <c r="EH707" s="78"/>
      <c r="EI707" s="78"/>
      <c r="EJ707" s="78"/>
      <c r="EK707" s="78"/>
      <c r="EL707" s="78"/>
      <c r="EM707" s="78"/>
      <c r="EN707" s="91"/>
      <c r="EO707" s="91"/>
      <c r="EP707" s="91"/>
      <c r="EQ707" s="91"/>
      <c r="ER707" s="91"/>
      <c r="ES707" s="91"/>
    </row>
    <row r="708" spans="1:149" outlineLevel="1">
      <c r="A708" s="29" t="str">
        <f t="shared" si="348"/>
        <v>lt002_instrumentprjct_fnnc_ln</v>
      </c>
      <c r="B708" s="67" t="s">
        <v>26</v>
      </c>
      <c r="C708" s="68" t="s">
        <v>26</v>
      </c>
      <c r="D708" s="64" t="s">
        <v>40</v>
      </c>
      <c r="E708" s="70" t="s">
        <v>379</v>
      </c>
      <c r="F708" s="71" t="s">
        <v>405</v>
      </c>
      <c r="G708" s="64" t="str">
        <f>INDEX(Auxiliar!$B$16:$B$24,MATCH(Plano_V3!H708,Auxiliar!$C$16:$C$24,0),1)</f>
        <v>1. Concluído</v>
      </c>
      <c r="H708" s="64">
        <f>VLOOKUP(A708,'Aux - pivots1'!$A:$B,2,0)</f>
        <v>1</v>
      </c>
      <c r="I708" s="172">
        <f>SUMIFS(Table1[Estimação (horas)],Table1[Tabela],Plano_V3!E708,Table1[Campo],Plano_V3!F708)</f>
        <v>0.1</v>
      </c>
      <c r="J708" s="172">
        <f t="shared" si="369"/>
        <v>1.2500000000000001E-2</v>
      </c>
      <c r="K708" s="172">
        <f>SUMIFS(Table1[Horas efetivas],Table1[Tabela],Plano_V3!E708,Table1[Campo],Plano_V3!F708)</f>
        <v>0.1</v>
      </c>
      <c r="L708" s="172">
        <f t="shared" si="370"/>
        <v>1.2500000000000001E-2</v>
      </c>
      <c r="M708" s="174"/>
      <c r="N708" s="174">
        <f t="shared" si="371"/>
        <v>1</v>
      </c>
      <c r="O708" s="174"/>
      <c r="P708" s="89" t="s">
        <v>399</v>
      </c>
      <c r="R708" s="78"/>
      <c r="S708" s="78"/>
      <c r="T708" s="78"/>
      <c r="U708" s="78"/>
      <c r="V708" s="78"/>
      <c r="W708" s="78"/>
      <c r="X708" s="78"/>
      <c r="Y708" s="78"/>
      <c r="Z708" s="78"/>
      <c r="AA708" s="78"/>
      <c r="AB708" s="78"/>
      <c r="AC708" s="78"/>
      <c r="AD708" s="78"/>
      <c r="AE708" s="78"/>
      <c r="AF708" s="78"/>
      <c r="AG708" s="78"/>
      <c r="AH708" s="78"/>
      <c r="AI708" s="78"/>
      <c r="AJ708" s="78"/>
      <c r="AK708" s="78"/>
      <c r="AL708" s="78"/>
      <c r="AM708" s="78"/>
      <c r="AN708" s="78"/>
      <c r="AO708" s="78"/>
      <c r="AP708" s="78"/>
      <c r="AQ708" s="78"/>
      <c r="AR708" s="78"/>
      <c r="AS708" s="78"/>
      <c r="AT708" s="78"/>
      <c r="AU708" s="78"/>
      <c r="AV708" s="78"/>
      <c r="AW708" s="78"/>
      <c r="AX708" s="78"/>
      <c r="AY708" s="91"/>
      <c r="AZ708" s="78"/>
      <c r="BA708" s="78"/>
      <c r="BB708" s="78"/>
      <c r="BC708" s="78"/>
      <c r="BD708" s="78"/>
      <c r="BE708" s="78"/>
      <c r="BF708" s="78"/>
      <c r="BG708" s="78"/>
      <c r="BH708" s="78"/>
      <c r="BI708" s="78"/>
      <c r="BJ708" s="78"/>
      <c r="BK708" s="78"/>
      <c r="BL708" s="78"/>
      <c r="BM708" s="78"/>
      <c r="BN708" s="78"/>
      <c r="BO708" s="78"/>
      <c r="BP708" s="78"/>
      <c r="BQ708" s="78"/>
      <c r="BR708" s="78"/>
      <c r="BS708" s="78"/>
      <c r="BT708" s="78"/>
      <c r="BU708" s="78"/>
      <c r="BV708" s="78"/>
      <c r="BW708" s="78"/>
      <c r="BX708" s="78"/>
      <c r="BY708" s="78"/>
      <c r="BZ708" s="78"/>
      <c r="CA708" s="78"/>
      <c r="CB708" s="78"/>
      <c r="CC708" s="78"/>
      <c r="CD708" s="78"/>
      <c r="CE708" s="78"/>
      <c r="CF708" s="78"/>
      <c r="CG708" s="78"/>
      <c r="CH708" s="78"/>
      <c r="CI708" s="78"/>
      <c r="CJ708" s="78"/>
      <c r="CK708" s="78"/>
      <c r="CL708" s="78"/>
      <c r="CM708" s="78"/>
      <c r="CN708" s="78"/>
      <c r="CO708" s="78"/>
      <c r="CP708" s="78"/>
      <c r="CQ708" s="78"/>
      <c r="CR708" s="78"/>
      <c r="CS708" s="78"/>
      <c r="CT708" s="78"/>
      <c r="CU708" s="78"/>
      <c r="CV708" s="78"/>
      <c r="CW708" s="78"/>
      <c r="CX708" s="78"/>
      <c r="CY708" s="78"/>
      <c r="CZ708" s="78"/>
      <c r="DA708" s="78"/>
      <c r="DB708" s="78"/>
      <c r="DC708" s="78"/>
      <c r="DD708" s="78"/>
      <c r="DE708" s="78"/>
      <c r="DF708" s="78"/>
      <c r="DG708" s="78"/>
      <c r="DH708" s="78"/>
      <c r="DI708" s="78"/>
      <c r="DJ708" s="78"/>
      <c r="DK708" s="78"/>
      <c r="DL708" s="78"/>
      <c r="DM708" s="78"/>
      <c r="DN708" s="78"/>
      <c r="DO708" s="78"/>
      <c r="DP708" s="78"/>
      <c r="DQ708" s="78"/>
      <c r="DR708" s="78"/>
      <c r="DS708" s="78"/>
      <c r="DT708" s="78"/>
      <c r="DU708" s="78"/>
      <c r="DV708" s="78"/>
      <c r="DW708" s="78"/>
      <c r="DX708" s="78"/>
      <c r="DY708" s="78"/>
      <c r="DZ708" s="78"/>
      <c r="EA708" s="78"/>
      <c r="EB708" s="78"/>
      <c r="EC708" s="78"/>
      <c r="ED708" s="78"/>
      <c r="EE708" s="78"/>
      <c r="EF708" s="78"/>
      <c r="EG708" s="78"/>
      <c r="EH708" s="78"/>
      <c r="EI708" s="78"/>
      <c r="EJ708" s="78"/>
      <c r="EK708" s="78"/>
      <c r="EL708" s="78"/>
      <c r="EM708" s="78"/>
      <c r="EN708" s="91"/>
      <c r="EO708" s="91"/>
      <c r="EP708" s="91"/>
      <c r="EQ708" s="91"/>
      <c r="ER708" s="91"/>
      <c r="ES708" s="91"/>
    </row>
    <row r="709" spans="1:149" outlineLevel="1">
      <c r="A709" s="29" t="str">
        <f t="shared" si="348"/>
        <v>lt002_instrumenttyp_instrmnt</v>
      </c>
      <c r="B709" s="67" t="s">
        <v>26</v>
      </c>
      <c r="C709" s="68" t="s">
        <v>26</v>
      </c>
      <c r="D709" s="64" t="s">
        <v>40</v>
      </c>
      <c r="E709" s="70" t="s">
        <v>379</v>
      </c>
      <c r="F709" s="71" t="s">
        <v>406</v>
      </c>
      <c r="G709" s="64" t="str">
        <f>INDEX(Auxiliar!$B$16:$B$24,MATCH(Plano_V3!H709,Auxiliar!$C$16:$C$24,0),1)</f>
        <v>1. Concluído</v>
      </c>
      <c r="H709" s="64">
        <f>VLOOKUP(A709,'Aux - pivots1'!$A:$B,2,0)</f>
        <v>1</v>
      </c>
      <c r="I709" s="172">
        <f>SUMIFS(Table1[Estimação (horas)],Table1[Tabela],Plano_V3!E709,Table1[Campo],Plano_V3!F709)</f>
        <v>0.1</v>
      </c>
      <c r="J709" s="172">
        <f t="shared" si="369"/>
        <v>1.2500000000000001E-2</v>
      </c>
      <c r="K709" s="172">
        <f>SUMIFS(Table1[Horas efetivas],Table1[Tabela],Plano_V3!E709,Table1[Campo],Plano_V3!F709)</f>
        <v>0.1</v>
      </c>
      <c r="L709" s="172">
        <f t="shared" si="370"/>
        <v>1.2500000000000001E-2</v>
      </c>
      <c r="M709" s="174"/>
      <c r="N709" s="174">
        <f t="shared" si="371"/>
        <v>1</v>
      </c>
      <c r="O709" s="174"/>
      <c r="P709" s="89" t="s">
        <v>399</v>
      </c>
      <c r="R709" s="78"/>
      <c r="S709" s="78"/>
      <c r="T709" s="78"/>
      <c r="U709" s="78"/>
      <c r="V709" s="78"/>
      <c r="W709" s="78"/>
      <c r="X709" s="78"/>
      <c r="Y709" s="78"/>
      <c r="Z709" s="78"/>
      <c r="AA709" s="78"/>
      <c r="AB709" s="78"/>
      <c r="AC709" s="78"/>
      <c r="AD709" s="78"/>
      <c r="AE709" s="78"/>
      <c r="AF709" s="78"/>
      <c r="AG709" s="78"/>
      <c r="AH709" s="78"/>
      <c r="AI709" s="78"/>
      <c r="AJ709" s="78"/>
      <c r="AK709" s="78"/>
      <c r="AL709" s="78"/>
      <c r="AM709" s="78"/>
      <c r="AN709" s="78"/>
      <c r="AO709" s="78"/>
      <c r="AP709" s="78"/>
      <c r="AQ709" s="78"/>
      <c r="AR709" s="78"/>
      <c r="AS709" s="78"/>
      <c r="AT709" s="78"/>
      <c r="AU709" s="78"/>
      <c r="AV709" s="78"/>
      <c r="AW709" s="78"/>
      <c r="AX709" s="78"/>
      <c r="AY709" s="91"/>
      <c r="AZ709" s="78"/>
      <c r="BA709" s="78"/>
      <c r="BB709" s="78"/>
      <c r="BC709" s="78"/>
      <c r="BD709" s="78"/>
      <c r="BE709" s="78"/>
      <c r="BF709" s="78"/>
      <c r="BG709" s="78"/>
      <c r="BH709" s="78"/>
      <c r="BI709" s="78"/>
      <c r="BJ709" s="78"/>
      <c r="BK709" s="78"/>
      <c r="BL709" s="78"/>
      <c r="BM709" s="78"/>
      <c r="BN709" s="78"/>
      <c r="BO709" s="78"/>
      <c r="BP709" s="78"/>
      <c r="BQ709" s="78"/>
      <c r="BR709" s="78"/>
      <c r="BS709" s="78"/>
      <c r="BT709" s="78"/>
      <c r="BU709" s="78"/>
      <c r="BV709" s="78"/>
      <c r="BW709" s="78"/>
      <c r="BX709" s="78"/>
      <c r="BY709" s="78"/>
      <c r="BZ709" s="78"/>
      <c r="CA709" s="78"/>
      <c r="CB709" s="78"/>
      <c r="CC709" s="78"/>
      <c r="CD709" s="78"/>
      <c r="CE709" s="78"/>
      <c r="CF709" s="78"/>
      <c r="CG709" s="78"/>
      <c r="CH709" s="78"/>
      <c r="CI709" s="78"/>
      <c r="CJ709" s="78"/>
      <c r="CK709" s="78"/>
      <c r="CL709" s="78"/>
      <c r="CM709" s="78"/>
      <c r="CN709" s="78"/>
      <c r="CO709" s="78"/>
      <c r="CP709" s="78"/>
      <c r="CQ709" s="78"/>
      <c r="CR709" s="78"/>
      <c r="CS709" s="78"/>
      <c r="CT709" s="78"/>
      <c r="CU709" s="78"/>
      <c r="CV709" s="78"/>
      <c r="CW709" s="78"/>
      <c r="CX709" s="78"/>
      <c r="CY709" s="78"/>
      <c r="CZ709" s="78"/>
      <c r="DA709" s="78"/>
      <c r="DB709" s="78"/>
      <c r="DC709" s="78"/>
      <c r="DD709" s="78"/>
      <c r="DE709" s="78"/>
      <c r="DF709" s="78"/>
      <c r="DG709" s="78"/>
      <c r="DH709" s="78"/>
      <c r="DI709" s="78"/>
      <c r="DJ709" s="78"/>
      <c r="DK709" s="78"/>
      <c r="DL709" s="78"/>
      <c r="DM709" s="78"/>
      <c r="DN709" s="78"/>
      <c r="DO709" s="78"/>
      <c r="DP709" s="78"/>
      <c r="DQ709" s="78"/>
      <c r="DR709" s="78"/>
      <c r="DS709" s="78"/>
      <c r="DT709" s="78"/>
      <c r="DU709" s="78"/>
      <c r="DV709" s="78"/>
      <c r="DW709" s="78"/>
      <c r="DX709" s="78"/>
      <c r="DY709" s="78"/>
      <c r="DZ709" s="78"/>
      <c r="EA709" s="78"/>
      <c r="EB709" s="78"/>
      <c r="EC709" s="78"/>
      <c r="ED709" s="78"/>
      <c r="EE709" s="78"/>
      <c r="EF709" s="78"/>
      <c r="EG709" s="78"/>
      <c r="EH709" s="78"/>
      <c r="EI709" s="78"/>
      <c r="EJ709" s="78"/>
      <c r="EK709" s="78"/>
      <c r="EL709" s="78"/>
      <c r="EM709" s="78"/>
      <c r="EN709" s="91"/>
      <c r="EO709" s="91"/>
      <c r="EP709" s="91"/>
      <c r="EQ709" s="91"/>
      <c r="ER709" s="91"/>
      <c r="ES709" s="91"/>
    </row>
    <row r="710" spans="1:149" outlineLevel="1">
      <c r="A710" s="29" t="str">
        <f t="shared" si="348"/>
        <v>lt002_instrumentgrss_crryng_amnt_instrmnt</v>
      </c>
      <c r="B710" s="67" t="s">
        <v>26</v>
      </c>
      <c r="C710" s="68" t="s">
        <v>26</v>
      </c>
      <c r="D710" s="64" t="s">
        <v>40</v>
      </c>
      <c r="E710" s="70" t="s">
        <v>379</v>
      </c>
      <c r="F710" s="71" t="s">
        <v>407</v>
      </c>
      <c r="G710" s="64" t="str">
        <f>INDEX(Auxiliar!$B$16:$B$24,MATCH(Plano_V3!H710,Auxiliar!$C$16:$C$24,0),1)</f>
        <v>1. Concluído</v>
      </c>
      <c r="H710" s="64">
        <f>VLOOKUP(A710,'Aux - pivots1'!$A:$B,2,0)</f>
        <v>1</v>
      </c>
      <c r="I710" s="172">
        <f>SUMIFS(Table1[Estimação (horas)],Table1[Tabela],Plano_V3!E710,Table1[Campo],Plano_V3!F710)</f>
        <v>0.1</v>
      </c>
      <c r="J710" s="172">
        <f t="shared" si="369"/>
        <v>1.2500000000000001E-2</v>
      </c>
      <c r="K710" s="172">
        <f>SUMIFS(Table1[Horas efetivas],Table1[Tabela],Plano_V3!E710,Table1[Campo],Plano_V3!F710)</f>
        <v>0.1</v>
      </c>
      <c r="L710" s="172">
        <f t="shared" si="370"/>
        <v>1.2500000000000001E-2</v>
      </c>
      <c r="M710" s="174"/>
      <c r="N710" s="174">
        <f t="shared" si="371"/>
        <v>1</v>
      </c>
      <c r="O710" s="174"/>
      <c r="P710" s="89" t="s">
        <v>399</v>
      </c>
      <c r="R710" s="78"/>
      <c r="S710" s="78"/>
      <c r="T710" s="78"/>
      <c r="U710" s="78"/>
      <c r="V710" s="78"/>
      <c r="W710" s="78"/>
      <c r="X710" s="78"/>
      <c r="Y710" s="78"/>
      <c r="Z710" s="78"/>
      <c r="AA710" s="78"/>
      <c r="AB710" s="78"/>
      <c r="AC710" s="78"/>
      <c r="AD710" s="78"/>
      <c r="AE710" s="78"/>
      <c r="AF710" s="78"/>
      <c r="AG710" s="78"/>
      <c r="AH710" s="78"/>
      <c r="AI710" s="78"/>
      <c r="AJ710" s="78"/>
      <c r="AK710" s="78"/>
      <c r="AL710" s="78"/>
      <c r="AM710" s="78"/>
      <c r="AN710" s="78"/>
      <c r="AO710" s="78"/>
      <c r="AP710" s="78"/>
      <c r="AQ710" s="78"/>
      <c r="AR710" s="78"/>
      <c r="AS710" s="78"/>
      <c r="AT710" s="78"/>
      <c r="AU710" s="78"/>
      <c r="AV710" s="78"/>
      <c r="AW710" s="78"/>
      <c r="AX710" s="78"/>
      <c r="AY710" s="91"/>
      <c r="AZ710" s="78"/>
      <c r="BA710" s="78"/>
      <c r="BB710" s="78"/>
      <c r="BC710" s="78"/>
      <c r="BD710" s="78"/>
      <c r="BE710" s="78"/>
      <c r="BF710" s="78"/>
      <c r="BG710" s="78"/>
      <c r="BH710" s="78"/>
      <c r="BI710" s="78"/>
      <c r="BJ710" s="78"/>
      <c r="BK710" s="78"/>
      <c r="BL710" s="78"/>
      <c r="BM710" s="78"/>
      <c r="BN710" s="78"/>
      <c r="BO710" s="78"/>
      <c r="BP710" s="78"/>
      <c r="BQ710" s="78"/>
      <c r="BR710" s="78"/>
      <c r="BS710" s="78"/>
      <c r="BT710" s="78"/>
      <c r="BU710" s="78"/>
      <c r="BV710" s="78"/>
      <c r="BW710" s="78"/>
      <c r="BX710" s="78"/>
      <c r="BY710" s="78"/>
      <c r="BZ710" s="78"/>
      <c r="CA710" s="78"/>
      <c r="CB710" s="78"/>
      <c r="CC710" s="78"/>
      <c r="CD710" s="78"/>
      <c r="CE710" s="78"/>
      <c r="CF710" s="78"/>
      <c r="CG710" s="78"/>
      <c r="CH710" s="78"/>
      <c r="CI710" s="78"/>
      <c r="CJ710" s="78"/>
      <c r="CK710" s="78"/>
      <c r="CL710" s="78"/>
      <c r="CM710" s="78"/>
      <c r="CN710" s="78"/>
      <c r="CO710" s="78"/>
      <c r="CP710" s="78"/>
      <c r="CQ710" s="78"/>
      <c r="CR710" s="78"/>
      <c r="CS710" s="78"/>
      <c r="CT710" s="78"/>
      <c r="CU710" s="78"/>
      <c r="CV710" s="78"/>
      <c r="CW710" s="78"/>
      <c r="CX710" s="78"/>
      <c r="CY710" s="78"/>
      <c r="CZ710" s="78"/>
      <c r="DA710" s="78"/>
      <c r="DB710" s="78"/>
      <c r="DC710" s="78"/>
      <c r="DD710" s="78"/>
      <c r="DE710" s="78"/>
      <c r="DF710" s="78"/>
      <c r="DG710" s="78"/>
      <c r="DH710" s="78"/>
      <c r="DI710" s="78"/>
      <c r="DJ710" s="78"/>
      <c r="DK710" s="78"/>
      <c r="DL710" s="78"/>
      <c r="DM710" s="78"/>
      <c r="DN710" s="78"/>
      <c r="DO710" s="78"/>
      <c r="DP710" s="78"/>
      <c r="DQ710" s="78"/>
      <c r="DR710" s="78"/>
      <c r="DS710" s="78"/>
      <c r="DT710" s="78"/>
      <c r="DU710" s="78"/>
      <c r="DV710" s="78"/>
      <c r="DW710" s="78"/>
      <c r="DX710" s="78"/>
      <c r="DY710" s="78"/>
      <c r="DZ710" s="78"/>
      <c r="EA710" s="78"/>
      <c r="EB710" s="78"/>
      <c r="EC710" s="78"/>
      <c r="ED710" s="78"/>
      <c r="EE710" s="78"/>
      <c r="EF710" s="78"/>
      <c r="EG710" s="78"/>
      <c r="EH710" s="78"/>
      <c r="EI710" s="78"/>
      <c r="EJ710" s="78"/>
      <c r="EK710" s="78"/>
      <c r="EL710" s="78"/>
      <c r="EM710" s="78"/>
      <c r="EN710" s="91"/>
      <c r="EO710" s="91"/>
      <c r="EP710" s="91"/>
      <c r="EQ710" s="91"/>
      <c r="ER710" s="91"/>
      <c r="ES710" s="91"/>
    </row>
    <row r="711" spans="1:149" outlineLevel="1">
      <c r="A711" s="29" t="str">
        <f t="shared" si="348"/>
        <v>lt002_instrumentaccmltd_chngs_fv_cr_instrmnt</v>
      </c>
      <c r="B711" s="67" t="s">
        <v>26</v>
      </c>
      <c r="C711" s="68" t="s">
        <v>26</v>
      </c>
      <c r="D711" s="64" t="s">
        <v>40</v>
      </c>
      <c r="E711" s="70" t="s">
        <v>379</v>
      </c>
      <c r="F711" s="71" t="s">
        <v>408</v>
      </c>
      <c r="G711" s="64" t="str">
        <f>INDEX(Auxiliar!$B$16:$B$24,MATCH(Plano_V3!H711,Auxiliar!$C$16:$C$24,0),1)</f>
        <v>1. Concluído</v>
      </c>
      <c r="H711" s="64">
        <f>VLOOKUP(A711,'Aux - pivots1'!$A:$B,2,0)</f>
        <v>1</v>
      </c>
      <c r="I711" s="172">
        <f>SUMIFS(Table1[Estimação (horas)],Table1[Tabela],Plano_V3!E711,Table1[Campo],Plano_V3!F711)</f>
        <v>0.1</v>
      </c>
      <c r="J711" s="172">
        <f t="shared" si="369"/>
        <v>1.2500000000000001E-2</v>
      </c>
      <c r="K711" s="172">
        <f>SUMIFS(Table1[Horas efetivas],Table1[Tabela],Plano_V3!E711,Table1[Campo],Plano_V3!F711)</f>
        <v>0.1</v>
      </c>
      <c r="L711" s="172">
        <f t="shared" si="370"/>
        <v>1.2500000000000001E-2</v>
      </c>
      <c r="M711" s="174"/>
      <c r="N711" s="174">
        <f t="shared" si="371"/>
        <v>1</v>
      </c>
      <c r="O711" s="174"/>
      <c r="P711" s="89" t="s">
        <v>399</v>
      </c>
      <c r="R711" s="78"/>
      <c r="S711" s="78"/>
      <c r="T711" s="78"/>
      <c r="U711" s="78"/>
      <c r="V711" s="78"/>
      <c r="W711" s="78"/>
      <c r="X711" s="78"/>
      <c r="Y711" s="78"/>
      <c r="Z711" s="78"/>
      <c r="AA711" s="78"/>
      <c r="AB711" s="78"/>
      <c r="AC711" s="78"/>
      <c r="AD711" s="78"/>
      <c r="AE711" s="78"/>
      <c r="AF711" s="78"/>
      <c r="AG711" s="78"/>
      <c r="AH711" s="78"/>
      <c r="AI711" s="78"/>
      <c r="AJ711" s="78"/>
      <c r="AK711" s="78"/>
      <c r="AL711" s="78"/>
      <c r="AM711" s="78"/>
      <c r="AN711" s="78"/>
      <c r="AO711" s="78"/>
      <c r="AP711" s="78"/>
      <c r="AQ711" s="78"/>
      <c r="AR711" s="78"/>
      <c r="AS711" s="78"/>
      <c r="AT711" s="78"/>
      <c r="AU711" s="78"/>
      <c r="AV711" s="78"/>
      <c r="AW711" s="78"/>
      <c r="AX711" s="78"/>
      <c r="AY711" s="91"/>
      <c r="AZ711" s="78"/>
      <c r="BA711" s="78"/>
      <c r="BB711" s="78"/>
      <c r="BC711" s="78"/>
      <c r="BD711" s="78"/>
      <c r="BE711" s="78"/>
      <c r="BF711" s="78"/>
      <c r="BG711" s="78"/>
      <c r="BH711" s="78"/>
      <c r="BI711" s="78"/>
      <c r="BJ711" s="78"/>
      <c r="BK711" s="78"/>
      <c r="BL711" s="78"/>
      <c r="BM711" s="78"/>
      <c r="BN711" s="78"/>
      <c r="BO711" s="78"/>
      <c r="BP711" s="78"/>
      <c r="BQ711" s="78"/>
      <c r="BR711" s="78"/>
      <c r="BS711" s="78"/>
      <c r="BT711" s="78"/>
      <c r="BU711" s="78"/>
      <c r="BV711" s="78"/>
      <c r="BW711" s="78"/>
      <c r="BX711" s="78"/>
      <c r="BY711" s="78"/>
      <c r="BZ711" s="78"/>
      <c r="CA711" s="78"/>
      <c r="CB711" s="78"/>
      <c r="CC711" s="78"/>
      <c r="CD711" s="78"/>
      <c r="CE711" s="78"/>
      <c r="CF711" s="78"/>
      <c r="CG711" s="78"/>
      <c r="CH711" s="78"/>
      <c r="CI711" s="78"/>
      <c r="CJ711" s="78"/>
      <c r="CK711" s="78"/>
      <c r="CL711" s="78"/>
      <c r="CM711" s="78"/>
      <c r="CN711" s="78"/>
      <c r="CO711" s="78"/>
      <c r="CP711" s="78"/>
      <c r="CQ711" s="78"/>
      <c r="CR711" s="78"/>
      <c r="CS711" s="78"/>
      <c r="CT711" s="78"/>
      <c r="CU711" s="78"/>
      <c r="CV711" s="78"/>
      <c r="CW711" s="78"/>
      <c r="CX711" s="78"/>
      <c r="CY711" s="78"/>
      <c r="CZ711" s="78"/>
      <c r="DA711" s="78"/>
      <c r="DB711" s="78"/>
      <c r="DC711" s="78"/>
      <c r="DD711" s="78"/>
      <c r="DE711" s="78"/>
      <c r="DF711" s="78"/>
      <c r="DG711" s="78"/>
      <c r="DH711" s="78"/>
      <c r="DI711" s="78"/>
      <c r="DJ711" s="78"/>
      <c r="DK711" s="78"/>
      <c r="DL711" s="78"/>
      <c r="DM711" s="78"/>
      <c r="DN711" s="78"/>
      <c r="DO711" s="78"/>
      <c r="DP711" s="78"/>
      <c r="DQ711" s="78"/>
      <c r="DR711" s="78"/>
      <c r="DS711" s="78"/>
      <c r="DT711" s="78"/>
      <c r="DU711" s="78"/>
      <c r="DV711" s="78"/>
      <c r="DW711" s="78"/>
      <c r="DX711" s="78"/>
      <c r="DY711" s="78"/>
      <c r="DZ711" s="78"/>
      <c r="EA711" s="78"/>
      <c r="EB711" s="78"/>
      <c r="EC711" s="78"/>
      <c r="ED711" s="78"/>
      <c r="EE711" s="78"/>
      <c r="EF711" s="78"/>
      <c r="EG711" s="78"/>
      <c r="EH711" s="78"/>
      <c r="EI711" s="78"/>
      <c r="EJ711" s="78"/>
      <c r="EK711" s="78"/>
      <c r="EL711" s="78"/>
      <c r="EM711" s="78"/>
      <c r="EN711" s="91"/>
      <c r="EO711" s="91"/>
      <c r="EP711" s="91"/>
      <c r="EQ711" s="91"/>
      <c r="ER711" s="91"/>
      <c r="ES711" s="91"/>
    </row>
    <row r="712" spans="1:149" outlineLevel="1">
      <c r="A712" s="29" t="str">
        <f t="shared" si="348"/>
        <v>lt002_instrumentaccntng_clssfctn</v>
      </c>
      <c r="B712" s="67" t="s">
        <v>26</v>
      </c>
      <c r="C712" s="68" t="s">
        <v>26</v>
      </c>
      <c r="D712" s="64" t="s">
        <v>40</v>
      </c>
      <c r="E712" s="70" t="s">
        <v>379</v>
      </c>
      <c r="F712" s="71" t="s">
        <v>409</v>
      </c>
      <c r="G712" s="64" t="str">
        <f>INDEX(Auxiliar!$B$16:$B$24,MATCH(Plano_V3!H712,Auxiliar!$C$16:$C$24,0),1)</f>
        <v>1. Concluído</v>
      </c>
      <c r="H712" s="64">
        <f>VLOOKUP(A712,'Aux - pivots1'!$A:$B,2,0)</f>
        <v>1</v>
      </c>
      <c r="I712" s="172">
        <f>SUMIFS(Table1[Estimação (horas)],Table1[Tabela],Plano_V3!E712,Table1[Campo],Plano_V3!F712)</f>
        <v>0.1</v>
      </c>
      <c r="J712" s="172">
        <f t="shared" si="369"/>
        <v>1.2500000000000001E-2</v>
      </c>
      <c r="K712" s="172">
        <f>SUMIFS(Table1[Horas efetivas],Table1[Tabela],Plano_V3!E712,Table1[Campo],Plano_V3!F712)</f>
        <v>0.1</v>
      </c>
      <c r="L712" s="172">
        <f t="shared" si="370"/>
        <v>1.2500000000000001E-2</v>
      </c>
      <c r="M712" s="174"/>
      <c r="N712" s="174">
        <f t="shared" si="371"/>
        <v>1</v>
      </c>
      <c r="O712" s="174"/>
      <c r="P712" s="89" t="s">
        <v>399</v>
      </c>
      <c r="R712" s="78"/>
      <c r="S712" s="78"/>
      <c r="T712" s="78"/>
      <c r="U712" s="78"/>
      <c r="V712" s="78"/>
      <c r="W712" s="78"/>
      <c r="X712" s="78"/>
      <c r="Y712" s="78"/>
      <c r="Z712" s="78"/>
      <c r="AA712" s="78"/>
      <c r="AB712" s="78"/>
      <c r="AC712" s="78"/>
      <c r="AD712" s="78"/>
      <c r="AE712" s="78"/>
      <c r="AF712" s="78"/>
      <c r="AG712" s="78"/>
      <c r="AH712" s="78"/>
      <c r="AI712" s="78"/>
      <c r="AJ712" s="78"/>
      <c r="AK712" s="78"/>
      <c r="AL712" s="78"/>
      <c r="AM712" s="78"/>
      <c r="AN712" s="78"/>
      <c r="AO712" s="78"/>
      <c r="AP712" s="78"/>
      <c r="AQ712" s="78"/>
      <c r="AR712" s="78"/>
      <c r="AS712" s="78"/>
      <c r="AT712" s="78"/>
      <c r="AU712" s="78"/>
      <c r="AV712" s="78"/>
      <c r="AW712" s="78"/>
      <c r="AX712" s="78"/>
      <c r="AY712" s="91"/>
      <c r="AZ712" s="78"/>
      <c r="BA712" s="78"/>
      <c r="BB712" s="78"/>
      <c r="BC712" s="78"/>
      <c r="BD712" s="78"/>
      <c r="BE712" s="78"/>
      <c r="BF712" s="78"/>
      <c r="BG712" s="78"/>
      <c r="BH712" s="78"/>
      <c r="BI712" s="78"/>
      <c r="BJ712" s="78"/>
      <c r="BK712" s="78"/>
      <c r="BL712" s="78"/>
      <c r="BM712" s="78"/>
      <c r="BN712" s="78"/>
      <c r="BO712" s="78"/>
      <c r="BP712" s="78"/>
      <c r="BQ712" s="78"/>
      <c r="BR712" s="78"/>
      <c r="BS712" s="78"/>
      <c r="BT712" s="78"/>
      <c r="BU712" s="78"/>
      <c r="BV712" s="78"/>
      <c r="BW712" s="78"/>
      <c r="BX712" s="78"/>
      <c r="BY712" s="78"/>
      <c r="BZ712" s="78"/>
      <c r="CA712" s="78"/>
      <c r="CB712" s="78"/>
      <c r="CC712" s="78"/>
      <c r="CD712" s="78"/>
      <c r="CE712" s="78"/>
      <c r="CF712" s="78"/>
      <c r="CG712" s="78"/>
      <c r="CH712" s="78"/>
      <c r="CI712" s="78"/>
      <c r="CJ712" s="78"/>
      <c r="CK712" s="78"/>
      <c r="CL712" s="78"/>
      <c r="CM712" s="78"/>
      <c r="CN712" s="78"/>
      <c r="CO712" s="78"/>
      <c r="CP712" s="78"/>
      <c r="CQ712" s="78"/>
      <c r="CR712" s="78"/>
      <c r="CS712" s="78"/>
      <c r="CT712" s="78"/>
      <c r="CU712" s="78"/>
      <c r="CV712" s="78"/>
      <c r="CW712" s="78"/>
      <c r="CX712" s="78"/>
      <c r="CY712" s="78"/>
      <c r="CZ712" s="78"/>
      <c r="DA712" s="78"/>
      <c r="DB712" s="78"/>
      <c r="DC712" s="78"/>
      <c r="DD712" s="78"/>
      <c r="DE712" s="78"/>
      <c r="DF712" s="78"/>
      <c r="DG712" s="78"/>
      <c r="DH712" s="78"/>
      <c r="DI712" s="78"/>
      <c r="DJ712" s="78"/>
      <c r="DK712" s="78"/>
      <c r="DL712" s="78"/>
      <c r="DM712" s="78"/>
      <c r="DN712" s="78"/>
      <c r="DO712" s="78"/>
      <c r="DP712" s="78"/>
      <c r="DQ712" s="78"/>
      <c r="DR712" s="78"/>
      <c r="DS712" s="78"/>
      <c r="DT712" s="78"/>
      <c r="DU712" s="78"/>
      <c r="DV712" s="78"/>
      <c r="DW712" s="78"/>
      <c r="DX712" s="78"/>
      <c r="DY712" s="78"/>
      <c r="DZ712" s="78"/>
      <c r="EA712" s="78"/>
      <c r="EB712" s="78"/>
      <c r="EC712" s="78"/>
      <c r="ED712" s="78"/>
      <c r="EE712" s="78"/>
      <c r="EF712" s="78"/>
      <c r="EG712" s="78"/>
      <c r="EH712" s="78"/>
      <c r="EI712" s="78"/>
      <c r="EJ712" s="78"/>
      <c r="EK712" s="78"/>
      <c r="EL712" s="78"/>
      <c r="EM712" s="78"/>
      <c r="EN712" s="91"/>
      <c r="EO712" s="91"/>
      <c r="EP712" s="91"/>
      <c r="EQ712" s="91"/>
      <c r="ER712" s="91"/>
      <c r="ES712" s="91"/>
    </row>
    <row r="713" spans="1:149" outlineLevel="1">
      <c r="A713" s="29" t="str">
        <f t="shared" si="348"/>
        <v>lt002_instrumentdt_lgl_fnl_mtrty</v>
      </c>
      <c r="B713" s="67" t="s">
        <v>26</v>
      </c>
      <c r="C713" s="68" t="s">
        <v>26</v>
      </c>
      <c r="D713" s="64" t="s">
        <v>40</v>
      </c>
      <c r="E713" s="70" t="s">
        <v>379</v>
      </c>
      <c r="F713" s="71" t="s">
        <v>410</v>
      </c>
      <c r="G713" s="64" t="str">
        <f>INDEX(Auxiliar!$B$16:$B$24,MATCH(Plano_V3!H713,Auxiliar!$C$16:$C$24,0),1)</f>
        <v>1. Concluído</v>
      </c>
      <c r="H713" s="64">
        <f>VLOOKUP(A713,'Aux - pivots1'!$A:$B,2,0)</f>
        <v>1</v>
      </c>
      <c r="I713" s="172">
        <f>SUMIFS(Table1[Estimação (horas)],Table1[Tabela],Plano_V3!E713,Table1[Campo],Plano_V3!F713)</f>
        <v>0.1</v>
      </c>
      <c r="J713" s="172">
        <f t="shared" si="369"/>
        <v>1.2500000000000001E-2</v>
      </c>
      <c r="K713" s="172">
        <f>SUMIFS(Table1[Horas efetivas],Table1[Tabela],Plano_V3!E713,Table1[Campo],Plano_V3!F713)</f>
        <v>0.1</v>
      </c>
      <c r="L713" s="172">
        <f t="shared" si="370"/>
        <v>1.2500000000000001E-2</v>
      </c>
      <c r="M713" s="174"/>
      <c r="N713" s="174">
        <f t="shared" si="371"/>
        <v>1</v>
      </c>
      <c r="O713" s="174"/>
      <c r="P713" s="89" t="s">
        <v>399</v>
      </c>
      <c r="R713" s="78"/>
      <c r="S713" s="78"/>
      <c r="T713" s="78"/>
      <c r="U713" s="78"/>
      <c r="V713" s="78"/>
      <c r="W713" s="78"/>
      <c r="X713" s="78"/>
      <c r="Y713" s="78"/>
      <c r="Z713" s="78"/>
      <c r="AA713" s="78"/>
      <c r="AB713" s="78"/>
      <c r="AC713" s="78"/>
      <c r="AD713" s="78"/>
      <c r="AE713" s="78"/>
      <c r="AF713" s="78"/>
      <c r="AG713" s="78"/>
      <c r="AH713" s="78"/>
      <c r="AI713" s="78"/>
      <c r="AJ713" s="78"/>
      <c r="AK713" s="78"/>
      <c r="AL713" s="78"/>
      <c r="AM713" s="78"/>
      <c r="AN713" s="78"/>
      <c r="AO713" s="78"/>
      <c r="AP713" s="78"/>
      <c r="AQ713" s="78"/>
      <c r="AR713" s="78"/>
      <c r="AS713" s="78"/>
      <c r="AT713" s="78"/>
      <c r="AU713" s="78"/>
      <c r="AV713" s="78"/>
      <c r="AW713" s="78"/>
      <c r="AX713" s="78"/>
      <c r="AY713" s="91"/>
      <c r="AZ713" s="78"/>
      <c r="BA713" s="78"/>
      <c r="BB713" s="78"/>
      <c r="BC713" s="78"/>
      <c r="BD713" s="78"/>
      <c r="BE713" s="78"/>
      <c r="BF713" s="78"/>
      <c r="BG713" s="78"/>
      <c r="BH713" s="78"/>
      <c r="BI713" s="78"/>
      <c r="BJ713" s="78"/>
      <c r="BK713" s="78"/>
      <c r="BL713" s="78"/>
      <c r="BM713" s="78"/>
      <c r="BN713" s="78"/>
      <c r="BO713" s="78"/>
      <c r="BP713" s="78"/>
      <c r="BQ713" s="78"/>
      <c r="BR713" s="78"/>
      <c r="BS713" s="78"/>
      <c r="BT713" s="78"/>
      <c r="BU713" s="78"/>
      <c r="BV713" s="78"/>
      <c r="BW713" s="78"/>
      <c r="BX713" s="78"/>
      <c r="BY713" s="78"/>
      <c r="BZ713" s="78"/>
      <c r="CA713" s="78"/>
      <c r="CB713" s="78"/>
      <c r="CC713" s="78"/>
      <c r="CD713" s="78"/>
      <c r="CE713" s="78"/>
      <c r="CF713" s="78"/>
      <c r="CG713" s="78"/>
      <c r="CH713" s="78"/>
      <c r="CI713" s="78"/>
      <c r="CJ713" s="78"/>
      <c r="CK713" s="78"/>
      <c r="CL713" s="78"/>
      <c r="CM713" s="78"/>
      <c r="CN713" s="78"/>
      <c r="CO713" s="78"/>
      <c r="CP713" s="78"/>
      <c r="CQ713" s="78"/>
      <c r="CR713" s="78"/>
      <c r="CS713" s="78"/>
      <c r="CT713" s="78"/>
      <c r="CU713" s="78"/>
      <c r="CV713" s="78"/>
      <c r="CW713" s="78"/>
      <c r="CX713" s="78"/>
      <c r="CY713" s="78"/>
      <c r="CZ713" s="78"/>
      <c r="DA713" s="78"/>
      <c r="DB713" s="78"/>
      <c r="DC713" s="78"/>
      <c r="DD713" s="78"/>
      <c r="DE713" s="78"/>
      <c r="DF713" s="78"/>
      <c r="DG713" s="78"/>
      <c r="DH713" s="78"/>
      <c r="DI713" s="78"/>
      <c r="DJ713" s="78"/>
      <c r="DK713" s="78"/>
      <c r="DL713" s="78"/>
      <c r="DM713" s="78"/>
      <c r="DN713" s="78"/>
      <c r="DO713" s="78"/>
      <c r="DP713" s="78"/>
      <c r="DQ713" s="78"/>
      <c r="DR713" s="78"/>
      <c r="DS713" s="78"/>
      <c r="DT713" s="78"/>
      <c r="DU713" s="78"/>
      <c r="DV713" s="78"/>
      <c r="DW713" s="78"/>
      <c r="DX713" s="78"/>
      <c r="DY713" s="78"/>
      <c r="DZ713" s="78"/>
      <c r="EA713" s="78"/>
      <c r="EB713" s="78"/>
      <c r="EC713" s="78"/>
      <c r="ED713" s="78"/>
      <c r="EE713" s="78"/>
      <c r="EF713" s="78"/>
      <c r="EG713" s="78"/>
      <c r="EH713" s="78"/>
      <c r="EI713" s="78"/>
      <c r="EJ713" s="78"/>
      <c r="EK713" s="78"/>
      <c r="EL713" s="78"/>
      <c r="EM713" s="78"/>
      <c r="EN713" s="91"/>
      <c r="EO713" s="91"/>
      <c r="EP713" s="91"/>
      <c r="EQ713" s="91"/>
      <c r="ER713" s="91"/>
      <c r="ES713" s="91"/>
    </row>
    <row r="714" spans="1:149" outlineLevel="1">
      <c r="A714" s="29" t="str">
        <f t="shared" si="348"/>
        <v>lt002_instrumentaccmltd_imprmnt_instrmnt</v>
      </c>
      <c r="B714" s="67" t="s">
        <v>26</v>
      </c>
      <c r="C714" s="68" t="s">
        <v>26</v>
      </c>
      <c r="D714" s="64" t="s">
        <v>40</v>
      </c>
      <c r="E714" s="70" t="s">
        <v>379</v>
      </c>
      <c r="F714" s="71" t="s">
        <v>411</v>
      </c>
      <c r="G714" s="64" t="str">
        <f>INDEX(Auxiliar!$B$16:$B$24,MATCH(Plano_V3!H714,Auxiliar!$C$16:$C$24,0),1)</f>
        <v>1. Concluído</v>
      </c>
      <c r="H714" s="64">
        <f>VLOOKUP(A714,'Aux - pivots1'!$A:$B,2,0)</f>
        <v>1</v>
      </c>
      <c r="I714" s="172">
        <f>SUMIFS(Table1[Estimação (horas)],Table1[Tabela],Plano_V3!E714,Table1[Campo],Plano_V3!F714)</f>
        <v>0.1</v>
      </c>
      <c r="J714" s="172">
        <f t="shared" si="369"/>
        <v>1.2500000000000001E-2</v>
      </c>
      <c r="K714" s="172">
        <f>SUMIFS(Table1[Horas efetivas],Table1[Tabela],Plano_V3!E714,Table1[Campo],Plano_V3!F714)</f>
        <v>0.1</v>
      </c>
      <c r="L714" s="172">
        <f t="shared" si="370"/>
        <v>1.2500000000000001E-2</v>
      </c>
      <c r="M714" s="174"/>
      <c r="N714" s="174">
        <f t="shared" si="371"/>
        <v>1</v>
      </c>
      <c r="O714" s="174"/>
      <c r="P714" s="89" t="s">
        <v>399</v>
      </c>
      <c r="R714" s="78"/>
      <c r="S714" s="78"/>
      <c r="T714" s="78"/>
      <c r="U714" s="78"/>
      <c r="V714" s="78"/>
      <c r="W714" s="78"/>
      <c r="X714" s="78"/>
      <c r="Y714" s="78"/>
      <c r="Z714" s="78"/>
      <c r="AA714" s="78"/>
      <c r="AB714" s="78"/>
      <c r="AC714" s="78"/>
      <c r="AD714" s="78"/>
      <c r="AE714" s="78"/>
      <c r="AF714" s="78"/>
      <c r="AG714" s="78"/>
      <c r="AH714" s="78"/>
      <c r="AI714" s="78"/>
      <c r="AJ714" s="78"/>
      <c r="AK714" s="78"/>
      <c r="AL714" s="78"/>
      <c r="AM714" s="78"/>
      <c r="AN714" s="78"/>
      <c r="AO714" s="78"/>
      <c r="AP714" s="78"/>
      <c r="AQ714" s="78"/>
      <c r="AR714" s="78"/>
      <c r="AS714" s="78"/>
      <c r="AT714" s="78"/>
      <c r="AU714" s="78"/>
      <c r="AV714" s="78"/>
      <c r="AW714" s="78"/>
      <c r="AX714" s="78"/>
      <c r="AY714" s="91"/>
      <c r="AZ714" s="78"/>
      <c r="BA714" s="78"/>
      <c r="BB714" s="78"/>
      <c r="BC714" s="78"/>
      <c r="BD714" s="78"/>
      <c r="BE714" s="78"/>
      <c r="BF714" s="78"/>
      <c r="BG714" s="78"/>
      <c r="BH714" s="78"/>
      <c r="BI714" s="78"/>
      <c r="BJ714" s="78"/>
      <c r="BK714" s="78"/>
      <c r="BL714" s="78"/>
      <c r="BM714" s="78"/>
      <c r="BN714" s="78"/>
      <c r="BO714" s="78"/>
      <c r="BP714" s="78"/>
      <c r="BQ714" s="78"/>
      <c r="BR714" s="78"/>
      <c r="BS714" s="78"/>
      <c r="BT714" s="78"/>
      <c r="BU714" s="78"/>
      <c r="BV714" s="78"/>
      <c r="BW714" s="78"/>
      <c r="BX714" s="78"/>
      <c r="BY714" s="78"/>
      <c r="BZ714" s="78"/>
      <c r="CA714" s="78"/>
      <c r="CB714" s="78"/>
      <c r="CC714" s="78"/>
      <c r="CD714" s="78"/>
      <c r="CE714" s="78"/>
      <c r="CF714" s="78"/>
      <c r="CG714" s="78"/>
      <c r="CH714" s="78"/>
      <c r="CI714" s="78"/>
      <c r="CJ714" s="78"/>
      <c r="CK714" s="78"/>
      <c r="CL714" s="78"/>
      <c r="CM714" s="78"/>
      <c r="CN714" s="78"/>
      <c r="CO714" s="78"/>
      <c r="CP714" s="78"/>
      <c r="CQ714" s="78"/>
      <c r="CR714" s="78"/>
      <c r="CS714" s="78"/>
      <c r="CT714" s="78"/>
      <c r="CU714" s="78"/>
      <c r="CV714" s="78"/>
      <c r="CW714" s="78"/>
      <c r="CX714" s="78"/>
      <c r="CY714" s="78"/>
      <c r="CZ714" s="78"/>
      <c r="DA714" s="78"/>
      <c r="DB714" s="78"/>
      <c r="DC714" s="78"/>
      <c r="DD714" s="78"/>
      <c r="DE714" s="78"/>
      <c r="DF714" s="78"/>
      <c r="DG714" s="78"/>
      <c r="DH714" s="78"/>
      <c r="DI714" s="78"/>
      <c r="DJ714" s="78"/>
      <c r="DK714" s="78"/>
      <c r="DL714" s="78"/>
      <c r="DM714" s="78"/>
      <c r="DN714" s="78"/>
      <c r="DO714" s="78"/>
      <c r="DP714" s="78"/>
      <c r="DQ714" s="78"/>
      <c r="DR714" s="78"/>
      <c r="DS714" s="78"/>
      <c r="DT714" s="78"/>
      <c r="DU714" s="78"/>
      <c r="DV714" s="78"/>
      <c r="DW714" s="78"/>
      <c r="DX714" s="78"/>
      <c r="DY714" s="78"/>
      <c r="DZ714" s="78"/>
      <c r="EA714" s="78"/>
      <c r="EB714" s="78"/>
      <c r="EC714" s="78"/>
      <c r="ED714" s="78"/>
      <c r="EE714" s="78"/>
      <c r="EF714" s="78"/>
      <c r="EG714" s="78"/>
      <c r="EH714" s="78"/>
      <c r="EI714" s="78"/>
      <c r="EJ714" s="78"/>
      <c r="EK714" s="78"/>
      <c r="EL714" s="78"/>
      <c r="EM714" s="78"/>
      <c r="EN714" s="91"/>
      <c r="EO714" s="91"/>
      <c r="EP714" s="91"/>
      <c r="EQ714" s="91"/>
      <c r="ER714" s="91"/>
      <c r="ES714" s="91"/>
    </row>
    <row r="715" spans="1:149" outlineLevel="1">
      <c r="A715" s="29" t="str">
        <f t="shared" si="348"/>
        <v>lt002_instrumentissr_cntry</v>
      </c>
      <c r="B715" s="67" t="s">
        <v>26</v>
      </c>
      <c r="C715" s="68" t="s">
        <v>26</v>
      </c>
      <c r="D715" s="64" t="s">
        <v>40</v>
      </c>
      <c r="E715" s="70" t="s">
        <v>379</v>
      </c>
      <c r="F715" s="71" t="s">
        <v>412</v>
      </c>
      <c r="G715" s="64" t="str">
        <f>INDEX(Auxiliar!$B$16:$B$24,MATCH(Plano_V3!H715,Auxiliar!$C$16:$C$24,0),1)</f>
        <v>1. Concluído</v>
      </c>
      <c r="H715" s="64">
        <f>VLOOKUP(A715,'Aux - pivots1'!$A:$B,2,0)</f>
        <v>1</v>
      </c>
      <c r="I715" s="172">
        <f>SUMIFS(Table1[Estimação (horas)],Table1[Tabela],Plano_V3!E715,Table1[Campo],Plano_V3!F715)</f>
        <v>0.1</v>
      </c>
      <c r="J715" s="172">
        <f t="shared" si="369"/>
        <v>1.2500000000000001E-2</v>
      </c>
      <c r="K715" s="172">
        <f>SUMIFS(Table1[Horas efetivas],Table1[Tabela],Plano_V3!E715,Table1[Campo],Plano_V3!F715)</f>
        <v>0.1</v>
      </c>
      <c r="L715" s="172">
        <f t="shared" si="370"/>
        <v>1.2500000000000001E-2</v>
      </c>
      <c r="M715" s="174"/>
      <c r="N715" s="174">
        <f t="shared" si="371"/>
        <v>1</v>
      </c>
      <c r="O715" s="174"/>
      <c r="P715" s="89" t="s">
        <v>399</v>
      </c>
      <c r="R715" s="78"/>
      <c r="S715" s="78"/>
      <c r="T715" s="78"/>
      <c r="U715" s="78"/>
      <c r="V715" s="78"/>
      <c r="W715" s="78"/>
      <c r="X715" s="78"/>
      <c r="Y715" s="78"/>
      <c r="Z715" s="78"/>
      <c r="AA715" s="78"/>
      <c r="AB715" s="78"/>
      <c r="AC715" s="78"/>
      <c r="AD715" s="78"/>
      <c r="AE715" s="78"/>
      <c r="AF715" s="78"/>
      <c r="AG715" s="78"/>
      <c r="AH715" s="78"/>
      <c r="AI715" s="78"/>
      <c r="AJ715" s="78"/>
      <c r="AK715" s="78"/>
      <c r="AL715" s="78"/>
      <c r="AM715" s="78"/>
      <c r="AN715" s="78"/>
      <c r="AO715" s="78"/>
      <c r="AP715" s="78"/>
      <c r="AQ715" s="78"/>
      <c r="AR715" s="78"/>
      <c r="AS715" s="78"/>
      <c r="AT715" s="78"/>
      <c r="AU715" s="78"/>
      <c r="AV715" s="78"/>
      <c r="AW715" s="78"/>
      <c r="AX715" s="78"/>
      <c r="AY715" s="91"/>
      <c r="AZ715" s="78"/>
      <c r="BA715" s="78"/>
      <c r="BB715" s="78"/>
      <c r="BC715" s="78"/>
      <c r="BD715" s="78"/>
      <c r="BE715" s="78"/>
      <c r="BF715" s="78"/>
      <c r="BG715" s="78"/>
      <c r="BH715" s="78"/>
      <c r="BI715" s="78"/>
      <c r="BJ715" s="78"/>
      <c r="BK715" s="78"/>
      <c r="BL715" s="78"/>
      <c r="BM715" s="78"/>
      <c r="BN715" s="78"/>
      <c r="BO715" s="78"/>
      <c r="BP715" s="78"/>
      <c r="BQ715" s="78"/>
      <c r="BR715" s="78"/>
      <c r="BS715" s="78"/>
      <c r="BT715" s="78"/>
      <c r="BU715" s="78"/>
      <c r="BV715" s="78"/>
      <c r="BW715" s="78"/>
      <c r="BX715" s="78"/>
      <c r="BY715" s="78"/>
      <c r="BZ715" s="78"/>
      <c r="CA715" s="78"/>
      <c r="CB715" s="78"/>
      <c r="CC715" s="78"/>
      <c r="CD715" s="78"/>
      <c r="CE715" s="78"/>
      <c r="CF715" s="78"/>
      <c r="CG715" s="78"/>
      <c r="CH715" s="78"/>
      <c r="CI715" s="78"/>
      <c r="CJ715" s="78"/>
      <c r="CK715" s="78"/>
      <c r="CL715" s="78"/>
      <c r="CM715" s="78"/>
      <c r="CN715" s="78"/>
      <c r="CO715" s="78"/>
      <c r="CP715" s="78"/>
      <c r="CQ715" s="78"/>
      <c r="CR715" s="78"/>
      <c r="CS715" s="78"/>
      <c r="CT715" s="78"/>
      <c r="CU715" s="78"/>
      <c r="CV715" s="78"/>
      <c r="CW715" s="78"/>
      <c r="CX715" s="78"/>
      <c r="CY715" s="78"/>
      <c r="CZ715" s="78"/>
      <c r="DA715" s="78"/>
      <c r="DB715" s="78"/>
      <c r="DC715" s="78"/>
      <c r="DD715" s="78"/>
      <c r="DE715" s="78"/>
      <c r="DF715" s="78"/>
      <c r="DG715" s="78"/>
      <c r="DH715" s="78"/>
      <c r="DI715" s="78"/>
      <c r="DJ715" s="78"/>
      <c r="DK715" s="78"/>
      <c r="DL715" s="78"/>
      <c r="DM715" s="78"/>
      <c r="DN715" s="78"/>
      <c r="DO715" s="78"/>
      <c r="DP715" s="78"/>
      <c r="DQ715" s="78"/>
      <c r="DR715" s="78"/>
      <c r="DS715" s="78"/>
      <c r="DT715" s="78"/>
      <c r="DU715" s="78"/>
      <c r="DV715" s="78"/>
      <c r="DW715" s="78"/>
      <c r="DX715" s="78"/>
      <c r="DY715" s="78"/>
      <c r="DZ715" s="78"/>
      <c r="EA715" s="78"/>
      <c r="EB715" s="78"/>
      <c r="EC715" s="78"/>
      <c r="ED715" s="78"/>
      <c r="EE715" s="78"/>
      <c r="EF715" s="78"/>
      <c r="EG715" s="78"/>
      <c r="EH715" s="78"/>
      <c r="EI715" s="78"/>
      <c r="EJ715" s="78"/>
      <c r="EK715" s="78"/>
      <c r="EL715" s="78"/>
      <c r="EM715" s="78"/>
      <c r="EN715" s="91"/>
      <c r="EO715" s="91"/>
      <c r="EP715" s="91"/>
      <c r="EQ715" s="91"/>
      <c r="ER715" s="91"/>
      <c r="ES715" s="91"/>
    </row>
    <row r="716" spans="1:149" outlineLevel="1">
      <c r="A716" s="29" t="str">
        <f t="shared" si="348"/>
        <v>lt002_instrumentissr_nace_sctr</v>
      </c>
      <c r="B716" s="67" t="s">
        <v>26</v>
      </c>
      <c r="C716" s="68" t="s">
        <v>26</v>
      </c>
      <c r="D716" s="64" t="s">
        <v>40</v>
      </c>
      <c r="E716" s="70" t="s">
        <v>379</v>
      </c>
      <c r="F716" s="71" t="s">
        <v>413</v>
      </c>
      <c r="G716" s="64" t="str">
        <f>INDEX(Auxiliar!$B$16:$B$24,MATCH(Plano_V3!H716,Auxiliar!$C$16:$C$24,0),1)</f>
        <v>1. Concluído</v>
      </c>
      <c r="H716" s="64">
        <f>VLOOKUP(A716,'Aux - pivots1'!$A:$B,2,0)</f>
        <v>1</v>
      </c>
      <c r="I716" s="172">
        <f>SUMIFS(Table1[Estimação (horas)],Table1[Tabela],Plano_V3!E716,Table1[Campo],Plano_V3!F716)</f>
        <v>0.1</v>
      </c>
      <c r="J716" s="172">
        <f t="shared" si="369"/>
        <v>1.2500000000000001E-2</v>
      </c>
      <c r="K716" s="172">
        <f>SUMIFS(Table1[Horas efetivas],Table1[Tabela],Plano_V3!E716,Table1[Campo],Plano_V3!F716)</f>
        <v>0.1</v>
      </c>
      <c r="L716" s="172">
        <f t="shared" si="370"/>
        <v>1.2500000000000001E-2</v>
      </c>
      <c r="M716" s="174"/>
      <c r="N716" s="174">
        <f t="shared" si="371"/>
        <v>1</v>
      </c>
      <c r="O716" s="174"/>
      <c r="P716" s="89" t="s">
        <v>399</v>
      </c>
      <c r="R716" s="78"/>
      <c r="S716" s="78"/>
      <c r="T716" s="78"/>
      <c r="U716" s="78"/>
      <c r="V716" s="78"/>
      <c r="W716" s="78"/>
      <c r="X716" s="78"/>
      <c r="Y716" s="78"/>
      <c r="Z716" s="78"/>
      <c r="AA716" s="78"/>
      <c r="AB716" s="78"/>
      <c r="AC716" s="78"/>
      <c r="AD716" s="78"/>
      <c r="AE716" s="78"/>
      <c r="AF716" s="78"/>
      <c r="AG716" s="78"/>
      <c r="AH716" s="78"/>
      <c r="AI716" s="78"/>
      <c r="AJ716" s="78"/>
      <c r="AK716" s="78"/>
      <c r="AL716" s="78"/>
      <c r="AM716" s="78"/>
      <c r="AN716" s="78"/>
      <c r="AO716" s="78"/>
      <c r="AP716" s="78"/>
      <c r="AQ716" s="78"/>
      <c r="AR716" s="78"/>
      <c r="AS716" s="78"/>
      <c r="AT716" s="78"/>
      <c r="AU716" s="78"/>
      <c r="AV716" s="78"/>
      <c r="AW716" s="78"/>
      <c r="AX716" s="78"/>
      <c r="AY716" s="91"/>
      <c r="AZ716" s="78"/>
      <c r="BA716" s="78"/>
      <c r="BB716" s="78"/>
      <c r="BC716" s="78"/>
      <c r="BD716" s="78"/>
      <c r="BE716" s="78"/>
      <c r="BF716" s="78"/>
      <c r="BG716" s="78"/>
      <c r="BH716" s="78"/>
      <c r="BI716" s="78"/>
      <c r="BJ716" s="78"/>
      <c r="BK716" s="78"/>
      <c r="BL716" s="78"/>
      <c r="BM716" s="78"/>
      <c r="BN716" s="78"/>
      <c r="BO716" s="78"/>
      <c r="BP716" s="78"/>
      <c r="BQ716" s="78"/>
      <c r="BR716" s="78"/>
      <c r="BS716" s="78"/>
      <c r="BT716" s="78"/>
      <c r="BU716" s="78"/>
      <c r="BV716" s="78"/>
      <c r="BW716" s="78"/>
      <c r="BX716" s="78"/>
      <c r="BY716" s="78"/>
      <c r="BZ716" s="78"/>
      <c r="CA716" s="78"/>
      <c r="CB716" s="78"/>
      <c r="CC716" s="78"/>
      <c r="CD716" s="78"/>
      <c r="CE716" s="78"/>
      <c r="CF716" s="78"/>
      <c r="CG716" s="78"/>
      <c r="CH716" s="78"/>
      <c r="CI716" s="78"/>
      <c r="CJ716" s="78"/>
      <c r="CK716" s="78"/>
      <c r="CL716" s="78"/>
      <c r="CM716" s="78"/>
      <c r="CN716" s="78"/>
      <c r="CO716" s="78"/>
      <c r="CP716" s="78"/>
      <c r="CQ716" s="78"/>
      <c r="CR716" s="78"/>
      <c r="CS716" s="78"/>
      <c r="CT716" s="78"/>
      <c r="CU716" s="78"/>
      <c r="CV716" s="78"/>
      <c r="CW716" s="78"/>
      <c r="CX716" s="78"/>
      <c r="CY716" s="78"/>
      <c r="CZ716" s="78"/>
      <c r="DA716" s="78"/>
      <c r="DB716" s="78"/>
      <c r="DC716" s="78"/>
      <c r="DD716" s="78"/>
      <c r="DE716" s="78"/>
      <c r="DF716" s="78"/>
      <c r="DG716" s="78"/>
      <c r="DH716" s="78"/>
      <c r="DI716" s="78"/>
      <c r="DJ716" s="78"/>
      <c r="DK716" s="78"/>
      <c r="DL716" s="78"/>
      <c r="DM716" s="78"/>
      <c r="DN716" s="78"/>
      <c r="DO716" s="78"/>
      <c r="DP716" s="78"/>
      <c r="DQ716" s="78"/>
      <c r="DR716" s="78"/>
      <c r="DS716" s="78"/>
      <c r="DT716" s="78"/>
      <c r="DU716" s="78"/>
      <c r="DV716" s="78"/>
      <c r="DW716" s="78"/>
      <c r="DX716" s="78"/>
      <c r="DY716" s="78"/>
      <c r="DZ716" s="78"/>
      <c r="EA716" s="78"/>
      <c r="EB716" s="78"/>
      <c r="EC716" s="78"/>
      <c r="ED716" s="78"/>
      <c r="EE716" s="78"/>
      <c r="EF716" s="78"/>
      <c r="EG716" s="78"/>
      <c r="EH716" s="78"/>
      <c r="EI716" s="78"/>
      <c r="EJ716" s="78"/>
      <c r="EK716" s="78"/>
      <c r="EL716" s="78"/>
      <c r="EM716" s="78"/>
      <c r="EN716" s="91"/>
      <c r="EO716" s="91"/>
      <c r="EP716" s="91"/>
      <c r="EQ716" s="91"/>
      <c r="ER716" s="91"/>
      <c r="ES716" s="91"/>
    </row>
    <row r="717" spans="1:149" outlineLevel="1">
      <c r="A717" s="29" t="str">
        <f t="shared" si="348"/>
        <v>lt002_instrumentprmry_asst_clssf</v>
      </c>
      <c r="B717" s="67" t="s">
        <v>26</v>
      </c>
      <c r="C717" s="68" t="s">
        <v>26</v>
      </c>
      <c r="D717" s="64" t="s">
        <v>40</v>
      </c>
      <c r="E717" s="70" t="s">
        <v>379</v>
      </c>
      <c r="F717" s="71" t="s">
        <v>414</v>
      </c>
      <c r="G717" s="64" t="str">
        <f>INDEX(Auxiliar!$B$16:$B$24,MATCH(Plano_V3!H717,Auxiliar!$C$16:$C$24,0),1)</f>
        <v>1. Concluído</v>
      </c>
      <c r="H717" s="64">
        <f>VLOOKUP(A717,'Aux - pivots1'!$A:$B,2,0)</f>
        <v>1</v>
      </c>
      <c r="I717" s="172">
        <f>SUMIFS(Table1[Estimação (horas)],Table1[Tabela],Plano_V3!E717,Table1[Campo],Plano_V3!F717)</f>
        <v>0.1</v>
      </c>
      <c r="J717" s="172">
        <f t="shared" si="369"/>
        <v>1.2500000000000001E-2</v>
      </c>
      <c r="K717" s="172">
        <f>SUMIFS(Table1[Horas efetivas],Table1[Tabela],Plano_V3!E717,Table1[Campo],Plano_V3!F717)</f>
        <v>0.1</v>
      </c>
      <c r="L717" s="172">
        <f t="shared" si="370"/>
        <v>1.2500000000000001E-2</v>
      </c>
      <c r="M717" s="174"/>
      <c r="N717" s="174">
        <f t="shared" si="371"/>
        <v>1</v>
      </c>
      <c r="O717" s="174"/>
      <c r="P717" s="89" t="s">
        <v>399</v>
      </c>
      <c r="R717" s="78"/>
      <c r="S717" s="78"/>
      <c r="T717" s="78"/>
      <c r="U717" s="78"/>
      <c r="V717" s="78"/>
      <c r="W717" s="78"/>
      <c r="X717" s="78"/>
      <c r="Y717" s="78"/>
      <c r="Z717" s="78"/>
      <c r="AA717" s="78"/>
      <c r="AB717" s="78"/>
      <c r="AC717" s="78"/>
      <c r="AD717" s="78"/>
      <c r="AE717" s="78"/>
      <c r="AF717" s="78"/>
      <c r="AG717" s="78"/>
      <c r="AH717" s="78"/>
      <c r="AI717" s="78"/>
      <c r="AJ717" s="78"/>
      <c r="AK717" s="78"/>
      <c r="AL717" s="78"/>
      <c r="AM717" s="78"/>
      <c r="AN717" s="78"/>
      <c r="AO717" s="78"/>
      <c r="AP717" s="78"/>
      <c r="AQ717" s="78"/>
      <c r="AR717" s="78"/>
      <c r="AS717" s="78"/>
      <c r="AT717" s="78"/>
      <c r="AU717" s="78"/>
      <c r="AV717" s="78"/>
      <c r="AW717" s="78"/>
      <c r="AX717" s="78"/>
      <c r="AY717" s="91"/>
      <c r="AZ717" s="78"/>
      <c r="BA717" s="78"/>
      <c r="BB717" s="78"/>
      <c r="BC717" s="78"/>
      <c r="BD717" s="78"/>
      <c r="BE717" s="78"/>
      <c r="BF717" s="78"/>
      <c r="BG717" s="78"/>
      <c r="BH717" s="78"/>
      <c r="BI717" s="78"/>
      <c r="BJ717" s="78"/>
      <c r="BK717" s="78"/>
      <c r="BL717" s="78"/>
      <c r="BM717" s="78"/>
      <c r="BN717" s="78"/>
      <c r="BO717" s="78"/>
      <c r="BP717" s="78"/>
      <c r="BQ717" s="78"/>
      <c r="BR717" s="78"/>
      <c r="BS717" s="78"/>
      <c r="BT717" s="78"/>
      <c r="BU717" s="78"/>
      <c r="BV717" s="78"/>
      <c r="BW717" s="78"/>
      <c r="BX717" s="78"/>
      <c r="BY717" s="78"/>
      <c r="BZ717" s="78"/>
      <c r="CA717" s="78"/>
      <c r="CB717" s="78"/>
      <c r="CC717" s="78"/>
      <c r="CD717" s="78"/>
      <c r="CE717" s="78"/>
      <c r="CF717" s="78"/>
      <c r="CG717" s="78"/>
      <c r="CH717" s="78"/>
      <c r="CI717" s="78"/>
      <c r="CJ717" s="78"/>
      <c r="CK717" s="78"/>
      <c r="CL717" s="78"/>
      <c r="CM717" s="78"/>
      <c r="CN717" s="78"/>
      <c r="CO717" s="78"/>
      <c r="CP717" s="78"/>
      <c r="CQ717" s="78"/>
      <c r="CR717" s="78"/>
      <c r="CS717" s="78"/>
      <c r="CT717" s="78"/>
      <c r="CU717" s="78"/>
      <c r="CV717" s="78"/>
      <c r="CW717" s="78"/>
      <c r="CX717" s="78"/>
      <c r="CY717" s="78"/>
      <c r="CZ717" s="78"/>
      <c r="DA717" s="78"/>
      <c r="DB717" s="78"/>
      <c r="DC717" s="78"/>
      <c r="DD717" s="78"/>
      <c r="DE717" s="78"/>
      <c r="DF717" s="78"/>
      <c r="DG717" s="78"/>
      <c r="DH717" s="78"/>
      <c r="DI717" s="78"/>
      <c r="DJ717" s="78"/>
      <c r="DK717" s="78"/>
      <c r="DL717" s="78"/>
      <c r="DM717" s="78"/>
      <c r="DN717" s="78"/>
      <c r="DO717" s="78"/>
      <c r="DP717" s="78"/>
      <c r="DQ717" s="78"/>
      <c r="DR717" s="78"/>
      <c r="DS717" s="78"/>
      <c r="DT717" s="78"/>
      <c r="DU717" s="78"/>
      <c r="DV717" s="78"/>
      <c r="DW717" s="78"/>
      <c r="DX717" s="78"/>
      <c r="DY717" s="78"/>
      <c r="DZ717" s="78"/>
      <c r="EA717" s="78"/>
      <c r="EB717" s="78"/>
      <c r="EC717" s="78"/>
      <c r="ED717" s="78"/>
      <c r="EE717" s="78"/>
      <c r="EF717" s="78"/>
      <c r="EG717" s="78"/>
      <c r="EH717" s="78"/>
      <c r="EI717" s="78"/>
      <c r="EJ717" s="78"/>
      <c r="EK717" s="78"/>
      <c r="EL717" s="78"/>
      <c r="EM717" s="78"/>
      <c r="EN717" s="91"/>
      <c r="EO717" s="91"/>
      <c r="EP717" s="91"/>
      <c r="EQ717" s="91"/>
      <c r="ER717" s="91"/>
      <c r="ES717" s="91"/>
    </row>
    <row r="718" spans="1:149" outlineLevel="1">
      <c r="A718" s="29" t="str">
        <f t="shared" si="348"/>
        <v>lt002_instrumentsubportfolio_id</v>
      </c>
      <c r="B718" s="67" t="s">
        <v>26</v>
      </c>
      <c r="C718" s="68" t="s">
        <v>26</v>
      </c>
      <c r="D718" s="64" t="s">
        <v>40</v>
      </c>
      <c r="E718" s="70" t="s">
        <v>379</v>
      </c>
      <c r="F718" s="71" t="s">
        <v>415</v>
      </c>
      <c r="G718" s="64" t="str">
        <f>INDEX(Auxiliar!$B$16:$B$24,MATCH(Plano_V3!H718,Auxiliar!$C$16:$C$24,0),1)</f>
        <v>1. Concluído</v>
      </c>
      <c r="H718" s="64">
        <f>VLOOKUP(A718,'Aux - pivots1'!$A:$B,2,0)</f>
        <v>1</v>
      </c>
      <c r="I718" s="172">
        <f>SUMIFS(Table1[Estimação (horas)],Table1[Tabela],Plano_V3!E718,Table1[Campo],Plano_V3!F718)</f>
        <v>0.1</v>
      </c>
      <c r="J718" s="172">
        <f t="shared" si="369"/>
        <v>1.2500000000000001E-2</v>
      </c>
      <c r="K718" s="172">
        <f>SUMIFS(Table1[Horas efetivas],Table1[Tabela],Plano_V3!E718,Table1[Campo],Plano_V3!F718)</f>
        <v>0.1</v>
      </c>
      <c r="L718" s="172">
        <f t="shared" si="370"/>
        <v>1.2500000000000001E-2</v>
      </c>
      <c r="M718" s="174"/>
      <c r="N718" s="174">
        <f t="shared" si="371"/>
        <v>1</v>
      </c>
      <c r="O718" s="174"/>
      <c r="P718" s="89" t="s">
        <v>399</v>
      </c>
      <c r="R718" s="78"/>
      <c r="S718" s="78"/>
      <c r="T718" s="78"/>
      <c r="U718" s="78"/>
      <c r="V718" s="78"/>
      <c r="W718" s="78"/>
      <c r="X718" s="78"/>
      <c r="Y718" s="78"/>
      <c r="Z718" s="78"/>
      <c r="AA718" s="78"/>
      <c r="AB718" s="78"/>
      <c r="AC718" s="78"/>
      <c r="AD718" s="78"/>
      <c r="AE718" s="78"/>
      <c r="AF718" s="78"/>
      <c r="AG718" s="78"/>
      <c r="AH718" s="78"/>
      <c r="AI718" s="78"/>
      <c r="AJ718" s="78"/>
      <c r="AK718" s="78"/>
      <c r="AL718" s="78"/>
      <c r="AM718" s="78"/>
      <c r="AN718" s="78"/>
      <c r="AO718" s="78"/>
      <c r="AP718" s="78"/>
      <c r="AQ718" s="78"/>
      <c r="AR718" s="78"/>
      <c r="AS718" s="78"/>
      <c r="AT718" s="78"/>
      <c r="AU718" s="78"/>
      <c r="AV718" s="78"/>
      <c r="AW718" s="78"/>
      <c r="AX718" s="78"/>
      <c r="AY718" s="91"/>
      <c r="AZ718" s="78"/>
      <c r="BA718" s="78"/>
      <c r="BB718" s="78"/>
      <c r="BC718" s="78"/>
      <c r="BD718" s="78"/>
      <c r="BE718" s="78"/>
      <c r="BF718" s="78"/>
      <c r="BG718" s="78"/>
      <c r="BH718" s="78"/>
      <c r="BI718" s="78"/>
      <c r="BJ718" s="78"/>
      <c r="BK718" s="78"/>
      <c r="BL718" s="78"/>
      <c r="BM718" s="78"/>
      <c r="BN718" s="78"/>
      <c r="BO718" s="78"/>
      <c r="BP718" s="78"/>
      <c r="BQ718" s="78"/>
      <c r="BR718" s="78"/>
      <c r="BS718" s="78"/>
      <c r="BT718" s="78"/>
      <c r="BU718" s="78"/>
      <c r="BV718" s="78"/>
      <c r="BW718" s="78"/>
      <c r="BX718" s="78"/>
      <c r="BY718" s="78"/>
      <c r="BZ718" s="78"/>
      <c r="CA718" s="78"/>
      <c r="CB718" s="78"/>
      <c r="CC718" s="78"/>
      <c r="CD718" s="78"/>
      <c r="CE718" s="78"/>
      <c r="CF718" s="78"/>
      <c r="CG718" s="78"/>
      <c r="CH718" s="78"/>
      <c r="CI718" s="78"/>
      <c r="CJ718" s="78"/>
      <c r="CK718" s="78"/>
      <c r="CL718" s="78"/>
      <c r="CM718" s="78"/>
      <c r="CN718" s="78"/>
      <c r="CO718" s="78"/>
      <c r="CP718" s="78"/>
      <c r="CQ718" s="78"/>
      <c r="CR718" s="78"/>
      <c r="CS718" s="78"/>
      <c r="CT718" s="78"/>
      <c r="CU718" s="78"/>
      <c r="CV718" s="78"/>
      <c r="CW718" s="78"/>
      <c r="CX718" s="78"/>
      <c r="CY718" s="78"/>
      <c r="CZ718" s="78"/>
      <c r="DA718" s="78"/>
      <c r="DB718" s="78"/>
      <c r="DC718" s="78"/>
      <c r="DD718" s="78"/>
      <c r="DE718" s="78"/>
      <c r="DF718" s="78"/>
      <c r="DG718" s="78"/>
      <c r="DH718" s="78"/>
      <c r="DI718" s="78"/>
      <c r="DJ718" s="78"/>
      <c r="DK718" s="78"/>
      <c r="DL718" s="78"/>
      <c r="DM718" s="78"/>
      <c r="DN718" s="78"/>
      <c r="DO718" s="78"/>
      <c r="DP718" s="78"/>
      <c r="DQ718" s="78"/>
      <c r="DR718" s="78"/>
      <c r="DS718" s="78"/>
      <c r="DT718" s="78"/>
      <c r="DU718" s="78"/>
      <c r="DV718" s="78"/>
      <c r="DW718" s="78"/>
      <c r="DX718" s="78"/>
      <c r="DY718" s="78"/>
      <c r="DZ718" s="78"/>
      <c r="EA718" s="78"/>
      <c r="EB718" s="78"/>
      <c r="EC718" s="78"/>
      <c r="ED718" s="78"/>
      <c r="EE718" s="78"/>
      <c r="EF718" s="78"/>
      <c r="EG718" s="78"/>
      <c r="EH718" s="78"/>
      <c r="EI718" s="78"/>
      <c r="EJ718" s="78"/>
      <c r="EK718" s="78"/>
      <c r="EL718" s="78"/>
      <c r="EM718" s="78"/>
      <c r="EN718" s="91"/>
      <c r="EO718" s="91"/>
      <c r="EP718" s="91"/>
      <c r="EQ718" s="91"/>
      <c r="ER718" s="91"/>
      <c r="ES718" s="91"/>
    </row>
    <row r="719" spans="1:149" outlineLevel="1">
      <c r="A719" s="29" t="str">
        <f t="shared" ref="A719:A768" si="372">E719&amp;F719</f>
        <v>lt002_instrumentcod_soc</v>
      </c>
      <c r="B719" s="67" t="s">
        <v>26</v>
      </c>
      <c r="C719" s="68" t="s">
        <v>26</v>
      </c>
      <c r="D719" s="64" t="s">
        <v>40</v>
      </c>
      <c r="E719" s="70" t="s">
        <v>379</v>
      </c>
      <c r="F719" s="71" t="s">
        <v>416</v>
      </c>
      <c r="G719" s="64" t="str">
        <f>INDEX(Auxiliar!$B$16:$B$24,MATCH(Plano_V3!H719,Auxiliar!$C$16:$C$24,0),1)</f>
        <v>1. Concluído</v>
      </c>
      <c r="H719" s="64">
        <f>VLOOKUP(A719,'Aux - pivots1'!$A:$B,2,0)</f>
        <v>1</v>
      </c>
      <c r="I719" s="172">
        <f>SUMIFS(Table1[Estimação (horas)],Table1[Tabela],Plano_V3!E719,Table1[Campo],Plano_V3!F719)</f>
        <v>0.1</v>
      </c>
      <c r="J719" s="172">
        <f t="shared" si="369"/>
        <v>1.2500000000000001E-2</v>
      </c>
      <c r="K719" s="172">
        <f>SUMIFS(Table1[Horas efetivas],Table1[Tabela],Plano_V3!E719,Table1[Campo],Plano_V3!F719)</f>
        <v>0.1</v>
      </c>
      <c r="L719" s="172">
        <f t="shared" si="370"/>
        <v>1.2500000000000001E-2</v>
      </c>
      <c r="M719" s="174"/>
      <c r="N719" s="174">
        <f t="shared" si="371"/>
        <v>1</v>
      </c>
      <c r="O719" s="174"/>
      <c r="P719" s="89" t="s">
        <v>399</v>
      </c>
      <c r="R719" s="78"/>
      <c r="S719" s="78"/>
      <c r="T719" s="78"/>
      <c r="U719" s="78"/>
      <c r="V719" s="78"/>
      <c r="W719" s="78"/>
      <c r="X719" s="78"/>
      <c r="Y719" s="78"/>
      <c r="Z719" s="78"/>
      <c r="AA719" s="78"/>
      <c r="AB719" s="78"/>
      <c r="AC719" s="78"/>
      <c r="AD719" s="78"/>
      <c r="AE719" s="78"/>
      <c r="AF719" s="78"/>
      <c r="AG719" s="78"/>
      <c r="AH719" s="78"/>
      <c r="AI719" s="78"/>
      <c r="AJ719" s="78"/>
      <c r="AK719" s="78"/>
      <c r="AL719" s="78"/>
      <c r="AM719" s="78"/>
      <c r="AN719" s="78"/>
      <c r="AO719" s="78"/>
      <c r="AP719" s="78"/>
      <c r="AQ719" s="78"/>
      <c r="AR719" s="78"/>
      <c r="AS719" s="78"/>
      <c r="AT719" s="78"/>
      <c r="AU719" s="78"/>
      <c r="AV719" s="78"/>
      <c r="AW719" s="78"/>
      <c r="AX719" s="78"/>
      <c r="AY719" s="91"/>
      <c r="AZ719" s="78"/>
      <c r="BA719" s="78"/>
      <c r="BB719" s="78"/>
      <c r="BC719" s="78"/>
      <c r="BD719" s="78"/>
      <c r="BE719" s="78"/>
      <c r="BF719" s="78"/>
      <c r="BG719" s="78"/>
      <c r="BH719" s="78"/>
      <c r="BI719" s="78"/>
      <c r="BJ719" s="78"/>
      <c r="BK719" s="78"/>
      <c r="BL719" s="78"/>
      <c r="BM719" s="78"/>
      <c r="BN719" s="78"/>
      <c r="BO719" s="78"/>
      <c r="BP719" s="78"/>
      <c r="BQ719" s="78"/>
      <c r="BR719" s="78"/>
      <c r="BS719" s="78"/>
      <c r="BT719" s="78"/>
      <c r="BU719" s="78"/>
      <c r="BV719" s="78"/>
      <c r="BW719" s="78"/>
      <c r="BX719" s="78"/>
      <c r="BY719" s="78"/>
      <c r="BZ719" s="78"/>
      <c r="CA719" s="78"/>
      <c r="CB719" s="78"/>
      <c r="CC719" s="78"/>
      <c r="CD719" s="78"/>
      <c r="CE719" s="78"/>
      <c r="CF719" s="78"/>
      <c r="CG719" s="78"/>
      <c r="CH719" s="78"/>
      <c r="CI719" s="78"/>
      <c r="CJ719" s="78"/>
      <c r="CK719" s="78"/>
      <c r="CL719" s="78"/>
      <c r="CM719" s="78"/>
      <c r="CN719" s="78"/>
      <c r="CO719" s="78"/>
      <c r="CP719" s="78"/>
      <c r="CQ719" s="78"/>
      <c r="CR719" s="78"/>
      <c r="CS719" s="78"/>
      <c r="CT719" s="78"/>
      <c r="CU719" s="78"/>
      <c r="CV719" s="78"/>
      <c r="CW719" s="78"/>
      <c r="CX719" s="78"/>
      <c r="CY719" s="78"/>
      <c r="CZ719" s="78"/>
      <c r="DA719" s="78"/>
      <c r="DB719" s="78"/>
      <c r="DC719" s="78"/>
      <c r="DD719" s="78"/>
      <c r="DE719" s="78"/>
      <c r="DF719" s="78"/>
      <c r="DG719" s="78"/>
      <c r="DH719" s="78"/>
      <c r="DI719" s="78"/>
      <c r="DJ719" s="78"/>
      <c r="DK719" s="78"/>
      <c r="DL719" s="78"/>
      <c r="DM719" s="78"/>
      <c r="DN719" s="78"/>
      <c r="DO719" s="78"/>
      <c r="DP719" s="78"/>
      <c r="DQ719" s="78"/>
      <c r="DR719" s="78"/>
      <c r="DS719" s="78"/>
      <c r="DT719" s="78"/>
      <c r="DU719" s="78"/>
      <c r="DV719" s="78"/>
      <c r="DW719" s="78"/>
      <c r="DX719" s="78"/>
      <c r="DY719" s="78"/>
      <c r="DZ719" s="78"/>
      <c r="EA719" s="78"/>
      <c r="EB719" s="78"/>
      <c r="EC719" s="78"/>
      <c r="ED719" s="78"/>
      <c r="EE719" s="78"/>
      <c r="EF719" s="78"/>
      <c r="EG719" s="78"/>
      <c r="EH719" s="78"/>
      <c r="EI719" s="78"/>
      <c r="EJ719" s="78"/>
      <c r="EK719" s="78"/>
      <c r="EL719" s="78"/>
      <c r="EM719" s="78"/>
      <c r="EN719" s="91"/>
      <c r="EO719" s="91"/>
      <c r="EP719" s="91"/>
      <c r="EQ719" s="91"/>
      <c r="ER719" s="91"/>
      <c r="ES719" s="91"/>
    </row>
    <row r="720" spans="1:149" outlineLevel="1">
      <c r="A720" s="29" t="str">
        <f t="shared" si="372"/>
        <v>lt002_instrumentlcl_instmrnt_id</v>
      </c>
      <c r="B720" s="67" t="s">
        <v>26</v>
      </c>
      <c r="C720" s="68" t="s">
        <v>26</v>
      </c>
      <c r="D720" s="64" t="s">
        <v>40</v>
      </c>
      <c r="E720" s="70" t="s">
        <v>379</v>
      </c>
      <c r="F720" s="71" t="s">
        <v>417</v>
      </c>
      <c r="G720" s="64" t="str">
        <f>INDEX(Auxiliar!$B$16:$B$24,MATCH(Plano_V3!H720,Auxiliar!$C$16:$C$24,0),1)</f>
        <v>1. Concluído</v>
      </c>
      <c r="H720" s="64">
        <f>VLOOKUP(A720,'Aux - pivots1'!$A:$B,2,0)</f>
        <v>1</v>
      </c>
      <c r="I720" s="172">
        <f>SUMIFS(Table1[Estimação (horas)],Table1[Tabela],Plano_V3!E720,Table1[Campo],Plano_V3!F720)</f>
        <v>0.1</v>
      </c>
      <c r="J720" s="172">
        <f t="shared" si="369"/>
        <v>1.2500000000000001E-2</v>
      </c>
      <c r="K720" s="172">
        <f>SUMIFS(Table1[Horas efetivas],Table1[Tabela],Plano_V3!E720,Table1[Campo],Plano_V3!F720)</f>
        <v>0.1</v>
      </c>
      <c r="L720" s="172">
        <f t="shared" si="370"/>
        <v>1.2500000000000001E-2</v>
      </c>
      <c r="M720" s="174"/>
      <c r="N720" s="174">
        <f t="shared" si="371"/>
        <v>1</v>
      </c>
      <c r="O720" s="174"/>
      <c r="P720" s="89" t="s">
        <v>399</v>
      </c>
      <c r="R720" s="78"/>
      <c r="S720" s="78"/>
      <c r="T720" s="78"/>
      <c r="U720" s="78"/>
      <c r="V720" s="78"/>
      <c r="W720" s="78"/>
      <c r="X720" s="78"/>
      <c r="Y720" s="78"/>
      <c r="Z720" s="78"/>
      <c r="AA720" s="78"/>
      <c r="AB720" s="78"/>
      <c r="AC720" s="78"/>
      <c r="AD720" s="78"/>
      <c r="AE720" s="78"/>
      <c r="AF720" s="78"/>
      <c r="AG720" s="78"/>
      <c r="AH720" s="78"/>
      <c r="AI720" s="78"/>
      <c r="AJ720" s="78"/>
      <c r="AK720" s="78"/>
      <c r="AL720" s="78"/>
      <c r="AM720" s="78"/>
      <c r="AN720" s="78"/>
      <c r="AO720" s="78"/>
      <c r="AP720" s="78"/>
      <c r="AQ720" s="78"/>
      <c r="AR720" s="78"/>
      <c r="AS720" s="78"/>
      <c r="AT720" s="78"/>
      <c r="AU720" s="78"/>
      <c r="AV720" s="78"/>
      <c r="AW720" s="78"/>
      <c r="AX720" s="78"/>
      <c r="AY720" s="91"/>
      <c r="AZ720" s="78"/>
      <c r="BA720" s="78"/>
      <c r="BB720" s="78"/>
      <c r="BC720" s="78"/>
      <c r="BD720" s="78"/>
      <c r="BE720" s="78"/>
      <c r="BF720" s="78"/>
      <c r="BG720" s="78"/>
      <c r="BH720" s="78"/>
      <c r="BI720" s="78"/>
      <c r="BJ720" s="78"/>
      <c r="BK720" s="78"/>
      <c r="BL720" s="78"/>
      <c r="BM720" s="78"/>
      <c r="BN720" s="78"/>
      <c r="BO720" s="78"/>
      <c r="BP720" s="78"/>
      <c r="BQ720" s="78"/>
      <c r="BR720" s="78"/>
      <c r="BS720" s="78"/>
      <c r="BT720" s="78"/>
      <c r="BU720" s="78"/>
      <c r="BV720" s="78"/>
      <c r="BW720" s="78"/>
      <c r="BX720" s="78"/>
      <c r="BY720" s="78"/>
      <c r="BZ720" s="78"/>
      <c r="CA720" s="78"/>
      <c r="CB720" s="78"/>
      <c r="CC720" s="78"/>
      <c r="CD720" s="78"/>
      <c r="CE720" s="78"/>
      <c r="CF720" s="78"/>
      <c r="CG720" s="78"/>
      <c r="CH720" s="78"/>
      <c r="CI720" s="78"/>
      <c r="CJ720" s="78"/>
      <c r="CK720" s="78"/>
      <c r="CL720" s="78"/>
      <c r="CM720" s="78"/>
      <c r="CN720" s="78"/>
      <c r="CO720" s="78"/>
      <c r="CP720" s="78"/>
      <c r="CQ720" s="78"/>
      <c r="CR720" s="78"/>
      <c r="CS720" s="78"/>
      <c r="CT720" s="78"/>
      <c r="CU720" s="78"/>
      <c r="CV720" s="78"/>
      <c r="CW720" s="78"/>
      <c r="CX720" s="78"/>
      <c r="CY720" s="78"/>
      <c r="CZ720" s="78"/>
      <c r="DA720" s="78"/>
      <c r="DB720" s="78"/>
      <c r="DC720" s="78"/>
      <c r="DD720" s="78"/>
      <c r="DE720" s="78"/>
      <c r="DF720" s="78"/>
      <c r="DG720" s="78"/>
      <c r="DH720" s="78"/>
      <c r="DI720" s="78"/>
      <c r="DJ720" s="78"/>
      <c r="DK720" s="78"/>
      <c r="DL720" s="78"/>
      <c r="DM720" s="78"/>
      <c r="DN720" s="78"/>
      <c r="DO720" s="78"/>
      <c r="DP720" s="78"/>
      <c r="DQ720" s="78"/>
      <c r="DR720" s="78"/>
      <c r="DS720" s="78"/>
      <c r="DT720" s="78"/>
      <c r="DU720" s="78"/>
      <c r="DV720" s="78"/>
      <c r="DW720" s="78"/>
      <c r="DX720" s="78"/>
      <c r="DY720" s="78"/>
      <c r="DZ720" s="78"/>
      <c r="EA720" s="78"/>
      <c r="EB720" s="78"/>
      <c r="EC720" s="78"/>
      <c r="ED720" s="78"/>
      <c r="EE720" s="78"/>
      <c r="EF720" s="78"/>
      <c r="EG720" s="78"/>
      <c r="EH720" s="78"/>
      <c r="EI720" s="78"/>
      <c r="EJ720" s="78"/>
      <c r="EK720" s="78"/>
      <c r="EL720" s="78"/>
      <c r="EM720" s="78"/>
      <c r="EN720" s="91"/>
      <c r="EO720" s="91"/>
      <c r="EP720" s="91"/>
      <c r="EQ720" s="91"/>
      <c r="ER720" s="91"/>
      <c r="ES720" s="91"/>
    </row>
    <row r="721" spans="1:149" outlineLevel="1">
      <c r="A721" s="29" t="str">
        <f t="shared" si="372"/>
        <v>lt007_instr_activitysstnbl_indctr</v>
      </c>
      <c r="B721" s="67" t="s">
        <v>26</v>
      </c>
      <c r="C721" s="68" t="s">
        <v>26</v>
      </c>
      <c r="D721" s="64" t="s">
        <v>40</v>
      </c>
      <c r="E721" s="70" t="s">
        <v>1859</v>
      </c>
      <c r="F721" s="71" t="s">
        <v>418</v>
      </c>
      <c r="G721" s="64" t="str">
        <f>INDEX(Auxiliar!$B$16:$B$24,MATCH(Plano_V3!H721,Auxiliar!$C$16:$C$24,0),1)</f>
        <v>5. Em Correção</v>
      </c>
      <c r="H721" s="64">
        <f>VLOOKUP(A721,'Aux - pivots1'!$A:$B,2,0)</f>
        <v>6</v>
      </c>
      <c r="I721" s="172">
        <f>SUMIFS(Table1[Estimação (horas)],Table1[Tabela],Plano_V3!E721,Table1[Campo],Plano_V3!F721)</f>
        <v>0.1</v>
      </c>
      <c r="J721" s="172">
        <f t="shared" si="369"/>
        <v>1.2500000000000001E-2</v>
      </c>
      <c r="K721" s="172">
        <f>SUMIFS(Table1[Horas efetivas],Table1[Tabela],Plano_V3!E721,Table1[Campo],Plano_V3!F721)</f>
        <v>2.5000000000000001E-2</v>
      </c>
      <c r="L721" s="172">
        <f t="shared" si="370"/>
        <v>3.1250000000000002E-3</v>
      </c>
      <c r="M721" s="174"/>
      <c r="N721" s="174">
        <f t="shared" si="371"/>
        <v>0.25</v>
      </c>
      <c r="O721" s="174"/>
      <c r="P721" s="89" t="s">
        <v>31</v>
      </c>
      <c r="R721" s="78"/>
      <c r="S721" s="78"/>
      <c r="T721" s="78"/>
      <c r="U721" s="78"/>
      <c r="V721" s="78"/>
      <c r="W721" s="78"/>
      <c r="X721" s="78"/>
      <c r="Y721" s="78"/>
      <c r="Z721" s="78"/>
      <c r="AA721" s="78"/>
      <c r="AB721" s="78"/>
      <c r="AC721" s="78"/>
      <c r="AD721" s="78"/>
      <c r="AE721" s="78"/>
      <c r="AF721" s="78"/>
      <c r="AG721" s="78"/>
      <c r="AH721" s="78"/>
      <c r="AI721" s="78"/>
      <c r="AJ721" s="78"/>
      <c r="AK721" s="78"/>
      <c r="AL721" s="78"/>
      <c r="AM721" s="78"/>
      <c r="AN721" s="78"/>
      <c r="AO721" s="78"/>
      <c r="AP721" s="78"/>
      <c r="AQ721" s="78"/>
      <c r="AR721" s="78"/>
      <c r="AS721" s="78"/>
      <c r="AT721" s="78"/>
      <c r="AU721" s="78"/>
      <c r="AV721" s="78"/>
      <c r="AW721" s="78"/>
      <c r="AX721" s="78"/>
      <c r="AY721" s="91"/>
      <c r="AZ721" s="78"/>
      <c r="BA721" s="78"/>
      <c r="BB721" s="78"/>
      <c r="BC721" s="78"/>
      <c r="BD721" s="78"/>
      <c r="BE721" s="78"/>
      <c r="BF721" s="78"/>
      <c r="BG721" s="78"/>
      <c r="BH721" s="78"/>
      <c r="BI721" s="78"/>
      <c r="BJ721" s="78"/>
      <c r="BK721" s="78"/>
      <c r="BL721" s="78"/>
      <c r="BM721" s="78"/>
      <c r="BN721" s="78"/>
      <c r="BO721" s="78"/>
      <c r="BP721" s="78"/>
      <c r="BQ721" s="78"/>
      <c r="BR721" s="78"/>
      <c r="BS721" s="78"/>
      <c r="BT721" s="78"/>
      <c r="BU721" s="78"/>
      <c r="BV721" s="78"/>
      <c r="BW721" s="78"/>
      <c r="BX721" s="78"/>
      <c r="BY721" s="78"/>
      <c r="BZ721" s="78"/>
      <c r="CA721" s="78"/>
      <c r="CB721" s="78"/>
      <c r="CC721" s="78"/>
      <c r="CD721" s="78"/>
      <c r="CE721" s="78"/>
      <c r="CF721" s="78"/>
      <c r="CG721" s="78"/>
      <c r="CH721" s="78"/>
      <c r="CI721" s="78"/>
      <c r="CJ721" s="78"/>
      <c r="CK721" s="78"/>
      <c r="CL721" s="78"/>
      <c r="CM721" s="78"/>
      <c r="CN721" s="78"/>
      <c r="CO721" s="78"/>
      <c r="CP721" s="78"/>
      <c r="CQ721" s="78"/>
      <c r="CR721" s="78"/>
      <c r="CS721" s="78"/>
      <c r="CT721" s="78"/>
      <c r="CU721" s="78"/>
      <c r="CV721" s="78"/>
      <c r="CW721" s="78"/>
      <c r="CX721" s="78"/>
      <c r="CY721" s="78"/>
      <c r="CZ721" s="78"/>
      <c r="DA721" s="78"/>
      <c r="DB721" s="78"/>
      <c r="DC721" s="78"/>
      <c r="DD721" s="78"/>
      <c r="DE721" s="78"/>
      <c r="DF721" s="78"/>
      <c r="DG721" s="78"/>
      <c r="DH721" s="78"/>
      <c r="DI721" s="78"/>
      <c r="DJ721" s="78"/>
      <c r="DK721" s="78"/>
      <c r="DL721" s="78"/>
      <c r="DM721" s="78"/>
      <c r="DN721" s="78"/>
      <c r="DO721" s="78"/>
      <c r="DP721" s="78"/>
      <c r="DQ721" s="78"/>
      <c r="DR721" s="78"/>
      <c r="DS721" s="78"/>
      <c r="DT721" s="78"/>
      <c r="DU721" s="78"/>
      <c r="DV721" s="78"/>
      <c r="DW721" s="78"/>
      <c r="DX721" s="78"/>
      <c r="DY721" s="78"/>
      <c r="DZ721" s="78"/>
      <c r="EA721" s="78"/>
      <c r="EB721" s="78"/>
      <c r="EC721" s="78"/>
      <c r="ED721" s="78"/>
      <c r="EE721" s="78"/>
      <c r="EF721" s="78"/>
      <c r="EG721" s="78"/>
      <c r="EH721" s="78"/>
      <c r="EI721" s="78"/>
      <c r="EJ721" s="78"/>
      <c r="EK721" s="78"/>
      <c r="EL721" s="78"/>
      <c r="EM721" s="78"/>
      <c r="EN721" s="91"/>
      <c r="EO721" s="91"/>
      <c r="EP721" s="91"/>
      <c r="EQ721" s="91"/>
      <c r="ER721" s="91"/>
      <c r="ES721" s="91"/>
    </row>
    <row r="722" spans="1:149" outlineLevel="1">
      <c r="A722" s="29" t="str">
        <f t="shared" si="372"/>
        <v>lt007_instr_activitysstnbl_ctgry</v>
      </c>
      <c r="B722" s="67" t="s">
        <v>26</v>
      </c>
      <c r="C722" s="68" t="s">
        <v>26</v>
      </c>
      <c r="D722" s="64" t="s">
        <v>40</v>
      </c>
      <c r="E722" s="70" t="s">
        <v>1859</v>
      </c>
      <c r="F722" s="71" t="s">
        <v>419</v>
      </c>
      <c r="G722" s="64" t="str">
        <f>INDEX(Auxiliar!$B$16:$B$24,MATCH(Plano_V3!H722,Auxiliar!$C$16:$C$24,0),1)</f>
        <v>2.1 Em Teste</v>
      </c>
      <c r="H722" s="64">
        <f>VLOOKUP(A722,'Aux - pivots1'!$A:$B,2,0)</f>
        <v>2</v>
      </c>
      <c r="I722" s="172">
        <f>SUMIFS(Table1[Estimação (horas)],Table1[Tabela],Plano_V3!E722,Table1[Campo],Plano_V3!F722)</f>
        <v>0.1</v>
      </c>
      <c r="J722" s="172">
        <f t="shared" si="369"/>
        <v>1.2500000000000001E-2</v>
      </c>
      <c r="K722" s="172">
        <f>SUMIFS(Table1[Horas efetivas],Table1[Tabela],Plano_V3!E722,Table1[Campo],Plano_V3!F722)</f>
        <v>0.05</v>
      </c>
      <c r="L722" s="172">
        <f t="shared" si="370"/>
        <v>6.2500000000000003E-3</v>
      </c>
      <c r="M722" s="174"/>
      <c r="N722" s="174">
        <f t="shared" si="371"/>
        <v>0.5</v>
      </c>
      <c r="O722" s="174"/>
      <c r="P722" s="89"/>
      <c r="R722" s="78"/>
      <c r="S722" s="78"/>
      <c r="T722" s="78"/>
      <c r="U722" s="78"/>
      <c r="V722" s="78"/>
      <c r="W722" s="78"/>
      <c r="X722" s="78"/>
      <c r="Y722" s="78"/>
      <c r="Z722" s="78"/>
      <c r="AA722" s="78"/>
      <c r="AB722" s="78"/>
      <c r="AC722" s="78"/>
      <c r="AD722" s="78"/>
      <c r="AE722" s="78"/>
      <c r="AF722" s="78"/>
      <c r="AG722" s="78"/>
      <c r="AH722" s="78"/>
      <c r="AI722" s="78"/>
      <c r="AJ722" s="78"/>
      <c r="AK722" s="78"/>
      <c r="AL722" s="78"/>
      <c r="AM722" s="78"/>
      <c r="AN722" s="78"/>
      <c r="AO722" s="78"/>
      <c r="AP722" s="78"/>
      <c r="AQ722" s="78"/>
      <c r="AR722" s="78"/>
      <c r="AS722" s="78"/>
      <c r="AT722" s="78"/>
      <c r="AU722" s="78"/>
      <c r="AV722" s="78"/>
      <c r="AW722" s="78"/>
      <c r="AX722" s="78"/>
      <c r="AY722" s="91"/>
      <c r="AZ722" s="78"/>
      <c r="BA722" s="78"/>
      <c r="BB722" s="78"/>
      <c r="BC722" s="78"/>
      <c r="BD722" s="78"/>
      <c r="BE722" s="78"/>
      <c r="BF722" s="78"/>
      <c r="BG722" s="78"/>
      <c r="BH722" s="78"/>
      <c r="BI722" s="78"/>
      <c r="BJ722" s="78"/>
      <c r="BK722" s="78"/>
      <c r="BL722" s="78"/>
      <c r="BM722" s="78"/>
      <c r="BN722" s="78"/>
      <c r="BO722" s="78"/>
      <c r="BP722" s="78"/>
      <c r="BQ722" s="78"/>
      <c r="BR722" s="78"/>
      <c r="BS722" s="78"/>
      <c r="BT722" s="78"/>
      <c r="BU722" s="78"/>
      <c r="BV722" s="78"/>
      <c r="BW722" s="78"/>
      <c r="BX722" s="78"/>
      <c r="BY722" s="78"/>
      <c r="BZ722" s="78"/>
      <c r="CA722" s="78"/>
      <c r="CB722" s="78"/>
      <c r="CC722" s="78"/>
      <c r="CD722" s="78"/>
      <c r="CE722" s="78"/>
      <c r="CF722" s="78"/>
      <c r="CG722" s="78"/>
      <c r="CH722" s="78"/>
      <c r="CI722" s="78"/>
      <c r="CJ722" s="78"/>
      <c r="CK722" s="78"/>
      <c r="CL722" s="78"/>
      <c r="CM722" s="78"/>
      <c r="CN722" s="78"/>
      <c r="CO722" s="78"/>
      <c r="CP722" s="78"/>
      <c r="CQ722" s="78"/>
      <c r="CR722" s="78"/>
      <c r="CS722" s="78"/>
      <c r="CT722" s="78"/>
      <c r="CU722" s="78"/>
      <c r="CV722" s="78"/>
      <c r="CW722" s="78"/>
      <c r="CX722" s="78"/>
      <c r="CY722" s="78"/>
      <c r="CZ722" s="78"/>
      <c r="DA722" s="78"/>
      <c r="DB722" s="78"/>
      <c r="DC722" s="78"/>
      <c r="DD722" s="78"/>
      <c r="DE722" s="78"/>
      <c r="DF722" s="78"/>
      <c r="DG722" s="78"/>
      <c r="DH722" s="78"/>
      <c r="DI722" s="78"/>
      <c r="DJ722" s="78"/>
      <c r="DK722" s="78"/>
      <c r="DL722" s="78"/>
      <c r="DM722" s="78"/>
      <c r="DN722" s="78"/>
      <c r="DO722" s="78"/>
      <c r="DP722" s="78"/>
      <c r="DQ722" s="78"/>
      <c r="DR722" s="78"/>
      <c r="DS722" s="78"/>
      <c r="DT722" s="78"/>
      <c r="DU722" s="78"/>
      <c r="DV722" s="78"/>
      <c r="DW722" s="78"/>
      <c r="DX722" s="78"/>
      <c r="DY722" s="78"/>
      <c r="DZ722" s="78"/>
      <c r="EA722" s="78"/>
      <c r="EB722" s="78"/>
      <c r="EC722" s="78"/>
      <c r="ED722" s="78"/>
      <c r="EE722" s="78"/>
      <c r="EF722" s="78"/>
      <c r="EG722" s="78"/>
      <c r="EH722" s="78"/>
      <c r="EI722" s="78"/>
      <c r="EJ722" s="78"/>
      <c r="EK722" s="78"/>
      <c r="EL722" s="78"/>
      <c r="EM722" s="78"/>
      <c r="EN722" s="91"/>
      <c r="EO722" s="91"/>
      <c r="EP722" s="91"/>
      <c r="EQ722" s="91"/>
      <c r="ER722" s="91"/>
      <c r="ES722" s="91"/>
    </row>
    <row r="723" spans="1:149" outlineLevel="1">
      <c r="A723" s="29" t="str">
        <f t="shared" ref="A723:A729" si="373">E723&amp;F723</f>
        <v>lt007_instr_activityCOD_SOC</v>
      </c>
      <c r="B723" s="67" t="s">
        <v>26</v>
      </c>
      <c r="C723" s="68" t="s">
        <v>26</v>
      </c>
      <c r="D723" s="64" t="s">
        <v>40</v>
      </c>
      <c r="E723" s="70" t="s">
        <v>1859</v>
      </c>
      <c r="F723" s="353" t="s">
        <v>1293</v>
      </c>
      <c r="G723" s="64" t="str">
        <f>INDEX(Auxiliar!$B$16:$B$24,MATCH(Plano_V3!H723,Auxiliar!$C$16:$C$24,0),1)</f>
        <v>1. Concluído</v>
      </c>
      <c r="H723" s="64">
        <f>VLOOKUP(A723,'Aux - pivots1'!$A:$B,2,0)</f>
        <v>1</v>
      </c>
      <c r="I723" s="172" t="e">
        <f>SUMIFS(Table1[Estimação (horas)],Table1[Tabela],Plano_V3!E723,Table1[Campo],Plano_V3!F723)</f>
        <v>#N/A</v>
      </c>
      <c r="J723" s="172" t="e">
        <f t="shared" ref="J723:J729" si="374">I723/8</f>
        <v>#N/A</v>
      </c>
      <c r="K723" s="172" t="e">
        <f>SUMIFS(Table1[Horas efetivas],Table1[Tabela],Plano_V3!E723,Table1[Campo],Plano_V3!F723)</f>
        <v>#N/A</v>
      </c>
      <c r="L723" s="172" t="e">
        <f t="shared" ref="L723:L729" si="375">K723/8</f>
        <v>#N/A</v>
      </c>
      <c r="M723" s="174"/>
      <c r="N723" s="174" t="e">
        <f t="shared" ref="N723:N729" si="376">L723/J723</f>
        <v>#N/A</v>
      </c>
      <c r="O723" s="174"/>
      <c r="P723" s="89"/>
      <c r="R723" s="78"/>
      <c r="S723" s="78"/>
      <c r="T723" s="78"/>
      <c r="U723" s="78"/>
      <c r="V723" s="78"/>
      <c r="W723" s="78"/>
      <c r="X723" s="78"/>
      <c r="Y723" s="78"/>
      <c r="Z723" s="78"/>
      <c r="AA723" s="78"/>
      <c r="AB723" s="78"/>
      <c r="AC723" s="78"/>
      <c r="AD723" s="78"/>
      <c r="AE723" s="78"/>
      <c r="AF723" s="78"/>
      <c r="AG723" s="78"/>
      <c r="AH723" s="78"/>
      <c r="AI723" s="78"/>
      <c r="AJ723" s="78"/>
      <c r="AK723" s="78"/>
      <c r="AL723" s="78"/>
      <c r="AM723" s="78"/>
      <c r="AN723" s="78"/>
      <c r="AO723" s="78"/>
      <c r="AP723" s="78"/>
      <c r="AQ723" s="78"/>
      <c r="AR723" s="78"/>
      <c r="AS723" s="78"/>
      <c r="AT723" s="78"/>
      <c r="AU723" s="78"/>
      <c r="AV723" s="78"/>
      <c r="AW723" s="78"/>
      <c r="AX723" s="78"/>
      <c r="AY723" s="91"/>
      <c r="AZ723" s="78"/>
      <c r="BA723" s="78"/>
      <c r="BB723" s="78"/>
      <c r="BC723" s="78"/>
      <c r="BD723" s="78"/>
      <c r="BE723" s="78"/>
      <c r="BF723" s="78"/>
      <c r="BG723" s="78"/>
      <c r="BH723" s="78"/>
      <c r="BI723" s="78"/>
      <c r="BJ723" s="78"/>
      <c r="BK723" s="78"/>
      <c r="BL723" s="78"/>
      <c r="BM723" s="78"/>
      <c r="BN723" s="78"/>
      <c r="BO723" s="78"/>
      <c r="BP723" s="78"/>
      <c r="BQ723" s="78"/>
      <c r="BR723" s="78"/>
      <c r="BS723" s="78"/>
      <c r="BT723" s="78"/>
      <c r="BU723" s="78"/>
      <c r="BV723" s="78"/>
      <c r="BW723" s="78"/>
      <c r="BX723" s="78"/>
      <c r="BY723" s="78"/>
      <c r="BZ723" s="78"/>
      <c r="CA723" s="78"/>
      <c r="CB723" s="78"/>
      <c r="CC723" s="78"/>
      <c r="CD723" s="78"/>
      <c r="CE723" s="78"/>
      <c r="CF723" s="78"/>
      <c r="CG723" s="78"/>
      <c r="CH723" s="78"/>
      <c r="CI723" s="78"/>
      <c r="CJ723" s="78"/>
      <c r="CK723" s="78"/>
      <c r="CL723" s="78"/>
      <c r="CM723" s="78"/>
      <c r="CN723" s="78"/>
      <c r="CO723" s="78"/>
      <c r="CP723" s="78"/>
      <c r="CQ723" s="78"/>
      <c r="CR723" s="78"/>
      <c r="CS723" s="78"/>
      <c r="CT723" s="78"/>
      <c r="CU723" s="78"/>
      <c r="CV723" s="78"/>
      <c r="CW723" s="78"/>
      <c r="CX723" s="78"/>
      <c r="CY723" s="78"/>
      <c r="CZ723" s="78"/>
      <c r="DA723" s="78"/>
      <c r="DB723" s="78"/>
      <c r="DC723" s="78"/>
      <c r="DD723" s="78"/>
      <c r="DE723" s="78"/>
      <c r="DF723" s="78"/>
      <c r="DG723" s="78"/>
      <c r="DH723" s="78"/>
      <c r="DI723" s="78"/>
      <c r="DJ723" s="78"/>
      <c r="DK723" s="78"/>
      <c r="DL723" s="78"/>
      <c r="DM723" s="78"/>
      <c r="DN723" s="78"/>
      <c r="DO723" s="78"/>
      <c r="DP723" s="78"/>
      <c r="DQ723" s="78"/>
      <c r="DR723" s="78"/>
      <c r="DS723" s="78"/>
      <c r="DT723" s="78"/>
      <c r="DU723" s="78"/>
      <c r="DV723" s="78"/>
      <c r="DW723" s="78"/>
      <c r="DX723" s="78"/>
      <c r="DY723" s="78"/>
      <c r="DZ723" s="78"/>
      <c r="EA723" s="78"/>
      <c r="EB723" s="78"/>
      <c r="EC723" s="78"/>
      <c r="ED723" s="78"/>
      <c r="EE723" s="78"/>
      <c r="EF723" s="78"/>
      <c r="EG723" s="78"/>
      <c r="EH723" s="78"/>
      <c r="EI723" s="78"/>
      <c r="EJ723" s="78"/>
      <c r="EK723" s="78"/>
      <c r="EL723" s="78"/>
      <c r="EM723" s="78"/>
      <c r="EN723" s="91"/>
      <c r="EO723" s="91"/>
      <c r="EP723" s="91"/>
      <c r="EQ723" s="91"/>
      <c r="ER723" s="91"/>
      <c r="ES723" s="91"/>
    </row>
    <row r="724" spans="1:149" outlineLevel="1">
      <c r="A724" s="29" t="str">
        <f t="shared" si="373"/>
        <v>lt007_instr_activityDT_RFRNC</v>
      </c>
      <c r="B724" s="67" t="s">
        <v>26</v>
      </c>
      <c r="C724" s="68" t="s">
        <v>26</v>
      </c>
      <c r="D724" s="64" t="s">
        <v>40</v>
      </c>
      <c r="E724" s="70" t="s">
        <v>1859</v>
      </c>
      <c r="F724" s="353" t="s">
        <v>1298</v>
      </c>
      <c r="G724" s="64" t="str">
        <f>INDEX(Auxiliar!$B$16:$B$24,MATCH(Plano_V3!H724,Auxiliar!$C$16:$C$24,0),1)</f>
        <v>1. Concluído</v>
      </c>
      <c r="H724" s="64">
        <f>VLOOKUP(A724,'Aux - pivots1'!$A:$B,2,0)</f>
        <v>1</v>
      </c>
      <c r="I724" s="172" t="e">
        <f>SUMIFS(Table1[Estimação (horas)],Table1[Tabela],Plano_V3!E724,Table1[Campo],Plano_V3!F724)</f>
        <v>#N/A</v>
      </c>
      <c r="J724" s="172" t="e">
        <f t="shared" si="374"/>
        <v>#N/A</v>
      </c>
      <c r="K724" s="172" t="e">
        <f>SUMIFS(Table1[Horas efetivas],Table1[Tabela],Plano_V3!E724,Table1[Campo],Plano_V3!F724)</f>
        <v>#N/A</v>
      </c>
      <c r="L724" s="172" t="e">
        <f t="shared" si="375"/>
        <v>#N/A</v>
      </c>
      <c r="M724" s="174"/>
      <c r="N724" s="174" t="e">
        <f t="shared" si="376"/>
        <v>#N/A</v>
      </c>
      <c r="O724" s="174"/>
      <c r="P724" s="89"/>
      <c r="R724" s="78"/>
      <c r="S724" s="78"/>
      <c r="T724" s="78"/>
      <c r="U724" s="78"/>
      <c r="V724" s="78"/>
      <c r="W724" s="78"/>
      <c r="X724" s="78"/>
      <c r="Y724" s="78"/>
      <c r="Z724" s="78"/>
      <c r="AA724" s="78"/>
      <c r="AB724" s="78"/>
      <c r="AC724" s="78"/>
      <c r="AD724" s="78"/>
      <c r="AE724" s="78"/>
      <c r="AF724" s="78"/>
      <c r="AG724" s="78"/>
      <c r="AH724" s="78"/>
      <c r="AI724" s="78"/>
      <c r="AJ724" s="78"/>
      <c r="AK724" s="78"/>
      <c r="AL724" s="78"/>
      <c r="AM724" s="78"/>
      <c r="AN724" s="78"/>
      <c r="AO724" s="78"/>
      <c r="AP724" s="78"/>
      <c r="AQ724" s="78"/>
      <c r="AR724" s="78"/>
      <c r="AS724" s="78"/>
      <c r="AT724" s="78"/>
      <c r="AU724" s="78"/>
      <c r="AV724" s="78"/>
      <c r="AW724" s="78"/>
      <c r="AX724" s="78"/>
      <c r="AY724" s="91"/>
      <c r="AZ724" s="78"/>
      <c r="BA724" s="78"/>
      <c r="BB724" s="78"/>
      <c r="BC724" s="78"/>
      <c r="BD724" s="78"/>
      <c r="BE724" s="78"/>
      <c r="BF724" s="78"/>
      <c r="BG724" s="78"/>
      <c r="BH724" s="78"/>
      <c r="BI724" s="78"/>
      <c r="BJ724" s="78"/>
      <c r="BK724" s="78"/>
      <c r="BL724" s="78"/>
      <c r="BM724" s="78"/>
      <c r="BN724" s="78"/>
      <c r="BO724" s="78"/>
      <c r="BP724" s="78"/>
      <c r="BQ724" s="78"/>
      <c r="BR724" s="78"/>
      <c r="BS724" s="78"/>
      <c r="BT724" s="78"/>
      <c r="BU724" s="78"/>
      <c r="BV724" s="78"/>
      <c r="BW724" s="78"/>
      <c r="BX724" s="78"/>
      <c r="BY724" s="78"/>
      <c r="BZ724" s="78"/>
      <c r="CA724" s="78"/>
      <c r="CB724" s="78"/>
      <c r="CC724" s="78"/>
      <c r="CD724" s="78"/>
      <c r="CE724" s="78"/>
      <c r="CF724" s="78"/>
      <c r="CG724" s="78"/>
      <c r="CH724" s="78"/>
      <c r="CI724" s="78"/>
      <c r="CJ724" s="78"/>
      <c r="CK724" s="78"/>
      <c r="CL724" s="78"/>
      <c r="CM724" s="78"/>
      <c r="CN724" s="78"/>
      <c r="CO724" s="78"/>
      <c r="CP724" s="78"/>
      <c r="CQ724" s="78"/>
      <c r="CR724" s="78"/>
      <c r="CS724" s="78"/>
      <c r="CT724" s="78"/>
      <c r="CU724" s="78"/>
      <c r="CV724" s="78"/>
      <c r="CW724" s="78"/>
      <c r="CX724" s="78"/>
      <c r="CY724" s="78"/>
      <c r="CZ724" s="78"/>
      <c r="DA724" s="78"/>
      <c r="DB724" s="78"/>
      <c r="DC724" s="78"/>
      <c r="DD724" s="78"/>
      <c r="DE724" s="78"/>
      <c r="DF724" s="78"/>
      <c r="DG724" s="78"/>
      <c r="DH724" s="78"/>
      <c r="DI724" s="78"/>
      <c r="DJ724" s="78"/>
      <c r="DK724" s="78"/>
      <c r="DL724" s="78"/>
      <c r="DM724" s="78"/>
      <c r="DN724" s="78"/>
      <c r="DO724" s="78"/>
      <c r="DP724" s="78"/>
      <c r="DQ724" s="78"/>
      <c r="DR724" s="78"/>
      <c r="DS724" s="78"/>
      <c r="DT724" s="78"/>
      <c r="DU724" s="78"/>
      <c r="DV724" s="78"/>
      <c r="DW724" s="78"/>
      <c r="DX724" s="78"/>
      <c r="DY724" s="78"/>
      <c r="DZ724" s="78"/>
      <c r="EA724" s="78"/>
      <c r="EB724" s="78"/>
      <c r="EC724" s="78"/>
      <c r="ED724" s="78"/>
      <c r="EE724" s="78"/>
      <c r="EF724" s="78"/>
      <c r="EG724" s="78"/>
      <c r="EH724" s="78"/>
      <c r="EI724" s="78"/>
      <c r="EJ724" s="78"/>
      <c r="EK724" s="78"/>
      <c r="EL724" s="78"/>
      <c r="EM724" s="78"/>
      <c r="EN724" s="91"/>
      <c r="EO724" s="91"/>
      <c r="EP724" s="91"/>
      <c r="EQ724" s="91"/>
      <c r="ER724" s="91"/>
      <c r="ES724" s="91"/>
    </row>
    <row r="725" spans="1:149" outlineLevel="1">
      <c r="A725" s="29" t="str">
        <f t="shared" si="373"/>
        <v>lt007_instr_activityINSTRMNT_ID</v>
      </c>
      <c r="B725" s="67" t="s">
        <v>26</v>
      </c>
      <c r="C725" s="68" t="s">
        <v>26</v>
      </c>
      <c r="D725" s="64" t="s">
        <v>40</v>
      </c>
      <c r="E725" s="70" t="s">
        <v>1859</v>
      </c>
      <c r="F725" s="353" t="s">
        <v>1307</v>
      </c>
      <c r="G725" s="64" t="str">
        <f>INDEX(Auxiliar!$B$16:$B$24,MATCH(Plano_V3!H725,Auxiliar!$C$16:$C$24,0),1)</f>
        <v>2.1 Em Teste</v>
      </c>
      <c r="H725" s="64">
        <f>VLOOKUP(A725,'Aux - pivots1'!$A:$B,2,0)</f>
        <v>2</v>
      </c>
      <c r="I725" s="172" t="e">
        <f>SUMIFS(Table1[Estimação (horas)],Table1[Tabela],Plano_V3!E725,Table1[Campo],Plano_V3!F725)</f>
        <v>#N/A</v>
      </c>
      <c r="J725" s="172" t="e">
        <f t="shared" si="374"/>
        <v>#N/A</v>
      </c>
      <c r="K725" s="172" t="e">
        <f>SUMIFS(Table1[Horas efetivas],Table1[Tabela],Plano_V3!E725,Table1[Campo],Plano_V3!F725)</f>
        <v>#N/A</v>
      </c>
      <c r="L725" s="172" t="e">
        <f t="shared" si="375"/>
        <v>#N/A</v>
      </c>
      <c r="M725" s="174"/>
      <c r="N725" s="174" t="e">
        <f t="shared" si="376"/>
        <v>#N/A</v>
      </c>
      <c r="O725" s="174"/>
      <c r="P725" s="89"/>
      <c r="R725" s="78"/>
      <c r="S725" s="78"/>
      <c r="T725" s="78"/>
      <c r="U725" s="78"/>
      <c r="V725" s="78"/>
      <c r="W725" s="78"/>
      <c r="X725" s="78"/>
      <c r="Y725" s="78"/>
      <c r="Z725" s="78"/>
      <c r="AA725" s="78"/>
      <c r="AB725" s="78"/>
      <c r="AC725" s="78"/>
      <c r="AD725" s="78"/>
      <c r="AE725" s="78"/>
      <c r="AF725" s="78"/>
      <c r="AG725" s="78"/>
      <c r="AH725" s="78"/>
      <c r="AI725" s="78"/>
      <c r="AJ725" s="78"/>
      <c r="AK725" s="78"/>
      <c r="AL725" s="78"/>
      <c r="AM725" s="78"/>
      <c r="AN725" s="78"/>
      <c r="AO725" s="78"/>
      <c r="AP725" s="78"/>
      <c r="AQ725" s="78"/>
      <c r="AR725" s="78"/>
      <c r="AS725" s="78"/>
      <c r="AT725" s="78"/>
      <c r="AU725" s="78"/>
      <c r="AV725" s="78"/>
      <c r="AW725" s="78"/>
      <c r="AX725" s="78"/>
      <c r="AY725" s="91"/>
      <c r="AZ725" s="78"/>
      <c r="BA725" s="78"/>
      <c r="BB725" s="78"/>
      <c r="BC725" s="78"/>
      <c r="BD725" s="78"/>
      <c r="BE725" s="78"/>
      <c r="BF725" s="78"/>
      <c r="BG725" s="78"/>
      <c r="BH725" s="78"/>
      <c r="BI725" s="78"/>
      <c r="BJ725" s="78"/>
      <c r="BK725" s="78"/>
      <c r="BL725" s="78"/>
      <c r="BM725" s="78"/>
      <c r="BN725" s="78"/>
      <c r="BO725" s="78"/>
      <c r="BP725" s="78"/>
      <c r="BQ725" s="78"/>
      <c r="BR725" s="78"/>
      <c r="BS725" s="78"/>
      <c r="BT725" s="78"/>
      <c r="BU725" s="78"/>
      <c r="BV725" s="78"/>
      <c r="BW725" s="78"/>
      <c r="BX725" s="78"/>
      <c r="BY725" s="78"/>
      <c r="BZ725" s="78"/>
      <c r="CA725" s="78"/>
      <c r="CB725" s="78"/>
      <c r="CC725" s="78"/>
      <c r="CD725" s="78"/>
      <c r="CE725" s="78"/>
      <c r="CF725" s="78"/>
      <c r="CG725" s="78"/>
      <c r="CH725" s="78"/>
      <c r="CI725" s="78"/>
      <c r="CJ725" s="78"/>
      <c r="CK725" s="78"/>
      <c r="CL725" s="78"/>
      <c r="CM725" s="78"/>
      <c r="CN725" s="78"/>
      <c r="CO725" s="78"/>
      <c r="CP725" s="78"/>
      <c r="CQ725" s="78"/>
      <c r="CR725" s="78"/>
      <c r="CS725" s="78"/>
      <c r="CT725" s="78"/>
      <c r="CU725" s="78"/>
      <c r="CV725" s="78"/>
      <c r="CW725" s="78"/>
      <c r="CX725" s="78"/>
      <c r="CY725" s="78"/>
      <c r="CZ725" s="78"/>
      <c r="DA725" s="78"/>
      <c r="DB725" s="78"/>
      <c r="DC725" s="78"/>
      <c r="DD725" s="78"/>
      <c r="DE725" s="78"/>
      <c r="DF725" s="78"/>
      <c r="DG725" s="78"/>
      <c r="DH725" s="78"/>
      <c r="DI725" s="78"/>
      <c r="DJ725" s="78"/>
      <c r="DK725" s="78"/>
      <c r="DL725" s="78"/>
      <c r="DM725" s="78"/>
      <c r="DN725" s="78"/>
      <c r="DO725" s="78"/>
      <c r="DP725" s="78"/>
      <c r="DQ725" s="78"/>
      <c r="DR725" s="78"/>
      <c r="DS725" s="78"/>
      <c r="DT725" s="78"/>
      <c r="DU725" s="78"/>
      <c r="DV725" s="78"/>
      <c r="DW725" s="78"/>
      <c r="DX725" s="78"/>
      <c r="DY725" s="78"/>
      <c r="DZ725" s="78"/>
      <c r="EA725" s="78"/>
      <c r="EB725" s="78"/>
      <c r="EC725" s="78"/>
      <c r="ED725" s="78"/>
      <c r="EE725" s="78"/>
      <c r="EF725" s="78"/>
      <c r="EG725" s="78"/>
      <c r="EH725" s="78"/>
      <c r="EI725" s="78"/>
      <c r="EJ725" s="78"/>
      <c r="EK725" s="78"/>
      <c r="EL725" s="78"/>
      <c r="EM725" s="78"/>
      <c r="EN725" s="91"/>
      <c r="EO725" s="91"/>
      <c r="EP725" s="91"/>
      <c r="EQ725" s="91"/>
      <c r="ER725" s="91"/>
      <c r="ES725" s="91"/>
    </row>
    <row r="726" spans="1:149" outlineLevel="1">
      <c r="A726" s="29" t="str">
        <f t="shared" si="373"/>
        <v>lt007_instr_activityPRCNTG_ACTVTY</v>
      </c>
      <c r="B726" s="67" t="s">
        <v>26</v>
      </c>
      <c r="C726" s="68" t="s">
        <v>26</v>
      </c>
      <c r="D726" s="64" t="s">
        <v>40</v>
      </c>
      <c r="E726" s="70" t="s">
        <v>1859</v>
      </c>
      <c r="F726" s="353" t="s">
        <v>2291</v>
      </c>
      <c r="G726" s="64" t="str">
        <f>INDEX(Auxiliar!$B$16:$B$24,MATCH(Plano_V3!H726,Auxiliar!$C$16:$C$24,0),1)</f>
        <v xml:space="preserve">6. Em implementação </v>
      </c>
      <c r="H726" s="64">
        <f>VLOOKUP(A726,'Aux - pivots1'!$A:$B,2,0)</f>
        <v>7</v>
      </c>
      <c r="I726" s="172" t="e">
        <f>SUMIFS(Table1[Estimação (horas)],Table1[Tabela],Plano_V3!E726,Table1[Campo],Plano_V3!F726)</f>
        <v>#N/A</v>
      </c>
      <c r="J726" s="172" t="e">
        <f t="shared" si="374"/>
        <v>#N/A</v>
      </c>
      <c r="K726" s="172" t="e">
        <f>SUMIFS(Table1[Horas efetivas],Table1[Tabela],Plano_V3!E726,Table1[Campo],Plano_V3!F726)</f>
        <v>#N/A</v>
      </c>
      <c r="L726" s="172" t="e">
        <f t="shared" si="375"/>
        <v>#N/A</v>
      </c>
      <c r="M726" s="174"/>
      <c r="N726" s="174" t="e">
        <f t="shared" si="376"/>
        <v>#N/A</v>
      </c>
      <c r="O726" s="174"/>
      <c r="P726" s="89"/>
      <c r="R726" s="78"/>
      <c r="S726" s="78"/>
      <c r="T726" s="78"/>
      <c r="U726" s="78"/>
      <c r="V726" s="78"/>
      <c r="W726" s="78"/>
      <c r="X726" s="78"/>
      <c r="Y726" s="78"/>
      <c r="Z726" s="78"/>
      <c r="AA726" s="78"/>
      <c r="AB726" s="78"/>
      <c r="AC726" s="78"/>
      <c r="AD726" s="78"/>
      <c r="AE726" s="78"/>
      <c r="AF726" s="78"/>
      <c r="AG726" s="78"/>
      <c r="AH726" s="78"/>
      <c r="AI726" s="78"/>
      <c r="AJ726" s="78"/>
      <c r="AK726" s="78"/>
      <c r="AL726" s="78"/>
      <c r="AM726" s="78"/>
      <c r="AN726" s="78"/>
      <c r="AO726" s="78"/>
      <c r="AP726" s="78"/>
      <c r="AQ726" s="78"/>
      <c r="AR726" s="78"/>
      <c r="AS726" s="78"/>
      <c r="AT726" s="78"/>
      <c r="AU726" s="78"/>
      <c r="AV726" s="78"/>
      <c r="AW726" s="78"/>
      <c r="AX726" s="78"/>
      <c r="AY726" s="91"/>
      <c r="AZ726" s="78"/>
      <c r="BA726" s="78"/>
      <c r="BB726" s="78"/>
      <c r="BC726" s="78"/>
      <c r="BD726" s="78"/>
      <c r="BE726" s="78"/>
      <c r="BF726" s="78"/>
      <c r="BG726" s="78"/>
      <c r="BH726" s="78"/>
      <c r="BI726" s="78"/>
      <c r="BJ726" s="78"/>
      <c r="BK726" s="78"/>
      <c r="BL726" s="78"/>
      <c r="BM726" s="78"/>
      <c r="BN726" s="78"/>
      <c r="BO726" s="78"/>
      <c r="BP726" s="78"/>
      <c r="BQ726" s="78"/>
      <c r="BR726" s="78"/>
      <c r="BS726" s="78"/>
      <c r="BT726" s="78"/>
      <c r="BU726" s="78"/>
      <c r="BV726" s="78"/>
      <c r="BW726" s="78"/>
      <c r="BX726" s="78"/>
      <c r="BY726" s="78"/>
      <c r="BZ726" s="78"/>
      <c r="CA726" s="78"/>
      <c r="CB726" s="78"/>
      <c r="CC726" s="78"/>
      <c r="CD726" s="78"/>
      <c r="CE726" s="78"/>
      <c r="CF726" s="78"/>
      <c r="CG726" s="78"/>
      <c r="CH726" s="78"/>
      <c r="CI726" s="78"/>
      <c r="CJ726" s="78"/>
      <c r="CK726" s="78"/>
      <c r="CL726" s="78"/>
      <c r="CM726" s="78"/>
      <c r="CN726" s="78"/>
      <c r="CO726" s="78"/>
      <c r="CP726" s="78"/>
      <c r="CQ726" s="78"/>
      <c r="CR726" s="78"/>
      <c r="CS726" s="78"/>
      <c r="CT726" s="78"/>
      <c r="CU726" s="78"/>
      <c r="CV726" s="78"/>
      <c r="CW726" s="78"/>
      <c r="CX726" s="78"/>
      <c r="CY726" s="78"/>
      <c r="CZ726" s="78"/>
      <c r="DA726" s="78"/>
      <c r="DB726" s="78"/>
      <c r="DC726" s="78"/>
      <c r="DD726" s="78"/>
      <c r="DE726" s="78"/>
      <c r="DF726" s="78"/>
      <c r="DG726" s="78"/>
      <c r="DH726" s="78"/>
      <c r="DI726" s="78"/>
      <c r="DJ726" s="78"/>
      <c r="DK726" s="78"/>
      <c r="DL726" s="78"/>
      <c r="DM726" s="78"/>
      <c r="DN726" s="78"/>
      <c r="DO726" s="78"/>
      <c r="DP726" s="78"/>
      <c r="DQ726" s="78"/>
      <c r="DR726" s="78"/>
      <c r="DS726" s="78"/>
      <c r="DT726" s="78"/>
      <c r="DU726" s="78"/>
      <c r="DV726" s="78"/>
      <c r="DW726" s="78"/>
      <c r="DX726" s="78"/>
      <c r="DY726" s="78"/>
      <c r="DZ726" s="78"/>
      <c r="EA726" s="78"/>
      <c r="EB726" s="78"/>
      <c r="EC726" s="78"/>
      <c r="ED726" s="78"/>
      <c r="EE726" s="78"/>
      <c r="EF726" s="78"/>
      <c r="EG726" s="78"/>
      <c r="EH726" s="78"/>
      <c r="EI726" s="78"/>
      <c r="EJ726" s="78"/>
      <c r="EK726" s="78"/>
      <c r="EL726" s="78"/>
      <c r="EM726" s="78"/>
      <c r="EN726" s="91"/>
      <c r="EO726" s="91"/>
      <c r="EP726" s="91"/>
      <c r="EQ726" s="91"/>
      <c r="ER726" s="91"/>
      <c r="ES726" s="91"/>
    </row>
    <row r="727" spans="1:149" outlineLevel="1">
      <c r="A727" s="29" t="str">
        <f t="shared" si="373"/>
        <v>lt007_instr_activityFLG_SBSTNTL_CNTRBTN</v>
      </c>
      <c r="B727" s="67" t="s">
        <v>26</v>
      </c>
      <c r="C727" s="68" t="s">
        <v>26</v>
      </c>
      <c r="D727" s="64" t="s">
        <v>40</v>
      </c>
      <c r="E727" s="70" t="s">
        <v>1859</v>
      </c>
      <c r="F727" s="353" t="s">
        <v>2292</v>
      </c>
      <c r="G727" s="64" t="str">
        <f>INDEX(Auxiliar!$B$16:$B$24,MATCH(Plano_V3!H727,Auxiliar!$C$16:$C$24,0),1)</f>
        <v xml:space="preserve">6. Em implementação </v>
      </c>
      <c r="H727" s="64">
        <f>VLOOKUP(A727,'Aux - pivots1'!$A:$B,2,0)</f>
        <v>7</v>
      </c>
      <c r="I727" s="172" t="e">
        <f>SUMIFS(Table1[Estimação (horas)],Table1[Tabela],Plano_V3!E727,Table1[Campo],Plano_V3!F727)</f>
        <v>#N/A</v>
      </c>
      <c r="J727" s="172" t="e">
        <f t="shared" si="374"/>
        <v>#N/A</v>
      </c>
      <c r="K727" s="172" t="e">
        <f>SUMIFS(Table1[Horas efetivas],Table1[Tabela],Plano_V3!E727,Table1[Campo],Plano_V3!F727)</f>
        <v>#N/A</v>
      </c>
      <c r="L727" s="172" t="e">
        <f t="shared" si="375"/>
        <v>#N/A</v>
      </c>
      <c r="M727" s="174"/>
      <c r="N727" s="174" t="e">
        <f t="shared" si="376"/>
        <v>#N/A</v>
      </c>
      <c r="O727" s="174"/>
      <c r="P727" s="89"/>
      <c r="R727" s="78"/>
      <c r="S727" s="78"/>
      <c r="T727" s="78"/>
      <c r="U727" s="78"/>
      <c r="V727" s="78"/>
      <c r="W727" s="78"/>
      <c r="X727" s="78"/>
      <c r="Y727" s="78"/>
      <c r="Z727" s="78"/>
      <c r="AA727" s="78"/>
      <c r="AB727" s="78"/>
      <c r="AC727" s="78"/>
      <c r="AD727" s="78"/>
      <c r="AE727" s="78"/>
      <c r="AF727" s="78"/>
      <c r="AG727" s="78"/>
      <c r="AH727" s="78"/>
      <c r="AI727" s="78"/>
      <c r="AJ727" s="78"/>
      <c r="AK727" s="78"/>
      <c r="AL727" s="78"/>
      <c r="AM727" s="78"/>
      <c r="AN727" s="78"/>
      <c r="AO727" s="78"/>
      <c r="AP727" s="78"/>
      <c r="AQ727" s="78"/>
      <c r="AR727" s="78"/>
      <c r="AS727" s="78"/>
      <c r="AT727" s="78"/>
      <c r="AU727" s="78"/>
      <c r="AV727" s="78"/>
      <c r="AW727" s="78"/>
      <c r="AX727" s="78"/>
      <c r="AY727" s="91"/>
      <c r="AZ727" s="78"/>
      <c r="BA727" s="78"/>
      <c r="BB727" s="78"/>
      <c r="BC727" s="78"/>
      <c r="BD727" s="78"/>
      <c r="BE727" s="78"/>
      <c r="BF727" s="78"/>
      <c r="BG727" s="78"/>
      <c r="BH727" s="78"/>
      <c r="BI727" s="78"/>
      <c r="BJ727" s="78"/>
      <c r="BK727" s="78"/>
      <c r="BL727" s="78"/>
      <c r="BM727" s="78"/>
      <c r="BN727" s="78"/>
      <c r="BO727" s="78"/>
      <c r="BP727" s="78"/>
      <c r="BQ727" s="78"/>
      <c r="BR727" s="78"/>
      <c r="BS727" s="78"/>
      <c r="BT727" s="78"/>
      <c r="BU727" s="78"/>
      <c r="BV727" s="78"/>
      <c r="BW727" s="78"/>
      <c r="BX727" s="78"/>
      <c r="BY727" s="78"/>
      <c r="BZ727" s="78"/>
      <c r="CA727" s="78"/>
      <c r="CB727" s="78"/>
      <c r="CC727" s="78"/>
      <c r="CD727" s="78"/>
      <c r="CE727" s="78"/>
      <c r="CF727" s="78"/>
      <c r="CG727" s="78"/>
      <c r="CH727" s="78"/>
      <c r="CI727" s="78"/>
      <c r="CJ727" s="78"/>
      <c r="CK727" s="78"/>
      <c r="CL727" s="78"/>
      <c r="CM727" s="78"/>
      <c r="CN727" s="78"/>
      <c r="CO727" s="78"/>
      <c r="CP727" s="78"/>
      <c r="CQ727" s="78"/>
      <c r="CR727" s="78"/>
      <c r="CS727" s="78"/>
      <c r="CT727" s="78"/>
      <c r="CU727" s="78"/>
      <c r="CV727" s="78"/>
      <c r="CW727" s="78"/>
      <c r="CX727" s="78"/>
      <c r="CY727" s="78"/>
      <c r="CZ727" s="78"/>
      <c r="DA727" s="78"/>
      <c r="DB727" s="78"/>
      <c r="DC727" s="78"/>
      <c r="DD727" s="78"/>
      <c r="DE727" s="78"/>
      <c r="DF727" s="78"/>
      <c r="DG727" s="78"/>
      <c r="DH727" s="78"/>
      <c r="DI727" s="78"/>
      <c r="DJ727" s="78"/>
      <c r="DK727" s="78"/>
      <c r="DL727" s="78"/>
      <c r="DM727" s="78"/>
      <c r="DN727" s="78"/>
      <c r="DO727" s="78"/>
      <c r="DP727" s="78"/>
      <c r="DQ727" s="78"/>
      <c r="DR727" s="78"/>
      <c r="DS727" s="78"/>
      <c r="DT727" s="78"/>
      <c r="DU727" s="78"/>
      <c r="DV727" s="78"/>
      <c r="DW727" s="78"/>
      <c r="DX727" s="78"/>
      <c r="DY727" s="78"/>
      <c r="DZ727" s="78"/>
      <c r="EA727" s="78"/>
      <c r="EB727" s="78"/>
      <c r="EC727" s="78"/>
      <c r="ED727" s="78"/>
      <c r="EE727" s="78"/>
      <c r="EF727" s="78"/>
      <c r="EG727" s="78"/>
      <c r="EH727" s="78"/>
      <c r="EI727" s="78"/>
      <c r="EJ727" s="78"/>
      <c r="EK727" s="78"/>
      <c r="EL727" s="78"/>
      <c r="EM727" s="78"/>
      <c r="EN727" s="91"/>
      <c r="EO727" s="91"/>
      <c r="EP727" s="91"/>
      <c r="EQ727" s="91"/>
      <c r="ER727" s="91"/>
      <c r="ES727" s="91"/>
    </row>
    <row r="728" spans="1:149" outlineLevel="1">
      <c r="A728" s="29" t="str">
        <f t="shared" si="373"/>
        <v>lt007_instr_activityFLG_DNSH_CMPLNC</v>
      </c>
      <c r="B728" s="67" t="s">
        <v>26</v>
      </c>
      <c r="C728" s="68" t="s">
        <v>26</v>
      </c>
      <c r="D728" s="64" t="s">
        <v>40</v>
      </c>
      <c r="E728" s="70" t="s">
        <v>1859</v>
      </c>
      <c r="F728" s="353" t="s">
        <v>2293</v>
      </c>
      <c r="G728" s="64" t="str">
        <f>INDEX(Auxiliar!$B$16:$B$24,MATCH(Plano_V3!H728,Auxiliar!$C$16:$C$24,0),1)</f>
        <v>1. Concluído</v>
      </c>
      <c r="H728" s="64">
        <f>VLOOKUP(A728,'Aux - pivots1'!$A:$B,2,0)</f>
        <v>1</v>
      </c>
      <c r="I728" s="172" t="e">
        <f>SUMIFS(Table1[Estimação (horas)],Table1[Tabela],Plano_V3!E728,Table1[Campo],Plano_V3!F728)</f>
        <v>#N/A</v>
      </c>
      <c r="J728" s="172" t="e">
        <f t="shared" si="374"/>
        <v>#N/A</v>
      </c>
      <c r="K728" s="172" t="e">
        <f>SUMIFS(Table1[Horas efetivas],Table1[Tabela],Plano_V3!E728,Table1[Campo],Plano_V3!F728)</f>
        <v>#N/A</v>
      </c>
      <c r="L728" s="172" t="e">
        <f t="shared" si="375"/>
        <v>#N/A</v>
      </c>
      <c r="M728" s="174"/>
      <c r="N728" s="174" t="e">
        <f t="shared" si="376"/>
        <v>#N/A</v>
      </c>
      <c r="O728" s="174"/>
      <c r="P728" s="89"/>
      <c r="R728" s="78"/>
      <c r="S728" s="78"/>
      <c r="T728" s="78"/>
      <c r="U728" s="78"/>
      <c r="V728" s="78"/>
      <c r="W728" s="78"/>
      <c r="X728" s="78"/>
      <c r="Y728" s="78"/>
      <c r="Z728" s="78"/>
      <c r="AA728" s="78"/>
      <c r="AB728" s="78"/>
      <c r="AC728" s="78"/>
      <c r="AD728" s="78"/>
      <c r="AE728" s="78"/>
      <c r="AF728" s="78"/>
      <c r="AG728" s="78"/>
      <c r="AH728" s="78"/>
      <c r="AI728" s="78"/>
      <c r="AJ728" s="78"/>
      <c r="AK728" s="78"/>
      <c r="AL728" s="78"/>
      <c r="AM728" s="78"/>
      <c r="AN728" s="78"/>
      <c r="AO728" s="78"/>
      <c r="AP728" s="78"/>
      <c r="AQ728" s="78"/>
      <c r="AR728" s="78"/>
      <c r="AS728" s="78"/>
      <c r="AT728" s="78"/>
      <c r="AU728" s="78"/>
      <c r="AV728" s="78"/>
      <c r="AW728" s="78"/>
      <c r="AX728" s="78"/>
      <c r="AY728" s="91"/>
      <c r="AZ728" s="78"/>
      <c r="BA728" s="78"/>
      <c r="BB728" s="78"/>
      <c r="BC728" s="78"/>
      <c r="BD728" s="78"/>
      <c r="BE728" s="78"/>
      <c r="BF728" s="78"/>
      <c r="BG728" s="78"/>
      <c r="BH728" s="78"/>
      <c r="BI728" s="78"/>
      <c r="BJ728" s="78"/>
      <c r="BK728" s="78"/>
      <c r="BL728" s="78"/>
      <c r="BM728" s="78"/>
      <c r="BN728" s="78"/>
      <c r="BO728" s="78"/>
      <c r="BP728" s="78"/>
      <c r="BQ728" s="78"/>
      <c r="BR728" s="78"/>
      <c r="BS728" s="78"/>
      <c r="BT728" s="78"/>
      <c r="BU728" s="78"/>
      <c r="BV728" s="78"/>
      <c r="BW728" s="78"/>
      <c r="BX728" s="78"/>
      <c r="BY728" s="78"/>
      <c r="BZ728" s="78"/>
      <c r="CA728" s="78"/>
      <c r="CB728" s="78"/>
      <c r="CC728" s="78"/>
      <c r="CD728" s="78"/>
      <c r="CE728" s="78"/>
      <c r="CF728" s="78"/>
      <c r="CG728" s="78"/>
      <c r="CH728" s="78"/>
      <c r="CI728" s="78"/>
      <c r="CJ728" s="78"/>
      <c r="CK728" s="78"/>
      <c r="CL728" s="78"/>
      <c r="CM728" s="78"/>
      <c r="CN728" s="78"/>
      <c r="CO728" s="78"/>
      <c r="CP728" s="78"/>
      <c r="CQ728" s="78"/>
      <c r="CR728" s="78"/>
      <c r="CS728" s="78"/>
      <c r="CT728" s="78"/>
      <c r="CU728" s="78"/>
      <c r="CV728" s="78"/>
      <c r="CW728" s="78"/>
      <c r="CX728" s="78"/>
      <c r="CY728" s="78"/>
      <c r="CZ728" s="78"/>
      <c r="DA728" s="78"/>
      <c r="DB728" s="78"/>
      <c r="DC728" s="78"/>
      <c r="DD728" s="78"/>
      <c r="DE728" s="78"/>
      <c r="DF728" s="78"/>
      <c r="DG728" s="78"/>
      <c r="DH728" s="78"/>
      <c r="DI728" s="78"/>
      <c r="DJ728" s="78"/>
      <c r="DK728" s="78"/>
      <c r="DL728" s="78"/>
      <c r="DM728" s="78"/>
      <c r="DN728" s="78"/>
      <c r="DO728" s="78"/>
      <c r="DP728" s="78"/>
      <c r="DQ728" s="78"/>
      <c r="DR728" s="78"/>
      <c r="DS728" s="78"/>
      <c r="DT728" s="78"/>
      <c r="DU728" s="78"/>
      <c r="DV728" s="78"/>
      <c r="DW728" s="78"/>
      <c r="DX728" s="78"/>
      <c r="DY728" s="78"/>
      <c r="DZ728" s="78"/>
      <c r="EA728" s="78"/>
      <c r="EB728" s="78"/>
      <c r="EC728" s="78"/>
      <c r="ED728" s="78"/>
      <c r="EE728" s="78"/>
      <c r="EF728" s="78"/>
      <c r="EG728" s="78"/>
      <c r="EH728" s="78"/>
      <c r="EI728" s="78"/>
      <c r="EJ728" s="78"/>
      <c r="EK728" s="78"/>
      <c r="EL728" s="78"/>
      <c r="EM728" s="78"/>
      <c r="EN728" s="91"/>
      <c r="EO728" s="91"/>
      <c r="EP728" s="91"/>
      <c r="EQ728" s="91"/>
      <c r="ER728" s="91"/>
      <c r="ES728" s="91"/>
    </row>
    <row r="729" spans="1:149" outlineLevel="1">
      <c r="A729" s="29" t="str">
        <f t="shared" si="373"/>
        <v>lt007_instr_activityDNSH_DTL</v>
      </c>
      <c r="B729" s="67" t="s">
        <v>26</v>
      </c>
      <c r="C729" s="68" t="s">
        <v>26</v>
      </c>
      <c r="D729" s="64" t="s">
        <v>40</v>
      </c>
      <c r="E729" s="70" t="s">
        <v>1859</v>
      </c>
      <c r="F729" s="353" t="s">
        <v>2294</v>
      </c>
      <c r="G729" s="64" t="str">
        <f>INDEX(Auxiliar!$B$16:$B$24,MATCH(Plano_V3!H729,Auxiliar!$C$16:$C$24,0),1)</f>
        <v>2.1 Em Teste</v>
      </c>
      <c r="H729" s="64">
        <f>VLOOKUP(A729,'Aux - pivots1'!$A:$B,2,0)</f>
        <v>2</v>
      </c>
      <c r="I729" s="172" t="e">
        <f>SUMIFS(Table1[Estimação (horas)],Table1[Tabela],Plano_V3!E729,Table1[Campo],Plano_V3!F729)</f>
        <v>#N/A</v>
      </c>
      <c r="J729" s="172" t="e">
        <f t="shared" si="374"/>
        <v>#N/A</v>
      </c>
      <c r="K729" s="172" t="e">
        <f>SUMIFS(Table1[Horas efetivas],Table1[Tabela],Plano_V3!E729,Table1[Campo],Plano_V3!F729)</f>
        <v>#N/A</v>
      </c>
      <c r="L729" s="172" t="e">
        <f t="shared" si="375"/>
        <v>#N/A</v>
      </c>
      <c r="M729" s="174"/>
      <c r="N729" s="174" t="e">
        <f t="shared" si="376"/>
        <v>#N/A</v>
      </c>
      <c r="O729" s="174"/>
      <c r="P729" s="89"/>
      <c r="R729" s="78"/>
      <c r="S729" s="78"/>
      <c r="T729" s="78"/>
      <c r="U729" s="78"/>
      <c r="V729" s="78"/>
      <c r="W729" s="78"/>
      <c r="X729" s="78"/>
      <c r="Y729" s="78"/>
      <c r="Z729" s="78"/>
      <c r="AA729" s="78"/>
      <c r="AB729" s="78"/>
      <c r="AC729" s="78"/>
      <c r="AD729" s="78"/>
      <c r="AE729" s="78"/>
      <c r="AF729" s="78"/>
      <c r="AG729" s="78"/>
      <c r="AH729" s="78"/>
      <c r="AI729" s="78"/>
      <c r="AJ729" s="78"/>
      <c r="AK729" s="78"/>
      <c r="AL729" s="78"/>
      <c r="AM729" s="78"/>
      <c r="AN729" s="78"/>
      <c r="AO729" s="78"/>
      <c r="AP729" s="78"/>
      <c r="AQ729" s="78"/>
      <c r="AR729" s="78"/>
      <c r="AS729" s="78"/>
      <c r="AT729" s="78"/>
      <c r="AU729" s="78"/>
      <c r="AV729" s="78"/>
      <c r="AW729" s="78"/>
      <c r="AX729" s="78"/>
      <c r="AY729" s="91"/>
      <c r="AZ729" s="78"/>
      <c r="BA729" s="78"/>
      <c r="BB729" s="78"/>
      <c r="BC729" s="78"/>
      <c r="BD729" s="78"/>
      <c r="BE729" s="78"/>
      <c r="BF729" s="78"/>
      <c r="BG729" s="78"/>
      <c r="BH729" s="78"/>
      <c r="BI729" s="78"/>
      <c r="BJ729" s="78"/>
      <c r="BK729" s="78"/>
      <c r="BL729" s="78"/>
      <c r="BM729" s="78"/>
      <c r="BN729" s="78"/>
      <c r="BO729" s="78"/>
      <c r="BP729" s="78"/>
      <c r="BQ729" s="78"/>
      <c r="BR729" s="78"/>
      <c r="BS729" s="78"/>
      <c r="BT729" s="78"/>
      <c r="BU729" s="78"/>
      <c r="BV729" s="78"/>
      <c r="BW729" s="78"/>
      <c r="BX729" s="78"/>
      <c r="BY729" s="78"/>
      <c r="BZ729" s="78"/>
      <c r="CA729" s="78"/>
      <c r="CB729" s="78"/>
      <c r="CC729" s="78"/>
      <c r="CD729" s="78"/>
      <c r="CE729" s="78"/>
      <c r="CF729" s="78"/>
      <c r="CG729" s="78"/>
      <c r="CH729" s="78"/>
      <c r="CI729" s="78"/>
      <c r="CJ729" s="78"/>
      <c r="CK729" s="78"/>
      <c r="CL729" s="78"/>
      <c r="CM729" s="78"/>
      <c r="CN729" s="78"/>
      <c r="CO729" s="78"/>
      <c r="CP729" s="78"/>
      <c r="CQ729" s="78"/>
      <c r="CR729" s="78"/>
      <c r="CS729" s="78"/>
      <c r="CT729" s="78"/>
      <c r="CU729" s="78"/>
      <c r="CV729" s="78"/>
      <c r="CW729" s="78"/>
      <c r="CX729" s="78"/>
      <c r="CY729" s="78"/>
      <c r="CZ729" s="78"/>
      <c r="DA729" s="78"/>
      <c r="DB729" s="78"/>
      <c r="DC729" s="78"/>
      <c r="DD729" s="78"/>
      <c r="DE729" s="78"/>
      <c r="DF729" s="78"/>
      <c r="DG729" s="78"/>
      <c r="DH729" s="78"/>
      <c r="DI729" s="78"/>
      <c r="DJ729" s="78"/>
      <c r="DK729" s="78"/>
      <c r="DL729" s="78"/>
      <c r="DM729" s="78"/>
      <c r="DN729" s="78"/>
      <c r="DO729" s="78"/>
      <c r="DP729" s="78"/>
      <c r="DQ729" s="78"/>
      <c r="DR729" s="78"/>
      <c r="DS729" s="78"/>
      <c r="DT729" s="78"/>
      <c r="DU729" s="78"/>
      <c r="DV729" s="78"/>
      <c r="DW729" s="78"/>
      <c r="DX729" s="78"/>
      <c r="DY729" s="78"/>
      <c r="DZ729" s="78"/>
      <c r="EA729" s="78"/>
      <c r="EB729" s="78"/>
      <c r="EC729" s="78"/>
      <c r="ED729" s="78"/>
      <c r="EE729" s="78"/>
      <c r="EF729" s="78"/>
      <c r="EG729" s="78"/>
      <c r="EH729" s="78"/>
      <c r="EI729" s="78"/>
      <c r="EJ729" s="78"/>
      <c r="EK729" s="78"/>
      <c r="EL729" s="78"/>
      <c r="EM729" s="78"/>
      <c r="EN729" s="91"/>
      <c r="EO729" s="91"/>
      <c r="EP729" s="91"/>
      <c r="EQ729" s="91"/>
      <c r="ER729" s="91"/>
      <c r="ES729" s="91"/>
    </row>
    <row r="730" spans="1:149" outlineLevel="1">
      <c r="A730" s="29" t="str">
        <f t="shared" si="372"/>
        <v>lt002_instrumentgrss_intrst_incm</v>
      </c>
      <c r="B730" s="67" t="s">
        <v>26</v>
      </c>
      <c r="C730" s="68" t="s">
        <v>26</v>
      </c>
      <c r="D730" s="64" t="s">
        <v>40</v>
      </c>
      <c r="E730" s="70" t="s">
        <v>379</v>
      </c>
      <c r="F730" s="71" t="s">
        <v>420</v>
      </c>
      <c r="G730" s="64" t="str">
        <f>INDEX(Auxiliar!$B$16:$B$24,MATCH(Plano_V3!H730,Auxiliar!$C$16:$C$24,0),1)</f>
        <v xml:space="preserve">6. Em implementação </v>
      </c>
      <c r="H730" s="64">
        <f>VLOOKUP(A730,'Aux - pivots1'!$A:$B,2,0)</f>
        <v>7</v>
      </c>
      <c r="I730" s="172">
        <f>SUMIFS(Table1[Estimação (horas)],Table1[Tabela],Plano_V3!E730,Table1[Campo],Plano_V3!F730)</f>
        <v>0.1</v>
      </c>
      <c r="J730" s="172">
        <f t="shared" si="369"/>
        <v>1.2500000000000001E-2</v>
      </c>
      <c r="K730" s="172">
        <f>SUMIFS(Table1[Horas efetivas],Table1[Tabela],Plano_V3!E730,Table1[Campo],Plano_V3!F730)</f>
        <v>2.5000000000000001E-2</v>
      </c>
      <c r="L730" s="172">
        <f t="shared" si="370"/>
        <v>3.1250000000000002E-3</v>
      </c>
      <c r="M730" s="174"/>
      <c r="N730" s="174">
        <f t="shared" si="371"/>
        <v>0.25</v>
      </c>
      <c r="O730" s="174"/>
      <c r="P730" s="89" t="s">
        <v>31</v>
      </c>
      <c r="R730" s="78"/>
      <c r="S730" s="78"/>
      <c r="T730" s="78"/>
      <c r="U730" s="78"/>
      <c r="V730" s="78"/>
      <c r="W730" s="78"/>
      <c r="X730" s="78"/>
      <c r="Y730" s="78"/>
      <c r="Z730" s="78"/>
      <c r="AA730" s="78"/>
      <c r="AB730" s="78"/>
      <c r="AC730" s="78"/>
      <c r="AD730" s="78"/>
      <c r="AE730" s="78"/>
      <c r="AF730" s="78"/>
      <c r="AG730" s="78"/>
      <c r="AH730" s="78"/>
      <c r="AI730" s="78"/>
      <c r="AJ730" s="78"/>
      <c r="AK730" s="78"/>
      <c r="AL730" s="78"/>
      <c r="AM730" s="78"/>
      <c r="AN730" s="78"/>
      <c r="AO730" s="78"/>
      <c r="AP730" s="78"/>
      <c r="AQ730" s="78"/>
      <c r="AR730" s="78"/>
      <c r="AS730" s="78"/>
      <c r="AT730" s="78"/>
      <c r="AU730" s="78"/>
      <c r="AV730" s="78"/>
      <c r="AW730" s="78"/>
      <c r="AX730" s="78"/>
      <c r="AY730" s="91"/>
      <c r="AZ730" s="78"/>
      <c r="BA730" s="78"/>
      <c r="BB730" s="78"/>
      <c r="BC730" s="78"/>
      <c r="BD730" s="78"/>
      <c r="BE730" s="78"/>
      <c r="BF730" s="78"/>
      <c r="BG730" s="78"/>
      <c r="BH730" s="78"/>
      <c r="BI730" s="78"/>
      <c r="BJ730" s="78"/>
      <c r="BK730" s="78"/>
      <c r="BL730" s="78"/>
      <c r="BM730" s="78"/>
      <c r="BN730" s="78"/>
      <c r="BO730" s="78"/>
      <c r="BP730" s="78"/>
      <c r="BQ730" s="78"/>
      <c r="BR730" s="78"/>
      <c r="BS730" s="78"/>
      <c r="BT730" s="78"/>
      <c r="BU730" s="78"/>
      <c r="BV730" s="78"/>
      <c r="BW730" s="78"/>
      <c r="BX730" s="78"/>
      <c r="BY730" s="78"/>
      <c r="BZ730" s="78"/>
      <c r="CA730" s="78"/>
      <c r="CB730" s="78"/>
      <c r="CC730" s="78"/>
      <c r="CD730" s="78"/>
      <c r="CE730" s="78"/>
      <c r="CF730" s="78"/>
      <c r="CG730" s="78"/>
      <c r="CH730" s="78"/>
      <c r="CI730" s="78"/>
      <c r="CJ730" s="78"/>
      <c r="CK730" s="78"/>
      <c r="CL730" s="78"/>
      <c r="CM730" s="78"/>
      <c r="CN730" s="78"/>
      <c r="CO730" s="78"/>
      <c r="CP730" s="78"/>
      <c r="CQ730" s="78"/>
      <c r="CR730" s="78"/>
      <c r="CS730" s="78"/>
      <c r="CT730" s="78"/>
      <c r="CU730" s="78"/>
      <c r="CV730" s="78"/>
      <c r="CW730" s="78"/>
      <c r="CX730" s="78"/>
      <c r="CY730" s="78"/>
      <c r="CZ730" s="78"/>
      <c r="DA730" s="78"/>
      <c r="DB730" s="78"/>
      <c r="DC730" s="78"/>
      <c r="DD730" s="78"/>
      <c r="DE730" s="78"/>
      <c r="DF730" s="78"/>
      <c r="DG730" s="78"/>
      <c r="DH730" s="78"/>
      <c r="DI730" s="78"/>
      <c r="DJ730" s="78"/>
      <c r="DK730" s="78"/>
      <c r="DL730" s="78"/>
      <c r="DM730" s="78"/>
      <c r="DN730" s="78"/>
      <c r="DO730" s="78"/>
      <c r="DP730" s="78"/>
      <c r="DQ730" s="78"/>
      <c r="DR730" s="78"/>
      <c r="DS730" s="78"/>
      <c r="DT730" s="78"/>
      <c r="DU730" s="78"/>
      <c r="DV730" s="78"/>
      <c r="DW730" s="78"/>
      <c r="DX730" s="78"/>
      <c r="DY730" s="78"/>
      <c r="DZ730" s="78"/>
      <c r="EA730" s="78"/>
      <c r="EB730" s="78"/>
      <c r="EC730" s="78"/>
      <c r="ED730" s="78"/>
      <c r="EE730" s="78"/>
      <c r="EF730" s="78"/>
      <c r="EG730" s="78"/>
      <c r="EH730" s="78"/>
      <c r="EI730" s="78"/>
      <c r="EJ730" s="78"/>
      <c r="EK730" s="78"/>
      <c r="EL730" s="78"/>
      <c r="EM730" s="78"/>
      <c r="EN730" s="91"/>
      <c r="EO730" s="91"/>
      <c r="EP730" s="91"/>
      <c r="EQ730" s="91"/>
      <c r="ER730" s="91"/>
      <c r="ES730" s="91"/>
    </row>
    <row r="731" spans="1:149" outlineLevel="1">
      <c r="A731" s="29" t="str">
        <f t="shared" si="372"/>
        <v>lt002_instrumentgrss_cmmssn_incm</v>
      </c>
      <c r="B731" s="67" t="s">
        <v>26</v>
      </c>
      <c r="C731" s="68" t="s">
        <v>26</v>
      </c>
      <c r="D731" s="64" t="s">
        <v>40</v>
      </c>
      <c r="E731" s="70" t="s">
        <v>379</v>
      </c>
      <c r="F731" s="71" t="s">
        <v>421</v>
      </c>
      <c r="G731" s="64" t="str">
        <f>INDEX(Auxiliar!$B$16:$B$24,MATCH(Plano_V3!H731,Auxiliar!$C$16:$C$24,0),1)</f>
        <v xml:space="preserve">6. Em implementação </v>
      </c>
      <c r="H731" s="64">
        <f>VLOOKUP(A731,'Aux - pivots1'!$A:$B,2,0)</f>
        <v>7</v>
      </c>
      <c r="I731" s="172">
        <f>SUMIFS(Table1[Estimação (horas)],Table1[Tabela],Plano_V3!E731,Table1[Campo],Plano_V3!F731)</f>
        <v>0.1</v>
      </c>
      <c r="J731" s="172">
        <f t="shared" si="369"/>
        <v>1.2500000000000001E-2</v>
      </c>
      <c r="K731" s="172">
        <f>SUMIFS(Table1[Horas efetivas],Table1[Tabela],Plano_V3!E731,Table1[Campo],Plano_V3!F731)</f>
        <v>2.5000000000000001E-2</v>
      </c>
      <c r="L731" s="172">
        <f t="shared" si="370"/>
        <v>3.1250000000000002E-3</v>
      </c>
      <c r="M731" s="174"/>
      <c r="N731" s="174">
        <f t="shared" si="371"/>
        <v>0.25</v>
      </c>
      <c r="O731" s="174"/>
      <c r="P731" s="89" t="s">
        <v>31</v>
      </c>
      <c r="R731" s="78"/>
      <c r="S731" s="78"/>
      <c r="T731" s="78"/>
      <c r="U731" s="78"/>
      <c r="V731" s="78"/>
      <c r="W731" s="78"/>
      <c r="X731" s="78"/>
      <c r="Y731" s="78"/>
      <c r="Z731" s="78"/>
      <c r="AA731" s="78"/>
      <c r="AB731" s="78"/>
      <c r="AC731" s="78"/>
      <c r="AD731" s="78"/>
      <c r="AE731" s="78"/>
      <c r="AF731" s="78"/>
      <c r="AG731" s="78"/>
      <c r="AH731" s="78"/>
      <c r="AI731" s="78"/>
      <c r="AJ731" s="78"/>
      <c r="AK731" s="78"/>
      <c r="AL731" s="78"/>
      <c r="AM731" s="78"/>
      <c r="AN731" s="78"/>
      <c r="AO731" s="78"/>
      <c r="AP731" s="78"/>
      <c r="AQ731" s="78"/>
      <c r="AR731" s="78"/>
      <c r="AS731" s="78"/>
      <c r="AT731" s="78"/>
      <c r="AU731" s="78"/>
      <c r="AV731" s="78"/>
      <c r="AW731" s="78"/>
      <c r="AX731" s="78"/>
      <c r="AY731" s="91"/>
      <c r="AZ731" s="78"/>
      <c r="BA731" s="78"/>
      <c r="BB731" s="78"/>
      <c r="BC731" s="78"/>
      <c r="BD731" s="78"/>
      <c r="BE731" s="78"/>
      <c r="BF731" s="78"/>
      <c r="BG731" s="78"/>
      <c r="BH731" s="78"/>
      <c r="BI731" s="78"/>
      <c r="BJ731" s="78"/>
      <c r="BK731" s="78"/>
      <c r="BL731" s="78"/>
      <c r="BM731" s="78"/>
      <c r="BN731" s="78"/>
      <c r="BO731" s="78"/>
      <c r="BP731" s="78"/>
      <c r="BQ731" s="78"/>
      <c r="BR731" s="78"/>
      <c r="BS731" s="78"/>
      <c r="BT731" s="78"/>
      <c r="BU731" s="78"/>
      <c r="BV731" s="78"/>
      <c r="BW731" s="78"/>
      <c r="BX731" s="78"/>
      <c r="BY731" s="78"/>
      <c r="BZ731" s="78"/>
      <c r="CA731" s="78"/>
      <c r="CB731" s="78"/>
      <c r="CC731" s="78"/>
      <c r="CD731" s="78"/>
      <c r="CE731" s="78"/>
      <c r="CF731" s="78"/>
      <c r="CG731" s="78"/>
      <c r="CH731" s="78"/>
      <c r="CI731" s="78"/>
      <c r="CJ731" s="78"/>
      <c r="CK731" s="78"/>
      <c r="CL731" s="78"/>
      <c r="CM731" s="78"/>
      <c r="CN731" s="78"/>
      <c r="CO731" s="78"/>
      <c r="CP731" s="78"/>
      <c r="CQ731" s="78"/>
      <c r="CR731" s="78"/>
      <c r="CS731" s="78"/>
      <c r="CT731" s="78"/>
      <c r="CU731" s="78"/>
      <c r="CV731" s="78"/>
      <c r="CW731" s="78"/>
      <c r="CX731" s="78"/>
      <c r="CY731" s="78"/>
      <c r="CZ731" s="78"/>
      <c r="DA731" s="78"/>
      <c r="DB731" s="78"/>
      <c r="DC731" s="78"/>
      <c r="DD731" s="78"/>
      <c r="DE731" s="78"/>
      <c r="DF731" s="78"/>
      <c r="DG731" s="78"/>
      <c r="DH731" s="78"/>
      <c r="DI731" s="78"/>
      <c r="DJ731" s="78"/>
      <c r="DK731" s="78"/>
      <c r="DL731" s="78"/>
      <c r="DM731" s="78"/>
      <c r="DN731" s="78"/>
      <c r="DO731" s="78"/>
      <c r="DP731" s="78"/>
      <c r="DQ731" s="78"/>
      <c r="DR731" s="78"/>
      <c r="DS731" s="78"/>
      <c r="DT731" s="78"/>
      <c r="DU731" s="78"/>
      <c r="DV731" s="78"/>
      <c r="DW731" s="78"/>
      <c r="DX731" s="78"/>
      <c r="DY731" s="78"/>
      <c r="DZ731" s="78"/>
      <c r="EA731" s="78"/>
      <c r="EB731" s="78"/>
      <c r="EC731" s="78"/>
      <c r="ED731" s="78"/>
      <c r="EE731" s="78"/>
      <c r="EF731" s="78"/>
      <c r="EG731" s="78"/>
      <c r="EH731" s="78"/>
      <c r="EI731" s="78"/>
      <c r="EJ731" s="78"/>
      <c r="EK731" s="78"/>
      <c r="EL731" s="78"/>
      <c r="EM731" s="78"/>
      <c r="EN731" s="91"/>
      <c r="EO731" s="91"/>
      <c r="EP731" s="91"/>
      <c r="EQ731" s="91"/>
      <c r="ER731" s="91"/>
      <c r="ES731" s="91"/>
    </row>
    <row r="732" spans="1:149" outlineLevel="1">
      <c r="A732" s="29" t="str">
        <f t="shared" si="372"/>
        <v>lt002_instrumentgrss_cmmssn_incm_off_blnc</v>
      </c>
      <c r="B732" s="67" t="s">
        <v>26</v>
      </c>
      <c r="C732" s="68" t="s">
        <v>26</v>
      </c>
      <c r="D732" s="64" t="s">
        <v>40</v>
      </c>
      <c r="E732" s="70" t="s">
        <v>379</v>
      </c>
      <c r="F732" s="71" t="s">
        <v>422</v>
      </c>
      <c r="G732" s="64" t="str">
        <f>INDEX(Auxiliar!$B$16:$B$24,MATCH(Plano_V3!H732,Auxiliar!$C$16:$C$24,0),1)</f>
        <v xml:space="preserve">6. Em implementação </v>
      </c>
      <c r="H732" s="64">
        <f>VLOOKUP(A732,'Aux - pivots1'!$A:$B,2,0)</f>
        <v>7</v>
      </c>
      <c r="I732" s="172">
        <f>SUMIFS(Table1[Estimação (horas)],Table1[Tabela],Plano_V3!E732,Table1[Campo],Plano_V3!F732)</f>
        <v>0.1</v>
      </c>
      <c r="J732" s="172">
        <f t="shared" si="369"/>
        <v>1.2500000000000001E-2</v>
      </c>
      <c r="K732" s="172">
        <f>SUMIFS(Table1[Horas efetivas],Table1[Tabela],Plano_V3!E732,Table1[Campo],Plano_V3!F732)</f>
        <v>2.5000000000000001E-2</v>
      </c>
      <c r="L732" s="172">
        <f t="shared" si="370"/>
        <v>3.1250000000000002E-3</v>
      </c>
      <c r="M732" s="174"/>
      <c r="N732" s="174">
        <f t="shared" si="371"/>
        <v>0.25</v>
      </c>
      <c r="O732" s="174"/>
      <c r="P732" s="89" t="s">
        <v>31</v>
      </c>
      <c r="R732" s="78"/>
      <c r="S732" s="78"/>
      <c r="T732" s="78"/>
      <c r="U732" s="78"/>
      <c r="V732" s="78"/>
      <c r="W732" s="78"/>
      <c r="X732" s="78"/>
      <c r="Y732" s="78"/>
      <c r="Z732" s="78"/>
      <c r="AA732" s="78"/>
      <c r="AB732" s="78"/>
      <c r="AC732" s="78"/>
      <c r="AD732" s="78"/>
      <c r="AE732" s="78"/>
      <c r="AF732" s="78"/>
      <c r="AG732" s="78"/>
      <c r="AH732" s="78"/>
      <c r="AI732" s="78"/>
      <c r="AJ732" s="78"/>
      <c r="AK732" s="78"/>
      <c r="AL732" s="78"/>
      <c r="AM732" s="78"/>
      <c r="AN732" s="78"/>
      <c r="AO732" s="78"/>
      <c r="AP732" s="78"/>
      <c r="AQ732" s="78"/>
      <c r="AR732" s="78"/>
      <c r="AS732" s="78"/>
      <c r="AT732" s="78"/>
      <c r="AU732" s="78"/>
      <c r="AV732" s="78"/>
      <c r="AW732" s="78"/>
      <c r="AX732" s="78"/>
      <c r="AY732" s="91"/>
      <c r="AZ732" s="78"/>
      <c r="BA732" s="78"/>
      <c r="BB732" s="78"/>
      <c r="BC732" s="78"/>
      <c r="BD732" s="78"/>
      <c r="BE732" s="78"/>
      <c r="BF732" s="78"/>
      <c r="BG732" s="78"/>
      <c r="BH732" s="78"/>
      <c r="BI732" s="78"/>
      <c r="BJ732" s="78"/>
      <c r="BK732" s="78"/>
      <c r="BL732" s="78"/>
      <c r="BM732" s="78"/>
      <c r="BN732" s="78"/>
      <c r="BO732" s="78"/>
      <c r="BP732" s="78"/>
      <c r="BQ732" s="78"/>
      <c r="BR732" s="78"/>
      <c r="BS732" s="78"/>
      <c r="BT732" s="78"/>
      <c r="BU732" s="78"/>
      <c r="BV732" s="78"/>
      <c r="BW732" s="78"/>
      <c r="BX732" s="78"/>
      <c r="BY732" s="78"/>
      <c r="BZ732" s="78"/>
      <c r="CA732" s="78"/>
      <c r="CB732" s="78"/>
      <c r="CC732" s="78"/>
      <c r="CD732" s="78"/>
      <c r="CE732" s="78"/>
      <c r="CF732" s="78"/>
      <c r="CG732" s="78"/>
      <c r="CH732" s="78"/>
      <c r="CI732" s="78"/>
      <c r="CJ732" s="78"/>
      <c r="CK732" s="78"/>
      <c r="CL732" s="78"/>
      <c r="CM732" s="78"/>
      <c r="CN732" s="78"/>
      <c r="CO732" s="78"/>
      <c r="CP732" s="78"/>
      <c r="CQ732" s="78"/>
      <c r="CR732" s="78"/>
      <c r="CS732" s="78"/>
      <c r="CT732" s="78"/>
      <c r="CU732" s="78"/>
      <c r="CV732" s="78"/>
      <c r="CW732" s="78"/>
      <c r="CX732" s="78"/>
      <c r="CY732" s="78"/>
      <c r="CZ732" s="78"/>
      <c r="DA732" s="78"/>
      <c r="DB732" s="78"/>
      <c r="DC732" s="78"/>
      <c r="DD732" s="78"/>
      <c r="DE732" s="78"/>
      <c r="DF732" s="78"/>
      <c r="DG732" s="78"/>
      <c r="DH732" s="78"/>
      <c r="DI732" s="78"/>
      <c r="DJ732" s="78"/>
      <c r="DK732" s="78"/>
      <c r="DL732" s="78"/>
      <c r="DM732" s="78"/>
      <c r="DN732" s="78"/>
      <c r="DO732" s="78"/>
      <c r="DP732" s="78"/>
      <c r="DQ732" s="78"/>
      <c r="DR732" s="78"/>
      <c r="DS732" s="78"/>
      <c r="DT732" s="78"/>
      <c r="DU732" s="78"/>
      <c r="DV732" s="78"/>
      <c r="DW732" s="78"/>
      <c r="DX732" s="78"/>
      <c r="DY732" s="78"/>
      <c r="DZ732" s="78"/>
      <c r="EA732" s="78"/>
      <c r="EB732" s="78"/>
      <c r="EC732" s="78"/>
      <c r="ED732" s="78"/>
      <c r="EE732" s="78"/>
      <c r="EF732" s="78"/>
      <c r="EG732" s="78"/>
      <c r="EH732" s="78"/>
      <c r="EI732" s="78"/>
      <c r="EJ732" s="78"/>
      <c r="EK732" s="78"/>
      <c r="EL732" s="78"/>
      <c r="EM732" s="78"/>
      <c r="EN732" s="91"/>
      <c r="EO732" s="91"/>
      <c r="EP732" s="91"/>
      <c r="EQ732" s="91"/>
      <c r="ER732" s="91"/>
      <c r="ES732" s="91"/>
    </row>
    <row r="733" spans="1:149" outlineLevel="1">
      <c r="A733" s="29" t="str">
        <f t="shared" si="372"/>
        <v>lt002_instrumentidcmb</v>
      </c>
      <c r="B733" s="67" t="s">
        <v>26</v>
      </c>
      <c r="C733" s="68" t="s">
        <v>26</v>
      </c>
      <c r="D733" s="64" t="s">
        <v>40</v>
      </c>
      <c r="E733" s="70" t="s">
        <v>379</v>
      </c>
      <c r="F733" s="71" t="s">
        <v>423</v>
      </c>
      <c r="G733" s="64" t="str">
        <f>INDEX(Auxiliar!$B$16:$B$24,MATCH(Plano_V3!H733,Auxiliar!$C$16:$C$24,0),1)</f>
        <v>1. Concluído</v>
      </c>
      <c r="H733" s="64">
        <f>VLOOKUP(A733,'Aux - pivots1'!$A:$B,2,0)</f>
        <v>1</v>
      </c>
      <c r="I733" s="172">
        <f>SUMIFS(Table1[Estimação (horas)],Table1[Tabela],Plano_V3!E733,Table1[Campo],Plano_V3!F733)</f>
        <v>0.1</v>
      </c>
      <c r="J733" s="172">
        <f t="shared" si="369"/>
        <v>1.2500000000000001E-2</v>
      </c>
      <c r="K733" s="172">
        <f>SUMIFS(Table1[Horas efetivas],Table1[Tabela],Plano_V3!E733,Table1[Campo],Plano_V3!F733)</f>
        <v>0.1</v>
      </c>
      <c r="L733" s="172">
        <f t="shared" si="370"/>
        <v>1.2500000000000001E-2</v>
      </c>
      <c r="M733" s="174"/>
      <c r="N733" s="174">
        <f t="shared" si="371"/>
        <v>1</v>
      </c>
      <c r="O733" s="174"/>
      <c r="P733" s="89" t="s">
        <v>399</v>
      </c>
      <c r="R733" s="78"/>
      <c r="S733" s="78"/>
      <c r="T733" s="78"/>
      <c r="U733" s="78"/>
      <c r="V733" s="78"/>
      <c r="W733" s="78"/>
      <c r="X733" s="78"/>
      <c r="Y733" s="78"/>
      <c r="Z733" s="78"/>
      <c r="AA733" s="78"/>
      <c r="AB733" s="78"/>
      <c r="AC733" s="78"/>
      <c r="AD733" s="78"/>
      <c r="AE733" s="78"/>
      <c r="AF733" s="78"/>
      <c r="AG733" s="78"/>
      <c r="AH733" s="78"/>
      <c r="AI733" s="78"/>
      <c r="AJ733" s="78"/>
      <c r="AK733" s="78"/>
      <c r="AL733" s="78"/>
      <c r="AM733" s="78"/>
      <c r="AN733" s="78"/>
      <c r="AO733" s="78"/>
      <c r="AP733" s="78"/>
      <c r="AQ733" s="78"/>
      <c r="AR733" s="78"/>
      <c r="AS733" s="78"/>
      <c r="AT733" s="78"/>
      <c r="AU733" s="78"/>
      <c r="AV733" s="78"/>
      <c r="AW733" s="78"/>
      <c r="AX733" s="78"/>
      <c r="AY733" s="91"/>
      <c r="AZ733" s="78"/>
      <c r="BA733" s="78"/>
      <c r="BB733" s="78"/>
      <c r="BC733" s="78"/>
      <c r="BD733" s="78"/>
      <c r="BE733" s="78"/>
      <c r="BF733" s="78"/>
      <c r="BG733" s="78"/>
      <c r="BH733" s="78"/>
      <c r="BI733" s="78"/>
      <c r="BJ733" s="78"/>
      <c r="BK733" s="78"/>
      <c r="BL733" s="78"/>
      <c r="BM733" s="78"/>
      <c r="BN733" s="78"/>
      <c r="BO733" s="78"/>
      <c r="BP733" s="78"/>
      <c r="BQ733" s="78"/>
      <c r="BR733" s="78"/>
      <c r="BS733" s="78"/>
      <c r="BT733" s="78"/>
      <c r="BU733" s="78"/>
      <c r="BV733" s="78"/>
      <c r="BW733" s="78"/>
      <c r="BX733" s="78"/>
      <c r="BY733" s="78"/>
      <c r="BZ733" s="78"/>
      <c r="CA733" s="78"/>
      <c r="CB733" s="78"/>
      <c r="CC733" s="78"/>
      <c r="CD733" s="78"/>
      <c r="CE733" s="78"/>
      <c r="CF733" s="78"/>
      <c r="CG733" s="78"/>
      <c r="CH733" s="78"/>
      <c r="CI733" s="78"/>
      <c r="CJ733" s="78"/>
      <c r="CK733" s="78"/>
      <c r="CL733" s="78"/>
      <c r="CM733" s="78"/>
      <c r="CN733" s="78"/>
      <c r="CO733" s="78"/>
      <c r="CP733" s="78"/>
      <c r="CQ733" s="78"/>
      <c r="CR733" s="78"/>
      <c r="CS733" s="78"/>
      <c r="CT733" s="78"/>
      <c r="CU733" s="78"/>
      <c r="CV733" s="78"/>
      <c r="CW733" s="78"/>
      <c r="CX733" s="78"/>
      <c r="CY733" s="78"/>
      <c r="CZ733" s="78"/>
      <c r="DA733" s="78"/>
      <c r="DB733" s="78"/>
      <c r="DC733" s="78"/>
      <c r="DD733" s="78"/>
      <c r="DE733" s="78"/>
      <c r="DF733" s="78"/>
      <c r="DG733" s="78"/>
      <c r="DH733" s="78"/>
      <c r="DI733" s="78"/>
      <c r="DJ733" s="78"/>
      <c r="DK733" s="78"/>
      <c r="DL733" s="78"/>
      <c r="DM733" s="78"/>
      <c r="DN733" s="78"/>
      <c r="DO733" s="78"/>
      <c r="DP733" s="78"/>
      <c r="DQ733" s="78"/>
      <c r="DR733" s="78"/>
      <c r="DS733" s="78"/>
      <c r="DT733" s="78"/>
      <c r="DU733" s="78"/>
      <c r="DV733" s="78"/>
      <c r="DW733" s="78"/>
      <c r="DX733" s="78"/>
      <c r="DY733" s="78"/>
      <c r="DZ733" s="78"/>
      <c r="EA733" s="78"/>
      <c r="EB733" s="78"/>
      <c r="EC733" s="78"/>
      <c r="ED733" s="78"/>
      <c r="EE733" s="78"/>
      <c r="EF733" s="78"/>
      <c r="EG733" s="78"/>
      <c r="EH733" s="78"/>
      <c r="EI733" s="78"/>
      <c r="EJ733" s="78"/>
      <c r="EK733" s="78"/>
      <c r="EL733" s="78"/>
      <c r="EM733" s="78"/>
      <c r="EN733" s="91"/>
      <c r="EO733" s="91"/>
      <c r="EP733" s="91"/>
      <c r="EQ733" s="91"/>
      <c r="ER733" s="91"/>
      <c r="ES733" s="91"/>
    </row>
    <row r="734" spans="1:149" outlineLevel="1">
      <c r="A734" s="29" t="str">
        <f t="shared" si="372"/>
        <v>lt003_entitycntry</v>
      </c>
      <c r="B734" s="67" t="s">
        <v>26</v>
      </c>
      <c r="C734" s="68" t="s">
        <v>26</v>
      </c>
      <c r="D734" s="64" t="s">
        <v>40</v>
      </c>
      <c r="E734" s="70" t="s">
        <v>335</v>
      </c>
      <c r="F734" s="71" t="s">
        <v>424</v>
      </c>
      <c r="G734" s="64" t="str">
        <f>INDEX(Auxiliar!$B$16:$B$24,MATCH(Plano_V3!H734,Auxiliar!$C$16:$C$24,0),1)</f>
        <v>1. Concluído</v>
      </c>
      <c r="H734" s="64">
        <f>VLOOKUP(A734,'Aux - pivots1'!$A:$B,2,0)</f>
        <v>1</v>
      </c>
      <c r="I734" s="172">
        <f>SUMIFS(Table1[Estimação (horas)],Table1[Tabela],Plano_V3!E734,Table1[Campo],Plano_V3!F734)</f>
        <v>0.1</v>
      </c>
      <c r="J734" s="172">
        <f t="shared" si="369"/>
        <v>1.2500000000000001E-2</v>
      </c>
      <c r="K734" s="172">
        <f>SUMIFS(Table1[Horas efetivas],Table1[Tabela],Plano_V3!E734,Table1[Campo],Plano_V3!F734)</f>
        <v>0.1</v>
      </c>
      <c r="L734" s="172">
        <f t="shared" si="370"/>
        <v>1.2500000000000001E-2</v>
      </c>
      <c r="M734" s="174"/>
      <c r="N734" s="174">
        <f t="shared" si="371"/>
        <v>1</v>
      </c>
      <c r="O734" s="174"/>
      <c r="P734" s="89" t="s">
        <v>399</v>
      </c>
      <c r="R734" s="78"/>
      <c r="S734" s="78"/>
      <c r="T734" s="78"/>
      <c r="U734" s="78"/>
      <c r="V734" s="78"/>
      <c r="W734" s="78"/>
      <c r="X734" s="78"/>
      <c r="Y734" s="78"/>
      <c r="Z734" s="78"/>
      <c r="AA734" s="78"/>
      <c r="AB734" s="78"/>
      <c r="AC734" s="78"/>
      <c r="AD734" s="78"/>
      <c r="AE734" s="78"/>
      <c r="AF734" s="78"/>
      <c r="AG734" s="78"/>
      <c r="AH734" s="78"/>
      <c r="AI734" s="78"/>
      <c r="AJ734" s="78"/>
      <c r="AK734" s="78"/>
      <c r="AL734" s="78"/>
      <c r="AM734" s="78"/>
      <c r="AN734" s="78"/>
      <c r="AO734" s="78"/>
      <c r="AP734" s="78"/>
      <c r="AQ734" s="78"/>
      <c r="AR734" s="78"/>
      <c r="AS734" s="78"/>
      <c r="AT734" s="78"/>
      <c r="AU734" s="78"/>
      <c r="AV734" s="78"/>
      <c r="AW734" s="78"/>
      <c r="AX734" s="78"/>
      <c r="AY734" s="91"/>
      <c r="AZ734" s="78"/>
      <c r="BA734" s="78"/>
      <c r="BB734" s="78"/>
      <c r="BC734" s="78"/>
      <c r="BD734" s="78"/>
      <c r="BE734" s="78"/>
      <c r="BF734" s="78"/>
      <c r="BG734" s="78"/>
      <c r="BH734" s="78"/>
      <c r="BI734" s="78"/>
      <c r="BJ734" s="78"/>
      <c r="BK734" s="78"/>
      <c r="BL734" s="78"/>
      <c r="BM734" s="78"/>
      <c r="BN734" s="78"/>
      <c r="BO734" s="78"/>
      <c r="BP734" s="78"/>
      <c r="BQ734" s="78"/>
      <c r="BR734" s="78"/>
      <c r="BS734" s="78"/>
      <c r="BT734" s="78"/>
      <c r="BU734" s="78"/>
      <c r="BV734" s="78"/>
      <c r="BW734" s="78"/>
      <c r="BX734" s="78"/>
      <c r="BY734" s="78"/>
      <c r="BZ734" s="78"/>
      <c r="CA734" s="78"/>
      <c r="CB734" s="78"/>
      <c r="CC734" s="78"/>
      <c r="CD734" s="78"/>
      <c r="CE734" s="78"/>
      <c r="CF734" s="78"/>
      <c r="CG734" s="78"/>
      <c r="CH734" s="78"/>
      <c r="CI734" s="78"/>
      <c r="CJ734" s="78"/>
      <c r="CK734" s="78"/>
      <c r="CL734" s="78"/>
      <c r="CM734" s="78"/>
      <c r="CN734" s="78"/>
      <c r="CO734" s="78"/>
      <c r="CP734" s="78"/>
      <c r="CQ734" s="78"/>
      <c r="CR734" s="78"/>
      <c r="CS734" s="78"/>
      <c r="CT734" s="78"/>
      <c r="CU734" s="78"/>
      <c r="CV734" s="78"/>
      <c r="CW734" s="78"/>
      <c r="CX734" s="78"/>
      <c r="CY734" s="78"/>
      <c r="CZ734" s="78"/>
      <c r="DA734" s="78"/>
      <c r="DB734" s="78"/>
      <c r="DC734" s="78"/>
      <c r="DD734" s="78"/>
      <c r="DE734" s="78"/>
      <c r="DF734" s="78"/>
      <c r="DG734" s="78"/>
      <c r="DH734" s="78"/>
      <c r="DI734" s="78"/>
      <c r="DJ734" s="78"/>
      <c r="DK734" s="78"/>
      <c r="DL734" s="78"/>
      <c r="DM734" s="78"/>
      <c r="DN734" s="78"/>
      <c r="DO734" s="78"/>
      <c r="DP734" s="78"/>
      <c r="DQ734" s="78"/>
      <c r="DR734" s="78"/>
      <c r="DS734" s="78"/>
      <c r="DT734" s="78"/>
      <c r="DU734" s="78"/>
      <c r="DV734" s="78"/>
      <c r="DW734" s="78"/>
      <c r="DX734" s="78"/>
      <c r="DY734" s="78"/>
      <c r="DZ734" s="78"/>
      <c r="EA734" s="78"/>
      <c r="EB734" s="78"/>
      <c r="EC734" s="78"/>
      <c r="ED734" s="78"/>
      <c r="EE734" s="78"/>
      <c r="EF734" s="78"/>
      <c r="EG734" s="78"/>
      <c r="EH734" s="78"/>
      <c r="EI734" s="78"/>
      <c r="EJ734" s="78"/>
      <c r="EK734" s="78"/>
      <c r="EL734" s="78"/>
      <c r="EM734" s="78"/>
      <c r="EN734" s="91"/>
      <c r="EO734" s="91"/>
      <c r="EP734" s="91"/>
      <c r="EQ734" s="91"/>
      <c r="ER734" s="91"/>
      <c r="ES734" s="91"/>
    </row>
    <row r="735" spans="1:149" outlineLevel="1">
      <c r="A735" s="29" t="str">
        <f t="shared" si="372"/>
        <v>lt003_entitydt_rfrnc</v>
      </c>
      <c r="B735" s="67" t="s">
        <v>26</v>
      </c>
      <c r="C735" s="68" t="s">
        <v>26</v>
      </c>
      <c r="D735" s="64" t="s">
        <v>40</v>
      </c>
      <c r="E735" s="70" t="s">
        <v>335</v>
      </c>
      <c r="F735" s="71" t="s">
        <v>398</v>
      </c>
      <c r="G735" s="64" t="str">
        <f>INDEX(Auxiliar!$B$16:$B$24,MATCH(Plano_V3!H735,Auxiliar!$C$16:$C$24,0),1)</f>
        <v>1. Concluído</v>
      </c>
      <c r="H735" s="64">
        <f>VLOOKUP(A735,'Aux - pivots1'!$A:$B,2,0)</f>
        <v>1</v>
      </c>
      <c r="I735" s="172">
        <f>SUMIFS(Table1[Estimação (horas)],Table1[Tabela],Plano_V3!E735,Table1[Campo],Plano_V3!F735)</f>
        <v>0.1</v>
      </c>
      <c r="J735" s="172">
        <f t="shared" si="369"/>
        <v>1.2500000000000001E-2</v>
      </c>
      <c r="K735" s="172">
        <f>SUMIFS(Table1[Horas efetivas],Table1[Tabela],Plano_V3!E735,Table1[Campo],Plano_V3!F735)</f>
        <v>0.1</v>
      </c>
      <c r="L735" s="172">
        <f t="shared" si="370"/>
        <v>1.2500000000000001E-2</v>
      </c>
      <c r="M735" s="174"/>
      <c r="N735" s="174">
        <f t="shared" si="371"/>
        <v>1</v>
      </c>
      <c r="O735" s="174"/>
      <c r="P735" s="89" t="s">
        <v>399</v>
      </c>
      <c r="R735" s="78"/>
      <c r="S735" s="78"/>
      <c r="T735" s="78"/>
      <c r="U735" s="78"/>
      <c r="V735" s="78"/>
      <c r="W735" s="78"/>
      <c r="X735" s="78"/>
      <c r="Y735" s="78"/>
      <c r="Z735" s="78"/>
      <c r="AA735" s="78"/>
      <c r="AB735" s="78"/>
      <c r="AC735" s="78"/>
      <c r="AD735" s="78"/>
      <c r="AE735" s="78"/>
      <c r="AF735" s="78"/>
      <c r="AG735" s="78"/>
      <c r="AH735" s="78"/>
      <c r="AI735" s="78"/>
      <c r="AJ735" s="78"/>
      <c r="AK735" s="78"/>
      <c r="AL735" s="78"/>
      <c r="AM735" s="78"/>
      <c r="AN735" s="78"/>
      <c r="AO735" s="78"/>
      <c r="AP735" s="78"/>
      <c r="AQ735" s="78"/>
      <c r="AR735" s="78"/>
      <c r="AS735" s="78"/>
      <c r="AT735" s="78"/>
      <c r="AU735" s="78"/>
      <c r="AV735" s="78"/>
      <c r="AW735" s="78"/>
      <c r="AX735" s="78"/>
      <c r="AY735" s="91"/>
      <c r="AZ735" s="78"/>
      <c r="BA735" s="78"/>
      <c r="BB735" s="78"/>
      <c r="BC735" s="78"/>
      <c r="BD735" s="78"/>
      <c r="BE735" s="78"/>
      <c r="BF735" s="78"/>
      <c r="BG735" s="78"/>
      <c r="BH735" s="78"/>
      <c r="BI735" s="78"/>
      <c r="BJ735" s="78"/>
      <c r="BK735" s="78"/>
      <c r="BL735" s="78"/>
      <c r="BM735" s="78"/>
      <c r="BN735" s="78"/>
      <c r="BO735" s="78"/>
      <c r="BP735" s="78"/>
      <c r="BQ735" s="78"/>
      <c r="BR735" s="78"/>
      <c r="BS735" s="78"/>
      <c r="BT735" s="78"/>
      <c r="BU735" s="78"/>
      <c r="BV735" s="78"/>
      <c r="BW735" s="78"/>
      <c r="BX735" s="78"/>
      <c r="BY735" s="78"/>
      <c r="BZ735" s="78"/>
      <c r="CA735" s="78"/>
      <c r="CB735" s="78"/>
      <c r="CC735" s="78"/>
      <c r="CD735" s="78"/>
      <c r="CE735" s="78"/>
      <c r="CF735" s="78"/>
      <c r="CG735" s="78"/>
      <c r="CH735" s="78"/>
      <c r="CI735" s="78"/>
      <c r="CJ735" s="78"/>
      <c r="CK735" s="78"/>
      <c r="CL735" s="78"/>
      <c r="CM735" s="78"/>
      <c r="CN735" s="78"/>
      <c r="CO735" s="78"/>
      <c r="CP735" s="78"/>
      <c r="CQ735" s="78"/>
      <c r="CR735" s="78"/>
      <c r="CS735" s="78"/>
      <c r="CT735" s="78"/>
      <c r="CU735" s="78"/>
      <c r="CV735" s="78"/>
      <c r="CW735" s="78"/>
      <c r="CX735" s="78"/>
      <c r="CY735" s="78"/>
      <c r="CZ735" s="78"/>
      <c r="DA735" s="78"/>
      <c r="DB735" s="78"/>
      <c r="DC735" s="78"/>
      <c r="DD735" s="78"/>
      <c r="DE735" s="78"/>
      <c r="DF735" s="78"/>
      <c r="DG735" s="78"/>
      <c r="DH735" s="78"/>
      <c r="DI735" s="78"/>
      <c r="DJ735" s="78"/>
      <c r="DK735" s="78"/>
      <c r="DL735" s="78"/>
      <c r="DM735" s="78"/>
      <c r="DN735" s="78"/>
      <c r="DO735" s="78"/>
      <c r="DP735" s="78"/>
      <c r="DQ735" s="78"/>
      <c r="DR735" s="78"/>
      <c r="DS735" s="78"/>
      <c r="DT735" s="78"/>
      <c r="DU735" s="78"/>
      <c r="DV735" s="78"/>
      <c r="DW735" s="78"/>
      <c r="DX735" s="78"/>
      <c r="DY735" s="78"/>
      <c r="DZ735" s="78"/>
      <c r="EA735" s="78"/>
      <c r="EB735" s="78"/>
      <c r="EC735" s="78"/>
      <c r="ED735" s="78"/>
      <c r="EE735" s="78"/>
      <c r="EF735" s="78"/>
      <c r="EG735" s="78"/>
      <c r="EH735" s="78"/>
      <c r="EI735" s="78"/>
      <c r="EJ735" s="78"/>
      <c r="EK735" s="78"/>
      <c r="EL735" s="78"/>
      <c r="EM735" s="78"/>
      <c r="EN735" s="91"/>
      <c r="EO735" s="91"/>
      <c r="EP735" s="91"/>
      <c r="EQ735" s="91"/>
      <c r="ER735" s="91"/>
      <c r="ES735" s="91"/>
    </row>
    <row r="736" spans="1:149" outlineLevel="1">
      <c r="A736" s="29" t="str">
        <f t="shared" si="372"/>
        <v>lt003_entityentty_id</v>
      </c>
      <c r="B736" s="67" t="s">
        <v>26</v>
      </c>
      <c r="C736" s="68" t="s">
        <v>26</v>
      </c>
      <c r="D736" s="64" t="s">
        <v>40</v>
      </c>
      <c r="E736" s="70" t="s">
        <v>335</v>
      </c>
      <c r="F736" s="71" t="s">
        <v>425</v>
      </c>
      <c r="G736" s="64" t="str">
        <f>INDEX(Auxiliar!$B$16:$B$24,MATCH(Plano_V3!H736,Auxiliar!$C$16:$C$24,0),1)</f>
        <v>1. Concluído</v>
      </c>
      <c r="H736" s="64">
        <f>VLOOKUP(A736,'Aux - pivots1'!$A:$B,2,0)</f>
        <v>1</v>
      </c>
      <c r="I736" s="172">
        <f>SUMIFS(Table1[Estimação (horas)],Table1[Tabela],Plano_V3!E736,Table1[Campo],Plano_V3!F736)</f>
        <v>0.1</v>
      </c>
      <c r="J736" s="172">
        <f t="shared" si="369"/>
        <v>1.2500000000000001E-2</v>
      </c>
      <c r="K736" s="172">
        <f>SUMIFS(Table1[Horas efetivas],Table1[Tabela],Plano_V3!E736,Table1[Campo],Plano_V3!F736)</f>
        <v>0.1</v>
      </c>
      <c r="L736" s="172">
        <f t="shared" si="370"/>
        <v>1.2500000000000001E-2</v>
      </c>
      <c r="M736" s="174"/>
      <c r="N736" s="174">
        <f t="shared" si="371"/>
        <v>1</v>
      </c>
      <c r="O736" s="174"/>
      <c r="P736" s="89" t="s">
        <v>399</v>
      </c>
      <c r="R736" s="78"/>
      <c r="S736" s="78"/>
      <c r="T736" s="78"/>
      <c r="U736" s="78"/>
      <c r="V736" s="78"/>
      <c r="W736" s="78"/>
      <c r="X736" s="78"/>
      <c r="Y736" s="78"/>
      <c r="Z736" s="78"/>
      <c r="AA736" s="78"/>
      <c r="AB736" s="78"/>
      <c r="AC736" s="78"/>
      <c r="AD736" s="78"/>
      <c r="AE736" s="78"/>
      <c r="AF736" s="78"/>
      <c r="AG736" s="78"/>
      <c r="AH736" s="78"/>
      <c r="AI736" s="78"/>
      <c r="AJ736" s="78"/>
      <c r="AK736" s="78"/>
      <c r="AL736" s="78"/>
      <c r="AM736" s="78"/>
      <c r="AN736" s="78"/>
      <c r="AO736" s="78"/>
      <c r="AP736" s="78"/>
      <c r="AQ736" s="78"/>
      <c r="AR736" s="78"/>
      <c r="AS736" s="78"/>
      <c r="AT736" s="78"/>
      <c r="AU736" s="78"/>
      <c r="AV736" s="78"/>
      <c r="AW736" s="78"/>
      <c r="AX736" s="78"/>
      <c r="AY736" s="91"/>
      <c r="AZ736" s="78"/>
      <c r="BA736" s="78"/>
      <c r="BB736" s="78"/>
      <c r="BC736" s="78"/>
      <c r="BD736" s="78"/>
      <c r="BE736" s="78"/>
      <c r="BF736" s="78"/>
      <c r="BG736" s="78"/>
      <c r="BH736" s="78"/>
      <c r="BI736" s="78"/>
      <c r="BJ736" s="78"/>
      <c r="BK736" s="78"/>
      <c r="BL736" s="78"/>
      <c r="BM736" s="78"/>
      <c r="BN736" s="78"/>
      <c r="BO736" s="78"/>
      <c r="BP736" s="78"/>
      <c r="BQ736" s="78"/>
      <c r="BR736" s="78"/>
      <c r="BS736" s="78"/>
      <c r="BT736" s="78"/>
      <c r="BU736" s="78"/>
      <c r="BV736" s="78"/>
      <c r="BW736" s="78"/>
      <c r="BX736" s="78"/>
      <c r="BY736" s="78"/>
      <c r="BZ736" s="78"/>
      <c r="CA736" s="78"/>
      <c r="CB736" s="78"/>
      <c r="CC736" s="78"/>
      <c r="CD736" s="78"/>
      <c r="CE736" s="78"/>
      <c r="CF736" s="78"/>
      <c r="CG736" s="78"/>
      <c r="CH736" s="78"/>
      <c r="CI736" s="78"/>
      <c r="CJ736" s="78"/>
      <c r="CK736" s="78"/>
      <c r="CL736" s="78"/>
      <c r="CM736" s="78"/>
      <c r="CN736" s="78"/>
      <c r="CO736" s="78"/>
      <c r="CP736" s="78"/>
      <c r="CQ736" s="78"/>
      <c r="CR736" s="78"/>
      <c r="CS736" s="78"/>
      <c r="CT736" s="78"/>
      <c r="CU736" s="78"/>
      <c r="CV736" s="78"/>
      <c r="CW736" s="78"/>
      <c r="CX736" s="78"/>
      <c r="CY736" s="78"/>
      <c r="CZ736" s="78"/>
      <c r="DA736" s="78"/>
      <c r="DB736" s="78"/>
      <c r="DC736" s="78"/>
      <c r="DD736" s="78"/>
      <c r="DE736" s="78"/>
      <c r="DF736" s="78"/>
      <c r="DG736" s="78"/>
      <c r="DH736" s="78"/>
      <c r="DI736" s="78"/>
      <c r="DJ736" s="78"/>
      <c r="DK736" s="78"/>
      <c r="DL736" s="78"/>
      <c r="DM736" s="78"/>
      <c r="DN736" s="78"/>
      <c r="DO736" s="78"/>
      <c r="DP736" s="78"/>
      <c r="DQ736" s="78"/>
      <c r="DR736" s="78"/>
      <c r="DS736" s="78"/>
      <c r="DT736" s="78"/>
      <c r="DU736" s="78"/>
      <c r="DV736" s="78"/>
      <c r="DW736" s="78"/>
      <c r="DX736" s="78"/>
      <c r="DY736" s="78"/>
      <c r="DZ736" s="78"/>
      <c r="EA736" s="78"/>
      <c r="EB736" s="78"/>
      <c r="EC736" s="78"/>
      <c r="ED736" s="78"/>
      <c r="EE736" s="78"/>
      <c r="EF736" s="78"/>
      <c r="EG736" s="78"/>
      <c r="EH736" s="78"/>
      <c r="EI736" s="78"/>
      <c r="EJ736" s="78"/>
      <c r="EK736" s="78"/>
      <c r="EL736" s="78"/>
      <c r="EM736" s="78"/>
      <c r="EN736" s="91"/>
      <c r="EO736" s="91"/>
      <c r="EP736" s="91"/>
      <c r="EQ736" s="91"/>
      <c r="ER736" s="91"/>
      <c r="ES736" s="91"/>
    </row>
    <row r="737" spans="1:149" outlineLevel="1">
      <c r="A737" s="29" t="str">
        <f t="shared" si="372"/>
        <v>lt003_entitylei</v>
      </c>
      <c r="B737" s="67" t="s">
        <v>26</v>
      </c>
      <c r="C737" s="68" t="s">
        <v>26</v>
      </c>
      <c r="D737" s="64" t="s">
        <v>40</v>
      </c>
      <c r="E737" s="70" t="s">
        <v>335</v>
      </c>
      <c r="F737" s="71" t="s">
        <v>426</v>
      </c>
      <c r="G737" s="64" t="str">
        <f>INDEX(Auxiliar!$B$16:$B$24,MATCH(Plano_V3!H737,Auxiliar!$C$16:$C$24,0),1)</f>
        <v>1. Concluído</v>
      </c>
      <c r="H737" s="64">
        <f>VLOOKUP(A737,'Aux - pivots1'!$A:$B,2,0)</f>
        <v>1</v>
      </c>
      <c r="I737" s="172">
        <f>SUMIFS(Table1[Estimação (horas)],Table1[Tabela],Plano_V3!E737,Table1[Campo],Plano_V3!F737)</f>
        <v>0.1</v>
      </c>
      <c r="J737" s="172">
        <f t="shared" si="369"/>
        <v>1.2500000000000001E-2</v>
      </c>
      <c r="K737" s="172">
        <f>SUMIFS(Table1[Horas efetivas],Table1[Tabela],Plano_V3!E737,Table1[Campo],Plano_V3!F737)</f>
        <v>0.1</v>
      </c>
      <c r="L737" s="172">
        <f t="shared" si="370"/>
        <v>1.2500000000000001E-2</v>
      </c>
      <c r="M737" s="174"/>
      <c r="N737" s="174">
        <f t="shared" si="371"/>
        <v>1</v>
      </c>
      <c r="O737" s="174"/>
      <c r="P737" s="89" t="s">
        <v>399</v>
      </c>
      <c r="R737" s="78"/>
      <c r="S737" s="78"/>
      <c r="T737" s="78"/>
      <c r="U737" s="78"/>
      <c r="V737" s="78"/>
      <c r="W737" s="78"/>
      <c r="X737" s="78"/>
      <c r="Y737" s="78"/>
      <c r="Z737" s="78"/>
      <c r="AA737" s="78"/>
      <c r="AB737" s="78"/>
      <c r="AC737" s="78"/>
      <c r="AD737" s="78"/>
      <c r="AE737" s="78"/>
      <c r="AF737" s="78"/>
      <c r="AG737" s="78"/>
      <c r="AH737" s="78"/>
      <c r="AI737" s="78"/>
      <c r="AJ737" s="78"/>
      <c r="AK737" s="78"/>
      <c r="AL737" s="78"/>
      <c r="AM737" s="78"/>
      <c r="AN737" s="78"/>
      <c r="AO737" s="78"/>
      <c r="AP737" s="78"/>
      <c r="AQ737" s="78"/>
      <c r="AR737" s="78"/>
      <c r="AS737" s="78"/>
      <c r="AT737" s="78"/>
      <c r="AU737" s="78"/>
      <c r="AV737" s="78"/>
      <c r="AW737" s="78"/>
      <c r="AX737" s="78"/>
      <c r="AY737" s="91"/>
      <c r="AZ737" s="78"/>
      <c r="BA737" s="78"/>
      <c r="BB737" s="78"/>
      <c r="BC737" s="78"/>
      <c r="BD737" s="78"/>
      <c r="BE737" s="78"/>
      <c r="BF737" s="78"/>
      <c r="BG737" s="78"/>
      <c r="BH737" s="78"/>
      <c r="BI737" s="78"/>
      <c r="BJ737" s="78"/>
      <c r="BK737" s="78"/>
      <c r="BL737" s="78"/>
      <c r="BM737" s="78"/>
      <c r="BN737" s="78"/>
      <c r="BO737" s="78"/>
      <c r="BP737" s="78"/>
      <c r="BQ737" s="78"/>
      <c r="BR737" s="78"/>
      <c r="BS737" s="78"/>
      <c r="BT737" s="78"/>
      <c r="BU737" s="78"/>
      <c r="BV737" s="78"/>
      <c r="BW737" s="78"/>
      <c r="BX737" s="78"/>
      <c r="BY737" s="78"/>
      <c r="BZ737" s="78"/>
      <c r="CA737" s="78"/>
      <c r="CB737" s="78"/>
      <c r="CC737" s="78"/>
      <c r="CD737" s="78"/>
      <c r="CE737" s="78"/>
      <c r="CF737" s="78"/>
      <c r="CG737" s="78"/>
      <c r="CH737" s="78"/>
      <c r="CI737" s="78"/>
      <c r="CJ737" s="78"/>
      <c r="CK737" s="78"/>
      <c r="CL737" s="78"/>
      <c r="CM737" s="78"/>
      <c r="CN737" s="78"/>
      <c r="CO737" s="78"/>
      <c r="CP737" s="78"/>
      <c r="CQ737" s="78"/>
      <c r="CR737" s="78"/>
      <c r="CS737" s="78"/>
      <c r="CT737" s="78"/>
      <c r="CU737" s="78"/>
      <c r="CV737" s="78"/>
      <c r="CW737" s="78"/>
      <c r="CX737" s="78"/>
      <c r="CY737" s="78"/>
      <c r="CZ737" s="78"/>
      <c r="DA737" s="78"/>
      <c r="DB737" s="78"/>
      <c r="DC737" s="78"/>
      <c r="DD737" s="78"/>
      <c r="DE737" s="78"/>
      <c r="DF737" s="78"/>
      <c r="DG737" s="78"/>
      <c r="DH737" s="78"/>
      <c r="DI737" s="78"/>
      <c r="DJ737" s="78"/>
      <c r="DK737" s="78"/>
      <c r="DL737" s="78"/>
      <c r="DM737" s="78"/>
      <c r="DN737" s="78"/>
      <c r="DO737" s="78"/>
      <c r="DP737" s="78"/>
      <c r="DQ737" s="78"/>
      <c r="DR737" s="78"/>
      <c r="DS737" s="78"/>
      <c r="DT737" s="78"/>
      <c r="DU737" s="78"/>
      <c r="DV737" s="78"/>
      <c r="DW737" s="78"/>
      <c r="DX737" s="78"/>
      <c r="DY737" s="78"/>
      <c r="DZ737" s="78"/>
      <c r="EA737" s="78"/>
      <c r="EB737" s="78"/>
      <c r="EC737" s="78"/>
      <c r="ED737" s="78"/>
      <c r="EE737" s="78"/>
      <c r="EF737" s="78"/>
      <c r="EG737" s="78"/>
      <c r="EH737" s="78"/>
      <c r="EI737" s="78"/>
      <c r="EJ737" s="78"/>
      <c r="EK737" s="78"/>
      <c r="EL737" s="78"/>
      <c r="EM737" s="78"/>
      <c r="EN737" s="91"/>
      <c r="EO737" s="91"/>
      <c r="EP737" s="91"/>
      <c r="EQ737" s="91"/>
      <c r="ER737" s="91"/>
      <c r="ES737" s="91"/>
    </row>
    <row r="738" spans="1:149" outlineLevel="1">
      <c r="A738" s="29" t="str">
        <f t="shared" si="372"/>
        <v>lt003_entityecnmc_actvty</v>
      </c>
      <c r="B738" s="67" t="s">
        <v>26</v>
      </c>
      <c r="C738" s="68" t="s">
        <v>26</v>
      </c>
      <c r="D738" s="64" t="s">
        <v>40</v>
      </c>
      <c r="E738" s="70" t="s">
        <v>335</v>
      </c>
      <c r="F738" s="71" t="s">
        <v>427</v>
      </c>
      <c r="G738" s="64" t="str">
        <f>INDEX(Auxiliar!$B$16:$B$24,MATCH(Plano_V3!H738,Auxiliar!$C$16:$C$24,0),1)</f>
        <v>1. Concluído</v>
      </c>
      <c r="H738" s="64">
        <f>VLOOKUP(A738,'Aux - pivots1'!$A:$B,2,0)</f>
        <v>1</v>
      </c>
      <c r="I738" s="172">
        <f>SUMIFS(Table1[Estimação (horas)],Table1[Tabela],Plano_V3!E738,Table1[Campo],Plano_V3!F738)</f>
        <v>0.1</v>
      </c>
      <c r="J738" s="172">
        <f t="shared" si="369"/>
        <v>1.2500000000000001E-2</v>
      </c>
      <c r="K738" s="172">
        <f>SUMIFS(Table1[Horas efetivas],Table1[Tabela],Plano_V3!E738,Table1[Campo],Plano_V3!F738)</f>
        <v>0.1</v>
      </c>
      <c r="L738" s="172">
        <f t="shared" si="370"/>
        <v>1.2500000000000001E-2</v>
      </c>
      <c r="M738" s="174"/>
      <c r="N738" s="174">
        <f t="shared" si="371"/>
        <v>1</v>
      </c>
      <c r="O738" s="174"/>
      <c r="P738" s="89" t="s">
        <v>399</v>
      </c>
      <c r="R738" s="78"/>
      <c r="S738" s="78"/>
      <c r="T738" s="78"/>
      <c r="U738" s="78"/>
      <c r="V738" s="78"/>
      <c r="W738" s="78"/>
      <c r="X738" s="78"/>
      <c r="Y738" s="78"/>
      <c r="Z738" s="78"/>
      <c r="AA738" s="78"/>
      <c r="AB738" s="78"/>
      <c r="AC738" s="78"/>
      <c r="AD738" s="78"/>
      <c r="AE738" s="78"/>
      <c r="AF738" s="78"/>
      <c r="AG738" s="78"/>
      <c r="AH738" s="78"/>
      <c r="AI738" s="78"/>
      <c r="AJ738" s="78"/>
      <c r="AK738" s="78"/>
      <c r="AL738" s="78"/>
      <c r="AM738" s="78"/>
      <c r="AN738" s="78"/>
      <c r="AO738" s="78"/>
      <c r="AP738" s="78"/>
      <c r="AQ738" s="78"/>
      <c r="AR738" s="78"/>
      <c r="AS738" s="78"/>
      <c r="AT738" s="78"/>
      <c r="AU738" s="78"/>
      <c r="AV738" s="78"/>
      <c r="AW738" s="78"/>
      <c r="AX738" s="78"/>
      <c r="AY738" s="91"/>
      <c r="AZ738" s="78"/>
      <c r="BA738" s="78"/>
      <c r="BB738" s="78"/>
      <c r="BC738" s="78"/>
      <c r="BD738" s="78"/>
      <c r="BE738" s="78"/>
      <c r="BF738" s="78"/>
      <c r="BG738" s="78"/>
      <c r="BH738" s="78"/>
      <c r="BI738" s="78"/>
      <c r="BJ738" s="78"/>
      <c r="BK738" s="78"/>
      <c r="BL738" s="78"/>
      <c r="BM738" s="78"/>
      <c r="BN738" s="78"/>
      <c r="BO738" s="78"/>
      <c r="BP738" s="78"/>
      <c r="BQ738" s="78"/>
      <c r="BR738" s="78"/>
      <c r="BS738" s="78"/>
      <c r="BT738" s="78"/>
      <c r="BU738" s="78"/>
      <c r="BV738" s="78"/>
      <c r="BW738" s="78"/>
      <c r="BX738" s="78"/>
      <c r="BY738" s="78"/>
      <c r="BZ738" s="78"/>
      <c r="CA738" s="78"/>
      <c r="CB738" s="78"/>
      <c r="CC738" s="78"/>
      <c r="CD738" s="78"/>
      <c r="CE738" s="78"/>
      <c r="CF738" s="78"/>
      <c r="CG738" s="78"/>
      <c r="CH738" s="78"/>
      <c r="CI738" s="78"/>
      <c r="CJ738" s="78"/>
      <c r="CK738" s="78"/>
      <c r="CL738" s="78"/>
      <c r="CM738" s="78"/>
      <c r="CN738" s="78"/>
      <c r="CO738" s="78"/>
      <c r="CP738" s="78"/>
      <c r="CQ738" s="78"/>
      <c r="CR738" s="78"/>
      <c r="CS738" s="78"/>
      <c r="CT738" s="78"/>
      <c r="CU738" s="78"/>
      <c r="CV738" s="78"/>
      <c r="CW738" s="78"/>
      <c r="CX738" s="78"/>
      <c r="CY738" s="78"/>
      <c r="CZ738" s="78"/>
      <c r="DA738" s="78"/>
      <c r="DB738" s="78"/>
      <c r="DC738" s="78"/>
      <c r="DD738" s="78"/>
      <c r="DE738" s="78"/>
      <c r="DF738" s="78"/>
      <c r="DG738" s="78"/>
      <c r="DH738" s="78"/>
      <c r="DI738" s="78"/>
      <c r="DJ738" s="78"/>
      <c r="DK738" s="78"/>
      <c r="DL738" s="78"/>
      <c r="DM738" s="78"/>
      <c r="DN738" s="78"/>
      <c r="DO738" s="78"/>
      <c r="DP738" s="78"/>
      <c r="DQ738" s="78"/>
      <c r="DR738" s="78"/>
      <c r="DS738" s="78"/>
      <c r="DT738" s="78"/>
      <c r="DU738" s="78"/>
      <c r="DV738" s="78"/>
      <c r="DW738" s="78"/>
      <c r="DX738" s="78"/>
      <c r="DY738" s="78"/>
      <c r="DZ738" s="78"/>
      <c r="EA738" s="78"/>
      <c r="EB738" s="78"/>
      <c r="EC738" s="78"/>
      <c r="ED738" s="78"/>
      <c r="EE738" s="78"/>
      <c r="EF738" s="78"/>
      <c r="EG738" s="78"/>
      <c r="EH738" s="78"/>
      <c r="EI738" s="78"/>
      <c r="EJ738" s="78"/>
      <c r="EK738" s="78"/>
      <c r="EL738" s="78"/>
      <c r="EM738" s="78"/>
      <c r="EN738" s="91"/>
      <c r="EO738" s="91"/>
      <c r="EP738" s="91"/>
      <c r="EQ738" s="91"/>
      <c r="ER738" s="91"/>
      <c r="ES738" s="91"/>
    </row>
    <row r="739" spans="1:149" outlineLevel="1">
      <c r="A739" s="29" t="str">
        <f t="shared" si="372"/>
        <v>lt003_entitygrp_eqty</v>
      </c>
      <c r="B739" s="67" t="s">
        <v>26</v>
      </c>
      <c r="C739" s="68" t="s">
        <v>26</v>
      </c>
      <c r="D739" s="64" t="s">
        <v>40</v>
      </c>
      <c r="E739" s="70" t="s">
        <v>335</v>
      </c>
      <c r="F739" s="71" t="s">
        <v>428</v>
      </c>
      <c r="G739" s="64" t="str">
        <f>INDEX(Auxiliar!$B$16:$B$24,MATCH(Plano_V3!H739,Auxiliar!$C$16:$C$24,0),1)</f>
        <v>1. Concluído</v>
      </c>
      <c r="H739" s="64">
        <f>VLOOKUP(A739,'Aux - pivots1'!$A:$B,2,0)</f>
        <v>1</v>
      </c>
      <c r="I739" s="172">
        <f>SUMIFS(Table1[Estimação (horas)],Table1[Tabela],Plano_V3!E739,Table1[Campo],Plano_V3!F739)</f>
        <v>0.1</v>
      </c>
      <c r="J739" s="172">
        <f t="shared" si="369"/>
        <v>1.2500000000000001E-2</v>
      </c>
      <c r="K739" s="172">
        <f>SUMIFS(Table1[Horas efetivas],Table1[Tabela],Plano_V3!E739,Table1[Campo],Plano_V3!F739)</f>
        <v>0.1</v>
      </c>
      <c r="L739" s="172">
        <f t="shared" si="370"/>
        <v>1.2500000000000001E-2</v>
      </c>
      <c r="M739" s="174"/>
      <c r="N739" s="174">
        <f t="shared" si="371"/>
        <v>1</v>
      </c>
      <c r="O739" s="174"/>
      <c r="P739" s="89" t="s">
        <v>399</v>
      </c>
      <c r="R739" s="78"/>
      <c r="S739" s="78"/>
      <c r="T739" s="78"/>
      <c r="U739" s="78"/>
      <c r="V739" s="78"/>
      <c r="W739" s="78"/>
      <c r="X739" s="78"/>
      <c r="Y739" s="78"/>
      <c r="Z739" s="78"/>
      <c r="AA739" s="78"/>
      <c r="AB739" s="78"/>
      <c r="AC739" s="78"/>
      <c r="AD739" s="78"/>
      <c r="AE739" s="78"/>
      <c r="AF739" s="78"/>
      <c r="AG739" s="78"/>
      <c r="AH739" s="78"/>
      <c r="AI739" s="78"/>
      <c r="AJ739" s="78"/>
      <c r="AK739" s="78"/>
      <c r="AL739" s="78"/>
      <c r="AM739" s="78"/>
      <c r="AN739" s="78"/>
      <c r="AO739" s="78"/>
      <c r="AP739" s="78"/>
      <c r="AQ739" s="78"/>
      <c r="AR739" s="78"/>
      <c r="AS739" s="78"/>
      <c r="AT739" s="78"/>
      <c r="AU739" s="78"/>
      <c r="AV739" s="78"/>
      <c r="AW739" s="78"/>
      <c r="AX739" s="78"/>
      <c r="AY739" s="91"/>
      <c r="AZ739" s="78"/>
      <c r="BA739" s="78"/>
      <c r="BB739" s="78"/>
      <c r="BC739" s="78"/>
      <c r="BD739" s="78"/>
      <c r="BE739" s="78"/>
      <c r="BF739" s="78"/>
      <c r="BG739" s="78"/>
      <c r="BH739" s="78"/>
      <c r="BI739" s="78"/>
      <c r="BJ739" s="78"/>
      <c r="BK739" s="78"/>
      <c r="BL739" s="78"/>
      <c r="BM739" s="78"/>
      <c r="BN739" s="78"/>
      <c r="BO739" s="78"/>
      <c r="BP739" s="78"/>
      <c r="BQ739" s="78"/>
      <c r="BR739" s="78"/>
      <c r="BS739" s="78"/>
      <c r="BT739" s="78"/>
      <c r="BU739" s="78"/>
      <c r="BV739" s="78"/>
      <c r="BW739" s="78"/>
      <c r="BX739" s="78"/>
      <c r="BY739" s="78"/>
      <c r="BZ739" s="78"/>
      <c r="CA739" s="78"/>
      <c r="CB739" s="78"/>
      <c r="CC739" s="78"/>
      <c r="CD739" s="78"/>
      <c r="CE739" s="78"/>
      <c r="CF739" s="78"/>
      <c r="CG739" s="78"/>
      <c r="CH739" s="78"/>
      <c r="CI739" s="78"/>
      <c r="CJ739" s="78"/>
      <c r="CK739" s="78"/>
      <c r="CL739" s="78"/>
      <c r="CM739" s="78"/>
      <c r="CN739" s="78"/>
      <c r="CO739" s="78"/>
      <c r="CP739" s="78"/>
      <c r="CQ739" s="78"/>
      <c r="CR739" s="78"/>
      <c r="CS739" s="78"/>
      <c r="CT739" s="78"/>
      <c r="CU739" s="78"/>
      <c r="CV739" s="78"/>
      <c r="CW739" s="78"/>
      <c r="CX739" s="78"/>
      <c r="CY739" s="78"/>
      <c r="CZ739" s="78"/>
      <c r="DA739" s="78"/>
      <c r="DB739" s="78"/>
      <c r="DC739" s="78"/>
      <c r="DD739" s="78"/>
      <c r="DE739" s="78"/>
      <c r="DF739" s="78"/>
      <c r="DG739" s="78"/>
      <c r="DH739" s="78"/>
      <c r="DI739" s="78"/>
      <c r="DJ739" s="78"/>
      <c r="DK739" s="78"/>
      <c r="DL739" s="78"/>
      <c r="DM739" s="78"/>
      <c r="DN739" s="78"/>
      <c r="DO739" s="78"/>
      <c r="DP739" s="78"/>
      <c r="DQ739" s="78"/>
      <c r="DR739" s="78"/>
      <c r="DS739" s="78"/>
      <c r="DT739" s="78"/>
      <c r="DU739" s="78"/>
      <c r="DV739" s="78"/>
      <c r="DW739" s="78"/>
      <c r="DX739" s="78"/>
      <c r="DY739" s="78"/>
      <c r="DZ739" s="78"/>
      <c r="EA739" s="78"/>
      <c r="EB739" s="78"/>
      <c r="EC739" s="78"/>
      <c r="ED739" s="78"/>
      <c r="EE739" s="78"/>
      <c r="EF739" s="78"/>
      <c r="EG739" s="78"/>
      <c r="EH739" s="78"/>
      <c r="EI739" s="78"/>
      <c r="EJ739" s="78"/>
      <c r="EK739" s="78"/>
      <c r="EL739" s="78"/>
      <c r="EM739" s="78"/>
      <c r="EN739" s="91"/>
      <c r="EO739" s="91"/>
      <c r="EP739" s="91"/>
      <c r="EQ739" s="91"/>
      <c r="ER739" s="91"/>
      <c r="ES739" s="91"/>
    </row>
    <row r="740" spans="1:149" outlineLevel="1">
      <c r="A740" s="29" t="str">
        <f t="shared" si="372"/>
        <v>lt003_entityannl_trnvr_le</v>
      </c>
      <c r="B740" s="67" t="s">
        <v>26</v>
      </c>
      <c r="C740" s="68" t="s">
        <v>26</v>
      </c>
      <c r="D740" s="64" t="s">
        <v>40</v>
      </c>
      <c r="E740" s="70" t="s">
        <v>335</v>
      </c>
      <c r="F740" s="71" t="s">
        <v>429</v>
      </c>
      <c r="G740" s="64" t="str">
        <f>INDEX(Auxiliar!$B$16:$B$24,MATCH(Plano_V3!H740,Auxiliar!$C$16:$C$24,0),1)</f>
        <v>1. Concluído</v>
      </c>
      <c r="H740" s="64">
        <f>VLOOKUP(A740,'Aux - pivots1'!$A:$B,2,0)</f>
        <v>1</v>
      </c>
      <c r="I740" s="172">
        <f>SUMIFS(Table1[Estimação (horas)],Table1[Tabela],Plano_V3!E740,Table1[Campo],Plano_V3!F740)</f>
        <v>0.1</v>
      </c>
      <c r="J740" s="172">
        <f t="shared" si="369"/>
        <v>1.2500000000000001E-2</v>
      </c>
      <c r="K740" s="172">
        <f>SUMIFS(Table1[Horas efetivas],Table1[Tabela],Plano_V3!E740,Table1[Campo],Plano_V3!F740)</f>
        <v>0.1</v>
      </c>
      <c r="L740" s="172">
        <f t="shared" si="370"/>
        <v>1.2500000000000001E-2</v>
      </c>
      <c r="M740" s="174"/>
      <c r="N740" s="174">
        <f t="shared" si="371"/>
        <v>1</v>
      </c>
      <c r="O740" s="174"/>
      <c r="P740" s="89" t="s">
        <v>399</v>
      </c>
      <c r="R740" s="78"/>
      <c r="S740" s="78"/>
      <c r="T740" s="78"/>
      <c r="U740" s="78"/>
      <c r="V740" s="78"/>
      <c r="W740" s="78"/>
      <c r="X740" s="78"/>
      <c r="Y740" s="78"/>
      <c r="Z740" s="78"/>
      <c r="AA740" s="78"/>
      <c r="AB740" s="78"/>
      <c r="AC740" s="78"/>
      <c r="AD740" s="78"/>
      <c r="AE740" s="78"/>
      <c r="AF740" s="78"/>
      <c r="AG740" s="78"/>
      <c r="AH740" s="78"/>
      <c r="AI740" s="78"/>
      <c r="AJ740" s="78"/>
      <c r="AK740" s="78"/>
      <c r="AL740" s="78"/>
      <c r="AM740" s="78"/>
      <c r="AN740" s="78"/>
      <c r="AO740" s="78"/>
      <c r="AP740" s="78"/>
      <c r="AQ740" s="78"/>
      <c r="AR740" s="78"/>
      <c r="AS740" s="78"/>
      <c r="AT740" s="78"/>
      <c r="AU740" s="78"/>
      <c r="AV740" s="78"/>
      <c r="AW740" s="78"/>
      <c r="AX740" s="78"/>
      <c r="AY740" s="91"/>
      <c r="AZ740" s="78"/>
      <c r="BA740" s="78"/>
      <c r="BB740" s="78"/>
      <c r="BC740" s="78"/>
      <c r="BD740" s="78"/>
      <c r="BE740" s="78"/>
      <c r="BF740" s="78"/>
      <c r="BG740" s="78"/>
      <c r="BH740" s="78"/>
      <c r="BI740" s="78"/>
      <c r="BJ740" s="78"/>
      <c r="BK740" s="78"/>
      <c r="BL740" s="78"/>
      <c r="BM740" s="78"/>
      <c r="BN740" s="78"/>
      <c r="BO740" s="78"/>
      <c r="BP740" s="78"/>
      <c r="BQ740" s="78"/>
      <c r="BR740" s="78"/>
      <c r="BS740" s="78"/>
      <c r="BT740" s="78"/>
      <c r="BU740" s="78"/>
      <c r="BV740" s="78"/>
      <c r="BW740" s="78"/>
      <c r="BX740" s="78"/>
      <c r="BY740" s="78"/>
      <c r="BZ740" s="78"/>
      <c r="CA740" s="78"/>
      <c r="CB740" s="78"/>
      <c r="CC740" s="78"/>
      <c r="CD740" s="78"/>
      <c r="CE740" s="78"/>
      <c r="CF740" s="78"/>
      <c r="CG740" s="78"/>
      <c r="CH740" s="78"/>
      <c r="CI740" s="78"/>
      <c r="CJ740" s="78"/>
      <c r="CK740" s="78"/>
      <c r="CL740" s="78"/>
      <c r="CM740" s="78"/>
      <c r="CN740" s="78"/>
      <c r="CO740" s="78"/>
      <c r="CP740" s="78"/>
      <c r="CQ740" s="78"/>
      <c r="CR740" s="78"/>
      <c r="CS740" s="78"/>
      <c r="CT740" s="78"/>
      <c r="CU740" s="78"/>
      <c r="CV740" s="78"/>
      <c r="CW740" s="78"/>
      <c r="CX740" s="78"/>
      <c r="CY740" s="78"/>
      <c r="CZ740" s="78"/>
      <c r="DA740" s="78"/>
      <c r="DB740" s="78"/>
      <c r="DC740" s="78"/>
      <c r="DD740" s="78"/>
      <c r="DE740" s="78"/>
      <c r="DF740" s="78"/>
      <c r="DG740" s="78"/>
      <c r="DH740" s="78"/>
      <c r="DI740" s="78"/>
      <c r="DJ740" s="78"/>
      <c r="DK740" s="78"/>
      <c r="DL740" s="78"/>
      <c r="DM740" s="78"/>
      <c r="DN740" s="78"/>
      <c r="DO740" s="78"/>
      <c r="DP740" s="78"/>
      <c r="DQ740" s="78"/>
      <c r="DR740" s="78"/>
      <c r="DS740" s="78"/>
      <c r="DT740" s="78"/>
      <c r="DU740" s="78"/>
      <c r="DV740" s="78"/>
      <c r="DW740" s="78"/>
      <c r="DX740" s="78"/>
      <c r="DY740" s="78"/>
      <c r="DZ740" s="78"/>
      <c r="EA740" s="78"/>
      <c r="EB740" s="78"/>
      <c r="EC740" s="78"/>
      <c r="ED740" s="78"/>
      <c r="EE740" s="78"/>
      <c r="EF740" s="78"/>
      <c r="EG740" s="78"/>
      <c r="EH740" s="78"/>
      <c r="EI740" s="78"/>
      <c r="EJ740" s="78"/>
      <c r="EK740" s="78"/>
      <c r="EL740" s="78"/>
      <c r="EM740" s="78"/>
      <c r="EN740" s="91"/>
      <c r="EO740" s="91"/>
      <c r="EP740" s="91"/>
      <c r="EQ740" s="91"/>
      <c r="ER740" s="91"/>
      <c r="ES740" s="91"/>
    </row>
    <row r="741" spans="1:149" outlineLevel="1">
      <c r="A741" s="29" t="str">
        <f t="shared" si="372"/>
        <v>lt003_entityeqty</v>
      </c>
      <c r="B741" s="67" t="s">
        <v>26</v>
      </c>
      <c r="C741" s="68" t="s">
        <v>26</v>
      </c>
      <c r="D741" s="64" t="s">
        <v>40</v>
      </c>
      <c r="E741" s="70" t="s">
        <v>335</v>
      </c>
      <c r="F741" s="71" t="s">
        <v>430</v>
      </c>
      <c r="G741" s="64" t="str">
        <f>INDEX(Auxiliar!$B$16:$B$24,MATCH(Plano_V3!H741,Auxiliar!$C$16:$C$24,0),1)</f>
        <v>1. Concluído</v>
      </c>
      <c r="H741" s="64">
        <f>VLOOKUP(A741,'Aux - pivots1'!$A:$B,2,0)</f>
        <v>1</v>
      </c>
      <c r="I741" s="172">
        <f>SUMIFS(Table1[Estimação (horas)],Table1[Tabela],Plano_V3!E741,Table1[Campo],Plano_V3!F741)</f>
        <v>0.1</v>
      </c>
      <c r="J741" s="172">
        <f t="shared" si="369"/>
        <v>1.2500000000000001E-2</v>
      </c>
      <c r="K741" s="172">
        <f>SUMIFS(Table1[Horas efetivas],Table1[Tabela],Plano_V3!E741,Table1[Campo],Plano_V3!F741)</f>
        <v>0.1</v>
      </c>
      <c r="L741" s="172">
        <f t="shared" si="370"/>
        <v>1.2500000000000001E-2</v>
      </c>
      <c r="M741" s="174"/>
      <c r="N741" s="174">
        <f t="shared" si="371"/>
        <v>1</v>
      </c>
      <c r="O741" s="174"/>
      <c r="P741" s="89" t="s">
        <v>399</v>
      </c>
      <c r="R741" s="78"/>
      <c r="S741" s="78"/>
      <c r="T741" s="78"/>
      <c r="U741" s="78"/>
      <c r="V741" s="78"/>
      <c r="W741" s="78"/>
      <c r="X741" s="78"/>
      <c r="Y741" s="78"/>
      <c r="Z741" s="78"/>
      <c r="AA741" s="78"/>
      <c r="AB741" s="78"/>
      <c r="AC741" s="78"/>
      <c r="AD741" s="78"/>
      <c r="AE741" s="78"/>
      <c r="AF741" s="78"/>
      <c r="AG741" s="78"/>
      <c r="AH741" s="78"/>
      <c r="AI741" s="78"/>
      <c r="AJ741" s="78"/>
      <c r="AK741" s="78"/>
      <c r="AL741" s="78"/>
      <c r="AM741" s="78"/>
      <c r="AN741" s="78"/>
      <c r="AO741" s="78"/>
      <c r="AP741" s="78"/>
      <c r="AQ741" s="78"/>
      <c r="AR741" s="78"/>
      <c r="AS741" s="78"/>
      <c r="AT741" s="78"/>
      <c r="AU741" s="78"/>
      <c r="AV741" s="78"/>
      <c r="AW741" s="78"/>
      <c r="AX741" s="78"/>
      <c r="AY741" s="91"/>
      <c r="AZ741" s="78"/>
      <c r="BA741" s="78"/>
      <c r="BB741" s="78"/>
      <c r="BC741" s="78"/>
      <c r="BD741" s="78"/>
      <c r="BE741" s="78"/>
      <c r="BF741" s="78"/>
      <c r="BG741" s="78"/>
      <c r="BH741" s="78"/>
      <c r="BI741" s="78"/>
      <c r="BJ741" s="78"/>
      <c r="BK741" s="78"/>
      <c r="BL741" s="78"/>
      <c r="BM741" s="78"/>
      <c r="BN741" s="78"/>
      <c r="BO741" s="78"/>
      <c r="BP741" s="78"/>
      <c r="BQ741" s="78"/>
      <c r="BR741" s="78"/>
      <c r="BS741" s="78"/>
      <c r="BT741" s="78"/>
      <c r="BU741" s="78"/>
      <c r="BV741" s="78"/>
      <c r="BW741" s="78"/>
      <c r="BX741" s="78"/>
      <c r="BY741" s="78"/>
      <c r="BZ741" s="78"/>
      <c r="CA741" s="78"/>
      <c r="CB741" s="78"/>
      <c r="CC741" s="78"/>
      <c r="CD741" s="78"/>
      <c r="CE741" s="78"/>
      <c r="CF741" s="78"/>
      <c r="CG741" s="78"/>
      <c r="CH741" s="78"/>
      <c r="CI741" s="78"/>
      <c r="CJ741" s="78"/>
      <c r="CK741" s="78"/>
      <c r="CL741" s="78"/>
      <c r="CM741" s="78"/>
      <c r="CN741" s="78"/>
      <c r="CO741" s="78"/>
      <c r="CP741" s="78"/>
      <c r="CQ741" s="78"/>
      <c r="CR741" s="78"/>
      <c r="CS741" s="78"/>
      <c r="CT741" s="78"/>
      <c r="CU741" s="78"/>
      <c r="CV741" s="78"/>
      <c r="CW741" s="78"/>
      <c r="CX741" s="78"/>
      <c r="CY741" s="78"/>
      <c r="CZ741" s="78"/>
      <c r="DA741" s="78"/>
      <c r="DB741" s="78"/>
      <c r="DC741" s="78"/>
      <c r="DD741" s="78"/>
      <c r="DE741" s="78"/>
      <c r="DF741" s="78"/>
      <c r="DG741" s="78"/>
      <c r="DH741" s="78"/>
      <c r="DI741" s="78"/>
      <c r="DJ741" s="78"/>
      <c r="DK741" s="78"/>
      <c r="DL741" s="78"/>
      <c r="DM741" s="78"/>
      <c r="DN741" s="78"/>
      <c r="DO741" s="78"/>
      <c r="DP741" s="78"/>
      <c r="DQ741" s="78"/>
      <c r="DR741" s="78"/>
      <c r="DS741" s="78"/>
      <c r="DT741" s="78"/>
      <c r="DU741" s="78"/>
      <c r="DV741" s="78"/>
      <c r="DW741" s="78"/>
      <c r="DX741" s="78"/>
      <c r="DY741" s="78"/>
      <c r="DZ741" s="78"/>
      <c r="EA741" s="78"/>
      <c r="EB741" s="78"/>
      <c r="EC741" s="78"/>
      <c r="ED741" s="78"/>
      <c r="EE741" s="78"/>
      <c r="EF741" s="78"/>
      <c r="EG741" s="78"/>
      <c r="EH741" s="78"/>
      <c r="EI741" s="78"/>
      <c r="EJ741" s="78"/>
      <c r="EK741" s="78"/>
      <c r="EL741" s="78"/>
      <c r="EM741" s="78"/>
      <c r="EN741" s="91"/>
      <c r="EO741" s="91"/>
      <c r="EP741" s="91"/>
      <c r="EQ741" s="91"/>
      <c r="ER741" s="91"/>
      <c r="ES741" s="91"/>
    </row>
    <row r="742" spans="1:149" outlineLevel="1">
      <c r="A742" s="29" t="str">
        <f t="shared" si="372"/>
        <v>lt003_entitygrp_ttl_dbt</v>
      </c>
      <c r="B742" s="67" t="s">
        <v>26</v>
      </c>
      <c r="C742" s="68" t="s">
        <v>26</v>
      </c>
      <c r="D742" s="64" t="s">
        <v>40</v>
      </c>
      <c r="E742" s="70" t="s">
        <v>335</v>
      </c>
      <c r="F742" s="71" t="s">
        <v>431</v>
      </c>
      <c r="G742" s="64" t="str">
        <f>INDEX(Auxiliar!$B$16:$B$24,MATCH(Plano_V3!H742,Auxiliar!$C$16:$C$24,0),1)</f>
        <v>1. Concluído</v>
      </c>
      <c r="H742" s="64">
        <f>VLOOKUP(A742,'Aux - pivots1'!$A:$B,2,0)</f>
        <v>1</v>
      </c>
      <c r="I742" s="172">
        <f>SUMIFS(Table1[Estimação (horas)],Table1[Tabela],Plano_V3!E742,Table1[Campo],Plano_V3!F742)</f>
        <v>0.1</v>
      </c>
      <c r="J742" s="172">
        <f t="shared" si="369"/>
        <v>1.2500000000000001E-2</v>
      </c>
      <c r="K742" s="172">
        <f>SUMIFS(Table1[Horas efetivas],Table1[Tabela],Plano_V3!E742,Table1[Campo],Plano_V3!F742)</f>
        <v>0.1</v>
      </c>
      <c r="L742" s="172">
        <f t="shared" si="370"/>
        <v>1.2500000000000001E-2</v>
      </c>
      <c r="M742" s="174"/>
      <c r="N742" s="174">
        <f t="shared" si="371"/>
        <v>1</v>
      </c>
      <c r="O742" s="174"/>
      <c r="P742" s="89" t="s">
        <v>399</v>
      </c>
      <c r="R742" s="78"/>
      <c r="S742" s="78"/>
      <c r="T742" s="78"/>
      <c r="U742" s="78"/>
      <c r="V742" s="78"/>
      <c r="W742" s="78"/>
      <c r="X742" s="78"/>
      <c r="Y742" s="78"/>
      <c r="Z742" s="78"/>
      <c r="AA742" s="78"/>
      <c r="AB742" s="78"/>
      <c r="AC742" s="78"/>
      <c r="AD742" s="78"/>
      <c r="AE742" s="78"/>
      <c r="AF742" s="78"/>
      <c r="AG742" s="78"/>
      <c r="AH742" s="78"/>
      <c r="AI742" s="78"/>
      <c r="AJ742" s="78"/>
      <c r="AK742" s="78"/>
      <c r="AL742" s="78"/>
      <c r="AM742" s="78"/>
      <c r="AN742" s="78"/>
      <c r="AO742" s="78"/>
      <c r="AP742" s="78"/>
      <c r="AQ742" s="78"/>
      <c r="AR742" s="78"/>
      <c r="AS742" s="78"/>
      <c r="AT742" s="78"/>
      <c r="AU742" s="78"/>
      <c r="AV742" s="78"/>
      <c r="AW742" s="78"/>
      <c r="AX742" s="78"/>
      <c r="AY742" s="91"/>
      <c r="AZ742" s="78"/>
      <c r="BA742" s="78"/>
      <c r="BB742" s="78"/>
      <c r="BC742" s="78"/>
      <c r="BD742" s="78"/>
      <c r="BE742" s="78"/>
      <c r="BF742" s="78"/>
      <c r="BG742" s="78"/>
      <c r="BH742" s="78"/>
      <c r="BI742" s="78"/>
      <c r="BJ742" s="78"/>
      <c r="BK742" s="78"/>
      <c r="BL742" s="78"/>
      <c r="BM742" s="78"/>
      <c r="BN742" s="78"/>
      <c r="BO742" s="78"/>
      <c r="BP742" s="78"/>
      <c r="BQ742" s="78"/>
      <c r="BR742" s="78"/>
      <c r="BS742" s="78"/>
      <c r="BT742" s="78"/>
      <c r="BU742" s="78"/>
      <c r="BV742" s="78"/>
      <c r="BW742" s="78"/>
      <c r="BX742" s="78"/>
      <c r="BY742" s="78"/>
      <c r="BZ742" s="78"/>
      <c r="CA742" s="78"/>
      <c r="CB742" s="78"/>
      <c r="CC742" s="78"/>
      <c r="CD742" s="78"/>
      <c r="CE742" s="78"/>
      <c r="CF742" s="78"/>
      <c r="CG742" s="78"/>
      <c r="CH742" s="78"/>
      <c r="CI742" s="78"/>
      <c r="CJ742" s="78"/>
      <c r="CK742" s="78"/>
      <c r="CL742" s="78"/>
      <c r="CM742" s="78"/>
      <c r="CN742" s="78"/>
      <c r="CO742" s="78"/>
      <c r="CP742" s="78"/>
      <c r="CQ742" s="78"/>
      <c r="CR742" s="78"/>
      <c r="CS742" s="78"/>
      <c r="CT742" s="78"/>
      <c r="CU742" s="78"/>
      <c r="CV742" s="78"/>
      <c r="CW742" s="78"/>
      <c r="CX742" s="78"/>
      <c r="CY742" s="78"/>
      <c r="CZ742" s="78"/>
      <c r="DA742" s="78"/>
      <c r="DB742" s="78"/>
      <c r="DC742" s="78"/>
      <c r="DD742" s="78"/>
      <c r="DE742" s="78"/>
      <c r="DF742" s="78"/>
      <c r="DG742" s="78"/>
      <c r="DH742" s="78"/>
      <c r="DI742" s="78"/>
      <c r="DJ742" s="78"/>
      <c r="DK742" s="78"/>
      <c r="DL742" s="78"/>
      <c r="DM742" s="78"/>
      <c r="DN742" s="78"/>
      <c r="DO742" s="78"/>
      <c r="DP742" s="78"/>
      <c r="DQ742" s="78"/>
      <c r="DR742" s="78"/>
      <c r="DS742" s="78"/>
      <c r="DT742" s="78"/>
      <c r="DU742" s="78"/>
      <c r="DV742" s="78"/>
      <c r="DW742" s="78"/>
      <c r="DX742" s="78"/>
      <c r="DY742" s="78"/>
      <c r="DZ742" s="78"/>
      <c r="EA742" s="78"/>
      <c r="EB742" s="78"/>
      <c r="EC742" s="78"/>
      <c r="ED742" s="78"/>
      <c r="EE742" s="78"/>
      <c r="EF742" s="78"/>
      <c r="EG742" s="78"/>
      <c r="EH742" s="78"/>
      <c r="EI742" s="78"/>
      <c r="EJ742" s="78"/>
      <c r="EK742" s="78"/>
      <c r="EL742" s="78"/>
      <c r="EM742" s="78"/>
      <c r="EN742" s="91"/>
      <c r="EO742" s="91"/>
      <c r="EP742" s="91"/>
      <c r="EQ742" s="91"/>
      <c r="ER742" s="91"/>
      <c r="ES742" s="91"/>
    </row>
    <row r="743" spans="1:149" outlineLevel="1">
      <c r="A743" s="29" t="str">
        <f t="shared" si="372"/>
        <v>lt003_entityttl_dbt</v>
      </c>
      <c r="B743" s="67" t="s">
        <v>26</v>
      </c>
      <c r="C743" s="68" t="s">
        <v>26</v>
      </c>
      <c r="D743" s="64" t="s">
        <v>40</v>
      </c>
      <c r="E743" s="70" t="s">
        <v>335</v>
      </c>
      <c r="F743" s="71" t="s">
        <v>432</v>
      </c>
      <c r="G743" s="64" t="str">
        <f>INDEX(Auxiliar!$B$16:$B$24,MATCH(Plano_V3!H743,Auxiliar!$C$16:$C$24,0),1)</f>
        <v>1. Concluído</v>
      </c>
      <c r="H743" s="64">
        <f>VLOOKUP(A743,'Aux - pivots1'!$A:$B,2,0)</f>
        <v>1</v>
      </c>
      <c r="I743" s="172">
        <f>SUMIFS(Table1[Estimação (horas)],Table1[Tabela],Plano_V3!E743,Table1[Campo],Plano_V3!F743)</f>
        <v>0.1</v>
      </c>
      <c r="J743" s="172">
        <f t="shared" si="369"/>
        <v>1.2500000000000001E-2</v>
      </c>
      <c r="K743" s="172">
        <f>SUMIFS(Table1[Horas efetivas],Table1[Tabela],Plano_V3!E743,Table1[Campo],Plano_V3!F743)</f>
        <v>0.1</v>
      </c>
      <c r="L743" s="172">
        <f t="shared" si="370"/>
        <v>1.2500000000000001E-2</v>
      </c>
      <c r="M743" s="174"/>
      <c r="N743" s="174">
        <f t="shared" si="371"/>
        <v>1</v>
      </c>
      <c r="O743" s="174"/>
      <c r="P743" s="89" t="s">
        <v>399</v>
      </c>
      <c r="R743" s="78"/>
      <c r="S743" s="78"/>
      <c r="T743" s="78"/>
      <c r="U743" s="78"/>
      <c r="V743" s="78"/>
      <c r="W743" s="78"/>
      <c r="X743" s="78"/>
      <c r="Y743" s="78"/>
      <c r="Z743" s="78"/>
      <c r="AA743" s="78"/>
      <c r="AB743" s="78"/>
      <c r="AC743" s="78"/>
      <c r="AD743" s="78"/>
      <c r="AE743" s="78"/>
      <c r="AF743" s="78"/>
      <c r="AG743" s="78"/>
      <c r="AH743" s="78"/>
      <c r="AI743" s="78"/>
      <c r="AJ743" s="78"/>
      <c r="AK743" s="78"/>
      <c r="AL743" s="78"/>
      <c r="AM743" s="78"/>
      <c r="AN743" s="78"/>
      <c r="AO743" s="78"/>
      <c r="AP743" s="78"/>
      <c r="AQ743" s="78"/>
      <c r="AR743" s="78"/>
      <c r="AS743" s="78"/>
      <c r="AT743" s="78"/>
      <c r="AU743" s="78"/>
      <c r="AV743" s="78"/>
      <c r="AW743" s="78"/>
      <c r="AX743" s="78"/>
      <c r="AY743" s="91"/>
      <c r="AZ743" s="78"/>
      <c r="BA743" s="78"/>
      <c r="BB743" s="78"/>
      <c r="BC743" s="78"/>
      <c r="BD743" s="78"/>
      <c r="BE743" s="78"/>
      <c r="BF743" s="78"/>
      <c r="BG743" s="78"/>
      <c r="BH743" s="78"/>
      <c r="BI743" s="78"/>
      <c r="BJ743" s="78"/>
      <c r="BK743" s="78"/>
      <c r="BL743" s="78"/>
      <c r="BM743" s="78"/>
      <c r="BN743" s="78"/>
      <c r="BO743" s="78"/>
      <c r="BP743" s="78"/>
      <c r="BQ743" s="78"/>
      <c r="BR743" s="78"/>
      <c r="BS743" s="78"/>
      <c r="BT743" s="78"/>
      <c r="BU743" s="78"/>
      <c r="BV743" s="78"/>
      <c r="BW743" s="78"/>
      <c r="BX743" s="78"/>
      <c r="BY743" s="78"/>
      <c r="BZ743" s="78"/>
      <c r="CA743" s="78"/>
      <c r="CB743" s="78"/>
      <c r="CC743" s="78"/>
      <c r="CD743" s="78"/>
      <c r="CE743" s="78"/>
      <c r="CF743" s="78"/>
      <c r="CG743" s="78"/>
      <c r="CH743" s="78"/>
      <c r="CI743" s="78"/>
      <c r="CJ743" s="78"/>
      <c r="CK743" s="78"/>
      <c r="CL743" s="78"/>
      <c r="CM743" s="78"/>
      <c r="CN743" s="78"/>
      <c r="CO743" s="78"/>
      <c r="CP743" s="78"/>
      <c r="CQ743" s="78"/>
      <c r="CR743" s="78"/>
      <c r="CS743" s="78"/>
      <c r="CT743" s="78"/>
      <c r="CU743" s="78"/>
      <c r="CV743" s="78"/>
      <c r="CW743" s="78"/>
      <c r="CX743" s="78"/>
      <c r="CY743" s="78"/>
      <c r="CZ743" s="78"/>
      <c r="DA743" s="78"/>
      <c r="DB743" s="78"/>
      <c r="DC743" s="78"/>
      <c r="DD743" s="78"/>
      <c r="DE743" s="78"/>
      <c r="DF743" s="78"/>
      <c r="DG743" s="78"/>
      <c r="DH743" s="78"/>
      <c r="DI743" s="78"/>
      <c r="DJ743" s="78"/>
      <c r="DK743" s="78"/>
      <c r="DL743" s="78"/>
      <c r="DM743" s="78"/>
      <c r="DN743" s="78"/>
      <c r="DO743" s="78"/>
      <c r="DP743" s="78"/>
      <c r="DQ743" s="78"/>
      <c r="DR743" s="78"/>
      <c r="DS743" s="78"/>
      <c r="DT743" s="78"/>
      <c r="DU743" s="78"/>
      <c r="DV743" s="78"/>
      <c r="DW743" s="78"/>
      <c r="DX743" s="78"/>
      <c r="DY743" s="78"/>
      <c r="DZ743" s="78"/>
      <c r="EA743" s="78"/>
      <c r="EB743" s="78"/>
      <c r="EC743" s="78"/>
      <c r="ED743" s="78"/>
      <c r="EE743" s="78"/>
      <c r="EF743" s="78"/>
      <c r="EG743" s="78"/>
      <c r="EH743" s="78"/>
      <c r="EI743" s="78"/>
      <c r="EJ743" s="78"/>
      <c r="EK743" s="78"/>
      <c r="EL743" s="78"/>
      <c r="EM743" s="78"/>
      <c r="EN743" s="91"/>
      <c r="EO743" s="91"/>
      <c r="EP743" s="91"/>
      <c r="EQ743" s="91"/>
      <c r="ER743" s="91"/>
      <c r="ES743" s="91"/>
    </row>
    <row r="744" spans="1:149" outlineLevel="1">
      <c r="A744" s="29" t="str">
        <f t="shared" si="372"/>
        <v>lt003_entitycod_soc</v>
      </c>
      <c r="B744" s="67" t="s">
        <v>26</v>
      </c>
      <c r="C744" s="68" t="s">
        <v>26</v>
      </c>
      <c r="D744" s="64" t="s">
        <v>40</v>
      </c>
      <c r="E744" s="70" t="s">
        <v>335</v>
      </c>
      <c r="F744" s="71" t="s">
        <v>416</v>
      </c>
      <c r="G744" s="64" t="str">
        <f>INDEX(Auxiliar!$B$16:$B$24,MATCH(Plano_V3!H744,Auxiliar!$C$16:$C$24,0),1)</f>
        <v>1. Concluído</v>
      </c>
      <c r="H744" s="64">
        <f>VLOOKUP(A744,'Aux - pivots1'!$A:$B,2,0)</f>
        <v>1</v>
      </c>
      <c r="I744" s="172">
        <f>SUMIFS(Table1[Estimação (horas)],Table1[Tabela],Plano_V3!E744,Table1[Campo],Plano_V3!F744)</f>
        <v>0.1</v>
      </c>
      <c r="J744" s="172">
        <f t="shared" si="369"/>
        <v>1.2500000000000001E-2</v>
      </c>
      <c r="K744" s="172">
        <f>SUMIFS(Table1[Horas efetivas],Table1[Tabela],Plano_V3!E744,Table1[Campo],Plano_V3!F744)</f>
        <v>0.1</v>
      </c>
      <c r="L744" s="172">
        <f t="shared" si="370"/>
        <v>1.2500000000000001E-2</v>
      </c>
      <c r="M744" s="174"/>
      <c r="N744" s="174">
        <f t="shared" si="371"/>
        <v>1</v>
      </c>
      <c r="O744" s="174"/>
      <c r="P744" s="89" t="s">
        <v>399</v>
      </c>
      <c r="R744" s="78"/>
      <c r="S744" s="78"/>
      <c r="T744" s="78"/>
      <c r="U744" s="78"/>
      <c r="V744" s="78"/>
      <c r="W744" s="78"/>
      <c r="X744" s="78"/>
      <c r="Y744" s="78"/>
      <c r="Z744" s="78"/>
      <c r="AA744" s="78"/>
      <c r="AB744" s="78"/>
      <c r="AC744" s="78"/>
      <c r="AD744" s="78"/>
      <c r="AE744" s="78"/>
      <c r="AF744" s="78"/>
      <c r="AG744" s="78"/>
      <c r="AH744" s="78"/>
      <c r="AI744" s="78"/>
      <c r="AJ744" s="78"/>
      <c r="AK744" s="78"/>
      <c r="AL744" s="78"/>
      <c r="AM744" s="78"/>
      <c r="AN744" s="78"/>
      <c r="AO744" s="78"/>
      <c r="AP744" s="78"/>
      <c r="AQ744" s="78"/>
      <c r="AR744" s="78"/>
      <c r="AS744" s="78"/>
      <c r="AT744" s="78"/>
      <c r="AU744" s="78"/>
      <c r="AV744" s="78"/>
      <c r="AW744" s="78"/>
      <c r="AX744" s="78"/>
      <c r="AY744" s="91"/>
      <c r="AZ744" s="78"/>
      <c r="BA744" s="78"/>
      <c r="BB744" s="78"/>
      <c r="BC744" s="78"/>
      <c r="BD744" s="78"/>
      <c r="BE744" s="78"/>
      <c r="BF744" s="78"/>
      <c r="BG744" s="78"/>
      <c r="BH744" s="78"/>
      <c r="BI744" s="78"/>
      <c r="BJ744" s="78"/>
      <c r="BK744" s="78"/>
      <c r="BL744" s="78"/>
      <c r="BM744" s="78"/>
      <c r="BN744" s="78"/>
      <c r="BO744" s="78"/>
      <c r="BP744" s="78"/>
      <c r="BQ744" s="78"/>
      <c r="BR744" s="78"/>
      <c r="BS744" s="78"/>
      <c r="BT744" s="78"/>
      <c r="BU744" s="78"/>
      <c r="BV744" s="78"/>
      <c r="BW744" s="78"/>
      <c r="BX744" s="78"/>
      <c r="BY744" s="78"/>
      <c r="BZ744" s="78"/>
      <c r="CA744" s="78"/>
      <c r="CB744" s="78"/>
      <c r="CC744" s="78"/>
      <c r="CD744" s="78"/>
      <c r="CE744" s="78"/>
      <c r="CF744" s="78"/>
      <c r="CG744" s="78"/>
      <c r="CH744" s="78"/>
      <c r="CI744" s="78"/>
      <c r="CJ744" s="78"/>
      <c r="CK744" s="78"/>
      <c r="CL744" s="78"/>
      <c r="CM744" s="78"/>
      <c r="CN744" s="78"/>
      <c r="CO744" s="78"/>
      <c r="CP744" s="78"/>
      <c r="CQ744" s="78"/>
      <c r="CR744" s="78"/>
      <c r="CS744" s="78"/>
      <c r="CT744" s="78"/>
      <c r="CU744" s="78"/>
      <c r="CV744" s="78"/>
      <c r="CW744" s="78"/>
      <c r="CX744" s="78"/>
      <c r="CY744" s="78"/>
      <c r="CZ744" s="78"/>
      <c r="DA744" s="78"/>
      <c r="DB744" s="78"/>
      <c r="DC744" s="78"/>
      <c r="DD744" s="78"/>
      <c r="DE744" s="78"/>
      <c r="DF744" s="78"/>
      <c r="DG744" s="78"/>
      <c r="DH744" s="78"/>
      <c r="DI744" s="78"/>
      <c r="DJ744" s="78"/>
      <c r="DK744" s="78"/>
      <c r="DL744" s="78"/>
      <c r="DM744" s="78"/>
      <c r="DN744" s="78"/>
      <c r="DO744" s="78"/>
      <c r="DP744" s="78"/>
      <c r="DQ744" s="78"/>
      <c r="DR744" s="78"/>
      <c r="DS744" s="78"/>
      <c r="DT744" s="78"/>
      <c r="DU744" s="78"/>
      <c r="DV744" s="78"/>
      <c r="DW744" s="78"/>
      <c r="DX744" s="78"/>
      <c r="DY744" s="78"/>
      <c r="DZ744" s="78"/>
      <c r="EA744" s="78"/>
      <c r="EB744" s="78"/>
      <c r="EC744" s="78"/>
      <c r="ED744" s="78"/>
      <c r="EE744" s="78"/>
      <c r="EF744" s="78"/>
      <c r="EG744" s="78"/>
      <c r="EH744" s="78"/>
      <c r="EI744" s="78"/>
      <c r="EJ744" s="78"/>
      <c r="EK744" s="78"/>
      <c r="EL744" s="78"/>
      <c r="EM744" s="78"/>
      <c r="EN744" s="91"/>
      <c r="EO744" s="91"/>
      <c r="EP744" s="91"/>
      <c r="EQ744" s="91"/>
      <c r="ER744" s="91"/>
      <c r="ES744" s="91"/>
    </row>
    <row r="745" spans="1:149" outlineLevel="1">
      <c r="A745" s="29" t="str">
        <f t="shared" si="372"/>
        <v>lt004_protectiondt_rfrnc</v>
      </c>
      <c r="B745" s="67" t="s">
        <v>26</v>
      </c>
      <c r="C745" s="68" t="s">
        <v>26</v>
      </c>
      <c r="D745" s="64" t="s">
        <v>40</v>
      </c>
      <c r="E745" s="70" t="s">
        <v>368</v>
      </c>
      <c r="F745" s="71" t="s">
        <v>398</v>
      </c>
      <c r="G745" s="64" t="str">
        <f>INDEX(Auxiliar!$B$16:$B$24,MATCH(Plano_V3!H745,Auxiliar!$C$16:$C$24,0),1)</f>
        <v>1. Concluído</v>
      </c>
      <c r="H745" s="64">
        <f>VLOOKUP(A745,'Aux - pivots1'!$A:$B,2,0)</f>
        <v>1</v>
      </c>
      <c r="I745" s="172">
        <f>SUMIFS(Table1[Estimação (horas)],Table1[Tabela],Plano_V3!E745,Table1[Campo],Plano_V3!F745)</f>
        <v>0.1</v>
      </c>
      <c r="J745" s="172">
        <f t="shared" si="369"/>
        <v>1.2500000000000001E-2</v>
      </c>
      <c r="K745" s="172">
        <f>SUMIFS(Table1[Horas efetivas],Table1[Tabela],Plano_V3!E745,Table1[Campo],Plano_V3!F745)</f>
        <v>0.1</v>
      </c>
      <c r="L745" s="172">
        <f t="shared" si="370"/>
        <v>1.2500000000000001E-2</v>
      </c>
      <c r="M745" s="174"/>
      <c r="N745" s="174">
        <f t="shared" si="371"/>
        <v>1</v>
      </c>
      <c r="O745" s="174"/>
      <c r="P745" s="89" t="s">
        <v>399</v>
      </c>
      <c r="R745" s="78"/>
      <c r="S745" s="78"/>
      <c r="T745" s="78"/>
      <c r="U745" s="78"/>
      <c r="V745" s="78"/>
      <c r="W745" s="78"/>
      <c r="X745" s="78"/>
      <c r="Y745" s="78"/>
      <c r="Z745" s="78"/>
      <c r="AA745" s="78"/>
      <c r="AB745" s="78"/>
      <c r="AC745" s="78"/>
      <c r="AD745" s="78"/>
      <c r="AE745" s="78"/>
      <c r="AF745" s="78"/>
      <c r="AG745" s="78"/>
      <c r="AH745" s="78"/>
      <c r="AI745" s="78"/>
      <c r="AJ745" s="78"/>
      <c r="AK745" s="78"/>
      <c r="AL745" s="78"/>
      <c r="AM745" s="78"/>
      <c r="AN745" s="78"/>
      <c r="AO745" s="78"/>
      <c r="AP745" s="78"/>
      <c r="AQ745" s="78"/>
      <c r="AR745" s="78"/>
      <c r="AS745" s="78"/>
      <c r="AT745" s="78"/>
      <c r="AU745" s="78"/>
      <c r="AV745" s="78"/>
      <c r="AW745" s="78"/>
      <c r="AX745" s="78"/>
      <c r="AY745" s="91"/>
      <c r="AZ745" s="78"/>
      <c r="BA745" s="78"/>
      <c r="BB745" s="78"/>
      <c r="BC745" s="78"/>
      <c r="BD745" s="78"/>
      <c r="BE745" s="78"/>
      <c r="BF745" s="78"/>
      <c r="BG745" s="78"/>
      <c r="BH745" s="78"/>
      <c r="BI745" s="78"/>
      <c r="BJ745" s="78"/>
      <c r="BK745" s="78"/>
      <c r="BL745" s="78"/>
      <c r="BM745" s="78"/>
      <c r="BN745" s="78"/>
      <c r="BO745" s="78"/>
      <c r="BP745" s="78"/>
      <c r="BQ745" s="78"/>
      <c r="BR745" s="78"/>
      <c r="BS745" s="78"/>
      <c r="BT745" s="78"/>
      <c r="BU745" s="78"/>
      <c r="BV745" s="78"/>
      <c r="BW745" s="78"/>
      <c r="BX745" s="78"/>
      <c r="BY745" s="78"/>
      <c r="BZ745" s="78"/>
      <c r="CA745" s="78"/>
      <c r="CB745" s="78"/>
      <c r="CC745" s="78"/>
      <c r="CD745" s="78"/>
      <c r="CE745" s="78"/>
      <c r="CF745" s="78"/>
      <c r="CG745" s="78"/>
      <c r="CH745" s="78"/>
      <c r="CI745" s="78"/>
      <c r="CJ745" s="78"/>
      <c r="CK745" s="78"/>
      <c r="CL745" s="78"/>
      <c r="CM745" s="78"/>
      <c r="CN745" s="78"/>
      <c r="CO745" s="78"/>
      <c r="CP745" s="78"/>
      <c r="CQ745" s="78"/>
      <c r="CR745" s="78"/>
      <c r="CS745" s="78"/>
      <c r="CT745" s="78"/>
      <c r="CU745" s="78"/>
      <c r="CV745" s="78"/>
      <c r="CW745" s="78"/>
      <c r="CX745" s="78"/>
      <c r="CY745" s="78"/>
      <c r="CZ745" s="78"/>
      <c r="DA745" s="78"/>
      <c r="DB745" s="78"/>
      <c r="DC745" s="78"/>
      <c r="DD745" s="78"/>
      <c r="DE745" s="78"/>
      <c r="DF745" s="78"/>
      <c r="DG745" s="78"/>
      <c r="DH745" s="78"/>
      <c r="DI745" s="78"/>
      <c r="DJ745" s="78"/>
      <c r="DK745" s="78"/>
      <c r="DL745" s="78"/>
      <c r="DM745" s="78"/>
      <c r="DN745" s="78"/>
      <c r="DO745" s="78"/>
      <c r="DP745" s="78"/>
      <c r="DQ745" s="78"/>
      <c r="DR745" s="78"/>
      <c r="DS745" s="78"/>
      <c r="DT745" s="78"/>
      <c r="DU745" s="78"/>
      <c r="DV745" s="78"/>
      <c r="DW745" s="78"/>
      <c r="DX745" s="78"/>
      <c r="DY745" s="78"/>
      <c r="DZ745" s="78"/>
      <c r="EA745" s="78"/>
      <c r="EB745" s="78"/>
      <c r="EC745" s="78"/>
      <c r="ED745" s="78"/>
      <c r="EE745" s="78"/>
      <c r="EF745" s="78"/>
      <c r="EG745" s="78"/>
      <c r="EH745" s="78"/>
      <c r="EI745" s="78"/>
      <c r="EJ745" s="78"/>
      <c r="EK745" s="78"/>
      <c r="EL745" s="78"/>
      <c r="EM745" s="78"/>
      <c r="EN745" s="91"/>
      <c r="EO745" s="91"/>
      <c r="EP745" s="91"/>
      <c r="EQ745" s="91"/>
      <c r="ER745" s="91"/>
      <c r="ES745" s="91"/>
    </row>
    <row r="746" spans="1:149" outlineLevel="1">
      <c r="A746" s="29" t="str">
        <f t="shared" si="372"/>
        <v>lt004_protectionprtctn_id</v>
      </c>
      <c r="B746" s="67" t="s">
        <v>26</v>
      </c>
      <c r="C746" s="68" t="s">
        <v>26</v>
      </c>
      <c r="D746" s="64" t="s">
        <v>40</v>
      </c>
      <c r="E746" s="70" t="s">
        <v>368</v>
      </c>
      <c r="F746" s="71" t="s">
        <v>433</v>
      </c>
      <c r="G746" s="64" t="str">
        <f>INDEX(Auxiliar!$B$16:$B$24,MATCH(Plano_V3!H746,Auxiliar!$C$16:$C$24,0),1)</f>
        <v>1. Concluído</v>
      </c>
      <c r="H746" s="64">
        <f>VLOOKUP(A746,'Aux - pivots1'!$A:$B,2,0)</f>
        <v>1</v>
      </c>
      <c r="I746" s="172">
        <f>SUMIFS(Table1[Estimação (horas)],Table1[Tabela],Plano_V3!E746,Table1[Campo],Plano_V3!F746)</f>
        <v>0.1</v>
      </c>
      <c r="J746" s="172">
        <f t="shared" si="369"/>
        <v>1.2500000000000001E-2</v>
      </c>
      <c r="K746" s="172">
        <f>SUMIFS(Table1[Horas efetivas],Table1[Tabela],Plano_V3!E746,Table1[Campo],Plano_V3!F746)</f>
        <v>0.1</v>
      </c>
      <c r="L746" s="172">
        <f t="shared" si="370"/>
        <v>1.2500000000000001E-2</v>
      </c>
      <c r="M746" s="174"/>
      <c r="N746" s="174">
        <f t="shared" si="371"/>
        <v>1</v>
      </c>
      <c r="O746" s="174"/>
      <c r="P746" s="89" t="s">
        <v>399</v>
      </c>
      <c r="R746" s="78"/>
      <c r="S746" s="78"/>
      <c r="T746" s="78"/>
      <c r="U746" s="78"/>
      <c r="V746" s="78"/>
      <c r="W746" s="78"/>
      <c r="X746" s="78"/>
      <c r="Y746" s="78"/>
      <c r="Z746" s="78"/>
      <c r="AA746" s="78"/>
      <c r="AB746" s="78"/>
      <c r="AC746" s="78"/>
      <c r="AD746" s="78"/>
      <c r="AE746" s="78"/>
      <c r="AF746" s="78"/>
      <c r="AG746" s="78"/>
      <c r="AH746" s="78"/>
      <c r="AI746" s="78"/>
      <c r="AJ746" s="78"/>
      <c r="AK746" s="78"/>
      <c r="AL746" s="78"/>
      <c r="AM746" s="78"/>
      <c r="AN746" s="78"/>
      <c r="AO746" s="78"/>
      <c r="AP746" s="78"/>
      <c r="AQ746" s="78"/>
      <c r="AR746" s="78"/>
      <c r="AS746" s="78"/>
      <c r="AT746" s="78"/>
      <c r="AU746" s="78"/>
      <c r="AV746" s="78"/>
      <c r="AW746" s="78"/>
      <c r="AX746" s="78"/>
      <c r="AY746" s="91"/>
      <c r="AZ746" s="78"/>
      <c r="BA746" s="78"/>
      <c r="BB746" s="78"/>
      <c r="BC746" s="78"/>
      <c r="BD746" s="78"/>
      <c r="BE746" s="78"/>
      <c r="BF746" s="78"/>
      <c r="BG746" s="78"/>
      <c r="BH746" s="78"/>
      <c r="BI746" s="78"/>
      <c r="BJ746" s="78"/>
      <c r="BK746" s="78"/>
      <c r="BL746" s="78"/>
      <c r="BM746" s="78"/>
      <c r="BN746" s="78"/>
      <c r="BO746" s="78"/>
      <c r="BP746" s="78"/>
      <c r="BQ746" s="78"/>
      <c r="BR746" s="78"/>
      <c r="BS746" s="78"/>
      <c r="BT746" s="78"/>
      <c r="BU746" s="78"/>
      <c r="BV746" s="78"/>
      <c r="BW746" s="78"/>
      <c r="BX746" s="78"/>
      <c r="BY746" s="78"/>
      <c r="BZ746" s="78"/>
      <c r="CA746" s="78"/>
      <c r="CB746" s="78"/>
      <c r="CC746" s="78"/>
      <c r="CD746" s="78"/>
      <c r="CE746" s="78"/>
      <c r="CF746" s="78"/>
      <c r="CG746" s="78"/>
      <c r="CH746" s="78"/>
      <c r="CI746" s="78"/>
      <c r="CJ746" s="78"/>
      <c r="CK746" s="78"/>
      <c r="CL746" s="78"/>
      <c r="CM746" s="78"/>
      <c r="CN746" s="78"/>
      <c r="CO746" s="78"/>
      <c r="CP746" s="78"/>
      <c r="CQ746" s="78"/>
      <c r="CR746" s="78"/>
      <c r="CS746" s="78"/>
      <c r="CT746" s="78"/>
      <c r="CU746" s="78"/>
      <c r="CV746" s="78"/>
      <c r="CW746" s="78"/>
      <c r="CX746" s="78"/>
      <c r="CY746" s="78"/>
      <c r="CZ746" s="78"/>
      <c r="DA746" s="78"/>
      <c r="DB746" s="78"/>
      <c r="DC746" s="78"/>
      <c r="DD746" s="78"/>
      <c r="DE746" s="78"/>
      <c r="DF746" s="78"/>
      <c r="DG746" s="78"/>
      <c r="DH746" s="78"/>
      <c r="DI746" s="78"/>
      <c r="DJ746" s="78"/>
      <c r="DK746" s="78"/>
      <c r="DL746" s="78"/>
      <c r="DM746" s="78"/>
      <c r="DN746" s="78"/>
      <c r="DO746" s="78"/>
      <c r="DP746" s="78"/>
      <c r="DQ746" s="78"/>
      <c r="DR746" s="78"/>
      <c r="DS746" s="78"/>
      <c r="DT746" s="78"/>
      <c r="DU746" s="78"/>
      <c r="DV746" s="78"/>
      <c r="DW746" s="78"/>
      <c r="DX746" s="78"/>
      <c r="DY746" s="78"/>
      <c r="DZ746" s="78"/>
      <c r="EA746" s="78"/>
      <c r="EB746" s="78"/>
      <c r="EC746" s="78"/>
      <c r="ED746" s="78"/>
      <c r="EE746" s="78"/>
      <c r="EF746" s="78"/>
      <c r="EG746" s="78"/>
      <c r="EH746" s="78"/>
      <c r="EI746" s="78"/>
      <c r="EJ746" s="78"/>
      <c r="EK746" s="78"/>
      <c r="EL746" s="78"/>
      <c r="EM746" s="78"/>
      <c r="EN746" s="91"/>
      <c r="EO746" s="91"/>
      <c r="EP746" s="91"/>
      <c r="EQ746" s="91"/>
      <c r="ER746" s="91"/>
      <c r="ES746" s="91"/>
    </row>
    <row r="747" spans="1:149" outlineLevel="1">
      <c r="A747" s="29" t="str">
        <f t="shared" si="372"/>
        <v>lt004_protectionrl_estt_clltrl_lctn</v>
      </c>
      <c r="B747" s="67" t="s">
        <v>26</v>
      </c>
      <c r="C747" s="68" t="s">
        <v>26</v>
      </c>
      <c r="D747" s="64" t="s">
        <v>40</v>
      </c>
      <c r="E747" s="70" t="s">
        <v>368</v>
      </c>
      <c r="F747" s="71" t="s">
        <v>434</v>
      </c>
      <c r="G747" s="64" t="str">
        <f>INDEX(Auxiliar!$B$16:$B$24,MATCH(Plano_V3!H747,Auxiliar!$C$16:$C$24,0),1)</f>
        <v>1. Concluído</v>
      </c>
      <c r="H747" s="64">
        <f>VLOOKUP(A747,'Aux - pivots1'!$A:$B,2,0)</f>
        <v>1</v>
      </c>
      <c r="I747" s="172">
        <f>SUMIFS(Table1[Estimação (horas)],Table1[Tabela],Plano_V3!E747,Table1[Campo],Plano_V3!F747)</f>
        <v>0.1</v>
      </c>
      <c r="J747" s="172">
        <f t="shared" si="369"/>
        <v>1.2500000000000001E-2</v>
      </c>
      <c r="K747" s="172">
        <f>SUMIFS(Table1[Horas efetivas],Table1[Tabela],Plano_V3!E747,Table1[Campo],Plano_V3!F747)</f>
        <v>0.1</v>
      </c>
      <c r="L747" s="172">
        <f t="shared" si="370"/>
        <v>1.2500000000000001E-2</v>
      </c>
      <c r="M747" s="174"/>
      <c r="N747" s="174">
        <f t="shared" si="371"/>
        <v>1</v>
      </c>
      <c r="O747" s="174"/>
      <c r="P747" s="89" t="s">
        <v>399</v>
      </c>
      <c r="R747" s="78"/>
      <c r="S747" s="78"/>
      <c r="T747" s="78"/>
      <c r="U747" s="78"/>
      <c r="V747" s="78"/>
      <c r="W747" s="78"/>
      <c r="X747" s="78"/>
      <c r="Y747" s="78"/>
      <c r="Z747" s="78"/>
      <c r="AA747" s="78"/>
      <c r="AB747" s="78"/>
      <c r="AC747" s="78"/>
      <c r="AD747" s="78"/>
      <c r="AE747" s="78"/>
      <c r="AF747" s="78"/>
      <c r="AG747" s="78"/>
      <c r="AH747" s="78"/>
      <c r="AI747" s="78"/>
      <c r="AJ747" s="78"/>
      <c r="AK747" s="78"/>
      <c r="AL747" s="78"/>
      <c r="AM747" s="78"/>
      <c r="AN747" s="78"/>
      <c r="AO747" s="78"/>
      <c r="AP747" s="78"/>
      <c r="AQ747" s="78"/>
      <c r="AR747" s="78"/>
      <c r="AS747" s="78"/>
      <c r="AT747" s="78"/>
      <c r="AU747" s="78"/>
      <c r="AV747" s="78"/>
      <c r="AW747" s="78"/>
      <c r="AX747" s="78"/>
      <c r="AY747" s="91"/>
      <c r="AZ747" s="78"/>
      <c r="BA747" s="78"/>
      <c r="BB747" s="78"/>
      <c r="BC747" s="78"/>
      <c r="BD747" s="78"/>
      <c r="BE747" s="78"/>
      <c r="BF747" s="78"/>
      <c r="BG747" s="78"/>
      <c r="BH747" s="78"/>
      <c r="BI747" s="78"/>
      <c r="BJ747" s="78"/>
      <c r="BK747" s="78"/>
      <c r="BL747" s="78"/>
      <c r="BM747" s="78"/>
      <c r="BN747" s="78"/>
      <c r="BO747" s="78"/>
      <c r="BP747" s="78"/>
      <c r="BQ747" s="78"/>
      <c r="BR747" s="78"/>
      <c r="BS747" s="78"/>
      <c r="BT747" s="78"/>
      <c r="BU747" s="78"/>
      <c r="BV747" s="78"/>
      <c r="BW747" s="78"/>
      <c r="BX747" s="78"/>
      <c r="BY747" s="78"/>
      <c r="BZ747" s="78"/>
      <c r="CA747" s="78"/>
      <c r="CB747" s="78"/>
      <c r="CC747" s="78"/>
      <c r="CD747" s="78"/>
      <c r="CE747" s="78"/>
      <c r="CF747" s="78"/>
      <c r="CG747" s="78"/>
      <c r="CH747" s="78"/>
      <c r="CI747" s="78"/>
      <c r="CJ747" s="78"/>
      <c r="CK747" s="78"/>
      <c r="CL747" s="78"/>
      <c r="CM747" s="78"/>
      <c r="CN747" s="78"/>
      <c r="CO747" s="78"/>
      <c r="CP747" s="78"/>
      <c r="CQ747" s="78"/>
      <c r="CR747" s="78"/>
      <c r="CS747" s="78"/>
      <c r="CT747" s="78"/>
      <c r="CU747" s="78"/>
      <c r="CV747" s="78"/>
      <c r="CW747" s="78"/>
      <c r="CX747" s="78"/>
      <c r="CY747" s="78"/>
      <c r="CZ747" s="78"/>
      <c r="DA747" s="78"/>
      <c r="DB747" s="78"/>
      <c r="DC747" s="78"/>
      <c r="DD747" s="78"/>
      <c r="DE747" s="78"/>
      <c r="DF747" s="78"/>
      <c r="DG747" s="78"/>
      <c r="DH747" s="78"/>
      <c r="DI747" s="78"/>
      <c r="DJ747" s="78"/>
      <c r="DK747" s="78"/>
      <c r="DL747" s="78"/>
      <c r="DM747" s="78"/>
      <c r="DN747" s="78"/>
      <c r="DO747" s="78"/>
      <c r="DP747" s="78"/>
      <c r="DQ747" s="78"/>
      <c r="DR747" s="78"/>
      <c r="DS747" s="78"/>
      <c r="DT747" s="78"/>
      <c r="DU747" s="78"/>
      <c r="DV747" s="78"/>
      <c r="DW747" s="78"/>
      <c r="DX747" s="78"/>
      <c r="DY747" s="78"/>
      <c r="DZ747" s="78"/>
      <c r="EA747" s="78"/>
      <c r="EB747" s="78"/>
      <c r="EC747" s="78"/>
      <c r="ED747" s="78"/>
      <c r="EE747" s="78"/>
      <c r="EF747" s="78"/>
      <c r="EG747" s="78"/>
      <c r="EH747" s="78"/>
      <c r="EI747" s="78"/>
      <c r="EJ747" s="78"/>
      <c r="EK747" s="78"/>
      <c r="EL747" s="78"/>
      <c r="EM747" s="78"/>
      <c r="EN747" s="91"/>
      <c r="EO747" s="91"/>
      <c r="EP747" s="91"/>
      <c r="EQ747" s="91"/>
      <c r="ER747" s="91"/>
      <c r="ES747" s="91"/>
    </row>
    <row r="748" spans="1:149" outlineLevel="1">
      <c r="A748" s="29" t="str">
        <f t="shared" si="372"/>
        <v>lt004_protectionrl_estt_pst_cd</v>
      </c>
      <c r="B748" s="67" t="s">
        <v>26</v>
      </c>
      <c r="C748" s="68" t="s">
        <v>26</v>
      </c>
      <c r="D748" s="64" t="s">
        <v>40</v>
      </c>
      <c r="E748" s="70" t="s">
        <v>368</v>
      </c>
      <c r="F748" s="71" t="s">
        <v>435</v>
      </c>
      <c r="G748" s="64" t="str">
        <f>INDEX(Auxiliar!$B$16:$B$24,MATCH(Plano_V3!H748,Auxiliar!$C$16:$C$24,0),1)</f>
        <v>1. Concluído</v>
      </c>
      <c r="H748" s="64">
        <f>VLOOKUP(A748,'Aux - pivots1'!$A:$B,2,0)</f>
        <v>1</v>
      </c>
      <c r="I748" s="172">
        <f>SUMIFS(Table1[Estimação (horas)],Table1[Tabela],Plano_V3!E748,Table1[Campo],Plano_V3!F748)</f>
        <v>0.1</v>
      </c>
      <c r="J748" s="172">
        <f t="shared" si="369"/>
        <v>1.2500000000000001E-2</v>
      </c>
      <c r="K748" s="172">
        <f>SUMIFS(Table1[Horas efetivas],Table1[Tabela],Plano_V3!E748,Table1[Campo],Plano_V3!F748)</f>
        <v>0.1</v>
      </c>
      <c r="L748" s="172">
        <f t="shared" si="370"/>
        <v>1.2500000000000001E-2</v>
      </c>
      <c r="M748" s="174"/>
      <c r="N748" s="174">
        <f t="shared" si="371"/>
        <v>1</v>
      </c>
      <c r="O748" s="174"/>
      <c r="P748" s="89" t="s">
        <v>399</v>
      </c>
      <c r="R748" s="78"/>
      <c r="S748" s="78"/>
      <c r="T748" s="78"/>
      <c r="U748" s="78"/>
      <c r="V748" s="78"/>
      <c r="W748" s="78"/>
      <c r="X748" s="78"/>
      <c r="Y748" s="78"/>
      <c r="Z748" s="78"/>
      <c r="AA748" s="78"/>
      <c r="AB748" s="78"/>
      <c r="AC748" s="78"/>
      <c r="AD748" s="78"/>
      <c r="AE748" s="78"/>
      <c r="AF748" s="78"/>
      <c r="AG748" s="78"/>
      <c r="AH748" s="78"/>
      <c r="AI748" s="78"/>
      <c r="AJ748" s="78"/>
      <c r="AK748" s="78"/>
      <c r="AL748" s="78"/>
      <c r="AM748" s="78"/>
      <c r="AN748" s="78"/>
      <c r="AO748" s="78"/>
      <c r="AP748" s="78"/>
      <c r="AQ748" s="78"/>
      <c r="AR748" s="78"/>
      <c r="AS748" s="78"/>
      <c r="AT748" s="78"/>
      <c r="AU748" s="78"/>
      <c r="AV748" s="78"/>
      <c r="AW748" s="78"/>
      <c r="AX748" s="78"/>
      <c r="AY748" s="91"/>
      <c r="AZ748" s="78"/>
      <c r="BA748" s="78"/>
      <c r="BB748" s="78"/>
      <c r="BC748" s="78"/>
      <c r="BD748" s="78"/>
      <c r="BE748" s="78"/>
      <c r="BF748" s="78"/>
      <c r="BG748" s="78"/>
      <c r="BH748" s="78"/>
      <c r="BI748" s="78"/>
      <c r="BJ748" s="78"/>
      <c r="BK748" s="78"/>
      <c r="BL748" s="78"/>
      <c r="BM748" s="78"/>
      <c r="BN748" s="78"/>
      <c r="BO748" s="78"/>
      <c r="BP748" s="78"/>
      <c r="BQ748" s="78"/>
      <c r="BR748" s="78"/>
      <c r="BS748" s="78"/>
      <c r="BT748" s="78"/>
      <c r="BU748" s="78"/>
      <c r="BV748" s="78"/>
      <c r="BW748" s="78"/>
      <c r="BX748" s="78"/>
      <c r="BY748" s="78"/>
      <c r="BZ748" s="78"/>
      <c r="CA748" s="78"/>
      <c r="CB748" s="78"/>
      <c r="CC748" s="78"/>
      <c r="CD748" s="78"/>
      <c r="CE748" s="78"/>
      <c r="CF748" s="78"/>
      <c r="CG748" s="78"/>
      <c r="CH748" s="78"/>
      <c r="CI748" s="78"/>
      <c r="CJ748" s="78"/>
      <c r="CK748" s="78"/>
      <c r="CL748" s="78"/>
      <c r="CM748" s="78"/>
      <c r="CN748" s="78"/>
      <c r="CO748" s="78"/>
      <c r="CP748" s="78"/>
      <c r="CQ748" s="78"/>
      <c r="CR748" s="78"/>
      <c r="CS748" s="78"/>
      <c r="CT748" s="78"/>
      <c r="CU748" s="78"/>
      <c r="CV748" s="78"/>
      <c r="CW748" s="78"/>
      <c r="CX748" s="78"/>
      <c r="CY748" s="78"/>
      <c r="CZ748" s="78"/>
      <c r="DA748" s="78"/>
      <c r="DB748" s="78"/>
      <c r="DC748" s="78"/>
      <c r="DD748" s="78"/>
      <c r="DE748" s="78"/>
      <c r="DF748" s="78"/>
      <c r="DG748" s="78"/>
      <c r="DH748" s="78"/>
      <c r="DI748" s="78"/>
      <c r="DJ748" s="78"/>
      <c r="DK748" s="78"/>
      <c r="DL748" s="78"/>
      <c r="DM748" s="78"/>
      <c r="DN748" s="78"/>
      <c r="DO748" s="78"/>
      <c r="DP748" s="78"/>
      <c r="DQ748" s="78"/>
      <c r="DR748" s="78"/>
      <c r="DS748" s="78"/>
      <c r="DT748" s="78"/>
      <c r="DU748" s="78"/>
      <c r="DV748" s="78"/>
      <c r="DW748" s="78"/>
      <c r="DX748" s="78"/>
      <c r="DY748" s="78"/>
      <c r="DZ748" s="78"/>
      <c r="EA748" s="78"/>
      <c r="EB748" s="78"/>
      <c r="EC748" s="78"/>
      <c r="ED748" s="78"/>
      <c r="EE748" s="78"/>
      <c r="EF748" s="78"/>
      <c r="EG748" s="78"/>
      <c r="EH748" s="78"/>
      <c r="EI748" s="78"/>
      <c r="EJ748" s="78"/>
      <c r="EK748" s="78"/>
      <c r="EL748" s="78"/>
      <c r="EM748" s="78"/>
      <c r="EN748" s="91"/>
      <c r="EO748" s="91"/>
      <c r="EP748" s="91"/>
      <c r="EQ748" s="91"/>
      <c r="ER748" s="91"/>
      <c r="ES748" s="91"/>
    </row>
    <row r="749" spans="1:149" outlineLevel="1">
      <c r="A749" s="29" t="str">
        <f t="shared" si="372"/>
        <v>lt004_protectiontyp_prtctn</v>
      </c>
      <c r="B749" s="67" t="s">
        <v>26</v>
      </c>
      <c r="C749" s="68" t="s">
        <v>26</v>
      </c>
      <c r="D749" s="64" t="s">
        <v>40</v>
      </c>
      <c r="E749" s="70" t="s">
        <v>368</v>
      </c>
      <c r="F749" s="71" t="s">
        <v>436</v>
      </c>
      <c r="G749" s="64" t="str">
        <f>INDEX(Auxiliar!$B$16:$B$24,MATCH(Plano_V3!H749,Auxiliar!$C$16:$C$24,0),1)</f>
        <v>1. Concluído</v>
      </c>
      <c r="H749" s="64">
        <f>VLOOKUP(A749,'Aux - pivots1'!$A:$B,2,0)</f>
        <v>1</v>
      </c>
      <c r="I749" s="172">
        <f>SUMIFS(Table1[Estimação (horas)],Table1[Tabela],Plano_V3!E749,Table1[Campo],Plano_V3!F749)</f>
        <v>0.1</v>
      </c>
      <c r="J749" s="172">
        <f t="shared" si="369"/>
        <v>1.2500000000000001E-2</v>
      </c>
      <c r="K749" s="172">
        <f>SUMIFS(Table1[Horas efetivas],Table1[Tabela],Plano_V3!E749,Table1[Campo],Plano_V3!F749)</f>
        <v>0.1</v>
      </c>
      <c r="L749" s="172">
        <f t="shared" si="370"/>
        <v>1.2500000000000001E-2</v>
      </c>
      <c r="M749" s="174"/>
      <c r="N749" s="174">
        <f t="shared" si="371"/>
        <v>1</v>
      </c>
      <c r="O749" s="174"/>
      <c r="P749" s="89" t="s">
        <v>399</v>
      </c>
      <c r="R749" s="78"/>
      <c r="S749" s="78"/>
      <c r="T749" s="78"/>
      <c r="U749" s="78"/>
      <c r="V749" s="78"/>
      <c r="W749" s="78"/>
      <c r="X749" s="78"/>
      <c r="Y749" s="78"/>
      <c r="Z749" s="78"/>
      <c r="AA749" s="78"/>
      <c r="AB749" s="78"/>
      <c r="AC749" s="78"/>
      <c r="AD749" s="78"/>
      <c r="AE749" s="78"/>
      <c r="AF749" s="78"/>
      <c r="AG749" s="78"/>
      <c r="AH749" s="78"/>
      <c r="AI749" s="78"/>
      <c r="AJ749" s="78"/>
      <c r="AK749" s="78"/>
      <c r="AL749" s="78"/>
      <c r="AM749" s="78"/>
      <c r="AN749" s="78"/>
      <c r="AO749" s="78"/>
      <c r="AP749" s="78"/>
      <c r="AQ749" s="78"/>
      <c r="AR749" s="78"/>
      <c r="AS749" s="78"/>
      <c r="AT749" s="78"/>
      <c r="AU749" s="78"/>
      <c r="AV749" s="78"/>
      <c r="AW749" s="78"/>
      <c r="AX749" s="78"/>
      <c r="AY749" s="91"/>
      <c r="AZ749" s="78"/>
      <c r="BA749" s="78"/>
      <c r="BB749" s="78"/>
      <c r="BC749" s="78"/>
      <c r="BD749" s="78"/>
      <c r="BE749" s="78"/>
      <c r="BF749" s="78"/>
      <c r="BG749" s="78"/>
      <c r="BH749" s="78"/>
      <c r="BI749" s="78"/>
      <c r="BJ749" s="78"/>
      <c r="BK749" s="78"/>
      <c r="BL749" s="78"/>
      <c r="BM749" s="78"/>
      <c r="BN749" s="78"/>
      <c r="BO749" s="78"/>
      <c r="BP749" s="78"/>
      <c r="BQ749" s="78"/>
      <c r="BR749" s="78"/>
      <c r="BS749" s="78"/>
      <c r="BT749" s="78"/>
      <c r="BU749" s="78"/>
      <c r="BV749" s="78"/>
      <c r="BW749" s="78"/>
      <c r="BX749" s="78"/>
      <c r="BY749" s="78"/>
      <c r="BZ749" s="78"/>
      <c r="CA749" s="78"/>
      <c r="CB749" s="78"/>
      <c r="CC749" s="78"/>
      <c r="CD749" s="78"/>
      <c r="CE749" s="78"/>
      <c r="CF749" s="78"/>
      <c r="CG749" s="78"/>
      <c r="CH749" s="78"/>
      <c r="CI749" s="78"/>
      <c r="CJ749" s="78"/>
      <c r="CK749" s="78"/>
      <c r="CL749" s="78"/>
      <c r="CM749" s="78"/>
      <c r="CN749" s="78"/>
      <c r="CO749" s="78"/>
      <c r="CP749" s="78"/>
      <c r="CQ749" s="78"/>
      <c r="CR749" s="78"/>
      <c r="CS749" s="78"/>
      <c r="CT749" s="78"/>
      <c r="CU749" s="78"/>
      <c r="CV749" s="78"/>
      <c r="CW749" s="78"/>
      <c r="CX749" s="78"/>
      <c r="CY749" s="78"/>
      <c r="CZ749" s="78"/>
      <c r="DA749" s="78"/>
      <c r="DB749" s="78"/>
      <c r="DC749" s="78"/>
      <c r="DD749" s="78"/>
      <c r="DE749" s="78"/>
      <c r="DF749" s="78"/>
      <c r="DG749" s="78"/>
      <c r="DH749" s="78"/>
      <c r="DI749" s="78"/>
      <c r="DJ749" s="78"/>
      <c r="DK749" s="78"/>
      <c r="DL749" s="78"/>
      <c r="DM749" s="78"/>
      <c r="DN749" s="78"/>
      <c r="DO749" s="78"/>
      <c r="DP749" s="78"/>
      <c r="DQ749" s="78"/>
      <c r="DR749" s="78"/>
      <c r="DS749" s="78"/>
      <c r="DT749" s="78"/>
      <c r="DU749" s="78"/>
      <c r="DV749" s="78"/>
      <c r="DW749" s="78"/>
      <c r="DX749" s="78"/>
      <c r="DY749" s="78"/>
      <c r="DZ749" s="78"/>
      <c r="EA749" s="78"/>
      <c r="EB749" s="78"/>
      <c r="EC749" s="78"/>
      <c r="ED749" s="78"/>
      <c r="EE749" s="78"/>
      <c r="EF749" s="78"/>
      <c r="EG749" s="78"/>
      <c r="EH749" s="78"/>
      <c r="EI749" s="78"/>
      <c r="EJ749" s="78"/>
      <c r="EK749" s="78"/>
      <c r="EL749" s="78"/>
      <c r="EM749" s="78"/>
      <c r="EN749" s="91"/>
      <c r="EO749" s="91"/>
      <c r="EP749" s="91"/>
      <c r="EQ749" s="91"/>
      <c r="ER749" s="91"/>
      <c r="ES749" s="91"/>
    </row>
    <row r="750" spans="1:149" outlineLevel="1">
      <c r="A750" s="29" t="str">
        <f t="shared" si="372"/>
        <v>lt004_protectionorgnl_prtctn_vl</v>
      </c>
      <c r="B750" s="67" t="s">
        <v>26</v>
      </c>
      <c r="C750" s="68" t="s">
        <v>26</v>
      </c>
      <c r="D750" s="64" t="s">
        <v>40</v>
      </c>
      <c r="E750" s="70" t="s">
        <v>368</v>
      </c>
      <c r="F750" s="71" t="s">
        <v>437</v>
      </c>
      <c r="G750" s="64" t="str">
        <f>INDEX(Auxiliar!$B$16:$B$24,MATCH(Plano_V3!H750,Auxiliar!$C$16:$C$24,0),1)</f>
        <v>1. Concluído</v>
      </c>
      <c r="H750" s="64">
        <f>VLOOKUP(A750,'Aux - pivots1'!$A:$B,2,0)</f>
        <v>1</v>
      </c>
      <c r="I750" s="172">
        <f>SUMIFS(Table1[Estimação (horas)],Table1[Tabela],Plano_V3!E750,Table1[Campo],Plano_V3!F750)</f>
        <v>0.1</v>
      </c>
      <c r="J750" s="172">
        <f t="shared" si="369"/>
        <v>1.2500000000000001E-2</v>
      </c>
      <c r="K750" s="172">
        <f>SUMIFS(Table1[Horas efetivas],Table1[Tabela],Plano_V3!E750,Table1[Campo],Plano_V3!F750)</f>
        <v>0.1</v>
      </c>
      <c r="L750" s="172">
        <f t="shared" si="370"/>
        <v>1.2500000000000001E-2</v>
      </c>
      <c r="M750" s="174"/>
      <c r="N750" s="174">
        <f t="shared" si="371"/>
        <v>1</v>
      </c>
      <c r="O750" s="174"/>
      <c r="P750" s="89" t="s">
        <v>399</v>
      </c>
      <c r="R750" s="78"/>
      <c r="S750" s="78"/>
      <c r="T750" s="78"/>
      <c r="U750" s="78"/>
      <c r="V750" s="78"/>
      <c r="W750" s="78"/>
      <c r="X750" s="78"/>
      <c r="Y750" s="78"/>
      <c r="Z750" s="78"/>
      <c r="AA750" s="78"/>
      <c r="AB750" s="78"/>
      <c r="AC750" s="78"/>
      <c r="AD750" s="78"/>
      <c r="AE750" s="78"/>
      <c r="AF750" s="78"/>
      <c r="AG750" s="78"/>
      <c r="AH750" s="78"/>
      <c r="AI750" s="78"/>
      <c r="AJ750" s="78"/>
      <c r="AK750" s="78"/>
      <c r="AL750" s="78"/>
      <c r="AM750" s="78"/>
      <c r="AN750" s="78"/>
      <c r="AO750" s="78"/>
      <c r="AP750" s="78"/>
      <c r="AQ750" s="78"/>
      <c r="AR750" s="78"/>
      <c r="AS750" s="78"/>
      <c r="AT750" s="78"/>
      <c r="AU750" s="78"/>
      <c r="AV750" s="78"/>
      <c r="AW750" s="78"/>
      <c r="AX750" s="78"/>
      <c r="AY750" s="91"/>
      <c r="AZ750" s="78"/>
      <c r="BA750" s="78"/>
      <c r="BB750" s="78"/>
      <c r="BC750" s="78"/>
      <c r="BD750" s="78"/>
      <c r="BE750" s="78"/>
      <c r="BF750" s="78"/>
      <c r="BG750" s="78"/>
      <c r="BH750" s="78"/>
      <c r="BI750" s="78"/>
      <c r="BJ750" s="78"/>
      <c r="BK750" s="78"/>
      <c r="BL750" s="78"/>
      <c r="BM750" s="78"/>
      <c r="BN750" s="78"/>
      <c r="BO750" s="78"/>
      <c r="BP750" s="78"/>
      <c r="BQ750" s="78"/>
      <c r="BR750" s="78"/>
      <c r="BS750" s="78"/>
      <c r="BT750" s="78"/>
      <c r="BU750" s="78"/>
      <c r="BV750" s="78"/>
      <c r="BW750" s="78"/>
      <c r="BX750" s="78"/>
      <c r="BY750" s="78"/>
      <c r="BZ750" s="78"/>
      <c r="CA750" s="78"/>
      <c r="CB750" s="78"/>
      <c r="CC750" s="78"/>
      <c r="CD750" s="78"/>
      <c r="CE750" s="78"/>
      <c r="CF750" s="78"/>
      <c r="CG750" s="78"/>
      <c r="CH750" s="78"/>
      <c r="CI750" s="78"/>
      <c r="CJ750" s="78"/>
      <c r="CK750" s="78"/>
      <c r="CL750" s="78"/>
      <c r="CM750" s="78"/>
      <c r="CN750" s="78"/>
      <c r="CO750" s="78"/>
      <c r="CP750" s="78"/>
      <c r="CQ750" s="78"/>
      <c r="CR750" s="78"/>
      <c r="CS750" s="78"/>
      <c r="CT750" s="78"/>
      <c r="CU750" s="78"/>
      <c r="CV750" s="78"/>
      <c r="CW750" s="78"/>
      <c r="CX750" s="78"/>
      <c r="CY750" s="78"/>
      <c r="CZ750" s="78"/>
      <c r="DA750" s="78"/>
      <c r="DB750" s="78"/>
      <c r="DC750" s="78"/>
      <c r="DD750" s="78"/>
      <c r="DE750" s="78"/>
      <c r="DF750" s="78"/>
      <c r="DG750" s="78"/>
      <c r="DH750" s="78"/>
      <c r="DI750" s="78"/>
      <c r="DJ750" s="78"/>
      <c r="DK750" s="78"/>
      <c r="DL750" s="78"/>
      <c r="DM750" s="78"/>
      <c r="DN750" s="78"/>
      <c r="DO750" s="78"/>
      <c r="DP750" s="78"/>
      <c r="DQ750" s="78"/>
      <c r="DR750" s="78"/>
      <c r="DS750" s="78"/>
      <c r="DT750" s="78"/>
      <c r="DU750" s="78"/>
      <c r="DV750" s="78"/>
      <c r="DW750" s="78"/>
      <c r="DX750" s="78"/>
      <c r="DY750" s="78"/>
      <c r="DZ750" s="78"/>
      <c r="EA750" s="78"/>
      <c r="EB750" s="78"/>
      <c r="EC750" s="78"/>
      <c r="ED750" s="78"/>
      <c r="EE750" s="78"/>
      <c r="EF750" s="78"/>
      <c r="EG750" s="78"/>
      <c r="EH750" s="78"/>
      <c r="EI750" s="78"/>
      <c r="EJ750" s="78"/>
      <c r="EK750" s="78"/>
      <c r="EL750" s="78"/>
      <c r="EM750" s="78"/>
      <c r="EN750" s="91"/>
      <c r="EO750" s="91"/>
      <c r="EP750" s="91"/>
      <c r="EQ750" s="91"/>
      <c r="ER750" s="91"/>
      <c r="ES750" s="91"/>
    </row>
    <row r="751" spans="1:149" outlineLevel="1">
      <c r="A751" s="29" t="str">
        <f t="shared" si="372"/>
        <v>lt004_protectionprtctn_vl</v>
      </c>
      <c r="B751" s="67" t="s">
        <v>26</v>
      </c>
      <c r="C751" s="68" t="s">
        <v>26</v>
      </c>
      <c r="D751" s="64" t="s">
        <v>40</v>
      </c>
      <c r="E751" s="70" t="s">
        <v>368</v>
      </c>
      <c r="F751" s="71" t="s">
        <v>438</v>
      </c>
      <c r="G751" s="64" t="str">
        <f>INDEX(Auxiliar!$B$16:$B$24,MATCH(Plano_V3!H751,Auxiliar!$C$16:$C$24,0),1)</f>
        <v>1. Concluído</v>
      </c>
      <c r="H751" s="64">
        <f>VLOOKUP(A751,'Aux - pivots1'!$A:$B,2,0)</f>
        <v>1</v>
      </c>
      <c r="I751" s="172">
        <f>SUMIFS(Table1[Estimação (horas)],Table1[Tabela],Plano_V3!E751,Table1[Campo],Plano_V3!F751)</f>
        <v>0.1</v>
      </c>
      <c r="J751" s="172">
        <f t="shared" si="369"/>
        <v>1.2500000000000001E-2</v>
      </c>
      <c r="K751" s="172">
        <f>SUMIFS(Table1[Horas efetivas],Table1[Tabela],Plano_V3!E751,Table1[Campo],Plano_V3!F751)</f>
        <v>0.1</v>
      </c>
      <c r="L751" s="172">
        <f t="shared" si="370"/>
        <v>1.2500000000000001E-2</v>
      </c>
      <c r="M751" s="174"/>
      <c r="N751" s="174">
        <f t="shared" si="371"/>
        <v>1</v>
      </c>
      <c r="O751" s="174"/>
      <c r="P751" s="89" t="s">
        <v>399</v>
      </c>
      <c r="R751" s="78"/>
      <c r="S751" s="78"/>
      <c r="T751" s="78"/>
      <c r="U751" s="78"/>
      <c r="V751" s="78"/>
      <c r="W751" s="78"/>
      <c r="X751" s="78"/>
      <c r="Y751" s="78"/>
      <c r="Z751" s="78"/>
      <c r="AA751" s="78"/>
      <c r="AB751" s="78"/>
      <c r="AC751" s="78"/>
      <c r="AD751" s="78"/>
      <c r="AE751" s="78"/>
      <c r="AF751" s="78"/>
      <c r="AG751" s="78"/>
      <c r="AH751" s="78"/>
      <c r="AI751" s="78"/>
      <c r="AJ751" s="78"/>
      <c r="AK751" s="78"/>
      <c r="AL751" s="78"/>
      <c r="AM751" s="78"/>
      <c r="AN751" s="78"/>
      <c r="AO751" s="78"/>
      <c r="AP751" s="78"/>
      <c r="AQ751" s="78"/>
      <c r="AR751" s="78"/>
      <c r="AS751" s="78"/>
      <c r="AT751" s="78"/>
      <c r="AU751" s="78"/>
      <c r="AV751" s="78"/>
      <c r="AW751" s="78"/>
      <c r="AX751" s="78"/>
      <c r="AY751" s="91"/>
      <c r="AZ751" s="78"/>
      <c r="BA751" s="78"/>
      <c r="BB751" s="78"/>
      <c r="BC751" s="78"/>
      <c r="BD751" s="78"/>
      <c r="BE751" s="78"/>
      <c r="BF751" s="78"/>
      <c r="BG751" s="78"/>
      <c r="BH751" s="78"/>
      <c r="BI751" s="78"/>
      <c r="BJ751" s="78"/>
      <c r="BK751" s="78"/>
      <c r="BL751" s="78"/>
      <c r="BM751" s="78"/>
      <c r="BN751" s="78"/>
      <c r="BO751" s="78"/>
      <c r="BP751" s="78"/>
      <c r="BQ751" s="78"/>
      <c r="BR751" s="78"/>
      <c r="BS751" s="78"/>
      <c r="BT751" s="78"/>
      <c r="BU751" s="78"/>
      <c r="BV751" s="78"/>
      <c r="BW751" s="78"/>
      <c r="BX751" s="78"/>
      <c r="BY751" s="78"/>
      <c r="BZ751" s="78"/>
      <c r="CA751" s="78"/>
      <c r="CB751" s="78"/>
      <c r="CC751" s="78"/>
      <c r="CD751" s="78"/>
      <c r="CE751" s="78"/>
      <c r="CF751" s="78"/>
      <c r="CG751" s="78"/>
      <c r="CH751" s="78"/>
      <c r="CI751" s="78"/>
      <c r="CJ751" s="78"/>
      <c r="CK751" s="78"/>
      <c r="CL751" s="78"/>
      <c r="CM751" s="78"/>
      <c r="CN751" s="78"/>
      <c r="CO751" s="78"/>
      <c r="CP751" s="78"/>
      <c r="CQ751" s="78"/>
      <c r="CR751" s="78"/>
      <c r="CS751" s="78"/>
      <c r="CT751" s="78"/>
      <c r="CU751" s="78"/>
      <c r="CV751" s="78"/>
      <c r="CW751" s="78"/>
      <c r="CX751" s="78"/>
      <c r="CY751" s="78"/>
      <c r="CZ751" s="78"/>
      <c r="DA751" s="78"/>
      <c r="DB751" s="78"/>
      <c r="DC751" s="78"/>
      <c r="DD751" s="78"/>
      <c r="DE751" s="78"/>
      <c r="DF751" s="78"/>
      <c r="DG751" s="78"/>
      <c r="DH751" s="78"/>
      <c r="DI751" s="78"/>
      <c r="DJ751" s="78"/>
      <c r="DK751" s="78"/>
      <c r="DL751" s="78"/>
      <c r="DM751" s="78"/>
      <c r="DN751" s="78"/>
      <c r="DO751" s="78"/>
      <c r="DP751" s="78"/>
      <c r="DQ751" s="78"/>
      <c r="DR751" s="78"/>
      <c r="DS751" s="78"/>
      <c r="DT751" s="78"/>
      <c r="DU751" s="78"/>
      <c r="DV751" s="78"/>
      <c r="DW751" s="78"/>
      <c r="DX751" s="78"/>
      <c r="DY751" s="78"/>
      <c r="DZ751" s="78"/>
      <c r="EA751" s="78"/>
      <c r="EB751" s="78"/>
      <c r="EC751" s="78"/>
      <c r="ED751" s="78"/>
      <c r="EE751" s="78"/>
      <c r="EF751" s="78"/>
      <c r="EG751" s="78"/>
      <c r="EH751" s="78"/>
      <c r="EI751" s="78"/>
      <c r="EJ751" s="78"/>
      <c r="EK751" s="78"/>
      <c r="EL751" s="78"/>
      <c r="EM751" s="78"/>
      <c r="EN751" s="91"/>
      <c r="EO751" s="91"/>
      <c r="EP751" s="91"/>
      <c r="EQ751" s="91"/>
      <c r="ER751" s="91"/>
      <c r="ES751" s="91"/>
    </row>
    <row r="752" spans="1:149" outlineLevel="1">
      <c r="A752" s="29" t="str">
        <f t="shared" si="372"/>
        <v>lt004_protectioncod_soc</v>
      </c>
      <c r="B752" s="67" t="s">
        <v>26</v>
      </c>
      <c r="C752" s="68" t="s">
        <v>26</v>
      </c>
      <c r="D752" s="64" t="s">
        <v>40</v>
      </c>
      <c r="E752" s="70" t="s">
        <v>368</v>
      </c>
      <c r="F752" s="71" t="s">
        <v>416</v>
      </c>
      <c r="G752" s="64" t="str">
        <f>INDEX(Auxiliar!$B$16:$B$24,MATCH(Plano_V3!H752,Auxiliar!$C$16:$C$24,0),1)</f>
        <v>1. Concluído</v>
      </c>
      <c r="H752" s="64">
        <f>VLOOKUP(A752,'Aux - pivots1'!$A:$B,2,0)</f>
        <v>1</v>
      </c>
      <c r="I752" s="172">
        <f>SUMIFS(Table1[Estimação (horas)],Table1[Tabela],Plano_V3!E752,Table1[Campo],Plano_V3!F752)</f>
        <v>0.1</v>
      </c>
      <c r="J752" s="172">
        <f t="shared" si="369"/>
        <v>1.2500000000000001E-2</v>
      </c>
      <c r="K752" s="172">
        <f>SUMIFS(Table1[Horas efetivas],Table1[Tabela],Plano_V3!E752,Table1[Campo],Plano_V3!F752)</f>
        <v>0.1</v>
      </c>
      <c r="L752" s="172">
        <f t="shared" si="370"/>
        <v>1.2500000000000001E-2</v>
      </c>
      <c r="M752" s="174"/>
      <c r="N752" s="174">
        <f t="shared" si="371"/>
        <v>1</v>
      </c>
      <c r="O752" s="174"/>
      <c r="P752" s="89" t="s">
        <v>399</v>
      </c>
      <c r="R752" s="78"/>
      <c r="S752" s="78"/>
      <c r="T752" s="78"/>
      <c r="U752" s="78"/>
      <c r="V752" s="78"/>
      <c r="W752" s="78"/>
      <c r="X752" s="78"/>
      <c r="Y752" s="78"/>
      <c r="Z752" s="78"/>
      <c r="AA752" s="78"/>
      <c r="AB752" s="78"/>
      <c r="AC752" s="78"/>
      <c r="AD752" s="78"/>
      <c r="AE752" s="78"/>
      <c r="AF752" s="78"/>
      <c r="AG752" s="78"/>
      <c r="AH752" s="78"/>
      <c r="AI752" s="78"/>
      <c r="AJ752" s="78"/>
      <c r="AK752" s="78"/>
      <c r="AL752" s="78"/>
      <c r="AM752" s="78"/>
      <c r="AN752" s="78"/>
      <c r="AO752" s="78"/>
      <c r="AP752" s="78"/>
      <c r="AQ752" s="78"/>
      <c r="AR752" s="78"/>
      <c r="AS752" s="78"/>
      <c r="AT752" s="78"/>
      <c r="AU752" s="78"/>
      <c r="AV752" s="78"/>
      <c r="AW752" s="78"/>
      <c r="AX752" s="78"/>
      <c r="AY752" s="91"/>
      <c r="AZ752" s="78"/>
      <c r="BA752" s="78"/>
      <c r="BB752" s="78"/>
      <c r="BC752" s="78"/>
      <c r="BD752" s="78"/>
      <c r="BE752" s="78"/>
      <c r="BF752" s="78"/>
      <c r="BG752" s="78"/>
      <c r="BH752" s="78"/>
      <c r="BI752" s="78"/>
      <c r="BJ752" s="78"/>
      <c r="BK752" s="78"/>
      <c r="BL752" s="78"/>
      <c r="BM752" s="78"/>
      <c r="BN752" s="78"/>
      <c r="BO752" s="78"/>
      <c r="BP752" s="78"/>
      <c r="BQ752" s="78"/>
      <c r="BR752" s="78"/>
      <c r="BS752" s="78"/>
      <c r="BT752" s="78"/>
      <c r="BU752" s="78"/>
      <c r="BV752" s="78"/>
      <c r="BW752" s="78"/>
      <c r="BX752" s="78"/>
      <c r="BY752" s="78"/>
      <c r="BZ752" s="78"/>
      <c r="CA752" s="78"/>
      <c r="CB752" s="78"/>
      <c r="CC752" s="78"/>
      <c r="CD752" s="78"/>
      <c r="CE752" s="78"/>
      <c r="CF752" s="78"/>
      <c r="CG752" s="78"/>
      <c r="CH752" s="78"/>
      <c r="CI752" s="78"/>
      <c r="CJ752" s="78"/>
      <c r="CK752" s="78"/>
      <c r="CL752" s="78"/>
      <c r="CM752" s="78"/>
      <c r="CN752" s="78"/>
      <c r="CO752" s="78"/>
      <c r="CP752" s="78"/>
      <c r="CQ752" s="78"/>
      <c r="CR752" s="78"/>
      <c r="CS752" s="78"/>
      <c r="CT752" s="78"/>
      <c r="CU752" s="78"/>
      <c r="CV752" s="78"/>
      <c r="CW752" s="78"/>
      <c r="CX752" s="78"/>
      <c r="CY752" s="78"/>
      <c r="CZ752" s="78"/>
      <c r="DA752" s="78"/>
      <c r="DB752" s="78"/>
      <c r="DC752" s="78"/>
      <c r="DD752" s="78"/>
      <c r="DE752" s="78"/>
      <c r="DF752" s="78"/>
      <c r="DG752" s="78"/>
      <c r="DH752" s="78"/>
      <c r="DI752" s="78"/>
      <c r="DJ752" s="78"/>
      <c r="DK752" s="78"/>
      <c r="DL752" s="78"/>
      <c r="DM752" s="78"/>
      <c r="DN752" s="78"/>
      <c r="DO752" s="78"/>
      <c r="DP752" s="78"/>
      <c r="DQ752" s="78"/>
      <c r="DR752" s="78"/>
      <c r="DS752" s="78"/>
      <c r="DT752" s="78"/>
      <c r="DU752" s="78"/>
      <c r="DV752" s="78"/>
      <c r="DW752" s="78"/>
      <c r="DX752" s="78"/>
      <c r="DY752" s="78"/>
      <c r="DZ752" s="78"/>
      <c r="EA752" s="78"/>
      <c r="EB752" s="78"/>
      <c r="EC752" s="78"/>
      <c r="ED752" s="78"/>
      <c r="EE752" s="78"/>
      <c r="EF752" s="78"/>
      <c r="EG752" s="78"/>
      <c r="EH752" s="78"/>
      <c r="EI752" s="78"/>
      <c r="EJ752" s="78"/>
      <c r="EK752" s="78"/>
      <c r="EL752" s="78"/>
      <c r="EM752" s="78"/>
      <c r="EN752" s="91"/>
      <c r="EO752" s="91"/>
      <c r="EP752" s="91"/>
      <c r="EQ752" s="91"/>
      <c r="ER752" s="91"/>
      <c r="ES752" s="91"/>
    </row>
    <row r="753" spans="1:149" outlineLevel="1">
      <c r="A753" s="29" t="str">
        <f t="shared" si="372"/>
        <v>lt005_instr_entdt_rfrnc</v>
      </c>
      <c r="B753" s="67" t="s">
        <v>26</v>
      </c>
      <c r="C753" s="68" t="s">
        <v>26</v>
      </c>
      <c r="D753" s="64" t="s">
        <v>40</v>
      </c>
      <c r="E753" s="70" t="s">
        <v>439</v>
      </c>
      <c r="F753" s="71" t="s">
        <v>398</v>
      </c>
      <c r="G753" s="64" t="str">
        <f>INDEX(Auxiliar!$B$16:$B$24,MATCH(Plano_V3!H753,Auxiliar!$C$16:$C$24,0),1)</f>
        <v>1. Concluído</v>
      </c>
      <c r="H753" s="64">
        <f>VLOOKUP(A753,'Aux - pivots1'!$A:$B,2,0)</f>
        <v>1</v>
      </c>
      <c r="I753" s="172">
        <f>SUMIFS(Table1[Estimação (horas)],Table1[Tabela],Plano_V3!E753,Table1[Campo],Plano_V3!F753)</f>
        <v>0.1</v>
      </c>
      <c r="J753" s="172">
        <f t="shared" si="369"/>
        <v>1.2500000000000001E-2</v>
      </c>
      <c r="K753" s="172">
        <f>SUMIFS(Table1[Horas efetivas],Table1[Tabela],Plano_V3!E753,Table1[Campo],Plano_V3!F753)</f>
        <v>0.1</v>
      </c>
      <c r="L753" s="172">
        <f t="shared" si="370"/>
        <v>1.2500000000000001E-2</v>
      </c>
      <c r="M753" s="174"/>
      <c r="N753" s="174">
        <f t="shared" si="371"/>
        <v>1</v>
      </c>
      <c r="O753" s="174"/>
      <c r="P753" s="89" t="s">
        <v>399</v>
      </c>
      <c r="R753" s="78"/>
      <c r="S753" s="78"/>
      <c r="T753" s="78"/>
      <c r="U753" s="78"/>
      <c r="V753" s="78"/>
      <c r="W753" s="78"/>
      <c r="X753" s="78"/>
      <c r="Y753" s="78"/>
      <c r="Z753" s="78"/>
      <c r="AA753" s="78"/>
      <c r="AB753" s="78"/>
      <c r="AC753" s="78"/>
      <c r="AD753" s="78"/>
      <c r="AE753" s="78"/>
      <c r="AF753" s="78"/>
      <c r="AG753" s="78"/>
      <c r="AH753" s="78"/>
      <c r="AI753" s="78"/>
      <c r="AJ753" s="78"/>
      <c r="AK753" s="78"/>
      <c r="AL753" s="78"/>
      <c r="AM753" s="78"/>
      <c r="AN753" s="78"/>
      <c r="AO753" s="78"/>
      <c r="AP753" s="78"/>
      <c r="AQ753" s="78"/>
      <c r="AR753" s="78"/>
      <c r="AS753" s="78"/>
      <c r="AT753" s="78"/>
      <c r="AU753" s="78"/>
      <c r="AV753" s="78"/>
      <c r="AW753" s="78"/>
      <c r="AX753" s="78"/>
      <c r="AY753" s="91"/>
      <c r="AZ753" s="78"/>
      <c r="BA753" s="78"/>
      <c r="BB753" s="78"/>
      <c r="BC753" s="78"/>
      <c r="BD753" s="78"/>
      <c r="BE753" s="78"/>
      <c r="BF753" s="78"/>
      <c r="BG753" s="78"/>
      <c r="BH753" s="78"/>
      <c r="BI753" s="78"/>
      <c r="BJ753" s="78"/>
      <c r="BK753" s="78"/>
      <c r="BL753" s="78"/>
      <c r="BM753" s="78"/>
      <c r="BN753" s="78"/>
      <c r="BO753" s="78"/>
      <c r="BP753" s="78"/>
      <c r="BQ753" s="78"/>
      <c r="BR753" s="78"/>
      <c r="BS753" s="78"/>
      <c r="BT753" s="78"/>
      <c r="BU753" s="78"/>
      <c r="BV753" s="78"/>
      <c r="BW753" s="78"/>
      <c r="BX753" s="78"/>
      <c r="BY753" s="78"/>
      <c r="BZ753" s="78"/>
      <c r="CA753" s="78"/>
      <c r="CB753" s="78"/>
      <c r="CC753" s="78"/>
      <c r="CD753" s="78"/>
      <c r="CE753" s="78"/>
      <c r="CF753" s="78"/>
      <c r="CG753" s="78"/>
      <c r="CH753" s="78"/>
      <c r="CI753" s="78"/>
      <c r="CJ753" s="78"/>
      <c r="CK753" s="78"/>
      <c r="CL753" s="78"/>
      <c r="CM753" s="78"/>
      <c r="CN753" s="78"/>
      <c r="CO753" s="78"/>
      <c r="CP753" s="78"/>
      <c r="CQ753" s="78"/>
      <c r="CR753" s="78"/>
      <c r="CS753" s="78"/>
      <c r="CT753" s="78"/>
      <c r="CU753" s="78"/>
      <c r="CV753" s="78"/>
      <c r="CW753" s="78"/>
      <c r="CX753" s="78"/>
      <c r="CY753" s="78"/>
      <c r="CZ753" s="78"/>
      <c r="DA753" s="78"/>
      <c r="DB753" s="78"/>
      <c r="DC753" s="78"/>
      <c r="DD753" s="78"/>
      <c r="DE753" s="78"/>
      <c r="DF753" s="78"/>
      <c r="DG753" s="78"/>
      <c r="DH753" s="78"/>
      <c r="DI753" s="78"/>
      <c r="DJ753" s="78"/>
      <c r="DK753" s="78"/>
      <c r="DL753" s="78"/>
      <c r="DM753" s="78"/>
      <c r="DN753" s="78"/>
      <c r="DO753" s="78"/>
      <c r="DP753" s="78"/>
      <c r="DQ753" s="78"/>
      <c r="DR753" s="78"/>
      <c r="DS753" s="78"/>
      <c r="DT753" s="78"/>
      <c r="DU753" s="78"/>
      <c r="DV753" s="78"/>
      <c r="DW753" s="78"/>
      <c r="DX753" s="78"/>
      <c r="DY753" s="78"/>
      <c r="DZ753" s="78"/>
      <c r="EA753" s="78"/>
      <c r="EB753" s="78"/>
      <c r="EC753" s="78"/>
      <c r="ED753" s="78"/>
      <c r="EE753" s="78"/>
      <c r="EF753" s="78"/>
      <c r="EG753" s="78"/>
      <c r="EH753" s="78"/>
      <c r="EI753" s="78"/>
      <c r="EJ753" s="78"/>
      <c r="EK753" s="78"/>
      <c r="EL753" s="78"/>
      <c r="EM753" s="78"/>
      <c r="EN753" s="91"/>
      <c r="EO753" s="91"/>
      <c r="EP753" s="91"/>
      <c r="EQ753" s="91"/>
      <c r="ER753" s="91"/>
      <c r="ES753" s="91"/>
    </row>
    <row r="754" spans="1:149" outlineLevel="1">
      <c r="A754" s="29" t="str">
        <f t="shared" si="372"/>
        <v>lt005_instr_ententty_id</v>
      </c>
      <c r="B754" s="67" t="s">
        <v>26</v>
      </c>
      <c r="C754" s="68" t="s">
        <v>26</v>
      </c>
      <c r="D754" s="64" t="s">
        <v>40</v>
      </c>
      <c r="E754" s="70" t="s">
        <v>439</v>
      </c>
      <c r="F754" s="71" t="s">
        <v>425</v>
      </c>
      <c r="G754" s="64" t="str">
        <f>INDEX(Auxiliar!$B$16:$B$24,MATCH(Plano_V3!H754,Auxiliar!$C$16:$C$24,0),1)</f>
        <v>1. Concluído</v>
      </c>
      <c r="H754" s="64">
        <f>VLOOKUP(A754,'Aux - pivots1'!$A:$B,2,0)</f>
        <v>1</v>
      </c>
      <c r="I754" s="172">
        <f>SUMIFS(Table1[Estimação (horas)],Table1[Tabela],Plano_V3!E754,Table1[Campo],Plano_V3!F754)</f>
        <v>0.1</v>
      </c>
      <c r="J754" s="172">
        <f t="shared" si="369"/>
        <v>1.2500000000000001E-2</v>
      </c>
      <c r="K754" s="172">
        <f>SUMIFS(Table1[Horas efetivas],Table1[Tabela],Plano_V3!E754,Table1[Campo],Plano_V3!F754)</f>
        <v>0.1</v>
      </c>
      <c r="L754" s="172">
        <f t="shared" si="370"/>
        <v>1.2500000000000001E-2</v>
      </c>
      <c r="M754" s="174"/>
      <c r="N754" s="174">
        <f t="shared" si="371"/>
        <v>1</v>
      </c>
      <c r="O754" s="174"/>
      <c r="P754" s="89" t="s">
        <v>399</v>
      </c>
      <c r="R754" s="78"/>
      <c r="S754" s="78"/>
      <c r="T754" s="78"/>
      <c r="U754" s="78"/>
      <c r="V754" s="78"/>
      <c r="W754" s="78"/>
      <c r="X754" s="78"/>
      <c r="Y754" s="78"/>
      <c r="Z754" s="78"/>
      <c r="AA754" s="78"/>
      <c r="AB754" s="78"/>
      <c r="AC754" s="78"/>
      <c r="AD754" s="78"/>
      <c r="AE754" s="78"/>
      <c r="AF754" s="78"/>
      <c r="AG754" s="78"/>
      <c r="AH754" s="78"/>
      <c r="AI754" s="78"/>
      <c r="AJ754" s="78"/>
      <c r="AK754" s="78"/>
      <c r="AL754" s="78"/>
      <c r="AM754" s="78"/>
      <c r="AN754" s="78"/>
      <c r="AO754" s="78"/>
      <c r="AP754" s="78"/>
      <c r="AQ754" s="78"/>
      <c r="AR754" s="78"/>
      <c r="AS754" s="78"/>
      <c r="AT754" s="78"/>
      <c r="AU754" s="78"/>
      <c r="AV754" s="78"/>
      <c r="AW754" s="78"/>
      <c r="AX754" s="78"/>
      <c r="AY754" s="91"/>
      <c r="AZ754" s="78"/>
      <c r="BA754" s="78"/>
      <c r="BB754" s="78"/>
      <c r="BC754" s="78"/>
      <c r="BD754" s="78"/>
      <c r="BE754" s="78"/>
      <c r="BF754" s="78"/>
      <c r="BG754" s="78"/>
      <c r="BH754" s="78"/>
      <c r="BI754" s="78"/>
      <c r="BJ754" s="78"/>
      <c r="BK754" s="78"/>
      <c r="BL754" s="78"/>
      <c r="BM754" s="78"/>
      <c r="BN754" s="78"/>
      <c r="BO754" s="78"/>
      <c r="BP754" s="78"/>
      <c r="BQ754" s="78"/>
      <c r="BR754" s="78"/>
      <c r="BS754" s="78"/>
      <c r="BT754" s="78"/>
      <c r="BU754" s="78"/>
      <c r="BV754" s="78"/>
      <c r="BW754" s="78"/>
      <c r="BX754" s="78"/>
      <c r="BY754" s="78"/>
      <c r="BZ754" s="78"/>
      <c r="CA754" s="78"/>
      <c r="CB754" s="78"/>
      <c r="CC754" s="78"/>
      <c r="CD754" s="78"/>
      <c r="CE754" s="78"/>
      <c r="CF754" s="78"/>
      <c r="CG754" s="78"/>
      <c r="CH754" s="78"/>
      <c r="CI754" s="78"/>
      <c r="CJ754" s="78"/>
      <c r="CK754" s="78"/>
      <c r="CL754" s="78"/>
      <c r="CM754" s="78"/>
      <c r="CN754" s="78"/>
      <c r="CO754" s="78"/>
      <c r="CP754" s="78"/>
      <c r="CQ754" s="78"/>
      <c r="CR754" s="78"/>
      <c r="CS754" s="78"/>
      <c r="CT754" s="78"/>
      <c r="CU754" s="78"/>
      <c r="CV754" s="78"/>
      <c r="CW754" s="78"/>
      <c r="CX754" s="78"/>
      <c r="CY754" s="78"/>
      <c r="CZ754" s="78"/>
      <c r="DA754" s="78"/>
      <c r="DB754" s="78"/>
      <c r="DC754" s="78"/>
      <c r="DD754" s="78"/>
      <c r="DE754" s="78"/>
      <c r="DF754" s="78"/>
      <c r="DG754" s="78"/>
      <c r="DH754" s="78"/>
      <c r="DI754" s="78"/>
      <c r="DJ754" s="78"/>
      <c r="DK754" s="78"/>
      <c r="DL754" s="78"/>
      <c r="DM754" s="78"/>
      <c r="DN754" s="78"/>
      <c r="DO754" s="78"/>
      <c r="DP754" s="78"/>
      <c r="DQ754" s="78"/>
      <c r="DR754" s="78"/>
      <c r="DS754" s="78"/>
      <c r="DT754" s="78"/>
      <c r="DU754" s="78"/>
      <c r="DV754" s="78"/>
      <c r="DW754" s="78"/>
      <c r="DX754" s="78"/>
      <c r="DY754" s="78"/>
      <c r="DZ754" s="78"/>
      <c r="EA754" s="78"/>
      <c r="EB754" s="78"/>
      <c r="EC754" s="78"/>
      <c r="ED754" s="78"/>
      <c r="EE754" s="78"/>
      <c r="EF754" s="78"/>
      <c r="EG754" s="78"/>
      <c r="EH754" s="78"/>
      <c r="EI754" s="78"/>
      <c r="EJ754" s="78"/>
      <c r="EK754" s="78"/>
      <c r="EL754" s="78"/>
      <c r="EM754" s="78"/>
      <c r="EN754" s="91"/>
      <c r="EO754" s="91"/>
      <c r="EP754" s="91"/>
      <c r="EQ754" s="91"/>
      <c r="ER754" s="91"/>
      <c r="ES754" s="91"/>
    </row>
    <row r="755" spans="1:149" outlineLevel="1">
      <c r="A755" s="29" t="str">
        <f t="shared" si="372"/>
        <v>lt005_instr_entinstrmnt_id</v>
      </c>
      <c r="B755" s="67" t="s">
        <v>26</v>
      </c>
      <c r="C755" s="68" t="s">
        <v>26</v>
      </c>
      <c r="D755" s="64" t="s">
        <v>40</v>
      </c>
      <c r="E755" s="70" t="s">
        <v>439</v>
      </c>
      <c r="F755" s="71" t="s">
        <v>400</v>
      </c>
      <c r="G755" s="64" t="str">
        <f>INDEX(Auxiliar!$B$16:$B$24,MATCH(Plano_V3!H755,Auxiliar!$C$16:$C$24,0),1)</f>
        <v>1. Concluído</v>
      </c>
      <c r="H755" s="64">
        <f>VLOOKUP(A755,'Aux - pivots1'!$A:$B,2,0)</f>
        <v>1</v>
      </c>
      <c r="I755" s="172">
        <f>SUMIFS(Table1[Estimação (horas)],Table1[Tabela],Plano_V3!E755,Table1[Campo],Plano_V3!F755)</f>
        <v>0.1</v>
      </c>
      <c r="J755" s="172">
        <f t="shared" si="369"/>
        <v>1.2500000000000001E-2</v>
      </c>
      <c r="K755" s="172">
        <f>SUMIFS(Table1[Horas efetivas],Table1[Tabela],Plano_V3!E755,Table1[Campo],Plano_V3!F755)</f>
        <v>0.1</v>
      </c>
      <c r="L755" s="172">
        <f t="shared" si="370"/>
        <v>1.2500000000000001E-2</v>
      </c>
      <c r="M755" s="174"/>
      <c r="N755" s="174">
        <f t="shared" si="371"/>
        <v>1</v>
      </c>
      <c r="O755" s="174"/>
      <c r="P755" s="89" t="s">
        <v>399</v>
      </c>
      <c r="R755" s="78"/>
      <c r="S755" s="78"/>
      <c r="T755" s="78"/>
      <c r="U755" s="78"/>
      <c r="V755" s="78"/>
      <c r="W755" s="78"/>
      <c r="X755" s="78"/>
      <c r="Y755" s="78"/>
      <c r="Z755" s="78"/>
      <c r="AA755" s="78"/>
      <c r="AB755" s="78"/>
      <c r="AC755" s="78"/>
      <c r="AD755" s="78"/>
      <c r="AE755" s="78"/>
      <c r="AF755" s="78"/>
      <c r="AG755" s="78"/>
      <c r="AH755" s="78"/>
      <c r="AI755" s="78"/>
      <c r="AJ755" s="78"/>
      <c r="AK755" s="78"/>
      <c r="AL755" s="78"/>
      <c r="AM755" s="78"/>
      <c r="AN755" s="78"/>
      <c r="AO755" s="78"/>
      <c r="AP755" s="78"/>
      <c r="AQ755" s="78"/>
      <c r="AR755" s="78"/>
      <c r="AS755" s="78"/>
      <c r="AT755" s="78"/>
      <c r="AU755" s="78"/>
      <c r="AV755" s="78"/>
      <c r="AW755" s="78"/>
      <c r="AX755" s="78"/>
      <c r="AY755" s="91"/>
      <c r="AZ755" s="78"/>
      <c r="BA755" s="78"/>
      <c r="BB755" s="78"/>
      <c r="BC755" s="78"/>
      <c r="BD755" s="78"/>
      <c r="BE755" s="78"/>
      <c r="BF755" s="78"/>
      <c r="BG755" s="78"/>
      <c r="BH755" s="78"/>
      <c r="BI755" s="78"/>
      <c r="BJ755" s="78"/>
      <c r="BK755" s="78"/>
      <c r="BL755" s="78"/>
      <c r="BM755" s="78"/>
      <c r="BN755" s="78"/>
      <c r="BO755" s="78"/>
      <c r="BP755" s="78"/>
      <c r="BQ755" s="78"/>
      <c r="BR755" s="78"/>
      <c r="BS755" s="78"/>
      <c r="BT755" s="78"/>
      <c r="BU755" s="78"/>
      <c r="BV755" s="78"/>
      <c r="BW755" s="78"/>
      <c r="BX755" s="78"/>
      <c r="BY755" s="78"/>
      <c r="BZ755" s="78"/>
      <c r="CA755" s="78"/>
      <c r="CB755" s="78"/>
      <c r="CC755" s="78"/>
      <c r="CD755" s="78"/>
      <c r="CE755" s="78"/>
      <c r="CF755" s="78"/>
      <c r="CG755" s="78"/>
      <c r="CH755" s="78"/>
      <c r="CI755" s="78"/>
      <c r="CJ755" s="78"/>
      <c r="CK755" s="78"/>
      <c r="CL755" s="78"/>
      <c r="CM755" s="78"/>
      <c r="CN755" s="78"/>
      <c r="CO755" s="78"/>
      <c r="CP755" s="78"/>
      <c r="CQ755" s="78"/>
      <c r="CR755" s="78"/>
      <c r="CS755" s="78"/>
      <c r="CT755" s="78"/>
      <c r="CU755" s="78"/>
      <c r="CV755" s="78"/>
      <c r="CW755" s="78"/>
      <c r="CX755" s="78"/>
      <c r="CY755" s="78"/>
      <c r="CZ755" s="78"/>
      <c r="DA755" s="78"/>
      <c r="DB755" s="78"/>
      <c r="DC755" s="78"/>
      <c r="DD755" s="78"/>
      <c r="DE755" s="78"/>
      <c r="DF755" s="78"/>
      <c r="DG755" s="78"/>
      <c r="DH755" s="78"/>
      <c r="DI755" s="78"/>
      <c r="DJ755" s="78"/>
      <c r="DK755" s="78"/>
      <c r="DL755" s="78"/>
      <c r="DM755" s="78"/>
      <c r="DN755" s="78"/>
      <c r="DO755" s="78"/>
      <c r="DP755" s="78"/>
      <c r="DQ755" s="78"/>
      <c r="DR755" s="78"/>
      <c r="DS755" s="78"/>
      <c r="DT755" s="78"/>
      <c r="DU755" s="78"/>
      <c r="DV755" s="78"/>
      <c r="DW755" s="78"/>
      <c r="DX755" s="78"/>
      <c r="DY755" s="78"/>
      <c r="DZ755" s="78"/>
      <c r="EA755" s="78"/>
      <c r="EB755" s="78"/>
      <c r="EC755" s="78"/>
      <c r="ED755" s="78"/>
      <c r="EE755" s="78"/>
      <c r="EF755" s="78"/>
      <c r="EG755" s="78"/>
      <c r="EH755" s="78"/>
      <c r="EI755" s="78"/>
      <c r="EJ755" s="78"/>
      <c r="EK755" s="78"/>
      <c r="EL755" s="78"/>
      <c r="EM755" s="78"/>
      <c r="EN755" s="91"/>
      <c r="EO755" s="91"/>
      <c r="EP755" s="91"/>
      <c r="EQ755" s="91"/>
      <c r="ER755" s="91"/>
      <c r="ES755" s="91"/>
    </row>
    <row r="756" spans="1:149" outlineLevel="1">
      <c r="A756" s="29" t="str">
        <f t="shared" si="372"/>
        <v>lt005_instr_entcod_soc</v>
      </c>
      <c r="B756" s="67" t="s">
        <v>26</v>
      </c>
      <c r="C756" s="68" t="s">
        <v>26</v>
      </c>
      <c r="D756" s="64" t="s">
        <v>40</v>
      </c>
      <c r="E756" s="70" t="s">
        <v>439</v>
      </c>
      <c r="F756" s="71" t="s">
        <v>416</v>
      </c>
      <c r="G756" s="64" t="str">
        <f>INDEX(Auxiliar!$B$16:$B$24,MATCH(Plano_V3!H756,Auxiliar!$C$16:$C$24,0),1)</f>
        <v>1. Concluído</v>
      </c>
      <c r="H756" s="64">
        <f>VLOOKUP(A756,'Aux - pivots1'!$A:$B,2,0)</f>
        <v>1</v>
      </c>
      <c r="I756" s="172">
        <f>SUMIFS(Table1[Estimação (horas)],Table1[Tabela],Plano_V3!E756,Table1[Campo],Plano_V3!F756)</f>
        <v>0.1</v>
      </c>
      <c r="J756" s="172">
        <f t="shared" si="369"/>
        <v>1.2500000000000001E-2</v>
      </c>
      <c r="K756" s="172">
        <f>SUMIFS(Table1[Horas efetivas],Table1[Tabela],Plano_V3!E756,Table1[Campo],Plano_V3!F756)</f>
        <v>0.1</v>
      </c>
      <c r="L756" s="172">
        <f t="shared" si="370"/>
        <v>1.2500000000000001E-2</v>
      </c>
      <c r="M756" s="174"/>
      <c r="N756" s="174">
        <f t="shared" si="371"/>
        <v>1</v>
      </c>
      <c r="O756" s="174"/>
      <c r="P756" s="89" t="s">
        <v>399</v>
      </c>
      <c r="R756" s="78"/>
      <c r="S756" s="78"/>
      <c r="T756" s="78"/>
      <c r="U756" s="78"/>
      <c r="V756" s="78"/>
      <c r="W756" s="78"/>
      <c r="X756" s="78"/>
      <c r="Y756" s="78"/>
      <c r="Z756" s="78"/>
      <c r="AA756" s="78"/>
      <c r="AB756" s="78"/>
      <c r="AC756" s="78"/>
      <c r="AD756" s="78"/>
      <c r="AE756" s="78"/>
      <c r="AF756" s="78"/>
      <c r="AG756" s="78"/>
      <c r="AH756" s="78"/>
      <c r="AI756" s="78"/>
      <c r="AJ756" s="78"/>
      <c r="AK756" s="78"/>
      <c r="AL756" s="78"/>
      <c r="AM756" s="78"/>
      <c r="AN756" s="78"/>
      <c r="AO756" s="78"/>
      <c r="AP756" s="78"/>
      <c r="AQ756" s="78"/>
      <c r="AR756" s="78"/>
      <c r="AS756" s="78"/>
      <c r="AT756" s="78"/>
      <c r="AU756" s="78"/>
      <c r="AV756" s="78"/>
      <c r="AW756" s="78"/>
      <c r="AX756" s="78"/>
      <c r="AY756" s="91"/>
      <c r="AZ756" s="78"/>
      <c r="BA756" s="78"/>
      <c r="BB756" s="78"/>
      <c r="BC756" s="78"/>
      <c r="BD756" s="78"/>
      <c r="BE756" s="78"/>
      <c r="BF756" s="78"/>
      <c r="BG756" s="78"/>
      <c r="BH756" s="78"/>
      <c r="BI756" s="78"/>
      <c r="BJ756" s="78"/>
      <c r="BK756" s="78"/>
      <c r="BL756" s="78"/>
      <c r="BM756" s="78"/>
      <c r="BN756" s="78"/>
      <c r="BO756" s="78"/>
      <c r="BP756" s="78"/>
      <c r="BQ756" s="78"/>
      <c r="BR756" s="78"/>
      <c r="BS756" s="78"/>
      <c r="BT756" s="78"/>
      <c r="BU756" s="78"/>
      <c r="BV756" s="78"/>
      <c r="BW756" s="78"/>
      <c r="BX756" s="78"/>
      <c r="BY756" s="78"/>
      <c r="BZ756" s="78"/>
      <c r="CA756" s="78"/>
      <c r="CB756" s="78"/>
      <c r="CC756" s="78"/>
      <c r="CD756" s="78"/>
      <c r="CE756" s="78"/>
      <c r="CF756" s="78"/>
      <c r="CG756" s="78"/>
      <c r="CH756" s="78"/>
      <c r="CI756" s="78"/>
      <c r="CJ756" s="78"/>
      <c r="CK756" s="78"/>
      <c r="CL756" s="78"/>
      <c r="CM756" s="78"/>
      <c r="CN756" s="78"/>
      <c r="CO756" s="78"/>
      <c r="CP756" s="78"/>
      <c r="CQ756" s="78"/>
      <c r="CR756" s="78"/>
      <c r="CS756" s="78"/>
      <c r="CT756" s="78"/>
      <c r="CU756" s="78"/>
      <c r="CV756" s="78"/>
      <c r="CW756" s="78"/>
      <c r="CX756" s="78"/>
      <c r="CY756" s="78"/>
      <c r="CZ756" s="78"/>
      <c r="DA756" s="78"/>
      <c r="DB756" s="78"/>
      <c r="DC756" s="78"/>
      <c r="DD756" s="78"/>
      <c r="DE756" s="78"/>
      <c r="DF756" s="78"/>
      <c r="DG756" s="78"/>
      <c r="DH756" s="78"/>
      <c r="DI756" s="78"/>
      <c r="DJ756" s="78"/>
      <c r="DK756" s="78"/>
      <c r="DL756" s="78"/>
      <c r="DM756" s="78"/>
      <c r="DN756" s="78"/>
      <c r="DO756" s="78"/>
      <c r="DP756" s="78"/>
      <c r="DQ756" s="78"/>
      <c r="DR756" s="78"/>
      <c r="DS756" s="78"/>
      <c r="DT756" s="78"/>
      <c r="DU756" s="78"/>
      <c r="DV756" s="78"/>
      <c r="DW756" s="78"/>
      <c r="DX756" s="78"/>
      <c r="DY756" s="78"/>
      <c r="DZ756" s="78"/>
      <c r="EA756" s="78"/>
      <c r="EB756" s="78"/>
      <c r="EC756" s="78"/>
      <c r="ED756" s="78"/>
      <c r="EE756" s="78"/>
      <c r="EF756" s="78"/>
      <c r="EG756" s="78"/>
      <c r="EH756" s="78"/>
      <c r="EI756" s="78"/>
      <c r="EJ756" s="78"/>
      <c r="EK756" s="78"/>
      <c r="EL756" s="78"/>
      <c r="EM756" s="78"/>
      <c r="EN756" s="91"/>
      <c r="EO756" s="91"/>
      <c r="EP756" s="91"/>
      <c r="EQ756" s="91"/>
      <c r="ER756" s="91"/>
      <c r="ES756" s="91"/>
    </row>
    <row r="757" spans="1:149" outlineLevel="1">
      <c r="A757" s="29" t="str">
        <f t="shared" si="372"/>
        <v>lt005_instr_entmn_entty_id</v>
      </c>
      <c r="B757" s="67" t="s">
        <v>26</v>
      </c>
      <c r="C757" s="68" t="s">
        <v>26</v>
      </c>
      <c r="D757" s="64" t="s">
        <v>40</v>
      </c>
      <c r="E757" s="70" t="s">
        <v>439</v>
      </c>
      <c r="F757" s="71" t="s">
        <v>440</v>
      </c>
      <c r="G757" s="64" t="str">
        <f>INDEX(Auxiliar!$B$16:$B$24,MATCH(Plano_V3!H757,Auxiliar!$C$16:$C$24,0),1)</f>
        <v>1. Concluído</v>
      </c>
      <c r="H757" s="64">
        <f>VLOOKUP(A757,'Aux - pivots1'!$A:$B,2,0)</f>
        <v>1</v>
      </c>
      <c r="I757" s="172">
        <f>SUMIFS(Table1[Estimação (horas)],Table1[Tabela],Plano_V3!E757,Table1[Campo],Plano_V3!F757)</f>
        <v>0.1</v>
      </c>
      <c r="J757" s="172">
        <f t="shared" si="369"/>
        <v>1.2500000000000001E-2</v>
      </c>
      <c r="K757" s="172">
        <f>SUMIFS(Table1[Horas efetivas],Table1[Tabela],Plano_V3!E757,Table1[Campo],Plano_V3!F757)</f>
        <v>0.1</v>
      </c>
      <c r="L757" s="172">
        <f t="shared" si="370"/>
        <v>1.2500000000000001E-2</v>
      </c>
      <c r="M757" s="174"/>
      <c r="N757" s="174">
        <f t="shared" si="371"/>
        <v>1</v>
      </c>
      <c r="O757" s="174"/>
      <c r="P757" s="89" t="s">
        <v>399</v>
      </c>
      <c r="R757" s="78"/>
      <c r="S757" s="78"/>
      <c r="T757" s="78"/>
      <c r="U757" s="78"/>
      <c r="V757" s="78"/>
      <c r="W757" s="78"/>
      <c r="X757" s="78"/>
      <c r="Y757" s="78"/>
      <c r="Z757" s="78"/>
      <c r="AA757" s="78"/>
      <c r="AB757" s="78"/>
      <c r="AC757" s="78"/>
      <c r="AD757" s="78"/>
      <c r="AE757" s="78"/>
      <c r="AF757" s="78"/>
      <c r="AG757" s="78"/>
      <c r="AH757" s="78"/>
      <c r="AI757" s="78"/>
      <c r="AJ757" s="78"/>
      <c r="AK757" s="78"/>
      <c r="AL757" s="78"/>
      <c r="AM757" s="78"/>
      <c r="AN757" s="78"/>
      <c r="AO757" s="78"/>
      <c r="AP757" s="78"/>
      <c r="AQ757" s="78"/>
      <c r="AR757" s="78"/>
      <c r="AS757" s="78"/>
      <c r="AT757" s="78"/>
      <c r="AU757" s="78"/>
      <c r="AV757" s="78"/>
      <c r="AW757" s="78"/>
      <c r="AX757" s="78"/>
      <c r="AY757" s="91"/>
      <c r="AZ757" s="78"/>
      <c r="BA757" s="78"/>
      <c r="BB757" s="78"/>
      <c r="BC757" s="78"/>
      <c r="BD757" s="78"/>
      <c r="BE757" s="78"/>
      <c r="BF757" s="78"/>
      <c r="BG757" s="78"/>
      <c r="BH757" s="78"/>
      <c r="BI757" s="78"/>
      <c r="BJ757" s="78"/>
      <c r="BK757" s="78"/>
      <c r="BL757" s="78"/>
      <c r="BM757" s="78"/>
      <c r="BN757" s="78"/>
      <c r="BO757" s="78"/>
      <c r="BP757" s="78"/>
      <c r="BQ757" s="78"/>
      <c r="BR757" s="78"/>
      <c r="BS757" s="78"/>
      <c r="BT757" s="78"/>
      <c r="BU757" s="78"/>
      <c r="BV757" s="78"/>
      <c r="BW757" s="78"/>
      <c r="BX757" s="78"/>
      <c r="BY757" s="78"/>
      <c r="BZ757" s="78"/>
      <c r="CA757" s="78"/>
      <c r="CB757" s="78"/>
      <c r="CC757" s="78"/>
      <c r="CD757" s="78"/>
      <c r="CE757" s="78"/>
      <c r="CF757" s="78"/>
      <c r="CG757" s="78"/>
      <c r="CH757" s="78"/>
      <c r="CI757" s="78"/>
      <c r="CJ757" s="78"/>
      <c r="CK757" s="78"/>
      <c r="CL757" s="78"/>
      <c r="CM757" s="78"/>
      <c r="CN757" s="78"/>
      <c r="CO757" s="78"/>
      <c r="CP757" s="78"/>
      <c r="CQ757" s="78"/>
      <c r="CR757" s="78"/>
      <c r="CS757" s="78"/>
      <c r="CT757" s="78"/>
      <c r="CU757" s="78"/>
      <c r="CV757" s="78"/>
      <c r="CW757" s="78"/>
      <c r="CX757" s="78"/>
      <c r="CY757" s="78"/>
      <c r="CZ757" s="78"/>
      <c r="DA757" s="78"/>
      <c r="DB757" s="78"/>
      <c r="DC757" s="78"/>
      <c r="DD757" s="78"/>
      <c r="DE757" s="78"/>
      <c r="DF757" s="78"/>
      <c r="DG757" s="78"/>
      <c r="DH757" s="78"/>
      <c r="DI757" s="78"/>
      <c r="DJ757" s="78"/>
      <c r="DK757" s="78"/>
      <c r="DL757" s="78"/>
      <c r="DM757" s="78"/>
      <c r="DN757" s="78"/>
      <c r="DO757" s="78"/>
      <c r="DP757" s="78"/>
      <c r="DQ757" s="78"/>
      <c r="DR757" s="78"/>
      <c r="DS757" s="78"/>
      <c r="DT757" s="78"/>
      <c r="DU757" s="78"/>
      <c r="DV757" s="78"/>
      <c r="DW757" s="78"/>
      <c r="DX757" s="78"/>
      <c r="DY757" s="78"/>
      <c r="DZ757" s="78"/>
      <c r="EA757" s="78"/>
      <c r="EB757" s="78"/>
      <c r="EC757" s="78"/>
      <c r="ED757" s="78"/>
      <c r="EE757" s="78"/>
      <c r="EF757" s="78"/>
      <c r="EG757" s="78"/>
      <c r="EH757" s="78"/>
      <c r="EI757" s="78"/>
      <c r="EJ757" s="78"/>
      <c r="EK757" s="78"/>
      <c r="EL757" s="78"/>
      <c r="EM757" s="78"/>
      <c r="EN757" s="91"/>
      <c r="EO757" s="91"/>
      <c r="EP757" s="91"/>
      <c r="EQ757" s="91"/>
      <c r="ER757" s="91"/>
      <c r="ES757" s="91"/>
    </row>
    <row r="758" spans="1:149" outlineLevel="1">
      <c r="A758" s="29" t="str">
        <f t="shared" si="372"/>
        <v>lt006_instr_protdt_rfrnc</v>
      </c>
      <c r="B758" s="67" t="s">
        <v>26</v>
      </c>
      <c r="C758" s="68" t="s">
        <v>26</v>
      </c>
      <c r="D758" s="64" t="s">
        <v>40</v>
      </c>
      <c r="E758" s="70" t="s">
        <v>441</v>
      </c>
      <c r="F758" s="71" t="s">
        <v>398</v>
      </c>
      <c r="G758" s="64" t="str">
        <f>INDEX(Auxiliar!$B$16:$B$24,MATCH(Plano_V3!H758,Auxiliar!$C$16:$C$24,0),1)</f>
        <v>1. Concluído</v>
      </c>
      <c r="H758" s="64">
        <f>VLOOKUP(A758,'Aux - pivots1'!$A:$B,2,0)</f>
        <v>1</v>
      </c>
      <c r="I758" s="172">
        <f>SUMIFS(Table1[Estimação (horas)],Table1[Tabela],Plano_V3!E758,Table1[Campo],Plano_V3!F758)</f>
        <v>0.1</v>
      </c>
      <c r="J758" s="172">
        <f t="shared" si="369"/>
        <v>1.2500000000000001E-2</v>
      </c>
      <c r="K758" s="172">
        <f>SUMIFS(Table1[Horas efetivas],Table1[Tabela],Plano_V3!E758,Table1[Campo],Plano_V3!F758)</f>
        <v>0.1</v>
      </c>
      <c r="L758" s="172">
        <f t="shared" si="370"/>
        <v>1.2500000000000001E-2</v>
      </c>
      <c r="M758" s="174"/>
      <c r="N758" s="174">
        <f t="shared" si="371"/>
        <v>1</v>
      </c>
      <c r="O758" s="174"/>
      <c r="P758" s="89" t="s">
        <v>399</v>
      </c>
      <c r="R758" s="78"/>
      <c r="S758" s="78"/>
      <c r="T758" s="78"/>
      <c r="U758" s="78"/>
      <c r="V758" s="78"/>
      <c r="W758" s="78"/>
      <c r="X758" s="78"/>
      <c r="Y758" s="78"/>
      <c r="Z758" s="78"/>
      <c r="AA758" s="78"/>
      <c r="AB758" s="78"/>
      <c r="AC758" s="78"/>
      <c r="AD758" s="78"/>
      <c r="AE758" s="78"/>
      <c r="AF758" s="78"/>
      <c r="AG758" s="78"/>
      <c r="AH758" s="78"/>
      <c r="AI758" s="78"/>
      <c r="AJ758" s="78"/>
      <c r="AK758" s="78"/>
      <c r="AL758" s="78"/>
      <c r="AM758" s="78"/>
      <c r="AN758" s="78"/>
      <c r="AO758" s="78"/>
      <c r="AP758" s="78"/>
      <c r="AQ758" s="78"/>
      <c r="AR758" s="78"/>
      <c r="AS758" s="78"/>
      <c r="AT758" s="78"/>
      <c r="AU758" s="78"/>
      <c r="AV758" s="78"/>
      <c r="AW758" s="78"/>
      <c r="AX758" s="78"/>
      <c r="AY758" s="91"/>
      <c r="AZ758" s="78"/>
      <c r="BA758" s="78"/>
      <c r="BB758" s="78"/>
      <c r="BC758" s="78"/>
      <c r="BD758" s="78"/>
      <c r="BE758" s="78"/>
      <c r="BF758" s="78"/>
      <c r="BG758" s="78"/>
      <c r="BH758" s="78"/>
      <c r="BI758" s="78"/>
      <c r="BJ758" s="78"/>
      <c r="BK758" s="78"/>
      <c r="BL758" s="78"/>
      <c r="BM758" s="78"/>
      <c r="BN758" s="78"/>
      <c r="BO758" s="78"/>
      <c r="BP758" s="78"/>
      <c r="BQ758" s="78"/>
      <c r="BR758" s="78"/>
      <c r="BS758" s="78"/>
      <c r="BT758" s="78"/>
      <c r="BU758" s="78"/>
      <c r="BV758" s="78"/>
      <c r="BW758" s="78"/>
      <c r="BX758" s="78"/>
      <c r="BY758" s="78"/>
      <c r="BZ758" s="78"/>
      <c r="CA758" s="78"/>
      <c r="CB758" s="78"/>
      <c r="CC758" s="78"/>
      <c r="CD758" s="78"/>
      <c r="CE758" s="78"/>
      <c r="CF758" s="78"/>
      <c r="CG758" s="78"/>
      <c r="CH758" s="78"/>
      <c r="CI758" s="78"/>
      <c r="CJ758" s="78"/>
      <c r="CK758" s="78"/>
      <c r="CL758" s="78"/>
      <c r="CM758" s="78"/>
      <c r="CN758" s="78"/>
      <c r="CO758" s="78"/>
      <c r="CP758" s="78"/>
      <c r="CQ758" s="78"/>
      <c r="CR758" s="78"/>
      <c r="CS758" s="78"/>
      <c r="CT758" s="78"/>
      <c r="CU758" s="78"/>
      <c r="CV758" s="78"/>
      <c r="CW758" s="78"/>
      <c r="CX758" s="78"/>
      <c r="CY758" s="78"/>
      <c r="CZ758" s="78"/>
      <c r="DA758" s="78"/>
      <c r="DB758" s="78"/>
      <c r="DC758" s="78"/>
      <c r="DD758" s="78"/>
      <c r="DE758" s="78"/>
      <c r="DF758" s="78"/>
      <c r="DG758" s="78"/>
      <c r="DH758" s="78"/>
      <c r="DI758" s="78"/>
      <c r="DJ758" s="78"/>
      <c r="DK758" s="78"/>
      <c r="DL758" s="78"/>
      <c r="DM758" s="78"/>
      <c r="DN758" s="78"/>
      <c r="DO758" s="78"/>
      <c r="DP758" s="78"/>
      <c r="DQ758" s="78"/>
      <c r="DR758" s="78"/>
      <c r="DS758" s="78"/>
      <c r="DT758" s="78"/>
      <c r="DU758" s="78"/>
      <c r="DV758" s="78"/>
      <c r="DW758" s="78"/>
      <c r="DX758" s="78"/>
      <c r="DY758" s="78"/>
      <c r="DZ758" s="78"/>
      <c r="EA758" s="78"/>
      <c r="EB758" s="78"/>
      <c r="EC758" s="78"/>
      <c r="ED758" s="78"/>
      <c r="EE758" s="78"/>
      <c r="EF758" s="78"/>
      <c r="EG758" s="78"/>
      <c r="EH758" s="78"/>
      <c r="EI758" s="78"/>
      <c r="EJ758" s="78"/>
      <c r="EK758" s="78"/>
      <c r="EL758" s="78"/>
      <c r="EM758" s="78"/>
      <c r="EN758" s="91"/>
      <c r="EO758" s="91"/>
      <c r="EP758" s="91"/>
      <c r="EQ758" s="91"/>
      <c r="ER758" s="91"/>
      <c r="ES758" s="91"/>
    </row>
    <row r="759" spans="1:149" outlineLevel="1">
      <c r="A759" s="29" t="str">
        <f t="shared" si="372"/>
        <v>lt006_instr_protinstrmnt_id</v>
      </c>
      <c r="B759" s="67" t="s">
        <v>26</v>
      </c>
      <c r="C759" s="68" t="s">
        <v>26</v>
      </c>
      <c r="D759" s="64" t="s">
        <v>40</v>
      </c>
      <c r="E759" s="70" t="s">
        <v>441</v>
      </c>
      <c r="F759" s="71" t="s">
        <v>400</v>
      </c>
      <c r="G759" s="64" t="str">
        <f>INDEX(Auxiliar!$B$16:$B$24,MATCH(Plano_V3!H759,Auxiliar!$C$16:$C$24,0),1)</f>
        <v>1. Concluído</v>
      </c>
      <c r="H759" s="64">
        <f>VLOOKUP(A759,'Aux - pivots1'!$A:$B,2,0)</f>
        <v>1</v>
      </c>
      <c r="I759" s="172">
        <f>SUMIFS(Table1[Estimação (horas)],Table1[Tabela],Plano_V3!E759,Table1[Campo],Plano_V3!F759)</f>
        <v>0.1</v>
      </c>
      <c r="J759" s="172">
        <f t="shared" si="369"/>
        <v>1.2500000000000001E-2</v>
      </c>
      <c r="K759" s="172">
        <f>SUMIFS(Table1[Horas efetivas],Table1[Tabela],Plano_V3!E759,Table1[Campo],Plano_V3!F759)</f>
        <v>0.1</v>
      </c>
      <c r="L759" s="172">
        <f t="shared" si="370"/>
        <v>1.2500000000000001E-2</v>
      </c>
      <c r="M759" s="174"/>
      <c r="N759" s="174">
        <f t="shared" si="371"/>
        <v>1</v>
      </c>
      <c r="O759" s="174"/>
      <c r="P759" s="89" t="s">
        <v>399</v>
      </c>
      <c r="R759" s="78"/>
      <c r="S759" s="78"/>
      <c r="T759" s="78"/>
      <c r="U759" s="78"/>
      <c r="V759" s="78"/>
      <c r="W759" s="78"/>
      <c r="X759" s="78"/>
      <c r="Y759" s="78"/>
      <c r="Z759" s="78"/>
      <c r="AA759" s="78"/>
      <c r="AB759" s="78"/>
      <c r="AC759" s="78"/>
      <c r="AD759" s="78"/>
      <c r="AE759" s="78"/>
      <c r="AF759" s="78"/>
      <c r="AG759" s="78"/>
      <c r="AH759" s="78"/>
      <c r="AI759" s="78"/>
      <c r="AJ759" s="78"/>
      <c r="AK759" s="78"/>
      <c r="AL759" s="78"/>
      <c r="AM759" s="78"/>
      <c r="AN759" s="78"/>
      <c r="AO759" s="78"/>
      <c r="AP759" s="78"/>
      <c r="AQ759" s="78"/>
      <c r="AR759" s="78"/>
      <c r="AS759" s="78"/>
      <c r="AT759" s="78"/>
      <c r="AU759" s="78"/>
      <c r="AV759" s="78"/>
      <c r="AW759" s="78"/>
      <c r="AX759" s="78"/>
      <c r="AY759" s="91"/>
      <c r="AZ759" s="78"/>
      <c r="BA759" s="78"/>
      <c r="BB759" s="78"/>
      <c r="BC759" s="78"/>
      <c r="BD759" s="78"/>
      <c r="BE759" s="78"/>
      <c r="BF759" s="78"/>
      <c r="BG759" s="78"/>
      <c r="BH759" s="78"/>
      <c r="BI759" s="78"/>
      <c r="BJ759" s="78"/>
      <c r="BK759" s="78"/>
      <c r="BL759" s="78"/>
      <c r="BM759" s="78"/>
      <c r="BN759" s="78"/>
      <c r="BO759" s="78"/>
      <c r="BP759" s="78"/>
      <c r="BQ759" s="78"/>
      <c r="BR759" s="78"/>
      <c r="BS759" s="78"/>
      <c r="BT759" s="78"/>
      <c r="BU759" s="78"/>
      <c r="BV759" s="78"/>
      <c r="BW759" s="78"/>
      <c r="BX759" s="78"/>
      <c r="BY759" s="78"/>
      <c r="BZ759" s="78"/>
      <c r="CA759" s="78"/>
      <c r="CB759" s="78"/>
      <c r="CC759" s="78"/>
      <c r="CD759" s="78"/>
      <c r="CE759" s="78"/>
      <c r="CF759" s="78"/>
      <c r="CG759" s="78"/>
      <c r="CH759" s="78"/>
      <c r="CI759" s="78"/>
      <c r="CJ759" s="78"/>
      <c r="CK759" s="78"/>
      <c r="CL759" s="78"/>
      <c r="CM759" s="78"/>
      <c r="CN759" s="78"/>
      <c r="CO759" s="78"/>
      <c r="CP759" s="78"/>
      <c r="CQ759" s="78"/>
      <c r="CR759" s="78"/>
      <c r="CS759" s="78"/>
      <c r="CT759" s="78"/>
      <c r="CU759" s="78"/>
      <c r="CV759" s="78"/>
      <c r="CW759" s="78"/>
      <c r="CX759" s="78"/>
      <c r="CY759" s="78"/>
      <c r="CZ759" s="78"/>
      <c r="DA759" s="78"/>
      <c r="DB759" s="78"/>
      <c r="DC759" s="78"/>
      <c r="DD759" s="78"/>
      <c r="DE759" s="78"/>
      <c r="DF759" s="78"/>
      <c r="DG759" s="78"/>
      <c r="DH759" s="78"/>
      <c r="DI759" s="78"/>
      <c r="DJ759" s="78"/>
      <c r="DK759" s="78"/>
      <c r="DL759" s="78"/>
      <c r="DM759" s="78"/>
      <c r="DN759" s="78"/>
      <c r="DO759" s="78"/>
      <c r="DP759" s="78"/>
      <c r="DQ759" s="78"/>
      <c r="DR759" s="78"/>
      <c r="DS759" s="78"/>
      <c r="DT759" s="78"/>
      <c r="DU759" s="78"/>
      <c r="DV759" s="78"/>
      <c r="DW759" s="78"/>
      <c r="DX759" s="78"/>
      <c r="DY759" s="78"/>
      <c r="DZ759" s="78"/>
      <c r="EA759" s="78"/>
      <c r="EB759" s="78"/>
      <c r="EC759" s="78"/>
      <c r="ED759" s="78"/>
      <c r="EE759" s="78"/>
      <c r="EF759" s="78"/>
      <c r="EG759" s="78"/>
      <c r="EH759" s="78"/>
      <c r="EI759" s="78"/>
      <c r="EJ759" s="78"/>
      <c r="EK759" s="78"/>
      <c r="EL759" s="78"/>
      <c r="EM759" s="78"/>
      <c r="EN759" s="91"/>
      <c r="EO759" s="91"/>
      <c r="EP759" s="91"/>
      <c r="EQ759" s="91"/>
      <c r="ER759" s="91"/>
      <c r="ES759" s="91"/>
    </row>
    <row r="760" spans="1:149" outlineLevel="1">
      <c r="A760" s="29" t="str">
        <f t="shared" si="372"/>
        <v>lt006_instr_protprtctn_id</v>
      </c>
      <c r="B760" s="67" t="s">
        <v>26</v>
      </c>
      <c r="C760" s="68" t="s">
        <v>26</v>
      </c>
      <c r="D760" s="64" t="s">
        <v>40</v>
      </c>
      <c r="E760" s="70" t="s">
        <v>441</v>
      </c>
      <c r="F760" s="71" t="s">
        <v>433</v>
      </c>
      <c r="G760" s="64" t="str">
        <f>INDEX(Auxiliar!$B$16:$B$24,MATCH(Plano_V3!H760,Auxiliar!$C$16:$C$24,0),1)</f>
        <v>1. Concluído</v>
      </c>
      <c r="H760" s="64">
        <f>VLOOKUP(A760,'Aux - pivots1'!$A:$B,2,0)</f>
        <v>1</v>
      </c>
      <c r="I760" s="172">
        <f>SUMIFS(Table1[Estimação (horas)],Table1[Tabela],Plano_V3!E760,Table1[Campo],Plano_V3!F760)</f>
        <v>0.1</v>
      </c>
      <c r="J760" s="172">
        <f t="shared" si="369"/>
        <v>1.2500000000000001E-2</v>
      </c>
      <c r="K760" s="172">
        <f>SUMIFS(Table1[Horas efetivas],Table1[Tabela],Plano_V3!E760,Table1[Campo],Plano_V3!F760)</f>
        <v>0.1</v>
      </c>
      <c r="L760" s="172">
        <f t="shared" si="370"/>
        <v>1.2500000000000001E-2</v>
      </c>
      <c r="M760" s="174"/>
      <c r="N760" s="174">
        <f t="shared" si="371"/>
        <v>1</v>
      </c>
      <c r="O760" s="174"/>
      <c r="P760" s="89" t="s">
        <v>399</v>
      </c>
      <c r="R760" s="78"/>
      <c r="S760" s="78"/>
      <c r="T760" s="78"/>
      <c r="U760" s="78"/>
      <c r="V760" s="78"/>
      <c r="W760" s="78"/>
      <c r="X760" s="78"/>
      <c r="Y760" s="78"/>
      <c r="Z760" s="78"/>
      <c r="AA760" s="78"/>
      <c r="AB760" s="78"/>
      <c r="AC760" s="78"/>
      <c r="AD760" s="78"/>
      <c r="AE760" s="78"/>
      <c r="AF760" s="78"/>
      <c r="AG760" s="78"/>
      <c r="AH760" s="78"/>
      <c r="AI760" s="78"/>
      <c r="AJ760" s="78"/>
      <c r="AK760" s="78"/>
      <c r="AL760" s="78"/>
      <c r="AM760" s="78"/>
      <c r="AN760" s="78"/>
      <c r="AO760" s="78"/>
      <c r="AP760" s="78"/>
      <c r="AQ760" s="78"/>
      <c r="AR760" s="78"/>
      <c r="AS760" s="78"/>
      <c r="AT760" s="78"/>
      <c r="AU760" s="78"/>
      <c r="AV760" s="78"/>
      <c r="AW760" s="78"/>
      <c r="AX760" s="78"/>
      <c r="AY760" s="91"/>
      <c r="AZ760" s="78"/>
      <c r="BA760" s="78"/>
      <c r="BB760" s="78"/>
      <c r="BC760" s="78"/>
      <c r="BD760" s="78"/>
      <c r="BE760" s="78"/>
      <c r="BF760" s="78"/>
      <c r="BG760" s="78"/>
      <c r="BH760" s="78"/>
      <c r="BI760" s="78"/>
      <c r="BJ760" s="78"/>
      <c r="BK760" s="78"/>
      <c r="BL760" s="78"/>
      <c r="BM760" s="78"/>
      <c r="BN760" s="78"/>
      <c r="BO760" s="78"/>
      <c r="BP760" s="78"/>
      <c r="BQ760" s="78"/>
      <c r="BR760" s="78"/>
      <c r="BS760" s="78"/>
      <c r="BT760" s="78"/>
      <c r="BU760" s="78"/>
      <c r="BV760" s="78"/>
      <c r="BW760" s="78"/>
      <c r="BX760" s="78"/>
      <c r="BY760" s="78"/>
      <c r="BZ760" s="78"/>
      <c r="CA760" s="78"/>
      <c r="CB760" s="78"/>
      <c r="CC760" s="78"/>
      <c r="CD760" s="78"/>
      <c r="CE760" s="78"/>
      <c r="CF760" s="78"/>
      <c r="CG760" s="78"/>
      <c r="CH760" s="78"/>
      <c r="CI760" s="78"/>
      <c r="CJ760" s="78"/>
      <c r="CK760" s="78"/>
      <c r="CL760" s="78"/>
      <c r="CM760" s="78"/>
      <c r="CN760" s="78"/>
      <c r="CO760" s="78"/>
      <c r="CP760" s="78"/>
      <c r="CQ760" s="78"/>
      <c r="CR760" s="78"/>
      <c r="CS760" s="78"/>
      <c r="CT760" s="78"/>
      <c r="CU760" s="78"/>
      <c r="CV760" s="78"/>
      <c r="CW760" s="78"/>
      <c r="CX760" s="78"/>
      <c r="CY760" s="78"/>
      <c r="CZ760" s="78"/>
      <c r="DA760" s="78"/>
      <c r="DB760" s="78"/>
      <c r="DC760" s="78"/>
      <c r="DD760" s="78"/>
      <c r="DE760" s="78"/>
      <c r="DF760" s="78"/>
      <c r="DG760" s="78"/>
      <c r="DH760" s="78"/>
      <c r="DI760" s="78"/>
      <c r="DJ760" s="78"/>
      <c r="DK760" s="78"/>
      <c r="DL760" s="78"/>
      <c r="DM760" s="78"/>
      <c r="DN760" s="78"/>
      <c r="DO760" s="78"/>
      <c r="DP760" s="78"/>
      <c r="DQ760" s="78"/>
      <c r="DR760" s="78"/>
      <c r="DS760" s="78"/>
      <c r="DT760" s="78"/>
      <c r="DU760" s="78"/>
      <c r="DV760" s="78"/>
      <c r="DW760" s="78"/>
      <c r="DX760" s="78"/>
      <c r="DY760" s="78"/>
      <c r="DZ760" s="78"/>
      <c r="EA760" s="78"/>
      <c r="EB760" s="78"/>
      <c r="EC760" s="78"/>
      <c r="ED760" s="78"/>
      <c r="EE760" s="78"/>
      <c r="EF760" s="78"/>
      <c r="EG760" s="78"/>
      <c r="EH760" s="78"/>
      <c r="EI760" s="78"/>
      <c r="EJ760" s="78"/>
      <c r="EK760" s="78"/>
      <c r="EL760" s="78"/>
      <c r="EM760" s="78"/>
      <c r="EN760" s="91"/>
      <c r="EO760" s="91"/>
      <c r="EP760" s="91"/>
      <c r="EQ760" s="91"/>
      <c r="ER760" s="91"/>
      <c r="ES760" s="91"/>
    </row>
    <row r="761" spans="1:149" outlineLevel="1">
      <c r="A761" s="29" t="str">
        <f t="shared" si="372"/>
        <v>lt006_instr_protprtctn_allctd_vl</v>
      </c>
      <c r="B761" s="67" t="s">
        <v>26</v>
      </c>
      <c r="C761" s="68" t="s">
        <v>26</v>
      </c>
      <c r="D761" s="64" t="s">
        <v>40</v>
      </c>
      <c r="E761" s="70" t="s">
        <v>441</v>
      </c>
      <c r="F761" s="71" t="s">
        <v>442</v>
      </c>
      <c r="G761" s="64" t="str">
        <f>INDEX(Auxiliar!$B$16:$B$24,MATCH(Plano_V3!H761,Auxiliar!$C$16:$C$24,0),1)</f>
        <v>5. Em Correção</v>
      </c>
      <c r="H761" s="64">
        <f>VLOOKUP(A761,'Aux - pivots1'!$A:$B,2,0)</f>
        <v>6</v>
      </c>
      <c r="I761" s="172">
        <f>SUMIFS(Table1[Estimação (horas)],Table1[Tabela],Plano_V3!E761,Table1[Campo],Plano_V3!F761)</f>
        <v>0.1</v>
      </c>
      <c r="J761" s="172">
        <f t="shared" si="369"/>
        <v>1.2500000000000001E-2</v>
      </c>
      <c r="K761" s="172">
        <f>SUMIFS(Table1[Horas efetivas],Table1[Tabela],Plano_V3!E761,Table1[Campo],Plano_V3!F761)</f>
        <v>2.5000000000000001E-2</v>
      </c>
      <c r="L761" s="172">
        <f t="shared" si="370"/>
        <v>3.1250000000000002E-3</v>
      </c>
      <c r="M761" s="174"/>
      <c r="N761" s="174">
        <f t="shared" si="371"/>
        <v>0.25</v>
      </c>
      <c r="O761" s="174"/>
      <c r="P761" s="89" t="s">
        <v>399</v>
      </c>
      <c r="R761" s="78"/>
      <c r="S761" s="78"/>
      <c r="T761" s="78"/>
      <c r="U761" s="78"/>
      <c r="V761" s="78"/>
      <c r="W761" s="78"/>
      <c r="X761" s="78"/>
      <c r="Y761" s="78"/>
      <c r="Z761" s="78"/>
      <c r="AA761" s="78"/>
      <c r="AB761" s="78"/>
      <c r="AC761" s="78"/>
      <c r="AD761" s="78"/>
      <c r="AE761" s="78"/>
      <c r="AF761" s="78"/>
      <c r="AG761" s="78"/>
      <c r="AH761" s="78"/>
      <c r="AI761" s="78"/>
      <c r="AJ761" s="78"/>
      <c r="AK761" s="78"/>
      <c r="AL761" s="78"/>
      <c r="AM761" s="78"/>
      <c r="AN761" s="78"/>
      <c r="AO761" s="78"/>
      <c r="AP761" s="78"/>
      <c r="AQ761" s="78"/>
      <c r="AR761" s="78"/>
      <c r="AS761" s="78"/>
      <c r="AT761" s="78"/>
      <c r="AU761" s="78"/>
      <c r="AV761" s="78"/>
      <c r="AW761" s="78"/>
      <c r="AX761" s="78"/>
      <c r="AY761" s="91"/>
      <c r="AZ761" s="78"/>
      <c r="BA761" s="78"/>
      <c r="BB761" s="78"/>
      <c r="BC761" s="78"/>
      <c r="BD761" s="78"/>
      <c r="BE761" s="78"/>
      <c r="BF761" s="78"/>
      <c r="BG761" s="78"/>
      <c r="BH761" s="78"/>
      <c r="BI761" s="78"/>
      <c r="BJ761" s="78"/>
      <c r="BK761" s="78"/>
      <c r="BL761" s="78"/>
      <c r="BM761" s="78"/>
      <c r="BN761" s="78"/>
      <c r="BO761" s="78"/>
      <c r="BP761" s="78"/>
      <c r="BQ761" s="78"/>
      <c r="BR761" s="78"/>
      <c r="BS761" s="78"/>
      <c r="BT761" s="78"/>
      <c r="BU761" s="78"/>
      <c r="BV761" s="78"/>
      <c r="BW761" s="78"/>
      <c r="BX761" s="78"/>
      <c r="BY761" s="78"/>
      <c r="BZ761" s="78"/>
      <c r="CA761" s="78"/>
      <c r="CB761" s="78"/>
      <c r="CC761" s="78"/>
      <c r="CD761" s="78"/>
      <c r="CE761" s="78"/>
      <c r="CF761" s="78"/>
      <c r="CG761" s="78"/>
      <c r="CH761" s="78"/>
      <c r="CI761" s="78"/>
      <c r="CJ761" s="78"/>
      <c r="CK761" s="78"/>
      <c r="CL761" s="78"/>
      <c r="CM761" s="78"/>
      <c r="CN761" s="78"/>
      <c r="CO761" s="78"/>
      <c r="CP761" s="78"/>
      <c r="CQ761" s="78"/>
      <c r="CR761" s="78"/>
      <c r="CS761" s="78"/>
      <c r="CT761" s="78"/>
      <c r="CU761" s="78"/>
      <c r="CV761" s="78"/>
      <c r="CW761" s="78"/>
      <c r="CX761" s="78"/>
      <c r="CY761" s="78"/>
      <c r="CZ761" s="78"/>
      <c r="DA761" s="78"/>
      <c r="DB761" s="78"/>
      <c r="DC761" s="78"/>
      <c r="DD761" s="78"/>
      <c r="DE761" s="78"/>
      <c r="DF761" s="78"/>
      <c r="DG761" s="78"/>
      <c r="DH761" s="78"/>
      <c r="DI761" s="78"/>
      <c r="DJ761" s="78"/>
      <c r="DK761" s="78"/>
      <c r="DL761" s="78"/>
      <c r="DM761" s="78"/>
      <c r="DN761" s="78"/>
      <c r="DO761" s="78"/>
      <c r="DP761" s="78"/>
      <c r="DQ761" s="78"/>
      <c r="DR761" s="78"/>
      <c r="DS761" s="78"/>
      <c r="DT761" s="78"/>
      <c r="DU761" s="78"/>
      <c r="DV761" s="78"/>
      <c r="DW761" s="78"/>
      <c r="DX761" s="78"/>
      <c r="DY761" s="78"/>
      <c r="DZ761" s="78"/>
      <c r="EA761" s="78"/>
      <c r="EB761" s="78"/>
      <c r="EC761" s="78"/>
      <c r="ED761" s="78"/>
      <c r="EE761" s="78"/>
      <c r="EF761" s="78"/>
      <c r="EG761" s="78"/>
      <c r="EH761" s="78"/>
      <c r="EI761" s="78"/>
      <c r="EJ761" s="78"/>
      <c r="EK761" s="78"/>
      <c r="EL761" s="78"/>
      <c r="EM761" s="78"/>
      <c r="EN761" s="91"/>
      <c r="EO761" s="91"/>
      <c r="EP761" s="91"/>
      <c r="EQ761" s="91"/>
      <c r="ER761" s="91"/>
      <c r="ES761" s="91"/>
    </row>
    <row r="762" spans="1:149" outlineLevel="1">
      <c r="A762" s="29" t="str">
        <f t="shared" si="372"/>
        <v>lt006_instr_protcod_soc</v>
      </c>
      <c r="B762" s="67" t="s">
        <v>26</v>
      </c>
      <c r="C762" s="68" t="s">
        <v>26</v>
      </c>
      <c r="D762" s="64" t="s">
        <v>40</v>
      </c>
      <c r="E762" s="70" t="s">
        <v>441</v>
      </c>
      <c r="F762" s="71" t="s">
        <v>416</v>
      </c>
      <c r="G762" s="64" t="str">
        <f>INDEX(Auxiliar!$B$16:$B$24,MATCH(Plano_V3!H762,Auxiliar!$C$16:$C$24,0),1)</f>
        <v>1. Concluído</v>
      </c>
      <c r="H762" s="64">
        <f>VLOOKUP(A762,'Aux - pivots1'!$A:$B,2,0)</f>
        <v>1</v>
      </c>
      <c r="I762" s="172">
        <f>SUMIFS(Table1[Estimação (horas)],Table1[Tabela],Plano_V3!E762,Table1[Campo],Plano_V3!F762)</f>
        <v>0.1</v>
      </c>
      <c r="J762" s="172">
        <f t="shared" si="369"/>
        <v>1.2500000000000001E-2</v>
      </c>
      <c r="K762" s="172">
        <f>SUMIFS(Table1[Horas efetivas],Table1[Tabela],Plano_V3!E762,Table1[Campo],Plano_V3!F762)</f>
        <v>0.1</v>
      </c>
      <c r="L762" s="172">
        <f t="shared" si="370"/>
        <v>1.2500000000000001E-2</v>
      </c>
      <c r="M762" s="174"/>
      <c r="N762" s="174">
        <f t="shared" si="371"/>
        <v>1</v>
      </c>
      <c r="O762" s="174"/>
      <c r="P762" s="89" t="s">
        <v>399</v>
      </c>
      <c r="R762" s="78"/>
      <c r="S762" s="78"/>
      <c r="T762" s="78"/>
      <c r="U762" s="78"/>
      <c r="V762" s="78"/>
      <c r="W762" s="78"/>
      <c r="X762" s="78"/>
      <c r="Y762" s="78"/>
      <c r="Z762" s="78"/>
      <c r="AA762" s="78"/>
      <c r="AB762" s="78"/>
      <c r="AC762" s="78"/>
      <c r="AD762" s="78"/>
      <c r="AE762" s="78"/>
      <c r="AF762" s="78"/>
      <c r="AG762" s="78"/>
      <c r="AH762" s="78"/>
      <c r="AI762" s="78"/>
      <c r="AJ762" s="78"/>
      <c r="AK762" s="78"/>
      <c r="AL762" s="78"/>
      <c r="AM762" s="78"/>
      <c r="AN762" s="78"/>
      <c r="AO762" s="78"/>
      <c r="AP762" s="78"/>
      <c r="AQ762" s="78"/>
      <c r="AR762" s="78"/>
      <c r="AS762" s="78"/>
      <c r="AT762" s="78"/>
      <c r="AU762" s="78"/>
      <c r="AV762" s="78"/>
      <c r="AW762" s="78"/>
      <c r="AX762" s="78"/>
      <c r="AY762" s="91"/>
      <c r="AZ762" s="78"/>
      <c r="BA762" s="78"/>
      <c r="BB762" s="78"/>
      <c r="BC762" s="78"/>
      <c r="BD762" s="78"/>
      <c r="BE762" s="78"/>
      <c r="BF762" s="78"/>
      <c r="BG762" s="78"/>
      <c r="BH762" s="78"/>
      <c r="BI762" s="78"/>
      <c r="BJ762" s="78"/>
      <c r="BK762" s="78"/>
      <c r="BL762" s="78"/>
      <c r="BM762" s="78"/>
      <c r="BN762" s="78"/>
      <c r="BO762" s="78"/>
      <c r="BP762" s="78"/>
      <c r="BQ762" s="78"/>
      <c r="BR762" s="78"/>
      <c r="BS762" s="78"/>
      <c r="BT762" s="78"/>
      <c r="BU762" s="78"/>
      <c r="BV762" s="78"/>
      <c r="BW762" s="78"/>
      <c r="BX762" s="78"/>
      <c r="BY762" s="78"/>
      <c r="BZ762" s="78"/>
      <c r="CA762" s="78"/>
      <c r="CB762" s="78"/>
      <c r="CC762" s="78"/>
      <c r="CD762" s="78"/>
      <c r="CE762" s="78"/>
      <c r="CF762" s="78"/>
      <c r="CG762" s="78"/>
      <c r="CH762" s="78"/>
      <c r="CI762" s="78"/>
      <c r="CJ762" s="78"/>
      <c r="CK762" s="78"/>
      <c r="CL762" s="78"/>
      <c r="CM762" s="78"/>
      <c r="CN762" s="78"/>
      <c r="CO762" s="78"/>
      <c r="CP762" s="78"/>
      <c r="CQ762" s="78"/>
      <c r="CR762" s="78"/>
      <c r="CS762" s="78"/>
      <c r="CT762" s="78"/>
      <c r="CU762" s="78"/>
      <c r="CV762" s="78"/>
      <c r="CW762" s="78"/>
      <c r="CX762" s="78"/>
      <c r="CY762" s="78"/>
      <c r="CZ762" s="78"/>
      <c r="DA762" s="78"/>
      <c r="DB762" s="78"/>
      <c r="DC762" s="78"/>
      <c r="DD762" s="78"/>
      <c r="DE762" s="78"/>
      <c r="DF762" s="78"/>
      <c r="DG762" s="78"/>
      <c r="DH762" s="78"/>
      <c r="DI762" s="78"/>
      <c r="DJ762" s="78"/>
      <c r="DK762" s="78"/>
      <c r="DL762" s="78"/>
      <c r="DM762" s="78"/>
      <c r="DN762" s="78"/>
      <c r="DO762" s="78"/>
      <c r="DP762" s="78"/>
      <c r="DQ762" s="78"/>
      <c r="DR762" s="78"/>
      <c r="DS762" s="78"/>
      <c r="DT762" s="78"/>
      <c r="DU762" s="78"/>
      <c r="DV762" s="78"/>
      <c r="DW762" s="78"/>
      <c r="DX762" s="78"/>
      <c r="DY762" s="78"/>
      <c r="DZ762" s="78"/>
      <c r="EA762" s="78"/>
      <c r="EB762" s="78"/>
      <c r="EC762" s="78"/>
      <c r="ED762" s="78"/>
      <c r="EE762" s="78"/>
      <c r="EF762" s="78"/>
      <c r="EG762" s="78"/>
      <c r="EH762" s="78"/>
      <c r="EI762" s="78"/>
      <c r="EJ762" s="78"/>
      <c r="EK762" s="78"/>
      <c r="EL762" s="78"/>
      <c r="EM762" s="78"/>
      <c r="EN762" s="91"/>
      <c r="EO762" s="91"/>
      <c r="EP762" s="91"/>
      <c r="EQ762" s="91"/>
      <c r="ER762" s="91"/>
      <c r="ES762" s="91"/>
    </row>
    <row r="763" spans="1:149" outlineLevel="1">
      <c r="A763" s="29" t="str">
        <f t="shared" si="372"/>
        <v>lt006_instr_protTYP_RLTN</v>
      </c>
      <c r="B763" s="67" t="s">
        <v>26</v>
      </c>
      <c r="C763" s="68" t="s">
        <v>26</v>
      </c>
      <c r="D763" s="64" t="s">
        <v>40</v>
      </c>
      <c r="E763" s="70" t="s">
        <v>441</v>
      </c>
      <c r="F763" s="353" t="s">
        <v>2289</v>
      </c>
      <c r="G763" s="64" t="str">
        <f>INDEX(Auxiliar!$B$16:$B$24,MATCH(Plano_V3!H763,Auxiliar!$C$16:$C$24,0),1)</f>
        <v xml:space="preserve">6. Em implementação </v>
      </c>
      <c r="H763" s="64">
        <f>VLOOKUP(A763,'Aux - pivots1'!$A:$B,2,0)</f>
        <v>7</v>
      </c>
      <c r="I763" s="172">
        <f>SUMIFS(Table1[Estimação (horas)],Table1[Tabela],Plano_V3!E763,Table1[Campo],Plano_V3!F763)</f>
        <v>0.1</v>
      </c>
      <c r="J763" s="172">
        <f>I763/8</f>
        <v>1.2500000000000001E-2</v>
      </c>
      <c r="K763" s="172">
        <f>SUMIFS(Table1[Horas efetivas],Table1[Tabela],Plano_V3!E763,Table1[Campo],Plano_V3!F763)</f>
        <v>2.5000000000000001E-2</v>
      </c>
      <c r="L763" s="172">
        <f>K763/8</f>
        <v>3.1250000000000002E-3</v>
      </c>
      <c r="M763" s="174"/>
      <c r="N763" s="174">
        <f>L763/J763</f>
        <v>0.25</v>
      </c>
      <c r="O763" s="174"/>
      <c r="P763" s="89" t="s">
        <v>399</v>
      </c>
      <c r="R763" s="78"/>
      <c r="S763" s="78"/>
      <c r="T763" s="78"/>
      <c r="U763" s="78"/>
      <c r="V763" s="78"/>
      <c r="W763" s="78"/>
      <c r="X763" s="78"/>
      <c r="Y763" s="78"/>
      <c r="Z763" s="78"/>
      <c r="AA763" s="78"/>
      <c r="AB763" s="78"/>
      <c r="AC763" s="78"/>
      <c r="AD763" s="78"/>
      <c r="AE763" s="78"/>
      <c r="AF763" s="78"/>
      <c r="AG763" s="78"/>
      <c r="AH763" s="78"/>
      <c r="AI763" s="78"/>
      <c r="AJ763" s="78"/>
      <c r="AK763" s="78"/>
      <c r="AL763" s="78"/>
      <c r="AM763" s="78"/>
      <c r="AN763" s="78"/>
      <c r="AO763" s="78"/>
      <c r="AP763" s="78"/>
      <c r="AQ763" s="78"/>
      <c r="AR763" s="78"/>
      <c r="AS763" s="78"/>
      <c r="AT763" s="78"/>
      <c r="AU763" s="78"/>
      <c r="AV763" s="78"/>
      <c r="AW763" s="78"/>
      <c r="AX763" s="78"/>
      <c r="AY763" s="91"/>
      <c r="AZ763" s="78"/>
      <c r="BA763" s="78"/>
      <c r="BB763" s="78"/>
      <c r="BC763" s="78"/>
      <c r="BD763" s="78"/>
      <c r="BE763" s="78"/>
      <c r="BF763" s="78"/>
      <c r="BG763" s="78"/>
      <c r="BH763" s="78"/>
      <c r="BI763" s="78"/>
      <c r="BJ763" s="78"/>
      <c r="BK763" s="78"/>
      <c r="BL763" s="78"/>
      <c r="BM763" s="78"/>
      <c r="BN763" s="78"/>
      <c r="BO763" s="78"/>
      <c r="BP763" s="78"/>
      <c r="BQ763" s="78"/>
      <c r="BR763" s="78"/>
      <c r="BS763" s="78"/>
      <c r="BT763" s="78"/>
      <c r="BU763" s="78"/>
      <c r="BV763" s="78"/>
      <c r="BW763" s="78"/>
      <c r="BX763" s="78"/>
      <c r="BY763" s="78"/>
      <c r="BZ763" s="78"/>
      <c r="CA763" s="78"/>
      <c r="CB763" s="78"/>
      <c r="CC763" s="78"/>
      <c r="CD763" s="78"/>
      <c r="CE763" s="78"/>
      <c r="CF763" s="78"/>
      <c r="CG763" s="78"/>
      <c r="CH763" s="78"/>
      <c r="CI763" s="78"/>
      <c r="CJ763" s="78"/>
      <c r="CK763" s="78"/>
      <c r="CL763" s="78"/>
      <c r="CM763" s="78"/>
      <c r="CN763" s="78"/>
      <c r="CO763" s="78"/>
      <c r="CP763" s="78"/>
      <c r="CQ763" s="78"/>
      <c r="CR763" s="78"/>
      <c r="CS763" s="78"/>
      <c r="CT763" s="78"/>
      <c r="CU763" s="78"/>
      <c r="CV763" s="78"/>
      <c r="CW763" s="78"/>
      <c r="CX763" s="78"/>
      <c r="CY763" s="78"/>
      <c r="CZ763" s="78"/>
      <c r="DA763" s="78"/>
      <c r="DB763" s="78"/>
      <c r="DC763" s="78"/>
      <c r="DD763" s="78"/>
      <c r="DE763" s="78"/>
      <c r="DF763" s="78"/>
      <c r="DG763" s="78"/>
      <c r="DH763" s="78"/>
      <c r="DI763" s="78"/>
      <c r="DJ763" s="78"/>
      <c r="DK763" s="78"/>
      <c r="DL763" s="78"/>
      <c r="DM763" s="78"/>
      <c r="DN763" s="78"/>
      <c r="DO763" s="78"/>
      <c r="DP763" s="78"/>
      <c r="DQ763" s="78"/>
      <c r="DR763" s="78"/>
      <c r="DS763" s="78"/>
      <c r="DT763" s="78"/>
      <c r="DU763" s="78"/>
      <c r="DV763" s="78"/>
      <c r="DW763" s="78"/>
      <c r="DX763" s="78"/>
      <c r="DY763" s="78"/>
      <c r="DZ763" s="78"/>
      <c r="EA763" s="78"/>
      <c r="EB763" s="78"/>
      <c r="EC763" s="78"/>
      <c r="ED763" s="78"/>
      <c r="EE763" s="78"/>
      <c r="EF763" s="78"/>
      <c r="EG763" s="78"/>
      <c r="EH763" s="78"/>
      <c r="EI763" s="78"/>
      <c r="EJ763" s="78"/>
      <c r="EK763" s="78"/>
      <c r="EL763" s="78"/>
      <c r="EM763" s="78"/>
      <c r="EN763" s="91"/>
      <c r="EO763" s="91"/>
      <c r="EP763" s="91"/>
      <c r="EQ763" s="91"/>
      <c r="ER763" s="91"/>
      <c r="ES763" s="91"/>
    </row>
    <row r="764" spans="1:149" outlineLevel="1">
      <c r="A764" s="29" t="str">
        <f t="shared" si="372"/>
        <v>lt004_protectionflg_fin</v>
      </c>
      <c r="B764" s="67"/>
      <c r="C764" s="68"/>
      <c r="D764" s="64" t="s">
        <v>40</v>
      </c>
      <c r="E764" s="70" t="s">
        <v>368</v>
      </c>
      <c r="F764" s="71" t="s">
        <v>480</v>
      </c>
      <c r="G764" s="64" t="str">
        <f>INDEX(Auxiliar!$B$16:$B$24,MATCH(Plano_V3!H764,Auxiliar!$C$16:$C$24,0),1)</f>
        <v>0. Cancelado</v>
      </c>
      <c r="H764" s="64">
        <f>VLOOKUP(A764,'Aux - pivots1'!$A:$B,2,0)</f>
        <v>0</v>
      </c>
      <c r="I764" s="172">
        <f>SUMIFS(Table1[Estimação (horas)],Table1[Tabela],Plano_V3!E764,Table1[Campo],Plano_V3!F764)</f>
        <v>4.0999999999999996</v>
      </c>
      <c r="J764" s="172">
        <f t="shared" si="369"/>
        <v>0.51249999999999996</v>
      </c>
      <c r="K764" s="172">
        <f>SUMIFS(Table1[Horas efetivas],Table1[Tabela],Plano_V3!E764,Table1[Campo],Plano_V3!F764)</f>
        <v>0</v>
      </c>
      <c r="L764" s="172">
        <f t="shared" si="370"/>
        <v>0</v>
      </c>
      <c r="M764" s="174"/>
      <c r="N764" s="174">
        <f t="shared" si="371"/>
        <v>0</v>
      </c>
      <c r="O764" s="174"/>
      <c r="P764" s="89" t="s">
        <v>399</v>
      </c>
      <c r="R764" s="78"/>
      <c r="S764" s="78"/>
      <c r="T764" s="78"/>
      <c r="U764" s="78"/>
      <c r="V764" s="78"/>
      <c r="W764" s="78"/>
      <c r="X764" s="78"/>
      <c r="Y764" s="78"/>
      <c r="Z764" s="78"/>
      <c r="AA764" s="78"/>
      <c r="AB764" s="78"/>
      <c r="AC764" s="78"/>
      <c r="AD764" s="78"/>
      <c r="AE764" s="78"/>
      <c r="AF764" s="78"/>
      <c r="AG764" s="78"/>
      <c r="AH764" s="78"/>
      <c r="AI764" s="78"/>
      <c r="AJ764" s="78"/>
      <c r="AK764" s="78"/>
      <c r="AL764" s="78"/>
      <c r="AM764" s="78"/>
      <c r="AN764" s="78"/>
      <c r="AO764" s="78"/>
      <c r="AP764" s="78"/>
      <c r="AQ764" s="78"/>
      <c r="AR764" s="78"/>
      <c r="AS764" s="78"/>
      <c r="AT764" s="78"/>
      <c r="AU764" s="78"/>
      <c r="AV764" s="78"/>
      <c r="AW764" s="78"/>
      <c r="AX764" s="78"/>
      <c r="AY764" s="91"/>
      <c r="AZ764" s="78"/>
      <c r="BA764" s="78"/>
      <c r="BB764" s="78"/>
      <c r="BC764" s="78"/>
      <c r="BD764" s="78"/>
      <c r="BE764" s="78"/>
      <c r="BF764" s="78"/>
      <c r="BG764" s="78"/>
      <c r="BH764" s="78"/>
      <c r="BI764" s="78"/>
      <c r="BJ764" s="78"/>
      <c r="BK764" s="78"/>
      <c r="BL764" s="78"/>
      <c r="BM764" s="78"/>
      <c r="BN764" s="78"/>
      <c r="BO764" s="78"/>
      <c r="BP764" s="78"/>
      <c r="BQ764" s="78"/>
      <c r="BR764" s="78"/>
      <c r="BS764" s="78"/>
      <c r="BT764" s="78"/>
      <c r="BU764" s="78"/>
      <c r="BV764" s="78"/>
      <c r="BW764" s="78"/>
      <c r="BX764" s="78"/>
      <c r="BY764" s="78"/>
      <c r="BZ764" s="78"/>
      <c r="CA764" s="78"/>
      <c r="CB764" s="78"/>
      <c r="CC764" s="78"/>
      <c r="CD764" s="78"/>
      <c r="CE764" s="78"/>
      <c r="CF764" s="78"/>
      <c r="CG764" s="78"/>
      <c r="CH764" s="78"/>
      <c r="CI764" s="78"/>
      <c r="CJ764" s="78"/>
      <c r="CK764" s="78"/>
      <c r="CL764" s="78"/>
      <c r="CM764" s="78"/>
      <c r="CN764" s="78"/>
      <c r="CO764" s="78"/>
      <c r="CP764" s="78"/>
      <c r="CQ764" s="78"/>
      <c r="CR764" s="78"/>
      <c r="CS764" s="78"/>
      <c r="CT764" s="78"/>
      <c r="CU764" s="78"/>
      <c r="CV764" s="78"/>
      <c r="CW764" s="78"/>
      <c r="CX764" s="78"/>
      <c r="CY764" s="78"/>
      <c r="CZ764" s="78"/>
      <c r="DA764" s="78"/>
      <c r="DB764" s="78"/>
      <c r="DC764" s="78"/>
      <c r="DD764" s="78"/>
      <c r="DE764" s="78"/>
      <c r="DF764" s="78"/>
      <c r="DG764" s="78"/>
      <c r="DH764" s="78"/>
      <c r="DI764" s="78"/>
      <c r="DJ764" s="78"/>
      <c r="DK764" s="78"/>
      <c r="DL764" s="78"/>
      <c r="DM764" s="78"/>
      <c r="DN764" s="78"/>
      <c r="DO764" s="78"/>
      <c r="DP764" s="78"/>
      <c r="DQ764" s="78"/>
      <c r="DR764" s="78"/>
      <c r="DS764" s="78"/>
      <c r="DT764" s="78"/>
      <c r="DU764" s="78"/>
      <c r="DV764" s="78"/>
      <c r="DW764" s="78"/>
      <c r="DX764" s="78"/>
      <c r="DY764" s="78"/>
      <c r="DZ764" s="78"/>
      <c r="EA764" s="78"/>
      <c r="EB764" s="78"/>
      <c r="EC764" s="78"/>
      <c r="ED764" s="78"/>
      <c r="EE764" s="78"/>
      <c r="EF764" s="78"/>
      <c r="EG764" s="78"/>
      <c r="EH764" s="78"/>
      <c r="EI764" s="78"/>
      <c r="EJ764" s="78"/>
      <c r="EK764" s="78"/>
      <c r="EL764" s="78"/>
      <c r="EM764" s="78"/>
      <c r="EN764" s="91"/>
      <c r="EO764" s="91"/>
      <c r="EP764" s="91"/>
      <c r="EQ764" s="91"/>
      <c r="ER764" s="91"/>
      <c r="ES764" s="91"/>
    </row>
    <row r="765" spans="1:149" outlineLevel="1">
      <c r="A765" s="29" t="str">
        <f t="shared" si="372"/>
        <v>lt004_protectionflg_exec</v>
      </c>
      <c r="B765" s="67"/>
      <c r="C765" s="68"/>
      <c r="D765" s="64" t="s">
        <v>40</v>
      </c>
      <c r="E765" s="70" t="s">
        <v>368</v>
      </c>
      <c r="F765" s="71" t="s">
        <v>1276</v>
      </c>
      <c r="G765" s="64" t="str">
        <f>INDEX(Auxiliar!$B$16:$B$24,MATCH(Plano_V3!H765,Auxiliar!$C$16:$C$24,0),1)</f>
        <v>0. Cancelado</v>
      </c>
      <c r="H765" s="64">
        <f>VLOOKUP(A765,'Aux - pivots1'!$A:$B,2,0)</f>
        <v>0</v>
      </c>
      <c r="I765" s="172">
        <f>SUMIFS(Table1[Estimação (horas)],Table1[Tabela],Plano_V3!E765,Table1[Campo],Plano_V3!F765)</f>
        <v>4.0999999999999996</v>
      </c>
      <c r="J765" s="172">
        <f t="shared" si="369"/>
        <v>0.51249999999999996</v>
      </c>
      <c r="K765" s="172">
        <f>SUMIFS(Table1[Horas efetivas],Table1[Tabela],Plano_V3!E765,Table1[Campo],Plano_V3!F765)</f>
        <v>0</v>
      </c>
      <c r="L765" s="172">
        <f t="shared" si="370"/>
        <v>0</v>
      </c>
      <c r="M765" s="174"/>
      <c r="N765" s="174">
        <f t="shared" si="371"/>
        <v>0</v>
      </c>
      <c r="O765" s="174"/>
      <c r="P765" s="89" t="s">
        <v>399</v>
      </c>
      <c r="R765" s="78"/>
      <c r="S765" s="78"/>
      <c r="T765" s="78"/>
      <c r="U765" s="78"/>
      <c r="V765" s="78"/>
      <c r="W765" s="78"/>
      <c r="X765" s="78"/>
      <c r="Y765" s="78"/>
      <c r="Z765" s="78"/>
      <c r="AA765" s="78"/>
      <c r="AB765" s="78"/>
      <c r="AC765" s="78"/>
      <c r="AD765" s="78"/>
      <c r="AE765" s="78"/>
      <c r="AF765" s="78"/>
      <c r="AG765" s="78"/>
      <c r="AH765" s="78"/>
      <c r="AI765" s="78"/>
      <c r="AJ765" s="78"/>
      <c r="AK765" s="78"/>
      <c r="AL765" s="78"/>
      <c r="AM765" s="78"/>
      <c r="AN765" s="78"/>
      <c r="AO765" s="78"/>
      <c r="AP765" s="78"/>
      <c r="AQ765" s="78"/>
      <c r="AR765" s="78"/>
      <c r="AS765" s="78"/>
      <c r="AT765" s="78"/>
      <c r="AU765" s="78"/>
      <c r="AV765" s="78"/>
      <c r="AW765" s="78"/>
      <c r="AX765" s="78"/>
      <c r="AY765" s="91"/>
      <c r="AZ765" s="78"/>
      <c r="BA765" s="78"/>
      <c r="BB765" s="78"/>
      <c r="BC765" s="78"/>
      <c r="BD765" s="78"/>
      <c r="BE765" s="78"/>
      <c r="BF765" s="78"/>
      <c r="BG765" s="78"/>
      <c r="BH765" s="78"/>
      <c r="BI765" s="78"/>
      <c r="BJ765" s="78"/>
      <c r="BK765" s="78"/>
      <c r="BL765" s="78"/>
      <c r="BM765" s="78"/>
      <c r="BN765" s="78"/>
      <c r="BO765" s="78"/>
      <c r="BP765" s="78"/>
      <c r="BQ765" s="78"/>
      <c r="BR765" s="78"/>
      <c r="BS765" s="78"/>
      <c r="BT765" s="78"/>
      <c r="BU765" s="78"/>
      <c r="BV765" s="78"/>
      <c r="BW765" s="78"/>
      <c r="BX765" s="78"/>
      <c r="BY765" s="78"/>
      <c r="BZ765" s="78"/>
      <c r="CA765" s="78"/>
      <c r="CB765" s="78"/>
      <c r="CC765" s="78"/>
      <c r="CD765" s="78"/>
      <c r="CE765" s="78"/>
      <c r="CF765" s="78"/>
      <c r="CG765" s="78"/>
      <c r="CH765" s="78"/>
      <c r="CI765" s="78"/>
      <c r="CJ765" s="78"/>
      <c r="CK765" s="78"/>
      <c r="CL765" s="78"/>
      <c r="CM765" s="78"/>
      <c r="CN765" s="78"/>
      <c r="CO765" s="78"/>
      <c r="CP765" s="78"/>
      <c r="CQ765" s="78"/>
      <c r="CR765" s="78"/>
      <c r="CS765" s="78"/>
      <c r="CT765" s="78"/>
      <c r="CU765" s="78"/>
      <c r="CV765" s="78"/>
      <c r="CW765" s="78"/>
      <c r="CX765" s="78"/>
      <c r="CY765" s="78"/>
      <c r="CZ765" s="78"/>
      <c r="DA765" s="78"/>
      <c r="DB765" s="78"/>
      <c r="DC765" s="78"/>
      <c r="DD765" s="78"/>
      <c r="DE765" s="78"/>
      <c r="DF765" s="78"/>
      <c r="DG765" s="78"/>
      <c r="DH765" s="78"/>
      <c r="DI765" s="78"/>
      <c r="DJ765" s="78"/>
      <c r="DK765" s="78"/>
      <c r="DL765" s="78"/>
      <c r="DM765" s="78"/>
      <c r="DN765" s="78"/>
      <c r="DO765" s="78"/>
      <c r="DP765" s="78"/>
      <c r="DQ765" s="78"/>
      <c r="DR765" s="78"/>
      <c r="DS765" s="78"/>
      <c r="DT765" s="78"/>
      <c r="DU765" s="78"/>
      <c r="DV765" s="78"/>
      <c r="DW765" s="78"/>
      <c r="DX765" s="78"/>
      <c r="DY765" s="78"/>
      <c r="DZ765" s="78"/>
      <c r="EA765" s="78"/>
      <c r="EB765" s="78"/>
      <c r="EC765" s="78"/>
      <c r="ED765" s="78"/>
      <c r="EE765" s="78"/>
      <c r="EF765" s="78"/>
      <c r="EG765" s="78"/>
      <c r="EH765" s="78"/>
      <c r="EI765" s="78"/>
      <c r="EJ765" s="78"/>
      <c r="EK765" s="78"/>
      <c r="EL765" s="78"/>
      <c r="EM765" s="78"/>
      <c r="EN765" s="91"/>
      <c r="EO765" s="91"/>
      <c r="EP765" s="91"/>
      <c r="EQ765" s="91"/>
      <c r="ER765" s="91"/>
      <c r="ES765" s="91"/>
    </row>
    <row r="766" spans="1:149" outlineLevel="1">
      <c r="A766" s="29" t="str">
        <f t="shared" si="372"/>
        <v>lt004_protectionflg_col</v>
      </c>
      <c r="B766" s="67"/>
      <c r="C766" s="68"/>
      <c r="D766" s="64" t="s">
        <v>40</v>
      </c>
      <c r="E766" s="70" t="s">
        <v>368</v>
      </c>
      <c r="F766" s="71" t="s">
        <v>479</v>
      </c>
      <c r="G766" s="64" t="str">
        <f>INDEX(Auxiliar!$B$16:$B$24,MATCH(Plano_V3!H766,Auxiliar!$C$16:$C$24,0),1)</f>
        <v>0. Cancelado</v>
      </c>
      <c r="H766" s="64">
        <f>VLOOKUP(A766,'Aux - pivots1'!$A:$B,2,0)</f>
        <v>0</v>
      </c>
      <c r="I766" s="172">
        <f>SUMIFS(Table1[Estimação (horas)],Table1[Tabela],Plano_V3!E766,Table1[Campo],Plano_V3!F766)</f>
        <v>4.0999999999999996</v>
      </c>
      <c r="J766" s="172">
        <f>I766/8</f>
        <v>0.51249999999999996</v>
      </c>
      <c r="K766" s="172">
        <f>SUMIFS(Table1[Horas efetivas],Table1[Tabela],Plano_V3!E766,Table1[Campo],Plano_V3!F766)</f>
        <v>0</v>
      </c>
      <c r="L766" s="172">
        <f>K766/8</f>
        <v>0</v>
      </c>
      <c r="M766" s="174"/>
      <c r="N766" s="174">
        <f t="shared" si="371"/>
        <v>0</v>
      </c>
      <c r="O766" s="174"/>
      <c r="P766" s="89" t="s">
        <v>399</v>
      </c>
      <c r="R766" s="78"/>
      <c r="S766" s="78"/>
      <c r="T766" s="78"/>
      <c r="U766" s="78"/>
      <c r="V766" s="78"/>
      <c r="W766" s="78"/>
      <c r="X766" s="78"/>
      <c r="Y766" s="78"/>
      <c r="Z766" s="78"/>
      <c r="AA766" s="78"/>
      <c r="AB766" s="78"/>
      <c r="AC766" s="78"/>
      <c r="AD766" s="78"/>
      <c r="AE766" s="78"/>
      <c r="AF766" s="78"/>
      <c r="AG766" s="78"/>
      <c r="AH766" s="78"/>
      <c r="AI766" s="78"/>
      <c r="AJ766" s="78"/>
      <c r="AK766" s="78"/>
      <c r="AL766" s="78"/>
      <c r="AM766" s="78"/>
      <c r="AN766" s="78"/>
      <c r="AO766" s="78"/>
      <c r="AP766" s="78"/>
      <c r="AQ766" s="78"/>
      <c r="AR766" s="78"/>
      <c r="AS766" s="78"/>
      <c r="AT766" s="78"/>
      <c r="AU766" s="78"/>
      <c r="AV766" s="78"/>
      <c r="AW766" s="78"/>
      <c r="AX766" s="78"/>
      <c r="AY766" s="91"/>
      <c r="AZ766" s="78"/>
      <c r="BA766" s="78"/>
      <c r="BB766" s="78"/>
      <c r="BC766" s="78"/>
      <c r="BD766" s="78"/>
      <c r="BE766" s="78"/>
      <c r="BF766" s="78"/>
      <c r="BG766" s="78"/>
      <c r="BH766" s="78"/>
      <c r="BI766" s="78"/>
      <c r="BJ766" s="78"/>
      <c r="BK766" s="78"/>
      <c r="BL766" s="78"/>
      <c r="BM766" s="78"/>
      <c r="BN766" s="78"/>
      <c r="BO766" s="78"/>
      <c r="BP766" s="78"/>
      <c r="BQ766" s="78"/>
      <c r="BR766" s="78"/>
      <c r="BS766" s="78"/>
      <c r="BT766" s="78"/>
      <c r="BU766" s="78"/>
      <c r="BV766" s="78"/>
      <c r="BW766" s="78"/>
      <c r="BX766" s="78"/>
      <c r="BY766" s="78"/>
      <c r="BZ766" s="78"/>
      <c r="CA766" s="78"/>
      <c r="CB766" s="78"/>
      <c r="CC766" s="78"/>
      <c r="CD766" s="78"/>
      <c r="CE766" s="78"/>
      <c r="CF766" s="78"/>
      <c r="CG766" s="78"/>
      <c r="CH766" s="78"/>
      <c r="CI766" s="78"/>
      <c r="CJ766" s="78"/>
      <c r="CK766" s="78"/>
      <c r="CL766" s="78"/>
      <c r="CM766" s="78"/>
      <c r="CN766" s="78"/>
      <c r="CO766" s="78"/>
      <c r="CP766" s="78"/>
      <c r="CQ766" s="78"/>
      <c r="CR766" s="78"/>
      <c r="CS766" s="78"/>
      <c r="CT766" s="78"/>
      <c r="CU766" s="78"/>
      <c r="CV766" s="78"/>
      <c r="CW766" s="78"/>
      <c r="CX766" s="78"/>
      <c r="CY766" s="78"/>
      <c r="CZ766" s="78"/>
      <c r="DA766" s="78"/>
      <c r="DB766" s="78"/>
      <c r="DC766" s="78"/>
      <c r="DD766" s="78"/>
      <c r="DE766" s="78"/>
      <c r="DF766" s="78"/>
      <c r="DG766" s="78"/>
      <c r="DH766" s="78"/>
      <c r="DI766" s="78"/>
      <c r="DJ766" s="78"/>
      <c r="DK766" s="78"/>
      <c r="DL766" s="78"/>
      <c r="DM766" s="78"/>
      <c r="DN766" s="78"/>
      <c r="DO766" s="78"/>
      <c r="DP766" s="78"/>
      <c r="DQ766" s="78"/>
      <c r="DR766" s="78"/>
      <c r="DS766" s="78"/>
      <c r="DT766" s="78"/>
      <c r="DU766" s="78"/>
      <c r="DV766" s="78"/>
      <c r="DW766" s="78"/>
      <c r="DX766" s="78"/>
      <c r="DY766" s="78"/>
      <c r="DZ766" s="78"/>
      <c r="EA766" s="78"/>
      <c r="EB766" s="78"/>
      <c r="EC766" s="78"/>
      <c r="ED766" s="78"/>
      <c r="EE766" s="78"/>
      <c r="EF766" s="78"/>
      <c r="EG766" s="78"/>
      <c r="EH766" s="78"/>
      <c r="EI766" s="78"/>
      <c r="EJ766" s="78"/>
      <c r="EK766" s="78"/>
      <c r="EL766" s="78"/>
      <c r="EM766" s="78"/>
      <c r="EN766" s="91"/>
      <c r="EO766" s="91"/>
      <c r="EP766" s="91"/>
      <c r="EQ766" s="91"/>
      <c r="ER766" s="91"/>
      <c r="ES766" s="91"/>
    </row>
    <row r="767" spans="1:149" outlineLevel="1">
      <c r="A767" s="29" t="str">
        <f t="shared" si="372"/>
        <v>lt004_protectionflg_pro</v>
      </c>
      <c r="B767" s="67"/>
      <c r="C767" s="68"/>
      <c r="D767" s="64" t="s">
        <v>40</v>
      </c>
      <c r="E767" s="70" t="s">
        <v>368</v>
      </c>
      <c r="F767" s="71" t="s">
        <v>481</v>
      </c>
      <c r="G767" s="64" t="str">
        <f>INDEX(Auxiliar!$B$16:$B$24,MATCH(Plano_V3!H767,Auxiliar!$C$16:$C$24,0),1)</f>
        <v>0. Cancelado</v>
      </c>
      <c r="H767" s="64">
        <f>VLOOKUP(A767,'Aux - pivots1'!$A:$B,2,0)</f>
        <v>0</v>
      </c>
      <c r="I767" s="172">
        <f>SUMIFS(Table1[Estimação (horas)],Table1[Tabela],Plano_V3!E767,Table1[Campo],Plano_V3!F767)</f>
        <v>4.0999999999999996</v>
      </c>
      <c r="J767" s="172">
        <f>I767/8</f>
        <v>0.51249999999999996</v>
      </c>
      <c r="K767" s="172">
        <f>SUMIFS(Table1[Horas efetivas],Table1[Tabela],Plano_V3!E767,Table1[Campo],Plano_V3!F767)</f>
        <v>0</v>
      </c>
      <c r="L767" s="172">
        <f>K767/8</f>
        <v>0</v>
      </c>
      <c r="M767" s="174"/>
      <c r="N767" s="174">
        <f t="shared" si="371"/>
        <v>0</v>
      </c>
      <c r="O767" s="174"/>
      <c r="P767" s="89" t="s">
        <v>399</v>
      </c>
      <c r="R767" s="78"/>
      <c r="S767" s="78"/>
      <c r="T767" s="78"/>
      <c r="U767" s="78"/>
      <c r="V767" s="78"/>
      <c r="W767" s="78"/>
      <c r="X767" s="78"/>
      <c r="Y767" s="78"/>
      <c r="Z767" s="78"/>
      <c r="AA767" s="78"/>
      <c r="AB767" s="78"/>
      <c r="AC767" s="78"/>
      <c r="AD767" s="78"/>
      <c r="AE767" s="78"/>
      <c r="AF767" s="78"/>
      <c r="AG767" s="78"/>
      <c r="AH767" s="78"/>
      <c r="AI767" s="78"/>
      <c r="AJ767" s="78"/>
      <c r="AK767" s="78"/>
      <c r="AL767" s="78"/>
      <c r="AM767" s="78"/>
      <c r="AN767" s="78"/>
      <c r="AO767" s="78"/>
      <c r="AP767" s="78"/>
      <c r="AQ767" s="78"/>
      <c r="AR767" s="78"/>
      <c r="AS767" s="78"/>
      <c r="AT767" s="78"/>
      <c r="AU767" s="78"/>
      <c r="AV767" s="78"/>
      <c r="AW767" s="78"/>
      <c r="AX767" s="78"/>
      <c r="AY767" s="91"/>
      <c r="AZ767" s="78"/>
      <c r="BA767" s="78"/>
      <c r="BB767" s="78"/>
      <c r="BC767" s="78"/>
      <c r="BD767" s="78"/>
      <c r="BE767" s="78"/>
      <c r="BF767" s="78"/>
      <c r="BG767" s="78"/>
      <c r="BH767" s="78"/>
      <c r="BI767" s="78"/>
      <c r="BJ767" s="78"/>
      <c r="BK767" s="78"/>
      <c r="BL767" s="78"/>
      <c r="BM767" s="78"/>
      <c r="BN767" s="78"/>
      <c r="BO767" s="78"/>
      <c r="BP767" s="78"/>
      <c r="BQ767" s="78"/>
      <c r="BR767" s="78"/>
      <c r="BS767" s="78"/>
      <c r="BT767" s="78"/>
      <c r="BU767" s="78"/>
      <c r="BV767" s="78"/>
      <c r="BW767" s="78"/>
      <c r="BX767" s="78"/>
      <c r="BY767" s="78"/>
      <c r="BZ767" s="78"/>
      <c r="CA767" s="78"/>
      <c r="CB767" s="78"/>
      <c r="CC767" s="78"/>
      <c r="CD767" s="78"/>
      <c r="CE767" s="78"/>
      <c r="CF767" s="78"/>
      <c r="CG767" s="78"/>
      <c r="CH767" s="78"/>
      <c r="CI767" s="78"/>
      <c r="CJ767" s="78"/>
      <c r="CK767" s="78"/>
      <c r="CL767" s="78"/>
      <c r="CM767" s="78"/>
      <c r="CN767" s="78"/>
      <c r="CO767" s="78"/>
      <c r="CP767" s="78"/>
      <c r="CQ767" s="78"/>
      <c r="CR767" s="78"/>
      <c r="CS767" s="78"/>
      <c r="CT767" s="78"/>
      <c r="CU767" s="78"/>
      <c r="CV767" s="78"/>
      <c r="CW767" s="78"/>
      <c r="CX767" s="78"/>
      <c r="CY767" s="78"/>
      <c r="CZ767" s="78"/>
      <c r="DA767" s="78"/>
      <c r="DB767" s="78"/>
      <c r="DC767" s="78"/>
      <c r="DD767" s="78"/>
      <c r="DE767" s="78"/>
      <c r="DF767" s="78"/>
      <c r="DG767" s="78"/>
      <c r="DH767" s="78"/>
      <c r="DI767" s="78"/>
      <c r="DJ767" s="78"/>
      <c r="DK767" s="78"/>
      <c r="DL767" s="78"/>
      <c r="DM767" s="78"/>
      <c r="DN767" s="78"/>
      <c r="DO767" s="78"/>
      <c r="DP767" s="78"/>
      <c r="DQ767" s="78"/>
      <c r="DR767" s="78"/>
      <c r="DS767" s="78"/>
      <c r="DT767" s="78"/>
      <c r="DU767" s="78"/>
      <c r="DV767" s="78"/>
      <c r="DW767" s="78"/>
      <c r="DX767" s="78"/>
      <c r="DY767" s="78"/>
      <c r="DZ767" s="78"/>
      <c r="EA767" s="78"/>
      <c r="EB767" s="78"/>
      <c r="EC767" s="78"/>
      <c r="ED767" s="78"/>
      <c r="EE767" s="78"/>
      <c r="EF767" s="78"/>
      <c r="EG767" s="78"/>
      <c r="EH767" s="78"/>
      <c r="EI767" s="78"/>
      <c r="EJ767" s="78"/>
      <c r="EK767" s="78"/>
      <c r="EL767" s="78"/>
      <c r="EM767" s="78"/>
      <c r="EN767" s="91"/>
      <c r="EO767" s="91"/>
      <c r="EP767" s="91"/>
      <c r="EQ767" s="91"/>
      <c r="ER767" s="91"/>
      <c r="ES767" s="91"/>
    </row>
    <row r="768" spans="1:149" outlineLevel="1">
      <c r="A768" s="29" t="str">
        <f t="shared" si="372"/>
        <v>Re-testesn.a.</v>
      </c>
      <c r="B768" s="67" t="s">
        <v>26</v>
      </c>
      <c r="C768" s="68" t="s">
        <v>26</v>
      </c>
      <c r="D768" s="64" t="s">
        <v>40</v>
      </c>
      <c r="E768" s="66" t="s">
        <v>53</v>
      </c>
      <c r="F768" s="64" t="s">
        <v>38</v>
      </c>
      <c r="G768" s="64"/>
      <c r="H768" s="64"/>
      <c r="I768" s="172" t="e">
        <f>SUM(I563:I762)*$D$7</f>
        <v>#N/A</v>
      </c>
      <c r="J768" s="172" t="e">
        <f>I768/8</f>
        <v>#N/A</v>
      </c>
      <c r="K768" s="172" t="e">
        <f>SUM(K563:K762)*$D$7</f>
        <v>#N/A</v>
      </c>
      <c r="L768" s="172" t="e">
        <f>K768/8</f>
        <v>#N/A</v>
      </c>
      <c r="M768" s="174"/>
      <c r="N768" s="174" t="e">
        <f t="shared" si="371"/>
        <v>#N/A</v>
      </c>
      <c r="O768" s="174"/>
      <c r="P768" s="89" t="s">
        <v>399</v>
      </c>
      <c r="R768" s="78"/>
      <c r="S768" s="78"/>
      <c r="T768" s="78"/>
      <c r="U768" s="78"/>
      <c r="V768" s="78"/>
      <c r="W768" s="78"/>
      <c r="X768" s="78"/>
      <c r="Y768" s="78"/>
      <c r="Z768" s="78"/>
      <c r="AA768" s="78"/>
      <c r="AB768" s="78"/>
      <c r="AC768" s="78"/>
      <c r="AD768" s="78"/>
      <c r="AE768" s="78"/>
      <c r="AF768" s="78"/>
      <c r="AG768" s="78"/>
      <c r="AH768" s="78"/>
      <c r="AI768" s="78"/>
      <c r="AJ768" s="78"/>
      <c r="AK768" s="78"/>
      <c r="AL768" s="78"/>
      <c r="AM768" s="78"/>
      <c r="AN768" s="78"/>
      <c r="AO768" s="78"/>
      <c r="AP768" s="78"/>
      <c r="AQ768" s="78"/>
      <c r="AR768" s="78"/>
      <c r="AS768" s="78"/>
      <c r="AT768" s="78"/>
      <c r="AU768" s="78"/>
      <c r="AV768" s="78"/>
      <c r="AW768" s="78"/>
      <c r="AX768" s="78"/>
      <c r="AY768" s="91"/>
      <c r="AZ768" s="78"/>
      <c r="BA768" s="78"/>
      <c r="BB768" s="78"/>
      <c r="BC768" s="78"/>
      <c r="BD768" s="78"/>
      <c r="BE768" s="78"/>
      <c r="BF768" s="78"/>
      <c r="BG768" s="78"/>
      <c r="BH768" s="78"/>
      <c r="BI768" s="78"/>
      <c r="BJ768" s="78"/>
      <c r="BK768" s="78"/>
      <c r="BL768" s="78"/>
      <c r="BM768" s="78"/>
      <c r="BN768" s="78"/>
      <c r="BO768" s="78"/>
      <c r="BP768" s="78"/>
      <c r="BQ768" s="78"/>
      <c r="BR768" s="78"/>
      <c r="BS768" s="78"/>
      <c r="BT768" s="78"/>
      <c r="BU768" s="78"/>
      <c r="BV768" s="78"/>
      <c r="BW768" s="78"/>
      <c r="BX768" s="78"/>
      <c r="BY768" s="78"/>
      <c r="BZ768" s="78"/>
      <c r="CA768" s="78"/>
      <c r="CB768" s="78"/>
      <c r="CC768" s="78"/>
      <c r="CD768" s="78"/>
      <c r="CE768" s="78"/>
      <c r="CF768" s="78"/>
      <c r="CG768" s="78"/>
      <c r="CH768" s="78"/>
      <c r="CI768" s="78"/>
      <c r="CJ768" s="78"/>
      <c r="CK768" s="78"/>
      <c r="CL768" s="78"/>
      <c r="CM768" s="78"/>
      <c r="CN768" s="78"/>
      <c r="CO768" s="78"/>
      <c r="CP768" s="78"/>
      <c r="CQ768" s="78"/>
      <c r="CR768" s="78"/>
      <c r="CS768" s="78"/>
      <c r="CT768" s="78"/>
      <c r="CU768" s="78"/>
      <c r="CV768" s="78"/>
      <c r="CW768" s="78"/>
      <c r="CX768" s="78"/>
      <c r="CY768" s="78"/>
      <c r="CZ768" s="78"/>
      <c r="DA768" s="78"/>
      <c r="DB768" s="78"/>
      <c r="DC768" s="78"/>
      <c r="DD768" s="78"/>
      <c r="DE768" s="78"/>
      <c r="DF768" s="78"/>
      <c r="DG768" s="78"/>
      <c r="DH768" s="78"/>
      <c r="DI768" s="78"/>
      <c r="DJ768" s="78"/>
      <c r="DK768" s="78"/>
      <c r="DL768" s="78"/>
      <c r="DM768" s="78"/>
      <c r="DN768" s="78"/>
      <c r="DO768" s="78"/>
      <c r="DP768" s="78"/>
      <c r="DQ768" s="78"/>
      <c r="DR768" s="78"/>
      <c r="DS768" s="78"/>
      <c r="DT768" s="78"/>
      <c r="DU768" s="78"/>
      <c r="DV768" s="78"/>
      <c r="DW768" s="78"/>
      <c r="DX768" s="78"/>
      <c r="DY768" s="78"/>
      <c r="DZ768" s="78"/>
      <c r="EA768" s="78"/>
      <c r="EB768" s="78"/>
      <c r="EC768" s="78"/>
      <c r="ED768" s="78"/>
      <c r="EE768" s="78"/>
      <c r="EF768" s="78"/>
      <c r="EG768" s="78"/>
      <c r="EH768" s="78"/>
      <c r="EI768" s="78"/>
      <c r="EJ768" s="78"/>
      <c r="EK768" s="78"/>
      <c r="EL768" s="78"/>
      <c r="EM768" s="78"/>
      <c r="EN768" s="91"/>
      <c r="EO768" s="91"/>
      <c r="EP768" s="91"/>
      <c r="EQ768" s="91"/>
      <c r="ER768" s="91"/>
      <c r="ES768" s="91"/>
    </row>
    <row r="769" spans="2:51" ht="10.4" customHeight="1">
      <c r="D769" s="11"/>
      <c r="O769"/>
      <c r="AY769" t="s">
        <v>443</v>
      </c>
    </row>
    <row r="770" spans="2:51">
      <c r="B770" s="82" t="s">
        <v>444</v>
      </c>
      <c r="C770" s="83"/>
      <c r="D770" s="83"/>
      <c r="E770" s="83"/>
      <c r="F770" s="83"/>
      <c r="G770" s="83"/>
      <c r="H770" s="83"/>
      <c r="I770" s="176"/>
      <c r="J770" s="176" t="e">
        <f>J24+J19+J14</f>
        <v>#N/A</v>
      </c>
      <c r="K770" s="176"/>
      <c r="L770" s="176" t="e">
        <f>L24+L19+L14</f>
        <v>#N/A</v>
      </c>
      <c r="M770" s="171" t="e">
        <f>((M24*J24)+(M19*J19)+(M14*J14))/J770</f>
        <v>#N/A</v>
      </c>
      <c r="N770" s="171" t="e">
        <f>((N24*L24)+(N19*L19)+(N14*L14))/L770</f>
        <v>#N/A</v>
      </c>
      <c r="O770" s="171" t="e">
        <f>N770-M770</f>
        <v>#N/A</v>
      </c>
      <c r="P770" s="173" t="s">
        <v>25</v>
      </c>
    </row>
    <row r="771" spans="2:51">
      <c r="O771"/>
    </row>
    <row r="772" spans="2:51"/>
    <row r="773" spans="2:51"/>
    <row r="774" spans="2:51"/>
    <row r="775" spans="2:51"/>
    <row r="776" spans="2:51"/>
    <row r="777" spans="2:51"/>
    <row r="778" spans="2:51"/>
    <row r="779" spans="2:51"/>
  </sheetData>
  <conditionalFormatting sqref="O14:O17 O19:O22 O770 O24:O768">
    <cfRule type="cellIs" dxfId="32" priority="77" operator="lessThan">
      <formula>0</formula>
    </cfRule>
    <cfRule type="cellIs" dxfId="31" priority="78" operator="greaterThanOrEqual">
      <formula>0</formula>
    </cfRule>
  </conditionalFormatting>
  <conditionalFormatting sqref="Q15:Q17 Q25:Q246">
    <cfRule type="cellIs" dxfId="30" priority="104" operator="notEqual">
      <formula>0</formula>
    </cfRule>
  </conditionalFormatting>
  <conditionalFormatting sqref="Q20:Q22">
    <cfRule type="cellIs" dxfId="29" priority="96" operator="notEqual">
      <formula>0</formula>
    </cfRule>
  </conditionalFormatting>
  <conditionalFormatting sqref="Q248:Q562">
    <cfRule type="cellIs" dxfId="28" priority="21" operator="notEqual">
      <formula>0</formula>
    </cfRule>
  </conditionalFormatting>
  <conditionalFormatting sqref="R5:R6 S6:ES6">
    <cfRule type="cellIs" dxfId="27" priority="105" operator="notEqual">
      <formula>0</formula>
    </cfRule>
  </conditionalFormatting>
  <conditionalFormatting sqref="R15:ES17 R20:ES22 R25:ES25">
    <cfRule type="cellIs" dxfId="26" priority="103" operator="greaterThan">
      <formula>0</formula>
    </cfRule>
  </conditionalFormatting>
  <conditionalFormatting sqref="R74:ES74">
    <cfRule type="cellIs" dxfId="25" priority="101" operator="greaterThan">
      <formula>0</formula>
    </cfRule>
  </conditionalFormatting>
  <conditionalFormatting sqref="R243:ES243">
    <cfRule type="cellIs" dxfId="24" priority="100" operator="greaterThan">
      <formula>0</formula>
    </cfRule>
  </conditionalFormatting>
  <conditionalFormatting sqref="R452:ES452">
    <cfRule type="cellIs" dxfId="23" priority="99" operator="greaterThan">
      <formula>0</formula>
    </cfRule>
  </conditionalFormatting>
  <conditionalFormatting sqref="R562:ES562">
    <cfRule type="cellIs" dxfId="22" priority="98" operator="greaterThan">
      <formula>0</formula>
    </cfRule>
  </conditionalFormatting>
  <pageMargins left="0.7" right="0.7" top="0.75" bottom="0.75" header="0.3" footer="0.3"/>
  <pageSetup paperSize="9" orientation="portrait" r:id="rId1"/>
  <drawing r:id="rId2"/>
  <extLst>
    <ext xmlns:x14="http://schemas.microsoft.com/office/spreadsheetml/2009/9/main" uri="{78C0D931-6437-407d-A8EE-F0AAD7539E65}">
      <x14:conditionalFormattings>
        <x14:conditionalFormatting xmlns:xm="http://schemas.microsoft.com/office/excel/2006/main">
          <x14:cfRule type="containsText" priority="1" operator="containsText" id="{9E6F227E-DBE3-44D8-822D-E3F9B7047C17}">
            <xm:f>NOT(ISERROR(SEARCH(Auxiliar!$B$17,G14)))</xm:f>
            <xm:f>Auxiliar!$B$17</xm:f>
            <x14:dxf>
              <font>
                <b/>
                <i val="0"/>
                <color rgb="FFFFC000"/>
              </font>
              <fill>
                <patternFill>
                  <bgColor theme="9" tint="0.59996337778862885"/>
                </patternFill>
              </fill>
            </x14:dxf>
          </x14:cfRule>
          <x14:cfRule type="containsText" priority="2" operator="containsText" id="{4CBEFD43-3810-4013-BBE9-F5B1E6E3FDCF}">
            <xm:f>NOT(ISERROR(SEARCH(Auxiliar!$B$21,G14)))</xm:f>
            <xm:f>Auxiliar!$B$21</xm:f>
            <x14:dxf>
              <font>
                <b/>
                <i val="0"/>
                <color rgb="FFFFC000"/>
              </font>
              <fill>
                <patternFill>
                  <bgColor theme="9" tint="0.59996337778862885"/>
                </patternFill>
              </fill>
            </x14:dxf>
          </x14:cfRule>
          <x14:cfRule type="containsText" priority="3" operator="containsText" id="{D59C31ED-2479-46EB-BC32-AEADC917FAEE}">
            <xm:f>NOT(ISERROR(SEARCH(Auxiliar!$B$24,G14)))</xm:f>
            <xm:f>Auxiliar!$B$24</xm:f>
            <x14:dxf>
              <font>
                <b/>
                <i val="0"/>
              </font>
              <fill>
                <patternFill patternType="darkDown">
                  <bgColor theme="0" tint="-4.9989318521683403E-2"/>
                </patternFill>
              </fill>
            </x14:dxf>
          </x14:cfRule>
          <x14:cfRule type="containsText" priority="4" operator="containsText" id="{E2B78FB3-A14C-49EE-9DDD-2C6C8CB1EB87}">
            <xm:f>NOT(ISERROR(SEARCH(Auxiliar!$B$22,G14)))</xm:f>
            <xm:f>Auxiliar!$B$22</xm:f>
            <x14:dxf>
              <font>
                <b/>
                <i val="0"/>
                <color rgb="FFC00000"/>
              </font>
              <fill>
                <patternFill>
                  <bgColor theme="4" tint="0.79998168889431442"/>
                </patternFill>
              </fill>
            </x14:dxf>
          </x14:cfRule>
          <x14:cfRule type="containsText" priority="5" operator="containsText" id="{138FE620-4421-4D40-BF61-74DD89838547}">
            <xm:f>NOT(ISERROR(SEARCH(Auxiliar!$B$19,G14)))</xm:f>
            <xm:f>Auxiliar!$B$19</xm:f>
            <x14:dxf>
              <font>
                <b/>
                <i val="0"/>
                <color theme="9" tint="-0.499984740745262"/>
              </font>
              <fill>
                <patternFill>
                  <bgColor theme="9" tint="0.79998168889431442"/>
                </patternFill>
              </fill>
            </x14:dxf>
          </x14:cfRule>
          <x14:cfRule type="containsText" priority="6" operator="containsText" id="{47E087E8-2A11-4589-ACAC-88B24AD16BAF}">
            <xm:f>NOT(ISERROR(SEARCH(Auxiliar!$B$18,G14)))</xm:f>
            <xm:f>Auxiliar!$B$18</xm:f>
            <x14:dxf>
              <font>
                <b/>
                <i val="0"/>
                <color theme="0" tint="-0.499984740745262"/>
              </font>
              <fill>
                <patternFill>
                  <bgColor theme="0" tint="-4.9989318521683403E-2"/>
                </patternFill>
              </fill>
            </x14:dxf>
          </x14:cfRule>
          <x14:cfRule type="cellIs" priority="7" operator="equal" id="{D3BF403A-78E8-4CD7-BB76-8AB17B4BDE83}">
            <xm:f>Auxiliar!$B$16</xm:f>
            <x14:dxf>
              <font>
                <b/>
                <i val="0"/>
                <color theme="7"/>
              </font>
              <fill>
                <patternFill>
                  <bgColor theme="7" tint="0.79998168889431442"/>
                </patternFill>
              </fill>
            </x14:dxf>
          </x14:cfRule>
          <xm:sqref>G14:G768</xm:sqref>
        </x14:conditionalFormatting>
        <x14:conditionalFormatting xmlns:xm="http://schemas.microsoft.com/office/excel/2006/main">
          <x14:cfRule type="containsText" priority="79" operator="containsText" id="{AED6586C-F5C5-4BFE-8FE3-DBEA2E1C7F8C}">
            <xm:f>NOT(ISERROR(SEARCH(Auxiliar!$B$17,G770)))</xm:f>
            <xm:f>Auxiliar!$B$17</xm:f>
            <x14:dxf>
              <font>
                <b/>
                <i val="0"/>
                <color rgb="FFFFC000"/>
              </font>
              <fill>
                <patternFill>
                  <bgColor theme="9" tint="0.59996337778862885"/>
                </patternFill>
              </fill>
            </x14:dxf>
          </x14:cfRule>
          <x14:cfRule type="containsText" priority="80" operator="containsText" id="{911C5BFC-3AB2-4A1A-8EFC-D755A0FB9B6D}">
            <xm:f>NOT(ISERROR(SEARCH(Auxiliar!$B$21,G770)))</xm:f>
            <xm:f>Auxiliar!$B$21</xm:f>
            <x14:dxf>
              <font>
                <b/>
                <i val="0"/>
                <color rgb="FFFFC000"/>
              </font>
              <fill>
                <patternFill>
                  <bgColor theme="9" tint="0.59996337778862885"/>
                </patternFill>
              </fill>
            </x14:dxf>
          </x14:cfRule>
          <x14:cfRule type="containsText" priority="81" operator="containsText" id="{E119DD1E-0166-411C-81B5-5C225D99BD7A}">
            <xm:f>NOT(ISERROR(SEARCH(Auxiliar!$B$24,G770)))</xm:f>
            <xm:f>Auxiliar!$B$24</xm:f>
            <x14:dxf>
              <font>
                <b/>
                <i val="0"/>
              </font>
              <fill>
                <patternFill patternType="darkDown">
                  <bgColor theme="0" tint="-4.9989318521683403E-2"/>
                </patternFill>
              </fill>
            </x14:dxf>
          </x14:cfRule>
          <x14:cfRule type="containsText" priority="82" operator="containsText" id="{ECE4ED07-3C2A-4C21-A2E5-6B46A92012C8}">
            <xm:f>NOT(ISERROR(SEARCH(Auxiliar!$B$22,G770)))</xm:f>
            <xm:f>Auxiliar!$B$22</xm:f>
            <x14:dxf>
              <font>
                <b/>
                <i val="0"/>
                <color rgb="FFC00000"/>
              </font>
              <fill>
                <patternFill>
                  <bgColor theme="4" tint="0.79998168889431442"/>
                </patternFill>
              </fill>
            </x14:dxf>
          </x14:cfRule>
          <x14:cfRule type="containsText" priority="83" operator="containsText" id="{6C035143-902A-48D0-BBAA-EA328AD739A2}">
            <xm:f>NOT(ISERROR(SEARCH(Auxiliar!$B$19,G770)))</xm:f>
            <xm:f>Auxiliar!$B$19</xm:f>
            <x14:dxf>
              <font>
                <b/>
                <i val="0"/>
                <color theme="9" tint="-0.499984740745262"/>
              </font>
              <fill>
                <patternFill>
                  <bgColor theme="9" tint="0.79998168889431442"/>
                </patternFill>
              </fill>
            </x14:dxf>
          </x14:cfRule>
          <x14:cfRule type="containsText" priority="84" operator="containsText" id="{AD342067-7E44-432A-B7BE-BC89346B05DE}">
            <xm:f>NOT(ISERROR(SEARCH(Auxiliar!$B$18,G770)))</xm:f>
            <xm:f>Auxiliar!$B$18</xm:f>
            <x14:dxf>
              <font>
                <b/>
                <i val="0"/>
                <color theme="0" tint="-0.499984740745262"/>
              </font>
              <fill>
                <patternFill>
                  <bgColor theme="0" tint="-4.9989318521683403E-2"/>
                </patternFill>
              </fill>
            </x14:dxf>
          </x14:cfRule>
          <x14:cfRule type="cellIs" priority="85" operator="equal" id="{EC6B09EC-E262-41ED-A71E-F40E5A6AE302}">
            <xm:f>Auxiliar!$B$16</xm:f>
            <x14:dxf>
              <font>
                <b/>
                <i val="0"/>
                <color theme="7"/>
              </font>
              <fill>
                <patternFill>
                  <bgColor theme="7" tint="0.79998168889431442"/>
                </patternFill>
              </fill>
            </x14:dxf>
          </x14:cfRule>
          <xm:sqref>G770</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14:formula1>
            <xm:f>Auxiliar!$B$16:$B$24</xm:f>
          </x14:formula1>
          <xm:sqref>G15:G17 G768 G242 G451 G20:G22</xm:sqref>
        </x14:dataValidation>
      </x14:dataValidation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BC38"/>
  <sheetViews>
    <sheetView showGridLines="0" zoomScaleNormal="100" workbookViewId="0">
      <pane ySplit="5" topLeftCell="A6" activePane="bottomLeft" state="frozen"/>
      <selection pane="bottomLeft" activeCell="D12" sqref="D12"/>
    </sheetView>
  </sheetViews>
  <sheetFormatPr defaultColWidth="0" defaultRowHeight="14.15" customHeight="1" zeroHeight="1" outlineLevelRow="1"/>
  <cols>
    <col min="1" max="1" width="3.58203125" customWidth="1"/>
    <col min="2" max="2" width="20" customWidth="1"/>
    <col min="3" max="3" width="44.5" customWidth="1"/>
    <col min="4" max="4" width="21.08203125" customWidth="1"/>
    <col min="5" max="6" width="4.58203125" customWidth="1"/>
    <col min="7" max="7" width="5" customWidth="1"/>
    <col min="8" max="8" width="5.08203125" customWidth="1"/>
    <col min="9" max="9" width="4.33203125" customWidth="1"/>
    <col min="10" max="10" width="5.08203125" customWidth="1"/>
    <col min="11" max="11" width="4.58203125" customWidth="1"/>
    <col min="12" max="12" width="5" customWidth="1"/>
    <col min="13" max="13" width="5.08203125" customWidth="1"/>
    <col min="14" max="14" width="4.33203125" customWidth="1"/>
    <col min="15" max="15" width="5.08203125" customWidth="1"/>
    <col min="16" max="16" width="4.58203125" customWidth="1"/>
    <col min="17" max="17" width="5" customWidth="1"/>
    <col min="18" max="18" width="5.08203125" customWidth="1"/>
    <col min="19" max="19" width="4.33203125" customWidth="1"/>
    <col min="20" max="20" width="5.08203125" customWidth="1"/>
    <col min="21" max="21" width="4.58203125" customWidth="1"/>
    <col min="22" max="22" width="5" customWidth="1"/>
    <col min="23" max="23" width="5.08203125" customWidth="1"/>
    <col min="24" max="24" width="4.33203125" customWidth="1"/>
    <col min="25" max="25" width="5.08203125" customWidth="1"/>
    <col min="26" max="26" width="4.58203125" customWidth="1"/>
    <col min="27" max="27" width="5" customWidth="1"/>
    <col min="28" max="28" width="5.08203125" customWidth="1"/>
    <col min="29" max="29" width="4.33203125" customWidth="1"/>
    <col min="30" max="30" width="5.08203125" customWidth="1"/>
    <col min="31" max="31" width="4.58203125" customWidth="1"/>
    <col min="32" max="32" width="5" customWidth="1"/>
    <col min="33" max="33" width="5.08203125" customWidth="1"/>
    <col min="34" max="34" width="4.33203125" customWidth="1"/>
    <col min="35" max="35" width="5.08203125" customWidth="1"/>
    <col min="36" max="36" width="4.58203125" customWidth="1"/>
    <col min="37" max="37" width="5" customWidth="1"/>
    <col min="38" max="38" width="5.08203125" customWidth="1"/>
    <col min="39" max="39" width="4.33203125" customWidth="1"/>
    <col min="40" max="40" width="5.08203125" customWidth="1"/>
    <col min="41" max="41" width="4.58203125" customWidth="1"/>
    <col min="42" max="42" width="5" customWidth="1"/>
    <col min="43" max="43" width="5.08203125" customWidth="1"/>
    <col min="44" max="44" width="4.33203125" customWidth="1"/>
    <col min="45" max="45" width="5.08203125" customWidth="1"/>
    <col min="46" max="46" width="4.58203125" customWidth="1"/>
    <col min="47" max="47" width="5" customWidth="1"/>
    <col min="48" max="48" width="5.08203125" customWidth="1"/>
    <col min="49" max="49" width="4.33203125" customWidth="1"/>
    <col min="50" max="50" width="5.08203125" customWidth="1"/>
    <col min="51" max="51" width="4.58203125" customWidth="1"/>
    <col min="52" max="52" width="5" customWidth="1"/>
    <col min="53" max="53" width="5.08203125" customWidth="1"/>
    <col min="54" max="54" width="4.33203125" customWidth="1"/>
    <col min="55" max="55" width="3.58203125" customWidth="1"/>
    <col min="56" max="16384" width="9" hidden="1"/>
  </cols>
  <sheetData>
    <row r="1" spans="1:55" ht="16.399999999999999" customHeight="1"/>
    <row r="2" spans="1:55" ht="14">
      <c r="A2" s="6"/>
      <c r="B2" s="6"/>
      <c r="C2" s="6"/>
      <c r="D2" s="6"/>
      <c r="E2" s="6"/>
      <c r="F2" s="6"/>
      <c r="G2" s="6"/>
      <c r="H2" s="6"/>
      <c r="I2" s="6"/>
      <c r="J2" s="6"/>
      <c r="K2" s="6"/>
      <c r="L2" s="6"/>
      <c r="M2" s="6"/>
      <c r="N2" s="6"/>
      <c r="O2" s="6"/>
      <c r="P2" s="6"/>
      <c r="Q2" s="6"/>
      <c r="R2" s="6"/>
      <c r="S2" s="6"/>
      <c r="T2" s="6"/>
      <c r="U2" s="6"/>
      <c r="V2" s="6"/>
      <c r="W2" s="6"/>
      <c r="X2" s="6"/>
      <c r="Y2" s="6"/>
      <c r="Z2" s="6"/>
      <c r="AA2" s="6"/>
      <c r="AB2" s="6"/>
      <c r="AC2" s="6"/>
      <c r="AD2" s="6"/>
      <c r="AE2" s="6"/>
      <c r="AF2" s="6"/>
      <c r="AG2" s="6"/>
      <c r="AH2" s="6"/>
      <c r="AI2" s="6"/>
      <c r="AJ2" s="6"/>
      <c r="AK2" s="6"/>
      <c r="AL2" s="6"/>
      <c r="AM2" s="6"/>
      <c r="AN2" s="6"/>
      <c r="AO2" s="6"/>
      <c r="AP2" s="6"/>
      <c r="AQ2" s="6"/>
      <c r="AR2" s="6"/>
      <c r="AS2" s="6"/>
      <c r="AT2" s="6"/>
      <c r="AU2" s="6"/>
      <c r="AV2" s="6"/>
      <c r="AW2" s="6"/>
      <c r="AX2" s="6"/>
      <c r="AY2" s="6"/>
      <c r="AZ2" s="6"/>
      <c r="BA2" s="6"/>
      <c r="BB2" s="6"/>
      <c r="BC2" s="6"/>
    </row>
    <row r="3" spans="1:55" ht="14">
      <c r="A3" s="9"/>
      <c r="B3" s="9"/>
      <c r="C3" s="9"/>
      <c r="D3" s="9"/>
      <c r="E3" s="9"/>
      <c r="F3" s="9"/>
      <c r="G3" s="8"/>
      <c r="H3" s="8"/>
      <c r="I3" s="8"/>
      <c r="J3" s="8"/>
      <c r="K3" s="8"/>
      <c r="L3" s="8"/>
      <c r="M3" s="8"/>
      <c r="N3" s="8"/>
      <c r="O3" s="8"/>
      <c r="P3" s="8"/>
      <c r="Q3" s="8"/>
      <c r="R3" s="7"/>
      <c r="S3" s="7"/>
      <c r="T3" s="7"/>
      <c r="U3" s="7"/>
      <c r="V3" s="7"/>
      <c r="W3" s="7"/>
      <c r="X3" s="7"/>
      <c r="Y3" s="7"/>
      <c r="Z3" s="7"/>
      <c r="AA3" s="7"/>
      <c r="AB3" s="7"/>
      <c r="AC3" s="7"/>
      <c r="AD3" s="7"/>
      <c r="AE3" s="7"/>
      <c r="AF3" s="7"/>
      <c r="AG3" s="7"/>
      <c r="AH3" s="7"/>
      <c r="AI3" s="7"/>
      <c r="AJ3" s="7"/>
      <c r="AK3" s="7"/>
      <c r="AL3" s="7"/>
      <c r="AM3" s="7"/>
      <c r="AN3" s="7"/>
      <c r="AO3" s="7"/>
      <c r="AP3" s="7"/>
      <c r="AQ3" s="7"/>
      <c r="AR3" s="7"/>
      <c r="AS3" s="7"/>
      <c r="AT3" s="7"/>
      <c r="AU3" s="7"/>
      <c r="AV3" s="7"/>
      <c r="AW3" s="7"/>
      <c r="AX3" s="7"/>
      <c r="AY3" s="7"/>
      <c r="AZ3" s="7"/>
      <c r="BA3" s="7"/>
      <c r="BB3" s="7"/>
      <c r="BC3" s="7"/>
    </row>
    <row r="4" spans="1:55" ht="14">
      <c r="A4" s="6"/>
      <c r="B4" s="6"/>
      <c r="C4" s="6"/>
      <c r="D4" s="6"/>
      <c r="E4" s="6"/>
      <c r="F4" s="6"/>
      <c r="G4" s="6"/>
      <c r="H4" s="6"/>
      <c r="I4" s="6"/>
      <c r="J4" s="6"/>
      <c r="K4" s="6"/>
      <c r="L4" s="6"/>
      <c r="M4" s="6"/>
      <c r="N4" s="6"/>
      <c r="O4" s="6"/>
      <c r="P4" s="6"/>
      <c r="Q4" s="6"/>
      <c r="R4" s="6"/>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6"/>
      <c r="BA4" s="6"/>
      <c r="BB4" s="6"/>
      <c r="BC4" s="6"/>
    </row>
    <row r="5" spans="1:55" ht="3"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row>
    <row r="6" spans="1:55" ht="14"/>
    <row r="7" spans="1:55" ht="14"/>
    <row r="8" spans="1:55" ht="14">
      <c r="B8" s="209"/>
      <c r="C8" t="s">
        <v>1864</v>
      </c>
      <c r="G8" s="208"/>
      <c r="H8" s="208"/>
      <c r="I8" s="208"/>
      <c r="J8" s="208"/>
      <c r="K8" s="208"/>
      <c r="L8" s="208"/>
      <c r="M8" s="208"/>
      <c r="N8" s="208"/>
      <c r="O8" s="208"/>
      <c r="P8" s="208"/>
      <c r="Q8" s="208"/>
      <c r="R8" s="208"/>
      <c r="S8" s="208"/>
      <c r="T8" s="208"/>
      <c r="U8" s="208"/>
      <c r="V8" s="208"/>
      <c r="W8" s="208"/>
      <c r="X8" s="208"/>
      <c r="Y8" s="208"/>
      <c r="Z8" s="208"/>
      <c r="AA8" s="208"/>
      <c r="AB8" s="208"/>
      <c r="AC8" s="208"/>
      <c r="AD8" s="208"/>
      <c r="AE8" s="208"/>
      <c r="AF8" s="208"/>
      <c r="AG8" s="208"/>
      <c r="AH8" s="208"/>
      <c r="AI8" s="208"/>
      <c r="AJ8" s="208"/>
      <c r="AK8" s="208"/>
      <c r="AL8" s="208"/>
      <c r="AM8" s="208"/>
      <c r="AN8" s="208"/>
      <c r="AO8" s="208"/>
      <c r="AP8" s="208"/>
      <c r="AQ8" s="208"/>
      <c r="AR8" s="208"/>
      <c r="AS8" s="208"/>
      <c r="AT8" s="208"/>
      <c r="AU8" s="208"/>
      <c r="AV8" s="208"/>
      <c r="AW8" s="208"/>
      <c r="AX8" s="208"/>
      <c r="AY8" s="208"/>
      <c r="AZ8" s="208"/>
      <c r="BA8" s="208"/>
      <c r="BB8" s="208"/>
    </row>
    <row r="9" spans="1:55" ht="18">
      <c r="B9" s="211"/>
      <c r="C9" t="s">
        <v>1865</v>
      </c>
      <c r="E9" s="75" t="s">
        <v>5</v>
      </c>
      <c r="F9" s="75"/>
      <c r="G9" s="75"/>
      <c r="H9" s="75"/>
      <c r="I9" s="75"/>
      <c r="J9" s="75"/>
      <c r="K9" s="75"/>
      <c r="L9" s="75" t="s">
        <v>6</v>
      </c>
      <c r="M9" s="75"/>
      <c r="N9" s="75"/>
      <c r="O9" s="75"/>
      <c r="P9" s="75"/>
      <c r="Q9" s="75"/>
      <c r="R9" s="75"/>
      <c r="S9" s="75"/>
      <c r="T9" s="75"/>
      <c r="U9" s="75"/>
      <c r="V9" s="75"/>
      <c r="W9" s="75"/>
      <c r="X9" s="75"/>
      <c r="Y9" s="75"/>
      <c r="Z9" s="75"/>
      <c r="AA9" s="75"/>
      <c r="AB9" s="75"/>
      <c r="AC9" s="75"/>
      <c r="AD9" s="75"/>
      <c r="AE9" s="75"/>
      <c r="AF9" s="75"/>
      <c r="AG9" s="75" t="s">
        <v>7</v>
      </c>
      <c r="AH9" s="75"/>
      <c r="AI9" s="75"/>
      <c r="AJ9" s="75"/>
      <c r="AK9" s="75"/>
      <c r="AL9" s="75"/>
      <c r="AM9" s="75"/>
      <c r="AN9" s="75"/>
      <c r="AO9" s="75"/>
      <c r="AP9" s="75"/>
      <c r="AQ9" s="75"/>
      <c r="AR9" s="75"/>
      <c r="AS9" s="75"/>
      <c r="AT9" s="75"/>
      <c r="AU9" s="75"/>
      <c r="AV9" s="75"/>
      <c r="AW9" s="75"/>
      <c r="AX9" s="75"/>
      <c r="AY9" s="75"/>
      <c r="AZ9" s="75"/>
      <c r="BA9" s="75"/>
      <c r="BB9" s="75"/>
    </row>
    <row r="10" spans="1:55" ht="16.5">
      <c r="E10" s="76">
        <v>45595</v>
      </c>
      <c r="F10" s="76">
        <v>45589</v>
      </c>
      <c r="G10" s="76">
        <v>45590</v>
      </c>
      <c r="H10" s="76">
        <v>45593</v>
      </c>
      <c r="I10" s="76">
        <v>45594</v>
      </c>
      <c r="J10" s="76">
        <v>45595</v>
      </c>
      <c r="K10" s="76">
        <v>45596</v>
      </c>
      <c r="L10" s="76">
        <v>45597</v>
      </c>
      <c r="M10" s="76">
        <v>45600</v>
      </c>
      <c r="N10" s="76">
        <v>45601</v>
      </c>
      <c r="O10" s="76">
        <v>45602</v>
      </c>
      <c r="P10" s="76">
        <v>45603</v>
      </c>
      <c r="Q10" s="76">
        <v>45604</v>
      </c>
      <c r="R10" s="76">
        <v>45607</v>
      </c>
      <c r="S10" s="76">
        <v>45608</v>
      </c>
      <c r="T10" s="76">
        <v>45609</v>
      </c>
      <c r="U10" s="76">
        <v>45610</v>
      </c>
      <c r="V10" s="76">
        <v>45611</v>
      </c>
      <c r="W10" s="76">
        <v>45614</v>
      </c>
      <c r="X10" s="76">
        <v>45615</v>
      </c>
      <c r="Y10" s="76">
        <v>45616</v>
      </c>
      <c r="Z10" s="76">
        <v>45617</v>
      </c>
      <c r="AA10" s="76">
        <v>45618</v>
      </c>
      <c r="AB10" s="76">
        <v>45621</v>
      </c>
      <c r="AC10" s="76">
        <v>45622</v>
      </c>
      <c r="AD10" s="76">
        <v>45623</v>
      </c>
      <c r="AE10" s="76">
        <v>45624</v>
      </c>
      <c r="AF10" s="76">
        <v>45625</v>
      </c>
      <c r="AG10" s="76">
        <v>45628</v>
      </c>
      <c r="AH10" s="76">
        <v>45629</v>
      </c>
      <c r="AI10" s="76">
        <v>45630</v>
      </c>
      <c r="AJ10" s="76">
        <v>45631</v>
      </c>
      <c r="AK10" s="76">
        <v>45632</v>
      </c>
      <c r="AL10" s="76">
        <v>45635</v>
      </c>
      <c r="AM10" s="76">
        <v>45636</v>
      </c>
      <c r="AN10" s="76">
        <v>45637</v>
      </c>
      <c r="AO10" s="76">
        <v>45638</v>
      </c>
      <c r="AP10" s="76">
        <v>45639</v>
      </c>
      <c r="AQ10" s="76">
        <v>45642</v>
      </c>
      <c r="AR10" s="76">
        <v>45643</v>
      </c>
      <c r="AS10" s="76">
        <v>45644</v>
      </c>
      <c r="AT10" s="76">
        <v>45645</v>
      </c>
      <c r="AU10" s="76">
        <v>45646</v>
      </c>
      <c r="AV10" s="76">
        <v>45649</v>
      </c>
      <c r="AW10" s="76">
        <v>45650</v>
      </c>
      <c r="AX10" s="76">
        <v>45651</v>
      </c>
      <c r="AY10" s="76">
        <v>45652</v>
      </c>
      <c r="AZ10" s="76">
        <v>45653</v>
      </c>
      <c r="BA10" s="76">
        <v>45656</v>
      </c>
      <c r="BB10" s="76">
        <v>45657</v>
      </c>
    </row>
    <row r="11" spans="1:55" ht="18">
      <c r="B11" s="212" t="s">
        <v>8</v>
      </c>
      <c r="C11" s="213" t="s">
        <v>11</v>
      </c>
      <c r="D11" s="213" t="s">
        <v>1866</v>
      </c>
      <c r="E11" s="77">
        <v>23</v>
      </c>
      <c r="F11" s="77">
        <v>45589</v>
      </c>
      <c r="G11" s="77">
        <v>45590</v>
      </c>
      <c r="H11" s="77">
        <v>45593</v>
      </c>
      <c r="I11" s="77">
        <v>45594</v>
      </c>
      <c r="J11" s="77">
        <v>45595</v>
      </c>
      <c r="K11" s="77">
        <v>45596</v>
      </c>
      <c r="L11" s="77">
        <v>45597</v>
      </c>
      <c r="M11" s="77">
        <v>45600</v>
      </c>
      <c r="N11" s="77">
        <v>45601</v>
      </c>
      <c r="O11" s="77">
        <v>45602</v>
      </c>
      <c r="P11" s="77">
        <v>45603</v>
      </c>
      <c r="Q11" s="77">
        <v>45604</v>
      </c>
      <c r="R11" s="77">
        <v>45607</v>
      </c>
      <c r="S11" s="77">
        <v>45608</v>
      </c>
      <c r="T11" s="77">
        <v>45609</v>
      </c>
      <c r="U11" s="77">
        <v>45610</v>
      </c>
      <c r="V11" s="77">
        <v>45611</v>
      </c>
      <c r="W11" s="77">
        <v>45614</v>
      </c>
      <c r="X11" s="77">
        <v>45615</v>
      </c>
      <c r="Y11" s="77">
        <v>45616</v>
      </c>
      <c r="Z11" s="77">
        <v>45617</v>
      </c>
      <c r="AA11" s="77">
        <v>45618</v>
      </c>
      <c r="AB11" s="77">
        <v>45621</v>
      </c>
      <c r="AC11" s="77">
        <v>45622</v>
      </c>
      <c r="AD11" s="77">
        <v>45623</v>
      </c>
      <c r="AE11" s="77">
        <v>45624</v>
      </c>
      <c r="AF11" s="77">
        <v>45625</v>
      </c>
      <c r="AG11" s="77">
        <v>45628</v>
      </c>
      <c r="AH11" s="77">
        <v>45629</v>
      </c>
      <c r="AI11" s="77">
        <v>45630</v>
      </c>
      <c r="AJ11" s="77">
        <v>45631</v>
      </c>
      <c r="AK11" s="77">
        <v>45632</v>
      </c>
      <c r="AL11" s="77">
        <v>45635</v>
      </c>
      <c r="AM11" s="77">
        <v>45636</v>
      </c>
      <c r="AN11" s="77">
        <v>45637</v>
      </c>
      <c r="AO11" s="77">
        <v>45638</v>
      </c>
      <c r="AP11" s="77">
        <v>45639</v>
      </c>
      <c r="AQ11" s="77">
        <v>45642</v>
      </c>
      <c r="AR11" s="77">
        <v>45643</v>
      </c>
      <c r="AS11" s="77">
        <v>45644</v>
      </c>
      <c r="AT11" s="77">
        <v>45645</v>
      </c>
      <c r="AU11" s="77">
        <v>45646</v>
      </c>
      <c r="AV11" s="77">
        <v>45649</v>
      </c>
      <c r="AW11" s="77">
        <v>45650</v>
      </c>
      <c r="AX11" s="77">
        <v>45651</v>
      </c>
      <c r="AY11" s="77">
        <v>45652</v>
      </c>
      <c r="AZ11" s="77">
        <v>45653</v>
      </c>
      <c r="BA11" s="77">
        <v>45656</v>
      </c>
      <c r="BB11" s="77">
        <v>45657</v>
      </c>
    </row>
    <row r="12" spans="1:55" ht="16.5">
      <c r="A12" s="29"/>
      <c r="B12" s="137" t="s">
        <v>1867</v>
      </c>
      <c r="C12" s="134" t="s">
        <v>37</v>
      </c>
      <c r="D12" s="214">
        <v>12</v>
      </c>
      <c r="E12" s="78"/>
      <c r="F12" s="78"/>
      <c r="G12" s="78"/>
      <c r="H12" s="78"/>
      <c r="I12" s="78"/>
      <c r="J12" s="78"/>
      <c r="K12" s="78"/>
      <c r="L12" s="91"/>
      <c r="M12" s="78"/>
      <c r="N12" s="78"/>
      <c r="O12" s="78"/>
      <c r="P12" s="78"/>
      <c r="Q12" s="78"/>
      <c r="R12" s="78"/>
      <c r="S12" s="78"/>
      <c r="T12" s="78"/>
      <c r="U12" s="78"/>
      <c r="V12" s="78"/>
      <c r="W12" s="78"/>
      <c r="X12" s="78"/>
      <c r="Y12" s="78"/>
      <c r="Z12" s="78"/>
      <c r="AA12" s="78"/>
      <c r="AB12" s="78"/>
      <c r="AC12" s="78"/>
      <c r="AD12" s="78"/>
      <c r="AE12" s="210"/>
      <c r="AF12" s="78"/>
      <c r="AG12" s="78"/>
      <c r="AH12" s="78"/>
      <c r="AI12" s="78"/>
      <c r="AJ12" s="78"/>
      <c r="AK12" s="215"/>
      <c r="AL12" s="78"/>
      <c r="AM12" s="78"/>
      <c r="AN12" s="78"/>
      <c r="AO12" s="78"/>
      <c r="AP12" s="78"/>
      <c r="AQ12" s="78"/>
      <c r="AR12" s="78"/>
      <c r="AS12" s="78"/>
      <c r="AT12" s="78"/>
      <c r="AU12" s="78"/>
      <c r="AV12" s="78"/>
      <c r="AW12" s="91"/>
      <c r="AX12" s="91"/>
      <c r="AY12" s="91"/>
      <c r="AZ12" s="91"/>
      <c r="BA12" s="91"/>
      <c r="BB12" s="91"/>
    </row>
    <row r="13" spans="1:55" ht="16.5">
      <c r="A13" s="29"/>
      <c r="B13" s="137" t="s">
        <v>1868</v>
      </c>
      <c r="C13" s="134" t="s">
        <v>123</v>
      </c>
      <c r="D13" s="214">
        <v>22</v>
      </c>
      <c r="E13" s="78"/>
      <c r="F13" s="78"/>
      <c r="G13" s="78"/>
      <c r="H13" s="210"/>
      <c r="I13" s="78"/>
      <c r="J13" s="78"/>
      <c r="K13" s="78"/>
      <c r="L13" s="91"/>
      <c r="M13" s="78"/>
      <c r="N13" s="78"/>
      <c r="O13" s="78"/>
      <c r="P13" s="78"/>
      <c r="Q13" s="78"/>
      <c r="R13" s="78"/>
      <c r="S13" s="78"/>
      <c r="T13" s="78"/>
      <c r="U13" s="78"/>
      <c r="V13" s="215"/>
      <c r="W13" s="78"/>
      <c r="X13" s="78"/>
      <c r="Y13" s="78"/>
      <c r="Z13" s="78"/>
      <c r="AA13" s="78"/>
      <c r="AB13" s="78"/>
      <c r="AC13" s="78"/>
      <c r="AD13" s="78"/>
      <c r="AE13" s="78"/>
      <c r="AF13" s="78"/>
      <c r="AG13" s="78"/>
      <c r="AH13" s="78"/>
      <c r="AI13" s="78"/>
      <c r="AJ13" s="78"/>
      <c r="AK13" s="78"/>
      <c r="AL13" s="78"/>
      <c r="AM13" s="78"/>
      <c r="AN13" s="78"/>
      <c r="AO13" s="78"/>
      <c r="AP13" s="78"/>
      <c r="AQ13" s="78"/>
      <c r="AR13" s="78"/>
      <c r="AS13" s="78"/>
      <c r="AT13" s="78"/>
      <c r="AU13" s="78"/>
      <c r="AV13" s="78"/>
      <c r="AW13" s="91"/>
      <c r="AX13" s="91"/>
      <c r="AY13" s="91"/>
      <c r="AZ13" s="91"/>
      <c r="BA13" s="91"/>
      <c r="BB13" s="91"/>
    </row>
    <row r="14" spans="1:55" ht="16.5">
      <c r="A14" s="29"/>
      <c r="B14" s="137" t="s">
        <v>1869</v>
      </c>
      <c r="C14" s="134" t="s">
        <v>182</v>
      </c>
      <c r="D14" s="214">
        <v>16</v>
      </c>
      <c r="E14" s="78"/>
      <c r="F14" s="78"/>
      <c r="G14" s="78"/>
      <c r="H14" s="78"/>
      <c r="I14" s="78"/>
      <c r="J14" s="78"/>
      <c r="K14" s="78"/>
      <c r="L14" s="91"/>
      <c r="M14" s="78"/>
      <c r="N14" s="78"/>
      <c r="O14" s="78"/>
      <c r="P14" s="210"/>
      <c r="Q14" s="78"/>
      <c r="R14" s="78"/>
      <c r="S14" s="78"/>
      <c r="T14" s="78"/>
      <c r="U14" s="78"/>
      <c r="V14" s="215"/>
      <c r="W14" s="78"/>
      <c r="X14" s="78"/>
      <c r="Y14" s="78"/>
      <c r="Z14" s="78"/>
      <c r="AA14" s="78"/>
      <c r="AB14" s="78"/>
      <c r="AC14" s="78"/>
      <c r="AD14" s="78"/>
      <c r="AE14" s="78"/>
      <c r="AF14" s="78"/>
      <c r="AG14" s="78"/>
      <c r="AH14" s="78"/>
      <c r="AI14" s="78"/>
      <c r="AJ14" s="78"/>
      <c r="AK14" s="78"/>
      <c r="AL14" s="78"/>
      <c r="AM14" s="78"/>
      <c r="AN14" s="78"/>
      <c r="AO14" s="78"/>
      <c r="AP14" s="78"/>
      <c r="AQ14" s="78"/>
      <c r="AR14" s="78"/>
      <c r="AS14" s="78"/>
      <c r="AT14" s="78"/>
      <c r="AU14" s="78"/>
      <c r="AV14" s="78"/>
      <c r="AW14" s="91"/>
      <c r="AX14" s="91"/>
      <c r="AY14" s="91"/>
      <c r="AZ14" s="91"/>
      <c r="BA14" s="91"/>
      <c r="BB14" s="91"/>
    </row>
    <row r="15" spans="1:55" ht="16.5">
      <c r="A15" s="29"/>
      <c r="B15" s="216" t="s">
        <v>310</v>
      </c>
      <c r="C15" s="134" t="s">
        <v>311</v>
      </c>
      <c r="D15" s="214">
        <v>12</v>
      </c>
      <c r="E15" s="78"/>
      <c r="F15" s="78"/>
      <c r="G15" s="78"/>
      <c r="H15" s="78"/>
      <c r="I15" s="78"/>
      <c r="J15" s="78"/>
      <c r="K15" s="78"/>
      <c r="L15" s="91"/>
      <c r="M15" s="210"/>
      <c r="N15" s="78"/>
      <c r="O15" s="78"/>
      <c r="P15" s="78"/>
      <c r="Q15" s="78"/>
      <c r="R15" s="78"/>
      <c r="S15" s="78"/>
      <c r="T15" s="78"/>
      <c r="U15" s="78"/>
      <c r="V15" s="215"/>
      <c r="W15" s="78"/>
      <c r="X15" s="78"/>
      <c r="Y15" s="78"/>
      <c r="Z15" s="78"/>
      <c r="AA15" s="78"/>
      <c r="AB15" s="210"/>
      <c r="AC15" s="78"/>
      <c r="AD15" s="78"/>
      <c r="AE15" s="78"/>
      <c r="AF15" s="78"/>
      <c r="AG15" s="78"/>
      <c r="AH15" s="78"/>
      <c r="AI15" s="78"/>
      <c r="AJ15" s="78"/>
      <c r="AK15" s="215"/>
      <c r="AL15" s="78"/>
      <c r="AM15" s="78"/>
      <c r="AN15" s="78"/>
      <c r="AO15" s="78"/>
      <c r="AP15" s="78"/>
      <c r="AQ15" s="78"/>
      <c r="AR15" s="78"/>
      <c r="AS15" s="78"/>
      <c r="AT15" s="78"/>
      <c r="AU15" s="78"/>
      <c r="AV15" s="78"/>
      <c r="AW15" s="91"/>
      <c r="AX15" s="91"/>
      <c r="AY15" s="91"/>
      <c r="AZ15" s="91"/>
      <c r="BA15" s="91"/>
      <c r="BB15" s="91"/>
    </row>
    <row r="16" spans="1:55" ht="16.5" outlineLevel="1">
      <c r="A16" s="29"/>
      <c r="B16" s="217" t="s">
        <v>310</v>
      </c>
      <c r="C16" s="218" t="s">
        <v>1870</v>
      </c>
      <c r="D16" s="214">
        <v>8</v>
      </c>
      <c r="E16" s="78"/>
      <c r="F16" s="78"/>
      <c r="G16" s="78"/>
      <c r="H16" s="78"/>
      <c r="I16" s="78"/>
      <c r="J16" s="78"/>
      <c r="K16" s="78"/>
      <c r="L16" s="91"/>
      <c r="M16" s="210"/>
      <c r="N16" s="78"/>
      <c r="O16" s="78"/>
      <c r="P16" s="78"/>
      <c r="Q16" s="78"/>
      <c r="R16" s="78"/>
      <c r="S16" s="78"/>
      <c r="T16" s="78"/>
      <c r="U16" s="78"/>
      <c r="V16" s="215"/>
      <c r="W16" s="78"/>
      <c r="X16" s="78"/>
      <c r="Y16" s="78"/>
      <c r="Z16" s="78"/>
      <c r="AA16" s="78"/>
      <c r="AB16" s="78"/>
      <c r="AC16" s="78"/>
      <c r="AD16" s="78"/>
      <c r="AE16" s="78"/>
      <c r="AF16" s="78"/>
      <c r="AG16" s="78"/>
      <c r="AH16" s="78"/>
      <c r="AI16" s="78"/>
      <c r="AJ16" s="78"/>
      <c r="AK16" s="78"/>
      <c r="AL16" s="78"/>
      <c r="AM16" s="78"/>
      <c r="AN16" s="78"/>
      <c r="AO16" s="78"/>
      <c r="AP16" s="78"/>
      <c r="AQ16" s="78"/>
      <c r="AR16" s="78"/>
      <c r="AS16" s="78"/>
      <c r="AT16" s="78"/>
      <c r="AU16" s="78"/>
      <c r="AV16" s="78"/>
      <c r="AW16" s="91"/>
      <c r="AX16" s="91"/>
      <c r="AY16" s="91"/>
      <c r="AZ16" s="91"/>
      <c r="BA16" s="91"/>
      <c r="BB16" s="91"/>
    </row>
    <row r="17" spans="1:54" ht="16.5" outlineLevel="1">
      <c r="A17" s="29"/>
      <c r="B17" s="217" t="s">
        <v>310</v>
      </c>
      <c r="C17" s="218" t="s">
        <v>1871</v>
      </c>
      <c r="D17" s="214">
        <v>4</v>
      </c>
      <c r="E17" s="78"/>
      <c r="F17" s="78"/>
      <c r="G17" s="78"/>
      <c r="H17" s="78"/>
      <c r="I17" s="78"/>
      <c r="J17" s="78"/>
      <c r="K17" s="78"/>
      <c r="L17" s="91"/>
      <c r="M17" s="78"/>
      <c r="N17" s="78"/>
      <c r="O17" s="78"/>
      <c r="P17" s="78"/>
      <c r="Q17" s="78"/>
      <c r="R17" s="78"/>
      <c r="S17" s="78"/>
      <c r="T17" s="78"/>
      <c r="U17" s="78"/>
      <c r="V17" s="78"/>
      <c r="W17" s="78"/>
      <c r="X17" s="78"/>
      <c r="Y17" s="78"/>
      <c r="Z17" s="78"/>
      <c r="AA17" s="78"/>
      <c r="AB17" s="210"/>
      <c r="AC17" s="78"/>
      <c r="AD17" s="78"/>
      <c r="AE17" s="78"/>
      <c r="AF17" s="78"/>
      <c r="AG17" s="78"/>
      <c r="AH17" s="78"/>
      <c r="AI17" s="78"/>
      <c r="AJ17" s="78"/>
      <c r="AK17" s="215"/>
      <c r="AL17" s="78"/>
      <c r="AM17" s="78"/>
      <c r="AN17" s="78"/>
      <c r="AO17" s="78"/>
      <c r="AP17" s="78"/>
      <c r="AQ17" s="78"/>
      <c r="AR17" s="78"/>
      <c r="AS17" s="78"/>
      <c r="AT17" s="78"/>
      <c r="AU17" s="78"/>
      <c r="AV17" s="78"/>
      <c r="AW17" s="91"/>
      <c r="AX17" s="91"/>
      <c r="AY17" s="91"/>
      <c r="AZ17" s="91"/>
      <c r="BA17" s="91"/>
      <c r="BB17" s="91"/>
    </row>
    <row r="18" spans="1:54" ht="16.5">
      <c r="A18" s="29"/>
      <c r="B18" s="137" t="s">
        <v>1872</v>
      </c>
      <c r="C18" s="134" t="s">
        <v>325</v>
      </c>
      <c r="D18" s="214">
        <v>30</v>
      </c>
      <c r="E18" s="78"/>
      <c r="F18" s="78"/>
      <c r="G18" s="78"/>
      <c r="H18" s="78"/>
      <c r="I18" s="78"/>
      <c r="J18" s="78"/>
      <c r="K18" s="78"/>
      <c r="L18" s="91"/>
      <c r="M18" s="78"/>
      <c r="N18" s="78"/>
      <c r="O18" s="78"/>
      <c r="P18" s="78"/>
      <c r="Q18" s="78"/>
      <c r="R18" s="78"/>
      <c r="S18" s="78"/>
      <c r="T18" s="78"/>
      <c r="U18" s="78"/>
      <c r="V18" s="78"/>
      <c r="W18" s="210"/>
      <c r="X18" s="78"/>
      <c r="Y18" s="78"/>
      <c r="Z18" s="78"/>
      <c r="AA18" s="78"/>
      <c r="AB18" s="210"/>
      <c r="AC18" s="78"/>
      <c r="AD18" s="78"/>
      <c r="AE18" s="210"/>
      <c r="AF18" s="78"/>
      <c r="AG18" s="78"/>
      <c r="AH18" s="78"/>
      <c r="AI18" s="78"/>
      <c r="AJ18" s="78"/>
      <c r="AK18" s="78"/>
      <c r="AL18" s="78"/>
      <c r="AM18" s="78"/>
      <c r="AN18" s="78"/>
      <c r="AO18" s="215"/>
      <c r="AP18" s="78"/>
      <c r="AQ18" s="78"/>
      <c r="AR18" s="78"/>
      <c r="AS18" s="78"/>
      <c r="AT18" s="78"/>
      <c r="AU18" s="215"/>
      <c r="AV18" s="78"/>
      <c r="AW18" s="91"/>
      <c r="AX18" s="91"/>
      <c r="AY18" s="91"/>
      <c r="AZ18" s="91"/>
      <c r="BA18" s="91"/>
      <c r="BB18" s="91"/>
    </row>
    <row r="19" spans="1:54" ht="16.5" outlineLevel="1">
      <c r="A19" s="29"/>
      <c r="B19" s="219" t="s">
        <v>1872</v>
      </c>
      <c r="C19" s="218" t="s">
        <v>1870</v>
      </c>
      <c r="D19" s="214">
        <v>20</v>
      </c>
      <c r="E19" s="78"/>
      <c r="F19" s="78"/>
      <c r="G19" s="78"/>
      <c r="H19" s="78"/>
      <c r="I19" s="78"/>
      <c r="J19" s="78"/>
      <c r="K19" s="78"/>
      <c r="L19" s="91"/>
      <c r="M19" s="78"/>
      <c r="N19" s="78"/>
      <c r="O19" s="78"/>
      <c r="P19" s="78"/>
      <c r="Q19" s="78"/>
      <c r="R19" s="78"/>
      <c r="S19" s="78"/>
      <c r="T19" s="78"/>
      <c r="U19" s="78"/>
      <c r="V19" s="78"/>
      <c r="W19" s="210"/>
      <c r="X19" s="78"/>
      <c r="Y19" s="78"/>
      <c r="Z19" s="78"/>
      <c r="AA19" s="78"/>
      <c r="AB19" s="78"/>
      <c r="AC19" s="78"/>
      <c r="AD19" s="78"/>
      <c r="AE19" s="78"/>
      <c r="AF19" s="78"/>
      <c r="AG19" s="78"/>
      <c r="AH19" s="78"/>
      <c r="AI19" s="78"/>
      <c r="AJ19" s="78"/>
      <c r="AK19" s="78"/>
      <c r="AL19" s="78"/>
      <c r="AM19" s="78"/>
      <c r="AN19" s="78"/>
      <c r="AO19" s="215"/>
      <c r="AP19" s="78"/>
      <c r="AQ19" s="78"/>
      <c r="AR19" s="78"/>
      <c r="AS19" s="78"/>
      <c r="AT19" s="78"/>
      <c r="AU19" s="78"/>
      <c r="AV19" s="78"/>
      <c r="AW19" s="91"/>
      <c r="AX19" s="91"/>
      <c r="AY19" s="91"/>
      <c r="AZ19" s="91"/>
      <c r="BA19" s="91"/>
      <c r="BB19" s="91"/>
    </row>
    <row r="20" spans="1:54" ht="16.5" outlineLevel="1">
      <c r="A20" s="29"/>
      <c r="B20" s="219" t="s">
        <v>1872</v>
      </c>
      <c r="C20" s="218" t="s">
        <v>1871</v>
      </c>
      <c r="D20" s="214">
        <v>6</v>
      </c>
      <c r="E20" s="78"/>
      <c r="F20" s="78"/>
      <c r="G20" s="78"/>
      <c r="H20" s="78"/>
      <c r="I20" s="78"/>
      <c r="J20" s="78"/>
      <c r="K20" s="78"/>
      <c r="L20" s="91"/>
      <c r="M20" s="78"/>
      <c r="N20" s="78"/>
      <c r="O20" s="78"/>
      <c r="P20" s="78"/>
      <c r="Q20" s="78"/>
      <c r="R20" s="78"/>
      <c r="S20" s="78"/>
      <c r="T20" s="78"/>
      <c r="U20" s="78"/>
      <c r="V20" s="78"/>
      <c r="W20" s="78"/>
      <c r="X20" s="78"/>
      <c r="Y20" s="78"/>
      <c r="Z20" s="78"/>
      <c r="AA20" s="78"/>
      <c r="AB20" s="210"/>
      <c r="AC20" s="78"/>
      <c r="AD20" s="78"/>
      <c r="AE20" s="78"/>
      <c r="AF20" s="78"/>
      <c r="AG20" s="78"/>
      <c r="AH20" s="78"/>
      <c r="AI20" s="78"/>
      <c r="AJ20" s="78"/>
      <c r="AK20" s="78"/>
      <c r="AL20" s="78"/>
      <c r="AM20" s="78"/>
      <c r="AN20" s="78"/>
      <c r="AO20" s="78"/>
      <c r="AP20" s="78"/>
      <c r="AQ20" s="78"/>
      <c r="AR20" s="78"/>
      <c r="AS20" s="78"/>
      <c r="AT20" s="78"/>
      <c r="AU20" s="215"/>
      <c r="AV20" s="78"/>
      <c r="AW20" s="91"/>
      <c r="AX20" s="91"/>
      <c r="AY20" s="91"/>
      <c r="AZ20" s="91"/>
      <c r="BA20" s="91"/>
      <c r="BB20" s="91"/>
    </row>
    <row r="21" spans="1:54" ht="16.5" outlineLevel="1">
      <c r="A21" s="29"/>
      <c r="B21" s="219" t="s">
        <v>1872</v>
      </c>
      <c r="C21" s="218" t="s">
        <v>1873</v>
      </c>
      <c r="D21" s="214">
        <v>4</v>
      </c>
      <c r="E21" s="78"/>
      <c r="F21" s="78"/>
      <c r="G21" s="78"/>
      <c r="H21" s="78"/>
      <c r="I21" s="78"/>
      <c r="J21" s="78"/>
      <c r="K21" s="78"/>
      <c r="L21" s="91"/>
      <c r="M21" s="78"/>
      <c r="N21" s="78"/>
      <c r="O21" s="78"/>
      <c r="P21" s="78"/>
      <c r="Q21" s="78"/>
      <c r="R21" s="78"/>
      <c r="S21" s="78"/>
      <c r="T21" s="78"/>
      <c r="U21" s="78"/>
      <c r="V21" s="78"/>
      <c r="W21" s="78"/>
      <c r="X21" s="78"/>
      <c r="Y21" s="78"/>
      <c r="Z21" s="78"/>
      <c r="AA21" s="78"/>
      <c r="AB21" s="78"/>
      <c r="AC21" s="78"/>
      <c r="AD21" s="78"/>
      <c r="AE21" s="210"/>
      <c r="AF21" s="78"/>
      <c r="AG21" s="78"/>
      <c r="AH21" s="78"/>
      <c r="AI21" s="78"/>
      <c r="AJ21" s="78"/>
      <c r="AK21" s="78"/>
      <c r="AL21" s="78"/>
      <c r="AM21" s="78"/>
      <c r="AN21" s="78"/>
      <c r="AO21" s="215"/>
      <c r="AP21" s="78"/>
      <c r="AQ21" s="78"/>
      <c r="AR21" s="78"/>
      <c r="AS21" s="78"/>
      <c r="AT21" s="78"/>
      <c r="AU21" s="78"/>
      <c r="AV21" s="78"/>
      <c r="AW21" s="91"/>
      <c r="AX21" s="91"/>
      <c r="AY21" s="91"/>
      <c r="AZ21" s="91"/>
      <c r="BA21" s="91"/>
      <c r="BB21" s="91"/>
    </row>
    <row r="22" spans="1:54" ht="16.5">
      <c r="A22" s="29"/>
      <c r="B22" s="137" t="s">
        <v>1872</v>
      </c>
      <c r="C22" s="134" t="s">
        <v>331</v>
      </c>
      <c r="D22" s="214">
        <v>7</v>
      </c>
      <c r="E22" s="78"/>
      <c r="F22" s="78"/>
      <c r="G22" s="78"/>
      <c r="H22" s="78"/>
      <c r="I22" s="78"/>
      <c r="J22" s="78"/>
      <c r="K22" s="78"/>
      <c r="L22" s="91"/>
      <c r="M22" s="78"/>
      <c r="N22" s="78"/>
      <c r="O22" s="78"/>
      <c r="P22" s="78"/>
      <c r="Q22" s="78"/>
      <c r="R22" s="210"/>
      <c r="S22" s="78"/>
      <c r="T22" s="78"/>
      <c r="U22" s="78"/>
      <c r="V22" s="78"/>
      <c r="W22" s="78"/>
      <c r="X22" s="78"/>
      <c r="Y22" s="78"/>
      <c r="Z22" s="78"/>
      <c r="AA22" s="215"/>
      <c r="AB22" s="78"/>
      <c r="AC22" s="78"/>
      <c r="AD22" s="78"/>
      <c r="AE22" s="78"/>
      <c r="AF22" s="78"/>
      <c r="AG22" s="78"/>
      <c r="AH22" s="78"/>
      <c r="AI22" s="78"/>
      <c r="AJ22" s="78"/>
      <c r="AK22" s="78"/>
      <c r="AL22" s="78"/>
      <c r="AM22" s="78"/>
      <c r="AN22" s="78"/>
      <c r="AO22" s="78"/>
      <c r="AP22" s="78"/>
      <c r="AQ22" s="78"/>
      <c r="AR22" s="78"/>
      <c r="AS22" s="78"/>
      <c r="AT22" s="78"/>
      <c r="AU22" s="78"/>
      <c r="AV22" s="78"/>
      <c r="AW22" s="91"/>
      <c r="AX22" s="91"/>
      <c r="AY22" s="91"/>
      <c r="AZ22" s="91"/>
      <c r="BA22" s="91"/>
      <c r="BB22" s="91"/>
    </row>
    <row r="23" spans="1:54" ht="16.5">
      <c r="A23" s="29"/>
      <c r="B23" s="137" t="s">
        <v>1874</v>
      </c>
      <c r="C23" s="134" t="s">
        <v>333</v>
      </c>
      <c r="D23" s="214">
        <v>12</v>
      </c>
      <c r="E23" s="78"/>
      <c r="F23" s="78"/>
      <c r="G23" s="78"/>
      <c r="H23" s="78"/>
      <c r="I23" s="78"/>
      <c r="J23" s="78"/>
      <c r="K23" s="78"/>
      <c r="L23" s="91"/>
      <c r="M23" s="78"/>
      <c r="N23" s="78"/>
      <c r="O23" s="78"/>
      <c r="P23" s="78"/>
      <c r="Q23" s="78"/>
      <c r="R23" s="78"/>
      <c r="S23" s="78"/>
      <c r="T23" s="78"/>
      <c r="U23" s="78"/>
      <c r="V23" s="78"/>
      <c r="W23" s="78"/>
      <c r="X23" s="78"/>
      <c r="Y23" s="78"/>
      <c r="Z23" s="78"/>
      <c r="AA23" s="78"/>
      <c r="AB23" s="78"/>
      <c r="AC23" s="78"/>
      <c r="AD23" s="78"/>
      <c r="AE23" s="210"/>
      <c r="AF23" s="78"/>
      <c r="AG23" s="78"/>
      <c r="AH23" s="78"/>
      <c r="AI23" s="78"/>
      <c r="AJ23" s="78"/>
      <c r="AK23" s="78"/>
      <c r="AL23" s="78"/>
      <c r="AM23" s="78"/>
      <c r="AN23" s="78"/>
      <c r="AO23" s="78"/>
      <c r="AP23" s="78"/>
      <c r="AQ23" s="78"/>
      <c r="AR23" s="78"/>
      <c r="AS23" s="78"/>
      <c r="AT23" s="78"/>
      <c r="AU23" s="215"/>
      <c r="AV23" s="78"/>
      <c r="AW23" s="91"/>
      <c r="AX23" s="91"/>
      <c r="AY23" s="91"/>
      <c r="AZ23" s="91"/>
      <c r="BA23" s="91"/>
      <c r="BB23" s="91"/>
    </row>
    <row r="24" spans="1:54" ht="16.5">
      <c r="A24" s="29"/>
      <c r="B24" s="137" t="s">
        <v>26</v>
      </c>
      <c r="C24" s="136" t="s">
        <v>335</v>
      </c>
      <c r="D24" s="214">
        <v>32</v>
      </c>
      <c r="E24" s="78"/>
      <c r="F24" s="78"/>
      <c r="G24" s="78"/>
      <c r="H24" s="78"/>
      <c r="I24" s="78"/>
      <c r="J24" s="78"/>
      <c r="K24" s="210"/>
      <c r="L24" s="91"/>
      <c r="M24" s="78"/>
      <c r="N24" s="78"/>
      <c r="O24" s="78"/>
      <c r="P24" s="78"/>
      <c r="Q24" s="215"/>
      <c r="R24" s="78"/>
      <c r="S24" s="78"/>
      <c r="T24" s="78"/>
      <c r="U24" s="78"/>
      <c r="V24" s="78"/>
      <c r="W24" s="210"/>
      <c r="X24" s="78"/>
      <c r="Y24" s="78"/>
      <c r="Z24" s="78"/>
      <c r="AA24" s="78"/>
      <c r="AB24" s="210"/>
      <c r="AC24" s="78"/>
      <c r="AD24" s="78"/>
      <c r="AE24" s="215"/>
      <c r="AF24" s="78"/>
      <c r="AG24" s="78"/>
      <c r="AH24" s="78"/>
      <c r="AI24" s="78"/>
      <c r="AJ24" s="78"/>
      <c r="AK24" s="78"/>
      <c r="AL24" s="78"/>
      <c r="AM24" s="78"/>
      <c r="AN24" s="78"/>
      <c r="AO24" s="78"/>
      <c r="AP24" s="78"/>
      <c r="AQ24" s="78"/>
      <c r="AR24" s="78"/>
      <c r="AS24" s="78"/>
      <c r="AT24" s="78"/>
      <c r="AU24" s="78"/>
      <c r="AV24" s="78"/>
      <c r="AW24" s="91"/>
      <c r="AX24" s="91"/>
      <c r="AY24" s="91"/>
      <c r="AZ24" s="91"/>
      <c r="BA24" s="91"/>
      <c r="BB24" s="91"/>
    </row>
    <row r="25" spans="1:54" ht="16.5" outlineLevel="1">
      <c r="A25" s="29"/>
      <c r="B25" s="219" t="s">
        <v>26</v>
      </c>
      <c r="C25" s="218" t="s">
        <v>1870</v>
      </c>
      <c r="D25" s="214">
        <v>1</v>
      </c>
      <c r="E25" s="78"/>
      <c r="F25" s="78"/>
      <c r="G25" s="78"/>
      <c r="H25" s="78"/>
      <c r="I25" s="78"/>
      <c r="J25" s="78"/>
      <c r="K25" s="210"/>
      <c r="L25" s="91"/>
      <c r="M25" s="78"/>
      <c r="N25" s="78"/>
      <c r="O25" s="78"/>
      <c r="P25" s="78"/>
      <c r="Q25" s="215"/>
      <c r="R25" s="78"/>
      <c r="S25" s="78"/>
      <c r="T25" s="78"/>
      <c r="U25" s="78"/>
      <c r="V25" s="78"/>
      <c r="W25" s="78"/>
      <c r="X25" s="78"/>
      <c r="Y25" s="78"/>
      <c r="Z25" s="78"/>
      <c r="AA25" s="78"/>
      <c r="AB25" s="78"/>
      <c r="AC25" s="78"/>
      <c r="AD25" s="78"/>
      <c r="AE25" s="78"/>
      <c r="AF25" s="78"/>
      <c r="AG25" s="78"/>
      <c r="AH25" s="78"/>
      <c r="AI25" s="78"/>
      <c r="AJ25" s="78"/>
      <c r="AK25" s="78"/>
      <c r="AL25" s="78"/>
      <c r="AM25" s="78"/>
      <c r="AN25" s="78"/>
      <c r="AO25" s="78"/>
      <c r="AP25" s="78"/>
      <c r="AQ25" s="78"/>
      <c r="AR25" s="78"/>
      <c r="AS25" s="78"/>
      <c r="AT25" s="78"/>
      <c r="AU25" s="78"/>
      <c r="AV25" s="78"/>
      <c r="AW25" s="91"/>
      <c r="AX25" s="91"/>
      <c r="AY25" s="91"/>
      <c r="AZ25" s="91"/>
      <c r="BA25" s="91"/>
      <c r="BB25" s="91"/>
    </row>
    <row r="26" spans="1:54" ht="16.5" outlineLevel="1">
      <c r="A26" s="29"/>
      <c r="B26" s="219" t="s">
        <v>26</v>
      </c>
      <c r="C26" s="218" t="s">
        <v>1871</v>
      </c>
      <c r="D26" s="214">
        <v>15</v>
      </c>
      <c r="E26" s="78"/>
      <c r="F26" s="78"/>
      <c r="G26" s="78"/>
      <c r="H26" s="78"/>
      <c r="I26" s="78"/>
      <c r="J26" s="78"/>
      <c r="K26" s="78"/>
      <c r="L26" s="91"/>
      <c r="M26" s="78"/>
      <c r="N26" s="78"/>
      <c r="O26" s="78"/>
      <c r="P26" s="78"/>
      <c r="Q26" s="78"/>
      <c r="R26" s="78"/>
      <c r="S26" s="78"/>
      <c r="T26" s="78"/>
      <c r="U26" s="78"/>
      <c r="V26" s="78"/>
      <c r="W26" s="210"/>
      <c r="X26" s="78"/>
      <c r="Y26" s="78"/>
      <c r="Z26" s="78"/>
      <c r="AA26" s="78"/>
      <c r="AB26" s="78"/>
      <c r="AC26" s="78"/>
      <c r="AD26" s="78"/>
      <c r="AE26" s="215"/>
      <c r="AF26" s="78"/>
      <c r="AG26" s="78"/>
      <c r="AH26" s="78"/>
      <c r="AI26" s="78"/>
      <c r="AJ26" s="78"/>
      <c r="AK26" s="78"/>
      <c r="AL26" s="78"/>
      <c r="AM26" s="78"/>
      <c r="AN26" s="78"/>
      <c r="AO26" s="78"/>
      <c r="AP26" s="78"/>
      <c r="AQ26" s="78"/>
      <c r="AR26" s="78"/>
      <c r="AS26" s="78"/>
      <c r="AT26" s="78"/>
      <c r="AU26" s="78"/>
      <c r="AV26" s="78"/>
      <c r="AW26" s="91"/>
      <c r="AX26" s="91"/>
      <c r="AY26" s="91"/>
      <c r="AZ26" s="91"/>
      <c r="BA26" s="91"/>
      <c r="BB26" s="91"/>
    </row>
    <row r="27" spans="1:54" ht="16.5" outlineLevel="1">
      <c r="A27" s="29"/>
      <c r="B27" s="219" t="s">
        <v>26</v>
      </c>
      <c r="C27" s="218" t="s">
        <v>1873</v>
      </c>
      <c r="D27" s="214">
        <v>3</v>
      </c>
      <c r="E27" s="78"/>
      <c r="F27" s="78"/>
      <c r="G27" s="78"/>
      <c r="H27" s="78"/>
      <c r="I27" s="78"/>
      <c r="J27" s="78"/>
      <c r="K27" s="78"/>
      <c r="L27" s="91"/>
      <c r="M27" s="78"/>
      <c r="N27" s="78"/>
      <c r="O27" s="78"/>
      <c r="P27" s="78"/>
      <c r="Q27" s="78"/>
      <c r="R27" s="78"/>
      <c r="S27" s="78"/>
      <c r="T27" s="78"/>
      <c r="U27" s="78"/>
      <c r="V27" s="78"/>
      <c r="W27" s="78"/>
      <c r="X27" s="78"/>
      <c r="Y27" s="78"/>
      <c r="Z27" s="78"/>
      <c r="AA27" s="78"/>
      <c r="AB27" s="210"/>
      <c r="AC27" s="78"/>
      <c r="AD27" s="78"/>
      <c r="AE27" s="215"/>
      <c r="AF27" s="78"/>
      <c r="AG27" s="78"/>
      <c r="AH27" s="78"/>
      <c r="AI27" s="78"/>
      <c r="AJ27" s="78"/>
      <c r="AK27" s="78"/>
      <c r="AL27" s="78"/>
      <c r="AM27" s="78"/>
      <c r="AN27" s="78"/>
      <c r="AO27" s="78"/>
      <c r="AP27" s="78"/>
      <c r="AQ27" s="78"/>
      <c r="AR27" s="78"/>
      <c r="AS27" s="78"/>
      <c r="AT27" s="78"/>
      <c r="AU27" s="78"/>
      <c r="AV27" s="78"/>
      <c r="AW27" s="91"/>
      <c r="AX27" s="91"/>
      <c r="AY27" s="91"/>
      <c r="AZ27" s="91"/>
      <c r="BA27" s="91"/>
      <c r="BB27" s="91"/>
    </row>
    <row r="28" spans="1:54" ht="33" outlineLevel="1">
      <c r="A28" s="29"/>
      <c r="B28" s="219" t="s">
        <v>26</v>
      </c>
      <c r="C28" s="220" t="s">
        <v>1875</v>
      </c>
      <c r="D28" s="214">
        <v>13</v>
      </c>
      <c r="E28" s="78"/>
      <c r="F28" s="78"/>
      <c r="G28" s="78"/>
      <c r="H28" s="78"/>
      <c r="I28" s="78"/>
      <c r="J28" s="78"/>
      <c r="K28" s="78"/>
      <c r="L28" s="91"/>
      <c r="M28" s="78"/>
      <c r="N28" s="78"/>
      <c r="O28" s="78"/>
      <c r="P28" s="78"/>
      <c r="Q28" s="78"/>
      <c r="R28" s="78"/>
      <c r="S28" s="78"/>
      <c r="T28" s="78"/>
      <c r="U28" s="78"/>
      <c r="V28" s="78"/>
      <c r="W28" s="78"/>
      <c r="X28" s="78"/>
      <c r="Y28" s="78"/>
      <c r="Z28" s="78"/>
      <c r="AA28" s="78"/>
      <c r="AB28" s="78"/>
      <c r="AC28" s="78"/>
      <c r="AD28" s="78"/>
      <c r="AE28" s="78"/>
      <c r="AF28" s="78"/>
      <c r="AG28" s="78"/>
      <c r="AH28" s="78"/>
      <c r="AI28" s="78"/>
      <c r="AJ28" s="78"/>
      <c r="AK28" s="78"/>
      <c r="AL28" s="78"/>
      <c r="AM28" s="78"/>
      <c r="AN28" s="78"/>
      <c r="AO28" s="78"/>
      <c r="AP28" s="78"/>
      <c r="AQ28" s="78"/>
      <c r="AR28" s="78"/>
      <c r="AS28" s="78"/>
      <c r="AT28" s="78"/>
      <c r="AU28" s="78"/>
      <c r="AV28" s="78"/>
      <c r="AW28" s="91"/>
      <c r="AX28" s="91"/>
      <c r="AY28" s="91"/>
      <c r="AZ28" s="91"/>
      <c r="BA28" s="91"/>
      <c r="BB28" s="91"/>
    </row>
    <row r="29" spans="1:54" ht="16.5">
      <c r="A29" s="29"/>
      <c r="B29" s="137" t="s">
        <v>26</v>
      </c>
      <c r="C29" s="136" t="s">
        <v>368</v>
      </c>
      <c r="D29" s="214">
        <v>22</v>
      </c>
      <c r="E29" s="78"/>
      <c r="F29" s="78"/>
      <c r="G29" s="78"/>
      <c r="H29" s="78"/>
      <c r="I29" s="78"/>
      <c r="J29" s="78"/>
      <c r="K29" s="210"/>
      <c r="L29" s="91"/>
      <c r="M29" s="78"/>
      <c r="N29" s="78"/>
      <c r="O29" s="78"/>
      <c r="P29" s="78"/>
      <c r="Q29" s="215"/>
      <c r="R29" s="78"/>
      <c r="S29" s="78"/>
      <c r="T29" s="78"/>
      <c r="U29" s="78"/>
      <c r="V29" s="78"/>
      <c r="W29" s="78"/>
      <c r="X29" s="78"/>
      <c r="Y29" s="78"/>
      <c r="Z29" s="78"/>
      <c r="AA29" s="78"/>
      <c r="AB29" s="78"/>
      <c r="AC29" s="78"/>
      <c r="AD29" s="78"/>
      <c r="AE29" s="78"/>
      <c r="AF29" s="78"/>
      <c r="AG29" s="78"/>
      <c r="AH29" s="78"/>
      <c r="AI29" s="78"/>
      <c r="AJ29" s="78"/>
      <c r="AK29" s="78"/>
      <c r="AL29" s="78"/>
      <c r="AM29" s="78"/>
      <c r="AN29" s="78"/>
      <c r="AO29" s="78"/>
      <c r="AP29" s="78"/>
      <c r="AQ29" s="78"/>
      <c r="AR29" s="78"/>
      <c r="AS29" s="78"/>
      <c r="AT29" s="78"/>
      <c r="AU29" s="78"/>
      <c r="AV29" s="78"/>
      <c r="AW29" s="91"/>
      <c r="AX29" s="91"/>
      <c r="AY29" s="91"/>
      <c r="AZ29" s="91"/>
      <c r="BA29" s="91"/>
      <c r="BB29" s="91"/>
    </row>
    <row r="30" spans="1:54" ht="16.5">
      <c r="A30" s="29"/>
      <c r="B30" s="219" t="s">
        <v>26</v>
      </c>
      <c r="C30" s="218" t="s">
        <v>1870</v>
      </c>
      <c r="D30" s="214">
        <v>11</v>
      </c>
      <c r="E30" s="78"/>
      <c r="F30" s="78"/>
      <c r="G30" s="78"/>
      <c r="H30" s="78"/>
      <c r="I30" s="78"/>
      <c r="J30" s="78"/>
      <c r="K30" s="210"/>
      <c r="L30" s="91"/>
      <c r="M30" s="78"/>
      <c r="N30" s="78"/>
      <c r="O30" s="78"/>
      <c r="P30" s="78"/>
      <c r="Q30" s="215"/>
      <c r="R30" s="78"/>
      <c r="S30" s="78"/>
      <c r="T30" s="78"/>
      <c r="U30" s="78"/>
      <c r="V30" s="78"/>
      <c r="W30" s="78"/>
      <c r="X30" s="78"/>
      <c r="Y30" s="78"/>
      <c r="Z30" s="78"/>
      <c r="AA30" s="78"/>
      <c r="AB30" s="78"/>
      <c r="AC30" s="78"/>
      <c r="AD30" s="78"/>
      <c r="AE30" s="78"/>
      <c r="AF30" s="78"/>
      <c r="AG30" s="78"/>
      <c r="AH30" s="78"/>
      <c r="AI30" s="78"/>
      <c r="AJ30" s="78"/>
      <c r="AK30" s="78"/>
      <c r="AL30" s="78"/>
      <c r="AM30" s="78"/>
      <c r="AN30" s="78"/>
      <c r="AO30" s="78"/>
      <c r="AP30" s="78"/>
      <c r="AQ30" s="78"/>
      <c r="AR30" s="78"/>
      <c r="AS30" s="78"/>
      <c r="AT30" s="78"/>
      <c r="AU30" s="78"/>
      <c r="AV30" s="78"/>
      <c r="AW30" s="91"/>
      <c r="AX30" s="91"/>
      <c r="AY30" s="91"/>
      <c r="AZ30" s="91"/>
      <c r="BA30" s="91"/>
      <c r="BB30" s="91"/>
    </row>
    <row r="31" spans="1:54" ht="66">
      <c r="A31" s="29"/>
      <c r="B31" s="219" t="s">
        <v>26</v>
      </c>
      <c r="C31" s="220" t="s">
        <v>1876</v>
      </c>
      <c r="D31" s="214">
        <v>11</v>
      </c>
      <c r="E31" s="78"/>
      <c r="F31" s="78"/>
      <c r="G31" s="78"/>
      <c r="H31" s="78"/>
      <c r="I31" s="78"/>
      <c r="J31" s="78"/>
      <c r="K31" s="78"/>
      <c r="L31" s="91"/>
      <c r="M31" s="78"/>
      <c r="N31" s="78"/>
      <c r="O31" s="78"/>
      <c r="P31" s="78"/>
      <c r="Q31" s="78"/>
      <c r="R31" s="78"/>
      <c r="S31" s="78"/>
      <c r="T31" s="78"/>
      <c r="U31" s="78"/>
      <c r="V31" s="78"/>
      <c r="W31" s="78"/>
      <c r="X31" s="78"/>
      <c r="Y31" s="78"/>
      <c r="Z31" s="78"/>
      <c r="AA31" s="78"/>
      <c r="AB31" s="78"/>
      <c r="AC31" s="78"/>
      <c r="AD31" s="78"/>
      <c r="AE31" s="78"/>
      <c r="AF31" s="78"/>
      <c r="AG31" s="78"/>
      <c r="AH31" s="78"/>
      <c r="AI31" s="78"/>
      <c r="AJ31" s="78"/>
      <c r="AK31" s="78"/>
      <c r="AL31" s="78"/>
      <c r="AM31" s="78"/>
      <c r="AN31" s="78"/>
      <c r="AO31" s="78"/>
      <c r="AP31" s="78"/>
      <c r="AQ31" s="78"/>
      <c r="AR31" s="78"/>
      <c r="AS31" s="78"/>
      <c r="AT31" s="78"/>
      <c r="AU31" s="78"/>
      <c r="AV31" s="78"/>
      <c r="AW31" s="91"/>
      <c r="AX31" s="91"/>
      <c r="AY31" s="91"/>
      <c r="AZ31" s="91"/>
      <c r="BA31" s="91"/>
      <c r="BB31" s="91"/>
    </row>
    <row r="32" spans="1:54" ht="16.5">
      <c r="A32" s="29"/>
      <c r="B32" s="137" t="s">
        <v>26</v>
      </c>
      <c r="C32" s="136" t="s">
        <v>379</v>
      </c>
      <c r="D32" s="214">
        <v>14</v>
      </c>
      <c r="E32" s="78"/>
      <c r="F32" s="210"/>
      <c r="G32" s="78"/>
      <c r="H32" s="78"/>
      <c r="I32" s="78"/>
      <c r="J32" s="78"/>
      <c r="K32" s="78"/>
      <c r="L32" s="91"/>
      <c r="M32" s="78"/>
      <c r="N32" s="78"/>
      <c r="O32" s="78"/>
      <c r="P32" s="78"/>
      <c r="Q32" s="78"/>
      <c r="R32" s="78"/>
      <c r="S32" s="78"/>
      <c r="T32" s="78"/>
      <c r="U32" s="78"/>
      <c r="V32" s="78"/>
      <c r="W32" s="78"/>
      <c r="X32" s="78"/>
      <c r="Y32" s="78"/>
      <c r="Z32" s="78"/>
      <c r="AA32" s="78"/>
      <c r="AB32" s="78"/>
      <c r="AC32" s="78"/>
      <c r="AD32" s="78"/>
      <c r="AE32" s="78"/>
      <c r="AF32" s="78"/>
      <c r="AG32" s="78"/>
      <c r="AH32" s="78"/>
      <c r="AI32" s="78"/>
      <c r="AJ32" s="78"/>
      <c r="AK32" s="78"/>
      <c r="AL32" s="78"/>
      <c r="AM32" s="78"/>
      <c r="AN32" s="78"/>
      <c r="AO32" s="78"/>
      <c r="AP32" s="78"/>
      <c r="AQ32" s="78"/>
      <c r="AR32" s="78"/>
      <c r="AS32" s="78"/>
      <c r="AT32" s="78"/>
      <c r="AU32" s="78"/>
      <c r="AV32" s="78"/>
      <c r="AW32" s="91"/>
      <c r="AX32" s="91"/>
      <c r="AY32" s="91"/>
      <c r="AZ32" s="91"/>
      <c r="BA32" s="91"/>
      <c r="BB32" s="91"/>
    </row>
    <row r="33" spans="1:54" ht="16.5">
      <c r="A33" s="29"/>
      <c r="B33" s="219" t="s">
        <v>26</v>
      </c>
      <c r="C33" s="218" t="s">
        <v>1877</v>
      </c>
      <c r="D33" s="214">
        <v>3</v>
      </c>
      <c r="E33" s="78"/>
      <c r="F33" s="78"/>
      <c r="G33" s="78"/>
      <c r="H33" s="78"/>
      <c r="I33" s="78"/>
      <c r="J33" s="78"/>
      <c r="K33" s="78"/>
      <c r="L33" s="91"/>
      <c r="M33" s="78"/>
      <c r="N33" s="78"/>
      <c r="O33" s="78"/>
      <c r="P33" s="78"/>
      <c r="Q33" s="215"/>
      <c r="R33" s="78"/>
      <c r="S33" s="78"/>
      <c r="T33" s="78"/>
      <c r="U33" s="78"/>
      <c r="V33" s="78"/>
      <c r="W33" s="78"/>
      <c r="X33" s="78"/>
      <c r="Y33" s="78"/>
      <c r="Z33" s="78"/>
      <c r="AA33" s="78"/>
      <c r="AB33" s="78"/>
      <c r="AC33" s="78"/>
      <c r="AD33" s="78"/>
      <c r="AE33" s="78"/>
      <c r="AF33" s="78"/>
      <c r="AG33" s="78"/>
      <c r="AH33" s="78"/>
      <c r="AI33" s="78"/>
      <c r="AJ33" s="78"/>
      <c r="AK33" s="78"/>
      <c r="AL33" s="78"/>
      <c r="AM33" s="78"/>
      <c r="AN33" s="78"/>
      <c r="AO33" s="78"/>
      <c r="AP33" s="78"/>
      <c r="AQ33" s="78"/>
      <c r="AR33" s="78"/>
      <c r="AS33" s="78"/>
      <c r="AT33" s="78"/>
      <c r="AU33" s="78"/>
      <c r="AV33" s="78"/>
      <c r="AW33" s="91"/>
      <c r="AX33" s="91"/>
      <c r="AY33" s="91"/>
      <c r="AZ33" s="91"/>
      <c r="BA33" s="91"/>
      <c r="BB33" s="91"/>
    </row>
    <row r="34" spans="1:54" ht="16.5">
      <c r="A34" s="29"/>
      <c r="B34" s="219" t="s">
        <v>26</v>
      </c>
      <c r="C34" s="218" t="s">
        <v>1870</v>
      </c>
      <c r="D34" s="214">
        <v>1</v>
      </c>
      <c r="E34" s="78"/>
      <c r="F34" s="210"/>
      <c r="G34" s="78"/>
      <c r="H34" s="78"/>
      <c r="I34" s="78"/>
      <c r="J34" s="78"/>
      <c r="K34" s="215"/>
      <c r="L34" s="91"/>
      <c r="M34" s="78"/>
      <c r="N34" s="78"/>
      <c r="O34" s="78"/>
      <c r="P34" s="78"/>
      <c r="Q34" s="78"/>
      <c r="R34" s="78"/>
      <c r="S34" s="78"/>
      <c r="T34" s="78"/>
      <c r="U34" s="78"/>
      <c r="V34" s="78"/>
      <c r="W34" s="78"/>
      <c r="X34" s="78"/>
      <c r="Y34" s="78"/>
      <c r="Z34" s="78"/>
      <c r="AA34" s="78"/>
      <c r="AB34" s="78"/>
      <c r="AC34" s="78"/>
      <c r="AD34" s="78"/>
      <c r="AE34" s="78"/>
      <c r="AF34" s="78"/>
      <c r="AG34" s="78"/>
      <c r="AH34" s="78"/>
      <c r="AI34" s="78"/>
      <c r="AJ34" s="78"/>
      <c r="AK34" s="78"/>
      <c r="AL34" s="78"/>
      <c r="AM34" s="78"/>
      <c r="AN34" s="78"/>
      <c r="AO34" s="78"/>
      <c r="AP34" s="78"/>
      <c r="AQ34" s="78"/>
      <c r="AR34" s="78"/>
      <c r="AS34" s="78"/>
      <c r="AT34" s="78"/>
      <c r="AU34" s="78"/>
      <c r="AV34" s="78"/>
      <c r="AW34" s="91"/>
      <c r="AX34" s="91"/>
      <c r="AY34" s="91"/>
      <c r="AZ34" s="91"/>
      <c r="BA34" s="91"/>
      <c r="BB34" s="91"/>
    </row>
    <row r="35" spans="1:54" ht="49.5">
      <c r="A35" s="29"/>
      <c r="B35" s="219" t="s">
        <v>26</v>
      </c>
      <c r="C35" s="220" t="s">
        <v>1878</v>
      </c>
      <c r="D35" s="214">
        <v>10</v>
      </c>
      <c r="E35" s="78"/>
      <c r="F35" s="78"/>
      <c r="G35" s="78"/>
      <c r="H35" s="78"/>
      <c r="I35" s="78"/>
      <c r="J35" s="78"/>
      <c r="K35" s="78"/>
      <c r="L35" s="91"/>
      <c r="M35" s="78"/>
      <c r="N35" s="78"/>
      <c r="O35" s="78"/>
      <c r="P35" s="78"/>
      <c r="Q35" s="78"/>
      <c r="R35" s="78"/>
      <c r="S35" s="78"/>
      <c r="T35" s="78"/>
      <c r="U35" s="78"/>
      <c r="V35" s="78"/>
      <c r="W35" s="78"/>
      <c r="X35" s="78"/>
      <c r="Y35" s="78"/>
      <c r="Z35" s="78"/>
      <c r="AA35" s="78"/>
      <c r="AB35" s="78"/>
      <c r="AC35" s="78"/>
      <c r="AD35" s="78"/>
      <c r="AE35" s="78"/>
      <c r="AF35" s="78"/>
      <c r="AG35" s="78"/>
      <c r="AH35" s="78"/>
      <c r="AI35" s="78"/>
      <c r="AJ35" s="78"/>
      <c r="AK35" s="78"/>
      <c r="AL35" s="78"/>
      <c r="AM35" s="78"/>
      <c r="AN35" s="78"/>
      <c r="AO35" s="78"/>
      <c r="AP35" s="78"/>
      <c r="AQ35" s="78"/>
      <c r="AR35" s="78"/>
      <c r="AS35" s="78"/>
      <c r="AT35" s="78"/>
      <c r="AU35" s="78"/>
      <c r="AV35" s="78"/>
      <c r="AW35" s="91"/>
      <c r="AX35" s="91"/>
      <c r="AY35" s="91"/>
      <c r="AZ35" s="91"/>
      <c r="BA35" s="91"/>
      <c r="BB35" s="91"/>
    </row>
    <row r="36" spans="1:54" ht="33">
      <c r="A36" s="29"/>
      <c r="B36" s="137" t="s">
        <v>26</v>
      </c>
      <c r="C36" s="221" t="s">
        <v>1903</v>
      </c>
      <c r="D36" s="214">
        <v>10</v>
      </c>
      <c r="E36" s="78"/>
      <c r="F36" s="78"/>
      <c r="G36" s="78"/>
      <c r="H36" s="78"/>
      <c r="I36" s="78"/>
      <c r="J36" s="78"/>
      <c r="K36" s="78"/>
      <c r="L36" s="91"/>
      <c r="M36" s="78"/>
      <c r="N36" s="78"/>
      <c r="O36" s="78"/>
      <c r="P36" s="78"/>
      <c r="Q36" s="78"/>
      <c r="R36" s="78"/>
      <c r="S36" s="78"/>
      <c r="T36" s="78"/>
      <c r="U36" s="78"/>
      <c r="V36" s="78"/>
      <c r="W36" s="78"/>
      <c r="X36" s="78"/>
      <c r="Y36" s="78"/>
      <c r="Z36" s="78"/>
      <c r="AA36" s="78"/>
      <c r="AB36" s="78"/>
      <c r="AC36" s="78"/>
      <c r="AD36" s="78"/>
      <c r="AE36" s="78"/>
      <c r="AF36" s="78"/>
      <c r="AG36" s="78"/>
      <c r="AH36" s="78"/>
      <c r="AI36" s="78"/>
      <c r="AJ36" s="78"/>
      <c r="AK36" s="78"/>
      <c r="AL36" s="78"/>
      <c r="AM36" s="78"/>
      <c r="AN36" s="78"/>
      <c r="AO36" s="78"/>
      <c r="AP36" s="78"/>
      <c r="AQ36" s="78"/>
      <c r="AR36" s="78"/>
      <c r="AS36" s="78"/>
      <c r="AT36" s="78"/>
      <c r="AU36" s="78"/>
      <c r="AV36" s="78"/>
      <c r="AW36" s="91"/>
      <c r="AX36" s="91"/>
      <c r="AY36" s="91"/>
      <c r="AZ36" s="91"/>
      <c r="BA36" s="91"/>
      <c r="BB36" s="91"/>
    </row>
    <row r="37" spans="1:54" ht="16.5">
      <c r="A37" s="29"/>
      <c r="B37" s="137" t="s">
        <v>1869</v>
      </c>
      <c r="C37" s="136" t="s">
        <v>1879</v>
      </c>
      <c r="D37" s="214" t="s">
        <v>1880</v>
      </c>
      <c r="E37" s="78"/>
      <c r="F37" s="78"/>
      <c r="G37" s="78"/>
      <c r="H37" s="78"/>
      <c r="I37" s="78"/>
      <c r="J37" s="78"/>
      <c r="K37" s="78"/>
      <c r="L37" s="91"/>
      <c r="M37" s="78"/>
      <c r="N37" s="78"/>
      <c r="O37" s="78"/>
      <c r="P37" s="78"/>
      <c r="Q37" s="78"/>
      <c r="R37" s="78"/>
      <c r="S37" s="78"/>
      <c r="T37" s="78"/>
      <c r="U37" s="78"/>
      <c r="V37" s="78"/>
      <c r="W37" s="78"/>
      <c r="X37" s="78"/>
      <c r="Y37" s="78"/>
      <c r="Z37" s="78"/>
      <c r="AA37" s="78"/>
      <c r="AB37" s="78"/>
      <c r="AC37" s="78"/>
      <c r="AD37" s="78"/>
      <c r="AE37" s="78"/>
      <c r="AF37" s="78"/>
      <c r="AG37" s="78"/>
      <c r="AH37" s="78"/>
      <c r="AI37" s="78"/>
      <c r="AJ37" s="78"/>
      <c r="AK37" s="78"/>
      <c r="AL37" s="78"/>
      <c r="AM37" s="78"/>
      <c r="AN37" s="78"/>
      <c r="AO37" s="78"/>
      <c r="AP37" s="78"/>
      <c r="AQ37" s="78"/>
      <c r="AR37" s="78"/>
      <c r="AS37" s="78"/>
      <c r="AT37" s="78"/>
      <c r="AU37" s="78"/>
      <c r="AV37" s="78"/>
      <c r="AW37" s="91"/>
      <c r="AX37" s="91"/>
      <c r="AY37" s="91"/>
      <c r="AZ37" s="91"/>
      <c r="BA37" s="91"/>
      <c r="BB37" s="91"/>
    </row>
    <row r="38" spans="1:54" ht="14"/>
  </sheetData>
  <conditionalFormatting sqref="E12:BB37">
    <cfRule type="cellIs" dxfId="7" priority="2" operator="greaterThan">
      <formula>0</formula>
    </cfRule>
  </conditionalFormatting>
  <conditionalFormatting sqref="G7:BB7">
    <cfRule type="cellIs" dxfId="6" priority="1" operator="notEqual">
      <formula>0</formula>
    </cfRule>
  </conditionalFormatting>
  <pageMargins left="0.7" right="0.7" top="0.75" bottom="0.75" header="0.3" footer="0.3"/>
  <pageSetup paperSize="9"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
</file>

<file path=customXml/item2.xml><?xml version="1.0" encoding="utf-8"?>
<ct:contentTypeSchema xmlns:ct="http://schemas.microsoft.com/office/2006/metadata/contentType" xmlns:ma="http://schemas.microsoft.com/office/2006/metadata/properties/metaAttributes" ct:_="" ma:_="" ma:contentTypeName="Documento" ma:contentTypeID="0x0101007511375E9B6A4047927DE3870E45B8D5" ma:contentTypeVersion="16" ma:contentTypeDescription="Criar um novo documento." ma:contentTypeScope="" ma:versionID="95532445d1c4dd84829ad3b27207b8ad">
  <xsd:schema xmlns:xsd="http://www.w3.org/2001/XMLSchema" xmlns:xs="http://www.w3.org/2001/XMLSchema" xmlns:p="http://schemas.microsoft.com/office/2006/metadata/properties" xmlns:ns1="http://schemas.microsoft.com/sharepoint/v3" xmlns:ns2="0683c779-04fc-4b63-89c9-6c25ffa1c0a4" xmlns:ns3="6ea7b29d-57ec-408d-9ea9-cf73b04f66d5" targetNamespace="http://schemas.microsoft.com/office/2006/metadata/properties" ma:root="true" ma:fieldsID="aec3fc9e3415bc4fcc9d16bf7a5d9193" ns1:_="" ns2:_="" ns3:_="">
    <xsd:import namespace="http://schemas.microsoft.com/sharepoint/v3"/>
    <xsd:import namespace="0683c779-04fc-4b63-89c9-6c25ffa1c0a4"/>
    <xsd:import namespace="6ea7b29d-57ec-408d-9ea9-cf73b04f66d5"/>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1:_ip_UnifiedCompliancePolicyProperties" minOccurs="0"/>
                <xsd:element ref="ns1:_ip_UnifiedCompliancePolicyUIAction"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SearchProperties" minOccurs="0"/>
                <xsd:element ref="ns2:MediaServiceDateTaken"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1" nillable="true" ma:displayName="Propriedades da Política de Conformidade Unificada" ma:hidden="true" ma:internalName="_ip_UnifiedCompliancePolicyProperties">
      <xsd:simpleType>
        <xsd:restriction base="dms:Note"/>
      </xsd:simpleType>
    </xsd:element>
    <xsd:element name="_ip_UnifiedCompliancePolicyUIAction" ma:index="12" nillable="true" ma:displayName="Ação de IU da Política de Conformidade Unificada"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683c779-04fc-4b63-89c9-6c25ffa1c0a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6" nillable="true" ma:taxonomy="true" ma:internalName="lcf76f155ced4ddcb4097134ff3c332f" ma:taxonomyFieldName="MediaServiceImageTags" ma:displayName="Etiquetas de Imagem" ma:readOnly="false" ma:fieldId="{5cf76f15-5ced-4ddc-b409-7134ff3c332f}" ma:taxonomyMulti="true" ma:sspId="e471ada5-31db-43fa-8830-84ca9293ff45"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DateTaken" ma:index="22" nillable="true" ma:displayName="MediaServiceDateTaken" ma:hidden="true" ma:indexed="true" ma:internalName="MediaServiceDateTaken" ma:readOnly="true">
      <xsd:simpleType>
        <xsd:restriction base="dms:Text"/>
      </xsd:simpleType>
    </xsd:element>
    <xsd:element name="MediaServiceBillingMetadata" ma:index="23"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ea7b29d-57ec-408d-9ea9-cf73b04f66d5" elementFormDefault="qualified">
    <xsd:import namespace="http://schemas.microsoft.com/office/2006/documentManagement/types"/>
    <xsd:import namespace="http://schemas.microsoft.com/office/infopath/2007/PartnerControls"/>
    <xsd:element name="SharedWithUsers" ma:index="13" nillable="true" ma:displayName="Partilhado Com"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Detalhes de Partilhado Com" ma:internalName="SharedWithDetails" ma:readOnly="true">
      <xsd:simpleType>
        <xsd:restriction base="dms:Note">
          <xsd:maxLength value="255"/>
        </xsd:restriction>
      </xsd:simpleType>
    </xsd:element>
    <xsd:element name="TaxCatchAll" ma:index="17" nillable="true" ma:displayName="Taxonomy Catch All Column" ma:hidden="true" ma:list="{028cb997-6b46-4ca3-ae12-c5a1f8f1297b}" ma:internalName="TaxCatchAll" ma:showField="CatchAllData" ma:web="6ea7b29d-57ec-408d-9ea9-cf73b04f66d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lcf76f155ced4ddcb4097134ff3c332f xmlns="0683c779-04fc-4b63-89c9-6c25ffa1c0a4">
      <Terms xmlns="http://schemas.microsoft.com/office/infopath/2007/PartnerControls"/>
    </lcf76f155ced4ddcb4097134ff3c332f>
    <TaxCatchAll xmlns="6ea7b29d-57ec-408d-9ea9-cf73b04f66d5" xsi:nil="true"/>
  </documentManagement>
</p:properties>
</file>

<file path=customXml/itemProps1.xml><?xml version="1.0" encoding="utf-8"?>
<ds:datastoreItem xmlns:ds="http://schemas.openxmlformats.org/officeDocument/2006/customXml" ds:itemID="{B3AECEC8-4DD8-465B-8409-57126B460CA5}">
  <ds:schemaRefs>
    <ds:schemaRef ds:uri="http://schemas.microsoft.com/DataMashup"/>
  </ds:schemaRefs>
</ds:datastoreItem>
</file>

<file path=customXml/itemProps2.xml><?xml version="1.0" encoding="utf-8"?>
<ds:datastoreItem xmlns:ds="http://schemas.openxmlformats.org/officeDocument/2006/customXml" ds:itemID="{0F8E1B04-D686-4CB0-97D5-C26EBAFD912A}"/>
</file>

<file path=customXml/itemProps3.xml><?xml version="1.0" encoding="utf-8"?>
<ds:datastoreItem xmlns:ds="http://schemas.openxmlformats.org/officeDocument/2006/customXml" ds:itemID="{8EABF024-3585-42FE-95F2-07FA9F8BD5F2}">
  <ds:schemaRefs>
    <ds:schemaRef ds:uri="http://schemas.microsoft.com/sharepoint/v3/contenttype/forms"/>
  </ds:schemaRefs>
</ds:datastoreItem>
</file>

<file path=customXml/itemProps4.xml><?xml version="1.0" encoding="utf-8"?>
<ds:datastoreItem xmlns:ds="http://schemas.openxmlformats.org/officeDocument/2006/customXml" ds:itemID="{18AAA335-33FC-43F6-B758-4189E316609B}">
  <ds:schemaRefs>
    <ds:schemaRef ds:uri="http://www.w3.org/XML/1998/namespace"/>
    <ds:schemaRef ds:uri="http://schemas.microsoft.com/sharepoint/v3"/>
    <ds:schemaRef ds:uri="http://purl.org/dc/dcmitype/"/>
    <ds:schemaRef ds:uri="http://purl.org/dc/elements/1.1/"/>
    <ds:schemaRef ds:uri="6ea7b29d-57ec-408d-9ea9-cf73b04f66d5"/>
    <ds:schemaRef ds:uri="http://purl.org/dc/terms/"/>
    <ds:schemaRef ds:uri="http://schemas.microsoft.com/office/2006/documentManagement/types"/>
    <ds:schemaRef ds:uri="0683c779-04fc-4b63-89c9-6c25ffa1c0a4"/>
    <ds:schemaRef ds:uri="http://schemas.microsoft.com/office/infopath/2007/PartnerControls"/>
    <ds:schemaRef ds:uri="http://schemas.openxmlformats.org/package/2006/metadata/core-properties"/>
    <ds:schemaRef ds:uri="http://schemas.microsoft.com/office/2006/metadata/propertie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Plano_V1</vt:lpstr>
      <vt:lpstr>1. Status Resumo FY24</vt:lpstr>
      <vt:lpstr>Auxiliar</vt:lpstr>
      <vt:lpstr>2. Status Detalhe Campos FY24</vt:lpstr>
      <vt:lpstr>Caderno Testes FY24</vt:lpstr>
      <vt:lpstr>Aux - Pivots2</vt:lpstr>
      <vt:lpstr>Sheet1</vt:lpstr>
      <vt:lpstr>Aux - pivots1</vt:lpstr>
      <vt:lpstr>2. Controlos Corporativos - GD</vt:lpstr>
      <vt:lpstr>Plano Campos</vt:lpstr>
      <vt:lpstr>Plano_V3</vt:lpstr>
      <vt:lpstr>Plano de Testes</vt:lpstr>
    </vt:vector>
  </TitlesOfParts>
  <Manager/>
  <Company>Banco Santander Portugal</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Henrique Crespo Rodrigues Antunes Correia;j.silva08@servexternos.santander.pt</dc:creator>
  <cp:keywords/>
  <dc:description/>
  <cp:lastModifiedBy>Joana Rita Bentinho Silva</cp:lastModifiedBy>
  <cp:revision/>
  <dcterms:created xsi:type="dcterms:W3CDTF">2024-07-02T08:46:04Z</dcterms:created>
  <dcterms:modified xsi:type="dcterms:W3CDTF">2025-04-24T12:35:05Z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c2abd79-57a9-4473-8700-c843f76a1e37_Enabled">
    <vt:lpwstr>true</vt:lpwstr>
  </property>
  <property fmtid="{D5CDD505-2E9C-101B-9397-08002B2CF9AE}" pid="3" name="MSIP_Label_0c2abd79-57a9-4473-8700-c843f76a1e37_SetDate">
    <vt:lpwstr>2024-07-02T09:25:15Z</vt:lpwstr>
  </property>
  <property fmtid="{D5CDD505-2E9C-101B-9397-08002B2CF9AE}" pid="4" name="MSIP_Label_0c2abd79-57a9-4473-8700-c843f76a1e37_Method">
    <vt:lpwstr>Privileged</vt:lpwstr>
  </property>
  <property fmtid="{D5CDD505-2E9C-101B-9397-08002B2CF9AE}" pid="5" name="MSIP_Label_0c2abd79-57a9-4473-8700-c843f76a1e37_Name">
    <vt:lpwstr>Internal</vt:lpwstr>
  </property>
  <property fmtid="{D5CDD505-2E9C-101B-9397-08002B2CF9AE}" pid="6" name="MSIP_Label_0c2abd79-57a9-4473-8700-c843f76a1e37_SiteId">
    <vt:lpwstr>35595a02-4d6d-44ac-99e1-f9ab4cd872db</vt:lpwstr>
  </property>
  <property fmtid="{D5CDD505-2E9C-101B-9397-08002B2CF9AE}" pid="7" name="MSIP_Label_0c2abd79-57a9-4473-8700-c843f76a1e37_ActionId">
    <vt:lpwstr>b44731cb-64e1-46ce-8da7-b31adc0fe550</vt:lpwstr>
  </property>
  <property fmtid="{D5CDD505-2E9C-101B-9397-08002B2CF9AE}" pid="8" name="MSIP_Label_0c2abd79-57a9-4473-8700-c843f76a1e37_ContentBits">
    <vt:lpwstr>0</vt:lpwstr>
  </property>
  <property fmtid="{D5CDD505-2E9C-101B-9397-08002B2CF9AE}" pid="9" name="ContentTypeId">
    <vt:lpwstr>0x0101007511375E9B6A4047927DE3870E45B8D5</vt:lpwstr>
  </property>
  <property fmtid="{D5CDD505-2E9C-101B-9397-08002B2CF9AE}" pid="10" name="MediaServiceImageTags">
    <vt:lpwstr/>
  </property>
</Properties>
</file>